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l_parsed" sheetId="1" r:id="rId5"/>
    <sheet state="visible" name="contents" sheetId="2" r:id="rId6"/>
    <sheet state="visible" name="c_saga" sheetId="3" r:id="rId7"/>
    <sheet state="visible" name="c_saga_v2" sheetId="4" r:id="rId8"/>
    <sheet state="visible" name="c_day" sheetId="5" r:id="rId9"/>
    <sheet state="visible" name="c_day_v2" sheetId="6" r:id="rId10"/>
    <sheet state="visible" name="SP" sheetId="7" r:id="rId11"/>
    <sheet state="visible" name="SP_v2" sheetId="8" r:id="rId12"/>
    <sheet state="visible" name="SP_lb" sheetId="9" r:id="rId13"/>
    <sheet state="visible" name="SP_lb_v2" sheetId="10" r:id="rId14"/>
    <sheet state="visible" name="RR" sheetId="11" r:id="rId15"/>
    <sheet state="visible" name="RR_v2" sheetId="12" r:id="rId16"/>
    <sheet state="visible" name="J" sheetId="13" r:id="rId17"/>
    <sheet state="visible" name="J_v2" sheetId="14" r:id="rId18"/>
    <sheet state="visible" name="HH" sheetId="15" r:id="rId19"/>
    <sheet state="visible" name="HH_v2" sheetId="16" r:id="rId20"/>
    <sheet state="visible" name="BB" sheetId="17" r:id="rId21"/>
    <sheet state="visible" name="BB_v2" sheetId="18" r:id="rId22"/>
    <sheet state="visible" name="Ki" sheetId="19" r:id="rId23"/>
    <sheet state="visible" name="Ki_v2" sheetId="20" r:id="rId24"/>
    <sheet state="visible" name="NS" sheetId="21" r:id="rId25"/>
    <sheet state="visible" name="NS_v2_weekday" sheetId="22" r:id="rId26"/>
    <sheet state="visible" name="NS_v2" sheetId="23" r:id="rId27"/>
    <sheet state="visible" name="LOCal NS_v2" sheetId="24" r:id="rId28"/>
    <sheet state="visible" name="Ph" sheetId="25" r:id="rId29"/>
    <sheet state="visible" name="Ph_v2" sheetId="26" r:id="rId30"/>
    <sheet state="visible" name="F" sheetId="27" r:id="rId31"/>
    <sheet state="visible" name="F_v2" sheetId="28" r:id="rId32"/>
    <sheet state="visible" name="Race" sheetId="29" r:id="rId33"/>
    <sheet state="visible" name="Race_v2" sheetId="30" r:id="rId34"/>
    <sheet state="visible" name="TaD" sheetId="31" r:id="rId35"/>
    <sheet state="visible" name="TaD_v2" sheetId="32" r:id="rId36"/>
    <sheet state="visible" name="TE" sheetId="33" r:id="rId37"/>
    <sheet state="visible" name="RM_1st" sheetId="34" r:id="rId38"/>
    <sheet state="visible" name="RM_2nd" sheetId="35" r:id="rId39"/>
    <sheet state="visible" name="RM_1st_v2" sheetId="36" r:id="rId40"/>
    <sheet state="visible" name="RM_2nd_v2" sheetId="37" r:id="rId41"/>
    <sheet state="hidden" name="sim_refresh" sheetId="38" r:id="rId42"/>
    <sheet state="visible" name="cal_curr" sheetId="39" r:id="rId43"/>
    <sheet state="visible" name="cal_new" sheetId="40" r:id="rId44"/>
    <sheet state="hidden" name="oldEcoGainsSim_PlybyPly" sheetId="41" r:id="rId45"/>
    <sheet state="hidden" name="EcoPackGains" sheetId="42" r:id="rId46"/>
    <sheet state="hidden" name="PackConfig" sheetId="43" r:id="rId47"/>
    <sheet state="hidden" name="AlbumConfig" sheetId="44" r:id="rId48"/>
    <sheet state="hidden" name="CardPoolConfig" sheetId="45" r:id="rId49"/>
    <sheet state="hidden" name="PlayerBehavior" sheetId="46" r:id="rId50"/>
    <sheet state="hidden" name="SimSummary" sheetId="47" r:id="rId51"/>
    <sheet state="hidden" name="SimOutput" sheetId="48" r:id="rId52"/>
    <sheet state="visible" name="Sim per Segment" sheetId="49" r:id="rId53"/>
    <sheet state="visible" name="EcoGainsSim" sheetId="50" r:id="rId54"/>
    <sheet state="visible" name="cp_er_seg" sheetId="51" r:id="rId55"/>
    <sheet state="visible" name="cp_overall" sheetId="52" r:id="rId56"/>
    <sheet state="visible" name="EcoGainsSim_Daily" sheetId="53" r:id="rId57"/>
    <sheet state="visible" name="EcoGainsSim_PlybyPly" sheetId="54" r:id="rId58"/>
    <sheet state="visible" name="item_vals" sheetId="55" r:id="rId59"/>
    <sheet state="visible" name="data_gains" sheetId="56" r:id="rId60"/>
    <sheet state="visible" name="data_seg_beh" sheetId="57" r:id="rId61"/>
    <sheet state="visible" name="data_event_inst" sheetId="58" r:id="rId62"/>
    <sheet state="visible" name="data_event_accrual" sheetId="59" r:id="rId63"/>
    <sheet state="visible" name="data_event_kite_accrual" sheetId="60" r:id="rId64"/>
    <sheet state="visible" name="data_RM" sheetId="61" r:id="rId65"/>
    <sheet state="visible" name="data_streaks" sheetId="62" r:id="rId66"/>
    <sheet state="visible" name="data_econ" sheetId="63" r:id="rId67"/>
    <sheet state="visible" name="data_econ_daily" sheetId="64" r:id="rId68"/>
    <sheet state="visible" name="jsons" sheetId="65" r:id="rId69"/>
  </sheets>
  <definedNames>
    <definedName hidden="1" localSheetId="60" name="_xlnm._FilterDatabase">data_RM!$A$1:$H$11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NOTE: This Source has a 1st and 2nd version. This is because Rainbow Maker is the only source which will have different configs throughout the LiveOps 2.0 calendar. The first 3 RMs are "1st" and the last 2 RMs are "2nd"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 numbers are averaged out from most common placements and amounts. This DOES NOT represent any of the real configs, only a combination of them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This shows Player attendance throughout the 28 day Season with account for weekday preference.
Each number represents the number of levels Players completed each day</t>
      </text>
    </comment>
    <comment authorId="0" ref="G2">
      <text>
        <t xml:space="preserve">Probability weight of Players attending on these specific days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1">
      <text>
        <t xml:space="preserve">weighted average pop</t>
      </text>
    </comment>
    <comment authorId="0" ref="B12">
      <text>
        <t xml:space="preserve">weighted average pop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 (A.0 / B.1-9 / ... / F.100+).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Currency or item gained, e.g. HC, boosters, unlimited lives.</t>
      </text>
    </comment>
    <comment authorId="0" ref="D1">
      <text>
        <t xml:space="preserve">Native unit of resource: HC, count, or minutes.</t>
      </text>
    </comment>
    <comment authorId="0" ref="E1">
      <text>
        <t xml:space="preserve">Mapped source category where the gain came from.</t>
      </text>
    </comment>
    <comment authorId="0" ref="F1">
      <text>
        <t xml:space="preserve">Distinct players who earned &gt;0 of this resource in this segment x payer tier.</t>
      </text>
    </comment>
    <comment authorId="0" ref="G1">
      <text>
        <t xml:space="preserve">Distinct players who earned this resource from this category.</t>
      </text>
    </comment>
    <comment authorId="0" ref="H1">
      <text>
        <t xml:space="preserve">recipients / resource_earners * 100.</t>
      </text>
    </comment>
    <comment authorId="0" ref="I1">
      <text>
        <t xml:space="preserve">Category amount / this tier's total pool of this resource; whale-weighted.</t>
      </text>
    </comment>
    <comment authorId="0" ref="J1">
      <text>
        <t xml:space="preserve">Mean over all earners of their personal % from this category, zeros included.</t>
      </text>
    </comment>
    <comment authorId="0" ref="K1">
      <text>
        <t xml:space="preserve">Total free gains of this resource from this category.</t>
      </text>
    </comment>
    <comment authorId="0" ref="L1">
      <text>
        <t xml:space="preserve">Total free gains of this resource from all categories within the tier.</t>
      </text>
    </comment>
    <comment authorId="0" ref="M1">
      <text>
        <t xml:space="preserve">category_amount / resource_earners; headline per-player value.</t>
      </text>
    </comment>
    <comment authorId="0" ref="N1">
      <text>
        <t xml:space="preserve">category_amount / recipients.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tier; A.0 zero-completion days are excluded, so 0-9 represents B.1-9 only.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Segment sort key.</t>
      </text>
    </comment>
    <comment authorId="0" ref="D1">
      <text>
        <t xml:space="preserve">Distinct players in the cohort, assigned by modal segment.</t>
      </text>
    </comment>
    <comment authorId="0" ref="E1">
      <text>
        <t xml:space="preserve">Active player-days in the window.</t>
      </text>
    </comment>
    <comment authorId="0" ref="F1">
      <text>
        <t xml:space="preserve">player_days / 33.</t>
      </text>
    </comment>
    <comment authorId="0" ref="G1">
      <text>
        <t xml:space="preserve">% of the segment that is PAYER; repeats across payer rows.</t>
      </text>
    </comment>
    <comment authorId="0" ref="H1">
      <text>
        <t xml:space="preserve">Mean active days per player over 33 days.</t>
      </text>
    </comment>
    <comment authorId="0" ref="I1">
      <text>
        <t xml:space="preserve">25th percentile active days per player over 33 days.</t>
      </text>
    </comment>
    <comment authorId="0" ref="J1">
      <text>
        <t xml:space="preserve">Median active days per player over 33 days.</t>
      </text>
    </comment>
    <comment authorId="0" ref="K1">
      <text>
        <t xml:space="preserve">75th percentile active days per player over 33 days.</t>
      </text>
    </comment>
    <comment authorId="0" ref="L1">
      <text>
        <t xml:space="preserve">90th percentile active days per player over 33 days.</t>
      </text>
    </comment>
    <comment authorId="0" ref="M1">
      <text>
        <t xml:space="preserve">Probability a cohort member is active on a given weekday date.</t>
      </text>
    </comment>
    <comment authorId="0" ref="N1">
      <text>
        <t xml:space="preserve">Probability a cohort member is active on a given weekend date.</t>
      </text>
    </comment>
    <comment authorId="0" ref="O1">
      <text>
        <t xml:space="preserve">Monday active probability.</t>
      </text>
    </comment>
    <comment authorId="0" ref="P1">
      <text>
        <t xml:space="preserve">Tuesday active probability.</t>
      </text>
    </comment>
    <comment authorId="0" ref="Q1">
      <text>
        <t xml:space="preserve">Wednesday active probability.</t>
      </text>
    </comment>
    <comment authorId="0" ref="R1">
      <text>
        <t xml:space="preserve">Thursday active probability.</t>
      </text>
    </comment>
    <comment authorId="0" ref="S1">
      <text>
        <t xml:space="preserve">Friday active probability.</t>
      </text>
    </comment>
    <comment authorId="0" ref="T1">
      <text>
        <t xml:space="preserve">Saturday active probability.</t>
      </text>
    </comment>
    <comment authorId="0" ref="U1">
      <text>
        <t xml:space="preserve">Sunday active probability.</t>
      </text>
    </comment>
    <comment authorId="0" ref="V1">
      <text>
        <t xml:space="preserve">Mean longest consecutive-active-day run per player.</t>
      </text>
    </comment>
    <comment authorId="0" ref="W1">
      <text>
        <t xml:space="preserve">Median longest consecutive-active-day run per player.</t>
      </text>
    </comment>
    <comment authorId="0" ref="X1">
      <text>
        <t xml:space="preserve">75th percentile longest consecutive-active-day run per player.</t>
      </text>
    </comment>
    <comment authorId="0" ref="Y1">
      <text>
        <t xml:space="preserve">90th percentile longest consecutive-active-day run per player.</t>
      </text>
    </comment>
    <comment authorId="0" ref="Z1">
      <text>
        <t xml:space="preserve">NULL placeholder; session source is not confirmed.</t>
      </text>
    </comment>
    <comment authorId="0" ref="AA1">
      <text>
        <t xml:space="preserve">Saga levels completed per active day.</t>
      </text>
    </comment>
    <comment authorId="0" ref="AB1">
      <text>
        <t xml:space="preserve">All levels entered per active day.</t>
      </text>
    </comment>
    <comment authorId="0" ref="AC1">
      <text>
        <t xml:space="preserve">All levels completed per active day.</t>
      </text>
    </comment>
    <comment authorId="0" ref="AD1">
      <text>
        <t xml:space="preserve">Minutes played per active day.</t>
      </text>
    </comment>
    <comment authorId="0" ref="AE1">
      <text>
        <t xml:space="preserve">% of active days where Daily Gift was claimed.</t>
      </text>
    </comment>
    <comment authorId="0" ref="AF1">
      <text>
        <t xml:space="preserve">Free HC from Daily Gift per active day.</t>
      </text>
    </comment>
    <comment authorId="0" ref="AG1">
      <text>
        <t xml:space="preserve">Mean in-day saga win-streak; Night Sky/Kite input.</t>
      </text>
    </comment>
    <comment authorId="0" ref="AH1">
      <text>
        <t xml:space="preserve">Median in-day saga win-streak.</t>
      </text>
    </comment>
    <comment authorId="0" ref="AI1">
      <text>
        <t xml:space="preserve">75th percentile in-day saga win-streak.</t>
      </text>
    </comment>
    <comment authorId="0" ref="AJ1">
      <text>
        <t xml:space="preserve">90th percentile in-day saga win-streak.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Instances of this event in the window.</t>
      </text>
    </comment>
    <comment authorId="0" ref="F1">
      <text>
        <t xml:space="preserve">Active player x instance rows; denominator.</t>
      </text>
    </comment>
    <comment authorId="0" ref="G1">
      <text>
        <t xml:space="preserve">participants / n_instances.</t>
      </text>
    </comment>
    <comment authorId="0" ref="H1">
      <text>
        <t xml:space="preserve">participants / active-window population.</t>
      </text>
    </comment>
    <comment authorId="0" ref="I1">
      <text>
        <t xml:space="preserve">exposed via event_start / active-window population.</t>
      </text>
    </comment>
    <comment authorId="0" ref="J1">
      <text>
        <t xml:space="preserve">participants unlocking &gt;=1 milestone reward / participants.</t>
      </text>
    </comment>
    <comment authorId="0" ref="K1">
      <text>
        <t xml:space="preserve">25th percentile final leaderboard position among participants; lower is better.</t>
      </text>
    </comment>
    <comment authorId="0" ref="L1">
      <text>
        <t xml:space="preserve">Median final leaderboard position among participants; lower is better.</t>
      </text>
    </comment>
    <comment authorId="0" ref="M1">
      <text>
        <t xml:space="preserve">75th percentile final leaderboard position among participants; lower is better.</t>
      </text>
    </comment>
    <comment authorId="0" ref="N1">
      <text>
        <t xml:space="preserve">Mean end-of-event token balance among participants; for Kite Festival this is final score.</t>
      </text>
    </comment>
    <comment authorId="0" ref="O1">
      <text>
        <t xml:space="preserve">Mean bots on board; position context.</t>
      </text>
    </comment>
    <comment authorId="0" ref="P1">
      <text>
        <t xml:space="preserve">25th percentile end-of-event token balance among participants; for Kite Festival this is final score.</t>
      </text>
    </comment>
    <comment authorId="0" ref="Q1">
      <text>
        <t xml:space="preserve">Median end-of-event token balance among participants; for Kite Festival this is final score.</t>
      </text>
    </comment>
    <comment authorId="0" ref="R1">
      <text>
        <t xml:space="preserve">75th percentile end-of-event token balance among participants; for Kite Festival this is final score.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token-event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instance; 1 = first day.</t>
      </text>
    </comment>
    <comment authorId="0" ref="F1">
      <text>
        <t xml:space="preserve">N days of the instance.</t>
      </text>
    </comment>
    <comment authorId="0" ref="G1">
      <text>
        <t xml:space="preserve">Instances pooled.</t>
      </text>
    </comment>
    <comment authorId="0" ref="H1">
      <text>
        <t xml:space="preserve">Distinct participants in the cohort.</t>
      </text>
    </comment>
    <comment authorId="0" ref="I1">
      <text>
        <t xml:space="preserve">Mean cumulative token share by this day; duration multiplier.</t>
      </text>
    </comment>
    <comment authorId="0" ref="J1">
      <text>
        <t xml:space="preserve">Median cumulative token share by this day.</t>
      </text>
    </comment>
    <comment authorId="0" ref="K1">
      <text>
        <t xml:space="preserve">25th percentile cumulative token share by this day.</t>
      </text>
    </comment>
    <comment authorId="0" ref="L1">
      <text>
        <t xml:space="preserve">75th percentile cumulative token share by this day.</t>
      </text>
    </comment>
    <comment authorId="0" ref="M1">
      <text>
        <t xml:space="preserve">Secondary effort proxy: cumulative event-levels / total, token-gated.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Kite Festival.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Kite instance; 1 = first day.</t>
      </text>
    </comment>
    <comment authorId="0" ref="F1">
      <text>
        <t xml:space="preserve">N days of the instance.</t>
      </text>
    </comment>
    <comment authorId="0" ref="G1">
      <text>
        <t xml:space="preserve">Kite instances pooled.</t>
      </text>
    </comment>
    <comment authorId="0" ref="H1">
      <text>
        <t xml:space="preserve">Distinct participants with positive total score.</t>
      </text>
    </comment>
    <comment authorId="0" ref="I1">
      <text>
        <t xml:space="preserve">Mean cumulative score share by this day; named like token share for sheet compatibility.</t>
      </text>
    </comment>
    <comment authorId="0" ref="J1">
      <text>
        <t xml:space="preserve">Median cumulative score share by this day.</t>
      </text>
    </comment>
    <comment authorId="0" ref="K1">
      <text>
        <t xml:space="preserve">25th percentile cumulative score share by this day.</t>
      </text>
    </comment>
    <comment authorId="0" ref="L1">
      <text>
        <t xml:space="preserve">75th percentile cumulative score share by this day.</t>
      </text>
    </comment>
    <comment authorId="0" ref="M1">
      <text>
        <t xml:space="preserve">NULL for Kite; score path, no level tokens.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tier, merged to 0-9 / 10-19 / 20-39 / 40-99 / 100+.</t>
      </text>
    </comment>
    <comment authorId="0" ref="B1">
      <text>
        <t xml:space="preserve">NONPAYER / PAYER lifetime payer flag.</t>
      </text>
    </comment>
    <comment authorId="0" ref="C1">
      <text>
        <t xml:space="preserve">Segment sort key.</t>
      </text>
    </comment>
    <comment authorId="0" ref="D1">
      <text>
        <t xml:space="preserve">Distinct players contributing player-days to this segment and payer group.</t>
      </text>
    </comment>
    <comment authorId="0" ref="E1">
      <text>
        <t xml:space="preserve">Player-days with saga attempts in the measurement window.</t>
      </text>
    </comment>
    <comment authorId="0" ref="F1">
      <text>
        <t xml:space="preserve">Mean saga attempts per player-day.</t>
      </text>
    </comment>
    <comment authorId="0" ref="G1">
      <text>
        <t xml:space="preserve">Mean saga completed attempts per player-day.</t>
      </text>
    </comment>
    <comment authorId="0" ref="H1">
      <text>
        <t xml:space="preserve">Saga completions / saga attempts over the segment and payer group.</t>
      </text>
    </comment>
    <comment authorId="0" ref="I1">
      <text>
        <t xml:space="preserve">25th percentile of each player-day's longest same-day win streak.</t>
      </text>
    </comment>
    <comment authorId="0" ref="J1">
      <text>
        <t xml:space="preserve">Median of each player-day's longest same-day win streak.</t>
      </text>
    </comment>
    <comment authorId="0" ref="K1">
      <text>
        <t xml:space="preserve">75th percentile of each player-day's longest same-day win streak.</t>
      </text>
    </comment>
    <comment authorId="0" ref="L1">
      <text>
        <t xml:space="preserve">90th percentile of each player-day's longest same-day win streak.</t>
      </text>
    </comment>
    <comment authorId="0" ref="M1">
      <text>
        <t xml:space="preserve">Average length of completed same-day win-streak groups.</t>
      </text>
    </comment>
    <comment authorId="0" ref="N1">
      <text>
        <t xml:space="preserve">P(next same-day attempt is a win | previous same-day attempt was a win).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data_seg_beh; A.0 zero-completion days are excluded, so 0-9 represents B.1-9 only.</t>
      </text>
    </comment>
    <comment authorId="0" ref="B1">
      <text>
        <t xml:space="preserve">NONPAYER / PAYER lifetime payer flag from cumulative_money_spent &gt; 0, matching data_seg_beh.</t>
      </text>
    </comment>
    <comment authorId="0" ref="C1">
      <text>
        <t xml:space="preserve">One of HC, Slingshot, Shuffle, Comet, Red, Chuck, Bomb, UL Bomb, UL Chuck, UL Red, Unlimited Lives.</t>
      </text>
    </comment>
    <comment authorId="0" ref="D1">
      <text>
        <t xml:space="preserve">Total gained over the window divided by all unique active players in the segment/payer cohort.</t>
      </text>
    </comment>
    <comment authorId="0" ref="E1">
      <text>
        <t xml:space="preserve">Total spent/consumed over the window divided by all unique active players in the segment/payer cohort.</t>
      </text>
    </comment>
    <comment authorId="0" ref="F1">
      <text>
        <t xml:space="preserve">gain_per_active_player - spend_per_active_player.</t>
      </text>
    </comment>
    <comment authorId="0" ref="G1">
      <text>
        <t xml:space="preserve">Distinct players with gain &gt; 0 of this currency in this segment x payer tier; matches data_gains.resource_earners definition.</t>
      </text>
    </comment>
    <comment authorId="0" ref="H1">
      <text>
        <t xml:space="preserve">Total gained over the window divided by resource_earners.</t>
      </text>
    </comment>
    <comment authorId="0" ref="I1">
      <text>
        <t xml:space="preserve">Total spent/consumed over the window divided by resource_earners, using the gainer denominator rather than distinct spenders.</t>
      </text>
    </comment>
    <comment authorId="0" ref="J1">
      <text>
        <t xml:space="preserve">gain_per_earner - spend_per_earner.</t>
      </text>
    </comment>
    <comment authorId="0" ref="K1">
      <text>
        <t xml:space="preserve">25th percentile of per-player gain over all active players; non-gainers contribute 0.</t>
      </text>
    </comment>
    <comment authorId="0" ref="L1">
      <text>
        <t xml:space="preserve">Median per-player gain over all active players; non-gainers contribute 0.</t>
      </text>
    </comment>
    <comment authorId="0" ref="M1">
      <text>
        <t xml:space="preserve">75th percentile of per-player gain over all active players; non-gainers contribute 0.</t>
      </text>
    </comment>
    <comment authorId="0" ref="N1">
      <text>
        <t xml:space="preserve">90th percentile of per-player gain over all active players; non-gainers contribute 0.</t>
      </text>
    </comment>
    <comment authorId="0" ref="O1">
      <text>
        <t xml:space="preserve">25th percentile of per-player spend over all active players; non-spenders contribute 0.</t>
      </text>
    </comment>
    <comment authorId="0" ref="P1">
      <text>
        <t xml:space="preserve">Median per-player spend over all active players; non-spenders contribute 0.</t>
      </text>
    </comment>
    <comment authorId="0" ref="Q1">
      <text>
        <t xml:space="preserve">75th percentile of per-player spend over all active players; non-spenders contribute 0.</t>
      </text>
    </comment>
    <comment authorId="0" ref="R1">
      <text>
        <t xml:space="preserve">90th percentile of per-player spend over all active players; non-spenders contribute 0.</t>
      </text>
    </comment>
    <comment authorId="0" ref="S1">
      <text>
        <t xml:space="preserve">25th percentile of per-player net, computed as each player's gain minus spend first.</t>
      </text>
    </comment>
    <comment authorId="0" ref="T1">
      <text>
        <t xml:space="preserve">Median per-player net, computed as each player's gain minus spend first.</t>
      </text>
    </comment>
    <comment authorId="0" ref="U1">
      <text>
        <t xml:space="preserve">75th percentile of per-player net, computed as each player's gain minus spend first.</t>
      </text>
    </comment>
    <comment authorId="0" ref="V1">
      <text>
        <t xml:space="preserve">90th percentile of per-player net, computed as each player's gain minus spend first.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data_econ; A.0 zero-completion days are excluded, so 0-9 represents B.1-9 only.</t>
      </text>
    </comment>
    <comment authorId="0" ref="B1">
      <text>
        <t xml:space="preserve">NONPAYER / PAYER, based on cumulative money spent for active players in the window.</t>
      </text>
    </comment>
    <comment authorId="0" ref="C1">
      <text>
        <t xml:space="preserve">One of HC, Slingshot, Shuffle, Comet, Red, Chuck, Bomb, UL Bomb, UL Chuck, UL Red, Unlimited Lives.</t>
      </text>
    </comment>
    <comment authorId="0" ref="D1">
      <text>
        <t xml:space="preserve">Day index in the 33-day window; 1 = 2026-06-03.</t>
      </text>
    </comment>
    <comment authorId="0" ref="E1">
      <text>
        <t xml:space="preserve">Raw total of this currency gained on this day by the segment x payer cohort.</t>
      </text>
    </comment>
    <comment authorId="0" ref="F1">
      <text>
        <t xml:space="preserve">Raw total of this currency spent or consumed on this day by the segment x payer cohort.</t>
      </text>
    </comment>
    <comment authorId="0" ref="G1">
      <text>
        <t xml:space="preserve">Window-level distinct players with gain &gt; 0 for this segment x payer x currency; constant across days.</t>
      </text>
    </comment>
    <comment authorId="0" ref="H1">
      <text>
        <t xml:space="preserve">gain_total divided by the window-level resource_earners denominator.</t>
      </text>
    </comment>
    <comment authorId="0" ref="I1">
      <text>
        <t xml:space="preserve">spend_total divided by the window-level resource_earners denominator.</t>
      </text>
    </comment>
    <comment authorId="0" ref="J1">
      <text>
        <t xml:space="preserve">gain_per_earner_day - spend_per_earner_day.</t>
      </text>
    </comment>
  </commentList>
</comments>
</file>

<file path=xl/sharedStrings.xml><?xml version="1.0" encoding="utf-8"?>
<sst xmlns="http://schemas.openxmlformats.org/spreadsheetml/2006/main" count="35630" uniqueCount="2354">
  <si>
    <t>calendar</t>
  </si>
  <si>
    <t>Saga Progression - NEW</t>
  </si>
  <si>
    <t>Saga Progression - Variant LiveOps 2.0</t>
  </si>
  <si>
    <t>event</t>
  </si>
  <si>
    <t>start</t>
  </si>
  <si>
    <t>dur</t>
  </si>
  <si>
    <t>cal_curr</t>
  </si>
  <si>
    <t>Kite Festival</t>
  </si>
  <si>
    <t>Name</t>
  </si>
  <si>
    <t>Hatchling Hideaway</t>
  </si>
  <si>
    <t>Link to old</t>
  </si>
  <si>
    <t>Link to new</t>
  </si>
  <si>
    <t>Progress Pack</t>
  </si>
  <si>
    <t>Top Teams Leaderboard</t>
  </si>
  <si>
    <t>Rainbow Maker</t>
  </si>
  <si>
    <t>Team Event</t>
  </si>
  <si>
    <t>Team Race</t>
  </si>
  <si>
    <t>RR</t>
  </si>
  <si>
    <t>Chuck's Challenge</t>
  </si>
  <si>
    <t>0-9</t>
  </si>
  <si>
    <t>Level Race</t>
  </si>
  <si>
    <t>10-19</t>
  </si>
  <si>
    <t>20-39</t>
  </si>
  <si>
    <t>Jigsaw Puzzle</t>
  </si>
  <si>
    <t>40-99</t>
  </si>
  <si>
    <t>RR_v2</t>
  </si>
  <si>
    <t>100+</t>
  </si>
  <si>
    <t>Top Players Leaderboard</t>
  </si>
  <si>
    <t>all segs</t>
  </si>
  <si>
    <t>Bomb's Ballet Show</t>
  </si>
  <si>
    <t>Node</t>
  </si>
  <si>
    <t>Special Offer</t>
  </si>
  <si>
    <t>Levels Req</t>
  </si>
  <si>
    <t>RewardChestId</t>
  </si>
  <si>
    <t>HC Reward</t>
  </si>
  <si>
    <t>Season Offers</t>
  </si>
  <si>
    <t>NS</t>
  </si>
  <si>
    <t>Season Pass</t>
  </si>
  <si>
    <t>NS_v2</t>
  </si>
  <si>
    <t>👁</t>
  </si>
  <si>
    <t>Bomb's Challenge</t>
  </si>
  <si>
    <t>Red's Challenge</t>
  </si>
  <si>
    <t>Flash Race</t>
  </si>
  <si>
    <t>Original</t>
  </si>
  <si>
    <t>J</t>
  </si>
  <si>
    <t>Old Nerf</t>
  </si>
  <si>
    <t>SPT</t>
  </si>
  <si>
    <t>Red</t>
  </si>
  <si>
    <t>Chuck</t>
  </si>
  <si>
    <t>J_v2</t>
  </si>
  <si>
    <t>Bomb</t>
  </si>
  <si>
    <t>Flock Flurry</t>
  </si>
  <si>
    <t>Slingshot</t>
  </si>
  <si>
    <t>Shuffle</t>
  </si>
  <si>
    <t>Comet</t>
  </si>
  <si>
    <t>Unlimited Lives</t>
  </si>
  <si>
    <t>Unlimited Red</t>
  </si>
  <si>
    <t>Unlimited Chuck</t>
  </si>
  <si>
    <t>Unlimited Bomb</t>
  </si>
  <si>
    <t>Coin Val</t>
  </si>
  <si>
    <t>cur</t>
  </si>
  <si>
    <t>image</t>
  </si>
  <si>
    <t>TaD</t>
  </si>
  <si>
    <t>Target Day</t>
  </si>
  <si>
    <t>TaD_v2</t>
  </si>
  <si>
    <t>Night Sky</t>
  </si>
  <si>
    <t>c_day</t>
  </si>
  <si>
    <t>c_day_v2</t>
  </si>
  <si>
    <t>c_saga</t>
  </si>
  <si>
    <t>c_saga_v2</t>
  </si>
  <si>
    <t>cal_new</t>
  </si>
  <si>
    <t>F</t>
  </si>
  <si>
    <t>F_v2</t>
  </si>
  <si>
    <t>Photoshoot</t>
  </si>
  <si>
    <t>Ki</t>
  </si>
  <si>
    <t>Ki_v2</t>
  </si>
  <si>
    <t>Coins</t>
  </si>
  <si>
    <t>BB</t>
  </si>
  <si>
    <t>BB_v2</t>
  </si>
  <si>
    <t>Ph</t>
  </si>
  <si>
    <t>Ph_v2</t>
  </si>
  <si>
    <t>Race</t>
  </si>
  <si>
    <t>Race_v2</t>
  </si>
  <si>
    <t>HH</t>
  </si>
  <si>
    <t>HH_v2</t>
  </si>
  <si>
    <t>SP</t>
  </si>
  <si>
    <t>SP_v2</t>
  </si>
  <si>
    <t>SP_lb</t>
  </si>
  <si>
    <t>SP_lb_v2</t>
  </si>
  <si>
    <t>Raindbow Maker</t>
  </si>
  <si>
    <t>-</t>
  </si>
  <si>
    <t>RM_1st</t>
  </si>
  <si>
    <t>RM_2nd</t>
  </si>
  <si>
    <t>Total per cycle</t>
  </si>
  <si>
    <t>Daily Rewards - OLD</t>
  </si>
  <si>
    <t>HC per level</t>
  </si>
  <si>
    <t>Day</t>
  </si>
  <si>
    <t>Variant 1</t>
  </si>
  <si>
    <t>Daily Rewards - NEW</t>
  </si>
  <si>
    <t>Coin</t>
  </si>
  <si>
    <t>Avg HC/day (7d)</t>
  </si>
  <si>
    <t>Variant 2</t>
  </si>
  <si>
    <t>% of old</t>
  </si>
  <si>
    <t>Variant 3</t>
  </si>
  <si>
    <t>Variant 4</t>
  </si>
  <si>
    <t>Variant 5</t>
  </si>
  <si>
    <t>Config Panel</t>
  </si>
  <si>
    <t>Season Length (days)</t>
  </si>
  <si>
    <t>1st season half</t>
  </si>
  <si>
    <t>Normal</t>
  </si>
  <si>
    <t>Hard</t>
  </si>
  <si>
    <t>Extreme</t>
  </si>
  <si>
    <t>Normal (%)</t>
  </si>
  <si>
    <t>Hard (%)</t>
  </si>
  <si>
    <t>Extreme (%)</t>
  </si>
  <si>
    <t>Season Pass - Goals and Rewards</t>
  </si>
  <si>
    <t>Tier</t>
  </si>
  <si>
    <t>Free Track</t>
  </si>
  <si>
    <t>Paid Track</t>
  </si>
  <si>
    <t>Incr real</t>
  </si>
  <si>
    <t>Cumul</t>
  </si>
  <si>
    <t>SPT x2</t>
  </si>
  <si>
    <t>Avatar</t>
  </si>
  <si>
    <t>1-star Dly</t>
  </si>
  <si>
    <t>2-star Dly</t>
  </si>
  <si>
    <t>3-star Dly</t>
  </si>
  <si>
    <t>4-star Dly</t>
  </si>
  <si>
    <t>5-star Dly</t>
  </si>
  <si>
    <t>6-star Dly</t>
  </si>
  <si>
    <t>Total</t>
  </si>
  <si>
    <t>NA</t>
  </si>
  <si>
    <t>Season Pass Challenge</t>
  </si>
  <si>
    <t>Leaderboard Size</t>
  </si>
  <si>
    <t>Goals and Rewards</t>
  </si>
  <si>
    <t>Rank</t>
  </si>
  <si>
    <t>COOP Token</t>
  </si>
  <si>
    <t>Rank 1</t>
  </si>
  <si>
    <t>Rank 2</t>
  </si>
  <si>
    <t>Rank 3</t>
  </si>
  <si>
    <t>Rank 4</t>
  </si>
  <si>
    <t>Rank 5</t>
  </si>
  <si>
    <t>Rank 6</t>
  </si>
  <si>
    <t>Rank 7</t>
  </si>
  <si>
    <t>Rank 8</t>
  </si>
  <si>
    <t>Rank 9</t>
  </si>
  <si>
    <t>Rank 10</t>
  </si>
  <si>
    <t>Rank 11</t>
  </si>
  <si>
    <t>Rank 12</t>
  </si>
  <si>
    <t>Rank 13</t>
  </si>
  <si>
    <t>Rank 14</t>
  </si>
  <si>
    <t>Rank 15</t>
  </si>
  <si>
    <t>River Rush</t>
  </si>
  <si>
    <t>numberOfRounds</t>
  </si>
  <si>
    <t>groupSize</t>
  </si>
  <si>
    <t>cycleRounds</t>
  </si>
  <si>
    <t>loopbackPoint</t>
  </si>
  <si>
    <t>firstPeakLastRound</t>
  </si>
  <si>
    <t>Total levels</t>
  </si>
  <si>
    <t>Levels during loop</t>
  </si>
  <si>
    <t>Levels until 1st peak</t>
  </si>
  <si>
    <t>Round</t>
  </si>
  <si>
    <t>Place</t>
  </si>
  <si>
    <t>Level Req</t>
  </si>
  <si>
    <t>Level Req Cum</t>
  </si>
  <si>
    <t>1st</t>
  </si>
  <si>
    <t>2nd</t>
  </si>
  <si>
    <t>3rd</t>
  </si>
  <si>
    <t>4th</t>
  </si>
  <si>
    <t>5th</t>
  </si>
  <si>
    <t>EventDuration</t>
  </si>
  <si>
    <t>requiredPlayerLevel</t>
  </si>
  <si>
    <t>requiredSagaLevel</t>
  </si>
  <si>
    <t>tokenMultiplier</t>
  </si>
  <si>
    <t>scoreDoubler</t>
  </si>
  <si>
    <t>Milestone</t>
  </si>
  <si>
    <t>Cumul token req</t>
  </si>
  <si>
    <t>Player Reach Simulation (per event day) - SIMULATED</t>
  </si>
  <si>
    <t>Percentile</t>
  </si>
  <si>
    <t>p50</t>
  </si>
  <si>
    <t>Payer</t>
  </si>
  <si>
    <t>NONPAYER</t>
  </si>
  <si>
    <t>Day_of_event</t>
  </si>
  <si>
    <t>0-9_ms</t>
  </si>
  <si>
    <t>0-9_reward</t>
  </si>
  <si>
    <t>10-19_ms</t>
  </si>
  <si>
    <t>10-19_reward</t>
  </si>
  <si>
    <t>NormalLevelTokenReward</t>
  </si>
  <si>
    <t>20-39_ms</t>
  </si>
  <si>
    <t>20-39_reward</t>
  </si>
  <si>
    <t>40-99_ms</t>
  </si>
  <si>
    <t>HardLevelTokenReward</t>
  </si>
  <si>
    <t>40-99_reward</t>
  </si>
  <si>
    <t>100_ms</t>
  </si>
  <si>
    <t>ExtremeLevelTokenReward</t>
  </si>
  <si>
    <t>100_reward</t>
  </si>
  <si>
    <t>Gate number</t>
  </si>
  <si>
    <t>Gate 1</t>
  </si>
  <si>
    <t>Gate 2</t>
  </si>
  <si>
    <t>Gate 3</t>
  </si>
  <si>
    <t>Gate 4</t>
  </si>
  <si>
    <t>Gate 5</t>
  </si>
  <si>
    <t>Avg</t>
  </si>
  <si>
    <t>accuracy</t>
  </si>
  <si>
    <t>Gate</t>
  </si>
  <si>
    <t>Tiles</t>
  </si>
  <si>
    <t>Cum tokens req</t>
  </si>
  <si>
    <t>Bomb's Ballet</t>
  </si>
  <si>
    <t>EventDuration (days)</t>
  </si>
  <si>
    <t>tokensPerLevel</t>
  </si>
  <si>
    <t>spawnTokensOnlyOnFirstTry</t>
  </si>
  <si>
    <t>Reward level</t>
  </si>
  <si>
    <t>price</t>
  </si>
  <si>
    <t>Completion reward</t>
  </si>
  <si>
    <t>leagueGroupSize</t>
  </si>
  <si>
    <t>Event Duration (days)</t>
  </si>
  <si>
    <t>milestonesRequiredForLeaderboard</t>
  </si>
  <si>
    <t>scoreAddition</t>
  </si>
  <si>
    <t>assetBundle</t>
  </si>
  <si>
    <t>event-kite-festival</t>
  </si>
  <si>
    <t>configuration</t>
  </si>
  <si>
    <t>KiteFestival</t>
  </si>
  <si>
    <t>Score Per Win Streak Step (loss resets to step 1)</t>
  </si>
  <si>
    <t>Streak Step</t>
  </si>
  <si>
    <t>Score Awarded</t>
  </si>
  <si>
    <t>1</t>
  </si>
  <si>
    <t>2</t>
  </si>
  <si>
    <t>3</t>
  </si>
  <si>
    <t>4</t>
  </si>
  <si>
    <t>5</t>
  </si>
  <si>
    <t>6+</t>
  </si>
  <si>
    <t>Milestone Rewards</t>
  </si>
  <si>
    <t>Score Req</t>
  </si>
  <si>
    <t>Leaderboard Rewards (top 60 positions; only top 25 carry rewards)</t>
  </si>
  <si>
    <t>Position</t>
  </si>
  <si>
    <t>val</t>
  </si>
  <si>
    <t>Night Sky (5 Segment) - OLD</t>
  </si>
  <si>
    <t>numberOfSegments</t>
  </si>
  <si>
    <t>roundsPerSegment</t>
  </si>
  <si>
    <t>milestonesPerRound</t>
  </si>
  <si>
    <t>Path</t>
  </si>
  <si>
    <t>Streak Req</t>
  </si>
  <si>
    <t>Cum Streak Req</t>
  </si>
  <si>
    <t>HC per streak</t>
  </si>
  <si>
    <t>Coin Value</t>
  </si>
  <si>
    <t>Final</t>
  </si>
  <si>
    <t>Night Sky (5 Segment) - weekeDAY</t>
  </si>
  <si>
    <t>Night Sky (5 Segment) - weekend (⚠️ WARNING: This sheet no longe represents the NS_v2, it's the Weekend version of NS_v2 instead)</t>
  </si>
  <si>
    <t>Night Sky (5 Segment)</t>
  </si>
  <si>
    <t>lastTierUnlockRequirement</t>
  </si>
  <si>
    <t>manualRewardClaiming</t>
  </si>
  <si>
    <t>event-photoshoot-generic</t>
  </si>
  <si>
    <t>numberOfItems</t>
  </si>
  <si>
    <t>numberOfMilestoneTiers</t>
  </si>
  <si>
    <t>numberOfEndlessLanes</t>
  </si>
  <si>
    <t>endlessRewardsPerLane</t>
  </si>
  <si>
    <t>itemLevelUnlocks (per set)</t>
  </si>
  <si>
    <t>0, 1, 1, 1, 1, 1, 1, 1, 1, 1</t>
  </si>
  <si>
    <t>Streak Multipliers (first-try win streak → token earn multiplier)</t>
  </si>
  <si>
    <t>Token Multiplier</t>
  </si>
  <si>
    <t>1x</t>
  </si>
  <si>
    <t>2x</t>
  </si>
  <si>
    <t>4x</t>
  </si>
  <si>
    <t>6x</t>
  </si>
  <si>
    <t>10x</t>
  </si>
  <si>
    <t>Goals and Rewards (30 items × 10 milestone tiers)</t>
  </si>
  <si>
    <t>Item Id</t>
  </si>
  <si>
    <t>Set #</t>
  </si>
  <si>
    <t>Set Name</t>
  </si>
  <si>
    <t>Item name</t>
  </si>
  <si>
    <t>Items to unlock
set (from doc)</t>
  </si>
  <si>
    <t>itemPrices
(tokens)</t>
  </si>
  <si>
    <t>Items
Unlocked</t>
  </si>
  <si>
    <t>Red's Headgear</t>
  </si>
  <si>
    <t>Headgear 1</t>
  </si>
  <si>
    <t>Headgear 2</t>
  </si>
  <si>
    <t>Headgear 3</t>
  </si>
  <si>
    <t>Red's Body</t>
  </si>
  <si>
    <t>Body 1</t>
  </si>
  <si>
    <t>Body 2</t>
  </si>
  <si>
    <t>Player Reach Simulation (per event day) - SIMULATED - GREEDY (reward-item-first)</t>
  </si>
  <si>
    <t>Body 3</t>
  </si>
  <si>
    <t>Chuck's Headgear</t>
  </si>
  <si>
    <t>Bomb's Headgear</t>
  </si>
  <si>
    <t>Cum item price</t>
  </si>
  <si>
    <t>Greedy cum. cost</t>
  </si>
  <si>
    <t>Chuck's Body</t>
  </si>
  <si>
    <t>Bomb's Body</t>
  </si>
  <si>
    <t>Chuck's accessories</t>
  </si>
  <si>
    <t>Accessory 1</t>
  </si>
  <si>
    <t>Accessory 2</t>
  </si>
  <si>
    <t>Accessory 3</t>
  </si>
  <si>
    <t>Bomb's accessories</t>
  </si>
  <si>
    <t>Red's accessories</t>
  </si>
  <si>
    <t>Photo finishes</t>
  </si>
  <si>
    <t>Photo filter</t>
  </si>
  <si>
    <t>Particles</t>
  </si>
  <si>
    <t>Add Text</t>
  </si>
  <si>
    <t>Endless Rewards - Lane 1 (post-completion shop)</t>
  </si>
  <si>
    <t>Reward #</t>
  </si>
  <si>
    <t>Price
(tokens)</t>
  </si>
  <si>
    <t>Total Players</t>
  </si>
  <si>
    <t>Days</t>
  </si>
  <si>
    <t>Player level</t>
  </si>
  <si>
    <t>Level unlock</t>
  </si>
  <si>
    <t>Endless Rewards - Lane 2 (post-completion shop)</t>
  </si>
  <si>
    <t>Endless Rewards - Lane 3 (post-completion shop)</t>
  </si>
  <si>
    <t>Player Rank Simulation (measured rank percentile → ladder reward) - SIMULATED</t>
  </si>
  <si>
    <t>Event</t>
  </si>
  <si>
    <t>0-9_pos</t>
  </si>
  <si>
    <t>10-19_pos</t>
  </si>
  <si>
    <t>20-39_pos</t>
  </si>
  <si>
    <t>40-99_pos</t>
  </si>
  <si>
    <t>100_pos</t>
  </si>
  <si>
    <t>All LB Challenges</t>
  </si>
  <si>
    <t>Red's Challenge - Config Panel</t>
  </si>
  <si>
    <t>numberOfPositions</t>
  </si>
  <si>
    <t>LBSize</t>
  </si>
  <si>
    <t>Red's Challenge - Goals and Rewards</t>
  </si>
  <si>
    <t>Chunk's Challenge - Config Panel</t>
  </si>
  <si>
    <t>Chunk's Challenge - Goals and Rewards</t>
  </si>
  <si>
    <t>Bomb's Challenge - Config Panel</t>
  </si>
  <si>
    <t>Bomb's Challenge - Goals and Rewards</t>
  </si>
  <si>
    <t>Level Challenge - Config Panel</t>
  </si>
  <si>
    <t>Level Challenge - Goals and Rewards</t>
  </si>
  <si>
    <t>Flash Race - Config Panel</t>
  </si>
  <si>
    <t>Flash Race - Goals and Rewards</t>
  </si>
  <si>
    <t>p25 = top-quartile finisher (lower position = better); source: data_event_inst position percentiles, measured on the CURRENT calendar</t>
  </si>
  <si>
    <t>⚠ winner-take-all: only position 1 pays (20 SPT + 4 boosters); SPT is outside the 11-resource universe</t>
  </si>
  <si>
    <t>⚠ the 1h Unlimited Lives on opt-in is a JOIN grant, not a rank reward - not shown here (see flock-flurry.md)</t>
  </si>
  <si>
    <t>Red Challenge</t>
  </si>
  <si>
    <t>winStreakMultipliers</t>
  </si>
  <si>
    <t>1, 5, 10, 20, 100</t>
  </si>
  <si>
    <t>levelDifficultyMultiplier</t>
  </si>
  <si>
    <t>"normal": 1, "hard": 1, "extreme": 1</t>
  </si>
  <si>
    <t>desiredBotCounts</t>
  </si>
  <si>
    <t>"easy": 9, "medium": 6, "hard": 3, "extreme": 1</t>
  </si>
  <si>
    <t>Milestone Goals and Rewards</t>
  </si>
  <si>
    <t>Total score requirement</t>
  </si>
  <si>
    <t>Chuck Challenge</t>
  </si>
  <si>
    <t>Leaderboard Goals and Rewards</t>
  </si>
  <si>
    <t>LB#</t>
  </si>
  <si>
    <t>Bomb Challenge</t>
  </si>
  <si>
    <t>Target Day (LB)</t>
  </si>
  <si>
    <t>eventType</t>
  </si>
  <si>
    <t>LevelVersus</t>
  </si>
  <si>
    <t>rewardTiers</t>
  </si>
  <si>
    <t>contributionRewardTiers</t>
  </si>
  <si>
    <t>sendStartNotifications</t>
  </si>
  <si>
    <t>sendEndNotifications</t>
  </si>
  <si>
    <t>hoursBeforeEndNotification</t>
  </si>
  <si>
    <t>Total Coins (Leaderboard)</t>
  </si>
  <si>
    <t>Total Coins (Contribution)</t>
  </si>
  <si>
    <t>Tiers rewarded (Leaderboard)</t>
  </si>
  <si>
    <t>Team Leaderboard Rewards (final position out of leagueGroupSize teams)</t>
  </si>
  <si>
    <t>Contribution Rewards (top contributors within team)</t>
  </si>
  <si>
    <t>⚠ leaderboard track only - milestone ladder NOT simulated (all milestone reward cells are 0 in TaD/TaD_v2 config; deliberate scope cut)</t>
  </si>
  <si>
    <t>⚠ LB size 50 per config; measured avg_bots ≈ 0–1; positions 11–20 configured but pay nothing</t>
  </si>
  <si>
    <t>⚠ Level Race: observed positions exceed configured LBSize=10 (p75 up to 15) - live board size understated; ranks 11+ shown as below ladder</t>
  </si>
  <si>
    <t>⚠ Flash Race: telemetry shows ≈0 of the 11 tracked resources (event pays SPT) - ladder HC here is config-nominal, uncorroborated</t>
  </si>
  <si>
    <t>⚠ all five ladders are identical (family template) - authenticity vs live config unverified</t>
  </si>
  <si>
    <t>GREEDY model: buy each set's reward item (item 3) first + the cheapest fillers needed to unlock the set (col E thresholds). AX = cumulative tokens to COMPLETE the set. _ms = # sets (reward milestones) completed; _reward sums those sets' bonuses. Last-day leftover tokens buy non-reward items (no extra reward).</t>
  </si>
  <si>
    <t>Rainbow Maker - First Half of the Season</t>
  </si>
  <si>
    <t>p75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</si>
  <si>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</si>
  <si>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simplified: items bought sequentially in item-id order (choice ignored)</t>
  </si>
  <si>
    <t>Rainbow Maker - Second Half of the Season</t>
  </si>
  <si>
    <r>
      <rPr>
        <rFont val="Arial"/>
        <color rgb="FF000000"/>
      </rPr>
      <t xml:space="preserve">Share of Players who complete the whole RM: </t>
    </r>
    <r>
      <rPr>
        <rFont val="Arial"/>
        <b/>
        <color rgb="FF000000"/>
      </rPr>
      <t>0.325%</t>
    </r>
  </si>
  <si>
    <t>MILESTONE CONFIG 4 day</t>
  </si>
  <si>
    <t>Matchables Req</t>
  </si>
  <si>
    <t>Req Accum</t>
  </si>
  <si>
    <t>Chest</t>
  </si>
  <si>
    <t>levels req</t>
  </si>
  <si>
    <t>refresh nonce - bumped by refreshSims_ so ECOGAINS_* re-run. Do not delete this sheet.</t>
  </si>
  <si>
    <t>WEEKEND</t>
  </si>
  <si>
    <t>Wednesday</t>
  </si>
  <si>
    <t>Thursday</t>
  </si>
  <si>
    <t>Friday</t>
  </si>
  <si>
    <t>Saturday</t>
  </si>
  <si>
    <t>Sunday</t>
  </si>
  <si>
    <t>Monday</t>
  </si>
  <si>
    <t>Tuesday</t>
  </si>
  <si>
    <t>Jueves</t>
  </si>
  <si>
    <t>Chuck's
Flash Race</t>
  </si>
  <si>
    <t>Mystery Puzzle</t>
  </si>
  <si>
    <t>Summary Section</t>
  </si>
  <si>
    <t>Instances Count</t>
  </si>
  <si>
    <t>old</t>
  </si>
  <si>
    <t>new</t>
  </si>
  <si>
    <t>diff</t>
  </si>
  <si>
    <t>Summary of old vs new</t>
  </si>
  <si>
    <t>source</t>
  </si>
  <si>
    <t>instances</t>
  </si>
  <si>
    <t>event-days</t>
  </si>
  <si>
    <t>Ads</t>
  </si>
  <si>
    <t/>
  </si>
  <si>
    <t>+0%</t>
  </si>
  <si>
    <t>Core</t>
  </si>
  <si>
    <t>Daily Gift</t>
  </si>
  <si>
    <t>Daily Night Sky Prize</t>
  </si>
  <si>
    <t xml:space="preserve">Note: This is a spreadsheet that is supposed to simulate players' play-by-play experience on a specific day in the calendar. The main goal of this type of simulation is to show interactions between different combinations of events </t>
  </si>
  <si>
    <t>Day to Simulate</t>
  </si>
  <si>
    <t>Jigsaw</t>
  </si>
  <si>
    <t>Player Segment</t>
  </si>
  <si>
    <t>-50%</t>
  </si>
  <si>
    <t>Levels Played</t>
  </si>
  <si>
    <t>Inventory</t>
  </si>
  <si>
    <t>Source Gains</t>
  </si>
  <si>
    <t>Play #</t>
  </si>
  <si>
    <t>Level Index</t>
  </si>
  <si>
    <t>Win?</t>
  </si>
  <si>
    <t>Current Streak Size</t>
  </si>
  <si>
    <t>Other</t>
  </si>
  <si>
    <t>Spend</t>
  </si>
  <si>
    <t>Season Pass (Free)</t>
  </si>
  <si>
    <t>FlowerCoop</t>
  </si>
  <si>
    <t>IAPs</t>
  </si>
  <si>
    <t>YES</t>
  </si>
  <si>
    <t>{Coins: 100, Chuck: 1}</t>
  </si>
  <si>
    <t>Saga</t>
  </si>
  <si>
    <t>{}</t>
  </si>
  <si>
    <t>{Red: 1}</t>
  </si>
  <si>
    <t>TLE ACTIVE DAYS (shared)</t>
  </si>
  <si>
    <t>Source</t>
  </si>
  <si>
    <t>Active Days</t>
  </si>
  <si>
    <t>Notes</t>
  </si>
  <si>
    <t>Schedule</t>
  </si>
  <si>
    <t>Time-limited event</t>
  </si>
  <si>
    <t>1/0/0/0/1/0/0/0/1/0/0/0/1/0/0/0/1/0/0/0/1/0/0/0/1/0/0/0/1</t>
  </si>
  <si>
    <t>0/1/0/0/0/1/0/0/0/1/0/0/0/1/0/0/0/1/0/0/0/1/0/0/0/1/0/0/0</t>
  </si>
  <si>
    <t>0/0/1/0/0/0/1/0/0/0/1/0/0/0/1/0/0/0/1/0/0/0/1/0/0/0/1/0/0</t>
  </si>
  <si>
    <t>0/0/0/1/0/0/0/1/0/0/0/1/0/0/0/1/0/0/0/1/0/0/0/1/0/0/0/1/0</t>
  </si>
  <si>
    <t>Permanent (always 28)</t>
  </si>
  <si>
    <t>1/1/1/1/1/1/1/1/1/1/1/1/1/1/1/1/1/1/1/1/1/1/1/1/1/1/1/1/1</t>
  </si>
  <si>
    <t>Season Pass (Paid)</t>
  </si>
  <si>
    <t>Hatching Hideaway</t>
  </si>
  <si>
    <t>0/0/0/0/0/0/0/0/0/1/1/1/0/0/0/0/0/0/0/0/0/1/1/1/0/0/0/0/0</t>
  </si>
  <si>
    <t>0/0/0/0/0/0/1/1/1/0/0/0/0/0/0/0/0/0/1/1/1/0/0/0/0/0/0/0/0</t>
  </si>
  <si>
    <t>0/0/0/1/1/1/0/0/0/0/0/0/0/0/0/1/1/1/0/0/0/0/0/0/0/0/0/1/1</t>
  </si>
  <si>
    <t>Photoshop</t>
  </si>
  <si>
    <t>1/1/1/0/0/0/0/0/0/0/0/0/1/1/1/0/0/0/0/0/0/0/0/0/1/1/1/0/0</t>
  </si>
  <si>
    <t>0/0/0/0/0/0/0/1/1/1/1/1/1/1/0/0/0/0/0/0/0/1/1/1/1/1/1/1/0</t>
  </si>
  <si>
    <t>0/0/0/0/0/0/0/0/0/1/1/1/0/0/0/0/0/0/0/0/0/0/0/0/0/0/0/0/0</t>
  </si>
  <si>
    <t>1/1/1/1/1/1/1/0/0/0/0/0/0/0/1/1/1/1/1/1/1/0/0/0/0/0/0/0/1</t>
  </si>
  <si>
    <t>IAP</t>
  </si>
  <si>
    <t>0/1/0/1/0/1/0/1/0/1/0/1/0/1/0/1/0/1/0/1/0/1/0/1/0/1/0/1/0</t>
  </si>
  <si>
    <t>Daily</t>
  </si>
  <si>
    <t>PACKS</t>
  </si>
  <si>
    <t>Player Type</t>
  </si>
  <si>
    <t>1-star 28d</t>
  </si>
  <si>
    <t>2-star 28d</t>
  </si>
  <si>
    <t>3-star 28d</t>
  </si>
  <si>
    <t>4-star 28d</t>
  </si>
  <si>
    <t>5-star 28d</t>
  </si>
  <si>
    <t>6-star 28d</t>
  </si>
  <si>
    <t>Total 28d</t>
  </si>
  <si>
    <t>Casual (Free)</t>
  </si>
  <si>
    <t>SEASON BASICS</t>
  </si>
  <si>
    <t>Parameter</t>
  </si>
  <si>
    <t>Value</t>
  </si>
  <si>
    <t>Total Cards per Season</t>
  </si>
  <si>
    <t>used in the sim script</t>
  </si>
  <si>
    <t>Number of Sets</t>
  </si>
  <si>
    <t>Cards per Set</t>
  </si>
  <si>
    <t>Season Duration (days)</t>
  </si>
  <si>
    <t>Album Count (before loop)</t>
  </si>
  <si>
    <t>RARITY DEFINITIONS</t>
  </si>
  <si>
    <t>Rarity Tier</t>
  </si>
  <si>
    <t>Stars on Duplicate</t>
  </si>
  <si>
    <t>1★</t>
  </si>
  <si>
    <t>2★</t>
  </si>
  <si>
    <t>3★</t>
  </si>
  <si>
    <t>4★</t>
  </si>
  <si>
    <t>5★</t>
  </si>
  <si>
    <t>Gold</t>
  </si>
  <si>
    <t>PACK RARITY PROBABILITIES</t>
  </si>
  <si>
    <t>Pack Type</t>
  </si>
  <si>
    <t>Cards/Open</t>
  </si>
  <si>
    <t>Sum</t>
  </si>
  <si>
    <t>1-star Pack</t>
  </si>
  <si>
    <t>2-star Pack</t>
  </si>
  <si>
    <t>3-star Pack</t>
  </si>
  <si>
    <t>4-star Pack</t>
  </si>
  <si>
    <t>5-star Pack</t>
  </si>
  <si>
    <t>6-star Pack</t>
  </si>
  <si>
    <r>
      <rPr>
        <color rgb="FFFF0000"/>
      </rPr>
      <t xml:space="preserve">REMEMBER THE RULES OF 5-star and 6-star Cards (look here - </t>
    </r>
    <r>
      <rPr>
        <color rgb="FFFF0000"/>
        <u/>
      </rPr>
      <t>https://royalkingdom.com/en/collection)</t>
    </r>
  </si>
  <si>
    <t>PACK PITY CONFIG</t>
  </si>
  <si>
    <t>PityProbabilities</t>
  </si>
  <si>
    <t>PityForceHighestRarity</t>
  </si>
  <si>
    <t>Casual (Payer)</t>
  </si>
  <si>
    <t>[0]</t>
  </si>
  <si>
    <t>[0, 0.33, 0.66, 1.0]</t>
  </si>
  <si>
    <t>[0, 0.8, 0.8, 1.0]</t>
  </si>
  <si>
    <t>STAR CHEST COSTS &amp; REWARDS</t>
  </si>
  <si>
    <t>Chest Tier</t>
  </si>
  <si>
    <t>Cost (Stars)</t>
  </si>
  <si>
    <t>Reward Pack Type</t>
  </si>
  <si>
    <t>Bronze</t>
  </si>
  <si>
    <t>Silver</t>
  </si>
  <si>
    <t>SNAP POOL</t>
  </si>
  <si>
    <t>Rarity</t>
  </si>
  <si>
    <t>Qty Count</t>
  </si>
  <si>
    <t>Rewards</t>
  </si>
  <si>
    <t>SET REWARDS</t>
  </si>
  <si>
    <t xml:space="preserve"> TEMP REWARDS</t>
  </si>
  <si>
    <t>Set ID</t>
  </si>
  <si>
    <t>Set 2</t>
  </si>
  <si>
    <t>Set 3</t>
  </si>
  <si>
    <t>Set 4</t>
  </si>
  <si>
    <t>Set 5</t>
  </si>
  <si>
    <t>Set 6</t>
  </si>
  <si>
    <t>Set 7</t>
  </si>
  <si>
    <t>Set 8</t>
  </si>
  <si>
    <t>ALBUM REWARDS</t>
  </si>
  <si>
    <t>Album ID</t>
  </si>
  <si>
    <t>Album 2</t>
  </si>
  <si>
    <t>Album 3</t>
  </si>
  <si>
    <t>Mid-Core (Free)</t>
  </si>
  <si>
    <t>Mid-Core (Payer)</t>
  </si>
  <si>
    <t>CARD CATALOG</t>
  </si>
  <si>
    <t>Params</t>
  </si>
  <si>
    <t>Pooool</t>
  </si>
  <si>
    <t>Poool after</t>
  </si>
  <si>
    <t>Card ID</t>
  </si>
  <si>
    <t>Card Name</t>
  </si>
  <si>
    <t>Card</t>
  </si>
  <si>
    <t>Weight</t>
  </si>
  <si>
    <t>Count</t>
  </si>
  <si>
    <t>% Probability</t>
  </si>
  <si>
    <t>Result</t>
  </si>
  <si>
    <t>CARD_01_s1</t>
  </si>
  <si>
    <t>Skull Isle - Compass</t>
  </si>
  <si>
    <t>Skull Isle</t>
  </si>
  <si>
    <t>Hardcore (Free)</t>
  </si>
  <si>
    <t>number of opens:</t>
  </si>
  <si>
    <t>CARD_02_s1</t>
  </si>
  <si>
    <t>Skull Isle - Map</t>
  </si>
  <si>
    <t>Skull Isle - Compass 1★ #9F5</t>
  </si>
  <si>
    <t>CARD_03_s1</t>
  </si>
  <si>
    <t>Skull Isle - Spyglass</t>
  </si>
  <si>
    <t>Skull Isle - Compass 1★ #4AA</t>
  </si>
  <si>
    <t>count:</t>
  </si>
  <si>
    <t>CARD_04_s1</t>
  </si>
  <si>
    <t>Skull Isle - Anchor</t>
  </si>
  <si>
    <t>Skull Isle - Compass 1★ #F5F</t>
  </si>
  <si>
    <t>CARD_05_s1</t>
  </si>
  <si>
    <t>Skull Isle - Helm</t>
  </si>
  <si>
    <t>Skull Isle - Compass 1★ #A14</t>
  </si>
  <si>
    <t>CARD_06_s1</t>
  </si>
  <si>
    <t>Skull Isle - Cutlass</t>
  </si>
  <si>
    <t>Skull Isle - Compass 1★ #4C9</t>
  </si>
  <si>
    <t>CARD_07_s1</t>
  </si>
  <si>
    <t>Skull Isle - Parrot</t>
  </si>
  <si>
    <t>Skull Isle - Compass 1★ #F7E</t>
  </si>
  <si>
    <t>CARD_08_s1</t>
  </si>
  <si>
    <t>Skull Isle - Chest</t>
  </si>
  <si>
    <t>Hardcore (Payer)</t>
  </si>
  <si>
    <t>Skull Isle - Compass 1★ #A33</t>
  </si>
  <si>
    <t>CARD_09_s1</t>
  </si>
  <si>
    <t>Skull Isle - Skull</t>
  </si>
  <si>
    <t>Skull Isle - Compass 1★ #4E8</t>
  </si>
  <si>
    <t>actual %</t>
  </si>
  <si>
    <t>CARD_10_s2</t>
  </si>
  <si>
    <t>Kraken Lair - Tentacle</t>
  </si>
  <si>
    <t>Kraken Lair</t>
  </si>
  <si>
    <t>Skull Isle - Compass 1★ #F9D</t>
  </si>
  <si>
    <t>CARD_11_s2</t>
  </si>
  <si>
    <t>Kraken Lair - Ink Cloud</t>
  </si>
  <si>
    <t>Skull Isle - Map 1★ #A52</t>
  </si>
  <si>
    <t>CARD_12_s2</t>
  </si>
  <si>
    <t>Kraken Lair - Pearl</t>
  </si>
  <si>
    <t>Skull Isle - Map 1★ #507</t>
  </si>
  <si>
    <t>CARD_13_s2</t>
  </si>
  <si>
    <t>Kraken Lair - Trident</t>
  </si>
  <si>
    <t>Skull Isle - Map 1★ #FBC</t>
  </si>
  <si>
    <t>CARD_14_s2</t>
  </si>
  <si>
    <t>Kraken Lair - Shell</t>
  </si>
  <si>
    <t>Skull Isle - Map 1★ #A71</t>
  </si>
  <si>
    <t>CARD_15_s2</t>
  </si>
  <si>
    <t>Kraken Lair - Coral</t>
  </si>
  <si>
    <t>Skull Isle - Map 1★ #526</t>
  </si>
  <si>
    <t>CARD POOL</t>
  </si>
  <si>
    <t>CARD_16_s2</t>
  </si>
  <si>
    <t>Kraken Lair - Lantern</t>
  </si>
  <si>
    <t>Skull Isle - Map 1★ #FDB</t>
  </si>
  <si>
    <t>★ gained</t>
  </si>
  <si>
    <t>Unique Count</t>
  </si>
  <si>
    <t>% prob</t>
  </si>
  <si>
    <t>CARD_17_s2</t>
  </si>
  <si>
    <t>Kraken Lair - Hook</t>
  </si>
  <si>
    <t>Skull Isle - Map 1★ #A90</t>
  </si>
  <si>
    <t>CARD_18_s2</t>
  </si>
  <si>
    <t>Kraken Lair - Eyepatch</t>
  </si>
  <si>
    <t>Skull Isle - Map 1★ #545</t>
  </si>
  <si>
    <t>How do you deal with real probabilities of the pool vs set probabilities in the Packs</t>
  </si>
  <si>
    <t>CARD_19_s3</t>
  </si>
  <si>
    <t>Gold Cove - Doubloon</t>
  </si>
  <si>
    <t>Gold Cove</t>
  </si>
  <si>
    <t>Skull Isle - Map 1★ #FFA</t>
  </si>
  <si>
    <t>Unique Cards</t>
  </si>
  <si>
    <t>count</t>
  </si>
  <si>
    <t>CARD_20_s3</t>
  </si>
  <si>
    <t>Gold Cove - Ruby</t>
  </si>
  <si>
    <t>I think, since each packs just assigns it's own probability we treat it like a weight (similar as we do in this sim)</t>
  </si>
  <si>
    <t>Skull Isle - Map 1★ #AAF</t>
  </si>
  <si>
    <t>And then apply this weight for each occurance of the Card of that Star and roll on that total pool</t>
  </si>
  <si>
    <t>CARD_21_s3</t>
  </si>
  <si>
    <t>Gold Cove - Emerald</t>
  </si>
  <si>
    <t>Skull Isle - Spyglass 1★ #564</t>
  </si>
  <si>
    <t>CARD_22_s3</t>
  </si>
  <si>
    <t>Gold Cove - Diamond</t>
  </si>
  <si>
    <t>Skull Isle - Spyglass 1★ #019</t>
  </si>
  <si>
    <t>Simulated Result</t>
  </si>
  <si>
    <t>number of cards (from opens):</t>
  </si>
  <si>
    <t>Starting Pool</t>
  </si>
  <si>
    <t>CARD_23_s3</t>
  </si>
  <si>
    <t>Gold Cove - Crown</t>
  </si>
  <si>
    <t>Skull Isle - Spyglass 1★ #ACE</t>
  </si>
  <si>
    <t>Cards Player Got</t>
  </si>
  <si>
    <t>Summary</t>
  </si>
  <si>
    <t>CARD_24_s3</t>
  </si>
  <si>
    <t>Gold Cove - Goblet</t>
  </si>
  <si>
    <t>Skull Isle - Spyglass 1★ #583</t>
  </si>
  <si>
    <t>CARD_25_s3</t>
  </si>
  <si>
    <t>Gold Cove - Necklace</t>
  </si>
  <si>
    <t>Skull Isle - Spyglass 1★ #038</t>
  </si>
  <si>
    <t>CARD_26_s3</t>
  </si>
  <si>
    <t>Gold Cove - Ring</t>
  </si>
  <si>
    <t>Skull Isle - Spyglass 1★ #AED</t>
  </si>
  <si>
    <t>CARD_27_s3</t>
  </si>
  <si>
    <t>Gold Cove - Scepter</t>
  </si>
  <si>
    <t>Skull Isle - Spyglass 1★ #5A2</t>
  </si>
  <si>
    <t>CARD_28_s4</t>
  </si>
  <si>
    <t>Ghost Ship - Fog Horn</t>
  </si>
  <si>
    <t>Ghost Ship</t>
  </si>
  <si>
    <t>Skull Isle - Spyglass 1★ #057</t>
  </si>
  <si>
    <t>CARD_29_s4</t>
  </si>
  <si>
    <t>Ghost Ship - Sail</t>
  </si>
  <si>
    <t>Skull Isle - Spyglass 1★ #B0C</t>
  </si>
  <si>
    <t>CARD_30_s4</t>
  </si>
  <si>
    <t>Ghost Ship - Ghost Lamp</t>
  </si>
  <si>
    <t>Skull Isle - Spyglass 1★ #5C1</t>
  </si>
  <si>
    <t>CARD_31_s4</t>
  </si>
  <si>
    <t>Ghost Ship - Key</t>
  </si>
  <si>
    <t>Skull Isle - Anchor 1★ #076</t>
  </si>
  <si>
    <t>CARD_32_s4</t>
  </si>
  <si>
    <t>Ghost Ship - Plank</t>
  </si>
  <si>
    <t>Skull Isle - Anchor 1★ #B2B</t>
  </si>
  <si>
    <t>CARD_33_s4</t>
  </si>
  <si>
    <t>Ghost Ship - Nest</t>
  </si>
  <si>
    <t>Skull Isle - Anchor 1★ #5E0</t>
  </si>
  <si>
    <t>CARD_34_s4</t>
  </si>
  <si>
    <t>Ghost Ship - Flag</t>
  </si>
  <si>
    <t>Skull Isle - Anchor 1★ #095</t>
  </si>
  <si>
    <t>CARD_35_s4</t>
  </si>
  <si>
    <t>Ghost Ship - Chain</t>
  </si>
  <si>
    <t>Skull Isle - Anchor 1★ #B4A</t>
  </si>
  <si>
    <t>CARD_36_s4</t>
  </si>
  <si>
    <t>Ghost Ship - Log</t>
  </si>
  <si>
    <t>Skull Isle - Helm 2★ #5FF</t>
  </si>
  <si>
    <t>CARD_37_s5</t>
  </si>
  <si>
    <t>Storm Port - Lightning</t>
  </si>
  <si>
    <t>Storm Port</t>
  </si>
  <si>
    <t>Skull Isle - Helm 2★ #0B4</t>
  </si>
  <si>
    <t>CARD_38_s5</t>
  </si>
  <si>
    <t>Storm Port - Barrel</t>
  </si>
  <si>
    <t>Skull Isle - Helm 2★ #B69</t>
  </si>
  <si>
    <t>CARD_39_s5</t>
  </si>
  <si>
    <t>Storm Port - Rope</t>
  </si>
  <si>
    <t>Skull Isle - Helm 2★ #61E</t>
  </si>
  <si>
    <t>CARD_40_s5</t>
  </si>
  <si>
    <t>Storm Port - Cleat</t>
  </si>
  <si>
    <t>Skull Isle - Helm 2★ #0D3</t>
  </si>
  <si>
    <t>CARD_41_s5</t>
  </si>
  <si>
    <t>Storm Port - Flare</t>
  </si>
  <si>
    <t>Skull Isle - Cutlass 2★ #B88</t>
  </si>
  <si>
    <t>CARD_42_s5</t>
  </si>
  <si>
    <t>Storm Port - Bucket</t>
  </si>
  <si>
    <t>Skull Isle - Cutlass 2★ #63D</t>
  </si>
  <si>
    <t>CARD_43_s5</t>
  </si>
  <si>
    <t>Storm Port - Windmill</t>
  </si>
  <si>
    <t>Skull Isle - Cutlass 2★ #0F2</t>
  </si>
  <si>
    <t>CARD_44_s5</t>
  </si>
  <si>
    <t>Storm Port - Lighthouse</t>
  </si>
  <si>
    <t>Skull Isle - Cutlass 2★ #BA7</t>
  </si>
  <si>
    <t>CARD_45_s5</t>
  </si>
  <si>
    <t>Storm Port - Drum</t>
  </si>
  <si>
    <t>Skull Isle - Cutlass 2★ #65C</t>
  </si>
  <si>
    <t>CARD_46_s6</t>
  </si>
  <si>
    <t>Cannon Fort - Cannonball</t>
  </si>
  <si>
    <t>Cannon Fort</t>
  </si>
  <si>
    <t>Skull Isle - Parrot 2★ #111</t>
  </si>
  <si>
    <t>CARD_47_s6</t>
  </si>
  <si>
    <t>Cannon Fort - Powder</t>
  </si>
  <si>
    <t>Skull Isle - Parrot 2★ #BC6</t>
  </si>
  <si>
    <t>CARD_48_s6</t>
  </si>
  <si>
    <t>Cannon Fort - Fuse</t>
  </si>
  <si>
    <t>Skull Isle - Chest 3★ #67B</t>
  </si>
  <si>
    <t>CARD_49_s6</t>
  </si>
  <si>
    <t>Cannon Fort - Ramrod</t>
  </si>
  <si>
    <t>Skull Isle - Chest 3★ #130</t>
  </si>
  <si>
    <t>CARD_50_s6</t>
  </si>
  <si>
    <t>Cannon Fort - War Flag</t>
  </si>
  <si>
    <t>Skull Isle - Skull 3★ #BE5</t>
  </si>
  <si>
    <t>CARD_51_s6</t>
  </si>
  <si>
    <t>Cannon Fort - Tower</t>
  </si>
  <si>
    <t>CARD_52_s6</t>
  </si>
  <si>
    <t>Cannon Fort - Bridge</t>
  </si>
  <si>
    <t>CARD_53_s6</t>
  </si>
  <si>
    <t>Cannon Fort - Catapult</t>
  </si>
  <si>
    <t>CARD_54_s6</t>
  </si>
  <si>
    <t>Cannon Fort - Horn</t>
  </si>
  <si>
    <t>CARD_55_s7</t>
  </si>
  <si>
    <t>Siren Reef - Harp</t>
  </si>
  <si>
    <t>Siren Reef</t>
  </si>
  <si>
    <t>CARD_56_s7</t>
  </si>
  <si>
    <t>Siren Reef - Mirror</t>
  </si>
  <si>
    <t>CARD_57_s7</t>
  </si>
  <si>
    <t>Siren Reef - Comb</t>
  </si>
  <si>
    <t>CARD_58_s7</t>
  </si>
  <si>
    <t>Siren Reef - Witch</t>
  </si>
  <si>
    <t>CARD_59_s7</t>
  </si>
  <si>
    <t>Siren Reef - Starfish</t>
  </si>
  <si>
    <t>CARD_60_s7</t>
  </si>
  <si>
    <t>Siren Reef - Moonstone</t>
  </si>
  <si>
    <t>CARD_61_s7</t>
  </si>
  <si>
    <t>Siren Reef - Wave</t>
  </si>
  <si>
    <t>CARD_62_s7</t>
  </si>
  <si>
    <t>Siren Reef - Driftwood</t>
  </si>
  <si>
    <t>CARD_63_s7</t>
  </si>
  <si>
    <t>Siren Reef - Conch</t>
  </si>
  <si>
    <t>CARD_64_s8</t>
  </si>
  <si>
    <t>Dead Man Bay - Pistol</t>
  </si>
  <si>
    <t>Dead Man Bay</t>
  </si>
  <si>
    <t>CARD_65_s8</t>
  </si>
  <si>
    <t>Dead Man Bay - Rum</t>
  </si>
  <si>
    <t>CARD_66_s8</t>
  </si>
  <si>
    <t>Dead Man Bay - Treasure Map</t>
  </si>
  <si>
    <t>CARD_67_s8</t>
  </si>
  <si>
    <t>Dead Man Bay - Jolly Roger</t>
  </si>
  <si>
    <t>CARD_68_s8</t>
  </si>
  <si>
    <t>Dead Man Bay - Gold Tooth</t>
  </si>
  <si>
    <t>experienced %</t>
  </si>
  <si>
    <t>CARD_69_s8</t>
  </si>
  <si>
    <t>Dead Man Bay - Dagger</t>
  </si>
  <si>
    <t>CARD_70_s8</t>
  </si>
  <si>
    <t>Dead Man Bay - Bandana</t>
  </si>
  <si>
    <t>CARD_71_s8</t>
  </si>
  <si>
    <t>Dead Man Bay - Boots</t>
  </si>
  <si>
    <t>CARD_72_s8</t>
  </si>
  <si>
    <t>Dead Man Bay - Beard</t>
  </si>
  <si>
    <t>SET DETAIL VIEWS</t>
  </si>
  <si>
    <t>Skull Isle (Set 1)</t>
  </si>
  <si>
    <t>Skull Isle - Compass 1★ #A52</t>
  </si>
  <si>
    <t>ENGAGEMENT GROUPS</t>
  </si>
  <si>
    <t>Group Name</t>
  </si>
  <si>
    <t>Skull Isle - Compass 1★ #507</t>
  </si>
  <si>
    <t>Payer?</t>
  </si>
  <si>
    <t>Min Levels/day</t>
  </si>
  <si>
    <t>Max Levels/day</t>
  </si>
  <si>
    <t>Rep. Levels</t>
  </si>
  <si>
    <t>Attendance Days</t>
  </si>
  <si>
    <t>Weekday preference weights</t>
  </si>
  <si>
    <t>No</t>
  </si>
  <si>
    <t>30</t>
  </si>
  <si>
    <t>2/2/2/10/10/25/25</t>
  </si>
  <si>
    <t>Yes</t>
  </si>
  <si>
    <t>300</t>
  </si>
  <si>
    <t>Kraken Lair (Set 2)</t>
  </si>
  <si>
    <t>STAR CHEST PURCHASING BEHAVIOR</t>
  </si>
  <si>
    <t>Description</t>
  </si>
  <si>
    <t>Skull Isle - Compass 1★ #FBC</t>
  </si>
  <si>
    <t>Min Stars to Consider Buying</t>
  </si>
  <si>
    <t>Will not purchase below this star balance</t>
  </si>
  <si>
    <t>Urgency Start Day</t>
  </si>
  <si>
    <t>Before this day, buy probability is 0%</t>
  </si>
  <si>
    <t>End-of-Season Buy Probability</t>
  </si>
  <si>
    <t>Probability of buying on Day 28; ramps from 0% at Start Day</t>
  </si>
  <si>
    <t>ATTENDANCE</t>
  </si>
  <si>
    <t>Attendance Array (lvl played)</t>
  </si>
  <si>
    <t>New Matchables Req</t>
  </si>
  <si>
    <t>New Req Accum</t>
  </si>
  <si>
    <t>New Levels Req</t>
  </si>
  <si>
    <t>Skull Isle - Compass 1★ #A71</t>
  </si>
  <si>
    <t>Gold Cove (Set 3)</t>
  </si>
  <si>
    <t>Segment 1 Power</t>
  </si>
  <si>
    <t>Bend Milestone</t>
  </si>
  <si>
    <t>Segment 2 Power</t>
  </si>
  <si>
    <t>Bend Target Req</t>
  </si>
  <si>
    <t>Step 1 Multiplier</t>
  </si>
  <si>
    <t>Final Target Req</t>
  </si>
  <si>
    <t>Step 2 Multiplier</t>
  </si>
  <si>
    <t>Step 3 Multiplier</t>
  </si>
  <si>
    <t>Segment 1 Multiplier</t>
  </si>
  <si>
    <t>Ghost Ship (Set 4)</t>
  </si>
  <si>
    <t>28-DAY SIMULATION SUMMARY (Monte Carlo)</t>
  </si>
  <si>
    <t>KPI</t>
  </si>
  <si>
    <t>Matchables per Level</t>
  </si>
  <si>
    <t>Segment 2 Multiplier</t>
  </si>
  <si>
    <t>Total Packs Opened</t>
  </si>
  <si>
    <t>Total Cards Drawn</t>
  </si>
  <si>
    <t>Unique Cards Collected</t>
  </si>
  <si>
    <t>Duplicate Cards Drawn</t>
  </si>
  <si>
    <t>Stars Earned (duplicates)</t>
  </si>
  <si>
    <t>Stars Spent (chests)</t>
  </si>
  <si>
    <t>Star Balance (end)</t>
  </si>
  <si>
    <t>Bronze Chests Purchased</t>
  </si>
  <si>
    <t>Skull Isle - Map 1★ #564</t>
  </si>
  <si>
    <t>Silver Chests Purchased</t>
  </si>
  <si>
    <t>Gold Chests Purchased</t>
  </si>
  <si>
    <t>Sets Completed (of 8)</t>
  </si>
  <si>
    <t>Dream Album Completed?</t>
  </si>
  <si>
    <t>Day of Dream Album Completion</t>
  </si>
  <si>
    <t>Grand Album Completed?</t>
  </si>
  <si>
    <t>Day of Grand Album Completion</t>
  </si>
  <si>
    <t>Superior Album Completed?</t>
  </si>
  <si>
    <t>Cards Missing (end)</t>
  </si>
  <si>
    <t>Final Collection %</t>
  </si>
  <si>
    <t>SET COMPLETION TRACKER</t>
  </si>
  <si>
    <t>Set</t>
  </si>
  <si>
    <t>Skull Isle - Map 1★ #019</t>
  </si>
  <si>
    <t>Skull Isle - Day Completed</t>
  </si>
  <si>
    <t>Skull Isle - Cards (X/9)</t>
  </si>
  <si>
    <t>Kraken Lair - Day Completed</t>
  </si>
  <si>
    <t>Storm Port (Set 5)</t>
  </si>
  <si>
    <t>Kraken Lair - Cards (X/9)</t>
  </si>
  <si>
    <t>Gold Cove - Day Completed</t>
  </si>
  <si>
    <t>Gold Cove - Cards (X/9)</t>
  </si>
  <si>
    <t>Ghost Ship - Day Completed</t>
  </si>
  <si>
    <t>Ghost Ship - Cards (X/9)</t>
  </si>
  <si>
    <t>Storm Port - Day Completed</t>
  </si>
  <si>
    <t>Storm Port - Cards (X/9)</t>
  </si>
  <si>
    <t>Cannon Fort - Day Completed</t>
  </si>
  <si>
    <t>Cannon Fort - Cards (X/9)</t>
  </si>
  <si>
    <t>Siren Reef - Day Completed</t>
  </si>
  <si>
    <t>Siren Reef - Cards (X/9)</t>
  </si>
  <si>
    <t>Skull Isle - Map 1★ #ACE</t>
  </si>
  <si>
    <t>Dead Man Bay - Day Completed</t>
  </si>
  <si>
    <t>Dead Man Bay - Cards (X/9)</t>
  </si>
  <si>
    <t>ALBUM TIER TRACKER</t>
  </si>
  <si>
    <t>Dream Album - Day Reached</t>
  </si>
  <si>
    <t>Dream Album - Total Cards Drawn</t>
  </si>
  <si>
    <t>Grand Album - Day Reached</t>
  </si>
  <si>
    <t>Grand Album - Total Cards Drawn</t>
  </si>
  <si>
    <t>Superior Album - Day Reached</t>
  </si>
  <si>
    <t>Superior Album - Total Cards Drawn</t>
  </si>
  <si>
    <t>Skull Isle - Map 1★ #583</t>
  </si>
  <si>
    <t>All cells populated by Monte Carlo simulation (Apps Script).</t>
  </si>
  <si>
    <t>Skull Isle - Map 1★ #038</t>
  </si>
  <si>
    <t>Cannon Fort (Set 6)</t>
  </si>
  <si>
    <t>Skull Isle - Map 1★ #AED</t>
  </si>
  <si>
    <t>Skull Isle - Map 1★ #5A2</t>
  </si>
  <si>
    <t>Skull Isle - Map 1★ #057</t>
  </si>
  <si>
    <t>Siren Reef (Set 7)</t>
  </si>
  <si>
    <t>INDIVIDUAL SIMULATION LOG</t>
  </si>
  <si>
    <t>Selected Group:</t>
  </si>
  <si>
    <t>Sim Seed:</t>
  </si>
  <si>
    <t>RUNNING TOTALS (per day)</t>
  </si>
  <si>
    <t>Star Balance</t>
  </si>
  <si>
    <t>% Complete</t>
  </si>
  <si>
    <t>Sets Done</t>
  </si>
  <si>
    <t>Album Tier</t>
  </si>
  <si>
    <t>Skull Isle - Spyglass 1★ #076</t>
  </si>
  <si>
    <t>Dead Man Bay (Set 8)</t>
  </si>
  <si>
    <t>Skull Isle - Spyglass 1★ #B2B</t>
  </si>
  <si>
    <t>Skull Isle - Spyglass 1★ #5E0</t>
  </si>
  <si>
    <t>SIMULATION TALLY</t>
  </si>
  <si>
    <t>Metric</t>
  </si>
  <si>
    <t>Skull Isle - Spyglass 1★ #095</t>
  </si>
  <si>
    <t>Duplicate Cards</t>
  </si>
  <si>
    <t>Stars Earned</t>
  </si>
  <si>
    <t>Stars Spent on Chests</t>
  </si>
  <si>
    <t>Final Star Balance</t>
  </si>
  <si>
    <t>Sets Completed</t>
  </si>
  <si>
    <t>Album Tier Reached</t>
  </si>
  <si>
    <t>Day Album Completed</t>
  </si>
  <si>
    <t>COUNTA IS BEING A BITCH, VALUE UNDER THIS SHOULDN'T BE ANYTHING EXCEPT FOR 0</t>
  </si>
  <si>
    <t>DAY-BY-DAY PACK LOG (OUTPUT)</t>
  </si>
  <si>
    <t>SET COMPOSITION SUMMARY</t>
  </si>
  <si>
    <t>PACKS RESULT</t>
  </si>
  <si>
    <t>Skull Isle - Spyglass 1★ #B4A</t>
  </si>
  <si>
    <t>Pack</t>
  </si>
  <si>
    <t>Album</t>
  </si>
  <si>
    <t>Cards Drawn</t>
  </si>
  <si>
    <t>New</t>
  </si>
  <si>
    <t>Dupes</t>
  </si>
  <si>
    <t>Album #1</t>
  </si>
  <si>
    <t>6★</t>
  </si>
  <si>
    <t>album1</t>
  </si>
  <si>
    <t>album2</t>
  </si>
  <si>
    <t>album3</t>
  </si>
  <si>
    <t>(nothing)</t>
  </si>
  <si>
    <t>Main</t>
  </si>
  <si>
    <t>Set #1</t>
  </si>
  <si>
    <t>Set #2</t>
  </si>
  <si>
    <t>Set #3</t>
  </si>
  <si>
    <t>Skull Isle - Spyglass 1★ #5FF</t>
  </si>
  <si>
    <t>Skull Isle - Spyglass 1★ #0B4</t>
  </si>
  <si>
    <t>rough</t>
  </si>
  <si>
    <t>pack ★</t>
  </si>
  <si>
    <t>$</t>
  </si>
  <si>
    <t>Skull Isle - Spyglass 1★ #B69</t>
  </si>
  <si>
    <t>Set #4</t>
  </si>
  <si>
    <t>Set #5</t>
  </si>
  <si>
    <t>Set #6</t>
  </si>
  <si>
    <t>Kraken Lair - Shell 2★, Skull Isle - Compass 1★</t>
  </si>
  <si>
    <t>Skull Isle - Helm 2★, Gold Cove - Scepter 5★, Cannon Fort - Tower 4★, Kraken Lair - Trident 1★</t>
  </si>
  <si>
    <t>Kraken Lair - Coral 2★, Cannon Fort - Ramrod 2★, Storm Port - Barrel 1★, Siren Reef - Driftwood 5★, Cannon Fort - Powder 1★</t>
  </si>
  <si>
    <t>Skull Isle - Spyglass 1★ #61E</t>
  </si>
  <si>
    <t>Dead Man Bay - Pistol 1★, Skull Isle - Anchor 1★, Ghost Ship - Sail 1★, Kraken Lair - Pearl 1★, Skull Isle - Anchor 1★</t>
  </si>
  <si>
    <t>Dead Man Bay - Pistol 1★, Skull Isle - Anchor 1★, Ghost Ship - Sail 1★, Kraken Lair - Pearl 1★</t>
  </si>
  <si>
    <t>Skull Isle - Anchor 1★</t>
  </si>
  <si>
    <t>Skull Isle - Helm 2★, Skull Isle - Map 1★, Storm Port - Lightning 1★, Kraken Lair - Lantern 3★, Gold Cove - Doubloon 1★, Kraken Lair - Ink Cloud 1★</t>
  </si>
  <si>
    <t>Skull Isle - Map 1★, Storm Port - Lightning 1★, Kraken Lair - Lantern 3★, Gold Cove - Doubloon 1★, Kraken Lair - Ink Cloud 1★</t>
  </si>
  <si>
    <t>Skull Isle - Helm 2★</t>
  </si>
  <si>
    <t>Set #7</t>
  </si>
  <si>
    <t>Set #8</t>
  </si>
  <si>
    <t>Skull Isle - Map 1★, Storm Port - Lightning 1★</t>
  </si>
  <si>
    <t>Kraken Lair - Shell 2★, Skull Isle - Skull 3★, Gold Cove - Doubloon 1★, Kraken Lair - Ink Cloud 1★</t>
  </si>
  <si>
    <t>Skull Isle - Skull 3★</t>
  </si>
  <si>
    <t>Kraken Lair - Shell 2★, Gold Cove - Doubloon 1★, Kraken Lair - Ink Cloud 1★</t>
  </si>
  <si>
    <t>Gold Cove - Diamond 2★, Skull Isle - Cutlass 2★</t>
  </si>
  <si>
    <t>Skull Isle - Spyglass 1★ #0D3</t>
  </si>
  <si>
    <t>Skull Isle - Chest 3★, Kraken Lair - Ink Cloud 1★, Cannon Fort - Ramrod 2★, Cannon Fort - Powder 1★</t>
  </si>
  <si>
    <t>Skull Isle - Chest 3★</t>
  </si>
  <si>
    <t>Kraken Lair - Ink Cloud 1★, Cannon Fort - Ramrod 2★, Cannon Fort - Powder 1★</t>
  </si>
  <si>
    <t>Album #2</t>
  </si>
  <si>
    <t>Cannon Fort - Ramrod 2★, Storm Port - Lighthouse 5★</t>
  </si>
  <si>
    <t>Storm Port - Lighthouse 5★</t>
  </si>
  <si>
    <t>Cannon Fort - Ramrod 2★</t>
  </si>
  <si>
    <t>Kraken Lair - Pearl 1★, Cannon Fort - Fuse 2★</t>
  </si>
  <si>
    <t>Cannon Fort - Fuse 2★</t>
  </si>
  <si>
    <t>Kraken Lair - Pearl 1★</t>
  </si>
  <si>
    <t>Skull Isle - Anchor 1★, Gold Cove - Ruby 1★, Storm Port - Barrel 1★, Kraken Lair - Pearl 1★</t>
  </si>
  <si>
    <t>Gold Cove - Ruby 1★</t>
  </si>
  <si>
    <t>Skull Isle - Anchor 1★, Storm Port - Barrel 1★, Kraken Lair - Pearl 1★</t>
  </si>
  <si>
    <t>Skull Isle - Spyglass 1★ #B88</t>
  </si>
  <si>
    <t>Skull Isle - Anchor 1★, Dead Man Bay - Treasure Map 2★, Kraken Lair - Shell 2★, Skull Isle - Anchor 1★, Kraken Lair - Trident 1★</t>
  </si>
  <si>
    <t>Dead Man Bay - Treasure Map 2★</t>
  </si>
  <si>
    <t>Skull Isle - Anchor 1★, Kraken Lair - Shell 2★, Skull Isle - Anchor 1★, Kraken Lair - Trident 1★</t>
  </si>
  <si>
    <t>Skull Isle - Map 1★, Gold Cove - Crown 2★, Siren Reef - Starfish 3★, Kraken Lair - Pearl 1★, Cannon Fort - Catapult 5★</t>
  </si>
  <si>
    <t>Gold Cove - Crown 2★, Siren Reef - Starfish 3★, Cannon Fort - Catapult 5★</t>
  </si>
  <si>
    <t>Skull Isle - Map 1★, Kraken Lair - Pearl 1★</t>
  </si>
  <si>
    <t>Skull Isle - Chest 3★, Storm Port - Barrel 1★, Gold Cove - Ruby 1★, Cannon Fort - Fuse 2★, Cannon Fort - Tower 4★, Ghost Ship - Chain 4★</t>
  </si>
  <si>
    <t>Ghost Ship - Chain 4★</t>
  </si>
  <si>
    <t>Skull Isle - Chest 3★, Storm Port - Barrel 1★, Gold Cove - Ruby 1★, Cannon Fort - Fuse 2★, Cannon Fort - Tower 4★</t>
  </si>
  <si>
    <t>Ghost Ship - Ghost Lamp 2★, Storm Port - Flare 3★</t>
  </si>
  <si>
    <t>Gold Cove - Goblet 3★, Gold Cove - Ring 4★, Skull Isle - Spyglass 1★, Skull Isle - Compass 1★</t>
  </si>
  <si>
    <t>Gold Cove - Goblet 3★, Gold Cove - Ring 4★, Skull Isle - Spyglass 1★</t>
  </si>
  <si>
    <t>Skull Isle - Compass 1★</t>
  </si>
  <si>
    <t>Kraken Lair - Hook 3★, Gold Cove - Doubloon 1★</t>
  </si>
  <si>
    <t>Kraken Lair - Hook 3★</t>
  </si>
  <si>
    <t>Gold Cove - Doubloon 1★</t>
  </si>
  <si>
    <t>Cannon Fort - War Flag 3★, Skull Isle - Cutlass 2★, Ghost Ship - Flag 4★, Storm Port - Cleat 2★</t>
  </si>
  <si>
    <t>Cannon Fort - War Flag 3★, Ghost Ship - Flag 4★, Storm Port - Cleat 2★</t>
  </si>
  <si>
    <t>Skull Isle - Cutlass 2★</t>
  </si>
  <si>
    <t>Skull Isle - Spyglass 1★ #63D</t>
  </si>
  <si>
    <t>Kraken Lair - Tentacle 1★, Ghost Ship - Ghost Lamp 2★, Ghost Ship - Flag 4★</t>
  </si>
  <si>
    <t>Kraken Lair - Tentacle 1★</t>
  </si>
  <si>
    <t>Ghost Ship - Ghost Lamp 2★, Ghost Ship - Flag 4★</t>
  </si>
  <si>
    <t>Skull Isle - Anchor 1★, Dead Man Bay - Dagger 4★, Kraken Lair - Tentacle 1★, Storm Port - Lightning 1★</t>
  </si>
  <si>
    <t>Dead Man Bay - Dagger 4★</t>
  </si>
  <si>
    <t>Skull Isle - Anchor 1★, Kraken Lair - Tentacle 1★, Storm Port - Lightning 1★</t>
  </si>
  <si>
    <t>Album #3</t>
  </si>
  <si>
    <t>Skull Isle - Spyglass 1★, Ghost Ship - Sail 1★</t>
  </si>
  <si>
    <t>Gold Cove - Emerald 1★, Ghost Ship - Ghost Lamp 2★, Skull Isle - Cutlass 2★, Skull Isle - Parrot 2★</t>
  </si>
  <si>
    <t>Gold Cove - Emerald 1★, Skull Isle - Parrot 2★</t>
  </si>
  <si>
    <t>Ghost Ship - Ghost Lamp 2★, Skull Isle - Cutlass 2★</t>
  </si>
  <si>
    <t>Set 1 completed | Rewards: Coins: 300, Red: 2, Unlimited Lives: 30 | packs opened: 1★: 8, 2★: 1, 3★: 8, 4★: 4, 5★: 2</t>
  </si>
  <si>
    <t>Skull Isle - Anchor 1★ #0F2</t>
  </si>
  <si>
    <t>Kraken Lair - Tentacle 1★, Ghost Ship - Nest 3★, Kraken Lair - Eyepatch 4★, Ghost Ship - Fog Horn 1★, Gold Cove - Doubloon 1★</t>
  </si>
  <si>
    <t>Ghost Ship - Nest 3★, Kraken Lair - Eyepatch 4★, Ghost Ship - Fog Horn 1★</t>
  </si>
  <si>
    <t>Kraken Lair - Tentacle 1★, Gold Cove - Doubloon 1★</t>
  </si>
  <si>
    <t>Set 2 completed | Rewards: Coins: 200, Chuck: 2 | packs opened: 1★: 8, 2★: 1, 3★: 8, 4★: 5, 5★: 2</t>
  </si>
  <si>
    <t>Ghost Ship - Sail 1★, Ghost Ship - Flag 4★, Ghost Ship - Sail 1★, Gold Cove - Doubloon 1★, Cannon Fort - Ramrod 2★</t>
  </si>
  <si>
    <t>Ghost Ship - Ghost Lamp 2★, Storm Port - Barrel 1★, Kraken Lair - Trident 1★, Gold Cove - Doubloon 1★, Skull Isle - Anchor 1★, Storm Port - Lightning 1★</t>
  </si>
  <si>
    <t>Storm Port - Rope 2★, Ghost Ship - Key 2★</t>
  </si>
  <si>
    <t>Kraken Lair - Pearl 1★, Gold Cove - Diamond 2★, Gold Cove - Diamond 2★, Gold Cove - Emerald 1★</t>
  </si>
  <si>
    <t>Skull Isle - Skull 3★, Gold Cove - Emerald 1★</t>
  </si>
  <si>
    <t>Skull Isle - Anchor 1★ #BA7</t>
  </si>
  <si>
    <t>Siren Reef - Driftwood 5★, Cannon Fort - Tower 4★, Gold Cove - Necklace 4★, Skull Isle - Compass 1★</t>
  </si>
  <si>
    <t>Gold Cove - Necklace 4★</t>
  </si>
  <si>
    <t>Siren Reef - Driftwood 5★, Cannon Fort - Tower 4★, Skull Isle - Compass 1★</t>
  </si>
  <si>
    <t>Set 3 completed | Rewards: Coins: 100, Bomb: 2 | packs opened: 1★: 10, 2★: 1, 3★: 10, 4★: 6, 5★: 3</t>
  </si>
  <si>
    <t>SET REWARDS - DREAM ALBUM</t>
  </si>
  <si>
    <t>Gold Cove - Ruby 1★, Skull Isle - Map 1★, Cannon Fort - Catapult 5★, Cannon Fort - Cannonball 1★</t>
  </si>
  <si>
    <t>Cannon Fort - Cannonball 1★</t>
  </si>
  <si>
    <t>Gold Cove - Ruby 1★, Skull Isle - Map 1★, Cannon Fort - Catapult 5★</t>
  </si>
  <si>
    <t>Dead Man Bay - Jolly Roger 2★, Cannon Fort - War Flag 3★, Kraken Lair - Tentacle 1★</t>
  </si>
  <si>
    <t>Dead Man Bay - Jolly Roger 2★</t>
  </si>
  <si>
    <t>Cannon Fort - War Flag 3★, Kraken Lair - Tentacle 1★</t>
  </si>
  <si>
    <t>Unl. Lives</t>
  </si>
  <si>
    <t>Unl. Red</t>
  </si>
  <si>
    <t>Unl. Chuck</t>
  </si>
  <si>
    <t>Unl. Bomb</t>
  </si>
  <si>
    <t>Ghost Ship - Sail 1★, Kraken Lair - Eyepatch 4★, Ghost Ship - Nest 3★, Ghost Ship - Plank 3★</t>
  </si>
  <si>
    <t>Ghost Ship - Plank 3★</t>
  </si>
  <si>
    <t>Ghost Ship - Sail 1★, Kraken Lair - Eyepatch 4★, Ghost Ship - Nest 3★</t>
  </si>
  <si>
    <t>Skull Isle - Anchor 1★ #65C</t>
  </si>
  <si>
    <t>Ghost Ship - Fog Horn 1★, Kraken Lair - Tentacle 1★, Kraken Lair - Trident 1★</t>
  </si>
  <si>
    <t>Siren Reef - Mirror 1★, Kraken Lair - Coral 2★</t>
  </si>
  <si>
    <t>Siren Reef - Mirror 1★</t>
  </si>
  <si>
    <t>Kraken Lair - Coral 2★</t>
  </si>
  <si>
    <t>Storm Port - Lightning 1★, Gold Cove - Ring 4★, Cannon Fort - Cannonball 1★, Ghost Ship - Chain 4★</t>
  </si>
  <si>
    <t>Gold Cove - Ring 4★, Cannon Fort - Ramrod 2★, Siren Reef - Witch 2★, Ghost Ship - Fog Horn 1★, Siren Reef - Mirror 1★</t>
  </si>
  <si>
    <t>Siren Reef - Witch 2★</t>
  </si>
  <si>
    <t>Gold Cove - Ring 4★, Cannon Fort - Ramrod 2★, Ghost Ship - Fog Horn 1★, Siren Reef - Mirror 1★</t>
  </si>
  <si>
    <t>Storm Port - Barrel 1★, Gold Cove - Emerald 1★, Ghost Ship - Sail 1★, Cannon Fort - Tower 4★, Storm Port - Lighthouse 5★</t>
  </si>
  <si>
    <t>Gold Cove - Doubloon 1★, Cannon Fort - Powder 1★, Skull Isle - Anchor 1★, Skull Isle - Map 1★, Siren Reef - Starfish 3★, Dead Man Bay - Rum 1★</t>
  </si>
  <si>
    <t>Dead Man Bay - Rum 1★</t>
  </si>
  <si>
    <t>Gold Cove - Doubloon 1★, Cannon Fort - Powder 1★, Skull Isle - Anchor 1★, Skull Isle - Map 1★, Siren Reef - Starfish 3★</t>
  </si>
  <si>
    <t>Skull Isle - Anchor 1★ #111</t>
  </si>
  <si>
    <t>Ghost Ship - Fog Horn 1★, Kraken Lair - Pearl 1★</t>
  </si>
  <si>
    <t>Storm Port - Flare 3★, Cannon Fort - Cannonball 1★, Ghost Ship - Flag 4★, Gold Cove - Crown 2★</t>
  </si>
  <si>
    <t>Dead Man Bay - Rum 1★, Cannon Fort - Fuse 2★</t>
  </si>
  <si>
    <t>Siren Reef - Harp 1★, Ghost Ship - Sail 1★, Ghost Ship - Ghost Lamp 2★, Gold Cove - Goblet 3★</t>
  </si>
  <si>
    <t>Siren Reef - Harp 1★</t>
  </si>
  <si>
    <t>Ghost Ship - Sail 1★, Ghost Ship - Ghost Lamp 2★, Gold Cove - Goblet 3★</t>
  </si>
  <si>
    <t>Ghost Ship - Plank 3★, Skull Isle - Spyglass 1★, Gold Cove - Emerald 1★</t>
  </si>
  <si>
    <t>Storm Port - Rope 2★, Storm Port - Rope 2★</t>
  </si>
  <si>
    <t>Skull Isle - Map 1★, Cannon Fort - Powder 1★, Skull Isle - Cutlass 2★, Gold Cove - Necklace 4★</t>
  </si>
  <si>
    <t>Skull Isle - Anchor 1★ #BC6</t>
  </si>
  <si>
    <t>Storm Port - Rope 2★, Dead Man Bay - Gold Tooth 3★</t>
  </si>
  <si>
    <t>Dead Man Bay - Gold Tooth 3★</t>
  </si>
  <si>
    <t>Storm Port - Rope 2★</t>
  </si>
  <si>
    <t>Siren Reef - Harp 1★, Storm Port - Cleat 2★, Skull Isle - Compass 1★, Storm Port - Bucket 4★</t>
  </si>
  <si>
    <t>Storm Port - Bucket 4★</t>
  </si>
  <si>
    <t>Siren Reef - Harp 1★, Storm Port - Cleat 2★, Skull Isle - Compass 1★</t>
  </si>
  <si>
    <t>Ghost Ship - Key 2★, Storm Port - Rope 2★, Siren Reef - Witch 2★, Kraken Lair - Pearl 1★, Skull Isle - Anchor 1★</t>
  </si>
  <si>
    <t>SET REWARDS - GRAND ALBUM</t>
  </si>
  <si>
    <t>Siren Reef - Starfish 3★, Kraken Lair - Trident 1★, Kraken Lair - Lantern 3★, Storm Port - Barrel 1★, Siren Reef - Witch 2★</t>
  </si>
  <si>
    <t>Cannon Fort - Cannonball 1★, Storm Port - Rope 2★, Siren Reef - Moonstone 4★, Kraken Lair - Tentacle 1★, Kraken Lair - Ink Cloud 1★, Gold Cove - Ruby 1★</t>
  </si>
  <si>
    <t>Siren Reef - Moonstone 4★</t>
  </si>
  <si>
    <t>Cannon Fort - Cannonball 1★, Storm Port - Rope 2★, Kraken Lair - Tentacle 1★, Kraken Lair - Ink Cloud 1★, Gold Cove - Ruby 1★</t>
  </si>
  <si>
    <t>Cannon Fort - Fuse 2★, Skull Isle - Spyglass 1★</t>
  </si>
  <si>
    <t>Skull Isle - Anchor 1★ #67B</t>
  </si>
  <si>
    <t>Gold Cove - Crown 2★, Dead Man Bay - Pistol 1★, Ghost Ship - Plank 3★, Storm Port - Lightning 1★</t>
  </si>
  <si>
    <t>Kraken Lair - Tentacle 1★, Dead Man Bay - Boots 5★</t>
  </si>
  <si>
    <t>Dead Man Bay - Boots 5★</t>
  </si>
  <si>
    <t>Cannon Fort - Bridge 5★, Skull Isle - Compass 1★, Kraken Lair - Eyepatch 4★, Kraken Lair - Pearl 1★</t>
  </si>
  <si>
    <t>Cannon Fort - Bridge 5★</t>
  </si>
  <si>
    <t>Skull Isle - Compass 1★, Kraken Lair - Eyepatch 4★, Kraken Lair - Pearl 1★</t>
  </si>
  <si>
    <t>Siren Reef - Mirror 1★, Ghost Ship - Key 2★</t>
  </si>
  <si>
    <t>Gold Cove - Crown 2★, Dead Man Bay - Pistol 1★, Skull Isle - Skull 3★, Kraken Lair - Trident 1★</t>
  </si>
  <si>
    <t>Storm Port - Barrel 1★, Storm Port - Lighthouse 5★, Siren Reef - Comb 2★, Ghost Ship - Key 2★, Skull Isle - Spyglass 1★</t>
  </si>
  <si>
    <t>Siren Reef - Comb 2★</t>
  </si>
  <si>
    <t>Storm Port - Barrel 1★, Storm Port - Lighthouse 5★, Ghost Ship - Key 2★, Skull Isle - Spyglass 1★</t>
  </si>
  <si>
    <t>Skull Isle - Anchor 1★ #130</t>
  </si>
  <si>
    <t>Gold Cove - Ruby 1★, Siren Reef - Comb 2★, Ghost Ship - Sail 1★, Gold Cove - Doubloon 1★, Dead Man Bay - Treasure Map 2★</t>
  </si>
  <si>
    <t>Dead Man Bay - Treasure Map 2★, Skull Isle - Compass 1★, Kraken Lair - Tentacle 1★, Skull Isle - Map 1★, Skull Isle - Parrot 2★, Kraken Lair - Hook 3★</t>
  </si>
  <si>
    <t>Storm Port - Cleat 2★, Kraken Lair - Hook 3★</t>
  </si>
  <si>
    <t>Siren Reef - Witch 2★, Dead Man Bay - Jolly Roger 2★, Dead Man Bay - Dagger 4★, Storm Port - Windmill 4★</t>
  </si>
  <si>
    <t>Storm Port - Windmill 4★</t>
  </si>
  <si>
    <t>Siren Reef - Witch 2★, Dead Man Bay - Jolly Roger 2★, Dead Man Bay - Dagger 4★</t>
  </si>
  <si>
    <t>Storm Port - Flare 3★, Kraken Lair - Eyepatch 4★</t>
  </si>
  <si>
    <t>Skull Isle - Map 1★, Cannon Fort - War Flag 3★, Ghost Ship - Ghost Lamp 2★, Ghost Ship - Key 2★</t>
  </si>
  <si>
    <t>SET REWARDS - SUPERIOR ALBUM</t>
  </si>
  <si>
    <t>Skull Isle - Anchor 1★ #BE5</t>
  </si>
  <si>
    <t>Dead Man Bay - Pistol 1★, Kraken Lair - Pearl 1★, Kraken Lair - Ink Cloud 1★, Skull Isle - Chest 3★</t>
  </si>
  <si>
    <t>Siren Reef - Mirror 1★, Ghost Ship - Log 5★</t>
  </si>
  <si>
    <t>Ghost Ship - Log 5★</t>
  </si>
  <si>
    <t>Set 4 completed | Rewards: Red: 1 | packs opened: 1★: 21, 2★: 4, 3★: 23, 4★: 12, 5★: 6</t>
  </si>
  <si>
    <t>Kraken Lair - Coral 2★, Gold Cove - Crown 2★, Siren Reef - Witch 2★</t>
  </si>
  <si>
    <t>Ghost Ship - Nest 3★, Skull Isle - Parrot 2★</t>
  </si>
  <si>
    <t>Bronze Chest Opened - 1-star Pack</t>
  </si>
  <si>
    <t>Skull Isle - Skull 3★, Skull Isle - Anchor 1★</t>
  </si>
  <si>
    <t>Dead Man Bay - Rum 1★, Kraken Lair - Hook 3★, Ghost Ship - Fog Horn 1★, Dead Man Bay - Bandana 5★</t>
  </si>
  <si>
    <t>Dead Man Bay - Bandana 5★</t>
  </si>
  <si>
    <t>Dead Man Bay - Rum 1★, Kraken Lair - Hook 3★, Ghost Ship - Fog Horn 1★</t>
  </si>
  <si>
    <t>Storm Port - Flare 3★, Kraken Lair - Ink Cloud 1★, Gold Cove - Emerald 1★, Kraken Lair - Lantern 3★, Skull Isle - Map 1★</t>
  </si>
  <si>
    <t>Skull Isle - Anchor 1★ #69A</t>
  </si>
  <si>
    <t>Siren Reef - Starfish 3★, Ghost Ship - Log 5★, Siren Reef - Harp 1★, Storm Port - Windmill 4★, Gold Cove - Ring 4★</t>
  </si>
  <si>
    <t>Dead Man Bay - Jolly Roger 2★, Gold Cove - Diamond 2★, Siren Reef - Comb 2★, Kraken Lair - Shell 2★, Ghost Ship - Fog Horn 1★, Gold Cove - Doubloon 1★</t>
  </si>
  <si>
    <t>Ghost Ship - Flag 4★, Siren Reef - Wave 5★</t>
  </si>
  <si>
    <t>Siren Reef - Wave 5★</t>
  </si>
  <si>
    <t>Ghost Ship - Flag 4★</t>
  </si>
  <si>
    <t>Skull Isle - Spyglass 1★, Storm Port - Cleat 2★, Storm Port - Cleat 2★, Gold Cove - Ruby 1★</t>
  </si>
  <si>
    <t>Kraken Lair - Trident 1★, Storm Port - Bucket 4★</t>
  </si>
  <si>
    <t>Cannon Fort - Cannonball 1★, Skull Isle - Compass 1★, Gold Cove - Diamond 2★, Siren Reef - Harp 1★</t>
  </si>
  <si>
    <t>ALBUM COMPLETION REWARDS</t>
  </si>
  <si>
    <t>Skull Isle - Anchor 1★ #14F</t>
  </si>
  <si>
    <t>Cannon Fort - Bridge 5★, Siren Reef - Comb 2★, Kraken Lair - Coral 2★, Storm Port - Drum 5★</t>
  </si>
  <si>
    <t>Storm Port - Drum 5★</t>
  </si>
  <si>
    <t>Cannon Fort - Bridge 5★, Siren Reef - Comb 2★, Kraken Lair - Coral 2★</t>
  </si>
  <si>
    <t>Set 5 completed | Rewards: Chuck: 1 | packs opened: 1★: 25, 2★: 5, 3★: 27, 4★: 14, 5★: 7</t>
  </si>
  <si>
    <t>Dream Album</t>
  </si>
  <si>
    <t>Cannon Fort - Fuse 2★, Skull Isle - Map 1★, Gold Cove - Goblet 3★</t>
  </si>
  <si>
    <t>Dead Man Bay - Dagger 4★, Gold Cove - Ruby 1★, Cannon Fort - Ramrod 2★</t>
  </si>
  <si>
    <t>Grand Album</t>
  </si>
  <si>
    <t>Ghost Ship - Flag 4★, Storm Port - Cleat 2★, Storm Port - Cleat 2★, Skull Isle - Helm 2★</t>
  </si>
  <si>
    <t>Cannon Fort - Ramrod 2★, Ghost Ship - Key 2★, Ghost Ship - Nest 3★, Dead Man Bay - Beard 5★</t>
  </si>
  <si>
    <t>Dead Man Bay - Beard 5★</t>
  </si>
  <si>
    <t>Cannon Fort - Ramrod 2★, Ghost Ship - Key 2★, Ghost Ship - Nest 3★</t>
  </si>
  <si>
    <t>Set 8 completed | Rewards: Shuffle: 1 | packs opened: 1★: 25, 2★: 7, 3★: 29, 4★: 14, 5★: 7</t>
  </si>
  <si>
    <t>Superior Album</t>
  </si>
  <si>
    <t>Dead Man Bay - Rum 1★, Ghost Ship - Plank 3★, Kraken Lair - Lantern 3★, Storm Port - Barrel 1★</t>
  </si>
  <si>
    <t>Gold Cove - Doubloon 1★, Siren Reef - Starfish 3★</t>
  </si>
  <si>
    <t>Skull Isle - Anchor 1★ #C04</t>
  </si>
  <si>
    <t>Dead Man Bay - Rum 1★, Dead Man Bay - Dagger 4★, Gold Cove - Diamond 2★, Dead Man Bay - Treasure Map 2★</t>
  </si>
  <si>
    <t>Skull Isle - Cutlass 2★, Kraken Lair - Pearl 1★, Storm Port - Flare 3★, Dead Man Bay - Treasure Map 2★, Siren Reef - Conch 5★</t>
  </si>
  <si>
    <t>Siren Reef - Conch 5★</t>
  </si>
  <si>
    <t>Skull Isle - Cutlass 2★, Kraken Lair - Pearl 1★, Storm Port - Flare 3★, Dead Man Bay - Treasure Map 2★</t>
  </si>
  <si>
    <t>Set 7 completed | Rewards: Slingshot: 1 | packs opened: 1★: 26, 2★: 7, 3★: 31, 4★: 15, 5★: 7</t>
  </si>
  <si>
    <t>Kraken Lair - Trident 1★, Skull Isle - Compass 1★, Siren Reef - Starfish 3★, Cannon Fort - War Flag 3★, Storm Port - Lightning 1★</t>
  </si>
  <si>
    <t>Siren Reef - Mirror 1★, Siren Reef - Starfish 3★, Skull Isle - Spyglass 1★, Cannon Fort - Cannonball 1★, Skull Isle - Anchor 1★, Siren Reef - Mirror 1★</t>
  </si>
  <si>
    <t>Storm Port - Windmill 4★, Siren Reef - Harp 1★, Skull Isle - Helm 2★</t>
  </si>
  <si>
    <t>Dead Man Bay - Treasure Map 2★, Gold Cove - Ruby 1★, Cannon Fort - Horn 5★</t>
  </si>
  <si>
    <t>Cannon Fort - Horn 5★</t>
  </si>
  <si>
    <t>Dead Man Bay - Treasure Map 2★, Gold Cove - Ruby 1★</t>
  </si>
  <si>
    <t>Main → Super | Album rewards: Coins: 500, Red: 1 | Pool leftover: 1★=130, 2★=129, 3★=100, 4★=80, 5★=47 (486 total) ====== Set 6 completed | Rewards: Bomb: 1 | packs opened: 1★: 26, 2★: 9, 3★: 31, 4★: 16, 5★: 8</t>
  </si>
  <si>
    <t>Super</t>
  </si>
  <si>
    <t>Skull Isle - Chest 3★, Gold Cove - Diamond 2★, Cannon Fort - Powder 1★</t>
  </si>
  <si>
    <t>Skull Isle - Anchor 1★ #6B9</t>
  </si>
  <si>
    <t>Skull Isle - Spyglass 1★, Ghost Ship - Sail 1★, Siren Reef - Starfish 3★</t>
  </si>
  <si>
    <t>Cannon Fort - Cannonball 1★, Ghost Ship - Plank 3★</t>
  </si>
  <si>
    <t>Cannon Fort - Catapult 5★, Skull Isle - Parrot 2★</t>
  </si>
  <si>
    <t>Kraken Lair - Ink Cloud 1★, Gold Cove - Diamond 2★, Kraken Lair - Coral 2★, Kraken Lair - Shell 2★</t>
  </si>
  <si>
    <t>Kraken Lair - Ink Cloud 1★, Kraken Lair - Coral 2★, Kraken Lair - Shell 2★</t>
  </si>
  <si>
    <t>Gold Cove - Diamond 2★</t>
  </si>
  <si>
    <t>Ghost Ship - Plank 3★, Gold Cove - Emerald 1★</t>
  </si>
  <si>
    <t>Gold Cove - Emerald 1★</t>
  </si>
  <si>
    <t>Kraken Lair - Eyepatch 4★, Skull Isle - Map 1★, Cannon Fort - Cannonball 1★, Kraken Lair - Pearl 1★</t>
  </si>
  <si>
    <t>Kraken Lair - Eyepatch 4★, Skull Isle - Map 1★, Kraken Lair - Pearl 1★</t>
  </si>
  <si>
    <t>Skull Isle - Anchor 1★ #16E</t>
  </si>
  <si>
    <t>Skull Isle - Anchor 1★ #C23</t>
  </si>
  <si>
    <t>Skull Isle - Helm 2★ #6D8</t>
  </si>
  <si>
    <t>Skull Isle - Helm 2★ #18D</t>
  </si>
  <si>
    <t>Skull Isle - Helm 2★ #C42</t>
  </si>
  <si>
    <t>Skull Isle - Helm 2★ #6F7</t>
  </si>
  <si>
    <t>Skull Isle - Helm 2★ #1AC</t>
  </si>
  <si>
    <t>Skull Isle - Helm 2★ #C61</t>
  </si>
  <si>
    <t>Skull Isle - Helm 2★ #716</t>
  </si>
  <si>
    <t>Skull Isle - Helm 2★ #1CB</t>
  </si>
  <si>
    <t>Skull Isle - Helm 2★ #C80</t>
  </si>
  <si>
    <t>Skull Isle - Helm 2★ #735</t>
  </si>
  <si>
    <t>Skull Isle - Helm 2★ #1EA</t>
  </si>
  <si>
    <t>Skull Isle - Helm 2★ #C9F</t>
  </si>
  <si>
    <t>Skull Isle - Helm 2★ #754</t>
  </si>
  <si>
    <t>Skull Isle - Cutlass 2★ #209</t>
  </si>
  <si>
    <t>Skull Isle - Cutlass 2★ #CBE</t>
  </si>
  <si>
    <t>Skull Isle - Cutlass 2★ #773</t>
  </si>
  <si>
    <t>Skull Isle - Cutlass 2★ #228</t>
  </si>
  <si>
    <t>Skull Isle - Cutlass 2★ #CDD</t>
  </si>
  <si>
    <t>Skull Isle - Cutlass 2★ #792</t>
  </si>
  <si>
    <t>Skull Isle - Cutlass 2★ #247</t>
  </si>
  <si>
    <t>Skull Isle - Cutlass 2★ #CFC</t>
  </si>
  <si>
    <t>Skull Isle - Cutlass 2★ #7B1</t>
  </si>
  <si>
    <t>Skull Isle - Cutlass 2★ #266</t>
  </si>
  <si>
    <t>Skull Isle - Cutlass 2★ #D1B</t>
  </si>
  <si>
    <t>Skull Isle - Cutlass 2★ #7D0</t>
  </si>
  <si>
    <t>Skull Isle - Cutlass 2★ #285</t>
  </si>
  <si>
    <t>Skull Isle - Parrot 2★ #D3A</t>
  </si>
  <si>
    <t>Skull Isle - Parrot 2★ #7EF</t>
  </si>
  <si>
    <t>Skull Isle - Parrot 2★ #2A4</t>
  </si>
  <si>
    <t>Skull Isle - Parrot 2★ #D59</t>
  </si>
  <si>
    <t>Skull Isle - Parrot 2★ #80E</t>
  </si>
  <si>
    <t>Skull Isle - Parrot 2★ #2C3</t>
  </si>
  <si>
    <t>Skull Isle - Parrot 2★ #D78</t>
  </si>
  <si>
    <t>Skull Isle - Parrot 2★ #82D</t>
  </si>
  <si>
    <t>Skull Isle - Parrot 2★ #2E2</t>
  </si>
  <si>
    <t>Skull Isle - Parrot 2★ #D97</t>
  </si>
  <si>
    <t>Skull Isle - Parrot 2★ #84C</t>
  </si>
  <si>
    <t>Skull Isle - Parrot 2★ #301</t>
  </si>
  <si>
    <t>Skull Isle - Parrot 2★ #DB6</t>
  </si>
  <si>
    <t>Skull Isle - Chest 3★ #86B</t>
  </si>
  <si>
    <t>Skull Isle - Chest 3★ #320</t>
  </si>
  <si>
    <t>Skull Isle - Chest 3★ #DD5</t>
  </si>
  <si>
    <t>Skull Isle - Chest 3★ #88A</t>
  </si>
  <si>
    <t>Skull Isle - Chest 3★ #33F</t>
  </si>
  <si>
    <t>Skull Isle - Chest 3★ #DF4</t>
  </si>
  <si>
    <t>Skull Isle - Chest 3★ #8A9</t>
  </si>
  <si>
    <t>Skull Isle - Chest 3★ #35E</t>
  </si>
  <si>
    <t>Skull Isle - Chest 3★ #E13</t>
  </si>
  <si>
    <t>Skull Isle - Chest 3★ #8C8</t>
  </si>
  <si>
    <t>Skull Isle - Chest 3★ #37D</t>
  </si>
  <si>
    <t>Skull Isle - Chest 3★ #E32</t>
  </si>
  <si>
    <t>Skull Isle - Chest 3★ #8E7</t>
  </si>
  <si>
    <t>Skull Isle - Skull 3★ #39C</t>
  </si>
  <si>
    <t>Skull Isle - Skull 3★ #E51</t>
  </si>
  <si>
    <t>Skull Isle - Skull 3★ #906</t>
  </si>
  <si>
    <t>Skull Isle - Skull 3★ #3BB</t>
  </si>
  <si>
    <t>Skull Isle - Skull 3★ #E70</t>
  </si>
  <si>
    <t>Skull Isle - Skull 3★ #925</t>
  </si>
  <si>
    <t>Skull Isle - Skull 3★ #3DA</t>
  </si>
  <si>
    <t>Skull Isle - Skull 3★ #E8F</t>
  </si>
  <si>
    <t>Skull Isle - Skull 3★ #944</t>
  </si>
  <si>
    <t>Skull Isle - Skull 3★ #3F9</t>
  </si>
  <si>
    <t>Skull Isle - Skull 3★ #EAE</t>
  </si>
  <si>
    <t>Skull Isle - Skull 3★ #963</t>
  </si>
  <si>
    <t>RESOURCE GAINS + NET (21 day period)</t>
  </si>
  <si>
    <t>Per-earner gains over the 33-day</t>
  </si>
  <si>
    <t>Skull Isle - Skull 3★ #418</t>
  </si>
  <si>
    <t>◆ 💵 OVERALL VALUE GAINS (using old EV)</t>
  </si>
  <si>
    <t>PAYER</t>
  </si>
  <si>
    <t>◀ input (global)</t>
  </si>
  <si>
    <t>Kraken Lair - Tentacle 1★ #ECD</t>
  </si>
  <si>
    <t>◄ CURRENT ►</t>
  </si>
  <si>
    <t>◄ SIMULATED ►</t>
  </si>
  <si>
    <t>Δ</t>
  </si>
  <si>
    <t>0-9 Segment - Over Time Period  (uses 1-9 gains data)</t>
  </si>
  <si>
    <t>Kraken Lair - Tentacle 1★ #982</t>
  </si>
  <si>
    <t>0-9 Segment - Over Time Period - Difference</t>
  </si>
  <si>
    <t>Overall Total amount and % diff</t>
  </si>
  <si>
    <t>Kraken Lair - Tentacle 1★ #437</t>
  </si>
  <si>
    <t>Segment</t>
  </si>
  <si>
    <t>PAID</t>
  </si>
  <si>
    <t>HC</t>
  </si>
  <si>
    <t>ADS</t>
  </si>
  <si>
    <t>CORE</t>
  </si>
  <si>
    <t>META</t>
  </si>
  <si>
    <t>UL Bomb</t>
  </si>
  <si>
    <t>UL Chuck</t>
  </si>
  <si>
    <t>UL Red</t>
  </si>
  <si>
    <t>Kraken Lair - Tentacle 1★ #EEC</t>
  </si>
  <si>
    <t>SPTx2</t>
  </si>
  <si>
    <t>coin val</t>
  </si>
  <si>
    <t>Total Δ %</t>
  </si>
  <si>
    <t>RES</t>
  </si>
  <si>
    <t>Kraken Lair - Tentacle 1★ #9A1</t>
  </si>
  <si>
    <t>Kraken Lair - Tentacle 1★ #456</t>
  </si>
  <si>
    <t>Kraken Lair - Tentacle 1★ #F0B</t>
  </si>
  <si>
    <t>Kraken Lair - Tentacle 1★ #9C0</t>
  </si>
  <si>
    <t>Kraken Lair - Tentacle 1★ #475</t>
  </si>
  <si>
    <t>Kraken Lair - Tentacle 1★ #F2A</t>
  </si>
  <si>
    <t>Kraken Lair - Tentacle 1★ #9DF</t>
  </si>
  <si>
    <t>Kraken Lair - Tentacle 1★ #494</t>
  </si>
  <si>
    <t>Kraken Lair - Tentacle 1★ #F49</t>
  </si>
  <si>
    <t>Kraken Lair - Tentacle 1★ #9FE</t>
  </si>
  <si>
    <t>Kraken Lair - Ink Cloud 1★ #4B3</t>
  </si>
  <si>
    <t>Kraken Lair - Ink Cloud 1★ #F68</t>
  </si>
  <si>
    <t>Kraken Lair - Ink Cloud 1★ #A1D</t>
  </si>
  <si>
    <t>Kraken Lair - Ink Cloud 1★ #4D2</t>
  </si>
  <si>
    <t>Kraken Lair - Ink Cloud 1★ #F87</t>
  </si>
  <si>
    <t>Kraken Lair - Ink Cloud 1★ #A3C</t>
  </si>
  <si>
    <t>Kraken Lair - Ink Cloud 1★ #4F1</t>
  </si>
  <si>
    <t>Kraken Lair - Ink Cloud 1★ #FA6</t>
  </si>
  <si>
    <t>Kraken Lair - Ink Cloud 1★ #A5B</t>
  </si>
  <si>
    <t>Kraken Lair - Ink Cloud 1★ #510</t>
  </si>
  <si>
    <t>Kraken Lair - Ink Cloud 1★ #FC5</t>
  </si>
  <si>
    <t>Kraken Lair - Ink Cloud 1★ #A7A</t>
  </si>
  <si>
    <t>Kraken Lair - Ink Cloud 1★ #52F</t>
  </si>
  <si>
    <t>Kraken Lair - Ink Cloud 1★ #FE4</t>
  </si>
  <si>
    <t>Kraken Lair - Pearl 1★ #A99</t>
  </si>
  <si>
    <t>Kraken Lair - Pearl 1★ #54E</t>
  </si>
  <si>
    <t>Kraken Lair - Pearl 1★ #003</t>
  </si>
  <si>
    <t>Kraken Lair - Pearl 1★ #AB8</t>
  </si>
  <si>
    <t>Kraken Lair - Pearl 1★ #56D</t>
  </si>
  <si>
    <t>Kraken Lair - Pearl 1★ #022</t>
  </si>
  <si>
    <t>Kraken Lair - Pearl 1★ #AD7</t>
  </si>
  <si>
    <t>Kraken Lair - Pearl 1★ #58C</t>
  </si>
  <si>
    <t>Kraken Lair - Pearl 1★ #041</t>
  </si>
  <si>
    <t>Kraken Lair - Pearl 1★ #AF6</t>
  </si>
  <si>
    <t>Kraken Lair - Pearl 1★ #5AB</t>
  </si>
  <si>
    <t>Kraken Lair - Pearl 1★ #060</t>
  </si>
  <si>
    <t>Kraken Lair - Pearl 1★ #B15</t>
  </si>
  <si>
    <t>Kraken Lair - Pearl 1★ #5CA</t>
  </si>
  <si>
    <t>Kraken Lair - Trident 1★ #07F</t>
  </si>
  <si>
    <t>Kraken Lair - Trident 1★ #B34</t>
  </si>
  <si>
    <t>Kraken Lair - Trident 1★ #5E9</t>
  </si>
  <si>
    <t>Kraken Lair - Trident 1★ #09E</t>
  </si>
  <si>
    <t>Kraken Lair - Trident 1★ #B53</t>
  </si>
  <si>
    <t>Kraken Lair - Trident 1★ #608</t>
  </si>
  <si>
    <t>Kraken Lair - Trident 1★ #0BD</t>
  </si>
  <si>
    <t>Kraken Lair - Trident 1★ #B72</t>
  </si>
  <si>
    <t>Kraken Lair - Trident 1★ #627</t>
  </si>
  <si>
    <t>Kraken Lair - Trident 1★ #0DC</t>
  </si>
  <si>
    <t>Kraken Lair - Trident 1★ #B91</t>
  </si>
  <si>
    <t>A/B Test Summary By 7d Completion Bucket</t>
  </si>
  <si>
    <t>Category</t>
  </si>
  <si>
    <t>Kraken Lair - Trident 1★ #646</t>
  </si>
  <si>
    <t>Control</t>
  </si>
  <si>
    <t>Variant</t>
  </si>
  <si>
    <t>Δ %</t>
  </si>
  <si>
    <t>Kraken Lair - Trident 1★ #0FB</t>
  </si>
  <si>
    <t>Kraken Lair - Trident 1★ #BB0</t>
  </si>
  <si>
    <t>Players</t>
  </si>
  <si>
    <t>Players (sum)</t>
  </si>
  <si>
    <t>Kraken Lair - Shell 2★ #665</t>
  </si>
  <si>
    <t>Kraken Lair - Shell 2★ #11A</t>
  </si>
  <si>
    <t>Kraken Lair - Shell 2★ #BCF</t>
  </si>
  <si>
    <t>Kraken Lair - Shell 2★ #684</t>
  </si>
  <si>
    <t>Kraken Lair - Shell 2★ #139</t>
  </si>
  <si>
    <t>Revenue</t>
  </si>
  <si>
    <t>Total revenue</t>
  </si>
  <si>
    <t>$8,193</t>
  </si>
  <si>
    <t>$6,330</t>
  </si>
  <si>
    <t>$2,646</t>
  </si>
  <si>
    <t>$2,614</t>
  </si>
  <si>
    <t>Kraken Lair - Shell 2★ #BEE</t>
  </si>
  <si>
    <t>$7,313</t>
  </si>
  <si>
    <t>$8,035</t>
  </si>
  <si>
    <t>$12,224</t>
  </si>
  <si>
    <t>Kraken Lair - Shell 2★ #6A3</t>
  </si>
  <si>
    <t>$12,475</t>
  </si>
  <si>
    <t>$15,153</t>
  </si>
  <si>
    <t>$13,041</t>
  </si>
  <si>
    <t>$4,974</t>
  </si>
  <si>
    <t>$3,434</t>
  </si>
  <si>
    <t>Kraken Lair - Shell 2★ #158</t>
  </si>
  <si>
    <t>ARPDAU</t>
  </si>
  <si>
    <t>$0.0796</t>
  </si>
  <si>
    <t>$0.0613</t>
  </si>
  <si>
    <t>$0.0168</t>
  </si>
  <si>
    <t>$0.0169</t>
  </si>
  <si>
    <t>Kraken Lair - Shell 2★ #C0D</t>
  </si>
  <si>
    <t>$0.0599</t>
  </si>
  <si>
    <t>$0.0659</t>
  </si>
  <si>
    <t>$0.1209</t>
  </si>
  <si>
    <t>$0.1212</t>
  </si>
  <si>
    <t>Kraken Lair - Shell 2★ #6C2</t>
  </si>
  <si>
    <t>$0.2302</t>
  </si>
  <si>
    <t>$0.2078</t>
  </si>
  <si>
    <t>Kraken Lair - Shell 2★ #177</t>
  </si>
  <si>
    <t>$0.5184</t>
  </si>
  <si>
    <t>$0.3809</t>
  </si>
  <si>
    <t>AVG Payer day (%)</t>
  </si>
  <si>
    <t>Kraken Lair - Shell 2★ #C2C</t>
  </si>
  <si>
    <t>Kraken Lair - Shell 2★ #6E1</t>
  </si>
  <si>
    <t>Kraken Lair - Coral 2★ #196</t>
  </si>
  <si>
    <t>ARPPU</t>
  </si>
  <si>
    <t>$7.5446</t>
  </si>
  <si>
    <t>$6.5314</t>
  </si>
  <si>
    <t>$2.3566</t>
  </si>
  <si>
    <t>$2.3484</t>
  </si>
  <si>
    <t>Kraken Lair - Coral 2★ #C4B</t>
  </si>
  <si>
    <t>$3.1949</t>
  </si>
  <si>
    <t>$3.3409</t>
  </si>
  <si>
    <t>$4.6523</t>
  </si>
  <si>
    <t>$4.5784</t>
  </si>
  <si>
    <t>Kraken Lair - Coral 2★ #700</t>
  </si>
  <si>
    <t>$5.9956</t>
  </si>
  <si>
    <t>$5.5452</t>
  </si>
  <si>
    <t>$7.8594</t>
  </si>
  <si>
    <t>$6.4917</t>
  </si>
  <si>
    <t>Engagement</t>
  </si>
  <si>
    <t>Kraken Lair - Coral 2★ #1B5</t>
  </si>
  <si>
    <t>Time spent (mins)</t>
  </si>
  <si>
    <t>Kraken Lair - Coral 2★ #C6A</t>
  </si>
  <si>
    <t>Kraken Lair - Coral 2★ #71F</t>
  </si>
  <si>
    <t>Kraken Lair - Coral 2★ #1D4</t>
  </si>
  <si>
    <t>Kraken Lair - Coral 2★ #C89</t>
  </si>
  <si>
    <t>Level attempts / player</t>
  </si>
  <si>
    <t>Kraken Lair - Coral 2★ #73E</t>
  </si>
  <si>
    <t>Kraken Lair - Coral 2★ #1F3</t>
  </si>
  <si>
    <t>Kraken Lair - Coral 2★ #CA8</t>
  </si>
  <si>
    <t>Kraken Lair - Coral 2★ #75D</t>
  </si>
  <si>
    <t>Level completes / player</t>
  </si>
  <si>
    <t>Kraken Lair - Coral 2★ #212</t>
  </si>
  <si>
    <t>Kraken Lair - Lantern 3★ #CC7</t>
  </si>
  <si>
    <t>Daily Streak</t>
  </si>
  <si>
    <t>Avg daily streak</t>
  </si>
  <si>
    <t>Kraken Lair - Lantern 3★ #77C</t>
  </si>
  <si>
    <t>Kraken Lair - Lantern 3★ #231</t>
  </si>
  <si>
    <t>P25 daily streak</t>
  </si>
  <si>
    <t>Kraken Lair - Lantern 3★ #CE6</t>
  </si>
  <si>
    <t>P50 daily streak</t>
  </si>
  <si>
    <t>Kraken Lair - Lantern 3★ #79B</t>
  </si>
  <si>
    <t>P75 daily streak</t>
  </si>
  <si>
    <t>Kraken Lair - Lantern 3★ #250</t>
  </si>
  <si>
    <t>Kraken Lair - Lantern 3★ #D05</t>
  </si>
  <si>
    <t>P90 daily streak</t>
  </si>
  <si>
    <t>Kraken Lair - Lantern 3★ #7BA</t>
  </si>
  <si>
    <t>Kraken Lair - Lantern 3★ #26F</t>
  </si>
  <si>
    <t>P99 daily streak</t>
  </si>
  <si>
    <t>Kraken Lair - Lantern 3★ #D24</t>
  </si>
  <si>
    <t>Difficulty</t>
  </si>
  <si>
    <t>Pass rate</t>
  </si>
  <si>
    <t>Kraken Lair - Lantern 3★ #7D9</t>
  </si>
  <si>
    <t>Kraken Lair - Lantern 3★ #28E</t>
  </si>
  <si>
    <t>OOM rate</t>
  </si>
  <si>
    <t>Kraken Lair - Lantern 3★ #D43</t>
  </si>
  <si>
    <t>Kraken Lair - Hook 3★ #7F8</t>
  </si>
  <si>
    <t>Kraken Lair - Hook 3★ #2AD</t>
  </si>
  <si>
    <t>First-try OOM rate</t>
  </si>
  <si>
    <t>Kraken Lair - Hook 3★ #D62</t>
  </si>
  <si>
    <t>Kraken Lair - Hook 3★ #817</t>
  </si>
  <si>
    <t>Kraken Lair - Hook 3★ #2CC</t>
  </si>
  <si>
    <t>todo</t>
  </si>
  <si>
    <t>Attempts per completion</t>
  </si>
  <si>
    <t>Kraken Lair - Hook 3★ #D81</t>
  </si>
  <si>
    <t>Kraken Lair - Hook 3★ #836</t>
  </si>
  <si>
    <t>Kraken Lair - Hook 3★ #2EB</t>
  </si>
  <si>
    <t>Kraken Lair - Hook 3★ #DA0</t>
  </si>
  <si>
    <t>x</t>
  </si>
  <si>
    <t>NS reward increase (careful wiht 100+)</t>
  </si>
  <si>
    <t>Kraken Lair - Hook 3★ #855</t>
  </si>
  <si>
    <t>HC Economy</t>
  </si>
  <si>
    <t>look into 100+ net</t>
  </si>
  <si>
    <t>HC gain total / player</t>
  </si>
  <si>
    <t>Kraken Lair - Hook 3★ #30A</t>
  </si>
  <si>
    <t>Kraken Lair - Hook 3★ #DBF</t>
  </si>
  <si>
    <t>Booster analysis</t>
  </si>
  <si>
    <t>Kraken Lair - Hook 3★ #874</t>
  </si>
  <si>
    <t>HC gain PAID / player</t>
  </si>
  <si>
    <t>Kraken Lair - Eyepatch 4★ #329</t>
  </si>
  <si>
    <t>ulbs</t>
  </si>
  <si>
    <t>HC gain FREE / player</t>
  </si>
  <si>
    <t>Kraken Lair - Eyepatch 4★ #DDE</t>
  </si>
  <si>
    <t>Kraken Lair - Eyepatch 4★ #893</t>
  </si>
  <si>
    <t>SPTs</t>
  </si>
  <si>
    <t>HC spent / player</t>
  </si>
  <si>
    <t>Kraken Lair - Eyepatch 4★ #348</t>
  </si>
  <si>
    <t>Kraken Lair - Eyepatch 4★ #DFD</t>
  </si>
  <si>
    <t>HC NET (gain - spend) / player</t>
  </si>
  <si>
    <t>Kraken Lair - Eyepatch 4★ #8B2</t>
  </si>
  <si>
    <t>HC spent / attempt</t>
  </si>
  <si>
    <t>Kraken Lair - Eyepatch 4★ #367</t>
  </si>
  <si>
    <t>Kraken Lair - Eyepatch 4★ #E1C</t>
  </si>
  <si>
    <t>Paid % of total HC gain</t>
  </si>
  <si>
    <t>Kraken Lair - Eyepatch 4★ #8D1</t>
  </si>
  <si>
    <t>Kraken Lair - Eyepatch 4★ #386</t>
  </si>
  <si>
    <t>Kraken Lair - Eyepatch 4★ #E3B</t>
  </si>
  <si>
    <t>Kraken Lair - Eyepatch 4★ #8F0</t>
  </si>
  <si>
    <t>HC Economy - Sources</t>
  </si>
  <si>
    <t>Gold Cove - Doubloon 1★ #3A5</t>
  </si>
  <si>
    <t>HC gain / player (CORE)</t>
  </si>
  <si>
    <t>Gold Cove - Doubloon 1★ #E5A</t>
  </si>
  <si>
    <t>HC gain / player (META)</t>
  </si>
  <si>
    <t>Gold Cove - Doubloon 1★ #90F</t>
  </si>
  <si>
    <t>Gold Cove - Doubloon 1★ #3C4</t>
  </si>
  <si>
    <t>Gold Cove - Doubloon 1★ #E79</t>
  </si>
  <si>
    <t>Gold Cove - Doubloon 1★ #92E</t>
  </si>
  <si>
    <t>HC gain / player (AD)</t>
  </si>
  <si>
    <t>Gold Cove - Doubloon 1★ #3E3</t>
  </si>
  <si>
    <t>Gold Cove - Doubloon 1★ #E98</t>
  </si>
  <si>
    <t>HC gain / player (PURCHASE)</t>
  </si>
  <si>
    <t>Gold Cove - Doubloon 1★ #94D</t>
  </si>
  <si>
    <t>Gold Cove - Doubloon 1★ #402</t>
  </si>
  <si>
    <t>Gold Cove - Doubloon 1★ #EB7</t>
  </si>
  <si>
    <t>HC gain / player (OTHER)</t>
  </si>
  <si>
    <t>Gold Cove - Doubloon 1★ #96C</t>
  </si>
  <si>
    <t>HC Balance</t>
  </si>
  <si>
    <t>Gold Cove - Doubloon 1★ #421</t>
  </si>
  <si>
    <t>P50 HC balance</t>
  </si>
  <si>
    <t>Gold Cove - Ruby 1★ #ED6</t>
  </si>
  <si>
    <t>P75 HC balance</t>
  </si>
  <si>
    <t>Gold Cove - Ruby 1★ #98B</t>
  </si>
  <si>
    <t>P90 HC balance</t>
  </si>
  <si>
    <t>Gold Cove - Ruby 1★ #440</t>
  </si>
  <si>
    <t>P99 HC balance</t>
  </si>
  <si>
    <t>Gold Cove - Ruby 1★ #EF5</t>
  </si>
  <si>
    <t>Gold Cove - Ruby 1★ #9AA</t>
  </si>
  <si>
    <t>Boosters</t>
  </si>
  <si>
    <t>Booster gain total / player</t>
  </si>
  <si>
    <t>Gold Cove - Ruby 1★ #45F</t>
  </si>
  <si>
    <t>Gold Cove - Ruby 1★ #F14</t>
  </si>
  <si>
    <t>Gold Cove - Ruby 1★ #9C9</t>
  </si>
  <si>
    <t>Booster gain PAID / player</t>
  </si>
  <si>
    <t>Gold Cove - Ruby 1★ #47E</t>
  </si>
  <si>
    <t>Gold Cove - Ruby 1★ #F33</t>
  </si>
  <si>
    <t>Booster gain FREE / player</t>
  </si>
  <si>
    <t>Gold Cove - Ruby 1★ #9E8</t>
  </si>
  <si>
    <t>Gold Cove - Ruby 1★ #49D</t>
  </si>
  <si>
    <t>Gold Cove - Ruby 1★ #F52</t>
  </si>
  <si>
    <t>Booster spent / player</t>
  </si>
  <si>
    <t>Gold Cove - Emerald 1★ #A07</t>
  </si>
  <si>
    <t>Gold Cove - Emerald 1★ #4BC</t>
  </si>
  <si>
    <t>Booster NET (gain - spend) / player</t>
  </si>
  <si>
    <t>Gold Cove - Emerald 1★ #F71</t>
  </si>
  <si>
    <t>Booster spent / attempt</t>
  </si>
  <si>
    <t>Gold Cove - Emerald 1★ #A26</t>
  </si>
  <si>
    <t>Gold Cove - Emerald 1★ #4DB</t>
  </si>
  <si>
    <t>NS Actual Completions</t>
  </si>
  <si>
    <t>Previous</t>
  </si>
  <si>
    <t>Gold Cove - Emerald 1★ #F90</t>
  </si>
  <si>
    <t>NS active rate (%)</t>
  </si>
  <si>
    <t>Gold Cove - Emerald 1★ #A45</t>
  </si>
  <si>
    <t>R1 finished (%) [actual]</t>
  </si>
  <si>
    <t>Gold Cove - Emerald 1★ #4FA</t>
  </si>
  <si>
    <t>R2 finished (%) [actual]</t>
  </si>
  <si>
    <t>Gold Cove - Emerald 1★ #FAF</t>
  </si>
  <si>
    <t>Gold Cove - Emerald 1★ #A64</t>
  </si>
  <si>
    <t>R3 finished (%) [actual]</t>
  </si>
  <si>
    <t>Gold Cove - Emerald 1★ #519</t>
  </si>
  <si>
    <t>Gold Cove - Emerald 1★ #FCE</t>
  </si>
  <si>
    <t>Gold Cove - Emerald 1★ #A83</t>
  </si>
  <si>
    <t>Red gain total / player</t>
  </si>
  <si>
    <t>Gold Cove - Diamond 2★ #538</t>
  </si>
  <si>
    <t>Gold Cove - Diamond 2★ #FED</t>
  </si>
  <si>
    <t>Gold Cove - Diamond 2★ #AA2</t>
  </si>
  <si>
    <t>Gold Cove - Diamond 2★ #557</t>
  </si>
  <si>
    <t>Red gain PAID / player</t>
  </si>
  <si>
    <t>Gold Cove - Diamond 2★ #00C</t>
  </si>
  <si>
    <t>Gold Cove - Diamond 2★ #AC1</t>
  </si>
  <si>
    <t>Gold Cove - Diamond 2★ #576</t>
  </si>
  <si>
    <t>Red gain FREE / player</t>
  </si>
  <si>
    <t>Gold Cove - Diamond 2★ #02B</t>
  </si>
  <si>
    <t>Gold Cove - Diamond 2★ #AE0</t>
  </si>
  <si>
    <t>Gold Cove - Diamond 2★ #595</t>
  </si>
  <si>
    <t>Red spent / player</t>
  </si>
  <si>
    <t>Gold Cove - Diamond 2★ #04A</t>
  </si>
  <si>
    <t>Gold Cove - Diamond 2★ #AFF</t>
  </si>
  <si>
    <t>Gold Cove - Diamond 2★ #5B4</t>
  </si>
  <si>
    <t>Red NET (gain - spend) / player</t>
  </si>
  <si>
    <t>Gold Cove - Crown 2★ #069</t>
  </si>
  <si>
    <t>Gold Cove - Crown 2★ #B1E</t>
  </si>
  <si>
    <t>Chuck gain total / player</t>
  </si>
  <si>
    <t>Gold Cove - Crown 2★ #5D3</t>
  </si>
  <si>
    <t>Gold Cove - Crown 2★ #088</t>
  </si>
  <si>
    <t>Chuck gain PAID / player</t>
  </si>
  <si>
    <t>Gold Cove - Crown 2★ #B3D</t>
  </si>
  <si>
    <t>Gold Cove - Crown 2★ #5F2</t>
  </si>
  <si>
    <t>Chuck gain FREE / player</t>
  </si>
  <si>
    <t>Gold Cove - Crown 2★ #0A7</t>
  </si>
  <si>
    <t>Gold Cove - Crown 2★ #B5C</t>
  </si>
  <si>
    <t>Gold Cove - Crown 2★ #611</t>
  </si>
  <si>
    <t>Chuck spent / player</t>
  </si>
  <si>
    <t>Gold Cove - Crown 2★ #0C6</t>
  </si>
  <si>
    <t>Gold Cove - Crown 2★ #B7B</t>
  </si>
  <si>
    <t>Chuck NET (gain - spend) / player</t>
  </si>
  <si>
    <t>Gold Cove - Crown 2★ #630</t>
  </si>
  <si>
    <t>Bomb gain total / player</t>
  </si>
  <si>
    <t>Gold Cove - Crown 2★ #0E5</t>
  </si>
  <si>
    <t>Gold Cove - Goblet 3★ #B9A</t>
  </si>
  <si>
    <t>Gold Cove - Goblet 3★ #64F</t>
  </si>
  <si>
    <t>Bomb gain PAID / player</t>
  </si>
  <si>
    <t>Gold Cove - Goblet 3★ #104</t>
  </si>
  <si>
    <t>Bomb gain FREE / player</t>
  </si>
  <si>
    <t>Gold Cove - Goblet 3★ #BB9</t>
  </si>
  <si>
    <t>Gold Cove - Goblet 3★ #66E</t>
  </si>
  <si>
    <t>Bomb spent / player</t>
  </si>
  <si>
    <t>Gold Cove - Goblet 3★ #123</t>
  </si>
  <si>
    <t>Gold Cove - Goblet 3★ #BD8</t>
  </si>
  <si>
    <t>Gold Cove - Goblet 3★ #68D</t>
  </si>
  <si>
    <t>Bomb NET (gain - spend) / player</t>
  </si>
  <si>
    <t>Gold Cove - Goblet 3★ #142</t>
  </si>
  <si>
    <t>Slingshot gain total / player</t>
  </si>
  <si>
    <t>Gold Cove - Goblet 3★ #BF7</t>
  </si>
  <si>
    <t>Gold Cove - Goblet 3★ #6AC</t>
  </si>
  <si>
    <t>Gold Cove - Goblet 3★ #161</t>
  </si>
  <si>
    <t>Gold Cove - Goblet 3★ #C16</t>
  </si>
  <si>
    <t>Gold Cove - Necklace 4★ #6CB</t>
  </si>
  <si>
    <t>Slingshot gain PAID / player</t>
  </si>
  <si>
    <t>Gold Cove - Necklace 4★ #180</t>
  </si>
  <si>
    <t>Gold Cove - Necklace 4★ #C35</t>
  </si>
  <si>
    <t>Gold Cove - Necklace 4★ #6EA</t>
  </si>
  <si>
    <t>Slingshot gain FREE / player</t>
  </si>
  <si>
    <t>Gold Cove - Necklace 4★ #19F</t>
  </si>
  <si>
    <t>Gold Cove - Necklace 4★ #C54</t>
  </si>
  <si>
    <t>Slingshot spent / player</t>
  </si>
  <si>
    <t>10-19 Segment - Over Time Period</t>
  </si>
  <si>
    <t>Gold Cove - Necklace 4★ #709</t>
  </si>
  <si>
    <t>Gold Cove - Necklace 4★ #1BE</t>
  </si>
  <si>
    <t>10-19 Segment - Over Time Period - Difference</t>
  </si>
  <si>
    <t>Gold Cove - Necklace 4★ #C73</t>
  </si>
  <si>
    <t>Gold Cove - Necklace 4★ #728</t>
  </si>
  <si>
    <t>Gold Cove - Necklace 4★ #1DD</t>
  </si>
  <si>
    <t>Gold Cove - Necklace 4★ #C92</t>
  </si>
  <si>
    <t>Gold Cove - Ring 4★ #747</t>
  </si>
  <si>
    <t>Gold Cove - Ring 4★ #1FC</t>
  </si>
  <si>
    <t>Gold Cove - Ring 4★ #CB1</t>
  </si>
  <si>
    <t>Slingshot NET (gain - spend) / player</t>
  </si>
  <si>
    <t>Gold Cove - Ring 4★ #766</t>
  </si>
  <si>
    <t>Gold Cove - Ring 4★ #21B</t>
  </si>
  <si>
    <t>Gold Cove - Ring 4★ #CD0</t>
  </si>
  <si>
    <t>Gold Cove - Ring 4★ #785</t>
  </si>
  <si>
    <t>Gold Cove - Ring 4★ #23A</t>
  </si>
  <si>
    <t>Gold Cove - Ring 4★ #CEF</t>
  </si>
  <si>
    <t>Gold Cove - Ring 4★ #7A4</t>
  </si>
  <si>
    <t>Shuffle gain total / player</t>
  </si>
  <si>
    <t>Gold Cove - Ring 4★ #259</t>
  </si>
  <si>
    <t>Gold Cove - Scepter 5★ #D0E</t>
  </si>
  <si>
    <t>Gold Cove - Scepter 5★ #7C3</t>
  </si>
  <si>
    <t>Gold Cove - Scepter 5★ #278</t>
  </si>
  <si>
    <t>Shuffle gain PAID / player</t>
  </si>
  <si>
    <t>Gold Cove - Scepter 5★ #D2D</t>
  </si>
  <si>
    <t>Gold Cove - Scepter 5★ #7E2</t>
  </si>
  <si>
    <t>Gold Cove - Scepter 5★ #297</t>
  </si>
  <si>
    <t>Ghost Ship - Fog Horn 1★ #D4C</t>
  </si>
  <si>
    <t>Ghost Ship - Fog Horn 1★ #801</t>
  </si>
  <si>
    <t>Shuffle gain FREE / player</t>
  </si>
  <si>
    <t>Ghost Ship - Fog Horn 1★ #2B6</t>
  </si>
  <si>
    <t>Ghost Ship - Fog Horn 1★ #D6B</t>
  </si>
  <si>
    <t>Shuffle spent / player</t>
  </si>
  <si>
    <t>Ghost Ship - Fog Horn 1★ #820</t>
  </si>
  <si>
    <t>Shuffle NET (gain - spend) / player</t>
  </si>
  <si>
    <t>Ghost Ship - Fog Horn 1★ #2D5</t>
  </si>
  <si>
    <t>Ghost Ship - Fog Horn 1★ #D8A</t>
  </si>
  <si>
    <t>Ghost Ship - Fog Horn 1★ #83F</t>
  </si>
  <si>
    <t>Star</t>
  </si>
  <si>
    <t>Star gain total / player</t>
  </si>
  <si>
    <t>Ghost Ship - Fog Horn 1★ #2F4</t>
  </si>
  <si>
    <t>Ghost Ship - Fog Horn 1★ #DA9</t>
  </si>
  <si>
    <t>Ghost Ship - Fog Horn 1★ #85E</t>
  </si>
  <si>
    <t>Ghost Ship - Fog Horn 1★ #313</t>
  </si>
  <si>
    <t>Star gain PAID / player</t>
  </si>
  <si>
    <t>Ghost Ship - Fog Horn 1★ #DC8</t>
  </si>
  <si>
    <t>Ghost Ship - Sail 1★ #87D</t>
  </si>
  <si>
    <t>Ghost Ship - Sail 1★ #332</t>
  </si>
  <si>
    <t>Star gain FREE / player</t>
  </si>
  <si>
    <t>Ghost Ship - Sail 1★ #DE7</t>
  </si>
  <si>
    <t>Ghost Ship - Sail 1★ #89C</t>
  </si>
  <si>
    <t>Ghost Ship - Sail 1★ #351</t>
  </si>
  <si>
    <t>Star spent / player</t>
  </si>
  <si>
    <t>Ghost Ship - Sail 1★ #E06</t>
  </si>
  <si>
    <t>Ghost Ship - Sail 1★ #8BB</t>
  </si>
  <si>
    <t>Ghost Ship - Sail 1★ #370</t>
  </si>
  <si>
    <t>Ghost Ship - Sail 1★ #E25</t>
  </si>
  <si>
    <t>Star NET (gain - spend) / player</t>
  </si>
  <si>
    <t>Ghost Ship - Sail 1★ #8DA</t>
  </si>
  <si>
    <t>Ghost Ship - Sail 1★ #38F</t>
  </si>
  <si>
    <t>Ghost Ship - Sail 1★ #E44</t>
  </si>
  <si>
    <t>SPT gain total / player</t>
  </si>
  <si>
    <t>Ghost Ship - Sail 1★ #8F9</t>
  </si>
  <si>
    <t>Ghost Ship - Ghost Lamp 2★ #3AE</t>
  </si>
  <si>
    <t>SPT gainer rate (%)</t>
  </si>
  <si>
    <t>Ghost Ship - Ghost Lamp 2★ #E63</t>
  </si>
  <si>
    <t>Ghost Ship - Ghost Lamp 2★ #918</t>
  </si>
  <si>
    <t>Ghost Ship - Ghost Lamp 2★ #3CD</t>
  </si>
  <si>
    <t>Ghost Ship - Ghost Lamp 2★ #E82</t>
  </si>
  <si>
    <t>SPT gain / gainer</t>
  </si>
  <si>
    <t>Ghost Ship - Ghost Lamp 2★ #937</t>
  </si>
  <si>
    <t>Ghost Ship - Ghost Lamp 2★ #3EC</t>
  </si>
  <si>
    <t>Ghost Ship - Ghost Lamp 2★ #EA1</t>
  </si>
  <si>
    <t>SPT gain / player (CORE)</t>
  </si>
  <si>
    <t>Ghost Ship - Ghost Lamp 2★ #956</t>
  </si>
  <si>
    <t>Ghost Ship - Ghost Lamp 2★ #40B</t>
  </si>
  <si>
    <t>Ghost Ship - Ghost Lamp 2★ #EC0</t>
  </si>
  <si>
    <t>SPT gain / player (RAINBOW)</t>
  </si>
  <si>
    <t>Ghost Ship - Ghost Lamp 2★ #975</t>
  </si>
  <si>
    <t>Ghost Ship - Ghost Lamp 2★ #42A</t>
  </si>
  <si>
    <t>Ghost Ship - Key 2★ #EDF</t>
  </si>
  <si>
    <t>Ghost Ship - Key 2★ #994</t>
  </si>
  <si>
    <t>Ghost Ship - Key 2★ #449</t>
  </si>
  <si>
    <t>Ghost Ship - Key 2★ #EFE</t>
  </si>
  <si>
    <t>Ghost Ship - Key 2★ #9B3</t>
  </si>
  <si>
    <t>SPT gain / player (OFFER)</t>
  </si>
  <si>
    <t>Ghost Ship - Key 2★ #468</t>
  </si>
  <si>
    <t>Ghost Ship - Key 2★ #F1D</t>
  </si>
  <si>
    <t>overall</t>
  </si>
  <si>
    <t>Ghost Ship - Key 2★ #9D2</t>
  </si>
  <si>
    <t>SPT gain / player (EVENT)</t>
  </si>
  <si>
    <t>Ghost Ship - Key 2★ #487</t>
  </si>
  <si>
    <t>Ghost Ship - Key 2★ #F3C</t>
  </si>
  <si>
    <t>Ghost Ship - Key 2★ #9F1</t>
  </si>
  <si>
    <t>SPT gain / player (OTHER)</t>
  </si>
  <si>
    <t>Ghost Ship - Key 2★ #4A6</t>
  </si>
  <si>
    <t>Ghost Ship - Key 2★ #F5B</t>
  </si>
  <si>
    <t>Ghost Ship - Plank 3★ #A10</t>
  </si>
  <si>
    <t>Ghost Ship - Plank 3★ #4C5</t>
  </si>
  <si>
    <t>Ghost Ship - Plank 3★ #F7A</t>
  </si>
  <si>
    <t>Ghost Ship - Plank 3★ #A2F</t>
  </si>
  <si>
    <t>Ghost Ship - Plank 3★ #4E4</t>
  </si>
  <si>
    <t>Ghost Ship - Plank 3★ #F99</t>
  </si>
  <si>
    <t>Ghost Ship - Plank 3★ #A4E</t>
  </si>
  <si>
    <t>Ghost Ship - Plank 3★ #503</t>
  </si>
  <si>
    <t>Ghost Ship - Plank 3★ #FB8</t>
  </si>
  <si>
    <t>Ghost Ship - Plank 3★ #A6D</t>
  </si>
  <si>
    <t>Ghost Ship - Plank 3★ #522</t>
  </si>
  <si>
    <t>Ghost Ship - Plank 3★ #FD7</t>
  </si>
  <si>
    <t>Ghost Ship - Plank 3★ #A8C</t>
  </si>
  <si>
    <t>Ghost Ship - Nest 3★ #541</t>
  </si>
  <si>
    <t>Ghost Ship - Nest 3★ #FF6</t>
  </si>
  <si>
    <t>Ghost Ship - Nest 3★ #AAB</t>
  </si>
  <si>
    <t>Ghost Ship - Nest 3★ #560</t>
  </si>
  <si>
    <t>Ghost Ship - Nest 3★ #015</t>
  </si>
  <si>
    <t>Ghost Ship - Nest 3★ #ACA</t>
  </si>
  <si>
    <t>Ghost Ship - Nest 3★ #57F</t>
  </si>
  <si>
    <t>Ghost Ship - Nest 3★ #034</t>
  </si>
  <si>
    <t>Ghost Ship - Nest 3★ #AE9</t>
  </si>
  <si>
    <t>Ghost Ship - Nest 3★ #59E</t>
  </si>
  <si>
    <t>Ghost Ship - Nest 3★ #053</t>
  </si>
  <si>
    <t>Ghost Ship - Nest 3★ #B08</t>
  </si>
  <si>
    <t>Ghost Ship - Nest 3★ #5BD</t>
  </si>
  <si>
    <t>Ghost Ship - Flag 4★ #072</t>
  </si>
  <si>
    <t>Ghost Ship - Flag 4★ #B27</t>
  </si>
  <si>
    <t>Ghost Ship - Flag 4★ #5DC</t>
  </si>
  <si>
    <t>Ghost Ship - Flag 4★ #091</t>
  </si>
  <si>
    <t>Ghost Ship - Flag 4★ #B46</t>
  </si>
  <si>
    <t>Ghost Ship - Flag 4★ #5FB</t>
  </si>
  <si>
    <t>Ghost Ship - Flag 4★ #0B0</t>
  </si>
  <si>
    <t>Ghost Ship - Flag 4★ #B65</t>
  </si>
  <si>
    <t>Ghost Ship - Flag 4★ #61A</t>
  </si>
  <si>
    <t>Ghost Ship - Flag 4★ #0CF</t>
  </si>
  <si>
    <t>Ghost Ship - Flag 4★ #B84</t>
  </si>
  <si>
    <t>Ghost Ship - Chain 4★ #639</t>
  </si>
  <si>
    <t>Ghost Ship - Chain 4★ #0EE</t>
  </si>
  <si>
    <t>Ghost Ship - Chain 4★ #BA3</t>
  </si>
  <si>
    <t>Ghost Ship - Chain 4★ #658</t>
  </si>
  <si>
    <t>Ghost Ship - Chain 4★ #10D</t>
  </si>
  <si>
    <t>Ghost Ship - Chain 4★ #BC2</t>
  </si>
  <si>
    <t>Ghost Ship - Chain 4★ #677</t>
  </si>
  <si>
    <t>Ghost Ship - Chain 4★ #12C</t>
  </si>
  <si>
    <t>Ghost Ship - Chain 4★ #BE1</t>
  </si>
  <si>
    <t>Ghost Ship - Chain 4★ #696</t>
  </si>
  <si>
    <t>Ghost Ship - Chain 4★ #14B</t>
  </si>
  <si>
    <t>Ghost Ship - Log 5★ #C00</t>
  </si>
  <si>
    <t>Ghost Ship - Log 5★ #6B5</t>
  </si>
  <si>
    <t>Ghost Ship - Log 5★ #16A</t>
  </si>
  <si>
    <t>Ghost Ship - Log 5★ #C1F</t>
  </si>
  <si>
    <t>Ghost Ship - Log 5★ #6D4</t>
  </si>
  <si>
    <t>Storm Port - Lightning 1★ #189</t>
  </si>
  <si>
    <t>Storm Port - Lightning 1★ #C3E</t>
  </si>
  <si>
    <t>Storm Port - Lightning 1★ #6F3</t>
  </si>
  <si>
    <t>Storm Port - Lightning 1★ #1A8</t>
  </si>
  <si>
    <t>Storm Port - Lightning 1★ #C5D</t>
  </si>
  <si>
    <t>Storm Port - Lightning 1★ #712</t>
  </si>
  <si>
    <t>Storm Port - Lightning 1★ #1C7</t>
  </si>
  <si>
    <t>Storm Port - Lightning 1★ #C7C</t>
  </si>
  <si>
    <t>Storm Port - Lightning 1★ #731</t>
  </si>
  <si>
    <t>Storm Port - Lightning 1★ #1E6</t>
  </si>
  <si>
    <t>Storm Port - Lightning 1★ #C9B</t>
  </si>
  <si>
    <t>Storm Port - Lightning 1★ #750</t>
  </si>
  <si>
    <t>Storm Port - Lightning 1★ #205</t>
  </si>
  <si>
    <t>Storm Port - Barrel 1★ #CBA</t>
  </si>
  <si>
    <t>Storm Port - Barrel 1★ #76F</t>
  </si>
  <si>
    <t>Storm Port - Barrel 1★ #224</t>
  </si>
  <si>
    <t>Storm Port - Barrel 1★ #CD9</t>
  </si>
  <si>
    <t>Storm Port - Barrel 1★ #78E</t>
  </si>
  <si>
    <t>Storm Port - Barrel 1★ #243</t>
  </si>
  <si>
    <t>Storm Port - Barrel 1★ #CF8</t>
  </si>
  <si>
    <t>Storm Port - Barrel 1★ #7AD</t>
  </si>
  <si>
    <t>Storm Port - Barrel 1★ #262</t>
  </si>
  <si>
    <t>Storm Port - Barrel 1★ #D17</t>
  </si>
  <si>
    <t>Storm Port - Barrel 1★ #7CC</t>
  </si>
  <si>
    <t>Storm Port - Barrel 1★ #281</t>
  </si>
  <si>
    <t>A/B Test Summary - Overall (across all buckets)</t>
  </si>
  <si>
    <t>Storm Port - Barrel 1★ #D36</t>
  </si>
  <si>
    <t>Storm Port - Rope 2★ #7EB</t>
  </si>
  <si>
    <t>Δ Abs</t>
  </si>
  <si>
    <t>Storm Port - Rope 2★ #2A0</t>
  </si>
  <si>
    <t>Storm Port - Rope 2★ #D55</t>
  </si>
  <si>
    <t>Storm Port - Rope 2★ #80A</t>
  </si>
  <si>
    <t>Storm Port - Rope 2★ #2BF</t>
  </si>
  <si>
    <t>Storm Port - Rope 2★ #D74</t>
  </si>
  <si>
    <t>$50,504</t>
  </si>
  <si>
    <t>$45,929</t>
  </si>
  <si>
    <t>-$4,574.40</t>
  </si>
  <si>
    <t>$0.0903</t>
  </si>
  <si>
    <t>Storm Port - Rope 2★ #829</t>
  </si>
  <si>
    <t>$0.0828</t>
  </si>
  <si>
    <t>-$0.01</t>
  </si>
  <si>
    <t>$17.0161</t>
  </si>
  <si>
    <t>$15.6489</t>
  </si>
  <si>
    <t>-$1.37</t>
  </si>
  <si>
    <t>Storm Port - Rope 2★ #2DE</t>
  </si>
  <si>
    <t>Storm Port - Rope 2★ #D93</t>
  </si>
  <si>
    <t>Storm Port - Rope 2★ #848</t>
  </si>
  <si>
    <t>Storm Port - Rope 2★ #2FD</t>
  </si>
  <si>
    <t>Storm Port - Rope 2★ #DB2</t>
  </si>
  <si>
    <t>Storm Port - Rope 2★ #867</t>
  </si>
  <si>
    <t>Storm Port - Cleat 2★ #31C</t>
  </si>
  <si>
    <t>Storm Port - Cleat 2★ #DD1</t>
  </si>
  <si>
    <t>Storm Port - Cleat 2★ #886</t>
  </si>
  <si>
    <t>Storm Port - Cleat 2★ #33B</t>
  </si>
  <si>
    <t>Storm Port - Cleat 2★ #DF0</t>
  </si>
  <si>
    <t>Storm Port - Cleat 2★ #8A5</t>
  </si>
  <si>
    <t>Storm Port - Cleat 2★ #35A</t>
  </si>
  <si>
    <t>Storm Port - Cleat 2★ #E0F</t>
  </si>
  <si>
    <t>Storm Port - Cleat 2★ #8C4</t>
  </si>
  <si>
    <t>HC gain (ex-saga) / player</t>
  </si>
  <si>
    <t>Storm Port - Cleat 2★ #379</t>
  </si>
  <si>
    <t>HC gain from saga / player</t>
  </si>
  <si>
    <t>Storm Port - Cleat 2★ #E2E</t>
  </si>
  <si>
    <t>Storm Port - Cleat 2★ #8E3</t>
  </si>
  <si>
    <t>HC net (gain - spend) / player</t>
  </si>
  <si>
    <t>Storm Port - Cleat 2★ #398</t>
  </si>
  <si>
    <t>Storm Port - Flare 3★ #E4D</t>
  </si>
  <si>
    <t>Storm Port - Flare 3★ #902</t>
  </si>
  <si>
    <t>Storm Port - Flare 3★ #3B7</t>
  </si>
  <si>
    <t>Storm Port - Flare 3★ #E6C</t>
  </si>
  <si>
    <t>Storm Port - Flare 3★ #921</t>
  </si>
  <si>
    <t>Storm Port - Flare 3★ #3D6</t>
  </si>
  <si>
    <t>Storm Port - Flare 3★ #E8B</t>
  </si>
  <si>
    <t>Performance</t>
  </si>
  <si>
    <t>Storm Port - Flare 3★ #940</t>
  </si>
  <si>
    <t>Avg player performance</t>
  </si>
  <si>
    <t>Avg PR (last 50 lvls)</t>
  </si>
  <si>
    <t>Storm Port - Flare 3★ #3F5</t>
  </si>
  <si>
    <t>NS Round Pass %</t>
  </si>
  <si>
    <t>R1 pass rate (%)</t>
  </si>
  <si>
    <t>R2 pass rate (%)</t>
  </si>
  <si>
    <t>Storm Port - Flare 3★ #EAA</t>
  </si>
  <si>
    <t>R3 pass rate (%)</t>
  </si>
  <si>
    <t>Retention</t>
  </si>
  <si>
    <t>Storm Port - Flare 3★ #95F</t>
  </si>
  <si>
    <t>D1 churn rate</t>
  </si>
  <si>
    <t>Storm Port - Flare 3★ #414</t>
  </si>
  <si>
    <t>Storm Port - Flare 3★ #EC9</t>
  </si>
  <si>
    <t>R1 finished (%) [claims]</t>
  </si>
  <si>
    <t>R2 finished (%) [claims]</t>
  </si>
  <si>
    <t>R3 finished (%) [claims]</t>
  </si>
  <si>
    <t>Storm Port - Bucket 4★ #97E</t>
  </si>
  <si>
    <t>Storm Port - Bucket 4★ #433</t>
  </si>
  <si>
    <t>Storm Port - Bucket 4★ #EE8</t>
  </si>
  <si>
    <t>Storm Port - Bucket 4★ #99D</t>
  </si>
  <si>
    <t>Storm Port - Bucket 4★ #452</t>
  </si>
  <si>
    <t>Storm Port - Bucket 4★ #F07</t>
  </si>
  <si>
    <t>Storm Port - Bucket 4★ #9BC</t>
  </si>
  <si>
    <t>Storm Port - Bucket 4★ #471</t>
  </si>
  <si>
    <t>Storm Port - Bucket 4★ #F26</t>
  </si>
  <si>
    <t>Storm Port - Bucket 4★ #9DB</t>
  </si>
  <si>
    <t>Storm Port - Bucket 4★ #490</t>
  </si>
  <si>
    <t>Storm Port - Windmill 4★ #F45</t>
  </si>
  <si>
    <t>Storm Port - Windmill 4★ #9FA</t>
  </si>
  <si>
    <t>Storm Port - Windmill 4★ #4AF</t>
  </si>
  <si>
    <t>Storm Port - Windmill 4★ #F64</t>
  </si>
  <si>
    <t>Storm Port - Windmill 4★ #A19</t>
  </si>
  <si>
    <t>Storm Port - Windmill 4★ #4CE</t>
  </si>
  <si>
    <t>Storm Port - Windmill 4★ #F83</t>
  </si>
  <si>
    <t>Storm Port - Windmill 4★ #A38</t>
  </si>
  <si>
    <t>Storm Port - Windmill 4★ #4ED</t>
  </si>
  <si>
    <t>Storm Port - Windmill 4★ #FA2</t>
  </si>
  <si>
    <t>Storm Port - Windmill 4★ #A57</t>
  </si>
  <si>
    <t>Storm Port - Lighthouse 5★ #50C</t>
  </si>
  <si>
    <t>Storm Port - Lighthouse 5★ #FC1</t>
  </si>
  <si>
    <t>Storm Port - Lighthouse 5★ #A76</t>
  </si>
  <si>
    <t>Storm Port - Lighthouse 5★ #52B</t>
  </si>
  <si>
    <t>Storm Port - Lighthouse 5★ #FE0</t>
  </si>
  <si>
    <t>Storm Port - Drum 5★ #A95</t>
  </si>
  <si>
    <t>Storm Port - Drum 5★ #54A</t>
  </si>
  <si>
    <t>Storm Port - Drum 5★ #FFF</t>
  </si>
  <si>
    <t>Storm Port - Drum 5★ #AB4</t>
  </si>
  <si>
    <t>Storm Port - Drum 5★ #569</t>
  </si>
  <si>
    <t>Cannon Fort - Cannonball 1★ #01E</t>
  </si>
  <si>
    <t>Cannon Fort - Cannonball 1★ #AD3</t>
  </si>
  <si>
    <t>Cannon Fort - Cannonball 1★ #588</t>
  </si>
  <si>
    <t>20-39 Segment - Over Time Period</t>
  </si>
  <si>
    <t>Cannon Fort - Cannonball 1★ #03D</t>
  </si>
  <si>
    <t>20-39 Segment - Over Time Period - Difference</t>
  </si>
  <si>
    <t>Cannon Fort - Cannonball 1★ #AF2</t>
  </si>
  <si>
    <t>Cannon Fort - Cannonball 1★ #5A7</t>
  </si>
  <si>
    <t>Cannon Fort - Cannonball 1★ #05C</t>
  </si>
  <si>
    <t>Cannon Fort - Cannonball 1★ #B11</t>
  </si>
  <si>
    <t>Cannon Fort - Cannonball 1★ #5C6</t>
  </si>
  <si>
    <t>Cannon Fort - Cannonball 1★ #07B</t>
  </si>
  <si>
    <t>Cannon Fort - Cannonball 1★ #B30</t>
  </si>
  <si>
    <t>Cannon Fort - Cannonball 1★ #5E5</t>
  </si>
  <si>
    <t>Cannon Fort - Cannonball 1★ #09A</t>
  </si>
  <si>
    <t>Cannon Fort - Powder 1★ #B4F</t>
  </si>
  <si>
    <t>Cannon Fort - Powder 1★ #604</t>
  </si>
  <si>
    <t>Cannon Fort - Powder 1★ #0B9</t>
  </si>
  <si>
    <t>Cannon Fort - Powder 1★ #B6E</t>
  </si>
  <si>
    <t>Cannon Fort - Powder 1★ #623</t>
  </si>
  <si>
    <t>Cannon Fort - Powder 1★ #0D8</t>
  </si>
  <si>
    <t>Cannon Fort - Powder 1★ #B8D</t>
  </si>
  <si>
    <t>Cannon Fort - Powder 1★ #642</t>
  </si>
  <si>
    <t>Cannon Fort - Powder 1★ #0F7</t>
  </si>
  <si>
    <t>Cannon Fort - Powder 1★ #BAC</t>
  </si>
  <si>
    <t>Cannon Fort - Powder 1★ #661</t>
  </si>
  <si>
    <t>Cannon Fort - Powder 1★ #116</t>
  </si>
  <si>
    <t>Cannon Fort - Powder 1★ #BCB</t>
  </si>
  <si>
    <t>Cannon Fort - Fuse 2★ #680</t>
  </si>
  <si>
    <t>Cannon Fort - Fuse 2★ #135</t>
  </si>
  <si>
    <t>Cannon Fort - Fuse 2★ #BEA</t>
  </si>
  <si>
    <t>Cannon Fort - Fuse 2★ #69F</t>
  </si>
  <si>
    <t>Cannon Fort - Fuse 2★ #154</t>
  </si>
  <si>
    <t>Cannon Fort - Fuse 2★ #C09</t>
  </si>
  <si>
    <t>Cannon Fort - Fuse 2★ #6BE</t>
  </si>
  <si>
    <t>Cannon Fort - Fuse 2★ #173</t>
  </si>
  <si>
    <t>Cannon Fort - Fuse 2★ #C28</t>
  </si>
  <si>
    <t>Cannon Fort - Fuse 2★ #6DD</t>
  </si>
  <si>
    <t>Cannon Fort - Fuse 2★ #192</t>
  </si>
  <si>
    <t>Cannon Fort - Fuse 2★ #C47</t>
  </si>
  <si>
    <t>Cannon Fort - Ramrod 2★ #6FC</t>
  </si>
  <si>
    <t>Cannon Fort - Ramrod 2★ #1B1</t>
  </si>
  <si>
    <t>Cannon Fort - Ramrod 2★ #C66</t>
  </si>
  <si>
    <t>Cannon Fort - Ramrod 2★ #71B</t>
  </si>
  <si>
    <t>DAILY RESOURCE GAINS + NET - 21-day calendar, per earner (day 1 = Wednesday)</t>
  </si>
  <si>
    <t>Cannon Fort - Ramrod 2★ #1D0</t>
  </si>
  <si>
    <t>Cannon Fort - Ramrod 2★ #C85</t>
  </si>
  <si>
    <t>source dropdown list</t>
  </si>
  <si>
    <t>Cannon Fort - Ramrod 2★ #73A</t>
  </si>
  <si>
    <t>Cannon Fort - Ramrod 2★ #1EF</t>
  </si>
  <si>
    <t>ALL</t>
  </si>
  <si>
    <t>Cannon Fort - Ramrod 2★ #CA4</t>
  </si>
  <si>
    <t>Cannon Fort - Ramrod 2★ #759</t>
  </si>
  <si>
    <t>Cannon Fort - Ramrod 2★ #20E</t>
  </si>
  <si>
    <t>Cannon Fort - Ramrod 2★ #CC3</t>
  </si>
  <si>
    <t>Cannon Fort - War Flag 3★ #778</t>
  </si>
  <si>
    <t>◀ filters (dropdowns) - the whole table re-simulates on change</t>
  </si>
  <si>
    <t>Cannon Fort - War Flag 3★ #22D</t>
  </si>
  <si>
    <t>Cannon Fort - War Flag 3★ #CE2</t>
  </si>
  <si>
    <t>Cannon Fort - War Flag 3★ #797</t>
  </si>
  <si>
    <t>Cannon Fort - War Flag 3★ #24C</t>
  </si>
  <si>
    <t>Cannon Fort - War Flag 3★ #D01</t>
  </si>
  <si>
    <t>Cannon Fort - War Flag 3★ #7B6</t>
  </si>
  <si>
    <t>Cannon Fort - War Flag 3★ #26B</t>
  </si>
  <si>
    <t>Cannon Fort - War Flag 3★ #D20</t>
  </si>
  <si>
    <t>◄ CURRENT (cal_curr, measured) ►</t>
  </si>
  <si>
    <t>Cannon Fort - War Flag 3★ #7D5</t>
  </si>
  <si>
    <t>Cannon Fort - War Flag 3★ #28A</t>
  </si>
  <si>
    <t>Cannon Fort - War Flag 3★ #D3F</t>
  </si>
  <si>
    <t>◄ NEW (cal_new, simulated) ►</t>
  </si>
  <si>
    <t>Cannon Fort - War Flag 3★ #7F4</t>
  </si>
  <si>
    <t>Cannon Fort - Tower 4★ #2A9</t>
  </si>
  <si>
    <t>Cannon Fort - Tower 4★ #D5E</t>
  </si>
  <si>
    <t>Δ  NEW − CURRENT (same day)</t>
  </si>
  <si>
    <t>Cannon Fort - Tower 4★ #813</t>
  </si>
  <si>
    <t>Cannon Fort - Tower 4★ #2C8</t>
  </si>
  <si>
    <t>Cannon Fort - Tower 4★ #D7D</t>
  </si>
  <si>
    <t>Cannon Fort - Tower 4★ #832</t>
  </si>
  <si>
    <t>Cannon Fort - Tower 4★ #2E7</t>
  </si>
  <si>
    <t>Cannon Fort - Tower 4★ #D9C</t>
  </si>
  <si>
    <t>◄ ACTUAL SPEND / earner (data_econ_daily) ►</t>
  </si>
  <si>
    <t>Cannon Fort - Tower 4★ #851</t>
  </si>
  <si>
    <t>Cannon Fort - Tower 4★ #306</t>
  </si>
  <si>
    <t>◄ CURRENT NET / earner (gain − spend) ►</t>
  </si>
  <si>
    <t>Cannon Fort - Tower 4★ #DBB</t>
  </si>
  <si>
    <t>Cannon Fort - Bridge 5★ #870</t>
  </si>
  <si>
    <t>◄ NEW NET / earner (gain + sim Δ − spend) ►</t>
  </si>
  <si>
    <t>Cannon Fort - Bridge 5★ #325</t>
  </si>
  <si>
    <t>Cannon Fort - Bridge 5★ #DDA</t>
  </si>
  <si>
    <t>Δ  NET</t>
  </si>
  <si>
    <t>Cannon Fort - Bridge 5★ #88F</t>
  </si>
  <si>
    <t>Cannon Fort - Bridge 5★ #344</t>
  </si>
  <si>
    <t>Cannon Fort - Catapult 5★ #DF9</t>
  </si>
  <si>
    <t>Cannon Fort - Catapult 5★ #8AE</t>
  </si>
  <si>
    <t>Cannon Fort - Catapult 5★ #363</t>
  </si>
  <si>
    <t>DoW</t>
  </si>
  <si>
    <t>Cannon Fort - Catapult 5★ #E18</t>
  </si>
  <si>
    <t>Cannon Fort - Catapult 5★ #8CD</t>
  </si>
  <si>
    <t>Cannon Fort - Horn 5★ #382</t>
  </si>
  <si>
    <t>Cannon Fort - Horn 5★ #E37</t>
  </si>
  <si>
    <t>Cannon Fort - Horn 5★ #8EC</t>
  </si>
  <si>
    <t>Cannon Fort - Horn 5★ #3A1</t>
  </si>
  <si>
    <t>Cannon Fort - Horn 5★ #E56</t>
  </si>
  <si>
    <t>Siren Reef - Harp 1★ #90B</t>
  </si>
  <si>
    <t>Siren Reef - Harp 1★ #3C0</t>
  </si>
  <si>
    <t>Siren Reef - Harp 1★ #E75</t>
  </si>
  <si>
    <t>Siren Reef - Harp 1★ #92A</t>
  </si>
  <si>
    <t>Siren Reef - Harp 1★ #3DF</t>
  </si>
  <si>
    <t>Siren Reef - Harp 1★ #E94</t>
  </si>
  <si>
    <t>Siren Reef - Harp 1★ #949</t>
  </si>
  <si>
    <t>Siren Reef - Harp 1★ #3FE</t>
  </si>
  <si>
    <t>Siren Reef - Harp 1★ #EB3</t>
  </si>
  <si>
    <t>Siren Reef - Harp 1★ #968</t>
  </si>
  <si>
    <t>Wed</t>
  </si>
  <si>
    <t>Siren Reef - Harp 1★ #41D</t>
  </si>
  <si>
    <t>Siren Reef - Harp 1★ #ED2</t>
  </si>
  <si>
    <t>Siren Reef - Harp 1★ #987</t>
  </si>
  <si>
    <t>Siren Reef - Mirror 1★ #43C</t>
  </si>
  <si>
    <t>Siren Reef - Mirror 1★ #EF1</t>
  </si>
  <si>
    <t>Siren Reef - Mirror 1★ #9A6</t>
  </si>
  <si>
    <t>Siren Reef - Mirror 1★ #45B</t>
  </si>
  <si>
    <t>Siren Reef - Mirror 1★ #F10</t>
  </si>
  <si>
    <t>Siren Reef - Mirror 1★ #9C5</t>
  </si>
  <si>
    <t>Siren Reef - Mirror 1★ #47A</t>
  </si>
  <si>
    <t>Siren Reef - Mirror 1★ #F2F</t>
  </si>
  <si>
    <t>Siren Reef - Mirror 1★ #9E4</t>
  </si>
  <si>
    <t>Siren Reef - Mirror 1★ #499</t>
  </si>
  <si>
    <t>Siren Reef - Mirror 1★ #F4E</t>
  </si>
  <si>
    <t>Siren Reef - Mirror 1★ #A03</t>
  </si>
  <si>
    <t>Siren Reef - Mirror 1★ #4B8</t>
  </si>
  <si>
    <t>Siren Reef - Comb 2★ #F6D</t>
  </si>
  <si>
    <t>Siren Reef - Comb 2★ #A22</t>
  </si>
  <si>
    <t>Siren Reef - Comb 2★ #4D7</t>
  </si>
  <si>
    <t>Siren Reef - Comb 2★ #F8C</t>
  </si>
  <si>
    <t>Siren Reef - Comb 2★ #A41</t>
  </si>
  <si>
    <t>Siren Reef - Comb 2★ #4F6</t>
  </si>
  <si>
    <t>Siren Reef - Comb 2★ #FAB</t>
  </si>
  <si>
    <t>Siren Reef - Comb 2★ #A60</t>
  </si>
  <si>
    <t>Siren Reef - Comb 2★ #515</t>
  </si>
  <si>
    <t>Siren Reef - Comb 2★ #FCA</t>
  </si>
  <si>
    <t>Siren Reef - Comb 2★ #A7F</t>
  </si>
  <si>
    <t>Siren Reef - Comb 2★ #534</t>
  </si>
  <si>
    <t>Siren Reef - Witch 2★ #FE9</t>
  </si>
  <si>
    <t>Siren Reef - Witch 2★ #A9E</t>
  </si>
  <si>
    <t>Siren Reef - Witch 2★ #553</t>
  </si>
  <si>
    <t>Siren Reef - Witch 2★ #008</t>
  </si>
  <si>
    <t>Siren Reef - Witch 2★ #ABD</t>
  </si>
  <si>
    <t>Siren Reef - Witch 2★ #572</t>
  </si>
  <si>
    <t>Siren Reef - Witch 2★ #027</t>
  </si>
  <si>
    <t>Siren Reef - Witch 2★ #ADC</t>
  </si>
  <si>
    <t>Siren Reef - Witch 2★ #591</t>
  </si>
  <si>
    <t>Siren Reef - Witch 2★ #046</t>
  </si>
  <si>
    <t>Siren Reef - Witch 2★ #AFB</t>
  </si>
  <si>
    <t>Siren Reef - Witch 2★ #5B0</t>
  </si>
  <si>
    <t>Siren Reef - Starfish 3★ #065</t>
  </si>
  <si>
    <t>Siren Reef - Starfish 3★ #B1A</t>
  </si>
  <si>
    <t>Siren Reef - Starfish 3★ #5CF</t>
  </si>
  <si>
    <t>Siren Reef - Starfish 3★ #084</t>
  </si>
  <si>
    <t>Thu</t>
  </si>
  <si>
    <t>Siren Reef - Starfish 3★ #B39</t>
  </si>
  <si>
    <t>Siren Reef - Starfish 3★ #5EE</t>
  </si>
  <si>
    <t>Siren Reef - Starfish 3★ #0A3</t>
  </si>
  <si>
    <t>Siren Reef - Starfish 3★ #B58</t>
  </si>
  <si>
    <t>Siren Reef - Starfish 3★ #60D</t>
  </si>
  <si>
    <t>Siren Reef - Starfish 3★ #0C2</t>
  </si>
  <si>
    <t>Siren Reef - Starfish 3★ #B77</t>
  </si>
  <si>
    <t>Siren Reef - Starfish 3★ #62C</t>
  </si>
  <si>
    <t>Siren Reef - Starfish 3★ #0E1</t>
  </si>
  <si>
    <t>Siren Reef - Moonstone 4★ #B96</t>
  </si>
  <si>
    <t>Siren Reef - Moonstone 4★ #64B</t>
  </si>
  <si>
    <t>Fri</t>
  </si>
  <si>
    <t>Siren Reef - Moonstone 4★ #100</t>
  </si>
  <si>
    <t>Siren Reef - Moonstone 4★ #BB5</t>
  </si>
  <si>
    <t>Siren Reef - Moonstone 4★ #66A</t>
  </si>
  <si>
    <t>Siren Reef - Moonstone 4★ #11F</t>
  </si>
  <si>
    <t>Siren Reef - Moonstone 4★ #BD4</t>
  </si>
  <si>
    <t>Siren Reef - Moonstone 4★ #689</t>
  </si>
  <si>
    <t>Siren Reef - Moonstone 4★ #13E</t>
  </si>
  <si>
    <t>Siren Reef - Moonstone 4★ #BF3</t>
  </si>
  <si>
    <t>Siren Reef - Moonstone 4★ #6A8</t>
  </si>
  <si>
    <t>Siren Reef - Wave 5★ #15D</t>
  </si>
  <si>
    <t>Sat</t>
  </si>
  <si>
    <t>Siren Reef - Wave 5★ #C12</t>
  </si>
  <si>
    <t>Siren Reef - Wave 5★ #6C7</t>
  </si>
  <si>
    <t>Siren Reef - Wave 5★ #17C</t>
  </si>
  <si>
    <t>Siren Reef - Wave 5★ #C31</t>
  </si>
  <si>
    <t>Siren Reef - Driftwood 5★ #6E6</t>
  </si>
  <si>
    <t>Siren Reef - Driftwood 5★ #19B</t>
  </si>
  <si>
    <t>Siren Reef - Driftwood 5★ #C50</t>
  </si>
  <si>
    <t>Siren Reef - Driftwood 5★ #705</t>
  </si>
  <si>
    <t>Siren Reef - Driftwood 5★ #1BA</t>
  </si>
  <si>
    <t>Siren Reef - Conch 5★ #C6F</t>
  </si>
  <si>
    <t>Siren Reef - Conch 5★ #724</t>
  </si>
  <si>
    <t>Siren Reef - Conch 5★ #1D9</t>
  </si>
  <si>
    <t>Siren Reef - Conch 5★ #C8E</t>
  </si>
  <si>
    <t>Sun</t>
  </si>
  <si>
    <t>Siren Reef - Conch 5★ #743</t>
  </si>
  <si>
    <t>Dead Man Bay - Pistol 1★ #1F8</t>
  </si>
  <si>
    <t>Dead Man Bay - Pistol 1★ #CAD</t>
  </si>
  <si>
    <t>Dead Man Bay - Pistol 1★ #762</t>
  </si>
  <si>
    <t>Dead Man Bay - Pistol 1★ #217</t>
  </si>
  <si>
    <t>Dead Man Bay - Pistol 1★ #CCC</t>
  </si>
  <si>
    <t>Dead Man Bay - Pistol 1★ #781</t>
  </si>
  <si>
    <t>Dead Man Bay - Pistol 1★ #236</t>
  </si>
  <si>
    <t>Dead Man Bay - Pistol 1★ #CEB</t>
  </si>
  <si>
    <t>Dead Man Bay - Pistol 1★ #7A0</t>
  </si>
  <si>
    <t>Dead Man Bay - Pistol 1★ #255</t>
  </si>
  <si>
    <t>Mon</t>
  </si>
  <si>
    <t>Dead Man Bay - Pistol 1★ #D0A</t>
  </si>
  <si>
    <t>Dead Man Bay - Pistol 1★ #7BF</t>
  </si>
  <si>
    <t>Dead Man Bay - Pistol 1★ #274</t>
  </si>
  <si>
    <t>Dead Man Bay - Rum 1★ #D29</t>
  </si>
  <si>
    <t>Dead Man Bay - Rum 1★ #7DE</t>
  </si>
  <si>
    <t>Dead Man Bay - Rum 1★ #293</t>
  </si>
  <si>
    <t>Dead Man Bay - Rum 1★ #D48</t>
  </si>
  <si>
    <t>Dead Man Bay - Rum 1★ #7FD</t>
  </si>
  <si>
    <t>Dead Man Bay - Rum 1★ #2B2</t>
  </si>
  <si>
    <t>Tue</t>
  </si>
  <si>
    <t>Dead Man Bay - Rum 1★ #D67</t>
  </si>
  <si>
    <t>Dead Man Bay - Rum 1★ #81C</t>
  </si>
  <si>
    <t>Dead Man Bay - Rum 1★ #2D1</t>
  </si>
  <si>
    <t>Dead Man Bay - Rum 1★ #D86</t>
  </si>
  <si>
    <t>Dead Man Bay - Rum 1★ #83B</t>
  </si>
  <si>
    <t>Dead Man Bay - Rum 1★ #2F0</t>
  </si>
  <si>
    <t>Dead Man Bay - Rum 1★ #DA5</t>
  </si>
  <si>
    <t>Dead Man Bay - Treasure Map 2★ #85A</t>
  </si>
  <si>
    <t>Dead Man Bay - Treasure Map 2★ #30F</t>
  </si>
  <si>
    <t>Dead Man Bay - Treasure Map 2★ #DC4</t>
  </si>
  <si>
    <t>Dead Man Bay - Treasure Map 2★ #879</t>
  </si>
  <si>
    <t>Dead Man Bay - Treasure Map 2★ #32E</t>
  </si>
  <si>
    <t>Dead Man Bay - Treasure Map 2★ #DE3</t>
  </si>
  <si>
    <t>Dead Man Bay - Treasure Map 2★ #898</t>
  </si>
  <si>
    <t>Dead Man Bay - Treasure Map 2★ #34D</t>
  </si>
  <si>
    <t>Dead Man Bay - Treasure Map 2★ #E02</t>
  </si>
  <si>
    <t>Dead Man Bay - Treasure Map 2★ #8B7</t>
  </si>
  <si>
    <t>Dead Man Bay - Treasure Map 2★ #36C</t>
  </si>
  <si>
    <t>Dead Man Bay - Treasure Map 2★ #E21</t>
  </si>
  <si>
    <t>Dead Man Bay - Jolly Roger 2★ #8D6</t>
  </si>
  <si>
    <t>Dead Man Bay - Jolly Roger 2★ #38B</t>
  </si>
  <si>
    <t>Dead Man Bay - Jolly Roger 2★ #E40</t>
  </si>
  <si>
    <t>Dead Man Bay - Jolly Roger 2★ #8F5</t>
  </si>
  <si>
    <t>Dead Man Bay - Jolly Roger 2★ #3AA</t>
  </si>
  <si>
    <t>Dead Man Bay - Jolly Roger 2★ #E5F</t>
  </si>
  <si>
    <t>Dead Man Bay - Jolly Roger 2★ #914</t>
  </si>
  <si>
    <t>Dead Man Bay - Jolly Roger 2★ #3C9</t>
  </si>
  <si>
    <t>Dead Man Bay - Jolly Roger 2★ #E7E</t>
  </si>
  <si>
    <t>Dead Man Bay - Jolly Roger 2★ #933</t>
  </si>
  <si>
    <t>Dead Man Bay - Jolly Roger 2★ #3E8</t>
  </si>
  <si>
    <t>Dead Man Bay - Jolly Roger 2★ #E9D</t>
  </si>
  <si>
    <t>Dead Man Bay - Gold Tooth 3★ #952</t>
  </si>
  <si>
    <t>Dead Man Bay - Gold Tooth 3★ #407</t>
  </si>
  <si>
    <t>Dead Man Bay - Gold Tooth 3★ #EBC</t>
  </si>
  <si>
    <t>40-99 Segment - Over Time Period</t>
  </si>
  <si>
    <t>Dead Man Bay - Gold Tooth 3★ #971</t>
  </si>
  <si>
    <t>40-99 Segment - Over Time Period - Difference</t>
  </si>
  <si>
    <t>Dead Man Bay - Gold Tooth 3★ #426</t>
  </si>
  <si>
    <t>Dead Man Bay - Gold Tooth 3★ #EDB</t>
  </si>
  <si>
    <t>Dead Man Bay - Gold Tooth 3★ #990</t>
  </si>
  <si>
    <t>Dead Man Bay - Gold Tooth 3★ #445</t>
  </si>
  <si>
    <t>Dead Man Bay - Gold Tooth 3★ #EFA</t>
  </si>
  <si>
    <t>Dead Man Bay - Gold Tooth 3★ #9AF</t>
  </si>
  <si>
    <t>Dead Man Bay - Gold Tooth 3★ #464</t>
  </si>
  <si>
    <t>Dead Man Bay - Gold Tooth 3★ #F19</t>
  </si>
  <si>
    <t>Dead Man Bay - Gold Tooth 3★ #9CE</t>
  </si>
  <si>
    <t>Dead Man Bay - Dagger 4★ #483</t>
  </si>
  <si>
    <t>Dead Man Bay - Dagger 4★ #F38</t>
  </si>
  <si>
    <t>Dead Man Bay - Dagger 4★ #9ED</t>
  </si>
  <si>
    <t>Dead Man Bay - Dagger 4★ #4A2</t>
  </si>
  <si>
    <t>Dead Man Bay - Dagger 4★ #F57</t>
  </si>
  <si>
    <t>Dead Man Bay - Dagger 4★ #A0C</t>
  </si>
  <si>
    <t>Dead Man Bay - Dagger 4★ #4C1</t>
  </si>
  <si>
    <t>Dead Man Bay - Dagger 4★ #F76</t>
  </si>
  <si>
    <t>Dead Man Bay - Dagger 4★ #A2B</t>
  </si>
  <si>
    <t>Dead Man Bay - Dagger 4★ #4E0</t>
  </si>
  <si>
    <t>Dead Man Bay - Dagger 4★ #F95</t>
  </si>
  <si>
    <t>Dead Man Bay - Bandana 5★ #A4A</t>
  </si>
  <si>
    <t>Dead Man Bay - Bandana 5★ #4FF</t>
  </si>
  <si>
    <t>Dead Man Bay - Bandana 5★ #FB4</t>
  </si>
  <si>
    <t>Dead Man Bay - Bandana 5★ #A69</t>
  </si>
  <si>
    <t>Dead Man Bay - Bandana 5★ #51E</t>
  </si>
  <si>
    <t>Dead Man Bay - Boots 5★ #FD3</t>
  </si>
  <si>
    <t>Dead Man Bay - Boots 5★ #A88</t>
  </si>
  <si>
    <t>Dead Man Bay - Boots 5★ #53D</t>
  </si>
  <si>
    <t>Dead Man Bay - Boots 5★ #FF2</t>
  </si>
  <si>
    <t>Dead Man Bay - Boots 5★ #AA7</t>
  </si>
  <si>
    <t>Dead Man Bay - Beard 5★ #55C</t>
  </si>
  <si>
    <t>Dead Man Bay - Beard 5★ #011</t>
  </si>
  <si>
    <t>Dead Man Bay - Beard 5★ #AC6</t>
  </si>
  <si>
    <t>Dead Man Bay - Beard 5★ #57B</t>
  </si>
  <si>
    <t>Dead Man Bay - Beard 5★ #030</t>
  </si>
  <si>
    <t>◆ HC</t>
  </si>
  <si>
    <t>◄ CURRENT (actuals: data + calc) ►</t>
  </si>
  <si>
    <t>◄ SIMULATED (EcoGainsSim v4) ►</t>
  </si>
  <si>
    <t>◄ NET / earner (spend held constant) ►</t>
  </si>
  <si>
    <t>cur spend</t>
  </si>
  <si>
    <t>cur net</t>
  </si>
  <si>
    <t>new net</t>
  </si>
  <si>
    <t>net Δ</t>
  </si>
  <si>
    <t>net Δ %</t>
  </si>
  <si>
    <t>EcoGainsSim PlybyPly</t>
  </si>
  <si>
    <t>Calendar</t>
  </si>
  <si>
    <t>Which calendar the day comes from: cal_curr = measured live calendar, cal_new = redesign</t>
  </si>
  <si>
    <t>Day to Simulate (1-33)</t>
  </si>
  <si>
    <t>Day of the 33-day window (day 1 = Wednesday); decides which events are running</t>
  </si>
  <si>
    <t>Engagement segment: saga completions in the last 7 days (0-9 .. 100+)</t>
  </si>
  <si>
    <t>Lifetime payer flag: PAYER = has ever spent money, NONPAYER = never</t>
  </si>
  <si>
    <t>Mode</t>
  </si>
  <si>
    <t>Sampled</t>
  </si>
  <si>
    <t>Expected = one representative day (seed ignored); Sampled = one random day drawn with Seed</t>
  </si>
  <si>
    <t>Luck (progress + placement)</t>
  </si>
  <si>
    <t>Percentile used for event progress and leaderboard rank: p25 unlucky, p50 typical, p75 lucky</t>
  </si>
  <si>
    <t>Seed (Sampled mode)</t>
  </si>
  <si>
    <t>Any integer; the same seed always reproduces the same sampled day</t>
  </si>
  <si>
    <t>Levels Played (blank = auto)</t>
  </si>
  <si>
    <t>Override for the number of level attempts; blank = attempts/day from data_streaks</t>
  </si>
  <si>
    <t>Starting Saga Level (blank = rnd 100-400)</t>
  </si>
  <si>
    <t>Absolute saga level the player walks in on; anchors Saga node payouts</t>
  </si>
  <si>
    <t>Player Profile (what the simulated player looks like)</t>
  </si>
  <si>
    <t>Active Events on This Day (sim - spills one row per running event + per session-start claim)</t>
  </si>
  <si>
    <t>◆ Slingshot</t>
  </si>
  <si>
    <t>Assumptions &amp; Flags (model spec: SIMULATION_METHODOLOGY.md par. 14)</t>
  </si>
  <si>
    <t>1. N plays / win rate / streak persistence from data_streaks; win draws are a 2-state Markov chain. The sim conditions on the player being active and participating in the running events.</t>
  </si>
  <si>
    <t>2. The player is NOT fresh: they walk in at the Starting Saga Level (input, or a seeded random 100-400); the Level column is the ABSOLUTE saga level. Event progress is likewise mid-instance.</t>
  </si>
  <si>
    <t>3. Event progress at session start = measured final_balance percentile (Luck) x accrual-curve share. Milestones banked before today never appear in the ledger.</t>
  </si>
  <si>
    <t>4. Per-win earning is MECHANICAL where documented: Hatchling Hideaway 1.5 tokens/win (config 1/2/3 by difficulty, level-mix average); Bomb's Ballet 5 Notes on FIRST-TRY wins only; Jigsaw Completion Bonus tiers 3/5/7/10 (2021 Valentine's origin doc; win steps the tier up, loss steps down, session starts Copper - flagged); Rainbow Maker whole matchables per win.</t>
  </si>
  <si>
    <t>5. Photoshoot: first-try streak multiplier ladder x1/2/4/6/10 from config; the per-win base is undocumented so it is calibrated to the measured day total (shape = mechanics, level = measurement).</t>
  </si>
  <si>
    <t>6. Hatchling Hideaway gate unlock requirements = EventReach helper column (board cost x 1.25 bad-tile buffer): the buffer models imperfect tile picks and affects unlock timing ONLY, never the gains.</t>
  </si>
  <si>
    <t>7. Score events (Kite Festival, Target Day) are streak-driven off their config ladders; per-play increments are scaled so the day total hits the measured target (user-approved).</t>
  </si>
  <si>
    <t>8. Leaderboard payouts land on row E only for instances ending today; rank = Luck percentile of measured position_p25/50/75 (+/- 0.25 quantile jitter in Sampled mode).</t>
  </si>
  <si>
    <t>9. Saga pays the FULL node bundle (HC + boosters + Unlimited minutes) from c_saga / c_saga_v2 at node boundaries anchored to the absolute level. Core chapter chests are NOT simulated (cadence unknown).</t>
  </si>
  <si>
    <t>10. Daily Gift is ALWAYS claimed at session start: cycle day from login streak p50, bundle = ONE config variant (Expected: Variant 1; Sampled: seeded pick) - never an average. Flock Flurry opt-in = 60 min Unlimited Lives (design-PDF constant).</t>
  </si>
  <si>
    <t>11. Night Sky pays at day end: effective streak = max win streak x 1.25 (Expected: the p50 from data_streaks; Sampled: the longest run actually produced by the play trace). EVERY milestone whose Cum Streak Req is cleared pays, each on its own row; unreached milestones never pay.</t>
  </si>
  <si>
    <t>12. SPT / SPTx2 are TRACKED since 2026-07-10 (13-resource universe, D16) as event payouts only; season-pass TIER claims are NOT simulated in the session view (window-sim only). COOP Token / Avatar / star-daily rewards remain outside the resource set.</t>
  </si>
  <si>
    <t>Play-by-Play Sim (one row per play; extra claims spill onto their own rows; Session Summary at the end)</t>
  </si>
  <si>
    <t>◆ Shuffle</t>
  </si>
  <si>
    <t>TOTAL</t>
  </si>
  <si>
    <t>100+ Segment - Over Time Period</t>
  </si>
  <si>
    <t>100+ Segment - Over Time Period - Difference</t>
  </si>
  <si>
    <t>◆ Comet</t>
  </si>
  <si>
    <t>LEGEND / ALLOCATION RULES (claim-day realistic - EcoGainsSim_Daily.gs)</t>
  </si>
  <si>
    <t>Window totals are exactly the main sim’s numbers (CURRENT = measured on cal_curr, NEW = simulated on cal_new); this view only places them on days - column TOTALs reconcile with EcoGainsSim_HC.</t>
  </si>
  <si>
    <t>Leaderboard events (Bomb/Chuck/Red Challenge, Level Race, Flash Race, Target Day, Kite) pay on each instance’s LAST day → expect end-day spikes. Instance slices are split by reach.</t>
  </si>
  <si>
    <t>Collections (Hatchling Hideaway, Bomb’s Ballet, Jigsaw, Photoshoot) spread across instance days by the accrual curve’s marginal share; Rainbow Maker spreads ∝ active rate within its instances (no curve - flagged).</t>
  </si>
  <si>
    <t>Core / Saga / Daily Gift pay daily ∝ weekday/weekend active rate; Night Sky over its daily instances. Season Pass (Free) spreads ∝ active rate across its season-lane instances (tier claims are continuous - same treatment as Rainbow Maker). Non-calendar sources (Ads, Teams, Other, IAPs; River Rush current side) are flat ÷33 - their DIFF is uniform.</t>
  </si>
  <si>
    <t>Weekend rows (Fri/Sat/Sun) are tinted. Filters: Payer / Segment / Source - Source=ALL sums every category; pick one to isolate its daily contribution.</t>
  </si>
  <si>
    <t>NET blocks (AT:CH, per EARNER; 13 resources incl. SPT/SPTx2): ACTUAL SPEND and the gain side come from the data_econ_daily sheet (real per-day telemetry, window-earner denominator). CURRENT NET = actual gain − spend; NEW NET = actual gain + the sim’s day shift (NEW − CURRENT) − spend, so spend is held constant and net Δ == the DIFF block.</t>
  </si>
  <si>
    <t>NET blocks are BLANK when Source ≠ ALL (spend is game-wide, not attributable to one event) and until the data_econ_daily sheet exists in the workbook. Their TOTAL row blanks out too (no data ≠ zero net).</t>
  </si>
  <si>
    <t>◆ Red</t>
  </si>
  <si>
    <t>◆ Chuck</t>
  </si>
  <si>
    <t>$0.02</t>
  </si>
  <si>
    <t>$0.00</t>
  </si>
  <si>
    <t>$0.66</t>
  </si>
  <si>
    <t>$1.00</t>
  </si>
  <si>
    <t>$1.33</t>
  </si>
  <si>
    <t>$3.32</t>
  </si>
  <si>
    <t>$0.08</t>
  </si>
  <si>
    <t>$0.15</t>
  </si>
  <si>
    <t>$0.24</t>
  </si>
  <si>
    <t>$0.32</t>
  </si>
  <si>
    <t>◆ Bomb</t>
  </si>
  <si>
    <t>A. 0</t>
  </si>
  <si>
    <t>A. 0 Appendix - carried &amp; annotated (not simulated)</t>
  </si>
  <si>
    <t>A. 0 Appendix - Difference (config-only changes)</t>
  </si>
  <si>
    <t>engagement_segment</t>
  </si>
  <si>
    <t>payer_flag</t>
  </si>
  <si>
    <t>resource</t>
  </si>
  <si>
    <t>unit</t>
  </si>
  <si>
    <t>category</t>
  </si>
  <si>
    <t>resource_earners</t>
  </si>
  <si>
    <t>recipients</t>
  </si>
  <si>
    <t>recipient_rate_pct</t>
  </si>
  <si>
    <t>pct_of_resource_pool</t>
  </si>
  <si>
    <t>mean_share_all_earners_pct</t>
  </si>
  <si>
    <t>category_amount</t>
  </si>
  <si>
    <t>resource_pool_amount</t>
  </si>
  <si>
    <t>amount_per_earner</t>
  </si>
  <si>
    <t>amount_per_recipient</t>
  </si>
  <si>
    <t>category_amount_uncorrected</t>
  </si>
  <si>
    <t>resource_pool_amount_uncorrected</t>
  </si>
  <si>
    <t>amount_per_earner_uncorrected</t>
  </si>
  <si>
    <t>player_days</t>
  </si>
  <si>
    <t>net_p25</t>
  </si>
  <si>
    <t>net_p50</t>
  </si>
  <si>
    <t>net_p75</t>
  </si>
  <si>
    <t>net_p90</t>
  </si>
  <si>
    <t>◆ UL Bomb</t>
  </si>
  <si>
    <t>segment</t>
  </si>
  <si>
    <t>seg_rank</t>
  </si>
  <si>
    <t>unique_players</t>
  </si>
  <si>
    <t>dau</t>
  </si>
  <si>
    <t>payer_rate_pct</t>
  </si>
  <si>
    <t>active_days_mean</t>
  </si>
  <si>
    <t>active_days_p25</t>
  </si>
  <si>
    <t>active_days_p50</t>
  </si>
  <si>
    <t>active_days_p75</t>
  </si>
  <si>
    <t>active_days_p90</t>
  </si>
  <si>
    <t>weekday_active_rate</t>
  </si>
  <si>
    <t>weekend_active_rate</t>
  </si>
  <si>
    <t>mon_active_rate</t>
  </si>
  <si>
    <t>tue_active_rate</t>
  </si>
  <si>
    <t>wed_active_rate</t>
  </si>
  <si>
    <t>thu_active_rate</t>
  </si>
  <si>
    <t>fri_active_rate</t>
  </si>
  <si>
    <t>sat_active_rate</t>
  </si>
  <si>
    <t>sun_active_rate</t>
  </si>
  <si>
    <t>login_streak_mean</t>
  </si>
  <si>
    <t>login_streak_p50</t>
  </si>
  <si>
    <t>login_streak_p75</t>
  </si>
  <si>
    <t>login_streak_p90</t>
  </si>
  <si>
    <t>sessions_per_active_day</t>
  </si>
  <si>
    <t>saga_completes_per_active_day</t>
  </si>
  <si>
    <t>levels_played_per_active_day</t>
  </si>
  <si>
    <t>levels_completed_per_active_day</t>
  </si>
  <si>
    <t>minutes_per_active_day</t>
  </si>
  <si>
    <t>daily_gift_claim_rate_pct</t>
  </si>
  <si>
    <t>gift_hc_free_per_active_day</t>
  </si>
  <si>
    <t>daily_max_streak_mean</t>
  </si>
  <si>
    <t>daily_max_streak_p50</t>
  </si>
  <si>
    <t>daily_max_streak_p75</t>
  </si>
  <si>
    <t>daily_max_streak_p90</t>
  </si>
  <si>
    <t>◆ UL Chuck</t>
  </si>
  <si>
    <t>minutes</t>
  </si>
  <si>
    <t>◆ UL Red</t>
  </si>
  <si>
    <t>event_name</t>
  </si>
  <si>
    <t>n_instances</t>
  </si>
  <si>
    <t>active_window_player_instances</t>
  </si>
  <si>
    <t>avg_participants_per_instance</t>
  </si>
  <si>
    <t>participation_rate</t>
  </si>
  <si>
    <t>opt_in_rate</t>
  </si>
  <si>
    <t>recipient_rate</t>
  </si>
  <si>
    <t>position_p25</t>
  </si>
  <si>
    <t>position_p50</t>
  </si>
  <si>
    <t>position_p75</t>
  </si>
  <si>
    <t>avg_final_token_balance</t>
  </si>
  <si>
    <t>avg_bots</t>
  </si>
  <si>
    <t>final_balance_p25</t>
  </si>
  <si>
    <t>final_balance_p50</t>
  </si>
  <si>
    <t>final_balance_p75</t>
  </si>
  <si>
    <t>Bombs Ballet</t>
  </si>
  <si>
    <t>Dream Heist</t>
  </si>
  <si>
    <t>◆ Unlimited Lives</t>
  </si>
  <si>
    <t>Dream Pass</t>
  </si>
  <si>
    <t>LEGEND / ASSUMPTIONS (EcoGainsSim_v4)</t>
  </si>
  <si>
    <t>Colors: blue = measured (carried) · gray = simulated · yellow label = always-on/daily sim · pink label = calendar-event sim · diff: red &lt; 0 &lt; green.</t>
  </si>
  <si>
    <t>Night Sky: CARRIED by default (NS_SIMULATE = false in EcoGainsSim_v4.gs - the bottom-up model overestimates actual NS gains; open question). Flag true -&gt; full-rollout sim (segment ladder x survival over data_streaks max-streak p25-p90 x 1.25 effective-streak factor x active days); CURRENT is A/B-diluted, so DIFF would read as ROLLOUT EFFECT.</t>
  </si>
  <si>
    <t>Rainbow Maker &amp; Night Sky magnitudes are tail-sensitive: milestones past p90 are priced by linear extrapolation (conservative S=0-beyond-p90 bounds available in the offline harness).</t>
  </si>
  <si>
    <t>Target Day: pure leaderboard (milestones pay 0 by design); D=1 rank-invariance assumed -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</si>
  <si>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- re-add instances and it re-prices.</t>
  </si>
  <si>
    <t>A. 0 block: no behaviour data (these players barely play) - everything carried except config-only changes: Saga HC x ratio, Daily Gift HC x ratio (0-9 streaks as PROXY, slightly overstates), River Rush -&gt; 0. RM/NS not simulated for A. 0.</t>
  </si>
  <si>
    <t>Reward-config edits FLOW (since 2026-07-06): editing rewards or requirements on any _v2 sheet reprices its row (R = v2/base ladder at the measured rank / progress distribution). Base sheets = the measured world; leave them untouched. TaD milestone rewards are the exception (base pays 0 -&gt; no anchor -&gt; carried).</t>
  </si>
  <si>
    <t>Kite Festival is priced as a LEADERBOARD (since 2026-07-06): payouts are zero-sum per league of 60, so duration does not move them; D=1 and the row GROWS ~x1.3 via cadence.</t>
  </si>
  <si>
    <t>SPT / SPTx2 (13-resource universe since 2026-07-10, D16): season pass tokens, appended as the last two columns; SPTx2 counts DOUBLE toward season-pass tier progression but displays separately. Every simulated source moves its SPT via the same R x D x T as its other resources.</t>
  </si>
  <si>
    <t>Season Pass (Free) is SIMULATED via SPT tier coupling: per-earner SPT+2xSPTx2 window totals (measured vs simulated, summed over all sources - additive-projection convention) x seasonDays/33 land on the SP / SP_v2 'Cumul' ladder; the row scales by cum-reward ratio through the reached tier (FREE track for nonpayers, FREE+PAID for payers - ASSUMPTION: the measured '(Free)' row contains payers' paid-track claims) x SP_lb_v2/SP_lb challenge pot ratio (zero-sum; Dream Pass telemetry is empty) x calendar T (D=1). No anchor (measured 0 or base cum 0): tiers GAINED add absolute SP_v2 rewards (HYBRID, flagged); otherwise carried. SP_v2 / SP_lb_v2 missing -&gt; base sheets serve both sides (ratios 1). Not applied to A. 0.</t>
  </si>
  <si>
    <t>After editing a calendar: menu EcoGainsSim ▸ Precompute calendars (writes hidden cal_parsed; engine prefers it). Sanity canary: the Kite Festival row must GROW ~x1.3 vs measured. If every event row equals measured, the calendar read failed.</t>
  </si>
  <si>
    <t>◆ SPT</t>
  </si>
  <si>
    <t>◆ SPTx2</t>
  </si>
  <si>
    <t>Season Pass Leaderboard</t>
  </si>
  <si>
    <t>B. 1-9</t>
  </si>
  <si>
    <t>event_day</t>
  </si>
  <si>
    <t>instance_length_days</t>
  </si>
  <si>
    <t>n_participants</t>
  </si>
  <si>
    <t>cum_token_share_mean</t>
  </si>
  <si>
    <t>cum_token_share_p50</t>
  </si>
  <si>
    <t>cum_token_share_p25</t>
  </si>
  <si>
    <t>cum_token_share_p75</t>
  </si>
  <si>
    <t>cum_levels_share_mean</t>
  </si>
  <si>
    <t>avg_matchables_window</t>
  </si>
  <si>
    <t>p10_matchables_window</t>
  </si>
  <si>
    <t>p25_matchables_window</t>
  </si>
  <si>
    <t>p50_matchables_window</t>
  </si>
  <si>
    <t>p75_matchables_window</t>
  </si>
  <si>
    <t>p90_matchables_window</t>
  </si>
  <si>
    <t>players</t>
  </si>
  <si>
    <t>attempts_per_day_mean</t>
  </si>
  <si>
    <t>wins_per_day_mean</t>
  </si>
  <si>
    <t>win_rate_mean</t>
  </si>
  <si>
    <t>max_streak_per_day_p25</t>
  </si>
  <si>
    <t>max_streak_per_day_p50</t>
  </si>
  <si>
    <t>max_streak_per_day_p75</t>
  </si>
  <si>
    <t>max_streak_per_day_p90</t>
  </si>
  <si>
    <t>mean_streak_len</t>
  </si>
  <si>
    <t>p_continue_after_win</t>
  </si>
  <si>
    <t>C. 10-19</t>
  </si>
  <si>
    <t>currency</t>
  </si>
  <si>
    <t>gain_per_active_player</t>
  </si>
  <si>
    <t>spend_per_active_player</t>
  </si>
  <si>
    <t>net_per_active_player</t>
  </si>
  <si>
    <t>gain_per_earner</t>
  </si>
  <si>
    <t>spend_per_earner</t>
  </si>
  <si>
    <t>net_per_earner</t>
  </si>
  <si>
    <t>gain_p25</t>
  </si>
  <si>
    <t>gain_p50</t>
  </si>
  <si>
    <t>gain_p75</t>
  </si>
  <si>
    <t>gain_p90</t>
  </si>
  <si>
    <t>spend_p25</t>
  </si>
  <si>
    <t>spend_p50</t>
  </si>
  <si>
    <t>spend_p75</t>
  </si>
  <si>
    <t>spend_p90</t>
  </si>
  <si>
    <t>day_index</t>
  </si>
  <si>
    <t>gain_total</t>
  </si>
  <si>
    <t>spend_total</t>
  </si>
  <si>
    <t>gain_per_earner_day</t>
  </si>
  <si>
    <t>spend_per_earner_day</t>
  </si>
  <si>
    <t>net_per_earner_day</t>
  </si>
  <si>
    <t>active_players_day</t>
  </si>
  <si>
    <t>Daily rewards</t>
  </si>
  <si>
    <t>Saga progression</t>
  </si>
  <si>
    <t>Night sky</t>
  </si>
  <si>
    <t>Rainbow maker</t>
  </si>
  <si>
    <t>Flock flurry</t>
  </si>
  <si>
    <t>Hatchling hideaway</t>
  </si>
  <si>
    <t>Kite festival</t>
  </si>
  <si>
    <t>River rush</t>
  </si>
  <si>
    <t>Target day</t>
  </si>
  <si>
    <t>Flash race</t>
  </si>
  <si>
    <t>Reds challenge</t>
  </si>
  <si>
    <t>Bombs challenge</t>
  </si>
  <si>
    <t>Chucks challenge</t>
  </si>
  <si>
    <t>Level race</t>
  </si>
  <si>
    <t>DreamPass</t>
  </si>
  <si>
    <t>{
  "GameConfigs": {
    "RewardConfigData": {
      "DailyRewardConfig": [
        {
          "days": [
            {
              "items": [
                {
                  "type": "Currency",
                  "id": "HardCoin",
                  "amount": 10
                }
              ]
            },
            {
              "items": [
                {
                  "type": "Progress",
                  "id": "UnlimitedLives",
                  "amount": 15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"Timed",
                  "id": "UnlimitedBooster1",
                  "amount": 60
                }
              ]
            }
          ]
        },
        {
          "days": [
            {
              "items": [
                {
                  "type": "Progress",
                  "id": "UnlimitedLives",
                  "amount": 20
                }
              ]
            },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"Currency",
                  "id": "HardCoin",
                  "amount": 25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"Timed",
                  "id": "UnlimitedBooster2",
                  "amount": 60
                }
              ]
            }
          ]
        },
        {
          "days": [
            {
              "items": [
                {
                  "type": "Progress",
                  "id": "UnlimitedLives",
                  "amount": 15
                }
              ]
            },
            {
              "items": [
                {
                  "type": "Currency",
                  "id": "HardCoin",
                  "amount": 10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"Timed",
                  "id": "UnlimitedBooster3",
                  "amount": 30
                }
              ]
            }
          ]
        },
        {
          "days": [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"Progress",
                  "id": "UnlimitedLives",
                  "amount": 30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"PowerUp",
                  "id": "CherryBomb",
                  "amount": 1
                }
              ]
            }
          ]
        },
        {
          "days": [
            {
              "items": [
                {
                  "type": "Currency",
                  "id": "HardCoin",
                  "amount": 10
                }
              ]
            },
            {
              "items": [
                {
                  "type": "Progress",
                  "id": "UnlimitedLives",
                  "amount": 15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"Progress",
                  "id": "UnlimitedLives",
                  "amount": 60
                }
              ]
            },
            {
              "items": [
                {
                  "type": "Currency",
                  "id": "HardCoin",
                  "amount": 25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"PowerUp",
                  "id": "Hammer",
                  "amount": 1
                }
              ]
            }
          ]
        }
      ]
    }
  }
}</t>
  </si>
  <si>
    <t>{
  "GameConfigs": {
    "ChapterConfigData": {
      "Rewards": [
        {
          "Rewards": [
            {
              "RewardChestId": 1,
              "Rewards": [
                {
                  "type": "Currency",
                  "id": "HardCoin",
                  "amount": 10
                },
                {
                  "type": "PreLevelBooster",
                  "id": "Booster1",
                  "amount": 1
                },
                {
                  "type": "Progress",
                  "id": "UnlimitedLives",
                  "amount": 15
                }
              ]
            },
            {
              "RewardChestId": 1,
              "Rewards": [
                {
                  "type": "PreLevelBooster",
                  "id": "Booster1",
                  "amount": 1
                },
                {
                  "type": "PreLevelBooster",
                  "id": "Booster2",
                  "amount": 1
                },
                {
                  "type": "Progress",
                  "id": "UnlimitedLives",
                  "amount": 15
                }
              ]
            },
            {
              "RewardChestId": 1,
              "Rewards": [
                {
                  "type": "Currency",
                  "id": "HardCoin",
                  "amount": 10
                },
                {
                  "type": "PreLevelBooster",
                  "id": "Booster3",
                  "amount": 1
                },
                {
                  "type": "Progress",
                  "id": "UnlimitedLives",
                  "amount": 15
                }
              ]
            },
            {
              "RewardChestId": 2,
              "Rewards": [
                {
                  "type": "PreLevelBooster",
                  "id": "Booster1",
                  "amount": 1
                },
                {
                  "type": "PowerUp",
                  "id": "Shuffle",
                  "amount": 1
                },
                {
                  "type": "Progress",
                  "id": "UnlimitedLives",
                  "amount": 15
                }
              ]
            },
            {
              "RewardChestId": 2,
              "Rewards": [
                {
                  "type": "Currency",
                  "id": "HardCoin",
                  "amount": 10
                },
                {
                  "type": "PreLevelBooster",
                  "id": "Booster3",
                  "amount": 1
                },
                {
                  "type": "Progress",
                  "id": "UnlimitedLives",
                  "amount": 15
                }
              ]
            },
            {
              "RewardChestId": 2,
              "Rewards": [
                {
                  "type": "PreLevelBooster",
                  "id": "Booster2",
                  "amount": 1
                },
                {
                  "type": "PowerUp",
                  "id": "CherryBomb",
                  "amount": 1
                },
                {
                  "type": "Progress",
                  "id": "UnlimitedLives",
                  "amount": 20
                }
              ]
            },
            {
              "RewardChestId": 3,
              "Rewards": [
                {
                  "type": "Currency",
                  "id": "HardCoin",
                  "amount": 10
                },
                {
                  "type": "PreLevelBooster",
                  "id": "Booster3",
                  "amount": 1
                },
                {
                  "type": "Progress",
                  "id": "UnlimitedLives",
                  "amount": 20
                }
              ]
            },
            {
              "RewardChestId": 3,
              "Rewards": [
                {
                  "type": "PreLevelBooster",
                  "id": "Booster2",
                  "amount": 1
                },
                {
                  "type": "PowerUp",
                  "id": "Hammer",
                  "amount": 1
                },
                {
                  "type": "Progress",
                  "id": "UnlimitedLives",
                  "amount": 30
                }
              ]
            },
            {
              "RewardChestId": 3,
              "Rewards": [
                {
                  "type": "Currency",
                  "id": "HardCoin",
                  "amount": 10
                },
                {
                  "type": "PowerUp",
                  "id": "Shuffle",
                  "amount": 1
                },
                {
                  "type": "Progress",
                  "id": "UnlimitedLives",
                  "amount": 60
                }
              ]
            },
            {
              "RewardChestId": 4,
              "Rewards": [
                {
                  "type": "Currency",
                  "id": "HardCoin",
                  "amount": 25
                },
                {
                  "type": "PowerUp",
                  "id": "CherryBomb",
                  "amount": 1
                },
                {
                  "type": "Progress",
                  "id": "UnlimitedLives",
                  "amount": 60
                }
              ]
            }
          ]
        }
      ]
    }
  }
}</t>
  </si>
  <si>
    <t>{
  "requiredPlayerLevel": 1,
  "requiredSagaLevel": 85,
  "assetBundle": "event-nightskyprizes",
  "configuration": "Heist",
  "lives": 1,
  "oneFail": false,
  "manualRewardClaiming": true,
  "openOnCheckpoint": false,
  "warningTimeMinutes": 30,
  "rounds": [
    {
      "roundEndType": "NextRound",
      "maxRepeats": 0,
      "oneFail": false,
      "paths": [
        {
          "pathType": "Center",
          "nodes": [
            {
              "nodeType": "Final",
              "checkpoint": false,
              "level": 2,
              "reward": [
                {
                  "item": "UnlimitedLives",
                  "amount": 20
                }
              ]
            }
          ]
        }
      ]
    },
    {
      "roundEndType": "NextRound",
      "maxRepeats": 0,
      "oneFail": false,
      "paths": [
        {
          "pathType": "Center",
          "nodes": [
            {
              "nodeType": "Final",
              "checkpoint": false,
              "level": 3,
              "reward": [
                {
                  "item": "HardCoin",
                  "amount": 10
                },
                {
                  "item": "Pre-Red",
                  "amount": 1
                }
              ]
            }
          ]
        }
      ]
    },
    {
      "roundEndType": "End",
      "maxRepeats": 0,
      "oneFail": false,
      "paths": [
        {
          "pathType": "Center",
          "nodes": [
            {
              "nodeType": "Final",
              "checkpoint": false,
              "level": 5,
              "reward": [
                {
                  "item": "HardCoin",
                  "amount": 15
                },
                {
                  "item": "Hammer",
                  "amount": 1
                },
                {
                  "item": "Pre-Chuck",
                  "amount": 1
                }
              ]
            }
          ]
        }
      ]
    }
  ]
}</t>
  </si>
  <si>
    <t>{
  "requiredPlayerLevel": 1,
  "requiredSagaLevel": 37,
  "assetBundle": "event-milestone",
  "configuration": "Milestone",
  "milestones": [
    {
      "targetScore": 160,
      "type": "ANY_MATCHABLE",
      "calendarReward": [
        {
          "item": "Pre-Red",
          "amount": 1
        }
      ]
    },
    {
      "targetScore": 300,
      "type": "ANY_MATCHABLE",
      "calendarReward": [
        {
          "item": "HardCoin",
          "amount": 10
        }
      ]
    },
    {
      "targetScore": 1000,
      "type": "ANY_MATCHABLE",
      "calendarReward": [
        {
          "item": "UnlimitedLives",
          "amount": 10
        }
      ]
    },
    {
      "targetScore": 250,
      "type": "ANY_MATCHABLE",
      "calendarReward": [
        {
          "item": "SeasonPassToken",
          "amount": 10
        }
      ]
    },
    {
      "targetScore": 500,
      "type": "ANY_MATCHABLE",
      "calendarReward": [
        {
          "item": "Pre-Chuck",
          "amount": 1
        }
      ]
    },
    {
      "targetScore": 1600,
      "type": "ANY_MATCHABLE",
      "calendarReward": [
        {
          "item": "Hammer",
          "amount": 1
        },
        {
          "item": "SeasonPassMultiplier2x",
          "amount": 10
        }
      ]
    },
    {
      "targetScore": 500,
      "type": "ANY_MATCHABLE",
      "calendarReward": [
        {
          "item": "SeasonPassToken",
          "amount": 30
        }
      ]
    },
    {
      "targetScore": 1000,
      "type": "ANY_MATCHABLE",
      "calendarReward": [
        {
          "item": "Hammer",
          "amount": 1
        }
      ]
    },
    {
      "targetScore": 3300,
      "type": "ANY_MATCHABLE",
      "calendarReward": [
        {
          "item": "HardCoin",
          "amount": 20
        }
      ]
    },
    {
      "targetScore": 1100,
      "type": "ANY_MATCHABLE",
      "calendarReward": [
        {
          "item": "SeasonPassToken",
          "amount": 50
        }
      ]
    },
    {
      "targetScore": 2200,
      "type": "ANY_MATCHABLE",
      "calendarReward": [
        {
          "item": "Shuffle",
          "amount": 1
        }
      ]
    },
    {
      "targetScore": 6500,
      "type": "ANY_MATCHABLE",
      "calendarReward": [
        {
          "item": "CherryBomb",
          "amount": 1
        },
        {
          "item": "UnlimitedLives",
          "amount": 30
        }
      ]
    },
    {
      "targetScore": 2200,
      "type": "ANY_MATCHABLE",
      "calendarReward": [
        {
          "item": "UnlimitedBooster1",
          "amount": 10
        }
      ]
    },
    {
      "targetScore": 4400,
      "type": "ANY_MATCHABLE",
      "calendarReward": [
        {
          "item": "SeasonPassToken",
          "amount": 75
        }
      ]
    },
    {
      "targetScore": 13250,
      "type": "ANY_MATCHABLE",
      "calendarReward": [
        {
          "item": "Pre-Bomb",
          "amount": 1
        }
      ]
    },
    {
      "targetScore": 3300,
      "type": "ANY_MATCHABLE",
      "calendarReward": [
        {
          "item": "Hammer",
          "amount": 1
        }
      ]
    },
    {
      "targetScore": 6500,
      "type": "ANY_MATCHABLE",
      "calendarReward": [
        {
          "item": "SeasonPassToken",
          "amount": 125
        }
      ]
    },
    {
      "targetScore": 19750,
      "type": "ANY_MATCHABLE",
      "calendarReward": [
        {
          "item": "HardCoin",
          "amount": 30
        },
        {
          "item": "Shuffle",
          "amount": 1
        }
      ]
    },
    {
      "targetScore": 4200,
      "type": "ANY_MATCHABLE",
      "calendarReward": [
        {
          "item": "SeasonPassMultiplier2x",
          "amount": 20
        }
      ]
    },
    {
      "targetScore": 8250,
      "type": "ANY_MATCHABLE",
      "calendarReward": [
        {
          "item": "Pre-Red",
          "amount": 2
        }
      ]
    },
    {
      "targetScore": 22000,
      "type": "ANY_MATCHABLE",
      "calendarReward": [
        {
          "item": "SeasonPassToken",
          "amount": 200
        }
      ]
    },
    {
      "targetScore": 6000,
      "type": "ANY_MATCHABLE",
      "calendarReward": [
        {
          "item": "UnlimitedBooster2",
          "amount": 10
        }
      ]
    },
    {
      "targetScore": 10500,
      "type": "ANY_MATCHABLE",
      "calendarReward": [
        {
          "item": "Pre-Chuck",
          "amount": 2
        }
      ]
    },
    {
      "targetScore": 33000,
      "type": "ANY_MATCHABLE",
      "calendarReward": [
        {
          "item": "HardCoin",
          "amount": 100
        },
        {
          "item": "SeasonPassToken",
          "amount": 350
        },
        {
          "item": "Shuffle",
          "amount": 1
        },
        {
          "item": "CherryBomb",
          "amount": 1
        }
      ]
    },
    {
      "targetScore": 8750,
      "type": "ANY_MATCHABLE",
      "calendarReward": [
        {
          "item": "UnlimitedLives",
          "amount": 60
        }
      ]
    },
    {
      "targetScore": 14250,
      "type": "ANY_MATCHABLE",
      "calendarReward": [
        {
          "item": "Pre-Bomb",
          "amount": 2
        }
      ]
    },
    {
      "targetScore": 44000,
      "type": "ANY_MATCHABLE",
      "calendarReward": [
        {
          "item": "SeasonPassToken",
          "amount": 600
        }
      ]
    },
    {
      "targetScore": 16500,
      "type": "ANY_MATCHABLE",
      "calendarReward": [
        {
          "item": "UnlimitedLives",
          "amount": 60
        }
      ]
    },
    {
      "targetScore": 34000,
      "type": "ANY_MATCHABLE",
      "calendarReward": [
        {
          "item": "Pre-Bomb",
          "amount": 3
        }
      ]
    },
    {
      "targetScore": 83000,
      "type": "ANY_MATCHABLE",
      "calendarReward": [
        {
          "item": "HardCoin",
          "amount": 500
        },
        {
          "item": "Hammer",
          "amount": 3
        },
        {
          "item": "Shuffle",
          "amount": 3
        },
        {
          "item": "CherryBomb",
          "amount": 3
        }
      ]
    }
  ],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</si>
  <si>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17,
  "configuration": "MusicBoxes",
  "assetBundle": "event-music-boxes",
  "rewards": [
    {
      "price": 15,
      "items": [
        {
          "item": "Pre-Chuck",
          "amount": 1
        }
      ]
    },
    {
      "price": 40,
      "items": [
        {
          "item": "UnlimitedBooster1",
          "amount": 10
        }
      ]
    },
    {
      "price": 70,
      "items": [
        {
          "item": "UnlimitedBooster2",
          "amount": 10
        }
      ]
    },
    {
      "price": 110,
      "items": [
        {
          "item": "UnlimitedLives",
          "amount": 30
        }
      ]
    },
    {
      "price": 160,
      "items": [
        {
          "item": "HardCoin",
          "amount": 25
        }
      ]
    },
    {
      "price": 220,
      "items": [
        {
          "item": "UnlimitedBooster3",
          "amount": 10
        }
      ]
    },
    {
      "price": 290,
      "items": [
        {
          "item": "Pre-Red",
          "amount": 1
        }
      ]
    },
    {
      "price": 370,
      "items": [
        {
          "item": "UnlimitedLives",
          "amount": 60
        }
      ]
    },
    {
      "price": 460,
      "items": [
        {
          "item": "UnlimitedBooster1",
          "amount": 15
        }
      ]
    },
    {
      "price": 560,
      "items": [
        {
          "item": "HardCoin",
          "amount": 25
        }
      ]
    },
    {
      "price": 670,
      "items": [
        {
          "item": "UnlimitedBooster2",
          "amount": 15
        }
      ]
    },
    {
      "price": 790,
      "items": [
        {
          "item": "UnlimitedBooster3",
          "amount": 15
        }
      ]
    },
    {
      "price": 920,
      "items": [
        {
          "item": "Hammer",
          "amount": 1
        }
      ]
    },
    {
      "price": 1060,
      "items": [
        {
          "item": "UnlimitedLives",
          "amount": 60
        }
      ]
    },
    {
      "price": 1210,
      "items": [
        {
          "item": "Shuffle",
          "amount": 1
        }
      ]
    }
  ],
  "tokensPerLevel": 5,
  "spawnTokensOnlyOnFirstTry": true,
  "iconRevealBoxes": [
    {
      "from": 2,
      "to": 5
    },
    {
      "from": 7,
      "to": 12
    },
    {
      "from": 15,
      "to": 15
    }
  ],
  "completionReward": [
    {
      "item": "HardCoin",
      "amount": 50
    },
    {
      "item": "CherryBomb",
      "amount": 1
    },
    {
      "item": "Pre-Bomb",
      "amount": 1
    }
  ],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</si>
  <si>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"leagueGroupSize": 5,
  "competitionDurationMinutes": 60,
  "groupMaxFillTimeMinutes": 5,
  "unlimitedLivesDurationMinutes": 60,
  "requiredPlayerLevel": 1,
  "requiredSagaLevel": 27,
  "configuration": "FlockRush",
  "assetBundle": "event-flock-rush",
  "botsEnabled": true,
  "botDefinitionAssetTag": "bot-definitions",
  "botDefinitionFile": "flock-rush-botsForLaunch-1.0.json",
  "desiredBotCounts": {
    "easy": 2,
    "medium": 1,
    "hard": 1,
    "extreme": 0
  },
  "rewards": [
    [
      {
        "item": "Pre-Red",
        "amount": 1
      },
      {
        "item": "Pre-Chuck",
        "amount": 1
      },
      {
        "item": "Pre-Bomb",
        "amount": 1
      },
      {
        "item": "Hammer",
        "amount": 1
      },
      {
        "item": "SeasonPassToken",
        "amount": 20
      }
    ]
  ],
  "chainMultiplierIncrement": "1,1,2,6,0",
  "levelDifficultyMultiplier": {
    "normal": 1,
    "hard": 2,
    "extreme": 3
  },
  "birdScores": {
    "red": 1,
    "chuck": 2,
    "bomb": 4,
    "superBomb": 5
  },
  "notificationConfig": {
    "sendStartNotifications": true,
    "startNotificationLocalizationTitle": "NOTIFICATIONS/FlockRushEventStartNotificationTitle",
    "startNotificationLocalization": "NOTIFICATIONS/FlockRushEventStartingNotification",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</si>
  <si>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17,
  "assetBundle": "event-hatchling-hideaway",
  "configuration": "HatchlingHideaway",
  "rewards": [
    [
      {
        "item": "Pre-Red",
        "amount": 1
      },
      {
        "item": "UnlimitedLives",
        "amount": 60
      },
      {
        "item": "CoopToken",
        "amount": 5
      }
    ],
    [
      {
        "item": "HardCoin",
        "amount": 10
      },
      {
        "item": "Pre-Chuck",
        "amount": 1
      },
      {
        "item": "CoopToken",
        "amount": 10
      }
    ],
    [
      {
        "item": "Pre-Bomb",
        "amount": 1
      },
      {
        "item": "CherryBomb",
        "amount": 1
      },
      {
        "item": "UnlimitedLives",
        "amount": 30
      },
      {
        "item": "CoopToken",
        "amount": 20
      }
    ],
    [
      {
        "item": "HardCoin",
        "amount": 15
      },
      {
        "item": "Shuffle",
        "amount": 1
      },
      {
        "item": "UnlimitedBooster1",
        "amount": 10
      },
      {
        "item": "CoopToken",
        "amount": 50
      }
    ],
    [
      {
        "item": "HardCoin",
        "amount": 30
      },
      {
        "item": "Hammer",
        "amount": 1
      },
      {
        "item": "UnlimitedBooster2",
        "amount": 10
      },
      {
        "item": "CoopToken",
        "amount": 70
      }
    ]
  ],
  "defaultTokenCount": 2,
  "tutorialTokenCount": 3,
  "levelDifficultyTokens": {
    "normal": 1,
    "hard": 2,
    "extreme": 3
  },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</si>
  <si>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"eventType": "Special",
  "countCreatedBoosters": false,
  "requiredPlayerLevel": 1,
  "requiredSagaLevel": 17,
  "scoreDoubler": true,
  "tokenMultiplier": 2,
  "movesLeftMax": 0,
  "configuration": "Jigsaw",
  "assetBundle": "event-jigsaw-generic",
  "rewards": [
    {
      "price": 30,
      "items": [
        {
          "item": "Pre-Chuck",
          "amount": 1
        }
      ],
      "seasonPassItems": []
    },
    {
      "price": 80,
      "items": [
        {
          "item": "UnlimitedBooster1",
          "amount": 10
        }
      ],
      "seasonPassItems": []
    },
    {
      "price": 150,
      "items": [
        {
          "item": "UnlimitedBooster2",
          "amount": 10
        }
      ],
      "seasonPassItems": []
    },
    {
      "price": 250,
      "items": [
        {
          "item": "UnlimitedLives",
          "amount": 30
        }
      ],
      "seasonPassItems": []
    },
    {
      "price": 370,
      "items": [
        {
          "item": "HardCoin",
          "amount": 25
        }
      ],
      "seasonPassItems": []
    },
    {
      "price": 520,
      "items": [
        {
          "item": "UnlimitedBooster3",
          "amount": 10
        },
        {
          "item": "Pre-Red",
          "amount": 1
        }
      ],
      "seasonPassItems": []
    },
    {
      "price": 690,
      "items": [
        {
          "item": "UnlimitedLives",
          "amount": 60
        }
      ],
      "seasonPassItems": []
    },
    {
      "price": 890,
      "items": [
        {
          "item": "UnlimitedBooster1",
          "amount": 15
        }
      ],
      "seasonPassItems": []
    },
    {
      "price": 1110,
      "items": [
        {
          "item": "HardCoin",
          "amount": 25
        }
      ],
      "seasonPassItems": []
    },
    {
      "price": 1360,
      "items": [
        {
          "item": "UnlimitedBooster2",
          "amount": 15
        }
      ],
      "seasonPassItems": []
    },
    {
      "price": 1630,
      "items": [
        {
          "item": "Hammer",
          "amount": 1
        }
      ],
      "seasonPassItems": []
    },
    {
      "price": 1930,
      "items": [
        {
          "item": "UnlimitedLives",
          "amount": 60
        },
        {
          "item": "UnlimitedBooster3",
          "amount": 15
        }
      ],
      "seasonPassItems": []
    }
  ],
  "completionReward": [
    {
      "item": "HardCoin",
      "amount": 50
    },
    {
      "item": "Pre-Bomb",
      "amount": 1
    },
    {
      "item": "CherryBomb",
      "amount": 1
    }
  ],
  "manualRewardClaiming": false,
  "seasonPassProduct": "",
  "seasonPassMaxLives": 0,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</si>
  <si>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42,
  "leagueGroupSize": 60,
  "assetBundle": "event-kite-festival",
  "configuration": "KiteFestival",
  "scorePerLevel": [
    1,
    10,
    100,
    200,
    500,
    1000
  ],
  "scoreAddition": 1000,
  "milestonesRequiredForLeaderboard": 1,
  "showPopupAfterConsecutiveWins": 3,
  "showBadgeNotificationAfterConsecutiveWins": 3,
  "milestoneRewards": [
    {
      "price": 100,
      "visual": 0,
      "items": [
        {
          "item": "UnlimitedLives",
          "amount": 30
        }
      ]
    }
  ],
  "rewards": [
    [
      {
        "item": "HardCoin",
        "amount": 300
      },
      {
        "item": "CherryBomb",
        "amount": 1
      },
      {
        "item": "SeasonPassToken",
        "amount": 400
      }
    ],
    [
      {
        "item": "HardCoin",
        "amount": 200
      },
      {
        "item": "Shuffle",
        "amount": 1
      },
      {
        "item": "SeasonPassToken",
        "amount": 300
      }
    ],
    [
      {
        "item": "HardCoin",
        "amount": 150
      },
      {
        "item": "Shuffle",
        "amount": 1
      },
      {
        "item": "SeasonPassToken",
        "amount": 240
      }
    ],
    [
      {
        "item": "HardCoin",
        "amount": 125
      },
      {
        "item": "Shuffle",
        "amount": 1
      },
      {
        "item": "SeasonPassToken",
        "amount": 200
      }
    ],
    [
      {
        "item": "HardCoin",
        "amount": 100
      },
      {
        "item": "Shuffle",
        "amount": 1
      },
      {
        "item": "SeasonPassToken",
        "amount": 160
      }
    ],
    [
      {
        "item": "Hammer",
        "amount": 1
      },
      {
        "item": "SeasonPassToken",
        "amount": 140
      }
    ],
    [
      {
        "item": "Hammer",
        "amount": 1
      },
      {
        "item": "SeasonPassToken",
        "amount": 125
      }
    ],
    [
      {
        "item": "Hammer",
        "amount": 1
      },
      {
        "item": "SeasonPassToken",
        "amount": 120
      }
    ],
    [
      {
        "item": "Hammer",
        "amount": 1
      },
      {
        "item": "SeasonPassToken",
        "amount": 115
      }
    ],
    [
      {
        "item": "Hammer",
        "amount": 1
      },
      {
        "item": "SeasonPassToken",
        "amount": 110
      }
    ],
    [
      {
        "item": "Pre-Bomb",
        "amount": 1
      },
      {
        "item": "SeasonPassToken",
        "amount": 105
      }
    ],
    [
      {
        "item": "Pre-Bomb",
        "amount": 1
      },
      {
        "item": "SeasonPassToken",
        "amount": 100
      }
    ],
    [
      {
        "item": "Pre-Chuck",
        "amount": 1
      },
      {
        "item": "SeasonPassToken",
        "amount": 95
      }
    ],
    [
      {
        "item": "Pre-Chuck",
        "amount": 1
      },
      {
        "item": "SeasonPassToken",
        "amount": 90
      }
    ],
    [
      {
        "item": "Pre-Red",
        "amount": 1
      },
      {
        "item": "SeasonPassToken",
        "amount": 85
      }
    ],
    [
      {
        "item": "Pre-Red",
        "amount": 1
      },
      {
        "item": "SeasonPassToken",
        "amount": 80
      }
    ],
    [
      {
        "item": "SeasonPassToken",
        "amount": 75
      }
    ],
    [
      {
        "item": "SeasonPassToken",
        "amount": 70
      }
    ],
    [
      {
        "item": "SeasonPassToken",
        "amount": 65
      }
    ],
    [
      {
        "item": "SeasonPassToken",
        "amount": 60
      }
    ],
    [
      {
        "item": "SeasonPassToken",
        "amount": 55
      }
    ],
    [
      {
        "item": "SeasonPassToken",
        "amount": 50
      }
    ],
    [
      {
        "item": "SeasonPassToken",
        "amount": 45
      }
    ],
    [
      {
        "item": "SeasonPassToken",
        "amount": 40
      }
    ],
    [
      {
        "item": "SeasonPassToken",
        "amount": 35
      }
    ]
  ],
  "notificationConfig": {
    "sendStartNotifications": true,
    "startNotificationLocalizationTitle": "NOTIFICATIONS/KiteFestivalEventStartNotificationTitle",
    "startNotificationLocalization": "NOTIFICATIONS/KiteFestivalEventStartingNotification",
    "sendEndNotifications": true,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</si>
  <si>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17,
  "assetBundle": "event-photoshoot-generic",
  "configuration": "Photoshoot",
  "itemPrices": [
    80,
    130,
    155,
    80,
    130,
    160,
    80,
    135,
    165,
    165,
    230,
    265,
    180,
    250,
    300,
    180,
    260,
    300,
    300,
    375,
    410,
    385,
    475,
    500,
    400,
    480,
    520,
    600,
    600,
    600
  ],
  "itemLevelUnlocks": [
    0,
    1,
    1,
    1,
    1,
    1,
    1,
    1,
    1,
    1
  ],
  "streakMultipliers": [
    1,
    2,
    4,
    6,
    10
  ],
  "manualRewardClaiming": false,
  "lastTierUnlockRequirement": true,
  "rewards": [
    {
      "price": 3,
      "items": [
        {
          "item": "Pre-Chuck",
          "amount": 1
        }
      ]
    },
    {
      "price": 6,
      "items": [
        {
          "item": "UnlimitedLives",
          "amount": 30
        }
      ]
    },
    {
      "price": 9,
      "items": [
        {
          "item": "HardCoin",
          "amount": 25
        }
      ]
    },
    {
      "price": 12,
      "items": [
        {
          "item": "UnlimitedLives",
          "amount": 30
        },
        {
          "item": "UnlimitedBooster1",
          "amount": 15
        }
      ]
    },
    {
      "price": 15,
      "items": [
        {
          "item": "Pre-Red",
          "amount": 1
        }
      ]
    },
    {
      "price": 18,
      "items": [
        {
          "item": "UnlimitedLives",
          "amount": 30
        },
        {
          "item": "UnlimitedBooster2",
          "amount": 15
        }
      ]
    },
    {
      "price": 21,
      "items": [
        {
          "item": "HardCoin",
          "amount": 25
        }
      ]
    },
    {
      "price": 24,
      "items": [
        {
          "item": "UnlimitedLives",
          "amount": 60
        },
        {
          "item": "UnlimitedBooster3",
          "amount": 15
        }
      ]
    },
    {
      "price": 27,
      "items": [
        {
          "item": "Shuffle",
          "amount": 1
        }
      ]
    },
    {
      "price": 30,
      "items": [
        {
          "item": "HardCoin",
          "amount": 50
        },
        {
          "item": "UnlimitedLives",
          "amount": 120
        },
        {
          "item": "Pre-Bomb",
          "amount": 1
        }
      ]
    }
  ],
  "endlessRewards": [
    [
      {
        "price": 840,
        "items": [
          {
            "item": "Pre-Bomb",
            "amount": 1
          }
        ]
      },
      {
        "price": 840,
        "items": [
          {
            "item": "Pre-Red",
            "amount": 2
          }
        ]
      },
      {
        "price": 830,
        "items": [
          {
            "item": "Pre-Chuck",
            "amount": 1
          }
        ]
      },
      {
        "price": 800,
        "items": [
          {
            "item": "HardCoin",
            "amount": 25
          }
        ]
      },
      {
        "price": 810,
        "items": [
          {
            "item": "Pre-Red",
            "amount": 1
          }
        ]
      },
      {
        "price": 880,
        "items": [
          {
            "item": "Pre-Chuck",
            "amount": 2
          }
        ]
      },
      {
        "price": 840,
        "items": [
          {
            "item": "Pre-Bomb",
            "amount": 1
          }
        ]
      },
      {
        "price": 880,
        "items": [
          {
            "item": "Pre-Red",
            "amount": 3
          }
        ]
      },
      {
        "price": 840,
        "items": [
          {
            "item": "Pre-Bomb",
            "amount": 1
          }
        ]
      },
      {
        "price": 930,
        "items": [
          {
            "item": "Pre-Chuck",
            "amount": 3
          }
        ]
      },
      {
        "price": 980,
        "items": [
          {
            "item": "Pre-Bomb",
            "amount": 3
          }
        ]
      },
      {
        "price": 840,
        "items": [
          {
            "item": "Pre-Red",
            "amount": 2
          }
        ]
      },
      {
        "price": 1110,
        "items": [
          {
            "item": "Pre-Bomb",
            "amount": 5
          }
        ]
      },
      {
        "price": 830,
        "items": [
          {
            "item": "HardCoin",
            "amount": 50
          }
        ]
      },
      {
        "price": 880,
        "items": [
          {
            "item": "Pre-Chuck",
            "amount": 2
          }
        ]
      }
    ],
    [
      {
        "price": 830,
        "items": [
          {
            "item": "Hammer",
            "amount": 1
          }
        ]
      },
      {
        "price": 800,
        "items": [
          {
            "item": "HardCoin",
            "amount": 25
          }
        ]
      },
      {
        "price": 910,
        "items": [
          {
            "item": "Shuffle",
            "amount": 2
          }
        ]
      },
      {
        "price": 940,
        "items": [
          {
            "item": "CherryBomb",
            "amount": 1
          }
        ]
      },
      {
        "price": 910,
        "items": [
          {
            "item": "Shuffle",
            "amount": 2
          }
        ]
      },
      {
        "price": 880,
        "items": [
          {
            "item": "Hammer",
            "amount": 2
          }
        ]
      },
      {
        "price": 940,
        "items": [
          {
            "item": "CherryBomb",
            "amount": 1
          }
        ]
      },
      {
        "price": 980,
        "items": [
          {
            "item": "Shuffle",
            "amount": 3
          }
        ]
      },
      {
        "price": 830,
        "items": [
          {
            "item": "Hammer",
            "amount": 1
          }
        ]
      },
      {
        "price": 810,
        "items": [
          {
            "item": "HardCoin",
            "amount": 35
          }
        ]
      },
      {
        "price": 1110,
        "items": [
          {
            "item": "CherryBomb",
            "amount": 2
          }
        ]
      },
      {
        "price": 880,
        "items": [
          {
            "item": "Hammer",
            "amount": 2
          }
        ]
      },
      {
        "price": 910,
        "items": [
          {
            "item": "Shuffle",
            "amount": 2
          }
        ]
      },
      {
        "price": 1110,
        "items": [
          {
            "item": "CherryBomb",
            "amount": 2
          }
        ]
      },
      {
        "price": 840,
        "items": [
          {
            "item": "Shuffle",
            "amount": 1
          }
        ]
      }
    ],
    [
      {
        "price": 940,
        "items": [
          {
            "item": "UnlimitedBooster2",
            "amount": 10
          }
        ]
      },
      {
        "price": 950,
        "items": [
          {
            "item": "UnlimitedBooster3",
            "amount": 10
          }
        ]
      },
      {
        "price": 840,
        "items": [
          {
            "item": "UnlimitedLives",
            "amount": 15
          }
        ]
      },
      {
        "price": 940,
        "items": [
          {
            "item": "UnlimitedBooster1",
            "amount": 10
          }
        ]
      },
      {
        "price": 900,
        "items": [
          {
            "item": "UnlimitedLives",
            "amount": 30
          }
        ]
      },
      {
        "price": 810,
        "items": [
          {
            "item": "HardCoin",
            "amount": 30
          }
        ]
      },
      {
        "price": 990,
        "items": [
          {
            "item": "UnlimitedBooster2",
            "amount": 15
          }
        ]
      },
      {
        "price": 980,
        "items": [
          {
            "item": "UnlimitedBooster1",
            "amount": 15
          }
        ]
      },
      {
        "price": 900,
        "items": [
          {
            "item": "UnlimitedLives",
            "amount": 30
          }
        ]
      },
      {
        "price": 950,
        "items": [
          {
            "item": "UnlimitedBooster3",
            "amount": 10
          }
        ]
      },
      {
        "price": 990,
        "items": [
          {
            "item": "UnlimitedBooster2",
            "amount": 15
          }
        ]
      },
      {
        "price": 830,
        "items": [
          {
            "item": "HardCoin",
            "amount": 50
          }
        ]
      },
      {
        "price": 940,
        "items": [
          {
            "item": "UnlimitedBooster1",
            "amount": 10
          }
        ]
      },
      {
        "price": 1040,
        "items": [
          {
            "item": "UnlimitedBooster3",
            "amount": 15
          }
        ]
      },
      {
        "price": 1030,
        "items": [
          {
            "item": "UnlimitedLives",
            "amount": 60
          }
        ]
      }
    ]
  ],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</si>
  <si>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"groupSize": 5,
  "groupMaxFillTimeMinutes": 5,
  "requiredPlayerLevel": 1,
  "requiredSagaLevel": 42,
  "cycleRounds": true,
  "rounds": [
    {
      "levels": 5,
      "loopbackPoint": false,
      "rewardCandidates": [
        [
          {
            "item": "HardCoin",
            "amount": 30
          }
        ],
        [
          {
            "item": "UnlimitedLives",
            "amount": 15
          }
        ],
        [
          {
            "item": "Pre-Bomb",
            "amount": 1
          }
        ],
        [
          {
            "item": "Shuffle",
            "amount": 1
          }
        ],
        [
          {
            "item": "UnlimitedBooster2",
            "amount": 10
          }
        ]
      ]
    },
    {
      "levels": 6,
      "loopbackPoint": false,
      "rewardCandidates": [
        [
          {
            "item": "UnlimitedLives",
            "amount": 15
          }
        ],
        [
          {
            "item": "CherryBomb",
            "amount": 1
          }
        ],
        [
          {
            "item": "Pre-Chuck",
            "amount": 1
          }
        ],
        [
          {
            "item": "UnlimitedBooster1",
            "amount": 10
          }
        ],
        [
          {
            "item": "SeasonPassMultiplier2x",
            "amount": 10
          }
        ]
      ]
    },
    {
      "levels": 10,
      "loopbackPoint": false,
      "rewardCandidates": [
        [
          {
            "item": "UnlimitedBooster3",
            "amount": 20
          }
        ],
        [
          {
            "item": "Shuffle",
            "amount": 1
          }
        ],
        [
          {
            "item": "UnlimitedBooster2",
            "amount": 10
          }
        ],
        [
          {
            "item": "Pre-Red",
            "amount": 1
          }
        ],
        [
          {
            "item": "SeasonPassToken",
            "amount": 20
          }
        ]
      ]
    },
    {
      "levels": 15,
      "loopbackPoint": false,
      "rewardCandidates": [
        [
          {
            "item": "HardCoin",
            "amount": 55
          },
          {
            "item": "Pre-Red",
            "amount": 1
          }
        ],
        [
          {
            "item": "UnlimitedLives",
            "amount": 20
          }
        ],
        [
          {
            "item": "CherryBomb",
            "amount": 1
          }
        ],
        [
          {
            "item": "Pre-Chuck",
            "amount": 1
          }
        ],
        [
          {
            "item": "UnlimitedBooster1",
            "amount": 15
          }
        ]
      ]
    },
    {
      "levels": 8,
      "loopbackPoint": false,
      "rewardCandidates": [
        [
          {
            "item": "Shuffle",
            "amount": 1
          }
        ],
        [
          {
            "item": "UnlimitedBooster2",
            "amount": 10
          }
        ],
        [
          {
            "item": "Pre-Chuck",
            "amount": 1
          }
        ],
        [
          {
            "item": "UnlimitedBooster1",
            "amount": 10
          }
        ],
        [
          {
            "item": "Pre-Red",
            "amount": 1
          }
        ]
      ]
    },
    {
      "levels": 10,
      "loopbackPoint": false,
      "rewardCandidates": [
        [
          {
            "item": "HardCoin",
            "amount": 50
          }
        ],
        [
          {
            "item": "UnlimitedLives",
            "amount": 15
          }
        ],
        [
          {
            "item": "Pre-Bomb",
            "amount": 1
          }
        ],
        [
          {
            "item": "Shuffle",
            "amount": 1
          }
        ],
        [
          {
            "item": "SeasonPassMultiplier2x",
            "amount": 15
          }
        ]
      ]
    },
    {
      "levels": 12,
      "loopbackPoint": false,
      "rewardCandidates": [
        [
          {
            "item": "Slingshot",
            "amount": 1
          }
        ],
        [
          {
            "item": "UnlimitedBooster1",
            "amount": 15
          }
        ],
        [
          {
            "item": "Pre-Red",
            "amount": 1
          }
        ],
        [
          {
            "item": "SeasonPassToken",
            "amount": 30
          }
        ],
        [
          {
            "item": "SeasonPassMultiplier2x",
            "amount": 15
          }
        ]
      ]
    },
    {
      "levels": 15,
      "loopbackPoint": false,
      "rewardCandidates": [
        [
          {
            "item": "Pre-Bomb",
            "amount": 1
          },
          {
            "item": "UnlimitedLives",
            "amount": 30
          }
        ],
        [
          {
            "item": "CherryBomb",
            "amount": 1
          }
        ],
        [
          {
            "item": "UnlimitedBooster2",
            "amount": 15
          }
        ],
        [
          {
            "item": "Pre-Chuck",
            "amount": 1
          }
        ],
        [
          {
            "item": "Pre-Red",
            "amount": 1
          }
        ]
      ]
    },
    {
      "levels": 17,
      "loopbackPoint": false,
      "rewardCandidates": [
        [
          {
            "item": "HardCoin",
            "amount": 70
          },
          {
            "item": "SeasonPassToken",
            "amount": 30
          },
          {
            "item": "Pre-Red",
            "amount": 1
          }
        ],
        [
          {
            "item": "UnlimitedBooster3",
            "amount": 15
          },
          {
            "item": "Slingshot",
            "amount": 1
          }
        ],
        [
          {
            "item": "UnlimitedBooster2",
            "amount": 15
          }
        ],
        [
          {
            "item": "UnlimitedBooster1",
            "amount": 15
          }
        ],
        [
          {
            "item": "SeasonPassMultiplier2x",
            "amount": 15
          }
        ]
      ]
    },
    {
      "levels": 8,
      "loopbackPoint": true,
      "rewardCandidates": [
        [
          {
            "item": "UnlimitedBooster1",
            "amount": 20
          }
        ],
        [
          {
            "item": "UnlimitedLives",
            "amount": 15
          }
        ],
        [
          {
            "item": "Pre-Bomb",
            "amount": 1
          }
        ],
        [
          {
            "item": "Pre-Chuck",
            "amount": 1
          }
        ],
        [
          {
            "item": "Pre-Red",
            "amount": 1
          }
        ]
      ]
    },
    {
      "levels": 10,
      "loopbackPoint": false,
      "rewardCandidates": [
        [
          {
            "item": "UnlimitedLives",
            "amount": 15
          }
        ],
        [
          {
            "item": "UnlimitedBooster2",
            "amount": 10
          }
        ],
        [
          {
            "item": "Slingshot",
            "amount": 1
          }
        ],
        [
          {
            "item": "UnlimitedBooster1",
            "amount": 10
          }
        ],
        [
          {
            "item": "SeasonPassToken",
            "amount": 30
          }
        ]
      ]
    },
    {
      "levels": 12,
      "loopbackPoint": false,
      "rewardCandidates": [
        [
          {
            "item": "CherryBomb",
            "amount": 1
          }
        ],
        [
          {
            "item": "Shuffle",
            "amount": 1
          }
        ],
        [
          {
            "item": "Pre-Red",
            "amount": 1
          }
        ],
        [
          {
            "item": "SeasonPassToken",
            "amount": 30
          }
        ],
        [
          {
            "item": "SeasonPassMultiplier2x",
            "amount": 15
          }
        ]
      ]
    },
    {
      "levels": 15,
      "loopbackPoint": false,
      "rewardCandidates": [
        [
          {
            "item": "HardCoin",
            "amount": 65
          }
        ],
        [
          {
            "item": "Pre-Bomb",
            "amount": 1
          }
        ],
        [
          {
            "item": "UnlimitedBooster2",
            "amount": 15
          }
        ],
        [
          {
            "item": "Slingshot",
            "amount": 1
          }
        ],
        [
          {
            "item": "UnlimitedBooster1",
            "amount": 15
          }
        ]
      ]
    },
    {
      "levels": 17,
      "loopbackPoint": false,
      "rewardCandidates": [
        [
          {
            "item": "UnlimitedLives",
            "amount": 20
          }
        ],
        [
          {
            "item": "CherryBomb",
            "amount": 1
          }
        ],
        [
          {
            "item": "Shuffle",
            "amount": 1
          }
        ],
        [
          {
            "item": "Slingshot",
            "amount": 1
          }
        ],
        [
          {
            "item": "SeasonPassToken",
            "amount": 30
          }
        ]
      ]
    },
    {
      "levels": 25,
      "loopbackPoint": false,
      "rewardCandidates": [
        [
          {
            "item": "UnlimitedBooster1",
            "amount": 30
          },
          {
            "item": "Slingshot",
            "amount": 1
          },
          {
            "item": "HardCoin",
            "amount": 150
          }
        ],
        [
          {
            "item": "UnlimitedLives",
            "amount": 60
          },
          {
            "item": "SeasonPassToken",
            "amount": 50
          }
        ],
        [
          {
            "item": "UnlimitedBooster2",
            "amount": 30
          }
        ],
        [
          {
            "item": "Shuffle",
            "amount": 1
          }
        ],
        [
          {
            "item": "SeasonPassMultiplier2x",
            "amount": 30
          }
        ]
      ]
    }
  ],
  "closingTimeMinutes": 1,
  "configuration": "RiverRush",
  "assetBundle": "event-river-rush",
  "optInEnabled": true,
  "botsEnabled": true,
  "botDefinitionAssetTag": "bot-definitions",
  "botDefinitionFile": "river_rush_ghosts_reupload.json",
  "desiredBotCounts": {
    "easy": 1,
    "medium": 1,
    "hard": 1,
    "extreme": 1
  },
  "notificationConfig": {
    "sendStartNotifications": true,
    "startNotificationLocalizationTitle": "NOTIFICATIONS/RiverRushStartingNotificationTitle",
    "startNotificationLocalization": "NOTIFICATIONS/RiverRushStartingNotification",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</si>
  <si>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"leagueGroupSize": 20,
  "groupMaxFillTimeMinutes": 20,
  "unlimitedLivesDurationMinutes": 30,
  "requiredPlayerLevel": 1,
  "requiredSagaLevel": 25,
  "configuration": "ArcheryArena",
  "assetBundle": "event-archery-arena",
  "winStreakMultipliers": [
    1,
    5,
    10,
    20,
    100
  ],
  "levelDifficultyMultiplier": {
    "normal": 1,
    "hard": 1,
    "extreme": 1
  },
  "leagueRewards": [
    [
      {
        "item": "HardCoin",
        "amount": 100
      },
      {
        "item": "CherryBomb",
        "amount": 1
      }
    ],
    [
      {
        "item": "HardCoin",
        "amount": 50
      },
      {
        "item": "Shuffle",
        "amount": 1
      }
    ],
    [
      {
        "item": "HardCoin",
        "amount": 25
      },
      {
        "item": "Pre-Bomb",
        "amount": 1
      }
    ],
    [
      {
        "item": "Hammer",
        "amount": 1
      }
    ],
    [
      {
        "item": "Hammer",
        "amount": 1
      }
    ],
    [
      {
        "item": "Pre-Chuck",
        "amount": 1
      }
    ],
    [
      {
        "item": "Pre-Chuck",
        "amount": 1
      }
    ],
    [
      {
        "item": "Pre-Red",
        "amount": 1
      }
    ],
    [
      {
        "item": "Pre-Red",
        "amount": 1
      }
    ],
    [
      {
        "item": "Pre-Red",
        "amount": 1
      }
    ]
  ],
  "milestoneRewards": [],
  "botsEnabled": true,
  "botDefinitionAssetTag": "bot-definitions",
  "botDefinitionFile": "archery-arena-botsForLaunch-1.2.json",
  "desiredBotCounts": {
    "easy": 9,
    "medium": 6,
    "hard": 3,
    "extreme": 1
  },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</si>
  <si>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"leagueGroupSize": 7,
  "requiredPlayerLevel": 1,
  "requiredSagaLevel": 27,
  "targetScore": 10,
  "maxRounds": 1,
  "ableToPostpone": true,
  "closingTimeMinutes": 20,
  "configuration": "FlashRace",
  "assetBundle": "eventflashrace",
  "rewards": [
    [
      {
        "item": "Coin",
        "amount": 50
      },
      {
        "item": "CherryBomb",
        "amount": 1
      },
      {
        "item": "SeasonPassToken",
        "amount": 50
      }
    ],
    [
      {
        "item": "Coin",
        "amount": 25
      },
      {
        "item": "Shuffle",
        "amount": 1
      },
      {
        "item": "SeasonPassToken",
        "amount": 50
      }
    ],
    [
      {
        "item": "Coin",
        "amount": 10
      },
      {
        "item": "Pre-Bomb",
        "amount": 1
      },
      {
        "item": "SeasonPassToken",
        "amount": 50
      }
    ],
    [
      {
        "item": "Hammer",
        "amount": 1
      },
      {
        "item": "SeasonPassToken",
        "amount": 50
      }
    ],
    [
      {
        "item": "Pre-Chuck",
        "amount": 1
      },
      {
        "item": "SeasonPassToken",
        "amount": 45
      }
    ],
    [
      {
        "item": "Pre-Red",
        "amount": 1
      },
      {
        "item": "SeasonPassToken",
        "amount": 40
      }
    ],
    [
      {
        "item": "Pre-Red",
        "amount": 1
      },
      {
        "item": "SeasonPassToken",
        "amount": 40
      }
    ]
  ],
  "roundRewards": [
    {
      "startingFromRound": 1,
      "rewards": [
        [
          {
            "item": "Coin",
            "amount": 50
          },
          {
            "item": "CherryBomb",
            "amount": 1
          },
          {
            "item": "SeasonPassToken",
            "amount": 50
          }
        ],
        [
          {
            "item": "Coin",
            "amount": 25
          },
          {
            "item": "Shuffle",
            "amount": 1
          },
          {
            "item": "SeasonPassToken",
            "amount": 50
          }
        ],
        [
          {
            "item": "Coin",
            "amount": 10
          },
          {
            "item": "Pre-Bomb",
            "amount": 1
          },
          {
            "item": "SeasonPassToken",
            "amount": 50
          }
        ],
        [
          {
            "item": "Hammer",
            "amount": 1
          },
          {
            "item": "SeasonPassToken",
            "amount": 50
          }
        ],
        [
          {
            "item": "Pre-Chuck",
            "amount": 1
          },
          {
            "item": "SeasonPassToken",
            "amount": 45
          }
        ],
        [
          {
            "item": "Pre-Red",
            "amount": 1
          },
          {
            "item": "SeasonPassToken",
            "amount": 40
          }
        ],
        [
          {
            "item": "Pre-Red",
            "amount": 1
          },
          {
            "item": "SeasonPassToken",
            "amount": 40
          }
        ]
      ]
    }
  ],
  "adEnabled": false,
  "adReward": {
    "items": [
      {
        "item": "UnlimitedLives",
        "amount": 15
      }
    ]
  },
  "botsEnabled": false,
  "botDefinitionAssetTag": "bot-definitions",
  "botDefinitionFile": "flash-race-bots.json",
  "desiredBotCounts": {
    "easy": 1,
    "medium": 2,
    "hard": 2,
    "extreme": 1,
    "any": 0
  },
  "notificationConfig": {
    "sendStartNotifications": true,
    "startNotificationLocalizationTitle": "NOTIFICATIONS/FlashRaceEventStartNotificationTitle",
    "startNotificationLocalization": "NOTIFICATIONS/FlashRaceEventStartingNotification",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</si>
  <si>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"eventType": "Red",
  "countCreatedBoosters": false,
  "leagueGroupSize": 20,
  "requiredPlayerLevel": 2,
  "requiredSagaLevel": 25,
  "scoreDoubler": true,
  "movesLeftMax": 0,
  "singlePlayerEventId": "",
  "configuration": "Red",
  "assetBundle": "",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true,
    "startNotificationLocalizationTitle": "NOTIFICATIONS/RedEventStartNotificationTitle",
    "startNotificationLocalization": "NOTIFICATIONS/RedEventStartingNotification",
    "sendEndNotifications": false,
    "hoursBeforeEndNotification": 12,
    "endNotificationLocalizationTitle": "NOTIFICATIONS/EvenEndNotificationTitle",
    "endNotificationLocalization": "NOTIFICATIONS/EventEndingNotification"
  }
}</t>
  </si>
  <si>
    <t>{
  "eventType": "Bomb",
  "countCreatedBoosters": false,
  "leagueGroupSize": 20,
  "requiredPlayerLevel": 2,
  "requiredSagaLevel": 25,
  "scoreDoubler": true,
  "movesLeftMax": 0,
  "singlePlayerEventId": "",
  "configuration": "Bomb",
  "assetBundle": "",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true,
    "startNotificationLocalizationTitle": "NOTIFICATIONS/BombEventStartNotificationTitle",
    "startNotificationLocalization": "NOTIFICATIONS/BombEventStartingNotification",
    "sendEndNotifications": false,
    "hoursBeforeEndNotification": 1,
    "endNotificationLocalizationTitle": "NOTIFICATIONS/EventEndNotificationTitle",
    "endNotificationLocalization": "NOTIFICATIONS/EventEndingNotification"
  }
}</t>
  </si>
  <si>
    <t>{
  "eventType": "Chuck",
  "countCreatedBoosters": false,
  "leagueGroupSize": 20,
  "requiredPlayerLevel": 2,
  "requiredSagaLevel": 25,
  "scoreDoubler": true,
  "movesLeftMax": 0,
  "singlePlayerEventId": "",
  "configuration": "Chuck",
  "assetBundle": "",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true,
    "startNotificationLocalizationTitle": "NOTIFICATIONS/ChuckEventStartNotificationTitle",
    "startNotificationLocalization": "NOTIFICATIONS/ChuckEventStartingNotification",
    "sendEndNotifications": false,
    "hoursBeforeEndNotification": 1,
    "endNotificationLocalizationTitle": "NOTIFICATIONS/EvenEndNotificationTitle",
    "endNotificationLocalization": "NOTIFICATIONS/EventEndingNotification"
  }
}</t>
  </si>
  <si>
    <t>{
  "eventType": "Level",
  "countCreatedBoosters": false,
  "leagueGroupSize": 20,
  "requiredPlayerLevel": 2,
  "requiredSagaLevel": 25,
  "closingTimeMinutes": 0,
  "scoreDoubler": false,
  "movesLeftMax": 0,
  "singlePlayerEventId": "",
  "configuration": "LevelRace",
  "assetBundle": "",
  "boosterMultipliers": [],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false,
    "startNotificationLocalizationTitle": "EXPANSIONTEST/titleTest",
    "startNotificationLocalization": "EXPANSIONTEST/messageTest",
    "sendEndNotifications": false,
    "hoursBeforeEndNotification": 0,
    "endNotificationLocalizationTitle": "EXPANSIONTEST/titleTest",
    "endNotificationLocalization": "EXPANSIONTEST/messageTest",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</si>
  <si>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27,
  "eventType": "Level",
  "assetBundle": "event-dreampass-reds-greatest-challenge",
  "configuration": "DreamPass",
  "orb": "Reds_Greatest_Challenge",
  "dreamPassProduct": "dream_pass_299",
  "dreamPassDiscount": {
    "dreamPassDiscountProduct": "",
    "enabled": false
  },
  "dreamPassMaxLives": 10,
  "backgroundUnlockTiers": [
    0,
    3,
    7,
    11,
    15,
    19,
    24,
    29
  ],
  "promoteDreamPassOnTiers": [
    1
  ],
  "promoteDreamPassCurrentContentOnTiers": [],
  "dreamPassRewards": [
    {
      "price": 10,
      "items": [
        {
          "item": "Pre-Chuck",
          "amount": 1
        },
        {
          "item": "UnlimitedBooster1",
          "amount": 10
        }
      ],
      "dreamPassItems": [
        {
          "item": "UnlimitedLives",
          "amount": 120
        },
        {
          "item": "UnlimitedBooster2",
          "amount": 15
        }
      ]
    },
    {
      "price": 24,
      "items": [
        {
          "item": "HardCoin",
          "amount": 10
        }
      ],
      "dreamPassItems": [
        {
          "item": "HardCoin",
          "amount": 25
        }
      ]
    },
    {
      "price": 44,
      "items": [
        {
          "item": "UnlimitedLives",
          "amount": 60
        }
      ],
      "dreamPassItems": [
        {
          "item": "Pre-Red",
          "amount": 1
        }
      ]
    },
    {
      "price": 72,
      "items": [
        {
          "item": "UnlimitedBooster2",
          "amount": 15
        }
      ],
      "dreamPassItems": [
        {
          "item": "Shuffle",
          "amount": 1
        }
      ]
    },
    {
      "price": 107,
      "items": [
        {
          "item": "HardCoin",
          "amount": 10
        }
      ],
      "dreamPassItems": [
        {
          "item": "HardCoin",
          "amount": 25
        },
        {
          "item": "UnlimitedLives",
          "amount": 30
        }
      ]
    },
    {
      "price": 177,
      "items": [
        {
          "item": "Pre-Red",
          "amount": 1
        }
      ],
      "dreamPassItems": [
        {
          "item": "Pre-Bomb",
          "amount": 1
        }
      ]
    },
    {
      "price": 247,
      "items": [
        {
          "item": "Pre-Chuck",
          "amount": 1
        }
      ],
      "dreamPassItems": [
        {
          "item": "UnlimitedBooster3",
          "amount": 10
        }
      ]
    },
    {
      "price": 317,
      "items": [
        {
          "item": "UnlimitedLives",
          "amount": 15
        }
      ],
      "dreamPassItems": [
        {
          "item": "Hammer",
          "amount": 1
        }
      ]
    },
    {
      "price": 387,
      "items": [
        {
          "item": "UnlimitedBooster1",
          "amount": 10
        }
      ],
      "dreamPassItems": [
        {
          "item": "Shuffle",
          "amount": 1
        }
      ]
    },
    {
      "price": 487,
      "items": [
        {
          "item": "HardCoin",
          "amount": 10
        }
      ],
      "dreamPassItems": [
        {
          "item": "HardCoin",
          "amount": 25
        },
        {
          "item": "UnlimitedLives",
          "amount": 30
        }
      ]
    },
    {
      "price": 587,
      "items": [
        {
          "item": "UnlimitedLives",
          "amount": 15
        }
      ],
      "dreamPassItems": [
        {
          "item": "CherryBomb",
          "amount": 1
        }
      ]
    },
    {
      "price": 687,
      "items": [
        {
          "item": "Pre-Red",
          "amount": 1
        }
      ],
      "dreamPassItems": [
        {
          "item": "Pre-Chuck",
          "amount": 1
        }
      ]
    },
    {
      "price": 787,
      "items": [
        {
          "item": "Shuffle",
          "amount": 1
        }
      ],
      "dreamPassItems": [
        {
          "item": "UnlimitedBooster2",
          "amount": 15
        }
      ]
    },
    {
      "price": 887,
      "items": [
        {
          "item": "Pre-Red",
          "amount": 1
        }
      ],
      "dreamPassItems": [
        {
          "item": "Pre-Bomb",
          "amount": 1
        }
      ]
    },
    {
      "price": 1017,
      "items": [
        {
          "item": "HardCoin",
          "amount": 15
        }
      ],
      "dreamPassItems": [
        {
          "item": "HardCoin",
          "amount": 30
        },
        {
          "item": "Pre-Red",
          "amount": 1
        },
        {
          "item": "UnlimitedLives",
          "amount": 60
        }
      ]
    },
    {
      "price": 1147,
      "items": [
        {
          "item": "UnlimitedLives",
          "amount": 15
        }
      ],
      "dreamPassItems": [
        {
          "item": "Hammer",
          "amount": 1
        },
        {
          "item": "UnlimitedBooster1",
          "amount": 10
        }
      ]
    },
    {
      "price": 1277,
      "items": [
        {
          "item": "Pre-Chuck",
          "amount": 1
        }
      ],
      "dreamPassItems": [
        {
          "item": "Pre-Bomb",
          "amount": 1
        },
        {
          "item": "CherryBomb",
          "amount": 1
        }
      ]
    },
    {
      "price": 1407,
      "items": [
        {
          "item": "Pre-Red",
          "amount": 1
        }
      ],
      "dreamPassItems": [
        {
          "item": "Hammer",
          "amount": 1
        },
        {
          "item": "UnlimitedBooster2",
          "amount": 10
        }
      ]
    },
    {
      "price": 1537,
      "items": [
        {
          "item": "Pre-Bomb",
          "amount": 1
        }
      ],
      "dreamPassItems": [
        {
          "item": "Pre-Chuck",
          "amount": 1
        },
        {
          "item": "UnlimitedBooster1",
          "amount": 15
        }
      ]
    },
    {
      "price": 1697,
      "items": [
        {
          "item": "HardCoin",
          "amount": 20
        }
      ],
      "dreamPassItems": [
        {
          "item": "HardCoin",
          "amount": 40
        },
        {
          "item": "Pre-Red",
          "amount": 1
        },
        {
          "item": "UnlimitedLives",
          "amount": 60
        }
      ]
    },
    {
      "price": 1857,
      "items": [
        {
          "item": "Pre-Chuck",
          "amount": 1
        }
      ],
      "dreamPassItems": [
        {
          "item": "Pre-Bomb",
          "amount": 1
        },
        {
          "item": "UnlimitedBooster2",
          "amount": 15
        }
      ]
    },
    {
      "price": 2017,
      "items": [
        {
          "item": "UnlimitedBooster1",
          "amount": 15
        }
      ],
      "dreamPassItems": [
        {
          "item": "Shuffle",
          "amount": 1
        },
        {
          "item": "UnlimitedBooster3",
          "amount": 10
        }
      ]
    },
    {
      "price": 2177,
      "items": [
        {
          "item": "Pre-Chuck",
          "amount": 1
        }
      ],
      "dreamPassItems": [
        {
          "item": "Pre-Bomb",
          "amount": 1
        },
        {
          "item": "Hammer",
          "amount": 1
        }
      ]
    },
    {
      "price": 2337,
      "items": [
        {
          "item": "UnlimitedLives",
          "amount": 30
        }
      ],
      "dreamPassItems": [
        {
          "item": "Pre-Chuck",
          "amount": 1
        },
        {
          "item": "UnlimitedBooster1",
          "amount": 10
        }
      ]
    },
    {
      "price": 2527,
      "items": [
        {
          "item": "HardCoin",
          "amount": 25
        }
      ],
      "dreamPassItems": [
        {
          "item": "HardCoin",
          "amount": 55
        },
        {
          "item": "UnlimitedLives",
          "amount": 120
        }
      ]
    },
    {
      "price": 2717,
      "items": [
        {
          "item": "UnlimitedLives",
          "amount": 30
        }
      ],
      "dreamPassItems": [
        {
          "item": "Pre-Red",
          "amount": 1
        },
        {
          "item": "Shuffle",
          "amount": 1
        }
      ]
    },
    {
      "price": 2907,
      "items": [
        {
          "item": "Hammer",
          "amount": 1
        }
      ],
      "dreamPassItems": [
        {
          "item": "CherryBomb",
          "amount": 1
        },
        {
          "item": "UnlimitedBooster2",
          "amount": 10
        }
      ]
    },
    {
      "price": 3097,
      "items": [
        {
          "item": "Pre-Bomb",
          "amount": 1
        }
      ],
      "dreamPassItems": [
        {
          "item": "UnlimitedLives",
          "amount": 60
        },
        {
          "item": "UnlimitedBooster1",
          "amount": 15
        }
      ]
    },
    {
      "price": 3287,
      "items": [
        {
          "item": "Shuffle",
          "amount": 1
        }
      ],
      "dreamPassItems": [
        {
          "item": "UnlimitedLives",
          "amount": 120
        },
        {
          "item": "UnlimitedBooster3",
          "amount": 15
        }
      ]
    },
    {
      "price": 3557,
      "items": [
        {
          "item": "HardCoin",
          "amount": 40
        },
        {
          "item": "Avatar1350",
          "amount": 0
        }
      ],
      "dreamPassItems": [
        {
          "item": "HardCoin",
          "amount": 100
        },
        {
          "item": "CherryBomb",
          "amount": 1
        },
        {
          "item": "Avatar1351",
          "amount": 0
        }
      ]
    }
  ],
  "eocConfig": {
    "enabled": true,
    "leagueGroupSize": 50,
    "rewards": [
      [
        {
          "item": "Avatar1352",
          "amount": 1
        },
        {
          "item": "HardCoin",
          "amount": 500
        },
        {
          "item": "Pre-Bomb",
          "amount": 1
        }
      ],
      [
        {
          "item": "HardCoin",
          "amount": 300
        },
        {
          "item": "Shuffle",
          "amount": 1
        }
      ],
      [
        {
          "item": "HardCoin",
          "amount": 200
        },
        {
          "item": "Shuffle",
          "amount": 1
        }
      ],
      [
        {
          "item": "HardCoin",
          "amount": 175
        },
        {
          "item": "Shuffle",
          "amount": 1
        }
      ],
      [
        {
          "item": "HardCoin",
          "amount": 150
        },
        {
          "item": "Shuffle",
          "amount": 1
        }
      ],
      [
        {
          "item": "HardCoin",
          "amount": 125
        },
        {
          "item": "Shuffle",
          "amount": 1
        }
      ],
      [
        {
          "item": "HardCoin",
          "amount": 100
        },
        {
          "item": "Shuffle",
          "amount": 1
        }
      ],
      [
        {
          "item": "HardCoin",
          "amount": 75
        },
        {
          "item": "Shuffle",
          "amount": 1
        }
      ],
      [
        {
          "item": "HardCoin",
          "amount": 50
        },
        {
          "item": "Shuffle",
          "amount": 1
        }
      ],
      [
        {
          "item": "HardCoin",
          "amount": 25
        },
        {
          "item": "Shuffle",
          "amount": 1
        }
      ],
      [
        {
          "item": "Hammer",
          "amount": 1
        }
      ],
      [
        {
          "item": "Hammer",
          "amount": 1
        }
      ],
      [
        {
          "item": "Hammer",
          "amount": 1
        }
      ],
      [
        {
          "item": "Hammer",
          "amount": 1
        }
      ],
      [
        {
          "item": "Hammer",
          "amount": 1
        }
      ]
    ],
    "leaderboardSize": 50
  },
  "notificationConfig": {
    "sendStartNotifications": true,
    "startNotificationLocalizationTitle": "NOTIFICATIONS/DreamPassEventStartNotificationTitle",
    "startNotificationLocalization": "NOTIFICATIONS/DreamPassEventStartingNotification",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</si>
  <si>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D. 20-39</t>
  </si>
  <si>
    <t>E. 40-99</t>
  </si>
  <si>
    <t>F. 100+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</si>
</sst>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.0%"/>
    <numFmt numFmtId="165" formatCode="#,##0.0"/>
    <numFmt numFmtId="166" formatCode="[$$]#,##0.00"/>
    <numFmt numFmtId="167" formatCode="#,##0.00;[Red]-#,##0.00"/>
    <numFmt numFmtId="168" formatCode="+0%;-0%;0%"/>
    <numFmt numFmtId="169" formatCode="0.0"/>
    <numFmt numFmtId="170" formatCode="#,##0.00;-#,##0.00"/>
    <numFmt numFmtId="171" formatCode="d-m"/>
    <numFmt numFmtId="172" formatCode="#,##0.0;[Red]-#,##0.0"/>
  </numFmts>
  <fonts count="78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</font>
    <font>
      <b/>
      <sz val="14.0"/>
      <color rgb="FFFF0000"/>
      <name val="Arial"/>
    </font>
    <font>
      <sz val="11.0"/>
      <color theme="1"/>
      <name val="Calibri"/>
    </font>
    <font>
      <sz val="11.0"/>
      <color rgb="FF000000"/>
      <name val="Calibri"/>
    </font>
    <font>
      <color rgb="FF000000"/>
      <name val="Arial"/>
    </font>
    <font>
      <color theme="1"/>
      <name val="Arial"/>
    </font>
    <font>
      <b/>
      <sz val="11.0"/>
      <color rgb="FFFFFFFF"/>
      <name val="Montserrat"/>
    </font>
    <font>
      <i/>
      <sz val="9.0"/>
      <color rgb="FF666666"/>
      <name val="Arial"/>
    </font>
    <font>
      <i/>
      <sz val="9.0"/>
      <color rgb="FF000000"/>
      <name val="Arial"/>
    </font>
    <font>
      <sz val="10.0"/>
      <color rgb="FF171B20"/>
      <name val="Roboto"/>
    </font>
    <font>
      <b/>
      <sz val="10.0"/>
      <color rgb="FF000000"/>
      <name val="Arial"/>
    </font>
    <font>
      <u/>
      <sz val="10.0"/>
      <color rgb="FF0000FF"/>
      <name val="Roboto"/>
    </font>
    <font>
      <b/>
      <sz val="11.0"/>
      <color rgb="FFFFFFFF"/>
      <name val="Arial"/>
    </font>
    <font>
      <u/>
      <sz val="10.0"/>
      <color rgb="FF0000FF"/>
      <name val="Roboto"/>
    </font>
    <font/>
    <font>
      <b/>
      <sz val="11.0"/>
      <color rgb="FF000000"/>
      <name val="Arial"/>
    </font>
    <font>
      <sz val="10.0"/>
      <color rgb="FF000000"/>
      <name val="Arial"/>
    </font>
    <font>
      <sz val="11.0"/>
      <color rgb="FF000000"/>
      <name val="Arial"/>
    </font>
    <font>
      <sz val="10.0"/>
      <color theme="1"/>
      <name val="Arial"/>
    </font>
    <font>
      <b/>
      <sz val="11.0"/>
      <color theme="1"/>
      <name val="Arial"/>
    </font>
    <font>
      <u/>
      <sz val="10.0"/>
      <color rgb="FF0000FF"/>
      <name val="Roboto"/>
    </font>
    <font>
      <color rgb="FF000000"/>
      <name val="Arial"/>
      <scheme val="minor"/>
    </font>
    <font>
      <sz val="10.0"/>
      <color theme="1"/>
      <name val="Roboto"/>
    </font>
    <font>
      <sz val="10.0"/>
      <color rgb="FF1F1F1F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b/>
      <sz val="10.0"/>
      <color theme="1"/>
      <name val="Arial"/>
    </font>
    <font>
      <sz val="11.0"/>
      <color rgb="FFFF0000"/>
      <name val="Calibri"/>
    </font>
    <font>
      <sz val="11.0"/>
      <color rgb="FFFF0000"/>
      <name val="Arial"/>
    </font>
    <font>
      <b/>
      <sz val="12.0"/>
      <color rgb="FFFFFFFF"/>
      <name val="Arial"/>
    </font>
    <font>
      <b/>
      <sz val="12.0"/>
      <color rgb="FF000000"/>
      <name val="Arial"/>
    </font>
    <font>
      <sz val="11.0"/>
      <color rgb="FFBFBFBF"/>
      <name val="Arial"/>
    </font>
    <font>
      <sz val="11.0"/>
      <color rgb="FFCCCCCC"/>
      <name val="Arial"/>
    </font>
    <font>
      <b/>
      <color theme="1"/>
      <name val="Arial"/>
    </font>
    <font>
      <b/>
      <sz val="10.0"/>
      <color rgb="FFFF0000"/>
      <name val="Arial"/>
    </font>
    <font>
      <sz val="11.0"/>
      <color theme="1"/>
      <name val="Arial"/>
    </font>
    <font>
      <b/>
      <sz val="14.0"/>
      <color rgb="FF000000"/>
      <name val="Arial"/>
    </font>
    <font>
      <b/>
      <sz val="9.0"/>
      <color theme="1"/>
      <name val="Arial"/>
    </font>
    <font>
      <sz val="8.0"/>
      <color rgb="FF808080"/>
      <name val="Arial"/>
    </font>
    <font>
      <color rgb="FFFF0000"/>
      <name val="Arial"/>
    </font>
    <font>
      <sz val="9.0"/>
      <color theme="1"/>
      <name val="Arial"/>
    </font>
    <font>
      <sz val="8.0"/>
      <color rgb="FFFFFFFF"/>
      <name val="Arial"/>
    </font>
    <font>
      <color rgb="FFFF0000"/>
      <name val="Arial"/>
      <scheme val="minor"/>
    </font>
    <font>
      <i/>
      <color theme="1"/>
      <name val="Arial"/>
      <scheme val="minor"/>
    </font>
    <font>
      <b/>
      <sz val="9.0"/>
      <color rgb="FF000000"/>
      <name val="Arial"/>
    </font>
    <font>
      <b/>
      <sz val="9.0"/>
      <color rgb="FFFF0000"/>
      <name val="Arial"/>
    </font>
    <font>
      <b/>
      <color theme="1"/>
      <name val="Arial"/>
      <scheme val="minor"/>
    </font>
    <font>
      <sz val="11.0"/>
      <color theme="1"/>
      <name val="Carlito"/>
    </font>
    <font>
      <b/>
      <sz val="11.0"/>
      <color rgb="FFFFFFFF"/>
      <name val="Calibri"/>
    </font>
    <font>
      <sz val="7.0"/>
      <color rgb="FF222222"/>
      <name val="Calibri"/>
    </font>
    <font>
      <sz val="11.0"/>
      <color rgb="FF222222"/>
      <name val="Calibri"/>
    </font>
    <font>
      <b/>
      <color rgb="FF000000"/>
      <name val="Arial"/>
      <scheme val="minor"/>
    </font>
    <font>
      <b/>
      <color rgb="FFFF0000"/>
      <name val="Arial"/>
      <scheme val="minor"/>
    </font>
    <font>
      <sz val="9.0"/>
      <color theme="1"/>
      <name val="Arial"/>
      <scheme val="minor"/>
    </font>
    <font>
      <b/>
      <sz val="10.0"/>
      <color theme="1"/>
      <name val="Calibri"/>
    </font>
    <font>
      <sz val="10.0"/>
      <color theme="1"/>
      <name val="Calibri"/>
    </font>
    <font>
      <i/>
      <sz val="9.0"/>
      <color rgb="FF888888"/>
      <name val="Calibri"/>
    </font>
    <font>
      <i/>
      <sz val="10.0"/>
      <color theme="1"/>
      <name val="Calibri"/>
    </font>
    <font>
      <sz val="10.0"/>
      <color rgb="FF999999"/>
      <name val="Calibri"/>
    </font>
    <font>
      <color theme="1"/>
      <name val="Calibri"/>
    </font>
    <font>
      <i/>
      <color theme="1"/>
      <name val="Calibri"/>
    </font>
    <font>
      <i/>
      <color rgb="FFCCCCCC"/>
      <name val="Arial"/>
      <scheme val="minor"/>
    </font>
    <font>
      <color rgb="FF999999"/>
      <name val="Calibri"/>
    </font>
    <font>
      <u/>
      <color rgb="FFFF0000"/>
    </font>
    <font>
      <i/>
      <sz val="12.0"/>
      <color theme="1"/>
      <name val="Arial"/>
      <scheme val="minor"/>
    </font>
    <font>
      <i/>
      <color rgb="FFB7B7B7"/>
      <name val="Arial"/>
    </font>
    <font>
      <b/>
      <sz val="13.0"/>
      <color theme="1"/>
      <name val="Arial"/>
    </font>
    <font>
      <b/>
      <sz val="12.0"/>
      <color theme="1"/>
      <name val="Arial"/>
    </font>
    <font>
      <sz val="9.0"/>
      <color rgb="FF808080"/>
      <name val="Arial"/>
    </font>
    <font>
      <b/>
      <sz val="10.0"/>
      <color rgb="FFFFFFFF"/>
      <name val="Arial"/>
    </font>
    <font>
      <i/>
      <sz val="10.0"/>
      <color theme="1"/>
      <name val="Arial"/>
      <scheme val="minor"/>
    </font>
    <font>
      <sz val="10.0"/>
      <color theme="1"/>
      <name val="Arial"/>
      <scheme val="minor"/>
    </font>
    <font>
      <b/>
      <color rgb="FFFFFFFF"/>
      <name val="Arial"/>
    </font>
    <font>
      <i/>
      <sz val="9.0"/>
      <color rgb="FF999999"/>
      <name val="Arial"/>
    </font>
    <font>
      <i/>
      <sz val="11.0"/>
      <color theme="1"/>
      <name val="Arial"/>
    </font>
    <font>
      <b/>
      <sz val="11.0"/>
      <color rgb="FF000000"/>
      <name val="Calibri"/>
    </font>
  </fonts>
  <fills count="43">
    <fill>
      <patternFill patternType="none"/>
    </fill>
    <fill>
      <patternFill patternType="lightGray"/>
    </fill>
    <fill>
      <patternFill patternType="solid">
        <fgColor rgb="FF2B628B"/>
        <bgColor rgb="FF2B628B"/>
      </patternFill>
    </fill>
    <fill>
      <patternFill patternType="solid">
        <fgColor rgb="FFE6E7ED"/>
        <bgColor rgb="FFE6E7ED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F7CB4D"/>
        <bgColor rgb="FFF7CB4D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D0D0D0"/>
        <bgColor rgb="FFD0D0D0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FCE5CD"/>
        <bgColor rgb="FFFCE5CD"/>
      </patternFill>
    </fill>
    <fill>
      <patternFill patternType="solid">
        <fgColor rgb="FF666666"/>
        <bgColor rgb="FF666666"/>
      </patternFill>
    </fill>
    <fill>
      <patternFill patternType="solid">
        <fgColor rgb="FF305496"/>
        <bgColor rgb="FF305496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D9EAD3"/>
        <bgColor rgb="FFD9EAD3"/>
      </patternFill>
    </fill>
    <fill>
      <patternFill patternType="solid">
        <fgColor rgb="FF7030A0"/>
        <bgColor rgb="FF7030A0"/>
      </patternFill>
    </fill>
    <fill>
      <patternFill patternType="solid">
        <fgColor rgb="FFE9DEF3"/>
        <bgColor rgb="FFE9DEF3"/>
      </patternFill>
    </fill>
    <fill>
      <patternFill patternType="solid">
        <fgColor rgb="FFF4CCCC"/>
        <bgColor rgb="FFF4CCCC"/>
      </patternFill>
    </fill>
  </fills>
  <borders count="50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/>
      <bottom/>
    </border>
    <border>
      <right/>
      <top/>
      <bottom/>
    </border>
    <border>
      <left/>
      <right/>
      <bottom/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top/>
    </border>
    <border>
      <left style="thin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1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2" fontId="8" numFmtId="0" xfId="0" applyFill="1" applyFont="1"/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3" fontId="11" numFmtId="0" xfId="0" applyFill="1" applyFont="1"/>
    <xf borderId="1" fillId="4" fontId="12" numFmtId="0" xfId="0" applyAlignment="1" applyBorder="1" applyFill="1" applyFont="1">
      <alignment horizontal="center" shrinkToFit="0" vertical="bottom" wrapText="0"/>
    </xf>
    <xf borderId="0" fillId="3" fontId="13" numFmtId="0" xfId="0" applyFill="1" applyFont="1"/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2" fillId="5" fontId="14" numFmtId="0" xfId="0" applyAlignment="1" applyBorder="1" applyFill="1" applyFont="1">
      <alignment horizontal="center" shrinkToFit="0" wrapText="1"/>
    </xf>
    <xf borderId="0" fillId="6" fontId="11" numFmtId="0" xfId="0" applyFill="1" applyFont="1"/>
    <xf borderId="2" fillId="5" fontId="14" numFmtId="0" xfId="0" applyAlignment="1" applyBorder="1" applyFill="1" applyFont="1">
      <alignment horizontal="center" shrinkToFit="0" vertical="center" wrapText="1"/>
    </xf>
    <xf borderId="0" fillId="6" fontId="15" numFmtId="0" xfId="0" applyFill="1" applyFont="1"/>
    <xf borderId="0" fillId="0" fontId="5" numFmtId="0" xfId="0" applyAlignment="1" applyFont="1">
      <alignment shrinkToFit="0" vertical="bottom" wrapText="1"/>
    </xf>
    <xf borderId="3" fillId="0" fontId="5" numFmtId="0" xfId="0" applyAlignment="1" applyBorder="1" applyFont="1">
      <alignment horizontal="center" readingOrder="0" shrinkToFit="0" vertical="bottom" wrapText="1"/>
    </xf>
    <xf borderId="4" fillId="0" fontId="16" numFmtId="0" xfId="0" applyBorder="1" applyFont="1"/>
    <xf borderId="0" fillId="0" fontId="4" numFmtId="0" xfId="0" applyAlignment="1" applyFont="1">
      <alignment shrinkToFit="0" vertical="bottom" wrapText="1"/>
    </xf>
    <xf borderId="5" fillId="7" fontId="17" numFmtId="0" xfId="0" applyAlignment="1" applyBorder="1" applyFill="1" applyFont="1">
      <alignment horizontal="center" shrinkToFit="0" vertical="center" wrapText="1"/>
    </xf>
    <xf borderId="3" fillId="0" fontId="4" numFmtId="0" xfId="0" applyAlignment="1" applyBorder="1" applyFont="1">
      <alignment horizontal="center" readingOrder="0" shrinkToFit="0" vertical="bottom" wrapText="1"/>
    </xf>
    <xf borderId="6" fillId="5" fontId="17" numFmtId="0" xfId="0" applyAlignment="1" applyBorder="1" applyFill="1" applyFont="1">
      <alignment horizontal="center" shrinkToFit="0" wrapText="1"/>
    </xf>
    <xf borderId="5" fillId="7" fontId="14" numFmtId="0" xfId="0" applyAlignment="1" applyBorder="1" applyFill="1" applyFont="1">
      <alignment horizontal="center" shrinkToFit="0" vertical="center" wrapText="1"/>
    </xf>
    <xf borderId="5" fillId="5" fontId="17" numFmtId="0" xfId="0" applyAlignment="1" applyBorder="1" applyFill="1" applyFont="1">
      <alignment horizontal="center" shrinkToFit="0" wrapText="1"/>
    </xf>
    <xf borderId="6" fillId="5" fontId="14" numFmtId="0" xfId="0" applyAlignment="1" applyBorder="1" applyFill="1" applyFont="1">
      <alignment horizontal="center" shrinkToFit="0" wrapText="1"/>
    </xf>
    <xf borderId="6" fillId="0" fontId="18" numFmtId="0" xfId="0" applyAlignment="1" applyBorder="1" applyFont="1">
      <alignment horizontal="center" shrinkToFit="0" vertical="center" wrapText="1"/>
    </xf>
    <xf borderId="7" fillId="8" fontId="18" numFmtId="0" xfId="0" applyAlignment="1" applyBorder="1" applyFill="1" applyFont="1">
      <alignment horizontal="center" shrinkToFit="0" vertical="center" wrapText="1"/>
    </xf>
    <xf borderId="5" fillId="5" fontId="14" numFmtId="0" xfId="0" applyAlignment="1" applyBorder="1" applyFill="1" applyFont="1">
      <alignment horizontal="center" shrinkToFit="0" wrapText="1"/>
    </xf>
    <xf borderId="8" fillId="8" fontId="17" numFmtId="0" xfId="0" applyAlignment="1" applyBorder="1" applyFill="1" applyFont="1">
      <alignment horizontal="center" shrinkToFit="0" vertical="bottom" wrapText="1"/>
    </xf>
    <xf borderId="9" fillId="8" fontId="19" numFmtId="0" xfId="0" applyAlignment="1" applyBorder="1" applyFill="1" applyFont="1">
      <alignment horizontal="center" readingOrder="0" shrinkToFit="0" vertical="bottom" wrapText="1"/>
    </xf>
    <xf borderId="6" fillId="0" fontId="20" numFmtId="0" xfId="0" applyAlignment="1" applyBorder="1" applyFont="1">
      <alignment horizontal="center" shrinkToFit="0" vertical="center" wrapText="1"/>
    </xf>
    <xf borderId="8" fillId="8" fontId="21" numFmtId="0" xfId="0" applyAlignment="1" applyBorder="1" applyFill="1" applyFont="1">
      <alignment horizontal="center" shrinkToFit="0" vertical="bottom" wrapText="1"/>
    </xf>
    <xf borderId="0" fillId="6" fontId="22" numFmtId="0" xfId="0" applyAlignment="1" applyFill="1" applyFont="1">
      <alignment readingOrder="0"/>
    </xf>
    <xf borderId="3" fillId="0" fontId="5" numFmtId="0" xfId="0" applyAlignment="1" applyBorder="1" applyFont="1">
      <alignment horizontal="right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right" shrinkToFit="0" vertical="bottom" wrapText="0"/>
    </xf>
    <xf borderId="4" fillId="0" fontId="5" numFmtId="0" xfId="0" applyAlignment="1" applyBorder="1" applyFont="1">
      <alignment horizontal="left" shrinkToFit="0" vertical="bottom" wrapText="0"/>
    </xf>
    <xf borderId="0" fillId="9" fontId="18" numFmtId="0" xfId="0" applyAlignment="1" applyFill="1" applyFont="1">
      <alignment horizontal="center" shrinkToFit="0" vertical="center" wrapText="1"/>
    </xf>
    <xf borderId="0" fillId="9" fontId="5" numFmtId="0" xfId="0" applyAlignment="1" applyFill="1" applyFont="1">
      <alignment horizontal="center" readingOrder="0" shrinkToFit="0" vertical="bottom" wrapText="0"/>
    </xf>
    <xf borderId="10" fillId="8" fontId="19" numFmtId="0" xfId="0" applyAlignment="1" applyBorder="1" applyFill="1" applyFont="1">
      <alignment horizontal="center" shrinkToFit="0" vertical="bottom" wrapText="1"/>
    </xf>
    <xf borderId="11" fillId="8" fontId="19" numFmtId="0" xfId="0" applyAlignment="1" applyBorder="1" applyFill="1" applyFont="1">
      <alignment horizontal="center" readingOrder="0" shrinkToFit="0" vertical="bottom" wrapText="1"/>
    </xf>
    <xf borderId="11" fillId="8" fontId="19" numFmtId="0" xfId="0" applyAlignment="1" applyBorder="1" applyFill="1" applyFont="1">
      <alignment horizontal="center" shrinkToFit="0" vertical="bottom" wrapText="1"/>
    </xf>
    <xf borderId="0" fillId="8" fontId="19" numFmtId="0" xfId="0" applyAlignment="1" applyFill="1" applyFont="1">
      <alignment horizontal="center" shrinkToFit="0" vertical="bottom" wrapText="1"/>
    </xf>
    <xf borderId="12" fillId="8" fontId="19" numFmtId="0" xfId="0" applyAlignment="1" applyBorder="1" applyFill="1" applyFont="1">
      <alignment horizontal="center" shrinkToFit="0" vertical="bottom" wrapText="1"/>
    </xf>
    <xf borderId="0" fillId="10" fontId="4" numFmtId="0" xfId="0" applyAlignment="1" applyFill="1" applyFont="1">
      <alignment horizontal="center" shrinkToFit="0" vertical="bottom" wrapText="0"/>
    </xf>
    <xf borderId="0" fillId="0" fontId="1" numFmtId="0" xfId="0" applyAlignment="1" applyFont="1">
      <alignment horizontal="right" readingOrder="0"/>
    </xf>
    <xf borderId="13" fillId="0" fontId="20" numFmtId="0" xfId="0" applyAlignment="1" applyBorder="1" applyFont="1">
      <alignment horizontal="center" shrinkToFit="0" vertical="center" wrapText="1"/>
    </xf>
    <xf borderId="14" fillId="8" fontId="18" numFmtId="0" xfId="0" applyAlignment="1" applyBorder="1" applyFill="1" applyFont="1">
      <alignment horizontal="center" shrinkToFit="0" vertical="center" wrapText="1"/>
    </xf>
    <xf borderId="15" fillId="8" fontId="21" numFmtId="0" xfId="0" applyAlignment="1" applyBorder="1" applyFill="1" applyFont="1">
      <alignment horizontal="center" shrinkToFit="0" vertical="bottom" wrapText="1"/>
    </xf>
    <xf borderId="16" fillId="8" fontId="19" numFmtId="0" xfId="0" applyAlignment="1" applyBorder="1" applyFill="1" applyFont="1">
      <alignment horizontal="center" readingOrder="0" shrinkToFit="0" vertical="bottom" wrapText="1"/>
    </xf>
    <xf borderId="3" fillId="8" fontId="19" numFmtId="0" xfId="0" applyAlignment="1" applyBorder="1" applyFill="1" applyFont="1">
      <alignment horizontal="center" shrinkToFit="0" vertical="bottom" wrapText="1"/>
    </xf>
    <xf borderId="0" fillId="8" fontId="19" numFmtId="0" xfId="0" applyAlignment="1" applyFill="1" applyFont="1">
      <alignment horizontal="center" readingOrder="0" shrinkToFit="0" vertical="bottom" wrapText="1"/>
    </xf>
    <xf borderId="4" fillId="8" fontId="19" numFmtId="0" xfId="0" applyAlignment="1" applyBorder="1" applyFill="1" applyFont="1">
      <alignment horizontal="center" shrinkToFit="0" vertical="bottom" wrapText="1"/>
    </xf>
    <xf borderId="0" fillId="0" fontId="4" numFmtId="0" xfId="0" applyAlignment="1" applyFont="1">
      <alignment horizontal="right" shrinkToFit="0" vertical="bottom" wrapText="0"/>
    </xf>
    <xf borderId="0" fillId="10" fontId="5" numFmtId="0" xfId="0" applyAlignment="1" applyFill="1" applyFont="1">
      <alignment horizontal="center" shrinkToFit="0" vertical="bottom" wrapText="0"/>
    </xf>
    <xf borderId="0" fillId="0" fontId="23" numFmtId="0" xfId="0" applyAlignment="1" applyFont="1">
      <alignment horizontal="right" readingOrder="0"/>
    </xf>
    <xf borderId="0" fillId="3" fontId="24" numFmtId="0" xfId="0" applyFill="1" applyFont="1"/>
    <xf borderId="0" fillId="6" fontId="24" numFmtId="0" xfId="0" applyFill="1" applyFont="1"/>
    <xf borderId="13" fillId="0" fontId="18" numFmtId="0" xfId="0" applyAlignment="1" applyBorder="1" applyFont="1">
      <alignment horizontal="center" shrinkToFit="0" vertical="center" wrapText="1"/>
    </xf>
    <xf borderId="0" fillId="3" fontId="11" numFmtId="0" xfId="0" applyAlignment="1" applyFill="1" applyFont="1">
      <alignment readingOrder="0"/>
    </xf>
    <xf borderId="0" fillId="3" fontId="25" numFmtId="0" xfId="0" applyAlignment="1" applyFill="1" applyFont="1">
      <alignment readingOrder="0"/>
    </xf>
    <xf borderId="15" fillId="8" fontId="17" numFmtId="0" xfId="0" applyAlignment="1" applyBorder="1" applyFill="1" applyFont="1">
      <alignment horizontal="center" shrinkToFit="0" vertical="bottom" wrapText="1"/>
    </xf>
    <xf borderId="0" fillId="3" fontId="26" numFmtId="0" xfId="0" applyAlignment="1" applyFill="1" applyFont="1">
      <alignment readingOrder="0"/>
    </xf>
    <xf borderId="0" fillId="3" fontId="24" numFmtId="0" xfId="0" applyAlignment="1" applyFill="1" applyFont="1">
      <alignment readingOrder="0"/>
    </xf>
    <xf borderId="0" fillId="6" fontId="11" numFmtId="0" xfId="0" applyAlignment="1" applyFill="1" applyFont="1">
      <alignment readingOrder="0"/>
    </xf>
    <xf borderId="0" fillId="6" fontId="25" numFmtId="0" xfId="0" applyAlignment="1" applyFill="1" applyFont="1">
      <alignment readingOrder="0"/>
    </xf>
    <xf borderId="0" fillId="6" fontId="27" numFmtId="0" xfId="0" applyAlignment="1" applyFill="1" applyFont="1">
      <alignment readingOrder="0"/>
    </xf>
    <xf borderId="0" fillId="6" fontId="24" numFmtId="0" xfId="0" applyAlignment="1" applyFill="1" applyFont="1">
      <alignment readingOrder="0"/>
    </xf>
    <xf borderId="0" fillId="6" fontId="24" numFmtId="0" xfId="0" applyAlignment="1" applyFill="1" applyFont="1">
      <alignment readingOrder="0"/>
    </xf>
    <xf borderId="17" fillId="0" fontId="20" numFmtId="0" xfId="0" applyAlignment="1" applyBorder="1" applyFont="1">
      <alignment horizontal="center" shrinkToFit="0" vertical="center" wrapText="1"/>
    </xf>
    <xf borderId="18" fillId="8" fontId="18" numFmtId="0" xfId="0" applyAlignment="1" applyBorder="1" applyFill="1" applyFont="1">
      <alignment horizontal="center" shrinkToFit="0" vertical="center" wrapText="1"/>
    </xf>
    <xf borderId="19" fillId="8" fontId="21" numFmtId="0" xfId="0" applyAlignment="1" applyBorder="1" applyFill="1" applyFont="1">
      <alignment horizontal="center" shrinkToFit="0" vertical="bottom" wrapText="1"/>
    </xf>
    <xf borderId="20" fillId="8" fontId="17" numFmtId="0" xfId="0" applyAlignment="1" applyBorder="1" applyFill="1" applyFont="1">
      <alignment horizontal="center" readingOrder="0" shrinkToFit="0" vertical="bottom" wrapText="1"/>
    </xf>
    <xf borderId="21" fillId="8" fontId="19" numFmtId="0" xfId="0" applyAlignment="1" applyBorder="1" applyFill="1" applyFont="1">
      <alignment horizontal="center" shrinkToFit="0" vertical="bottom" wrapText="1"/>
    </xf>
    <xf borderId="22" fillId="8" fontId="19" numFmtId="0" xfId="0" applyAlignment="1" applyBorder="1" applyFill="1" applyFont="1">
      <alignment horizontal="center" shrinkToFit="0" vertical="bottom" wrapText="1"/>
    </xf>
    <xf borderId="22" fillId="8" fontId="19" numFmtId="0" xfId="0" applyAlignment="1" applyBorder="1" applyFill="1" applyFont="1">
      <alignment horizontal="center" readingOrder="0" shrinkToFit="0" vertical="bottom" wrapText="1"/>
    </xf>
    <xf borderId="23" fillId="8" fontId="19" numFmtId="0" xfId="0" applyAlignment="1" applyBorder="1" applyFill="1" applyFont="1">
      <alignment horizontal="center" shrinkToFit="0" vertical="bottom" wrapText="1"/>
    </xf>
    <xf borderId="5" fillId="0" fontId="28" numFmtId="0" xfId="0" applyAlignment="1" applyBorder="1" applyFont="1">
      <alignment horizontal="center" shrinkToFit="0" vertical="center" wrapText="1"/>
    </xf>
    <xf borderId="5" fillId="0" fontId="18" numFmtId="0" xfId="0" applyAlignment="1" applyBorder="1" applyFont="1">
      <alignment horizontal="center" shrinkToFit="0" vertical="center" wrapText="1"/>
    </xf>
    <xf borderId="0" fillId="0" fontId="29" numFmtId="0" xfId="0" applyAlignment="1" applyFont="1">
      <alignment horizontal="left" shrinkToFit="0" vertical="bottom" wrapText="0"/>
    </xf>
    <xf borderId="5" fillId="0" fontId="7" numFmtId="0" xfId="0" applyBorder="1" applyFont="1"/>
    <xf borderId="0" fillId="0" fontId="29" numFmtId="0" xfId="0" applyAlignment="1" applyFont="1">
      <alignment horizontal="right" shrinkToFit="0" vertical="bottom" wrapText="0"/>
    </xf>
    <xf borderId="4" fillId="0" fontId="29" numFmtId="0" xfId="0" applyAlignment="1" applyBorder="1" applyFont="1">
      <alignment horizontal="left" shrinkToFit="0" vertical="bottom" wrapText="0"/>
    </xf>
    <xf borderId="0" fillId="8" fontId="30" numFmtId="0" xfId="0" applyAlignment="1" applyFill="1" applyFont="1">
      <alignment horizontal="center" readingOrder="0" shrinkToFit="0" vertical="bottom" wrapText="1"/>
    </xf>
    <xf borderId="5" fillId="0" fontId="7" numFmtId="0" xfId="0" applyAlignment="1" applyBorder="1" applyFont="1">
      <alignment horizontal="center" shrinkToFit="0" wrapText="1"/>
    </xf>
    <xf borderId="0" fillId="0" fontId="7" numFmtId="2" xfId="0" applyFont="1" applyNumberFormat="1"/>
    <xf borderId="5" fillId="0" fontId="18" numFmtId="2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bottom" wrapText="1"/>
    </xf>
    <xf borderId="0" fillId="5" fontId="31" numFmtId="0" xfId="0" applyAlignment="1" applyFill="1" applyFont="1">
      <alignment vertical="bottom"/>
    </xf>
    <xf borderId="0" fillId="5" fontId="4" numFmtId="0" xfId="0" applyAlignment="1" applyFill="1" applyFont="1">
      <alignment vertical="bottom"/>
    </xf>
    <xf borderId="0" fillId="5" fontId="4" numFmtId="0" xfId="0" applyAlignment="1" applyFill="1" applyFont="1">
      <alignment vertical="bottom"/>
    </xf>
    <xf borderId="10" fillId="0" fontId="20" numFmtId="0" xfId="0" applyAlignment="1" applyBorder="1" applyFont="1">
      <alignment horizontal="center" shrinkToFit="0" vertical="center" wrapText="1"/>
    </xf>
    <xf borderId="5" fillId="0" fontId="7" numFmtId="2" xfId="0" applyAlignment="1" applyBorder="1" applyFont="1" applyNumberFormat="1">
      <alignment horizontal="center" shrinkToFit="0" wrapText="1"/>
    </xf>
    <xf borderId="0" fillId="0" fontId="3" numFmtId="0" xfId="0" applyAlignment="1" applyFont="1">
      <alignment readingOrder="0" shrinkToFit="0" vertical="bottom" wrapText="1"/>
    </xf>
    <xf borderId="2" fillId="11" fontId="18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left" shrinkToFit="0" vertical="bottom" wrapText="0"/>
    </xf>
    <xf borderId="0" fillId="0" fontId="4" numFmtId="0" xfId="0" applyAlignment="1" applyFont="1">
      <alignment vertical="bottom"/>
    </xf>
    <xf borderId="1" fillId="12" fontId="21" numFmtId="0" xfId="0" applyAlignment="1" applyBorder="1" applyFill="1" applyFont="1">
      <alignment horizontal="center" vertical="bottom"/>
    </xf>
    <xf borderId="0" fillId="0" fontId="10" numFmtId="0" xfId="0" applyAlignment="1" applyFont="1">
      <alignment shrinkToFit="0" vertical="bottom" wrapText="1"/>
    </xf>
    <xf borderId="3" fillId="0" fontId="20" numFmtId="0" xfId="0" applyAlignment="1" applyBorder="1" applyFont="1">
      <alignment horizontal="center" shrinkToFit="0" vertical="center" wrapText="1"/>
    </xf>
    <xf borderId="0" fillId="0" fontId="29" numFmtId="0" xfId="0" applyAlignment="1" applyFont="1">
      <alignment readingOrder="0" shrinkToFit="0" vertical="bottom" wrapText="1"/>
    </xf>
    <xf borderId="24" fillId="11" fontId="18" numFmtId="0" xfId="0" applyAlignment="1" applyBorder="1" applyFill="1" applyFont="1">
      <alignment horizontal="center" shrinkToFit="0" vertical="center" wrapText="1"/>
    </xf>
    <xf borderId="17" fillId="0" fontId="18" numFmtId="0" xfId="0" applyAlignment="1" applyBorder="1" applyFont="1">
      <alignment horizontal="center" shrinkToFit="0" vertical="center" wrapText="1"/>
    </xf>
    <xf borderId="2" fillId="5" fontId="17" numFmtId="0" xfId="0" applyAlignment="1" applyBorder="1" applyFill="1" applyFont="1">
      <alignment horizontal="center" shrinkToFit="0" vertical="center" wrapText="1"/>
    </xf>
    <xf borderId="19" fillId="8" fontId="17" numFmtId="0" xfId="0" applyAlignment="1" applyBorder="1" applyFill="1" applyFont="1">
      <alignment horizontal="center" shrinkToFit="0" vertical="bottom" wrapText="1"/>
    </xf>
    <xf borderId="0" fillId="0" fontId="5" numFmtId="0" xfId="0" applyAlignment="1" applyFont="1">
      <alignment horizontal="center" readingOrder="0" shrinkToFit="0" vertical="bottom" wrapText="1"/>
    </xf>
    <xf borderId="5" fillId="0" fontId="7" numFmtId="164" xfId="0" applyAlignment="1" applyBorder="1" applyFont="1" applyNumberFormat="1">
      <alignment horizontal="center" shrinkToFit="0" wrapText="1"/>
    </xf>
    <xf borderId="0" fillId="5" fontId="32" numFmtId="0" xfId="0" applyAlignment="1" applyFill="1" applyFont="1">
      <alignment shrinkToFit="0" vertical="bottom" wrapText="1"/>
    </xf>
    <xf borderId="0" fillId="5" fontId="5" numFmtId="0" xfId="0" applyAlignment="1" applyFill="1" applyFont="1">
      <alignment shrinkToFit="0" vertical="bottom" wrapText="1"/>
    </xf>
    <xf borderId="1" fillId="13" fontId="21" numFmtId="0" xfId="0" applyAlignment="1" applyBorder="1" applyFill="1" applyFont="1">
      <alignment horizontal="center" vertical="bottom"/>
    </xf>
    <xf borderId="1" fillId="0" fontId="21" numFmtId="0" xfId="0" applyAlignment="1" applyBorder="1" applyFont="1">
      <alignment horizontal="center" vertical="bottom"/>
    </xf>
    <xf borderId="1" fillId="0" fontId="33" numFmtId="0" xfId="0" applyAlignment="1" applyBorder="1" applyFont="1">
      <alignment horizontal="center" vertical="bottom"/>
    </xf>
    <xf borderId="22" fillId="8" fontId="30" numFmtId="0" xfId="0" applyAlignment="1" applyBorder="1" applyFill="1" applyFont="1">
      <alignment horizontal="center" readingOrder="0" shrinkToFit="0" vertical="bottom" wrapText="1"/>
    </xf>
    <xf borderId="2" fillId="13" fontId="18" numFmtId="0" xfId="0" applyAlignment="1" applyBorder="1" applyFill="1" applyFont="1">
      <alignment horizontal="center" shrinkToFit="0" vertical="center" wrapText="1"/>
    </xf>
    <xf borderId="0" fillId="0" fontId="23" numFmtId="0" xfId="0" applyAlignment="1" applyFont="1">
      <alignment shrinkToFit="0" wrapText="1"/>
    </xf>
    <xf borderId="0" fillId="0" fontId="5" numFmtId="0" xfId="0" applyAlignment="1" applyFont="1">
      <alignment horizontal="right" shrinkToFit="0" vertical="bottom" wrapText="1"/>
    </xf>
    <xf borderId="0" fillId="0" fontId="5" numFmtId="0" xfId="0" applyAlignment="1" applyFont="1">
      <alignment horizontal="left" shrinkToFit="0" vertical="bottom" wrapText="1"/>
    </xf>
    <xf borderId="1" fillId="12" fontId="17" numFmtId="0" xfId="0" applyAlignment="1" applyBorder="1" applyFill="1" applyFont="1">
      <alignment horizontal="center" shrinkToFit="0" vertical="bottom" wrapText="1"/>
    </xf>
    <xf borderId="0" fillId="0" fontId="5" numFmtId="0" xfId="0" applyAlignment="1" applyFont="1">
      <alignment readingOrder="0" shrinkToFit="0" vertical="bottom" wrapText="1"/>
    </xf>
    <xf borderId="5" fillId="0" fontId="12" numFmtId="0" xfId="0" applyAlignment="1" applyBorder="1" applyFont="1">
      <alignment horizontal="center" shrinkToFit="0" vertical="center" wrapText="1"/>
    </xf>
    <xf borderId="24" fillId="13" fontId="18" numFmtId="0" xfId="0" applyAlignment="1" applyBorder="1" applyFill="1" applyFont="1">
      <alignment horizontal="center" shrinkToFit="0" vertical="center" wrapText="1"/>
    </xf>
    <xf borderId="5" fillId="0" fontId="6" numFmtId="0" xfId="0" applyBorder="1" applyFont="1"/>
    <xf borderId="0" fillId="0" fontId="29" numFmtId="0" xfId="0" applyAlignment="1" applyFont="1">
      <alignment horizontal="left" shrinkToFit="0" vertical="bottom" wrapText="1"/>
    </xf>
    <xf borderId="1" fillId="13" fontId="17" numFmtId="0" xfId="0" applyAlignment="1" applyBorder="1" applyFill="1" applyFont="1">
      <alignment horizontal="center" shrinkToFit="0" vertical="bottom" wrapText="1"/>
    </xf>
    <xf borderId="1" fillId="0" fontId="30" numFmtId="0" xfId="0" applyAlignment="1" applyBorder="1" applyFont="1">
      <alignment horizontal="center" shrinkToFit="0" vertical="bottom" wrapText="1"/>
    </xf>
    <xf borderId="1" fillId="0" fontId="34" numFmtId="0" xfId="0" applyAlignment="1" applyBorder="1" applyFont="1">
      <alignment horizontal="center" shrinkToFit="0" vertical="bottom" wrapText="1"/>
    </xf>
    <xf borderId="5" fillId="0" fontId="6" numFmtId="0" xfId="0" applyAlignment="1" applyBorder="1" applyFont="1">
      <alignment horizontal="center" shrinkToFit="0" wrapText="1"/>
    </xf>
    <xf borderId="0" fillId="4" fontId="7" numFmtId="0" xfId="0" applyAlignment="1" applyFill="1" applyFont="1">
      <alignment vertical="bottom"/>
    </xf>
    <xf borderId="1" fillId="0" fontId="19" numFmtId="0" xfId="0" applyAlignment="1" applyBorder="1" applyFont="1">
      <alignment horizontal="center" shrinkToFit="0" vertical="bottom" wrapText="1"/>
    </xf>
    <xf borderId="1" fillId="4" fontId="35" numFmtId="0" xfId="0" applyAlignment="1" applyBorder="1" applyFill="1" applyFont="1">
      <alignment horizontal="center" vertical="bottom"/>
    </xf>
    <xf borderId="0" fillId="0" fontId="29" numFmtId="0" xfId="0" applyAlignment="1" applyFont="1">
      <alignment shrinkToFit="0" vertical="bottom" wrapText="0"/>
    </xf>
    <xf borderId="0" fillId="0" fontId="6" numFmtId="2" xfId="0" applyFont="1" applyNumberFormat="1"/>
    <xf borderId="21" fillId="0" fontId="20" numFmtId="0" xfId="0" applyAlignment="1" applyBorder="1" applyFont="1">
      <alignment horizontal="center" shrinkToFit="0" vertical="center" wrapText="1"/>
    </xf>
    <xf borderId="25" fillId="11" fontId="18" numFmtId="0" xfId="0" applyAlignment="1" applyBorder="1" applyFill="1" applyFont="1">
      <alignment horizontal="center" shrinkToFit="0" vertical="center" wrapText="1"/>
    </xf>
    <xf borderId="5" fillId="0" fontId="6" numFmtId="2" xfId="0" applyAlignment="1" applyBorder="1" applyFont="1" applyNumberFormat="1">
      <alignment horizontal="center" shrinkToFit="0" wrapText="1"/>
    </xf>
    <xf borderId="0" fillId="0" fontId="5" numFmtId="0" xfId="0" applyAlignment="1" applyFont="1">
      <alignment vertical="bottom"/>
    </xf>
    <xf borderId="5" fillId="0" fontId="6" numFmtId="164" xfId="0" applyAlignment="1" applyBorder="1" applyFont="1" applyNumberFormat="1">
      <alignment horizontal="center" shrinkToFit="0" wrapText="1"/>
    </xf>
    <xf borderId="25" fillId="13" fontId="18" numFmtId="0" xfId="0" applyAlignment="1" applyBorder="1" applyFill="1" applyFont="1">
      <alignment horizontal="center" shrinkToFit="0" vertical="center" wrapText="1"/>
    </xf>
    <xf borderId="5" fillId="0" fontId="36" numFmtId="0" xfId="0" applyAlignment="1" applyBorder="1" applyFont="1">
      <alignment horizontal="center" shrinkToFit="0" vertical="center" wrapText="1"/>
    </xf>
    <xf borderId="5" fillId="0" fontId="18" numFmtId="164" xfId="0" applyAlignment="1" applyBorder="1" applyFont="1" applyNumberFormat="1">
      <alignment horizontal="center" shrinkToFit="0" vertical="center" wrapText="1"/>
    </xf>
    <xf borderId="1" fillId="0" fontId="17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0"/>
    </xf>
    <xf borderId="14" fillId="14" fontId="14" numFmtId="0" xfId="0" applyAlignment="1" applyBorder="1" applyFill="1" applyFont="1">
      <alignment horizontal="left" shrinkToFit="0" vertical="center" wrapText="0"/>
    </xf>
    <xf borderId="14" fillId="14" fontId="14" numFmtId="0" xfId="0" applyAlignment="1" applyBorder="1" applyFill="1" applyFont="1">
      <alignment horizontal="left" vertical="center"/>
    </xf>
    <xf borderId="14" fillId="15" fontId="21" numFmtId="0" xfId="0" applyAlignment="1" applyBorder="1" applyFill="1" applyFont="1">
      <alignment horizontal="left" shrinkToFit="0" vertical="center" wrapText="0"/>
    </xf>
    <xf borderId="14" fillId="8" fontId="37" numFmtId="0" xfId="0" applyAlignment="1" applyBorder="1" applyFill="1" applyFont="1">
      <alignment horizontal="center" shrinkToFit="0" vertical="center" wrapText="0"/>
    </xf>
    <xf borderId="0" fillId="0" fontId="23" numFmtId="0" xfId="0" applyAlignment="1" applyFont="1">
      <alignment readingOrder="0"/>
    </xf>
    <xf borderId="14" fillId="8" fontId="37" numFmtId="0" xfId="0" applyAlignment="1" applyBorder="1" applyFill="1" applyFont="1">
      <alignment horizontal="center" readingOrder="0" shrinkToFit="0" vertical="center" wrapText="0"/>
    </xf>
    <xf borderId="14" fillId="8" fontId="37" numFmtId="0" xfId="0" applyAlignment="1" applyBorder="1" applyFill="1" applyFont="1">
      <alignment horizontal="center" shrinkToFit="0" vertical="center" wrapText="0"/>
    </xf>
    <xf borderId="14" fillId="15" fontId="21" numFmtId="0" xfId="0" applyAlignment="1" applyBorder="1" applyFill="1" applyFont="1">
      <alignment horizontal="left" readingOrder="0" shrinkToFit="0" vertical="center" wrapText="0"/>
    </xf>
    <xf borderId="0" fillId="8" fontId="1" numFmtId="0" xfId="0" applyAlignment="1" applyFill="1" applyFont="1">
      <alignment horizontal="center" readingOrder="0"/>
    </xf>
    <xf borderId="14" fillId="14" fontId="14" numFmtId="0" xfId="0" applyAlignment="1" applyBorder="1" applyFill="1" applyFont="1">
      <alignment horizontal="left" readingOrder="0" shrinkToFit="0" vertical="center" wrapText="0"/>
    </xf>
    <xf borderId="14" fillId="8" fontId="21" numFmtId="0" xfId="0" applyAlignment="1" applyBorder="1" applyFill="1" applyFont="1">
      <alignment horizontal="left" shrinkToFit="0" vertical="center" wrapText="0"/>
    </xf>
    <xf borderId="15" fillId="8" fontId="21" numFmtId="0" xfId="0" applyAlignment="1" applyBorder="1" applyFill="1" applyFont="1">
      <alignment horizontal="left" shrinkToFit="0" vertical="center" wrapText="0"/>
    </xf>
    <xf borderId="26" fillId="8" fontId="21" numFmtId="0" xfId="0" applyAlignment="1" applyBorder="1" applyFill="1" applyFont="1">
      <alignment horizontal="left" shrinkToFit="0" vertical="center" wrapText="0"/>
    </xf>
    <xf borderId="27" fillId="16" fontId="21" numFmtId="0" xfId="0" applyAlignment="1" applyBorder="1" applyFill="1" applyFont="1">
      <alignment horizontal="center" shrinkToFit="0" vertical="bottom" wrapText="1"/>
    </xf>
    <xf borderId="28" fillId="16" fontId="21" numFmtId="0" xfId="0" applyAlignment="1" applyBorder="1" applyFill="1" applyFont="1">
      <alignment horizontal="center" shrinkToFit="0" vertical="bottom" wrapText="1"/>
    </xf>
    <xf borderId="29" fillId="16" fontId="21" numFmtId="0" xfId="0" applyAlignment="1" applyBorder="1" applyFill="1" applyFont="1">
      <alignment horizontal="center" shrinkToFit="0" textRotation="180" vertical="bottom" wrapText="0"/>
    </xf>
    <xf borderId="27" fillId="16" fontId="21" numFmtId="0" xfId="0" applyAlignment="1" applyBorder="1" applyFill="1" applyFont="1">
      <alignment horizontal="center" shrinkToFit="0" textRotation="180" vertical="bottom" wrapText="0"/>
    </xf>
    <xf borderId="28" fillId="16" fontId="21" numFmtId="0" xfId="0" applyAlignment="1" applyBorder="1" applyFill="1" applyFont="1">
      <alignment horizontal="center" shrinkToFit="0" textRotation="180" vertical="bottom" wrapText="0"/>
    </xf>
    <xf borderId="27" fillId="0" fontId="37" numFmtId="0" xfId="0" applyAlignment="1" applyBorder="1" applyFont="1">
      <alignment horizontal="center" shrinkToFit="0" vertical="center" wrapText="0"/>
    </xf>
    <xf borderId="28" fillId="0" fontId="37" numFmtId="0" xfId="0" applyAlignment="1" applyBorder="1" applyFont="1">
      <alignment horizontal="center" shrinkToFit="0" vertical="center" wrapText="0"/>
    </xf>
    <xf borderId="30" fillId="0" fontId="37" numFmtId="0" xfId="0" applyAlignment="1" applyBorder="1" applyFont="1">
      <alignment horizontal="center" shrinkToFit="0" vertical="center" wrapText="0"/>
    </xf>
    <xf borderId="0" fillId="0" fontId="37" numFmtId="0" xfId="0" applyAlignment="1" applyFont="1">
      <alignment horizontal="center" shrinkToFit="0" vertical="center" wrapText="0"/>
    </xf>
    <xf borderId="0" fillId="0" fontId="38" numFmtId="0" xfId="0" applyAlignment="1" applyFont="1">
      <alignment shrinkToFit="0" vertical="bottom" wrapText="0"/>
    </xf>
    <xf borderId="0" fillId="0" fontId="23" numFmtId="0" xfId="0" applyFont="1"/>
    <xf borderId="14" fillId="15" fontId="21" numFmtId="0" xfId="0" applyAlignment="1" applyBorder="1" applyFill="1" applyFont="1">
      <alignment horizontal="right" shrinkToFit="0" vertical="center" wrapText="0"/>
    </xf>
    <xf borderId="14" fillId="14" fontId="17" numFmtId="0" xfId="0" applyAlignment="1" applyBorder="1" applyFill="1" applyFont="1">
      <alignment horizontal="left" shrinkToFit="0" vertical="center" wrapText="0"/>
    </xf>
    <xf borderId="14" fillId="14" fontId="17" numFmtId="0" xfId="0" applyAlignment="1" applyBorder="1" applyFill="1" applyFont="1">
      <alignment horizontal="left" vertical="center"/>
    </xf>
    <xf borderId="14" fillId="15" fontId="17" numFmtId="0" xfId="0" applyAlignment="1" applyBorder="1" applyFill="1" applyFont="1">
      <alignment horizontal="left" shrinkToFit="0" vertical="center" wrapText="0"/>
    </xf>
    <xf borderId="14" fillId="8" fontId="19" numFmtId="0" xfId="0" applyAlignment="1" applyBorder="1" applyFill="1" applyFont="1">
      <alignment horizontal="center" shrinkToFit="0" vertical="center" wrapText="0"/>
    </xf>
    <xf borderId="14" fillId="15" fontId="17" numFmtId="0" xfId="0" applyAlignment="1" applyBorder="1" applyFill="1" applyFont="1">
      <alignment horizontal="left" readingOrder="0" shrinkToFit="0" vertical="center" wrapText="0"/>
    </xf>
    <xf borderId="0" fillId="8" fontId="23" numFmtId="0" xfId="0" applyAlignment="1" applyFill="1" applyFont="1">
      <alignment horizontal="center" readingOrder="0"/>
    </xf>
    <xf borderId="14" fillId="14" fontId="17" numFmtId="0" xfId="0" applyAlignment="1" applyBorder="1" applyFill="1" applyFont="1">
      <alignment horizontal="left" readingOrder="0" shrinkToFit="0" vertical="center" wrapText="0"/>
    </xf>
    <xf borderId="14" fillId="8" fontId="17" numFmtId="0" xfId="0" applyAlignment="1" applyBorder="1" applyFill="1" applyFont="1">
      <alignment horizontal="left" shrinkToFit="0" vertical="center" wrapText="0"/>
    </xf>
    <xf borderId="15" fillId="8" fontId="17" numFmtId="0" xfId="0" applyAlignment="1" applyBorder="1" applyFill="1" applyFont="1">
      <alignment horizontal="left" shrinkToFit="0" vertical="center" wrapText="0"/>
    </xf>
    <xf borderId="26" fillId="8" fontId="17" numFmtId="0" xfId="0" applyAlignment="1" applyBorder="1" applyFill="1" applyFont="1">
      <alignment horizontal="left" shrinkToFit="0" vertical="center" wrapText="0"/>
    </xf>
    <xf borderId="27" fillId="16" fontId="17" numFmtId="0" xfId="0" applyAlignment="1" applyBorder="1" applyFill="1" applyFont="1">
      <alignment horizontal="center" shrinkToFit="0" vertical="bottom" wrapText="1"/>
    </xf>
    <xf borderId="28" fillId="16" fontId="17" numFmtId="0" xfId="0" applyAlignment="1" applyBorder="1" applyFill="1" applyFont="1">
      <alignment horizontal="center" shrinkToFit="0" vertical="bottom" wrapText="1"/>
    </xf>
    <xf borderId="29" fillId="16" fontId="17" numFmtId="0" xfId="0" applyAlignment="1" applyBorder="1" applyFill="1" applyFont="1">
      <alignment horizontal="center" shrinkToFit="0" textRotation="180" vertical="bottom" wrapText="0"/>
    </xf>
    <xf borderId="27" fillId="16" fontId="17" numFmtId="0" xfId="0" applyAlignment="1" applyBorder="1" applyFill="1" applyFont="1">
      <alignment horizontal="center" shrinkToFit="0" textRotation="180" vertical="bottom" wrapText="0"/>
    </xf>
    <xf borderId="28" fillId="16" fontId="17" numFmtId="0" xfId="0" applyAlignment="1" applyBorder="1" applyFill="1" applyFont="1">
      <alignment horizontal="center" shrinkToFit="0" textRotation="180" vertical="bottom" wrapText="0"/>
    </xf>
    <xf borderId="27" fillId="0" fontId="19" numFmtId="0" xfId="0" applyAlignment="1" applyBorder="1" applyFont="1">
      <alignment horizontal="center" shrinkToFit="0" vertical="center" wrapText="0"/>
    </xf>
    <xf borderId="28" fillId="0" fontId="19" numFmtId="0" xfId="0" applyAlignment="1" applyBorder="1" applyFont="1">
      <alignment horizontal="center" shrinkToFit="0" vertical="center" wrapText="0"/>
    </xf>
    <xf borderId="30" fillId="0" fontId="19" numFmtId="0" xfId="0" applyAlignment="1" applyBorder="1" applyFont="1">
      <alignment horizontal="center" shrinkToFit="0" vertical="center" wrapText="0"/>
    </xf>
    <xf borderId="0" fillId="0" fontId="19" numFmtId="0" xfId="0" applyAlignment="1" applyFont="1">
      <alignment horizontal="center" shrinkToFit="0" vertical="center" wrapText="0"/>
    </xf>
    <xf borderId="27" fillId="15" fontId="21" numFmtId="0" xfId="0" applyAlignment="1" applyBorder="1" applyFill="1" applyFont="1">
      <alignment horizontal="left" shrinkToFit="0" vertical="center" wrapText="0"/>
    </xf>
    <xf borderId="27" fillId="15" fontId="21" numFmtId="0" xfId="0" applyAlignment="1" applyBorder="1" applyFill="1" applyFont="1">
      <alignment horizontal="center" shrinkToFit="0" vertical="center" wrapText="0"/>
    </xf>
    <xf borderId="28" fillId="15" fontId="21" numFmtId="0" xfId="0" applyAlignment="1" applyBorder="1" applyFill="1" applyFont="1">
      <alignment horizontal="center" shrinkToFit="0" vertical="center" wrapText="0"/>
    </xf>
    <xf borderId="29" fillId="15" fontId="21" numFmtId="0" xfId="0" applyAlignment="1" applyBorder="1" applyFill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0" fillId="14" fontId="14" numFmtId="0" xfId="0" applyAlignment="1" applyFill="1" applyFont="1">
      <alignment horizontal="left" readingOrder="0" shrinkToFit="0" wrapText="0"/>
    </xf>
    <xf borderId="0" fillId="14" fontId="14" numFmtId="0" xfId="0" applyAlignment="1" applyFill="1" applyFont="1">
      <alignment horizontal="left" shrinkToFit="0" wrapText="0"/>
    </xf>
    <xf borderId="0" fillId="15" fontId="21" numFmtId="0" xfId="0" applyAlignment="1" applyFill="1" applyFont="1">
      <alignment horizontal="left" readingOrder="0" shrinkToFit="0" wrapText="0"/>
    </xf>
    <xf borderId="0" fillId="8" fontId="37" numFmtId="0" xfId="0" applyAlignment="1" applyFill="1" applyFont="1">
      <alignment horizontal="center" readingOrder="0" shrinkToFit="0" wrapText="0"/>
    </xf>
    <xf borderId="28" fillId="16" fontId="21" numFmtId="0" xfId="0" applyAlignment="1" applyBorder="1" applyFill="1" applyFont="1">
      <alignment horizontal="center" readingOrder="0" vertical="bottom"/>
    </xf>
    <xf borderId="29" fillId="16" fontId="21" numFmtId="0" xfId="0" applyAlignment="1" applyBorder="1" applyFill="1" applyFont="1">
      <alignment horizontal="center" readingOrder="0" shrinkToFit="0" textRotation="180" vertical="bottom" wrapText="0"/>
    </xf>
    <xf borderId="27" fillId="16" fontId="21" numFmtId="0" xfId="0" applyAlignment="1" applyBorder="1" applyFill="1" applyFont="1">
      <alignment horizontal="center" readingOrder="0" shrinkToFit="0" textRotation="180" vertical="bottom" wrapText="0"/>
    </xf>
    <xf borderId="28" fillId="0" fontId="37" numFmtId="0" xfId="0" applyAlignment="1" applyBorder="1" applyFont="1">
      <alignment horizontal="left" readingOrder="0" shrinkToFit="0" wrapText="0"/>
    </xf>
    <xf borderId="29" fillId="17" fontId="37" numFmtId="0" xfId="0" applyAlignment="1" applyBorder="1" applyFill="1" applyFont="1">
      <alignment horizontal="center" readingOrder="0" shrinkToFit="0" wrapText="0"/>
    </xf>
    <xf borderId="27" fillId="0" fontId="37" numFmtId="0" xfId="0" applyAlignment="1" applyBorder="1" applyFont="1">
      <alignment horizontal="center" readingOrder="0" shrinkToFit="0" wrapText="0"/>
    </xf>
    <xf borderId="27" fillId="17" fontId="37" numFmtId="0" xfId="0" applyAlignment="1" applyBorder="1" applyFill="1" applyFont="1">
      <alignment horizontal="center" readingOrder="0" shrinkToFit="0" wrapText="0"/>
    </xf>
    <xf borderId="28" fillId="18" fontId="37" numFmtId="0" xfId="0" applyAlignment="1" applyBorder="1" applyFill="1" applyFont="1">
      <alignment horizontal="left" readingOrder="0" shrinkToFit="0" wrapText="0"/>
    </xf>
    <xf borderId="27" fillId="18" fontId="37" numFmtId="0" xfId="0" applyAlignment="1" applyBorder="1" applyFill="1" applyFont="1">
      <alignment horizontal="center" readingOrder="0" shrinkToFit="0" wrapText="0"/>
    </xf>
    <xf borderId="29" fillId="0" fontId="37" numFmtId="0" xfId="0" applyAlignment="1" applyBorder="1" applyFont="1">
      <alignment horizontal="center" readingOrder="0" shrinkToFit="0" wrapText="0"/>
    </xf>
    <xf borderId="29" fillId="18" fontId="37" numFmtId="0" xfId="0" applyAlignment="1" applyBorder="1" applyFill="1" applyFont="1">
      <alignment horizontal="center" readingOrder="0" shrinkToFit="0" wrapText="0"/>
    </xf>
    <xf borderId="27" fillId="15" fontId="17" numFmtId="0" xfId="0" applyAlignment="1" applyBorder="1" applyFill="1" applyFont="1">
      <alignment horizontal="left" shrinkToFit="0" vertical="center" wrapText="0"/>
    </xf>
    <xf borderId="27" fillId="15" fontId="17" numFmtId="0" xfId="0" applyAlignment="1" applyBorder="1" applyFill="1" applyFont="1">
      <alignment horizontal="center" shrinkToFit="0" vertical="center" wrapText="0"/>
    </xf>
    <xf borderId="28" fillId="15" fontId="17" numFmtId="0" xfId="0" applyAlignment="1" applyBorder="1" applyFill="1" applyFont="1">
      <alignment horizontal="center" shrinkToFit="0" vertical="center" wrapText="0"/>
    </xf>
    <xf borderId="29" fillId="15" fontId="17" numFmtId="0" xfId="0" applyAlignment="1" applyBorder="1" applyFill="1" applyFont="1">
      <alignment horizontal="center" shrinkToFit="0" vertical="center" wrapText="0"/>
    </xf>
    <xf borderId="27" fillId="16" fontId="21" numFmtId="0" xfId="0" applyAlignment="1" applyBorder="1" applyFill="1" applyFont="1">
      <alignment horizontal="center" shrinkToFit="0" vertical="bottom" wrapText="0"/>
    </xf>
    <xf borderId="0" fillId="0" fontId="1" numFmtId="0" xfId="0" applyAlignment="1" applyFont="1">
      <alignment vertical="bottom"/>
    </xf>
    <xf borderId="29" fillId="0" fontId="37" numFmtId="0" xfId="0" applyAlignment="1" applyBorder="1" applyFont="1">
      <alignment horizontal="center" shrinkToFit="0" vertical="center" wrapText="0"/>
    </xf>
    <xf borderId="27" fillId="16" fontId="17" numFmtId="0" xfId="0" applyAlignment="1" applyBorder="1" applyFill="1" applyFont="1">
      <alignment horizontal="center" shrinkToFit="0" vertical="bottom" wrapText="0"/>
    </xf>
    <xf borderId="29" fillId="0" fontId="19" numFmtId="0" xfId="0" applyAlignment="1" applyBorder="1" applyFont="1">
      <alignment horizontal="center" shrinkToFit="0" vertical="center" wrapText="0"/>
    </xf>
    <xf borderId="0" fillId="0" fontId="21" numFmtId="0" xfId="0" applyAlignment="1" applyFont="1">
      <alignment readingOrder="0"/>
    </xf>
    <xf borderId="0" fillId="0" fontId="39" numFmtId="0" xfId="0" applyFont="1"/>
    <xf borderId="5" fillId="8" fontId="39" numFmtId="0" xfId="0" applyAlignment="1" applyBorder="1" applyFill="1" applyFont="1">
      <alignment horizontal="center" readingOrder="0"/>
    </xf>
    <xf borderId="14" fillId="8" fontId="19" numFmtId="0" xfId="0" applyAlignment="1" applyBorder="1" applyFill="1" applyFont="1">
      <alignment horizontal="center" readingOrder="0" shrinkToFit="0" vertical="center" wrapText="0"/>
    </xf>
    <xf borderId="5" fillId="10" fontId="39" numFmtId="0" xfId="0" applyAlignment="1" applyBorder="1" applyFill="1" applyFont="1">
      <alignment horizontal="center"/>
    </xf>
    <xf borderId="5" fillId="13" fontId="4" numFmtId="0" xfId="0" applyAlignment="1" applyBorder="1" applyFill="1" applyFont="1">
      <alignment horizontal="center"/>
    </xf>
    <xf borderId="28" fillId="0" fontId="37" numFmtId="0" xfId="0" applyAlignment="1" applyBorder="1" applyFont="1">
      <alignment horizontal="left" shrinkToFit="0" vertical="center" wrapText="0"/>
    </xf>
    <xf borderId="27" fillId="0" fontId="37" numFmtId="0" xfId="0" applyAlignment="1" applyBorder="1" applyFont="1">
      <alignment horizontal="center" readingOrder="0" shrinkToFit="0" vertical="center" wrapText="0"/>
    </xf>
    <xf borderId="29" fillId="0" fontId="19" numFmtId="0" xfId="0" applyAlignment="1" applyBorder="1" applyFont="1">
      <alignment horizontal="center" readingOrder="0" shrinkToFit="0" vertical="center" wrapText="0"/>
    </xf>
    <xf borderId="5" fillId="8" fontId="39" numFmtId="9" xfId="0" applyBorder="1" applyFill="1" applyFont="1" applyNumberFormat="1"/>
    <xf borderId="5" fillId="8" fontId="39" numFmtId="0" xfId="0" applyAlignment="1" applyBorder="1" applyFill="1" applyFont="1">
      <alignment horizontal="center"/>
    </xf>
    <xf borderId="5" fillId="10" fontId="39" numFmtId="0" xfId="0" applyBorder="1" applyFill="1" applyFont="1"/>
    <xf borderId="5" fillId="0" fontId="4" numFmtId="0" xfId="0" applyBorder="1" applyFont="1"/>
    <xf borderId="5" fillId="8" fontId="4" numFmtId="0" xfId="0" applyBorder="1" applyFill="1" applyFont="1"/>
    <xf borderId="5" fillId="13" fontId="4" numFmtId="165" xfId="0" applyBorder="1" applyFill="1" applyFont="1" applyNumberFormat="1"/>
    <xf borderId="5" fillId="13" fontId="4" numFmtId="1" xfId="0" applyAlignment="1" applyBorder="1" applyFill="1" applyFont="1" applyNumberFormat="1">
      <alignment horizontal="center"/>
    </xf>
    <xf borderId="5" fillId="13" fontId="4" numFmtId="0" xfId="0" applyAlignment="1" applyBorder="1" applyFill="1" applyFont="1">
      <alignment horizontal="left"/>
    </xf>
    <xf borderId="27" fillId="0" fontId="37" numFmtId="0" xfId="0" applyAlignment="1" applyBorder="1" applyFont="1">
      <alignment horizontal="left" shrinkToFit="0" vertical="center" wrapText="0"/>
    </xf>
    <xf borderId="0" fillId="0" fontId="2" numFmtId="0" xfId="0" applyFont="1"/>
    <xf borderId="14" fillId="15" fontId="21" numFmtId="0" xfId="0" applyAlignment="1" applyBorder="1" applyFill="1" applyFont="1">
      <alignment horizontal="left" vertical="center"/>
    </xf>
    <xf borderId="14" fillId="8" fontId="37" numFmtId="0" xfId="0" applyAlignment="1" applyBorder="1" applyFill="1" applyFont="1">
      <alignment horizontal="center" vertical="center"/>
    </xf>
    <xf borderId="14" fillId="8" fontId="37" numFmtId="0" xfId="0" applyAlignment="1" applyBorder="1" applyFill="1" applyFont="1">
      <alignment horizontal="center" readingOrder="0" vertical="center"/>
    </xf>
    <xf borderId="27" fillId="0" fontId="37" numFmtId="0" xfId="0" applyAlignment="1" applyBorder="1" applyFont="1">
      <alignment horizontal="center" vertical="center"/>
    </xf>
    <xf borderId="27" fillId="8" fontId="37" numFmtId="0" xfId="0" applyAlignment="1" applyBorder="1" applyFill="1" applyFont="1">
      <alignment horizontal="center" vertical="center"/>
    </xf>
    <xf borderId="27" fillId="16" fontId="21" numFmtId="0" xfId="0" applyAlignment="1" applyBorder="1" applyFill="1" applyFont="1">
      <alignment horizontal="center" textRotation="180" vertical="bottom"/>
    </xf>
    <xf borderId="27" fillId="0" fontId="19" numFmtId="0" xfId="0" applyAlignment="1" applyBorder="1" applyFont="1">
      <alignment horizontal="center" readingOrder="0" vertical="center"/>
    </xf>
    <xf borderId="27" fillId="0" fontId="19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0" xfId="0" applyFont="1"/>
    <xf borderId="27" fillId="0" fontId="37" numFmtId="0" xfId="0" applyAlignment="1" applyBorder="1" applyFont="1">
      <alignment horizontal="center" readingOrder="0" vertical="center"/>
    </xf>
    <xf borderId="0" fillId="0" fontId="38" numFmtId="0" xfId="0" applyFont="1"/>
    <xf borderId="14" fillId="15" fontId="17" numFmtId="0" xfId="0" applyAlignment="1" applyBorder="1" applyFill="1" applyFont="1">
      <alignment horizontal="left" vertical="center"/>
    </xf>
    <xf borderId="14" fillId="8" fontId="19" numFmtId="0" xfId="0" applyAlignment="1" applyBorder="1" applyFill="1" applyFont="1">
      <alignment horizontal="center" vertical="center"/>
    </xf>
    <xf borderId="14" fillId="8" fontId="30" numFmtId="0" xfId="0" applyAlignment="1" applyBorder="1" applyFill="1" applyFont="1">
      <alignment horizontal="center" readingOrder="0" vertical="center"/>
    </xf>
    <xf borderId="27" fillId="8" fontId="19" numFmtId="0" xfId="0" applyAlignment="1" applyBorder="1" applyFill="1" applyFont="1">
      <alignment horizontal="center" vertical="center"/>
    </xf>
    <xf borderId="27" fillId="16" fontId="17" numFmtId="0" xfId="0" applyAlignment="1" applyBorder="1" applyFill="1" applyFont="1">
      <alignment horizontal="center" textRotation="180" vertical="bottom"/>
    </xf>
    <xf borderId="0" fillId="0" fontId="1" numFmtId="0" xfId="0" applyAlignment="1" applyFont="1">
      <alignment horizontal="center" readingOrder="0"/>
    </xf>
    <xf borderId="0" fillId="0" fontId="1" numFmtId="2" xfId="0" applyFont="1" applyNumberFormat="1"/>
    <xf borderId="14" fillId="14" fontId="14" numFmtId="2" xfId="0" applyAlignment="1" applyBorder="1" applyFill="1" applyFont="1" applyNumberFormat="1">
      <alignment horizontal="left" shrinkToFit="0" vertical="center" wrapText="0"/>
    </xf>
    <xf borderId="31" fillId="14" fontId="14" numFmtId="0" xfId="0" applyAlignment="1" applyBorder="1" applyFill="1" applyFont="1">
      <alignment horizontal="left" shrinkToFit="0" vertical="center" wrapText="0"/>
    </xf>
    <xf borderId="31" fillId="14" fontId="14" numFmtId="2" xfId="0" applyAlignment="1" applyBorder="1" applyFill="1" applyFont="1" applyNumberFormat="1">
      <alignment horizontal="left" shrinkToFit="0" vertical="center" wrapText="0"/>
    </xf>
    <xf borderId="0" fillId="19" fontId="21" numFmtId="0" xfId="0" applyAlignment="1" applyFill="1" applyFont="1">
      <alignment horizontal="left" shrinkToFit="0" vertical="center" wrapText="0"/>
    </xf>
    <xf borderId="0" fillId="0" fontId="21" numFmtId="0" xfId="0" applyAlignment="1" applyFont="1">
      <alignment horizontal="left" shrinkToFit="0" vertical="center" wrapText="0"/>
    </xf>
    <xf borderId="0" fillId="0" fontId="21" numFmtId="2" xfId="0" applyAlignment="1" applyFont="1" applyNumberFormat="1">
      <alignment horizontal="left" shrinkToFit="0" vertical="center" wrapText="0"/>
    </xf>
    <xf borderId="32" fillId="16" fontId="21" numFmtId="0" xfId="0" applyAlignment="1" applyBorder="1" applyFill="1" applyFont="1">
      <alignment horizontal="center" shrinkToFit="0" vertical="bottom" wrapText="1"/>
    </xf>
    <xf borderId="32" fillId="16" fontId="21" numFmtId="0" xfId="0" applyAlignment="1" applyBorder="1" applyFill="1" applyFont="1">
      <alignment horizontal="center" readingOrder="0" shrinkToFit="0" vertical="bottom" wrapText="1"/>
    </xf>
    <xf borderId="32" fillId="16" fontId="21" numFmtId="2" xfId="0" applyAlignment="1" applyBorder="1" applyFill="1" applyFont="1" applyNumberFormat="1">
      <alignment horizontal="center" shrinkToFit="0" vertical="bottom" wrapText="1"/>
    </xf>
    <xf borderId="32" fillId="16" fontId="17" numFmtId="0" xfId="0" applyAlignment="1" applyBorder="1" applyFill="1" applyFont="1">
      <alignment horizontal="center" readingOrder="0" shrinkToFit="0" textRotation="180" vertical="bottom" wrapText="0"/>
    </xf>
    <xf borderId="32" fillId="16" fontId="17" numFmtId="0" xfId="0" applyAlignment="1" applyBorder="1" applyFill="1" applyFont="1">
      <alignment horizontal="center" shrinkToFit="0" textRotation="180" vertical="bottom" wrapText="0"/>
    </xf>
    <xf borderId="27" fillId="0" fontId="37" numFmtId="2" xfId="0" applyAlignment="1" applyBorder="1" applyFont="1" applyNumberFormat="1">
      <alignment horizontal="center" shrinkToFit="0" vertical="center" wrapText="0"/>
    </xf>
    <xf borderId="27" fillId="0" fontId="19" numFmtId="0" xfId="0" applyAlignment="1" applyBorder="1" applyFont="1">
      <alignment horizontal="center" readingOrder="0" shrinkToFit="0" vertical="center" wrapText="0"/>
    </xf>
    <xf borderId="0" fillId="0" fontId="17" numFmtId="0" xfId="0" applyAlignment="1" applyFont="1">
      <alignment horizontal="left" shrinkToFit="0" vertical="center" wrapText="0"/>
    </xf>
    <xf borderId="27" fillId="16" fontId="21" numFmtId="0" xfId="0" applyAlignment="1" applyBorder="1" applyFill="1" applyFont="1">
      <alignment horizontal="center" readingOrder="0" shrinkToFit="0" vertical="bottom" wrapText="1"/>
    </xf>
    <xf borderId="27" fillId="16" fontId="21" numFmtId="2" xfId="0" applyAlignment="1" applyBorder="1" applyFill="1" applyFont="1" applyNumberFormat="1">
      <alignment horizontal="center" shrinkToFit="0" vertical="bottom" wrapText="1"/>
    </xf>
    <xf borderId="27" fillId="16" fontId="17" numFmtId="0" xfId="0" applyAlignment="1" applyBorder="1" applyFill="1" applyFont="1">
      <alignment horizontal="center" readingOrder="0" shrinkToFit="0" textRotation="180" vertical="bottom" wrapText="0"/>
    </xf>
    <xf borderId="0" fillId="0" fontId="38" numFmtId="0" xfId="0" applyAlignment="1" applyFont="1">
      <alignment readingOrder="0" shrinkToFit="0" vertical="bottom" wrapText="0"/>
    </xf>
    <xf borderId="0" fillId="0" fontId="23" numFmtId="2" xfId="0" applyFont="1" applyNumberFormat="1"/>
    <xf borderId="14" fillId="14" fontId="17" numFmtId="2" xfId="0" applyAlignment="1" applyBorder="1" applyFill="1" applyFont="1" applyNumberFormat="1">
      <alignment horizontal="left" shrinkToFit="0" vertical="center" wrapText="0"/>
    </xf>
    <xf borderId="31" fillId="14" fontId="17" numFmtId="0" xfId="0" applyAlignment="1" applyBorder="1" applyFill="1" applyFont="1">
      <alignment horizontal="left" shrinkToFit="0" vertical="center" wrapText="0"/>
    </xf>
    <xf borderId="31" fillId="14" fontId="17" numFmtId="2" xfId="0" applyAlignment="1" applyBorder="1" applyFill="1" applyFont="1" applyNumberFormat="1">
      <alignment horizontal="left" shrinkToFit="0" vertical="center" wrapText="0"/>
    </xf>
    <xf borderId="0" fillId="19" fontId="17" numFmtId="0" xfId="0" applyAlignment="1" applyFill="1" applyFont="1">
      <alignment horizontal="left" shrinkToFit="0" vertical="center" wrapText="0"/>
    </xf>
    <xf borderId="0" fillId="0" fontId="17" numFmtId="2" xfId="0" applyAlignment="1" applyFont="1" applyNumberFormat="1">
      <alignment horizontal="left" shrinkToFit="0" vertical="center" wrapText="0"/>
    </xf>
    <xf borderId="32" fillId="16" fontId="17" numFmtId="0" xfId="0" applyAlignment="1" applyBorder="1" applyFill="1" applyFont="1">
      <alignment horizontal="center" shrinkToFit="0" vertical="bottom" wrapText="1"/>
    </xf>
    <xf borderId="32" fillId="16" fontId="17" numFmtId="0" xfId="0" applyAlignment="1" applyBorder="1" applyFill="1" applyFont="1">
      <alignment horizontal="center" readingOrder="0" shrinkToFit="0" vertical="bottom" wrapText="1"/>
    </xf>
    <xf borderId="32" fillId="16" fontId="17" numFmtId="2" xfId="0" applyAlignment="1" applyBorder="1" applyFill="1" applyFont="1" applyNumberFormat="1">
      <alignment horizontal="center" shrinkToFit="0" vertical="bottom" wrapText="1"/>
    </xf>
    <xf borderId="32" fillId="16" fontId="21" numFmtId="0" xfId="0" applyAlignment="1" applyBorder="1" applyFill="1" applyFont="1">
      <alignment horizontal="center" readingOrder="0" shrinkToFit="0" textRotation="180" vertical="bottom" wrapText="0"/>
    </xf>
    <xf borderId="32" fillId="16" fontId="21" numFmtId="0" xfId="0" applyAlignment="1" applyBorder="1" applyFill="1" applyFont="1">
      <alignment horizontal="center" shrinkToFit="0" textRotation="180" vertical="bottom" wrapText="0"/>
    </xf>
    <xf borderId="27" fillId="0" fontId="19" numFmtId="2" xfId="0" applyAlignment="1" applyBorder="1" applyFont="1" applyNumberFormat="1">
      <alignment horizontal="center" shrinkToFit="0" vertical="center" wrapText="0"/>
    </xf>
    <xf borderId="27" fillId="16" fontId="17" numFmtId="0" xfId="0" applyAlignment="1" applyBorder="1" applyFill="1" applyFont="1">
      <alignment horizontal="center" readingOrder="0" shrinkToFit="0" vertical="bottom" wrapText="1"/>
    </xf>
    <xf borderId="27" fillId="16" fontId="17" numFmtId="2" xfId="0" applyAlignment="1" applyBorder="1" applyFill="1" applyFont="1" applyNumberFormat="1">
      <alignment horizontal="center" shrinkToFit="0" vertical="bottom" wrapText="1"/>
    </xf>
    <xf borderId="27" fillId="0" fontId="19" numFmtId="0" xfId="0" applyAlignment="1" applyBorder="1" applyFont="1">
      <alignment horizontal="left" shrinkToFit="0" vertical="center" wrapText="0"/>
    </xf>
    <xf borderId="0" fillId="0" fontId="2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2" xfId="0" applyAlignment="1" applyFont="1" applyNumberFormat="1">
      <alignment vertical="bottom"/>
    </xf>
    <xf borderId="0" fillId="0" fontId="40" numFmtId="0" xfId="0" applyFont="1"/>
    <xf borderId="14" fillId="14" fontId="14" numFmtId="0" xfId="0" applyBorder="1" applyFill="1" applyFont="1"/>
    <xf borderId="28" fillId="0" fontId="19" numFmtId="0" xfId="0" applyAlignment="1" applyBorder="1" applyFont="1">
      <alignment horizontal="left" shrinkToFit="0" vertical="center" wrapText="0"/>
    </xf>
    <xf borderId="14" fillId="14" fontId="7" numFmtId="0" xfId="0" applyBorder="1" applyFill="1" applyFont="1"/>
    <xf borderId="14" fillId="14" fontId="7" numFmtId="2" xfId="0" applyBorder="1" applyFill="1" applyFont="1" applyNumberFormat="1"/>
    <xf borderId="14" fillId="15" fontId="21" numFmtId="0" xfId="0" applyBorder="1" applyFill="1" applyFont="1"/>
    <xf borderId="14" fillId="8" fontId="37" numFmtId="0" xfId="0" applyAlignment="1" applyBorder="1" applyFill="1" applyFont="1">
      <alignment horizontal="center"/>
    </xf>
    <xf borderId="31" fillId="14" fontId="14" numFmtId="0" xfId="0" applyBorder="1" applyFill="1" applyFont="1"/>
    <xf borderId="31" fillId="14" fontId="7" numFmtId="0" xfId="0" applyBorder="1" applyFill="1" applyFont="1"/>
    <xf borderId="31" fillId="14" fontId="7" numFmtId="2" xfId="0" applyBorder="1" applyFill="1" applyFont="1" applyNumberFormat="1"/>
    <xf borderId="0" fillId="19" fontId="21" numFmtId="0" xfId="0" applyFill="1" applyFont="1"/>
    <xf borderId="0" fillId="0" fontId="7" numFmtId="0" xfId="0" applyFont="1"/>
    <xf borderId="32" fillId="16" fontId="21" numFmtId="0" xfId="0" applyAlignment="1" applyBorder="1" applyFill="1" applyFont="1">
      <alignment horizontal="center" shrinkToFit="0" vertical="bottom" wrapText="1"/>
    </xf>
    <xf borderId="32" fillId="16" fontId="21" numFmtId="0" xfId="0" applyAlignment="1" applyBorder="1" applyFill="1" applyFont="1">
      <alignment horizontal="center" textRotation="180" vertical="bottom"/>
    </xf>
    <xf borderId="32" fillId="16" fontId="21" numFmtId="0" xfId="0" applyAlignment="1" applyBorder="1" applyFill="1" applyFont="1">
      <alignment horizontal="center" textRotation="180" vertical="bottom"/>
    </xf>
    <xf borderId="27" fillId="0" fontId="37" numFmtId="0" xfId="0" applyAlignment="1" applyBorder="1" applyFont="1">
      <alignment horizontal="center"/>
    </xf>
    <xf borderId="27" fillId="0" fontId="37" numFmtId="0" xfId="0" applyAlignment="1" applyBorder="1" applyFont="1">
      <alignment horizontal="center"/>
    </xf>
    <xf borderId="27" fillId="10" fontId="37" numFmtId="2" xfId="0" applyAlignment="1" applyBorder="1" applyFill="1" applyFont="1" applyNumberFormat="1">
      <alignment horizontal="center"/>
    </xf>
    <xf borderId="27" fillId="17" fontId="37" numFmtId="0" xfId="0" applyAlignment="1" applyBorder="1" applyFill="1" applyFont="1">
      <alignment horizontal="center"/>
    </xf>
    <xf borderId="27" fillId="18" fontId="37" numFmtId="0" xfId="0" applyAlignment="1" applyBorder="1" applyFill="1" applyFont="1">
      <alignment horizontal="center"/>
    </xf>
    <xf borderId="27" fillId="18" fontId="37" numFmtId="0" xfId="0" applyAlignment="1" applyBorder="1" applyFill="1" applyFont="1">
      <alignment horizontal="center"/>
    </xf>
    <xf borderId="0" fillId="18" fontId="7" numFmtId="0" xfId="0" applyAlignment="1" applyFill="1" applyFont="1">
      <alignment vertical="bottom"/>
    </xf>
    <xf borderId="27" fillId="16" fontId="21" numFmtId="0" xfId="0" applyAlignment="1" applyBorder="1" applyFill="1" applyFont="1">
      <alignment horizontal="center" shrinkToFit="0" vertical="bottom" wrapText="1"/>
    </xf>
    <xf borderId="27" fillId="16" fontId="21" numFmtId="0" xfId="0" applyAlignment="1" applyBorder="1" applyFill="1" applyFont="1">
      <alignment horizontal="center" textRotation="180" vertical="bottom"/>
    </xf>
    <xf borderId="33" fillId="8" fontId="7" numFmtId="3" xfId="0" applyAlignment="1" applyBorder="1" applyFill="1" applyFont="1" applyNumberFormat="1">
      <alignment horizontal="right" vertical="bottom"/>
    </xf>
    <xf borderId="1" fillId="18" fontId="41" numFmtId="3" xfId="0" applyAlignment="1" applyBorder="1" applyFill="1" applyFont="1" applyNumberFormat="1">
      <alignment horizontal="right" vertical="bottom"/>
    </xf>
    <xf borderId="34" fillId="8" fontId="41" numFmtId="3" xfId="0" applyAlignment="1" applyBorder="1" applyFill="1" applyFont="1" applyNumberFormat="1">
      <alignment horizontal="right" vertical="bottom"/>
    </xf>
    <xf borderId="33" fillId="8" fontId="41" numFmtId="3" xfId="0" applyAlignment="1" applyBorder="1" applyFill="1" applyFont="1" applyNumberFormat="1">
      <alignment horizontal="right" vertical="bottom"/>
    </xf>
    <xf borderId="14" fillId="8" fontId="37" numFmtId="0" xfId="0" applyAlignment="1" applyBorder="1" applyFill="1" applyFont="1">
      <alignment horizontal="center" shrinkToFit="0" vertical="center" wrapText="1"/>
    </xf>
    <xf borderId="35" fillId="16" fontId="21" numFmtId="0" xfId="0" applyAlignment="1" applyBorder="1" applyFill="1" applyFont="1">
      <alignment horizontal="center" shrinkToFit="0" textRotation="180" vertical="bottom" wrapText="0"/>
    </xf>
    <xf borderId="35" fillId="0" fontId="37" numFmtId="0" xfId="0" applyAlignment="1" applyBorder="1" applyFont="1">
      <alignment horizontal="center" shrinkToFit="0" vertical="center" wrapText="0"/>
    </xf>
    <xf borderId="0" fillId="0" fontId="38" numFmtId="0" xfId="0" applyAlignment="1" applyFont="1">
      <alignment vertical="bottom"/>
    </xf>
    <xf borderId="0" fillId="0" fontId="18" numFmtId="0" xfId="0" applyFont="1"/>
    <xf borderId="0" fillId="0" fontId="21" numFmtId="0" xfId="0" applyFont="1"/>
    <xf borderId="14" fillId="8" fontId="30" numFmtId="0" xfId="0" applyAlignment="1" applyBorder="1" applyFill="1" applyFont="1">
      <alignment horizontal="center" vertical="center"/>
    </xf>
    <xf borderId="5" fillId="13" fontId="4" numFmtId="3" xfId="0" applyBorder="1" applyFill="1" applyFont="1" applyNumberFormat="1"/>
    <xf borderId="5" fillId="13" fontId="42" numFmtId="0" xfId="0" applyBorder="1" applyFill="1" applyFont="1"/>
    <xf borderId="28" fillId="16" fontId="21" numFmtId="0" xfId="0" applyAlignment="1" applyBorder="1" applyFill="1" applyFont="1">
      <alignment horizontal="center" readingOrder="0" shrinkToFit="0" vertical="bottom" wrapText="1"/>
    </xf>
    <xf borderId="35" fillId="16" fontId="21" numFmtId="0" xfId="0" applyAlignment="1" applyBorder="1" applyFill="1" applyFont="1">
      <alignment horizontal="center" readingOrder="0" shrinkToFit="0" textRotation="180" vertical="bottom" wrapText="0"/>
    </xf>
    <xf borderId="28" fillId="0" fontId="37" numFmtId="0" xfId="0" applyAlignment="1" applyBorder="1" applyFont="1">
      <alignment horizontal="center" readingOrder="0" shrinkToFit="0" vertical="center" wrapText="0"/>
    </xf>
    <xf borderId="35" fillId="0" fontId="37" numFmtId="0" xfId="0" applyAlignment="1" applyBorder="1" applyFont="1">
      <alignment horizontal="center" readingOrder="0" shrinkToFit="0" vertical="center" wrapText="0"/>
    </xf>
    <xf borderId="14" fillId="8" fontId="19" numFmtId="0" xfId="0" applyAlignment="1" applyBorder="1" applyFill="1" applyFont="1">
      <alignment horizontal="center" shrinkToFit="0" vertical="center" wrapText="1"/>
    </xf>
    <xf borderId="0" fillId="0" fontId="43" numFmtId="0" xfId="0" applyFont="1"/>
    <xf borderId="35" fillId="16" fontId="17" numFmtId="0" xfId="0" applyAlignment="1" applyBorder="1" applyFill="1" applyFont="1">
      <alignment horizontal="center" shrinkToFit="0" textRotation="180" vertical="bottom" wrapText="0"/>
    </xf>
    <xf borderId="0" fillId="0" fontId="43" numFmtId="0" xfId="0" applyAlignment="1" applyFont="1">
      <alignment readingOrder="0"/>
    </xf>
    <xf borderId="35" fillId="0" fontId="19" numFmtId="0" xfId="0" applyAlignment="1" applyBorder="1" applyFont="1">
      <alignment horizontal="center" shrinkToFit="0" vertical="center" wrapText="0"/>
    </xf>
    <xf borderId="31" fillId="14" fontId="14" numFmtId="0" xfId="0" applyAlignment="1" applyBorder="1" applyFill="1" applyFont="1">
      <alignment horizontal="left" readingOrder="0" shrinkToFit="0" vertical="center" wrapText="0"/>
    </xf>
    <xf borderId="0" fillId="16" fontId="21" numFmtId="0" xfId="0" applyAlignment="1" applyFill="1" applyFont="1">
      <alignment horizontal="center" readingOrder="0" shrinkToFit="0" vertical="bottom" wrapText="1"/>
    </xf>
    <xf borderId="3" fillId="16" fontId="21" numFmtId="0" xfId="0" applyAlignment="1" applyBorder="1" applyFill="1" applyFont="1">
      <alignment horizontal="center" readingOrder="0" shrinkToFit="0" textRotation="180" vertical="bottom" wrapText="0"/>
    </xf>
    <xf borderId="0" fillId="16" fontId="21" numFmtId="0" xfId="0" applyAlignment="1" applyFill="1" applyFont="1">
      <alignment horizontal="center" readingOrder="0" shrinkToFit="0" textRotation="180" vertical="bottom" wrapText="0"/>
    </xf>
    <xf borderId="36" fillId="16" fontId="21" numFmtId="0" xfId="0" applyAlignment="1" applyBorder="1" applyFill="1" applyFont="1">
      <alignment horizontal="center" readingOrder="0" shrinkToFit="0" textRotation="180" vertical="bottom" wrapText="0"/>
    </xf>
    <xf borderId="0" fillId="0" fontId="37" numFmtId="0" xfId="0" applyAlignment="1" applyFont="1">
      <alignment horizontal="center" readingOrder="0" shrinkToFit="0" vertical="center" wrapText="0"/>
    </xf>
    <xf borderId="3" fillId="0" fontId="37" numFmtId="0" xfId="0" applyAlignment="1" applyBorder="1" applyFont="1">
      <alignment horizontal="center" readingOrder="0" shrinkToFit="0" vertical="center" wrapText="0"/>
    </xf>
    <xf borderId="36" fillId="0" fontId="37" numFmtId="0" xfId="0" applyAlignment="1" applyBorder="1" applyFont="1">
      <alignment horizontal="center" readingOrder="0" shrinkToFit="0" vertical="center" wrapText="0"/>
    </xf>
    <xf borderId="28" fillId="16" fontId="17" numFmtId="0" xfId="0" applyAlignment="1" applyBorder="1" applyFill="1" applyFont="1">
      <alignment horizontal="center" readingOrder="0" shrinkToFit="0" vertical="bottom" wrapText="1"/>
    </xf>
    <xf borderId="35" fillId="16" fontId="17" numFmtId="0" xfId="0" applyAlignment="1" applyBorder="1" applyFill="1" applyFont="1">
      <alignment horizontal="center" readingOrder="0" shrinkToFit="0" textRotation="180" vertical="bottom" wrapText="0"/>
    </xf>
    <xf borderId="0" fillId="14" fontId="14" numFmtId="0" xfId="0" applyAlignment="1" applyFill="1" applyFont="1">
      <alignment horizontal="left" vertical="center"/>
    </xf>
    <xf borderId="0" fillId="15" fontId="21" numFmtId="0" xfId="0" applyAlignment="1" applyFill="1" applyFont="1">
      <alignment horizontal="left" vertical="center"/>
    </xf>
    <xf borderId="0" fillId="8" fontId="37" numFmtId="0" xfId="0" applyAlignment="1" applyFill="1" applyFont="1">
      <alignment horizontal="left" vertical="center"/>
    </xf>
    <xf borderId="0" fillId="8" fontId="37" numFmtId="0" xfId="0" applyAlignment="1" applyFill="1" applyFont="1">
      <alignment horizontal="center" vertical="center"/>
    </xf>
    <xf borderId="28" fillId="16" fontId="21" numFmtId="0" xfId="0" applyAlignment="1" applyBorder="1" applyFill="1" applyFont="1">
      <alignment horizontal="center" vertical="bottom"/>
    </xf>
    <xf borderId="35" fillId="16" fontId="21" numFmtId="0" xfId="0" applyAlignment="1" applyBorder="1" applyFill="1" applyFont="1">
      <alignment horizontal="center" textRotation="180" vertical="bottom"/>
    </xf>
    <xf borderId="28" fillId="0" fontId="37" numFmtId="0" xfId="0" applyAlignment="1" applyBorder="1" applyFont="1">
      <alignment horizontal="center" vertical="center"/>
    </xf>
    <xf borderId="35" fillId="0" fontId="37" numFmtId="0" xfId="0" applyAlignment="1" applyBorder="1" applyFont="1">
      <alignment horizontal="center" vertical="center"/>
    </xf>
    <xf borderId="28" fillId="0" fontId="19" numFmtId="0" xfId="0" applyAlignment="1" applyBorder="1" applyFont="1">
      <alignment horizontal="center" readingOrder="0" shrinkToFit="0" vertical="center" wrapText="0"/>
    </xf>
    <xf borderId="35" fillId="0" fontId="19" numFmtId="0" xfId="0" applyAlignment="1" applyBorder="1" applyFont="1">
      <alignment horizontal="center" readingOrder="0" shrinkToFit="0" vertical="center" wrapText="0"/>
    </xf>
    <xf borderId="14" fillId="8" fontId="30" numFmtId="0" xfId="0" applyAlignment="1" applyBorder="1" applyFill="1" applyFont="1">
      <alignment horizontal="center" readingOrder="0" shrinkToFit="0" vertical="center" wrapText="0"/>
    </xf>
    <xf borderId="31" fillId="14" fontId="17" numFmtId="0" xfId="0" applyAlignment="1" applyBorder="1" applyFill="1" applyFont="1">
      <alignment horizontal="left" readingOrder="0" shrinkToFit="0" vertical="center" wrapText="0"/>
    </xf>
    <xf borderId="0" fillId="16" fontId="17" numFmtId="0" xfId="0" applyAlignment="1" applyFill="1" applyFont="1">
      <alignment horizontal="center" readingOrder="0" shrinkToFit="0" vertical="bottom" wrapText="1"/>
    </xf>
    <xf borderId="3" fillId="16" fontId="17" numFmtId="0" xfId="0" applyAlignment="1" applyBorder="1" applyFill="1" applyFont="1">
      <alignment horizontal="center" readingOrder="0" shrinkToFit="0" textRotation="180" vertical="bottom" wrapText="0"/>
    </xf>
    <xf borderId="0" fillId="16" fontId="17" numFmtId="0" xfId="0" applyAlignment="1" applyFill="1" applyFont="1">
      <alignment horizontal="center" readingOrder="0" shrinkToFit="0" textRotation="180" vertical="bottom" wrapText="0"/>
    </xf>
    <xf borderId="36" fillId="16" fontId="17" numFmtId="0" xfId="0" applyAlignment="1" applyBorder="1" applyFill="1" applyFont="1">
      <alignment horizontal="center" readingOrder="0" shrinkToFit="0" textRotation="180" vertical="bottom" wrapText="0"/>
    </xf>
    <xf borderId="0" fillId="0" fontId="19" numFmtId="0" xfId="0" applyAlignment="1" applyFont="1">
      <alignment horizontal="center" readingOrder="0" shrinkToFit="0" vertical="center" wrapText="0"/>
    </xf>
    <xf borderId="3" fillId="0" fontId="19" numFmtId="0" xfId="0" applyAlignment="1" applyBorder="1" applyFont="1">
      <alignment horizontal="center" readingOrder="0" shrinkToFit="0" vertical="center" wrapText="0"/>
    </xf>
    <xf borderId="36" fillId="0" fontId="19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horizontal="center" vertical="bottom"/>
    </xf>
    <xf borderId="0" fillId="0" fontId="44" numFmtId="0" xfId="0" applyAlignment="1" applyFont="1">
      <alignment readingOrder="0"/>
    </xf>
    <xf borderId="0" fillId="0" fontId="45" numFmtId="0" xfId="0" applyFont="1"/>
    <xf borderId="35" fillId="16" fontId="17" numFmtId="0" xfId="0" applyAlignment="1" applyBorder="1" applyFill="1" applyFont="1">
      <alignment horizontal="center" textRotation="180" vertical="bottom"/>
    </xf>
    <xf borderId="27" fillId="0" fontId="19" numFmtId="0" xfId="0" applyAlignment="1" applyBorder="1" applyFont="1">
      <alignment horizontal="left" vertical="center"/>
    </xf>
    <xf borderId="28" fillId="0" fontId="19" numFmtId="0" xfId="0" applyAlignment="1" applyBorder="1" applyFont="1">
      <alignment horizontal="center" vertical="center"/>
    </xf>
    <xf borderId="35" fillId="0" fontId="19" numFmtId="0" xfId="0" applyAlignment="1" applyBorder="1" applyFont="1">
      <alignment horizontal="center" vertical="center"/>
    </xf>
    <xf borderId="0" fillId="0" fontId="18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6" numFmtId="0" xfId="0" applyFont="1"/>
    <xf borderId="0" fillId="0" fontId="38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46" numFmtId="0" xfId="0" applyFont="1"/>
    <xf borderId="5" fillId="8" fontId="47" numFmtId="0" xfId="0" applyAlignment="1" applyBorder="1" applyFill="1" applyFont="1">
      <alignment horizontal="center" readingOrder="0"/>
    </xf>
    <xf borderId="5" fillId="8" fontId="46" numFmtId="0" xfId="0" applyAlignment="1" applyBorder="1" applyFill="1" applyFont="1">
      <alignment horizontal="center" readingOrder="0"/>
    </xf>
    <xf borderId="0" fillId="15" fontId="17" numFmtId="0" xfId="0" applyAlignment="1" applyFill="1" applyFont="1">
      <alignment horizontal="left" vertical="center"/>
    </xf>
    <xf borderId="0" fillId="8" fontId="19" numFmtId="0" xfId="0" applyAlignment="1" applyFill="1" applyFont="1">
      <alignment horizontal="center" vertical="center"/>
    </xf>
    <xf borderId="5" fillId="10" fontId="46" numFmtId="0" xfId="0" applyAlignment="1" applyBorder="1" applyFill="1" applyFont="1">
      <alignment horizontal="center"/>
    </xf>
    <xf borderId="5" fillId="13" fontId="5" numFmtId="0" xfId="0" applyAlignment="1" applyBorder="1" applyFill="1" applyFont="1">
      <alignment horizontal="center"/>
    </xf>
    <xf borderId="5" fillId="13" fontId="5" numFmtId="1" xfId="0" applyAlignment="1" applyBorder="1" applyFill="1" applyFont="1" applyNumberFormat="1">
      <alignment horizontal="center"/>
    </xf>
    <xf borderId="5" fillId="13" fontId="5" numFmtId="0" xfId="0" applyAlignment="1" applyBorder="1" applyFill="1" applyFont="1">
      <alignment horizontal="left"/>
    </xf>
    <xf borderId="0" fillId="14" fontId="14" numFmtId="0" xfId="0" applyAlignment="1" applyFill="1" applyFont="1">
      <alignment horizontal="left" readingOrder="0" vertical="center"/>
    </xf>
    <xf borderId="0" fillId="0" fontId="48" numFmtId="0" xfId="0" applyAlignment="1" applyFont="1">
      <alignment readingOrder="0"/>
    </xf>
    <xf borderId="0" fillId="0" fontId="1" numFmtId="0" xfId="0" applyFont="1"/>
    <xf borderId="0" fillId="17" fontId="37" numFmtId="0" xfId="0" applyAlignment="1" applyFill="1" applyFont="1">
      <alignment horizontal="center"/>
    </xf>
    <xf borderId="0" fillId="18" fontId="37" numFmtId="0" xfId="0" applyAlignment="1" applyFill="1" applyFont="1">
      <alignment horizontal="center"/>
    </xf>
    <xf borderId="0" fillId="0" fontId="37" numFmtId="0" xfId="0" applyAlignment="1" applyFont="1">
      <alignment horizontal="center"/>
    </xf>
    <xf borderId="0" fillId="0" fontId="48" numFmtId="0" xfId="0" applyAlignment="1" applyFont="1">
      <alignment horizontal="center" readingOrder="0" shrinkToFit="0" wrapText="1"/>
    </xf>
    <xf borderId="35" fillId="0" fontId="7" numFmtId="0" xfId="0" applyBorder="1" applyFont="1"/>
    <xf borderId="27" fillId="0" fontId="7" numFmtId="0" xfId="0" applyBorder="1" applyFont="1"/>
    <xf borderId="27" fillId="17" fontId="37" numFmtId="0" xfId="0" applyAlignment="1" applyBorder="1" applyFill="1" applyFont="1">
      <alignment horizontal="center"/>
    </xf>
    <xf borderId="35" fillId="17" fontId="37" numFmtId="0" xfId="0" applyAlignment="1" applyBorder="1" applyFill="1" applyFont="1">
      <alignment horizontal="center"/>
    </xf>
    <xf borderId="0" fillId="17" fontId="7" numFmtId="0" xfId="0" applyAlignment="1" applyFill="1" applyFont="1">
      <alignment horizontal="center" vertical="bottom"/>
    </xf>
    <xf borderId="0" fillId="0" fontId="1" numFmtId="14" xfId="0" applyAlignment="1" applyFont="1" applyNumberFormat="1">
      <alignment readingOrder="0"/>
    </xf>
    <xf borderId="37" fillId="6" fontId="49" numFmtId="0" xfId="0" applyBorder="1" applyFill="1" applyFont="1"/>
    <xf borderId="38" fillId="20" fontId="50" numFmtId="0" xfId="0" applyAlignment="1" applyBorder="1" applyFill="1" applyFont="1">
      <alignment horizontal="center" shrinkToFit="0" wrapText="1"/>
    </xf>
    <xf borderId="39" fillId="0" fontId="16" numFmtId="0" xfId="0" applyBorder="1" applyFont="1"/>
    <xf borderId="40" fillId="0" fontId="16" numFmtId="0" xfId="0" applyBorder="1" applyFont="1"/>
    <xf borderId="37" fillId="21" fontId="51" numFmtId="0" xfId="0" applyAlignment="1" applyBorder="1" applyFill="1" applyFont="1">
      <alignment horizontal="center" shrinkToFit="0" wrapText="1"/>
    </xf>
    <xf borderId="37" fillId="21" fontId="52" numFmtId="0" xfId="0" applyAlignment="1" applyBorder="1" applyFill="1" applyFont="1">
      <alignment horizontal="center" shrinkToFit="0" wrapText="1"/>
    </xf>
    <xf borderId="38" fillId="22" fontId="52" numFmtId="0" xfId="0" applyAlignment="1" applyBorder="1" applyFill="1" applyFont="1">
      <alignment horizontal="center" shrinkToFit="0" wrapText="1"/>
    </xf>
    <xf borderId="37" fillId="23" fontId="52" numFmtId="0" xfId="0" applyAlignment="1" applyBorder="1" applyFill="1" applyFont="1">
      <alignment horizontal="center" shrinkToFit="0" wrapText="1"/>
    </xf>
    <xf borderId="38" fillId="23" fontId="52" numFmtId="0" xfId="0" applyAlignment="1" applyBorder="1" applyFill="1" applyFont="1">
      <alignment horizontal="center" shrinkToFit="0" wrapText="1"/>
    </xf>
    <xf borderId="37" fillId="24" fontId="52" numFmtId="0" xfId="0" applyAlignment="1" applyBorder="1" applyFill="1" applyFont="1">
      <alignment horizontal="center" shrinkToFit="0" wrapText="1"/>
    </xf>
    <xf borderId="38" fillId="25" fontId="52" numFmtId="0" xfId="0" applyAlignment="1" applyBorder="1" applyFill="1" applyFont="1">
      <alignment horizontal="center" shrinkToFit="0" wrapText="1"/>
    </xf>
    <xf borderId="37" fillId="25" fontId="52" numFmtId="0" xfId="0" applyAlignment="1" applyBorder="1" applyFill="1" applyFont="1">
      <alignment horizontal="center" shrinkToFit="0" wrapText="1"/>
    </xf>
    <xf borderId="38" fillId="6" fontId="52" numFmtId="0" xfId="0" applyAlignment="1" applyBorder="1" applyFill="1" applyFont="1">
      <alignment horizontal="center" shrinkToFit="0" wrapText="1"/>
    </xf>
    <xf borderId="38" fillId="26" fontId="52" numFmtId="0" xfId="0" applyAlignment="1" applyBorder="1" applyFill="1" applyFont="1">
      <alignment horizontal="center" shrinkToFit="0" wrapText="1"/>
    </xf>
    <xf borderId="28" fillId="16" fontId="17" numFmtId="0" xfId="0" applyAlignment="1" applyBorder="1" applyFill="1" applyFont="1">
      <alignment horizontal="center" vertical="bottom"/>
    </xf>
    <xf borderId="0" fillId="0" fontId="53" numFmtId="0" xfId="0" applyAlignment="1" applyFont="1">
      <alignment readingOrder="0" shrinkToFit="0" wrapText="1"/>
    </xf>
    <xf borderId="0" fillId="0" fontId="54" numFmtId="0" xfId="0" applyAlignment="1" applyFont="1">
      <alignment readingOrder="0" shrinkToFit="0" wrapText="1"/>
    </xf>
    <xf borderId="0" fillId="0" fontId="23" numFmtId="0" xfId="0" applyFont="1"/>
    <xf borderId="0" fillId="0" fontId="19" numFmtId="0" xfId="0" applyAlignment="1" applyFont="1">
      <alignment horizontal="center" shrinkToFit="0" vertical="center" wrapText="0"/>
    </xf>
    <xf borderId="0" fillId="0" fontId="23" numFmtId="0" xfId="0" applyAlignment="1" applyFont="1">
      <alignment horizontal="center"/>
    </xf>
    <xf borderId="0" fillId="0" fontId="23" numFmtId="0" xfId="0" applyAlignment="1" applyFont="1">
      <alignment horizontal="center"/>
    </xf>
    <xf borderId="0" fillId="0" fontId="45" numFmtId="0" xfId="0" applyAlignment="1" applyFont="1">
      <alignment horizontal="right" readingOrder="0"/>
    </xf>
    <xf borderId="0" fillId="0" fontId="55" numFmtId="164" xfId="0" applyAlignment="1" applyFont="1" applyNumberFormat="1">
      <alignment horizontal="center" readingOrder="0"/>
    </xf>
    <xf borderId="0" fillId="0" fontId="45" numFmtId="0" xfId="0" applyAlignment="1" applyFont="1">
      <alignment readingOrder="0"/>
    </xf>
    <xf borderId="0" fillId="0" fontId="1" numFmtId="0" xfId="0" applyAlignment="1" applyFont="1">
      <alignment horizontal="center" shrinkToFit="0" wrapText="1"/>
    </xf>
    <xf borderId="36" fillId="16" fontId="21" numFmtId="0" xfId="0" applyAlignment="1" applyBorder="1" applyFill="1" applyFont="1">
      <alignment horizontal="center" readingOrder="0" shrinkToFit="0" textRotation="0" vertical="bottom" wrapText="1"/>
    </xf>
    <xf borderId="0" fillId="0" fontId="37" numFmtId="0" xfId="0" applyAlignment="1" applyFont="1">
      <alignment horizontal="right" readingOrder="0" shrinkToFit="0" vertical="center" wrapText="0"/>
    </xf>
    <xf borderId="0" fillId="0" fontId="37" numFmtId="9" xfId="0" applyAlignment="1" applyFont="1" applyNumberFormat="1">
      <alignment horizontal="center" readingOrder="0" shrinkToFit="0" vertical="center" wrapText="0"/>
    </xf>
    <xf borderId="0" fillId="15" fontId="21" numFmtId="0" xfId="0" applyAlignment="1" applyFill="1" applyFont="1">
      <alignment horizontal="right" readingOrder="0" vertical="center"/>
    </xf>
    <xf borderId="0" fillId="10" fontId="1" numFmtId="0" xfId="0" applyFill="1" applyFont="1"/>
    <xf borderId="28" fillId="16" fontId="21" numFmtId="0" xfId="0" applyAlignment="1" applyBorder="1" applyFill="1" applyFont="1">
      <alignment horizontal="center" textRotation="180" vertical="bottom"/>
    </xf>
    <xf borderId="0" fillId="0" fontId="1" numFmtId="0" xfId="0" applyAlignment="1" applyFont="1">
      <alignment horizontal="left" readingOrder="0"/>
    </xf>
    <xf borderId="15" fillId="27" fontId="50" numFmtId="0" xfId="0" applyAlignment="1" applyBorder="1" applyFill="1" applyFont="1">
      <alignment shrinkToFit="0" vertical="center" wrapText="0"/>
    </xf>
    <xf borderId="41" fillId="0" fontId="16" numFmtId="0" xfId="0" applyBorder="1" applyFont="1"/>
    <xf borderId="42" fillId="0" fontId="16" numFmtId="0" xfId="0" applyBorder="1" applyFont="1"/>
    <xf borderId="22" fillId="0" fontId="56" numFmtId="0" xfId="0" applyAlignment="1" applyBorder="1" applyFont="1">
      <alignment shrinkToFit="0" vertical="center" wrapText="1"/>
    </xf>
    <xf borderId="22" fillId="0" fontId="56" numFmtId="0" xfId="0" applyAlignment="1" applyBorder="1" applyFont="1">
      <alignment horizontal="center" shrinkToFit="0" vertical="center" wrapText="1"/>
    </xf>
    <xf borderId="22" fillId="0" fontId="56" numFmtId="0" xfId="0" applyAlignment="1" applyBorder="1" applyFont="1">
      <alignment horizontal="center" readingOrder="0" shrinkToFit="0" vertical="center" wrapText="1"/>
    </xf>
    <xf borderId="0" fillId="0" fontId="57" numFmtId="0" xfId="0" applyAlignment="1" applyFont="1">
      <alignment shrinkToFit="0" vertical="center" wrapText="1"/>
    </xf>
    <xf borderId="14" fillId="28" fontId="57" numFmtId="0" xfId="0" applyAlignment="1" applyBorder="1" applyFill="1" applyFont="1">
      <alignment horizontal="center" readingOrder="0" shrinkToFit="0" vertical="center" wrapText="0"/>
    </xf>
    <xf borderId="0" fillId="0" fontId="58" numFmtId="0" xfId="0" applyAlignment="1" applyFont="1">
      <alignment shrinkToFit="0" vertical="center" wrapText="1"/>
    </xf>
    <xf borderId="43" fillId="29" fontId="59" numFmtId="0" xfId="0" applyAlignment="1" applyBorder="1" applyFill="1" applyFont="1">
      <alignment horizontal="left" shrinkToFit="0" vertical="center" wrapText="0"/>
    </xf>
    <xf borderId="0" fillId="0" fontId="58" numFmtId="0" xfId="0" applyAlignment="1" applyFont="1">
      <alignment readingOrder="0" shrinkToFit="0" vertical="center" wrapText="1"/>
    </xf>
    <xf borderId="0" fillId="0" fontId="57" numFmtId="0" xfId="0" applyAlignment="1" applyFont="1">
      <alignment readingOrder="0" shrinkToFit="0" vertical="center" wrapText="1"/>
    </xf>
    <xf borderId="14" fillId="29" fontId="59" numFmtId="0" xfId="0" applyAlignment="1" applyBorder="1" applyFill="1" applyFont="1">
      <alignment horizontal="center" readingOrder="0" shrinkToFit="0" vertical="center" wrapText="0"/>
    </xf>
    <xf borderId="14" fillId="29" fontId="59" numFmtId="0" xfId="0" applyAlignment="1" applyBorder="1" applyFill="1" applyFont="1">
      <alignment horizontal="left" shrinkToFit="0" vertical="center" wrapText="0"/>
    </xf>
    <xf borderId="19" fillId="27" fontId="50" numFmtId="0" xfId="0" applyAlignment="1" applyBorder="1" applyFill="1" applyFont="1">
      <alignment readingOrder="0" shrinkToFit="0" vertical="center" wrapText="0"/>
    </xf>
    <xf borderId="44" fillId="27" fontId="50" numFmtId="0" xfId="0" applyAlignment="1" applyBorder="1" applyFill="1" applyFont="1">
      <alignment readingOrder="0" shrinkToFit="0" vertical="center" wrapText="0"/>
    </xf>
    <xf borderId="45" fillId="27" fontId="50" numFmtId="0" xfId="0" applyAlignment="1" applyBorder="1" applyFill="1" applyFont="1">
      <alignment readingOrder="0" shrinkToFit="0" vertical="center" wrapText="0"/>
    </xf>
    <xf borderId="22" fillId="0" fontId="56" numFmtId="0" xfId="0" applyAlignment="1" applyBorder="1" applyFont="1">
      <alignment readingOrder="0" shrinkToFit="0" vertical="center" wrapText="1"/>
    </xf>
    <xf borderId="43" fillId="30" fontId="60" numFmtId="0" xfId="0" applyAlignment="1" applyBorder="1" applyFill="1" applyFont="1">
      <alignment horizontal="center" readingOrder="0" shrinkToFit="0" vertical="center" wrapText="0"/>
    </xf>
    <xf borderId="43" fillId="28" fontId="61" numFmtId="2" xfId="0" applyAlignment="1" applyBorder="1" applyFill="1" applyFont="1" applyNumberFormat="1">
      <alignment horizontal="center" readingOrder="0"/>
    </xf>
    <xf borderId="14" fillId="29" fontId="62" numFmtId="2" xfId="0" applyAlignment="1" applyBorder="1" applyFill="1" applyFont="1" applyNumberFormat="1">
      <alignment horizontal="center"/>
    </xf>
    <xf borderId="14" fillId="29" fontId="59" numFmtId="2" xfId="0" applyAlignment="1" applyBorder="1" applyFill="1" applyFont="1" applyNumberFormat="1">
      <alignment horizontal="center" shrinkToFit="0" vertical="center" wrapText="0"/>
    </xf>
    <xf borderId="14" fillId="30" fontId="60" numFmtId="0" xfId="0" applyAlignment="1" applyBorder="1" applyFill="1" applyFont="1">
      <alignment horizontal="center" readingOrder="0" shrinkToFit="0" vertical="center" wrapText="0"/>
    </xf>
    <xf borderId="14" fillId="28" fontId="61" numFmtId="2" xfId="0" applyAlignment="1" applyBorder="1" applyFill="1" applyFont="1" applyNumberFormat="1">
      <alignment horizontal="center" readingOrder="0"/>
    </xf>
    <xf borderId="14" fillId="28" fontId="57" numFmtId="0" xfId="0" applyAlignment="1" applyBorder="1" applyFill="1" applyFont="1">
      <alignment horizontal="center" shrinkToFit="0" vertical="center" wrapText="0"/>
    </xf>
    <xf borderId="0" fillId="0" fontId="63" numFmtId="0" xfId="0" applyAlignment="1" applyFont="1">
      <alignment readingOrder="0"/>
    </xf>
    <xf borderId="14" fillId="28" fontId="57" numFmtId="164" xfId="0" applyAlignment="1" applyBorder="1" applyFill="1" applyFont="1" applyNumberFormat="1">
      <alignment horizontal="center" readingOrder="0" shrinkToFit="0" vertical="center" wrapText="0"/>
    </xf>
    <xf borderId="14" fillId="28" fontId="57" numFmtId="164" xfId="0" applyAlignment="1" applyBorder="1" applyFill="1" applyFont="1" applyNumberFormat="1">
      <alignment horizontal="center" shrinkToFit="0" vertical="center" wrapText="0"/>
    </xf>
    <xf borderId="0" fillId="0" fontId="61" numFmtId="0" xfId="0" applyAlignment="1" applyFont="1">
      <alignment shrinkToFit="0" wrapText="1"/>
    </xf>
    <xf borderId="14" fillId="30" fontId="64" numFmtId="2" xfId="0" applyAlignment="1" applyBorder="1" applyFill="1" applyFont="1" applyNumberFormat="1">
      <alignment horizontal="center" readingOrder="0"/>
    </xf>
    <xf borderId="14" fillId="29" fontId="59" numFmtId="164" xfId="0" applyAlignment="1" applyBorder="1" applyFill="1" applyFont="1" applyNumberFormat="1">
      <alignment horizontal="center" shrinkToFit="0" vertical="center" wrapText="0"/>
    </xf>
    <xf borderId="22" fillId="0" fontId="57" numFmtId="0" xfId="0" applyAlignment="1" applyBorder="1" applyFont="1">
      <alignment readingOrder="0" shrinkToFit="0" vertical="center" wrapText="1"/>
    </xf>
    <xf borderId="18" fillId="30" fontId="60" numFmtId="0" xfId="0" applyAlignment="1" applyBorder="1" applyFill="1" applyFont="1">
      <alignment horizontal="center" readingOrder="0" shrinkToFit="0" vertical="center" wrapText="0"/>
    </xf>
    <xf borderId="0" fillId="0" fontId="65" numFmtId="0" xfId="0" applyAlignment="1" applyFont="1">
      <alignment readingOrder="0"/>
    </xf>
    <xf borderId="18" fillId="29" fontId="62" numFmtId="2" xfId="0" applyAlignment="1" applyBorder="1" applyFill="1" applyFont="1" applyNumberFormat="1">
      <alignment horizontal="center"/>
    </xf>
    <xf borderId="15" fillId="27" fontId="50" numFmtId="0" xfId="0" applyAlignment="1" applyBorder="1" applyFill="1" applyFont="1">
      <alignment readingOrder="0" shrinkToFit="0" vertical="center" wrapText="0"/>
    </xf>
    <xf borderId="18" fillId="29" fontId="59" numFmtId="2" xfId="0" applyAlignment="1" applyBorder="1" applyFill="1" applyFont="1" applyNumberFormat="1">
      <alignment horizontal="center" shrinkToFit="0" vertical="center" wrapText="0"/>
    </xf>
    <xf borderId="43" fillId="29" fontId="59" numFmtId="2" xfId="0" applyAlignment="1" applyBorder="1" applyFill="1" applyFont="1" applyNumberFormat="1">
      <alignment horizontal="center" shrinkToFit="0" vertical="center" wrapText="0"/>
    </xf>
    <xf borderId="0" fillId="0" fontId="57" numFmtId="0" xfId="0" applyAlignment="1" applyFont="1">
      <alignment horizontal="right" shrinkToFit="0" vertical="center" wrapText="1"/>
    </xf>
    <xf borderId="0" fillId="0" fontId="66" numFmtId="0" xfId="0" applyAlignment="1" applyFont="1">
      <alignment readingOrder="0"/>
    </xf>
    <xf borderId="0" fillId="0" fontId="48" numFmtId="0" xfId="0" applyAlignment="1" applyFont="1">
      <alignment horizontal="center" readingOrder="0"/>
    </xf>
    <xf borderId="3" fillId="0" fontId="48" numFmtId="0" xfId="0" applyAlignment="1" applyBorder="1" applyFont="1">
      <alignment horizontal="center" readingOrder="0"/>
    </xf>
    <xf borderId="4" fillId="0" fontId="1" numFmtId="10" xfId="0" applyAlignment="1" applyBorder="1" applyFont="1" applyNumberFormat="1">
      <alignment horizontal="center"/>
    </xf>
    <xf borderId="3" fillId="0" fontId="1" numFmtId="0" xfId="0" applyAlignment="1" applyBorder="1" applyFont="1">
      <alignment horizontal="right"/>
    </xf>
    <xf borderId="4" fillId="0" fontId="1" numFmtId="0" xfId="0" applyBorder="1" applyFont="1"/>
    <xf borderId="4" fillId="0" fontId="48" numFmtId="10" xfId="0" applyAlignment="1" applyBorder="1" applyFont="1" applyNumberFormat="1">
      <alignment horizontal="center"/>
    </xf>
    <xf borderId="4" fillId="0" fontId="48" numFmtId="0" xfId="0" applyAlignment="1" applyBorder="1" applyFont="1">
      <alignment horizontal="center" readingOrder="0"/>
    </xf>
    <xf borderId="14" fillId="28" fontId="57" numFmtId="0" xfId="0" applyAlignment="1" applyBorder="1" applyFill="1" applyFont="1">
      <alignment readingOrder="0" shrinkToFit="0" vertical="center" wrapText="0"/>
    </xf>
    <xf borderId="14" fillId="29" fontId="59" numFmtId="0" xfId="0" applyAlignment="1" applyBorder="1" applyFill="1" applyFont="1">
      <alignment horizontal="center" shrinkToFit="0" vertical="center" wrapText="0"/>
    </xf>
    <xf borderId="0" fillId="0" fontId="1" numFmtId="0" xfId="0" applyAlignment="1" applyFont="1">
      <alignment horizontal="right"/>
    </xf>
    <xf borderId="3" fillId="0" fontId="1" numFmtId="0" xfId="0" applyAlignment="1" applyBorder="1" applyFont="1">
      <alignment horizontal="right" readingOrder="0"/>
    </xf>
    <xf borderId="4" fillId="8" fontId="1" numFmtId="0" xfId="0" applyAlignment="1" applyBorder="1" applyFill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right"/>
    </xf>
    <xf borderId="4" fillId="0" fontId="1" numFmtId="10" xfId="0" applyBorder="1" applyFont="1" applyNumberFormat="1"/>
    <xf borderId="3" fillId="0" fontId="1" numFmtId="0" xfId="0" applyBorder="1" applyFont="1"/>
    <xf borderId="0" fillId="0" fontId="1" numFmtId="10" xfId="0" applyAlignment="1" applyFont="1" applyNumberFormat="1">
      <alignment horizontal="center"/>
    </xf>
    <xf borderId="22" fillId="0" fontId="48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right"/>
    </xf>
    <xf borderId="0" fillId="13" fontId="1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center"/>
    </xf>
    <xf borderId="4" fillId="0" fontId="1" numFmtId="0" xfId="0" applyAlignment="1" applyBorder="1" applyFont="1">
      <alignment horizontal="center"/>
    </xf>
    <xf borderId="0" fillId="13" fontId="1" numFmtId="10" xfId="0" applyAlignment="1" applyFill="1" applyFont="1" applyNumberFormat="1">
      <alignment horizontal="center"/>
    </xf>
    <xf borderId="3" fillId="0" fontId="1" numFmtId="0" xfId="0" applyAlignment="1" applyBorder="1" applyFont="1">
      <alignment horizontal="center"/>
    </xf>
    <xf borderId="0" fillId="0" fontId="48" numFmtId="1" xfId="0" applyAlignment="1" applyFont="1" applyNumberFormat="1">
      <alignment horizontal="center" readingOrder="0"/>
    </xf>
    <xf borderId="21" fillId="0" fontId="48" numFmtId="0" xfId="0" applyAlignment="1" applyBorder="1" applyFont="1">
      <alignment horizontal="center" readingOrder="0"/>
    </xf>
    <xf borderId="23" fillId="0" fontId="48" numFmtId="10" xfId="0" applyAlignment="1" applyBorder="1" applyFont="1" applyNumberFormat="1">
      <alignment horizontal="center"/>
    </xf>
    <xf borderId="23" fillId="0" fontId="1" numFmtId="0" xfId="0" applyAlignment="1" applyBorder="1" applyFont="1">
      <alignment horizontal="center"/>
    </xf>
    <xf borderId="23" fillId="0" fontId="48" numFmtId="0" xfId="0" applyAlignment="1" applyBorder="1" applyFont="1">
      <alignment horizontal="center" readingOrder="0"/>
    </xf>
    <xf borderId="4" fillId="13" fontId="1" numFmtId="0" xfId="0" applyAlignment="1" applyBorder="1" applyFill="1" applyFont="1">
      <alignment horizontal="center"/>
    </xf>
    <xf borderId="4" fillId="13" fontId="1" numFmtId="10" xfId="0" applyAlignment="1" applyBorder="1" applyFill="1" applyFont="1" applyNumberFormat="1">
      <alignment horizontal="center"/>
    </xf>
    <xf borderId="14" fillId="28" fontId="57" numFmtId="0" xfId="0" applyAlignment="1" applyBorder="1" applyFill="1" applyFont="1">
      <alignment shrinkToFit="0" vertical="center" wrapText="0"/>
    </xf>
    <xf borderId="22" fillId="0" fontId="16" numFmtId="0" xfId="0" applyBorder="1" applyFont="1"/>
    <xf borderId="46" fillId="27" fontId="50" numFmtId="0" xfId="0" applyAlignment="1" applyBorder="1" applyFill="1" applyFont="1">
      <alignment readingOrder="0" shrinkToFit="0" vertical="center" wrapText="0"/>
    </xf>
    <xf borderId="22" fillId="0" fontId="48" numFmtId="0" xfId="0" applyAlignment="1" applyBorder="1" applyFont="1">
      <alignment readingOrder="0"/>
    </xf>
    <xf borderId="0" fillId="0" fontId="53" numFmtId="0" xfId="0" applyAlignment="1" applyFont="1">
      <alignment horizontal="center" readingOrder="0" shrinkToFit="0" wrapText="1"/>
    </xf>
    <xf borderId="0" fillId="0" fontId="35" numFmtId="0" xfId="0" applyAlignment="1" applyFont="1">
      <alignment shrinkToFit="0" vertical="bottom" wrapText="1"/>
    </xf>
    <xf borderId="0" fillId="13" fontId="1" numFmtId="0" xfId="0" applyFill="1" applyFont="1"/>
    <xf borderId="0" fillId="0" fontId="35" numFmtId="0" xfId="0" applyAlignment="1" applyFont="1">
      <alignment readingOrder="0" vertical="bottom"/>
    </xf>
    <xf borderId="0" fillId="8" fontId="7" numFmtId="0" xfId="0" applyAlignment="1" applyFill="1" applyFont="1">
      <alignment horizontal="center" readingOrder="0" vertical="bottom"/>
    </xf>
    <xf borderId="0" fillId="0" fontId="53" numFmtId="0" xfId="0" applyAlignment="1" applyFont="1">
      <alignment readingOrder="0"/>
    </xf>
    <xf borderId="0" fillId="8" fontId="23" numFmtId="0" xfId="0" applyAlignment="1" applyFill="1" applyFont="1">
      <alignment readingOrder="0"/>
    </xf>
    <xf borderId="0" fillId="0" fontId="35" numFmtId="0" xfId="0" applyAlignment="1" applyFont="1">
      <alignment vertical="bottom"/>
    </xf>
    <xf borderId="0" fillId="8" fontId="7" numFmtId="0" xfId="0" applyAlignment="1" applyFill="1" applyFont="1">
      <alignment horizontal="center" vertical="bottom"/>
    </xf>
    <xf borderId="0" fillId="9" fontId="23" numFmtId="0" xfId="0" applyFill="1" applyFont="1"/>
    <xf borderId="41" fillId="27" fontId="50" numFmtId="0" xfId="0" applyAlignment="1" applyBorder="1" applyFill="1" applyFont="1">
      <alignment shrinkToFit="0" vertical="center" wrapText="0"/>
    </xf>
    <xf borderId="15" fillId="28" fontId="57" numFmtId="0" xfId="0" applyAlignment="1" applyBorder="1" applyFill="1" applyFont="1">
      <alignment horizontal="center" shrinkToFit="0" vertical="center" wrapText="0"/>
    </xf>
    <xf borderId="0" fillId="0" fontId="1" numFmtId="0" xfId="0" applyAlignment="1" applyFont="1">
      <alignment shrinkToFit="0" wrapText="0"/>
    </xf>
    <xf borderId="0" fillId="27" fontId="1" numFmtId="0" xfId="0" applyFill="1" applyFont="1"/>
    <xf borderId="22" fillId="0" fontId="7" numFmtId="0" xfId="0" applyAlignment="1" applyBorder="1" applyFont="1">
      <alignment horizontal="center" vertical="bottom"/>
    </xf>
    <xf borderId="21" fillId="0" fontId="7" numFmtId="0" xfId="0" applyAlignment="1" applyBorder="1" applyFont="1">
      <alignment horizontal="center" vertical="bottom"/>
    </xf>
    <xf borderId="17" fillId="0" fontId="7" numFmtId="0" xfId="0" applyAlignment="1" applyBorder="1" applyFont="1">
      <alignment horizontal="center" vertical="bottom"/>
    </xf>
    <xf borderId="14" fillId="29" fontId="59" numFmtId="0" xfId="0" applyAlignment="1" applyBorder="1" applyFill="1" applyFont="1">
      <alignment horizontal="center" readingOrder="0" shrinkToFit="0" vertical="center" wrapText="0"/>
    </xf>
    <xf borderId="14" fillId="29" fontId="59" numFmtId="0" xfId="0" applyAlignment="1" applyBorder="1" applyFill="1" applyFont="1">
      <alignment horizontal="left" readingOrder="0" shrinkToFit="0" vertical="center" wrapText="0"/>
    </xf>
    <xf borderId="14" fillId="29" fontId="59" numFmtId="0" xfId="0" applyAlignment="1" applyBorder="1" applyFill="1" applyFont="1">
      <alignment horizontal="center" readingOrder="0" shrinkToFit="0" vertical="center" wrapText="0"/>
    </xf>
    <xf borderId="0" fillId="0" fontId="7" numFmtId="10" xfId="0" applyAlignment="1" applyFont="1" applyNumberFormat="1">
      <alignment horizontal="center" vertical="bottom"/>
    </xf>
    <xf borderId="5" fillId="0" fontId="1" numFmtId="0" xfId="0" applyAlignment="1" applyBorder="1" applyFont="1">
      <alignment horizontal="center" readingOrder="0"/>
    </xf>
    <xf borderId="0" fillId="0" fontId="67" numFmtId="0" xfId="0" applyAlignment="1" applyFont="1">
      <alignment readingOrder="0" vertical="bottom"/>
    </xf>
    <xf borderId="0" fillId="0" fontId="7" numFmtId="0" xfId="0" applyAlignment="1" applyFont="1">
      <alignment horizontal="right" vertical="bottom"/>
    </xf>
    <xf borderId="0" fillId="0" fontId="7" numFmtId="166" xfId="0" applyAlignment="1" applyFont="1" applyNumberFormat="1">
      <alignment horizontal="center" vertical="bottom"/>
    </xf>
    <xf borderId="0" fillId="0" fontId="1" numFmtId="0" xfId="0" applyAlignment="1" applyFont="1">
      <alignment readingOrder="0" shrinkToFit="0" wrapText="0"/>
    </xf>
    <xf borderId="21" fillId="0" fontId="56" numFmtId="0" xfId="0" applyAlignment="1" applyBorder="1" applyFont="1">
      <alignment horizontal="right" shrinkToFit="0" vertical="center" wrapText="1"/>
    </xf>
    <xf borderId="47" fillId="28" fontId="57" numFmtId="0" xfId="0" applyAlignment="1" applyBorder="1" applyFill="1" applyFont="1">
      <alignment horizontal="right" shrinkToFit="0" vertical="center" wrapText="0"/>
    </xf>
    <xf borderId="41" fillId="28" fontId="57" numFmtId="0" xfId="0" applyAlignment="1" applyBorder="1" applyFill="1" applyFont="1">
      <alignment horizontal="center" shrinkToFit="0" vertical="center" wrapText="0"/>
    </xf>
    <xf borderId="0" fillId="0" fontId="68" numFmtId="0" xfId="0" applyAlignment="1" applyFont="1">
      <alignment readingOrder="0"/>
    </xf>
    <xf borderId="0" fillId="0" fontId="69" numFmtId="0" xfId="0" applyFont="1"/>
    <xf borderId="14" fillId="31" fontId="14" numFmtId="0" xfId="0" applyAlignment="1" applyBorder="1" applyFill="1" applyFont="1">
      <alignment readingOrder="0"/>
    </xf>
    <xf borderId="14" fillId="31" fontId="14" numFmtId="0" xfId="0" applyBorder="1" applyFill="1" applyFont="1"/>
    <xf borderId="0" fillId="0" fontId="28" numFmtId="0" xfId="0" applyFont="1"/>
    <xf borderId="0" fillId="0" fontId="70" numFmtId="0" xfId="0" applyFont="1"/>
    <xf borderId="0" fillId="31" fontId="14" numFmtId="0" xfId="0" applyFill="1" applyFont="1"/>
    <xf borderId="14" fillId="32" fontId="14" numFmtId="0" xfId="0" applyAlignment="1" applyBorder="1" applyFill="1" applyFont="1">
      <alignment horizontal="left" readingOrder="0"/>
    </xf>
    <xf borderId="14" fillId="32" fontId="14" numFmtId="0" xfId="0" applyAlignment="1" applyBorder="1" applyFill="1" applyFont="1">
      <alignment horizontal="center"/>
    </xf>
    <xf borderId="14" fillId="33" fontId="14" numFmtId="0" xfId="0" applyAlignment="1" applyBorder="1" applyFill="1" applyFont="1">
      <alignment horizontal="left" readingOrder="0"/>
    </xf>
    <xf borderId="14" fillId="33" fontId="14" numFmtId="0" xfId="0" applyAlignment="1" applyBorder="1" applyFill="1" applyFont="1">
      <alignment horizontal="center"/>
    </xf>
    <xf borderId="14" fillId="34" fontId="28" numFmtId="0" xfId="0" applyAlignment="1" applyBorder="1" applyFill="1" applyFont="1">
      <alignment horizontal="center"/>
    </xf>
    <xf borderId="14" fillId="35" fontId="14" numFmtId="0" xfId="0" applyAlignment="1" applyBorder="1" applyFill="1" applyFont="1">
      <alignment horizontal="left"/>
    </xf>
    <xf borderId="14" fillId="33" fontId="14" numFmtId="0" xfId="0" applyBorder="1" applyFill="1" applyFont="1"/>
    <xf borderId="14" fillId="35" fontId="14" numFmtId="0" xfId="0" applyAlignment="1" applyBorder="1" applyFill="1" applyFont="1">
      <alignment horizontal="center"/>
    </xf>
    <xf borderId="14" fillId="35" fontId="14" numFmtId="0" xfId="0" applyBorder="1" applyFill="1" applyFont="1"/>
    <xf borderId="48" fillId="36" fontId="71" numFmtId="0" xfId="0" applyAlignment="1" applyBorder="1" applyFill="1" applyFont="1">
      <alignment readingOrder="0"/>
    </xf>
    <xf borderId="7" fillId="36" fontId="71" numFmtId="0" xfId="0" applyBorder="1" applyFill="1" applyFont="1"/>
    <xf borderId="9" fillId="36" fontId="71" numFmtId="0" xfId="0" applyBorder="1" applyFill="1" applyFont="1"/>
    <xf borderId="5" fillId="37" fontId="39" numFmtId="0" xfId="0" applyAlignment="1" applyBorder="1" applyFill="1" applyFont="1">
      <alignment horizontal="center" textRotation="0"/>
    </xf>
    <xf borderId="5" fillId="12" fontId="39" numFmtId="0" xfId="0" applyAlignment="1" applyBorder="1" applyFill="1" applyFont="1">
      <alignment horizontal="center"/>
    </xf>
    <xf borderId="5" fillId="37" fontId="39" numFmtId="0" xfId="0" applyAlignment="1" applyBorder="1" applyFill="1" applyFont="1">
      <alignment horizontal="center" textRotation="180"/>
    </xf>
    <xf borderId="5" fillId="37" fontId="39" numFmtId="0" xfId="0" applyAlignment="1" applyBorder="1" applyFill="1" applyFont="1">
      <alignment horizontal="center"/>
    </xf>
    <xf borderId="5" fillId="13" fontId="39" numFmtId="0" xfId="0" applyAlignment="1" applyBorder="1" applyFill="1" applyFont="1">
      <alignment horizontal="center"/>
    </xf>
    <xf borderId="5" fillId="0" fontId="39" numFmtId="0" xfId="0" applyAlignment="1" applyBorder="1" applyFont="1">
      <alignment horizontal="center" textRotation="180"/>
    </xf>
    <xf borderId="5" fillId="13" fontId="39" numFmtId="0" xfId="0" applyAlignment="1" applyBorder="1" applyFill="1" applyFont="1">
      <alignment horizontal="center" textRotation="180"/>
    </xf>
    <xf borderId="5" fillId="13" fontId="39" numFmtId="0" xfId="0" applyAlignment="1" applyBorder="1" applyFill="1" applyFont="1">
      <alignment horizontal="center" readingOrder="0"/>
    </xf>
    <xf borderId="14" fillId="36" fontId="71" numFmtId="0" xfId="0" applyBorder="1" applyFill="1" applyFont="1"/>
    <xf borderId="6" fillId="0" fontId="39" numFmtId="0" xfId="0" applyAlignment="1" applyBorder="1" applyFont="1">
      <alignment horizontal="center" textRotation="180"/>
    </xf>
    <xf borderId="5" fillId="0" fontId="39" numFmtId="0" xfId="0" applyAlignment="1" applyBorder="1" applyFont="1">
      <alignment vertical="bottom"/>
    </xf>
    <xf borderId="5" fillId="38" fontId="57" numFmtId="167" xfId="0" applyAlignment="1" applyBorder="1" applyFill="1" applyFont="1" applyNumberFormat="1">
      <alignment horizontal="center" vertical="bottom"/>
    </xf>
    <xf borderId="5" fillId="38" fontId="20" numFmtId="167" xfId="0" applyAlignment="1" applyBorder="1" applyFill="1" applyFont="1" applyNumberFormat="1">
      <alignment horizontal="center" vertical="bottom"/>
    </xf>
    <xf borderId="13" fillId="0" fontId="37" numFmtId="0" xfId="0" applyAlignment="1" applyBorder="1" applyFont="1">
      <alignment horizontal="right"/>
    </xf>
    <xf borderId="0" fillId="0" fontId="37" numFmtId="168" xfId="0" applyAlignment="1" applyFont="1" applyNumberFormat="1">
      <alignment horizontal="center"/>
    </xf>
    <xf borderId="4" fillId="0" fontId="37" numFmtId="168" xfId="0" applyAlignment="1" applyBorder="1" applyFont="1" applyNumberFormat="1">
      <alignment horizontal="center"/>
    </xf>
    <xf borderId="0" fillId="0" fontId="37" numFmtId="0" xfId="0" applyAlignment="1" applyFont="1">
      <alignment horizontal="center"/>
    </xf>
    <xf borderId="0" fillId="0" fontId="72" numFmtId="169" xfId="0" applyAlignment="1" applyFont="1" applyNumberFormat="1">
      <alignment horizontal="center"/>
    </xf>
    <xf borderId="0" fillId="0" fontId="73" numFmtId="0" xfId="0" applyAlignment="1" applyFont="1">
      <alignment horizontal="center"/>
    </xf>
    <xf borderId="5" fillId="0" fontId="57" numFmtId="170" xfId="0" applyAlignment="1" applyBorder="1" applyFont="1" applyNumberFormat="1">
      <alignment horizontal="center" vertical="bottom"/>
    </xf>
    <xf borderId="5" fillId="0" fontId="57" numFmtId="170" xfId="0" applyAlignment="1" applyBorder="1" applyFont="1" applyNumberFormat="1">
      <alignment horizontal="center"/>
    </xf>
    <xf borderId="49" fillId="0" fontId="57" numFmtId="170" xfId="0" applyAlignment="1" applyBorder="1" applyFont="1" applyNumberFormat="1">
      <alignment horizontal="center"/>
    </xf>
    <xf borderId="10" fillId="0" fontId="59" numFmtId="170" xfId="0" applyAlignment="1" applyBorder="1" applyFont="1" applyNumberFormat="1">
      <alignment horizontal="center"/>
    </xf>
    <xf borderId="5" fillId="39" fontId="39" numFmtId="0" xfId="0" applyAlignment="1" applyBorder="1" applyFill="1" applyFont="1">
      <alignment vertical="bottom"/>
    </xf>
    <xf borderId="5" fillId="13" fontId="20" numFmtId="167" xfId="0" applyAlignment="1" applyBorder="1" applyFill="1" applyFont="1" applyNumberFormat="1">
      <alignment horizontal="center" vertical="bottom"/>
    </xf>
    <xf borderId="0" fillId="0" fontId="37" numFmtId="165" xfId="0" applyAlignment="1" applyFont="1" applyNumberFormat="1">
      <alignment horizontal="center" readingOrder="0"/>
    </xf>
    <xf borderId="3" fillId="0" fontId="59" numFmtId="170" xfId="0" applyAlignment="1" applyBorder="1" applyFont="1" applyNumberFormat="1">
      <alignment horizontal="center"/>
    </xf>
    <xf borderId="0" fillId="0" fontId="37" numFmtId="165" xfId="0" applyAlignment="1" applyFont="1" applyNumberFormat="1">
      <alignment horizontal="center"/>
    </xf>
    <xf borderId="0" fillId="0" fontId="1" numFmtId="171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6" fillId="0" fontId="37" numFmtId="0" xfId="0" applyAlignment="1" applyBorder="1" applyFont="1">
      <alignment horizontal="right"/>
    </xf>
    <xf borderId="0" fillId="0" fontId="1" numFmtId="10" xfId="0" applyAlignment="1" applyFont="1" applyNumberFormat="1">
      <alignment readingOrder="0"/>
    </xf>
    <xf borderId="11" fillId="0" fontId="37" numFmtId="168" xfId="0" applyAlignment="1" applyBorder="1" applyFont="1" applyNumberFormat="1">
      <alignment horizontal="center"/>
    </xf>
    <xf borderId="12" fillId="0" fontId="37" numFmtId="168" xfId="0" applyAlignment="1" applyBorder="1" applyFont="1" applyNumberFormat="1">
      <alignment horizontal="center"/>
    </xf>
    <xf borderId="17" fillId="0" fontId="37" numFmtId="0" xfId="0" applyAlignment="1" applyBorder="1" applyFont="1">
      <alignment horizontal="right"/>
    </xf>
    <xf borderId="5" fillId="13" fontId="57" numFmtId="167" xfId="0" applyAlignment="1" applyBorder="1" applyFill="1" applyFont="1" applyNumberFormat="1">
      <alignment horizontal="center" vertical="bottom"/>
    </xf>
    <xf borderId="0" fillId="0" fontId="7" numFmtId="0" xfId="0" applyAlignment="1" applyFont="1">
      <alignment readingOrder="0" vertical="bottom"/>
    </xf>
    <xf borderId="14" fillId="33" fontId="14" numFmtId="0" xfId="0" applyAlignment="1" applyBorder="1" applyFill="1" applyFont="1">
      <alignment vertical="bottom"/>
    </xf>
    <xf borderId="14" fillId="33" fontId="7" numFmtId="0" xfId="0" applyAlignment="1" applyBorder="1" applyFill="1" applyFont="1">
      <alignment vertical="bottom"/>
    </xf>
    <xf borderId="14" fillId="35" fontId="14" numFmtId="0" xfId="0" applyAlignment="1" applyBorder="1" applyFill="1" applyFont="1">
      <alignment vertical="bottom"/>
    </xf>
    <xf borderId="5" fillId="37" fontId="39" numFmtId="0" xfId="0" applyAlignment="1" applyBorder="1" applyFill="1" applyFont="1">
      <alignment horizontal="center" textRotation="180" vertical="bottom"/>
    </xf>
    <xf borderId="5" fillId="13" fontId="39" numFmtId="0" xfId="0" applyAlignment="1" applyBorder="1" applyFill="1" applyFont="1">
      <alignment horizontal="center" textRotation="180" vertical="bottom"/>
    </xf>
    <xf borderId="14" fillId="38" fontId="21" numFmtId="0" xfId="0" applyAlignment="1" applyBorder="1" applyFill="1" applyFont="1">
      <alignment horizontal="center"/>
    </xf>
    <xf borderId="14" fillId="38" fontId="37" numFmtId="165" xfId="0" applyAlignment="1" applyBorder="1" applyFill="1" applyFont="1" applyNumberFormat="1">
      <alignment horizontal="center" readingOrder="0"/>
    </xf>
    <xf borderId="14" fillId="38" fontId="37" numFmtId="165" xfId="0" applyAlignment="1" applyBorder="1" applyFill="1" applyFont="1" applyNumberFormat="1">
      <alignment horizontal="center"/>
    </xf>
    <xf borderId="14" fillId="38" fontId="37" numFmtId="168" xfId="0" applyAlignment="1" applyBorder="1" applyFill="1" applyFont="1" applyNumberFormat="1">
      <alignment horizontal="center"/>
    </xf>
    <xf borderId="22" fillId="0" fontId="37" numFmtId="168" xfId="0" applyAlignment="1" applyBorder="1" applyFont="1" applyNumberFormat="1">
      <alignment horizontal="center"/>
    </xf>
    <xf borderId="23" fillId="0" fontId="37" numFmtId="168" xfId="0" applyAlignment="1" applyBorder="1" applyFont="1" applyNumberFormat="1">
      <alignment horizontal="center"/>
    </xf>
    <xf borderId="5" fillId="8" fontId="28" numFmtId="0" xfId="0" applyAlignment="1" applyBorder="1" applyFill="1" applyFont="1">
      <alignment horizontal="center"/>
    </xf>
    <xf borderId="0" fillId="0" fontId="70" numFmtId="0" xfId="0" applyAlignment="1" applyFont="1">
      <alignment readingOrder="0"/>
    </xf>
    <xf borderId="5" fillId="8" fontId="28" numFmtId="0" xfId="0" applyAlignment="1" applyBorder="1" applyFill="1" applyFont="1">
      <alignment horizontal="center" readingOrder="0"/>
    </xf>
    <xf borderId="14" fillId="32" fontId="14" numFmtId="0" xfId="0" applyBorder="1" applyFill="1" applyFont="1"/>
    <xf borderId="14" fillId="40" fontId="14" numFmtId="0" xfId="0" applyBorder="1" applyFill="1" applyFont="1"/>
    <xf borderId="14" fillId="35" fontId="14" numFmtId="0" xfId="0" applyAlignment="1" applyBorder="1" applyFill="1" applyFont="1">
      <alignment readingOrder="0"/>
    </xf>
    <xf borderId="0" fillId="0" fontId="1" numFmtId="0" xfId="0" applyAlignment="1" applyFont="1">
      <alignment textRotation="180"/>
    </xf>
    <xf borderId="5" fillId="10" fontId="39" numFmtId="0" xfId="0" applyAlignment="1" applyBorder="1" applyFill="1" applyFont="1">
      <alignment horizontal="center" textRotation="0"/>
    </xf>
    <xf borderId="5" fillId="12" fontId="39" numFmtId="0" xfId="0" applyAlignment="1" applyBorder="1" applyFill="1" applyFont="1">
      <alignment horizontal="center" textRotation="180"/>
    </xf>
    <xf borderId="5" fillId="41" fontId="39" numFmtId="0" xfId="0" applyAlignment="1" applyBorder="1" applyFill="1" applyFont="1">
      <alignment horizontal="center" textRotation="180"/>
    </xf>
    <xf borderId="0" fillId="0" fontId="40" numFmtId="0" xfId="0" applyAlignment="1" applyFont="1">
      <alignment textRotation="180"/>
    </xf>
    <xf borderId="0" fillId="0" fontId="20" numFmtId="0" xfId="0" applyAlignment="1" applyFont="1">
      <alignment horizontal="center"/>
    </xf>
    <xf borderId="0" fillId="0" fontId="20" numFmtId="4" xfId="0" applyAlignment="1" applyFont="1" applyNumberFormat="1">
      <alignment horizontal="center"/>
    </xf>
    <xf borderId="0" fillId="0" fontId="20" numFmtId="170" xfId="0" applyAlignment="1" applyFont="1" applyNumberFormat="1">
      <alignment horizontal="center"/>
    </xf>
    <xf borderId="0" fillId="0" fontId="20" numFmtId="167" xfId="0" applyAlignment="1" applyFont="1" applyNumberFormat="1">
      <alignment horizontal="center"/>
    </xf>
    <xf borderId="11" fillId="0" fontId="1" numFmtId="0" xfId="0" applyBorder="1" applyFont="1"/>
    <xf borderId="11" fillId="31" fontId="14" numFmtId="0" xfId="0" applyBorder="1" applyFill="1" applyFont="1"/>
    <xf borderId="14" fillId="32" fontId="14" numFmtId="0" xfId="0" applyAlignment="1" applyBorder="1" applyFill="1" applyFont="1">
      <alignment horizontal="left"/>
    </xf>
    <xf borderId="14" fillId="40" fontId="14" numFmtId="0" xfId="0" applyAlignment="1" applyBorder="1" applyFill="1" applyFont="1">
      <alignment horizontal="left" readingOrder="0"/>
    </xf>
    <xf borderId="14" fillId="40" fontId="14" numFmtId="0" xfId="0" applyAlignment="1" applyBorder="1" applyFill="1" applyFont="1">
      <alignment horizontal="center"/>
    </xf>
    <xf borderId="5" fillId="41" fontId="39" numFmtId="0" xfId="0" applyAlignment="1" applyBorder="1" applyFill="1" applyFont="1">
      <alignment horizontal="center"/>
    </xf>
    <xf borderId="0" fillId="0" fontId="37" numFmtId="172" xfId="0" applyAlignment="1" applyFont="1" applyNumberFormat="1">
      <alignment horizontal="center" readingOrder="0"/>
    </xf>
    <xf borderId="0" fillId="0" fontId="37" numFmtId="172" xfId="0" applyAlignment="1" applyFont="1" applyNumberFormat="1">
      <alignment horizontal="center"/>
    </xf>
    <xf borderId="0" fillId="0" fontId="37" numFmtId="9" xfId="0" applyAlignment="1" applyFont="1" applyNumberFormat="1">
      <alignment horizontal="center"/>
    </xf>
    <xf borderId="14" fillId="38" fontId="37" numFmtId="172" xfId="0" applyAlignment="1" applyBorder="1" applyFill="1" applyFont="1" applyNumberFormat="1">
      <alignment horizontal="center" readingOrder="0"/>
    </xf>
    <xf borderId="14" fillId="38" fontId="37" numFmtId="172" xfId="0" applyAlignment="1" applyBorder="1" applyFill="1" applyFont="1" applyNumberFormat="1">
      <alignment horizontal="center"/>
    </xf>
    <xf borderId="14" fillId="38" fontId="37" numFmtId="9" xfId="0" applyAlignment="1" applyBorder="1" applyFill="1" applyFont="1" applyNumberFormat="1">
      <alignment horizontal="center"/>
    </xf>
    <xf borderId="14" fillId="36" fontId="71" numFmtId="9" xfId="0" applyBorder="1" applyFill="1" applyFont="1" applyNumberFormat="1"/>
    <xf borderId="14" fillId="33" fontId="74" numFmtId="0" xfId="0" applyBorder="1" applyFill="1" applyFont="1"/>
    <xf borderId="14" fillId="37" fontId="39" numFmtId="0" xfId="0" applyBorder="1" applyFill="1" applyFont="1"/>
    <xf borderId="14" fillId="8" fontId="42" numFmtId="0" xfId="0" applyAlignment="1" applyBorder="1" applyFill="1" applyFont="1">
      <alignment horizontal="center"/>
    </xf>
    <xf borderId="0" fillId="0" fontId="75" numFmtId="0" xfId="0" applyFont="1"/>
    <xf borderId="14" fillId="8" fontId="42" numFmtId="0" xfId="0" applyAlignment="1" applyBorder="1" applyFill="1" applyFont="1">
      <alignment horizontal="center" readingOrder="0"/>
    </xf>
    <xf borderId="14" fillId="9" fontId="42" numFmtId="0" xfId="0" applyAlignment="1" applyBorder="1" applyFill="1" applyFont="1">
      <alignment horizontal="center"/>
    </xf>
    <xf borderId="14" fillId="13" fontId="42" numFmtId="0" xfId="0" applyBorder="1" applyFill="1" applyFont="1"/>
    <xf borderId="14" fillId="14" fontId="74" numFmtId="0" xfId="0" applyBorder="1" applyFill="1" applyFont="1"/>
    <xf borderId="14" fillId="13" fontId="37" numFmtId="0" xfId="0" applyBorder="1" applyFill="1" applyFont="1"/>
    <xf borderId="14" fillId="13" fontId="76" numFmtId="0" xfId="0" applyBorder="1" applyFill="1" applyFont="1"/>
    <xf borderId="14" fillId="13" fontId="37" numFmtId="0" xfId="0" applyAlignment="1" applyBorder="1" applyFill="1" applyFont="1">
      <alignment horizontal="right"/>
    </xf>
    <xf borderId="5" fillId="10" fontId="4" numFmtId="0" xfId="0" applyBorder="1" applyFill="1" applyFont="1"/>
    <xf borderId="5" fillId="12" fontId="28" numFmtId="4" xfId="0" applyAlignment="1" applyBorder="1" applyFill="1" applyFont="1" applyNumberFormat="1">
      <alignment horizontal="center"/>
    </xf>
    <xf borderId="5" fillId="37" fontId="28" numFmtId="4" xfId="0" applyAlignment="1" applyBorder="1" applyFill="1" applyFont="1" applyNumberFormat="1">
      <alignment horizontal="center"/>
    </xf>
    <xf borderId="5" fillId="13" fontId="28" numFmtId="170" xfId="0" applyAlignment="1" applyBorder="1" applyFill="1" applyFont="1" applyNumberFormat="1">
      <alignment horizontal="center"/>
    </xf>
    <xf borderId="5" fillId="41" fontId="28" numFmtId="4" xfId="0" applyAlignment="1" applyBorder="1" applyFill="1" applyFont="1" applyNumberFormat="1">
      <alignment horizontal="center"/>
    </xf>
    <xf borderId="5" fillId="41" fontId="28" numFmtId="167" xfId="0" applyAlignment="1" applyBorder="1" applyFill="1" applyFont="1" applyNumberFormat="1">
      <alignment horizontal="center"/>
    </xf>
    <xf borderId="0" fillId="0" fontId="46" numFmtId="0" xfId="0" applyAlignment="1" applyFont="1">
      <alignment readingOrder="0"/>
    </xf>
    <xf borderId="0" fillId="16" fontId="21" numFmtId="0" xfId="0" applyAlignment="1" applyFill="1" applyFont="1">
      <alignment horizontal="center" textRotation="180" vertical="bottom"/>
    </xf>
    <xf borderId="36" fillId="16" fontId="21" numFmtId="0" xfId="0" applyAlignment="1" applyBorder="1" applyFill="1" applyFont="1">
      <alignment horizontal="center" textRotation="180" vertical="bottom"/>
    </xf>
    <xf borderId="5" fillId="0" fontId="39" numFmtId="0" xfId="0" applyBorder="1" applyFont="1"/>
    <xf borderId="5" fillId="38" fontId="57" numFmtId="167" xfId="0" applyAlignment="1" applyBorder="1" applyFill="1" applyFont="1" applyNumberFormat="1">
      <alignment horizontal="center"/>
    </xf>
    <xf borderId="0" fillId="0" fontId="77" numFmtId="0" xfId="0" applyAlignment="1" applyFont="1">
      <alignment readingOrder="0" shrinkToFit="0" vertical="bottom" wrapText="1"/>
    </xf>
    <xf borderId="0" fillId="0" fontId="48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4" xfId="0" applyAlignment="1" applyFont="1" applyNumberFormat="1">
      <alignment horizontal="right" readingOrder="0" shrinkToFit="0" vertical="bottom" wrapText="0"/>
    </xf>
    <xf borderId="5" fillId="8" fontId="39" numFmtId="0" xfId="0" applyBorder="1" applyFill="1" applyFont="1"/>
    <xf borderId="5" fillId="13" fontId="57" numFmtId="167" xfId="0" applyAlignment="1" applyBorder="1" applyFill="1" applyFont="1" applyNumberFormat="1">
      <alignment horizontal="center"/>
    </xf>
    <xf borderId="5" fillId="42" fontId="39" numFmtId="0" xfId="0" applyBorder="1" applyFill="1" applyFont="1"/>
    <xf borderId="0" fillId="0" fontId="1" numFmtId="169" xfId="0" applyAlignment="1" applyFont="1" applyNumberFormat="1">
      <alignment readingOrder="0"/>
    </xf>
    <xf borderId="0" fillId="0" fontId="1" numFmtId="9" xfId="0" applyFont="1" applyNumberFormat="1"/>
    <xf borderId="0" fillId="0" fontId="1" numFmtId="169" xfId="0" applyFont="1" applyNumberFormat="1"/>
    <xf borderId="0" fillId="0" fontId="35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right" readingOrder="0" vertical="bottom"/>
    </xf>
    <xf borderId="0" fillId="0" fontId="35" numFmtId="0" xfId="0" applyAlignment="1" applyFont="1">
      <alignment vertical="bottom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17">
    <dxf>
      <font/>
      <fill>
        <patternFill patternType="none"/>
      </fill>
      <border/>
    </dxf>
    <dxf>
      <font>
        <b/>
      </font>
      <fill>
        <patternFill patternType="none"/>
      </fill>
      <border/>
    </dxf>
    <dxf>
      <font>
        <color rgb="FFCCCCCC"/>
      </font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>
        <color rgb="FFD9D9D9"/>
      </font>
      <fill>
        <patternFill patternType="none"/>
      </fill>
      <border/>
    </dxf>
    <dxf>
      <font>
        <i/>
        <color rgb="FF999999"/>
      </font>
      <fill>
        <patternFill patternType="none"/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i/>
        <color rgb="FFB7B7B7"/>
      </font>
      <fill>
        <patternFill patternType="none"/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666666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kite festival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Ki_v2!$Y$26:$Y$27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Ki_v2!$A$27:$A$51</c:f>
            </c:strRef>
          </c:cat>
          <c:val>
            <c:numRef>
              <c:f>Ki_v2!$Y$28:$Y$51</c:f>
              <c:numCache/>
            </c:numRef>
          </c:val>
          <c:smooth val="0"/>
        </c:ser>
        <c:axId val="1102579468"/>
        <c:axId val="1701485675"/>
      </c:lineChart>
      <c:catAx>
        <c:axId val="11025794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1485675"/>
      </c:catAx>
      <c:valAx>
        <c:axId val="17014856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25794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Flash Race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Race_v2!$X$81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Race_v2!$A$82:$A$88</c:f>
            </c:strRef>
          </c:cat>
          <c:val>
            <c:numRef>
              <c:f>Race_v2!$X$82:$X$88</c:f>
              <c:numCache/>
            </c:numRef>
          </c:val>
          <c:smooth val="0"/>
        </c:ser>
        <c:axId val="1547788579"/>
        <c:axId val="1558304731"/>
      </c:lineChart>
      <c:catAx>
        <c:axId val="15477885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8304731"/>
      </c:catAx>
      <c:valAx>
        <c:axId val="15583047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77885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Target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TaD_v2!$Y$35:$Y$36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TaD_v2!$A$36:$A$45</c:f>
            </c:strRef>
          </c:cat>
          <c:val>
            <c:numRef>
              <c:f>TaD_v2!$Y$37:$Y$45</c:f>
              <c:numCache/>
            </c:numRef>
          </c:val>
          <c:smooth val="0"/>
        </c:ser>
        <c:axId val="1274479441"/>
        <c:axId val="761066343"/>
      </c:lineChart>
      <c:catAx>
        <c:axId val="12744794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1066343"/>
      </c:catAx>
      <c:valAx>
        <c:axId val="7610663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LB#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44794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Old vs New Levels Req</a:t>
            </a:r>
          </a:p>
        </c:rich>
      </c:tx>
      <c:overlay val="0"/>
    </c:title>
    <c:plotArea>
      <c:layout/>
      <c:lineChart>
        <c:ser>
          <c:idx val="0"/>
          <c:order val="0"/>
          <c:tx>
            <c:v>Old Levels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RM_2nd_v2!$A$16:$A$45</c:f>
            </c:strRef>
          </c:cat>
          <c:val>
            <c:numRef>
              <c:f>RM_2nd_v2!$AA$17:$AA$45</c:f>
              <c:numCache/>
            </c:numRef>
          </c:val>
          <c:smooth val="0"/>
        </c:ser>
        <c:ser>
          <c:idx val="1"/>
          <c:order val="1"/>
          <c:tx>
            <c:v>New Levels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RM_2nd_v2!$A$16:$A$45</c:f>
            </c:strRef>
          </c:cat>
          <c:val>
            <c:numRef>
              <c:f>RM_2nd_v2!$AF$17:$AF$45</c:f>
              <c:numCache/>
            </c:numRef>
          </c:val>
          <c:smooth val="0"/>
        </c:ser>
        <c:axId val="2141668099"/>
        <c:axId val="237761894"/>
      </c:lineChart>
      <c:catAx>
        <c:axId val="21416680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7761894"/>
      </c:catAx>
      <c:valAx>
        <c:axId val="2377618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Milestone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16680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Zom</a:t>
            </a:r>
          </a:p>
        </c:rich>
      </c:tx>
      <c:overlay val="0"/>
    </c:title>
    <c:plotArea>
      <c:layout/>
      <c:lineChart>
        <c:ser>
          <c:idx val="0"/>
          <c:order val="0"/>
          <c:tx>
            <c:v>Old Levels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RM_2nd_v2!$A$16:$A$27</c:f>
            </c:strRef>
          </c:cat>
          <c:val>
            <c:numRef>
              <c:f>RM_2nd_v2!$AA$17:$AA$27</c:f>
              <c:numCache/>
            </c:numRef>
          </c:val>
          <c:smooth val="0"/>
        </c:ser>
        <c:ser>
          <c:idx val="1"/>
          <c:order val="1"/>
          <c:tx>
            <c:v>New Levels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RM_2nd_v2!$A$16:$A$27</c:f>
            </c:strRef>
          </c:cat>
          <c:val>
            <c:numRef>
              <c:f>RM_2nd_v2!$AF$17:$AF$27</c:f>
              <c:numCache/>
            </c:numRef>
          </c:val>
          <c:smooth val="0"/>
        </c:ser>
        <c:axId val="1271031172"/>
        <c:axId val="741738238"/>
      </c:lineChart>
      <c:catAx>
        <c:axId val="12710311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1738238"/>
      </c:catAx>
      <c:valAx>
        <c:axId val="7417382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10311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HC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Segment'!$G$25:$G$38</c:f>
              <c:numCache/>
            </c:numRef>
          </c:val>
        </c:ser>
        <c:ser>
          <c:idx val="1"/>
          <c:order val="1"/>
          <c:tx>
            <c:strRef>
              <c:f>'Sim per Segment'!$M$24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Segment'!$M$25:$M$38</c:f>
              <c:numCache/>
            </c:numRef>
          </c:val>
        </c:ser>
        <c:axId val="1036891953"/>
        <c:axId val="507553467"/>
      </c:barChart>
      <c:catAx>
        <c:axId val="10368919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07553467"/>
      </c:catAx>
      <c:valAx>
        <c:axId val="5075534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36891953"/>
      </c:valAx>
      <c:lineChart>
        <c:varyColors val="0"/>
        <c:ser>
          <c:idx val="2"/>
          <c:order val="2"/>
          <c:tx>
            <c:strRef>
              <c:f>'Sim per Segment'!$S$24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Segment'!$B$25:$B$38</c:f>
            </c:strRef>
          </c:cat>
          <c:val>
            <c:numRef>
              <c:f>'Sim per Segment'!$S$25:$S$38</c:f>
              <c:numCache/>
            </c:numRef>
          </c:val>
          <c:smooth val="0"/>
        </c:ser>
        <c:axId val="2055118035"/>
        <c:axId val="280386316"/>
      </c:lineChart>
      <c:catAx>
        <c:axId val="20551180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80386316"/>
      </c:catAx>
      <c:valAx>
        <c:axId val="28038631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5511803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Slingshot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Segment'!$G$43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Segment'!$G$44:$G$57</c:f>
              <c:numCache/>
            </c:numRef>
          </c:val>
        </c:ser>
        <c:ser>
          <c:idx val="1"/>
          <c:order val="1"/>
          <c:tx>
            <c:strRef>
              <c:f>'Sim per Segment'!$M$43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Segment'!$M$44:$M$57</c:f>
              <c:numCache/>
            </c:numRef>
          </c:val>
        </c:ser>
        <c:axId val="279299085"/>
        <c:axId val="1777872071"/>
      </c:barChart>
      <c:catAx>
        <c:axId val="2792990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77872071"/>
      </c:catAx>
      <c:valAx>
        <c:axId val="17778720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79299085"/>
      </c:valAx>
      <c:lineChart>
        <c:varyColors val="0"/>
        <c:ser>
          <c:idx val="2"/>
          <c:order val="2"/>
          <c:tx>
            <c:strRef>
              <c:f>'Sim per Segment'!$S$43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Segment'!$B$44:$B$57</c:f>
            </c:strRef>
          </c:cat>
          <c:val>
            <c:numRef>
              <c:f>'Sim per Segment'!$S$44:$S$57</c:f>
              <c:numCache/>
            </c:numRef>
          </c:val>
          <c:smooth val="0"/>
        </c:ser>
        <c:axId val="1923478955"/>
        <c:axId val="2094699068"/>
      </c:lineChart>
      <c:catAx>
        <c:axId val="19234789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94699068"/>
      </c:catAx>
      <c:valAx>
        <c:axId val="209469906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2347895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Shuffle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Segment'!$G$62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Segment'!$G$63:$G$76</c:f>
              <c:numCache/>
            </c:numRef>
          </c:val>
        </c:ser>
        <c:ser>
          <c:idx val="1"/>
          <c:order val="1"/>
          <c:tx>
            <c:strRef>
              <c:f>'Sim per Segment'!$M$62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Segment'!$M$63:$M$76</c:f>
              <c:numCache/>
            </c:numRef>
          </c:val>
        </c:ser>
        <c:axId val="678022915"/>
        <c:axId val="936617724"/>
      </c:barChart>
      <c:catAx>
        <c:axId val="678022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36617724"/>
      </c:catAx>
      <c:valAx>
        <c:axId val="9366177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78022915"/>
      </c:valAx>
      <c:lineChart>
        <c:varyColors val="0"/>
        <c:ser>
          <c:idx val="2"/>
          <c:order val="2"/>
          <c:tx>
            <c:strRef>
              <c:f>'Sim per Segment'!$S$62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Segment'!$B$63:$B$76</c:f>
            </c:strRef>
          </c:cat>
          <c:val>
            <c:numRef>
              <c:f>'Sim per Segment'!$S$63:$S$76</c:f>
              <c:numCache/>
            </c:numRef>
          </c:val>
          <c:smooth val="0"/>
        </c:ser>
        <c:axId val="971261579"/>
        <c:axId val="117866585"/>
      </c:lineChart>
      <c:catAx>
        <c:axId val="9712615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7866585"/>
      </c:catAx>
      <c:valAx>
        <c:axId val="11786658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7126157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Comet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Segment'!$G$81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Segment'!$G$82:$G$95</c:f>
              <c:numCache/>
            </c:numRef>
          </c:val>
        </c:ser>
        <c:ser>
          <c:idx val="1"/>
          <c:order val="1"/>
          <c:tx>
            <c:strRef>
              <c:f>'Sim per Segment'!$M$81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Segment'!$M$82:$M$95</c:f>
              <c:numCache/>
            </c:numRef>
          </c:val>
        </c:ser>
        <c:axId val="1380535555"/>
        <c:axId val="1248588046"/>
      </c:barChart>
      <c:catAx>
        <c:axId val="13805355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48588046"/>
      </c:catAx>
      <c:valAx>
        <c:axId val="12485880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80535555"/>
      </c:valAx>
      <c:lineChart>
        <c:varyColors val="0"/>
        <c:ser>
          <c:idx val="2"/>
          <c:order val="2"/>
          <c:tx>
            <c:strRef>
              <c:f>'Sim per Segment'!$S$81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Segment'!$B$82:$B$95</c:f>
            </c:strRef>
          </c:cat>
          <c:val>
            <c:numRef>
              <c:f>'Sim per Segment'!$S$82:$S$95</c:f>
              <c:numCache/>
            </c:numRef>
          </c:val>
          <c:smooth val="0"/>
        </c:ser>
        <c:axId val="1636283036"/>
        <c:axId val="806993559"/>
      </c:lineChart>
      <c:catAx>
        <c:axId val="16362830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06993559"/>
      </c:catAx>
      <c:valAx>
        <c:axId val="80699355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3628303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Segment'!$G$100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Segment'!$G$101:$G$114</c:f>
              <c:numCache/>
            </c:numRef>
          </c:val>
        </c:ser>
        <c:ser>
          <c:idx val="1"/>
          <c:order val="1"/>
          <c:tx>
            <c:strRef>
              <c:f>'Sim per Segment'!$M$100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Segment'!$M$101:$M$114</c:f>
              <c:numCache/>
            </c:numRef>
          </c:val>
        </c:ser>
        <c:axId val="2038908195"/>
        <c:axId val="207118469"/>
      </c:barChart>
      <c:catAx>
        <c:axId val="20389081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7118469"/>
      </c:catAx>
      <c:valAx>
        <c:axId val="2071184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38908195"/>
      </c:valAx>
      <c:lineChart>
        <c:varyColors val="0"/>
        <c:ser>
          <c:idx val="2"/>
          <c:order val="2"/>
          <c:tx>
            <c:strRef>
              <c:f>'Sim per Segment'!$S$100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Segment'!$B$101:$B$114</c:f>
            </c:strRef>
          </c:cat>
          <c:val>
            <c:numRef>
              <c:f>'Sim per Segment'!$S$101:$S$114</c:f>
              <c:numCache/>
            </c:numRef>
          </c:val>
          <c:smooth val="0"/>
        </c:ser>
        <c:axId val="461536432"/>
        <c:axId val="229954821"/>
      </c:lineChart>
      <c:catAx>
        <c:axId val="4615364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29954821"/>
      </c:catAx>
      <c:valAx>
        <c:axId val="22995482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6153643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Segment'!$G$119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Segment'!$G$120:$G$133</c:f>
              <c:numCache/>
            </c:numRef>
          </c:val>
        </c:ser>
        <c:ser>
          <c:idx val="1"/>
          <c:order val="1"/>
          <c:tx>
            <c:strRef>
              <c:f>'Sim per Segment'!$M$119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Segment'!$M$120:$M$133</c:f>
              <c:numCache/>
            </c:numRef>
          </c:val>
        </c:ser>
        <c:axId val="711153426"/>
        <c:axId val="1814016564"/>
      </c:barChart>
      <c:catAx>
        <c:axId val="7111534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14016564"/>
      </c:catAx>
      <c:valAx>
        <c:axId val="18140165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11153426"/>
      </c:valAx>
      <c:lineChart>
        <c:varyColors val="0"/>
        <c:ser>
          <c:idx val="2"/>
          <c:order val="2"/>
          <c:tx>
            <c:strRef>
              <c:f>'Sim per Segment'!$S$119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Segment'!$B$120:$B$133</c:f>
            </c:strRef>
          </c:cat>
          <c:val>
            <c:numRef>
              <c:f>'Sim per Segment'!$S$120:$S$133</c:f>
              <c:numCache/>
            </c:numRef>
          </c:val>
          <c:smooth val="0"/>
        </c:ser>
        <c:axId val="512927670"/>
        <c:axId val="562528224"/>
      </c:lineChart>
      <c:catAx>
        <c:axId val="51292767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62528224"/>
      </c:catAx>
      <c:valAx>
        <c:axId val="56252822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1292767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Segment'!$G$138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Segment'!$G$139:$G$152</c:f>
              <c:numCache/>
            </c:numRef>
          </c:val>
        </c:ser>
        <c:ser>
          <c:idx val="1"/>
          <c:order val="1"/>
          <c:tx>
            <c:strRef>
              <c:f>'Sim per Segment'!$M$138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Segment'!$M$139:$M$152</c:f>
              <c:numCache/>
            </c:numRef>
          </c:val>
        </c:ser>
        <c:axId val="423867525"/>
        <c:axId val="759769011"/>
      </c:barChart>
      <c:catAx>
        <c:axId val="4238675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59769011"/>
      </c:catAx>
      <c:valAx>
        <c:axId val="7597690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23867525"/>
      </c:valAx>
      <c:lineChart>
        <c:varyColors val="0"/>
        <c:ser>
          <c:idx val="2"/>
          <c:order val="2"/>
          <c:tx>
            <c:strRef>
              <c:f>'Sim per Segment'!$S$138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Segment'!$B$139:$B$152</c:f>
            </c:strRef>
          </c:cat>
          <c:val>
            <c:numRef>
              <c:f>'Sim per Segment'!$S$139:$S$152</c:f>
              <c:numCache/>
            </c:numRef>
          </c:val>
          <c:smooth val="0"/>
        </c:ser>
        <c:axId val="1780137765"/>
        <c:axId val="1583743498"/>
      </c:lineChart>
      <c:catAx>
        <c:axId val="178013776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83743498"/>
      </c:catAx>
      <c:valAx>
        <c:axId val="158374349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8013776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Segment'!$G$157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Segment'!$G$158:$G$171</c:f>
              <c:numCache/>
            </c:numRef>
          </c:val>
        </c:ser>
        <c:ser>
          <c:idx val="1"/>
          <c:order val="1"/>
          <c:tx>
            <c:strRef>
              <c:f>'Sim per Segment'!$M$157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Segment'!$M$158:$M$171</c:f>
              <c:numCache/>
            </c:numRef>
          </c:val>
        </c:ser>
        <c:axId val="515196606"/>
        <c:axId val="1080284398"/>
      </c:barChart>
      <c:catAx>
        <c:axId val="5151966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80284398"/>
      </c:catAx>
      <c:valAx>
        <c:axId val="10802843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15196606"/>
      </c:valAx>
      <c:lineChart>
        <c:varyColors val="0"/>
        <c:ser>
          <c:idx val="2"/>
          <c:order val="2"/>
          <c:tx>
            <c:strRef>
              <c:f>'Sim per Segment'!$S$157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Segment'!$B$158:$B$171</c:f>
            </c:strRef>
          </c:cat>
          <c:val>
            <c:numRef>
              <c:f>'Sim per Segment'!$S$158:$S$171</c:f>
              <c:numCache/>
            </c:numRef>
          </c:val>
          <c:smooth val="0"/>
        </c:ser>
        <c:axId val="1381991796"/>
        <c:axId val="656263125"/>
      </c:lineChart>
      <c:catAx>
        <c:axId val="13819917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56263125"/>
      </c:catAx>
      <c:valAx>
        <c:axId val="65626312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8199179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Segment'!$G$176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Segment'!$G$177:$G$190</c:f>
              <c:numCache/>
            </c:numRef>
          </c:val>
        </c:ser>
        <c:ser>
          <c:idx val="1"/>
          <c:order val="1"/>
          <c:tx>
            <c:strRef>
              <c:f>'Sim per Segment'!$M$176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Segment'!$M$177:$M$190</c:f>
              <c:numCache/>
            </c:numRef>
          </c:val>
        </c:ser>
        <c:axId val="1879421653"/>
        <c:axId val="660988517"/>
      </c:barChart>
      <c:catAx>
        <c:axId val="18794216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60988517"/>
      </c:catAx>
      <c:valAx>
        <c:axId val="6609885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79421653"/>
      </c:valAx>
      <c:lineChart>
        <c:varyColors val="0"/>
        <c:ser>
          <c:idx val="2"/>
          <c:order val="2"/>
          <c:tx>
            <c:strRef>
              <c:f>'Sim per Segment'!$S$176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Segment'!$B$177:$B$190</c:f>
            </c:strRef>
          </c:cat>
          <c:val>
            <c:numRef>
              <c:f>'Sim per Segment'!$S$177:$S$190</c:f>
              <c:numCache/>
            </c:numRef>
          </c:val>
          <c:smooth val="0"/>
        </c:ser>
        <c:axId val="1498930889"/>
        <c:axId val="331530448"/>
      </c:lineChart>
      <c:catAx>
        <c:axId val="149893088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31530448"/>
      </c:catAx>
      <c:valAx>
        <c:axId val="33153044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9893088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Segment'!$G$195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Segment'!$G$196:$G$209</c:f>
              <c:numCache/>
            </c:numRef>
          </c:val>
        </c:ser>
        <c:ser>
          <c:idx val="1"/>
          <c:order val="1"/>
          <c:tx>
            <c:strRef>
              <c:f>'Sim per Segment'!$M$195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Segment'!$M$196:$M$209</c:f>
              <c:numCache/>
            </c:numRef>
          </c:val>
        </c:ser>
        <c:axId val="1223471557"/>
        <c:axId val="232299843"/>
      </c:barChart>
      <c:catAx>
        <c:axId val="12234715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32299843"/>
      </c:catAx>
      <c:valAx>
        <c:axId val="2322998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23471557"/>
      </c:valAx>
      <c:lineChart>
        <c:varyColors val="0"/>
        <c:ser>
          <c:idx val="2"/>
          <c:order val="2"/>
          <c:tx>
            <c:strRef>
              <c:f>'Sim per Segment'!$S$195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Segment'!$B$196:$B$209</c:f>
            </c:strRef>
          </c:cat>
          <c:val>
            <c:numRef>
              <c:f>'Sim per Segment'!$S$196:$S$209</c:f>
              <c:numCache/>
            </c:numRef>
          </c:val>
          <c:smooth val="0"/>
        </c:ser>
        <c:axId val="1326978181"/>
        <c:axId val="426648618"/>
      </c:lineChart>
      <c:catAx>
        <c:axId val="132697818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26648618"/>
      </c:catAx>
      <c:valAx>
        <c:axId val="42664861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2697818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Unlimited Lives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Segment'!$G$214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Segment'!$G$215:$G$228</c:f>
              <c:numCache/>
            </c:numRef>
          </c:val>
        </c:ser>
        <c:ser>
          <c:idx val="1"/>
          <c:order val="1"/>
          <c:tx>
            <c:strRef>
              <c:f>'Sim per Segment'!$M$214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Segment'!$M$215:$M$228</c:f>
              <c:numCache/>
            </c:numRef>
          </c:val>
        </c:ser>
        <c:axId val="1568746359"/>
        <c:axId val="775561182"/>
      </c:barChart>
      <c:catAx>
        <c:axId val="1568746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75561182"/>
      </c:catAx>
      <c:valAx>
        <c:axId val="7755611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68746359"/>
      </c:valAx>
      <c:lineChart>
        <c:varyColors val="0"/>
        <c:ser>
          <c:idx val="2"/>
          <c:order val="2"/>
          <c:tx>
            <c:strRef>
              <c:f>'Sim per Segment'!$S$214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Segment'!$B$215:$B$228</c:f>
            </c:strRef>
          </c:cat>
          <c:val>
            <c:numRef>
              <c:f>'Sim per Segment'!$S$215:$S$228</c:f>
              <c:numCache/>
            </c:numRef>
          </c:val>
          <c:smooth val="0"/>
        </c:ser>
        <c:axId val="1012625726"/>
        <c:axId val="563563785"/>
      </c:lineChart>
      <c:catAx>
        <c:axId val="101262572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63563785"/>
      </c:catAx>
      <c:valAx>
        <c:axId val="56356378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1262572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Segment'!$G$233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Segment'!$G$234:$G$247</c:f>
              <c:numCache/>
            </c:numRef>
          </c:val>
        </c:ser>
        <c:ser>
          <c:idx val="1"/>
          <c:order val="1"/>
          <c:tx>
            <c:strRef>
              <c:f>'Sim per Segment'!$M$233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Segment'!$M$234:$M$247</c:f>
              <c:numCache/>
            </c:numRef>
          </c:val>
        </c:ser>
        <c:axId val="2035888414"/>
        <c:axId val="1310017056"/>
      </c:barChart>
      <c:catAx>
        <c:axId val="20358884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10017056"/>
      </c:catAx>
      <c:valAx>
        <c:axId val="13100170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35888414"/>
      </c:valAx>
      <c:lineChart>
        <c:varyColors val="0"/>
        <c:ser>
          <c:idx val="2"/>
          <c:order val="2"/>
          <c:tx>
            <c:strRef>
              <c:f>'Sim per Segment'!$S$233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Segment'!$B$234:$B$247</c:f>
            </c:strRef>
          </c:cat>
          <c:val>
            <c:numRef>
              <c:f>'Sim per Segment'!$S$234:$S$247</c:f>
              <c:numCache/>
            </c:numRef>
          </c:val>
          <c:smooth val="0"/>
        </c:ser>
        <c:axId val="930840225"/>
        <c:axId val="1753816299"/>
      </c:lineChart>
      <c:catAx>
        <c:axId val="93084022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53816299"/>
      </c:catAx>
      <c:valAx>
        <c:axId val="175381629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3084022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SPTx2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Segment'!$G$252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Segment'!$G$253:$G$266</c:f>
              <c:numCache/>
            </c:numRef>
          </c:val>
        </c:ser>
        <c:ser>
          <c:idx val="1"/>
          <c:order val="1"/>
          <c:tx>
            <c:strRef>
              <c:f>'Sim per Segment'!$M$252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Segment'!$M$253:$M$266</c:f>
              <c:numCache/>
            </c:numRef>
          </c:val>
        </c:ser>
        <c:axId val="1474118349"/>
        <c:axId val="681166367"/>
      </c:barChart>
      <c:catAx>
        <c:axId val="14741183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81166367"/>
      </c:catAx>
      <c:valAx>
        <c:axId val="6811663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74118349"/>
      </c:valAx>
      <c:lineChart>
        <c:varyColors val="0"/>
        <c:ser>
          <c:idx val="2"/>
          <c:order val="2"/>
          <c:tx>
            <c:strRef>
              <c:f>'Sim per Segment'!$S$252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Segment'!$B$253:$B$266</c:f>
            </c:strRef>
          </c:cat>
          <c:val>
            <c:numRef>
              <c:f>'Sim per Segment'!$S$253:$S$266</c:f>
              <c:numCache/>
            </c:numRef>
          </c:val>
          <c:smooth val="0"/>
        </c:ser>
        <c:axId val="2082297979"/>
        <c:axId val="1736563494"/>
      </c:lineChart>
      <c:catAx>
        <c:axId val="20822979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36563494"/>
      </c:catAx>
      <c:valAx>
        <c:axId val="173656349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8229797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Relationship Id="rId3" Type="http://schemas.openxmlformats.org/officeDocument/2006/relationships/image" Target="../media/image14.png"/><Relationship Id="rId4" Type="http://schemas.openxmlformats.org/officeDocument/2006/relationships/image" Target="../media/image19.png"/><Relationship Id="rId11" Type="http://schemas.openxmlformats.org/officeDocument/2006/relationships/image" Target="../media/image7.png"/><Relationship Id="rId10" Type="http://schemas.openxmlformats.org/officeDocument/2006/relationships/image" Target="../media/image5.png"/><Relationship Id="rId9" Type="http://schemas.openxmlformats.org/officeDocument/2006/relationships/image" Target="../media/image21.png"/><Relationship Id="rId5" Type="http://schemas.openxmlformats.org/officeDocument/2006/relationships/image" Target="../media/image1.png"/><Relationship Id="rId6" Type="http://schemas.openxmlformats.org/officeDocument/2006/relationships/image" Target="../media/image11.png"/><Relationship Id="rId7" Type="http://schemas.openxmlformats.org/officeDocument/2006/relationships/image" Target="../media/image16.png"/><Relationship Id="rId8" Type="http://schemas.openxmlformats.org/officeDocument/2006/relationships/image" Target="../media/image18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4.png"/><Relationship Id="rId3" Type="http://schemas.openxmlformats.org/officeDocument/2006/relationships/image" Target="../media/image1.png"/><Relationship Id="rId4" Type="http://schemas.openxmlformats.org/officeDocument/2006/relationships/image" Target="../media/image11.png"/><Relationship Id="rId11" Type="http://schemas.openxmlformats.org/officeDocument/2006/relationships/image" Target="../media/image7.png"/><Relationship Id="rId10" Type="http://schemas.openxmlformats.org/officeDocument/2006/relationships/image" Target="../media/image5.png"/><Relationship Id="rId9" Type="http://schemas.openxmlformats.org/officeDocument/2006/relationships/image" Target="../media/image21.png"/><Relationship Id="rId5" Type="http://schemas.openxmlformats.org/officeDocument/2006/relationships/image" Target="../media/image19.png"/><Relationship Id="rId6" Type="http://schemas.openxmlformats.org/officeDocument/2006/relationships/image" Target="../media/image16.png"/><Relationship Id="rId7" Type="http://schemas.openxmlformats.org/officeDocument/2006/relationships/image" Target="../media/image18.png"/><Relationship Id="rId8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4.png"/><Relationship Id="rId3" Type="http://schemas.openxmlformats.org/officeDocument/2006/relationships/image" Target="../media/image1.png"/><Relationship Id="rId4" Type="http://schemas.openxmlformats.org/officeDocument/2006/relationships/image" Target="../media/image11.png"/><Relationship Id="rId11" Type="http://schemas.openxmlformats.org/officeDocument/2006/relationships/image" Target="../media/image7.png"/><Relationship Id="rId10" Type="http://schemas.openxmlformats.org/officeDocument/2006/relationships/image" Target="../media/image5.png"/><Relationship Id="rId9" Type="http://schemas.openxmlformats.org/officeDocument/2006/relationships/image" Target="../media/image21.png"/><Relationship Id="rId5" Type="http://schemas.openxmlformats.org/officeDocument/2006/relationships/image" Target="../media/image19.png"/><Relationship Id="rId6" Type="http://schemas.openxmlformats.org/officeDocument/2006/relationships/image" Target="../media/image16.png"/><Relationship Id="rId7" Type="http://schemas.openxmlformats.org/officeDocument/2006/relationships/image" Target="../media/image18.png"/><Relationship Id="rId8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4.png"/><Relationship Id="rId3" Type="http://schemas.openxmlformats.org/officeDocument/2006/relationships/image" Target="../media/image1.png"/><Relationship Id="rId4" Type="http://schemas.openxmlformats.org/officeDocument/2006/relationships/image" Target="../media/image11.png"/><Relationship Id="rId11" Type="http://schemas.openxmlformats.org/officeDocument/2006/relationships/image" Target="../media/image7.png"/><Relationship Id="rId10" Type="http://schemas.openxmlformats.org/officeDocument/2006/relationships/image" Target="../media/image5.png"/><Relationship Id="rId9" Type="http://schemas.openxmlformats.org/officeDocument/2006/relationships/image" Target="../media/image21.png"/><Relationship Id="rId5" Type="http://schemas.openxmlformats.org/officeDocument/2006/relationships/image" Target="../media/image19.png"/><Relationship Id="rId6" Type="http://schemas.openxmlformats.org/officeDocument/2006/relationships/image" Target="../media/image16.png"/><Relationship Id="rId7" Type="http://schemas.openxmlformats.org/officeDocument/2006/relationships/image" Target="../media/image18.png"/><Relationship Id="rId8" Type="http://schemas.openxmlformats.org/officeDocument/2006/relationships/image" Target="../media/image1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9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6.xml"/><Relationship Id="rId10" Type="http://schemas.openxmlformats.org/officeDocument/2006/relationships/chart" Target="../charts/chart15.xml"/><Relationship Id="rId13" Type="http://schemas.openxmlformats.org/officeDocument/2006/relationships/chart" Target="../charts/chart18.xml"/><Relationship Id="rId12" Type="http://schemas.openxmlformats.org/officeDocument/2006/relationships/chart" Target="../charts/chart17.xml"/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Relationship Id="rId5" Type="http://schemas.openxmlformats.org/officeDocument/2006/relationships/chart" Target="../charts/chart10.xml"/><Relationship Id="rId6" Type="http://schemas.openxmlformats.org/officeDocument/2006/relationships/chart" Target="../charts/chart11.xml"/><Relationship Id="rId7" Type="http://schemas.openxmlformats.org/officeDocument/2006/relationships/chart" Target="../charts/chart12.xml"/><Relationship Id="rId8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0</xdr:colOff>
      <xdr:row>4</xdr:row>
      <xdr:rowOff>0</xdr:rowOff>
    </xdr:from>
    <xdr:ext cx="247650" cy="19050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4</xdr:row>
      <xdr:rowOff>0</xdr:rowOff>
    </xdr:from>
    <xdr:ext cx="200025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4</xdr:row>
      <xdr:rowOff>0</xdr:rowOff>
    </xdr:from>
    <xdr:ext cx="247650" cy="19050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5</xdr:row>
      <xdr:rowOff>0</xdr:rowOff>
    </xdr:from>
    <xdr:ext cx="171450" cy="190500"/>
    <xdr:pic>
      <xdr:nvPicPr>
        <xdr:cNvPr id="0" name="image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5</xdr:row>
      <xdr:rowOff>0</xdr:rowOff>
    </xdr:from>
    <xdr:ext cx="200025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6</xdr:row>
      <xdr:rowOff>0</xdr:rowOff>
    </xdr:from>
    <xdr:ext cx="247650" cy="19050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6</xdr:row>
      <xdr:rowOff>0</xdr:rowOff>
    </xdr:from>
    <xdr:ext cx="200025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6</xdr:row>
      <xdr:rowOff>0</xdr:rowOff>
    </xdr:from>
    <xdr:ext cx="171450" cy="190500"/>
    <xdr:pic>
      <xdr:nvPicPr>
        <xdr:cNvPr id="0" name="image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7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7</xdr:row>
      <xdr:rowOff>0</xdr:rowOff>
    </xdr:from>
    <xdr:ext cx="200025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7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8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8</xdr:row>
      <xdr:rowOff>0</xdr:rowOff>
    </xdr:from>
    <xdr:ext cx="200025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8</xdr:row>
      <xdr:rowOff>0</xdr:rowOff>
    </xdr:from>
    <xdr:ext cx="171450" cy="190500"/>
    <xdr:pic>
      <xdr:nvPicPr>
        <xdr:cNvPr id="0" name="image1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9</xdr:row>
      <xdr:rowOff>0</xdr:rowOff>
    </xdr:from>
    <xdr:ext cx="190500" cy="190500"/>
    <xdr:pic>
      <xdr:nvPicPr>
        <xdr:cNvPr id="0" name="image1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9</xdr:row>
      <xdr:rowOff>0</xdr:rowOff>
    </xdr:from>
    <xdr:ext cx="200025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9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10</xdr:row>
      <xdr:rowOff>0</xdr:rowOff>
    </xdr:from>
    <xdr:ext cx="247650" cy="19050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10</xdr:row>
      <xdr:rowOff>0</xdr:rowOff>
    </xdr:from>
    <xdr:ext cx="200025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10</xdr:row>
      <xdr:rowOff>0</xdr:rowOff>
    </xdr:from>
    <xdr:ext cx="190500" cy="190500"/>
    <xdr:pic>
      <xdr:nvPicPr>
        <xdr:cNvPr id="0" name="image1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11</xdr:row>
      <xdr:rowOff>0</xdr:rowOff>
    </xdr:from>
    <xdr:ext cx="171450" cy="190500"/>
    <xdr:pic>
      <xdr:nvPicPr>
        <xdr:cNvPr id="0" name="image1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11</xdr:row>
      <xdr:rowOff>0</xdr:rowOff>
    </xdr:from>
    <xdr:ext cx="200025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11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12</xdr:row>
      <xdr:rowOff>0</xdr:rowOff>
    </xdr:from>
    <xdr:ext cx="247650" cy="19050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12</xdr:row>
      <xdr:rowOff>0</xdr:rowOff>
    </xdr:from>
    <xdr:ext cx="200025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12</xdr:row>
      <xdr:rowOff>0</xdr:rowOff>
    </xdr:from>
    <xdr:ext cx="200025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13</xdr:row>
      <xdr:rowOff>0</xdr:rowOff>
    </xdr:from>
    <xdr:ext cx="247650" cy="19050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13</xdr:row>
      <xdr:rowOff>0</xdr:rowOff>
    </xdr:from>
    <xdr:ext cx="200025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13</xdr:row>
      <xdr:rowOff>0</xdr:rowOff>
    </xdr:from>
    <xdr:ext cx="180975" cy="190500"/>
    <xdr:pic>
      <xdr:nvPicPr>
        <xdr:cNvPr id="0" name="image2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14</xdr:row>
      <xdr:rowOff>0</xdr:rowOff>
    </xdr:from>
    <xdr:ext cx="180975" cy="19050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15</xdr:row>
      <xdr:rowOff>0</xdr:rowOff>
    </xdr:from>
    <xdr:ext cx="180975" cy="1905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41</xdr:col>
      <xdr:colOff>0</xdr:colOff>
      <xdr:row>4</xdr:row>
      <xdr:rowOff>0</xdr:rowOff>
    </xdr:from>
    <xdr:ext cx="247650" cy="19050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6</xdr:row>
      <xdr:rowOff>0</xdr:rowOff>
    </xdr:from>
    <xdr:ext cx="171450" cy="190500"/>
    <xdr:pic>
      <xdr:nvPicPr>
        <xdr:cNvPr id="0" name="image1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7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8</xdr:row>
      <xdr:rowOff>0</xdr:rowOff>
    </xdr:from>
    <xdr:ext cx="171450" cy="190500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9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10</xdr:row>
      <xdr:rowOff>0</xdr:rowOff>
    </xdr:from>
    <xdr:ext cx="190500" cy="19050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11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12</xdr:row>
      <xdr:rowOff>0</xdr:rowOff>
    </xdr:from>
    <xdr:ext cx="200025" cy="190500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13</xdr:row>
      <xdr:rowOff>0</xdr:rowOff>
    </xdr:from>
    <xdr:ext cx="180975" cy="190500"/>
    <xdr:pic>
      <xdr:nvPicPr>
        <xdr:cNvPr id="0" name="image2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14</xdr:row>
      <xdr:rowOff>0</xdr:rowOff>
    </xdr:from>
    <xdr:ext cx="180975" cy="19050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15</xdr:row>
      <xdr:rowOff>0</xdr:rowOff>
    </xdr:from>
    <xdr:ext cx="180975" cy="1905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1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1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2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428625" cy="33337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1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1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2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581025</xdr:colOff>
      <xdr:row>25</xdr:row>
      <xdr:rowOff>1114425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342900</xdr:colOff>
      <xdr:row>78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114300</xdr:colOff>
      <xdr:row>35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32</xdr:col>
      <xdr:colOff>142875</xdr:colOff>
      <xdr:row>22</xdr:row>
      <xdr:rowOff>47625</xdr:rowOff>
    </xdr:from>
    <xdr:ext cx="7419975" cy="45910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40</xdr:col>
      <xdr:colOff>0</xdr:colOff>
      <xdr:row>27</xdr:row>
      <xdr:rowOff>200025</xdr:rowOff>
    </xdr:from>
    <xdr:ext cx="3905250" cy="34194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190500</xdr:colOff>
      <xdr:row>23</xdr:row>
      <xdr:rowOff>190500</xdr:rowOff>
    </xdr:from>
    <xdr:ext cx="4286250" cy="3048000"/>
    <xdr:graphicFrame>
      <xdr:nvGraphicFramePr>
        <xdr:cNvPr id="6" name="Chart 6" title="HC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190500</xdr:colOff>
      <xdr:row>43</xdr:row>
      <xdr:rowOff>0</xdr:rowOff>
    </xdr:from>
    <xdr:ext cx="4286250" cy="3048000"/>
    <xdr:graphicFrame>
      <xdr:nvGraphicFramePr>
        <xdr:cNvPr id="7" name="Chart 7" title="Slingsho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190500</xdr:colOff>
      <xdr:row>62</xdr:row>
      <xdr:rowOff>0</xdr:rowOff>
    </xdr:from>
    <xdr:ext cx="4286250" cy="3048000"/>
    <xdr:graphicFrame>
      <xdr:nvGraphicFramePr>
        <xdr:cNvPr id="8" name="Chart 8" title="Shuffle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25</xdr:col>
      <xdr:colOff>0</xdr:colOff>
      <xdr:row>81</xdr:row>
      <xdr:rowOff>0</xdr:rowOff>
    </xdr:from>
    <xdr:ext cx="4286250" cy="3048000"/>
    <xdr:graphicFrame>
      <xdr:nvGraphicFramePr>
        <xdr:cNvPr id="9" name="Chart 9" title="Come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25</xdr:col>
      <xdr:colOff>0</xdr:colOff>
      <xdr:row>100</xdr:row>
      <xdr:rowOff>0</xdr:rowOff>
    </xdr:from>
    <xdr:ext cx="4286250" cy="3048000"/>
    <xdr:graphicFrame>
      <xdr:nvGraphicFramePr>
        <xdr:cNvPr id="10" name="Chart 10" title="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25</xdr:col>
      <xdr:colOff>0</xdr:colOff>
      <xdr:row>119</xdr:row>
      <xdr:rowOff>0</xdr:rowOff>
    </xdr:from>
    <xdr:ext cx="4286250" cy="3048000"/>
    <xdr:graphicFrame>
      <xdr:nvGraphicFramePr>
        <xdr:cNvPr id="11" name="Chart 11" title="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25</xdr:col>
      <xdr:colOff>0</xdr:colOff>
      <xdr:row>138</xdr:row>
      <xdr:rowOff>0</xdr:rowOff>
    </xdr:from>
    <xdr:ext cx="4286250" cy="3048000"/>
    <xdr:graphicFrame>
      <xdr:nvGraphicFramePr>
        <xdr:cNvPr id="12" name="Chart 12" title="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25</xdr:col>
      <xdr:colOff>0</xdr:colOff>
      <xdr:row>157</xdr:row>
      <xdr:rowOff>0</xdr:rowOff>
    </xdr:from>
    <xdr:ext cx="4286250" cy="3048000"/>
    <xdr:graphicFrame>
      <xdr:nvGraphicFramePr>
        <xdr:cNvPr id="13" name="Chart 13" title="UL 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25</xdr:col>
      <xdr:colOff>0</xdr:colOff>
      <xdr:row>176</xdr:row>
      <xdr:rowOff>0</xdr:rowOff>
    </xdr:from>
    <xdr:ext cx="4286250" cy="3048000"/>
    <xdr:graphicFrame>
      <xdr:nvGraphicFramePr>
        <xdr:cNvPr id="14" name="Chart 14" title="UL 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25</xdr:col>
      <xdr:colOff>0</xdr:colOff>
      <xdr:row>195</xdr:row>
      <xdr:rowOff>0</xdr:rowOff>
    </xdr:from>
    <xdr:ext cx="4286250" cy="3048000"/>
    <xdr:graphicFrame>
      <xdr:nvGraphicFramePr>
        <xdr:cNvPr id="15" name="Chart 15" title="UL 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25</xdr:col>
      <xdr:colOff>0</xdr:colOff>
      <xdr:row>214</xdr:row>
      <xdr:rowOff>0</xdr:rowOff>
    </xdr:from>
    <xdr:ext cx="4286250" cy="3048000"/>
    <xdr:graphicFrame>
      <xdr:nvGraphicFramePr>
        <xdr:cNvPr id="16" name="Chart 16" title="Unlimited Lives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25</xdr:col>
      <xdr:colOff>0</xdr:colOff>
      <xdr:row>233</xdr:row>
      <xdr:rowOff>0</xdr:rowOff>
    </xdr:from>
    <xdr:ext cx="4286250" cy="3048000"/>
    <xdr:graphicFrame>
      <xdr:nvGraphicFramePr>
        <xdr:cNvPr id="17" name="Chart 17" title="SP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25</xdr:col>
      <xdr:colOff>0</xdr:colOff>
      <xdr:row>252</xdr:row>
      <xdr:rowOff>0</xdr:rowOff>
    </xdr:from>
    <xdr:ext cx="4286250" cy="3048000"/>
    <xdr:graphicFrame>
      <xdr:nvGraphicFramePr>
        <xdr:cNvPr id="18" name="Chart 18" title="SPTx2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9.xml"/><Relationship Id="rId3" Type="http://schemas.openxmlformats.org/officeDocument/2006/relationships/vmlDrawing" Target="../drawings/vmlDrawing3.v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0.xml"/><Relationship Id="rId3" Type="http://schemas.openxmlformats.org/officeDocument/2006/relationships/vmlDrawing" Target="../drawings/vmlDrawing4.v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hyperlink" Target="https://royalkingdom.com/en/collection)" TargetMode="External"/><Relationship Id="rId2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6.xml"/><Relationship Id="rId3" Type="http://schemas.openxmlformats.org/officeDocument/2006/relationships/vmlDrawing" Target="../drawings/vmlDrawing5.v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9.xml"/><Relationship Id="rId3" Type="http://schemas.openxmlformats.org/officeDocument/2006/relationships/vmlDrawing" Target="../drawings/vmlDrawing6.v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6.xml"/><Relationship Id="rId3" Type="http://schemas.openxmlformats.org/officeDocument/2006/relationships/vmlDrawing" Target="../drawings/vmlDrawing7.v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7.xml"/><Relationship Id="rId3" Type="http://schemas.openxmlformats.org/officeDocument/2006/relationships/vmlDrawing" Target="../drawings/vmlDrawing8.v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58.xml"/><Relationship Id="rId3" Type="http://schemas.openxmlformats.org/officeDocument/2006/relationships/vmlDrawing" Target="../drawings/vmlDrawing9.v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59.xml"/><Relationship Id="rId3" Type="http://schemas.openxmlformats.org/officeDocument/2006/relationships/vmlDrawing" Target="../drawings/vmlDrawing10.v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60.xml"/><Relationship Id="rId3" Type="http://schemas.openxmlformats.org/officeDocument/2006/relationships/vmlDrawing" Target="../drawings/vmlDrawing11.v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62.xml"/><Relationship Id="rId3" Type="http://schemas.openxmlformats.org/officeDocument/2006/relationships/vmlDrawing" Target="../drawings/vmlDrawing12.v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63.xml"/><Relationship Id="rId3" Type="http://schemas.openxmlformats.org/officeDocument/2006/relationships/vmlDrawing" Target="../drawings/vmlDrawing13.v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64.xml"/><Relationship Id="rId3" Type="http://schemas.openxmlformats.org/officeDocument/2006/relationships/vmlDrawing" Target="../drawings/vmlDrawing14.v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3</v>
      </c>
      <c r="C1" s="1" t="s">
        <v>4</v>
      </c>
      <c r="D1" s="1" t="s">
        <v>5</v>
      </c>
    </row>
    <row r="2">
      <c r="A2" s="1" t="s">
        <v>6</v>
      </c>
      <c r="B2" s="1" t="s">
        <v>7</v>
      </c>
      <c r="C2" s="6">
        <v>3.0</v>
      </c>
      <c r="D2" s="6">
        <v>3.0</v>
      </c>
    </row>
    <row r="3">
      <c r="A3" s="1" t="s">
        <v>6</v>
      </c>
      <c r="B3" s="1" t="s">
        <v>7</v>
      </c>
      <c r="C3" s="6">
        <v>10.0</v>
      </c>
      <c r="D3" s="6">
        <v>3.0</v>
      </c>
    </row>
    <row r="4">
      <c r="A4" s="1" t="s">
        <v>6</v>
      </c>
      <c r="B4" s="1" t="s">
        <v>7</v>
      </c>
      <c r="C4" s="6">
        <v>17.0</v>
      </c>
      <c r="D4" s="6">
        <v>3.0</v>
      </c>
    </row>
    <row r="5">
      <c r="A5" s="1" t="s">
        <v>6</v>
      </c>
      <c r="B5" s="1" t="s">
        <v>9</v>
      </c>
      <c r="C5" s="6">
        <v>6.0</v>
      </c>
      <c r="D5" s="6">
        <v>4.0</v>
      </c>
    </row>
    <row r="6">
      <c r="A6" s="1" t="s">
        <v>6</v>
      </c>
      <c r="B6" s="1" t="s">
        <v>9</v>
      </c>
      <c r="C6" s="6">
        <v>20.0</v>
      </c>
      <c r="D6" s="6">
        <v>4.0</v>
      </c>
    </row>
    <row r="7">
      <c r="A7" s="1" t="s">
        <v>6</v>
      </c>
      <c r="B7" s="1" t="s">
        <v>9</v>
      </c>
      <c r="C7" s="6">
        <v>1.0</v>
      </c>
      <c r="D7" s="6">
        <v>2.0</v>
      </c>
    </row>
    <row r="8">
      <c r="A8" s="1" t="s">
        <v>6</v>
      </c>
      <c r="B8" s="1" t="s">
        <v>9</v>
      </c>
      <c r="C8" s="6">
        <v>13.0</v>
      </c>
      <c r="D8" s="6">
        <v>4.0</v>
      </c>
    </row>
    <row r="9">
      <c r="A9" s="1" t="s">
        <v>6</v>
      </c>
      <c r="B9" s="1" t="s">
        <v>12</v>
      </c>
      <c r="C9" s="6">
        <v>3.0</v>
      </c>
      <c r="D9" s="6">
        <v>3.0</v>
      </c>
    </row>
    <row r="10">
      <c r="A10" s="1" t="s">
        <v>6</v>
      </c>
      <c r="B10" s="1" t="s">
        <v>12</v>
      </c>
      <c r="C10" s="6">
        <v>10.0</v>
      </c>
      <c r="D10" s="6">
        <v>3.0</v>
      </c>
    </row>
    <row r="11">
      <c r="A11" s="1" t="s">
        <v>6</v>
      </c>
      <c r="B11" s="1" t="s">
        <v>12</v>
      </c>
      <c r="C11" s="6">
        <v>17.0</v>
      </c>
      <c r="D11" s="6">
        <v>3.0</v>
      </c>
    </row>
    <row r="12">
      <c r="A12" s="1" t="s">
        <v>6</v>
      </c>
      <c r="B12" s="1" t="s">
        <v>13</v>
      </c>
      <c r="C12" s="6">
        <v>6.0</v>
      </c>
      <c r="D12" s="6">
        <v>7.0</v>
      </c>
    </row>
    <row r="13">
      <c r="A13" s="1" t="s">
        <v>6</v>
      </c>
      <c r="B13" s="1" t="s">
        <v>13</v>
      </c>
      <c r="C13" s="6">
        <v>13.0</v>
      </c>
      <c r="D13" s="6">
        <v>7.0</v>
      </c>
    </row>
    <row r="14">
      <c r="A14" s="1" t="s">
        <v>6</v>
      </c>
      <c r="B14" s="1" t="s">
        <v>13</v>
      </c>
      <c r="C14" s="6">
        <v>20.0</v>
      </c>
      <c r="D14" s="6">
        <v>7.0</v>
      </c>
    </row>
    <row r="15">
      <c r="A15" s="1" t="s">
        <v>6</v>
      </c>
      <c r="B15" s="1" t="s">
        <v>13</v>
      </c>
      <c r="C15" s="6">
        <v>1.0</v>
      </c>
      <c r="D15" s="6">
        <v>5.0</v>
      </c>
    </row>
    <row r="16">
      <c r="A16" s="1" t="s">
        <v>6</v>
      </c>
      <c r="B16" s="1" t="s">
        <v>14</v>
      </c>
      <c r="C16" s="6">
        <v>20.0</v>
      </c>
      <c r="D16" s="6">
        <v>4.0</v>
      </c>
    </row>
    <row r="17">
      <c r="A17" s="1" t="s">
        <v>6</v>
      </c>
      <c r="B17" s="1" t="s">
        <v>14</v>
      </c>
      <c r="C17" s="6">
        <v>1.0</v>
      </c>
      <c r="D17" s="6">
        <v>2.0</v>
      </c>
    </row>
    <row r="18">
      <c r="A18" s="1" t="s">
        <v>6</v>
      </c>
      <c r="B18" s="1" t="s">
        <v>14</v>
      </c>
      <c r="C18" s="6">
        <v>6.0</v>
      </c>
      <c r="D18" s="6">
        <v>4.0</v>
      </c>
    </row>
    <row r="19">
      <c r="A19" s="1" t="s">
        <v>6</v>
      </c>
      <c r="B19" s="1" t="s">
        <v>14</v>
      </c>
      <c r="C19" s="6">
        <v>13.0</v>
      </c>
      <c r="D19" s="6">
        <v>4.0</v>
      </c>
    </row>
    <row r="20">
      <c r="A20" s="1" t="s">
        <v>6</v>
      </c>
      <c r="B20" s="1" t="s">
        <v>15</v>
      </c>
      <c r="C20" s="6">
        <v>13.0</v>
      </c>
      <c r="D20" s="6">
        <v>4.0</v>
      </c>
    </row>
    <row r="21">
      <c r="A21" s="1" t="s">
        <v>6</v>
      </c>
      <c r="B21" s="1" t="s">
        <v>15</v>
      </c>
      <c r="C21" s="6">
        <v>20.0</v>
      </c>
      <c r="D21" s="6">
        <v>4.0</v>
      </c>
    </row>
    <row r="22">
      <c r="A22" s="1" t="s">
        <v>6</v>
      </c>
      <c r="B22" s="1" t="s">
        <v>15</v>
      </c>
      <c r="C22" s="6">
        <v>6.0</v>
      </c>
      <c r="D22" s="6">
        <v>4.0</v>
      </c>
    </row>
    <row r="23">
      <c r="A23" s="1" t="s">
        <v>6</v>
      </c>
      <c r="B23" s="1" t="s">
        <v>15</v>
      </c>
      <c r="C23" s="6">
        <v>1.0</v>
      </c>
      <c r="D23" s="6">
        <v>2.0</v>
      </c>
    </row>
    <row r="24">
      <c r="A24" s="1" t="s">
        <v>6</v>
      </c>
      <c r="B24" s="1" t="s">
        <v>16</v>
      </c>
      <c r="C24" s="6">
        <v>3.0</v>
      </c>
      <c r="D24" s="6">
        <v>3.0</v>
      </c>
    </row>
    <row r="25">
      <c r="A25" s="1" t="s">
        <v>6</v>
      </c>
      <c r="B25" s="1" t="s">
        <v>16</v>
      </c>
      <c r="C25" s="6">
        <v>10.0</v>
      </c>
      <c r="D25" s="6">
        <v>3.0</v>
      </c>
    </row>
    <row r="26">
      <c r="A26" s="1" t="s">
        <v>6</v>
      </c>
      <c r="B26" s="1" t="s">
        <v>16</v>
      </c>
      <c r="C26" s="6">
        <v>17.0</v>
      </c>
      <c r="D26" s="6">
        <v>3.0</v>
      </c>
    </row>
    <row r="27">
      <c r="A27" s="1" t="s">
        <v>6</v>
      </c>
      <c r="B27" s="1" t="s">
        <v>18</v>
      </c>
      <c r="C27" s="6">
        <v>6.0</v>
      </c>
      <c r="D27" s="6">
        <v>2.0</v>
      </c>
    </row>
    <row r="28">
      <c r="A28" s="1" t="s">
        <v>6</v>
      </c>
      <c r="B28" s="1" t="s">
        <v>18</v>
      </c>
      <c r="C28" s="6">
        <v>8.0</v>
      </c>
      <c r="D28" s="6">
        <v>2.0</v>
      </c>
    </row>
    <row r="29">
      <c r="A29" s="1" t="s">
        <v>6</v>
      </c>
      <c r="B29" s="1" t="s">
        <v>20</v>
      </c>
      <c r="C29" s="6">
        <v>20.0</v>
      </c>
      <c r="D29" s="6">
        <v>2.0</v>
      </c>
    </row>
    <row r="30">
      <c r="A30" s="1" t="s">
        <v>6</v>
      </c>
      <c r="B30" s="1" t="s">
        <v>23</v>
      </c>
      <c r="C30" s="6">
        <v>17.0</v>
      </c>
      <c r="D30" s="6">
        <v>3.0</v>
      </c>
    </row>
    <row r="31">
      <c r="A31" s="1" t="s">
        <v>6</v>
      </c>
      <c r="B31" s="1" t="s">
        <v>23</v>
      </c>
      <c r="C31" s="6">
        <v>3.0</v>
      </c>
      <c r="D31" s="6">
        <v>3.0</v>
      </c>
    </row>
    <row r="32">
      <c r="A32" s="1" t="s">
        <v>6</v>
      </c>
      <c r="B32" s="1" t="s">
        <v>27</v>
      </c>
      <c r="C32" s="6">
        <v>6.0</v>
      </c>
      <c r="D32" s="6">
        <v>7.0</v>
      </c>
    </row>
    <row r="33">
      <c r="A33" s="1" t="s">
        <v>6</v>
      </c>
      <c r="B33" s="1" t="s">
        <v>27</v>
      </c>
      <c r="C33" s="6">
        <v>13.0</v>
      </c>
      <c r="D33" s="6">
        <v>7.0</v>
      </c>
    </row>
    <row r="34">
      <c r="A34" s="1" t="s">
        <v>6</v>
      </c>
      <c r="B34" s="1" t="s">
        <v>27</v>
      </c>
      <c r="C34" s="6">
        <v>20.0</v>
      </c>
      <c r="D34" s="6">
        <v>7.0</v>
      </c>
    </row>
    <row r="35">
      <c r="A35" s="1" t="s">
        <v>6</v>
      </c>
      <c r="B35" s="1" t="s">
        <v>27</v>
      </c>
      <c r="C35" s="6">
        <v>1.0</v>
      </c>
      <c r="D35" s="6">
        <v>5.0</v>
      </c>
    </row>
    <row r="36">
      <c r="A36" s="1" t="s">
        <v>6</v>
      </c>
      <c r="B36" s="1" t="s">
        <v>29</v>
      </c>
      <c r="C36" s="6">
        <v>10.0</v>
      </c>
      <c r="D36" s="6">
        <v>3.0</v>
      </c>
    </row>
    <row r="37">
      <c r="A37" s="1" t="s">
        <v>6</v>
      </c>
      <c r="B37" s="1" t="s">
        <v>31</v>
      </c>
      <c r="C37" s="6">
        <v>4.0</v>
      </c>
      <c r="D37" s="6">
        <v>2.0</v>
      </c>
    </row>
    <row r="38">
      <c r="A38" s="1" t="s">
        <v>6</v>
      </c>
      <c r="B38" s="1" t="s">
        <v>31</v>
      </c>
      <c r="C38" s="6">
        <v>11.0</v>
      </c>
      <c r="D38" s="6">
        <v>2.0</v>
      </c>
    </row>
    <row r="39">
      <c r="A39" s="1" t="s">
        <v>6</v>
      </c>
      <c r="B39" s="1" t="s">
        <v>31</v>
      </c>
      <c r="C39" s="6">
        <v>18.0</v>
      </c>
      <c r="D39" s="6">
        <v>2.0</v>
      </c>
    </row>
    <row r="40">
      <c r="A40" s="1" t="s">
        <v>6</v>
      </c>
      <c r="B40" s="1" t="s">
        <v>35</v>
      </c>
      <c r="C40" s="6">
        <v>1.0</v>
      </c>
      <c r="D40" s="6">
        <v>5.0</v>
      </c>
    </row>
    <row r="41">
      <c r="A41" s="1" t="s">
        <v>6</v>
      </c>
      <c r="B41" s="1" t="s">
        <v>35</v>
      </c>
      <c r="C41" s="6">
        <v>6.0</v>
      </c>
      <c r="D41" s="6">
        <v>7.0</v>
      </c>
    </row>
    <row r="42">
      <c r="A42" s="1" t="s">
        <v>6</v>
      </c>
      <c r="B42" s="1" t="s">
        <v>35</v>
      </c>
      <c r="C42" s="6">
        <v>13.0</v>
      </c>
      <c r="D42" s="6">
        <v>7.0</v>
      </c>
    </row>
    <row r="43">
      <c r="A43" s="1" t="s">
        <v>6</v>
      </c>
      <c r="B43" s="1" t="s">
        <v>35</v>
      </c>
      <c r="C43" s="6">
        <v>20.0</v>
      </c>
      <c r="D43" s="6">
        <v>7.0</v>
      </c>
    </row>
    <row r="44">
      <c r="A44" s="1" t="s">
        <v>6</v>
      </c>
      <c r="B44" s="1" t="s">
        <v>37</v>
      </c>
      <c r="C44" s="6">
        <v>1.0</v>
      </c>
      <c r="D44" s="6">
        <v>30.0</v>
      </c>
    </row>
    <row r="45">
      <c r="A45" s="1" t="s">
        <v>6</v>
      </c>
      <c r="B45" s="1" t="s">
        <v>40</v>
      </c>
      <c r="C45" s="6">
        <v>13.0</v>
      </c>
      <c r="D45" s="6">
        <v>2.0</v>
      </c>
    </row>
    <row r="46">
      <c r="A46" s="1" t="s">
        <v>6</v>
      </c>
      <c r="B46" s="1" t="s">
        <v>40</v>
      </c>
      <c r="C46" s="6">
        <v>15.0</v>
      </c>
      <c r="D46" s="6">
        <v>2.0</v>
      </c>
    </row>
    <row r="47">
      <c r="A47" s="1" t="s">
        <v>6</v>
      </c>
      <c r="B47" s="1" t="s">
        <v>41</v>
      </c>
      <c r="C47" s="6">
        <v>1.0</v>
      </c>
      <c r="D47" s="6">
        <v>2.0</v>
      </c>
    </row>
    <row r="48">
      <c r="A48" s="1" t="s">
        <v>6</v>
      </c>
      <c r="B48" s="1" t="s">
        <v>42</v>
      </c>
      <c r="C48" s="6">
        <v>3.0</v>
      </c>
      <c r="D48" s="6">
        <v>1.0</v>
      </c>
    </row>
    <row r="49">
      <c r="A49" s="1" t="s">
        <v>6</v>
      </c>
      <c r="B49" s="1" t="s">
        <v>42</v>
      </c>
      <c r="C49" s="6">
        <v>4.0</v>
      </c>
      <c r="D49" s="6">
        <v>1.0</v>
      </c>
    </row>
    <row r="50">
      <c r="A50" s="1" t="s">
        <v>6</v>
      </c>
      <c r="B50" s="1" t="s">
        <v>42</v>
      </c>
      <c r="C50" s="6">
        <v>5.0</v>
      </c>
      <c r="D50" s="6">
        <v>1.0</v>
      </c>
    </row>
    <row r="51">
      <c r="A51" s="1" t="s">
        <v>6</v>
      </c>
      <c r="B51" s="1" t="s">
        <v>42</v>
      </c>
      <c r="C51" s="6">
        <v>10.0</v>
      </c>
      <c r="D51" s="6">
        <v>1.0</v>
      </c>
    </row>
    <row r="52">
      <c r="A52" s="1" t="s">
        <v>6</v>
      </c>
      <c r="B52" s="1" t="s">
        <v>42</v>
      </c>
      <c r="C52" s="6">
        <v>11.0</v>
      </c>
      <c r="D52" s="6">
        <v>1.0</v>
      </c>
    </row>
    <row r="53">
      <c r="A53" s="1" t="s">
        <v>6</v>
      </c>
      <c r="B53" s="1" t="s">
        <v>42</v>
      </c>
      <c r="C53" s="6">
        <v>12.0</v>
      </c>
      <c r="D53" s="6">
        <v>1.0</v>
      </c>
    </row>
    <row r="54">
      <c r="A54" s="1" t="s">
        <v>6</v>
      </c>
      <c r="B54" s="1" t="s">
        <v>42</v>
      </c>
      <c r="C54" s="6">
        <v>17.0</v>
      </c>
      <c r="D54" s="6">
        <v>1.0</v>
      </c>
    </row>
    <row r="55">
      <c r="A55" s="1" t="s">
        <v>6</v>
      </c>
      <c r="B55" s="1" t="s">
        <v>42</v>
      </c>
      <c r="C55" s="6">
        <v>18.0</v>
      </c>
      <c r="D55" s="6">
        <v>1.0</v>
      </c>
    </row>
    <row r="56">
      <c r="A56" s="1" t="s">
        <v>6</v>
      </c>
      <c r="B56" s="1" t="s">
        <v>42</v>
      </c>
      <c r="C56" s="6">
        <v>19.0</v>
      </c>
      <c r="D56" s="6">
        <v>1.0</v>
      </c>
    </row>
    <row r="57">
      <c r="A57" s="1" t="s">
        <v>6</v>
      </c>
      <c r="B57" s="1" t="s">
        <v>51</v>
      </c>
      <c r="C57" s="6">
        <v>1.0</v>
      </c>
      <c r="D57" s="6">
        <v>1.0</v>
      </c>
    </row>
    <row r="58">
      <c r="A58" s="1" t="s">
        <v>6</v>
      </c>
      <c r="B58" s="1" t="s">
        <v>51</v>
      </c>
      <c r="C58" s="6">
        <v>2.0</v>
      </c>
      <c r="D58" s="6">
        <v>1.0</v>
      </c>
    </row>
    <row r="59">
      <c r="A59" s="1" t="s">
        <v>6</v>
      </c>
      <c r="B59" s="1" t="s">
        <v>51</v>
      </c>
      <c r="C59" s="6">
        <v>6.0</v>
      </c>
      <c r="D59" s="6">
        <v>1.0</v>
      </c>
    </row>
    <row r="60">
      <c r="A60" s="1" t="s">
        <v>6</v>
      </c>
      <c r="B60" s="1" t="s">
        <v>51</v>
      </c>
      <c r="C60" s="6">
        <v>7.0</v>
      </c>
      <c r="D60" s="6">
        <v>1.0</v>
      </c>
    </row>
    <row r="61">
      <c r="A61" s="1" t="s">
        <v>6</v>
      </c>
      <c r="B61" s="1" t="s">
        <v>51</v>
      </c>
      <c r="C61" s="6">
        <v>8.0</v>
      </c>
      <c r="D61" s="6">
        <v>1.0</v>
      </c>
    </row>
    <row r="62">
      <c r="A62" s="1" t="s">
        <v>6</v>
      </c>
      <c r="B62" s="1" t="s">
        <v>51</v>
      </c>
      <c r="C62" s="6">
        <v>9.0</v>
      </c>
      <c r="D62" s="6">
        <v>1.0</v>
      </c>
    </row>
    <row r="63">
      <c r="A63" s="1" t="s">
        <v>6</v>
      </c>
      <c r="B63" s="1" t="s">
        <v>51</v>
      </c>
      <c r="C63" s="6">
        <v>13.0</v>
      </c>
      <c r="D63" s="6">
        <v>1.0</v>
      </c>
    </row>
    <row r="64">
      <c r="A64" s="1" t="s">
        <v>6</v>
      </c>
      <c r="B64" s="1" t="s">
        <v>51</v>
      </c>
      <c r="C64" s="6">
        <v>14.0</v>
      </c>
      <c r="D64" s="6">
        <v>1.0</v>
      </c>
    </row>
    <row r="65">
      <c r="A65" s="1" t="s">
        <v>6</v>
      </c>
      <c r="B65" s="1" t="s">
        <v>51</v>
      </c>
      <c r="C65" s="6">
        <v>15.0</v>
      </c>
      <c r="D65" s="6">
        <v>1.0</v>
      </c>
    </row>
    <row r="66">
      <c r="A66" s="1" t="s">
        <v>6</v>
      </c>
      <c r="B66" s="1" t="s">
        <v>51</v>
      </c>
      <c r="C66" s="6">
        <v>16.0</v>
      </c>
      <c r="D66" s="6">
        <v>1.0</v>
      </c>
    </row>
    <row r="67">
      <c r="A67" s="1" t="s">
        <v>6</v>
      </c>
      <c r="B67" s="1" t="s">
        <v>51</v>
      </c>
      <c r="C67" s="6">
        <v>20.0</v>
      </c>
      <c r="D67" s="6">
        <v>1.0</v>
      </c>
    </row>
    <row r="68">
      <c r="A68" s="1" t="s">
        <v>6</v>
      </c>
      <c r="B68" s="1" t="s">
        <v>51</v>
      </c>
      <c r="C68" s="6">
        <v>21.0</v>
      </c>
      <c r="D68" s="6">
        <v>1.0</v>
      </c>
    </row>
    <row r="69">
      <c r="A69" s="1" t="s">
        <v>6</v>
      </c>
      <c r="B69" s="1" t="s">
        <v>63</v>
      </c>
      <c r="C69" s="6">
        <v>3.0</v>
      </c>
      <c r="D69" s="6">
        <v>1.0</v>
      </c>
    </row>
    <row r="70">
      <c r="A70" s="1" t="s">
        <v>6</v>
      </c>
      <c r="B70" s="1" t="s">
        <v>63</v>
      </c>
      <c r="C70" s="6">
        <v>4.0</v>
      </c>
      <c r="D70" s="6">
        <v>1.0</v>
      </c>
    </row>
    <row r="71">
      <c r="A71" s="1" t="s">
        <v>6</v>
      </c>
      <c r="B71" s="1" t="s">
        <v>63</v>
      </c>
      <c r="C71" s="6">
        <v>5.0</v>
      </c>
      <c r="D71" s="6">
        <v>1.0</v>
      </c>
    </row>
    <row r="72">
      <c r="A72" s="1" t="s">
        <v>6</v>
      </c>
      <c r="B72" s="1" t="s">
        <v>63</v>
      </c>
      <c r="C72" s="6">
        <v>10.0</v>
      </c>
      <c r="D72" s="6">
        <v>1.0</v>
      </c>
    </row>
    <row r="73">
      <c r="A73" s="1" t="s">
        <v>6</v>
      </c>
      <c r="B73" s="1" t="s">
        <v>63</v>
      </c>
      <c r="C73" s="6">
        <v>11.0</v>
      </c>
      <c r="D73" s="6">
        <v>1.0</v>
      </c>
    </row>
    <row r="74">
      <c r="A74" s="1" t="s">
        <v>6</v>
      </c>
      <c r="B74" s="1" t="s">
        <v>63</v>
      </c>
      <c r="C74" s="6">
        <v>12.0</v>
      </c>
      <c r="D74" s="6">
        <v>1.0</v>
      </c>
    </row>
    <row r="75">
      <c r="A75" s="1" t="s">
        <v>6</v>
      </c>
      <c r="B75" s="1" t="s">
        <v>63</v>
      </c>
      <c r="C75" s="6">
        <v>17.0</v>
      </c>
      <c r="D75" s="6">
        <v>1.0</v>
      </c>
    </row>
    <row r="76">
      <c r="A76" s="1" t="s">
        <v>6</v>
      </c>
      <c r="B76" s="1" t="s">
        <v>63</v>
      </c>
      <c r="C76" s="6">
        <v>18.0</v>
      </c>
      <c r="D76" s="6">
        <v>1.0</v>
      </c>
    </row>
    <row r="77">
      <c r="A77" s="1" t="s">
        <v>6</v>
      </c>
      <c r="B77" s="1" t="s">
        <v>63</v>
      </c>
      <c r="C77" s="6">
        <v>19.0</v>
      </c>
      <c r="D77" s="6">
        <v>1.0</v>
      </c>
    </row>
    <row r="78">
      <c r="A78" s="1" t="s">
        <v>6</v>
      </c>
      <c r="B78" s="1" t="s">
        <v>65</v>
      </c>
      <c r="C78" s="6">
        <v>1.0</v>
      </c>
      <c r="D78" s="6">
        <v>1.0</v>
      </c>
    </row>
    <row r="79">
      <c r="A79" s="1" t="s">
        <v>6</v>
      </c>
      <c r="B79" s="1" t="s">
        <v>65</v>
      </c>
      <c r="C79" s="6">
        <v>2.0</v>
      </c>
      <c r="D79" s="6">
        <v>1.0</v>
      </c>
    </row>
    <row r="80">
      <c r="A80" s="1" t="s">
        <v>6</v>
      </c>
      <c r="B80" s="1" t="s">
        <v>65</v>
      </c>
      <c r="C80" s="6">
        <v>3.0</v>
      </c>
      <c r="D80" s="6">
        <v>1.0</v>
      </c>
    </row>
    <row r="81">
      <c r="A81" s="1" t="s">
        <v>6</v>
      </c>
      <c r="B81" s="1" t="s">
        <v>65</v>
      </c>
      <c r="C81" s="6">
        <v>4.0</v>
      </c>
      <c r="D81" s="6">
        <v>1.0</v>
      </c>
    </row>
    <row r="82">
      <c r="A82" s="1" t="s">
        <v>6</v>
      </c>
      <c r="B82" s="1" t="s">
        <v>65</v>
      </c>
      <c r="C82" s="6">
        <v>5.0</v>
      </c>
      <c r="D82" s="6">
        <v>1.0</v>
      </c>
    </row>
    <row r="83">
      <c r="A83" s="1" t="s">
        <v>6</v>
      </c>
      <c r="B83" s="1" t="s">
        <v>65</v>
      </c>
      <c r="C83" s="6">
        <v>6.0</v>
      </c>
      <c r="D83" s="6">
        <v>1.0</v>
      </c>
    </row>
    <row r="84">
      <c r="A84" s="1" t="s">
        <v>6</v>
      </c>
      <c r="B84" s="1" t="s">
        <v>65</v>
      </c>
      <c r="C84" s="6">
        <v>7.0</v>
      </c>
      <c r="D84" s="6">
        <v>1.0</v>
      </c>
    </row>
    <row r="85">
      <c r="A85" s="1" t="s">
        <v>6</v>
      </c>
      <c r="B85" s="1" t="s">
        <v>65</v>
      </c>
      <c r="C85" s="6">
        <v>8.0</v>
      </c>
      <c r="D85" s="6">
        <v>1.0</v>
      </c>
    </row>
    <row r="86">
      <c r="A86" s="1" t="s">
        <v>6</v>
      </c>
      <c r="B86" s="1" t="s">
        <v>65</v>
      </c>
      <c r="C86" s="6">
        <v>9.0</v>
      </c>
      <c r="D86" s="6">
        <v>1.0</v>
      </c>
    </row>
    <row r="87">
      <c r="A87" s="1" t="s">
        <v>6</v>
      </c>
      <c r="B87" s="1" t="s">
        <v>65</v>
      </c>
      <c r="C87" s="6">
        <v>10.0</v>
      </c>
      <c r="D87" s="6">
        <v>1.0</v>
      </c>
    </row>
    <row r="88">
      <c r="A88" s="1" t="s">
        <v>6</v>
      </c>
      <c r="B88" s="1" t="s">
        <v>65</v>
      </c>
      <c r="C88" s="6">
        <v>11.0</v>
      </c>
      <c r="D88" s="6">
        <v>1.0</v>
      </c>
    </row>
    <row r="89">
      <c r="A89" s="1" t="s">
        <v>6</v>
      </c>
      <c r="B89" s="1" t="s">
        <v>65</v>
      </c>
      <c r="C89" s="6">
        <v>12.0</v>
      </c>
      <c r="D89" s="6">
        <v>1.0</v>
      </c>
    </row>
    <row r="90">
      <c r="A90" s="1" t="s">
        <v>6</v>
      </c>
      <c r="B90" s="1" t="s">
        <v>65</v>
      </c>
      <c r="C90" s="6">
        <v>13.0</v>
      </c>
      <c r="D90" s="6">
        <v>1.0</v>
      </c>
    </row>
    <row r="91">
      <c r="A91" s="1" t="s">
        <v>6</v>
      </c>
      <c r="B91" s="1" t="s">
        <v>65</v>
      </c>
      <c r="C91" s="6">
        <v>14.0</v>
      </c>
      <c r="D91" s="6">
        <v>1.0</v>
      </c>
    </row>
    <row r="92">
      <c r="A92" s="1" t="s">
        <v>6</v>
      </c>
      <c r="B92" s="1" t="s">
        <v>65</v>
      </c>
      <c r="C92" s="6">
        <v>15.0</v>
      </c>
      <c r="D92" s="6">
        <v>1.0</v>
      </c>
    </row>
    <row r="93">
      <c r="A93" s="1" t="s">
        <v>6</v>
      </c>
      <c r="B93" s="1" t="s">
        <v>65</v>
      </c>
      <c r="C93" s="6">
        <v>16.0</v>
      </c>
      <c r="D93" s="6">
        <v>1.0</v>
      </c>
    </row>
    <row r="94">
      <c r="A94" s="1" t="s">
        <v>6</v>
      </c>
      <c r="B94" s="1" t="s">
        <v>65</v>
      </c>
      <c r="C94" s="6">
        <v>17.0</v>
      </c>
      <c r="D94" s="6">
        <v>1.0</v>
      </c>
    </row>
    <row r="95">
      <c r="A95" s="1" t="s">
        <v>6</v>
      </c>
      <c r="B95" s="1" t="s">
        <v>65</v>
      </c>
      <c r="C95" s="6">
        <v>18.0</v>
      </c>
      <c r="D95" s="6">
        <v>1.0</v>
      </c>
    </row>
    <row r="96">
      <c r="A96" s="1" t="s">
        <v>6</v>
      </c>
      <c r="B96" s="1" t="s">
        <v>65</v>
      </c>
      <c r="C96" s="6">
        <v>19.0</v>
      </c>
      <c r="D96" s="6">
        <v>1.0</v>
      </c>
    </row>
    <row r="97">
      <c r="A97" s="1" t="s">
        <v>6</v>
      </c>
      <c r="B97" s="1" t="s">
        <v>65</v>
      </c>
      <c r="C97" s="6">
        <v>20.0</v>
      </c>
      <c r="D97" s="6">
        <v>1.0</v>
      </c>
    </row>
    <row r="98">
      <c r="A98" s="1" t="s">
        <v>6</v>
      </c>
      <c r="B98" s="1" t="s">
        <v>65</v>
      </c>
      <c r="C98" s="6">
        <v>21.0</v>
      </c>
      <c r="D98" s="6">
        <v>1.0</v>
      </c>
    </row>
    <row r="99">
      <c r="A99" s="1" t="s">
        <v>70</v>
      </c>
      <c r="B99" s="1" t="s">
        <v>29</v>
      </c>
      <c r="C99" s="6">
        <v>17.0</v>
      </c>
      <c r="D99" s="6">
        <v>3.0</v>
      </c>
    </row>
    <row r="100">
      <c r="A100" s="1" t="s">
        <v>70</v>
      </c>
      <c r="B100" s="1" t="s">
        <v>27</v>
      </c>
      <c r="C100" s="6">
        <v>1.0</v>
      </c>
      <c r="D100" s="6">
        <v>5.0</v>
      </c>
    </row>
    <row r="101">
      <c r="A101" s="1" t="s">
        <v>70</v>
      </c>
      <c r="B101" s="1" t="s">
        <v>27</v>
      </c>
      <c r="C101" s="6">
        <v>6.0</v>
      </c>
      <c r="D101" s="6">
        <v>7.0</v>
      </c>
    </row>
    <row r="102">
      <c r="A102" s="1" t="s">
        <v>70</v>
      </c>
      <c r="B102" s="1" t="s">
        <v>27</v>
      </c>
      <c r="C102" s="6">
        <v>13.0</v>
      </c>
      <c r="D102" s="6">
        <v>7.0</v>
      </c>
    </row>
    <row r="103">
      <c r="A103" s="1" t="s">
        <v>70</v>
      </c>
      <c r="B103" s="1" t="s">
        <v>27</v>
      </c>
      <c r="C103" s="6">
        <v>20.0</v>
      </c>
      <c r="D103" s="6">
        <v>7.0</v>
      </c>
    </row>
    <row r="104">
      <c r="A104" s="1" t="s">
        <v>70</v>
      </c>
      <c r="B104" s="1" t="s">
        <v>23</v>
      </c>
      <c r="C104" s="6">
        <v>10.0</v>
      </c>
      <c r="D104" s="6">
        <v>3.0</v>
      </c>
    </row>
    <row r="105">
      <c r="A105" s="1" t="s">
        <v>70</v>
      </c>
      <c r="B105" s="1" t="s">
        <v>9</v>
      </c>
      <c r="C105" s="6">
        <v>20.0</v>
      </c>
      <c r="D105" s="6">
        <v>4.0</v>
      </c>
    </row>
    <row r="106">
      <c r="A106" s="1" t="s">
        <v>70</v>
      </c>
      <c r="B106" s="1" t="s">
        <v>9</v>
      </c>
      <c r="C106" s="6">
        <v>1.0</v>
      </c>
      <c r="D106" s="6">
        <v>2.0</v>
      </c>
    </row>
    <row r="107">
      <c r="A107" s="1" t="s">
        <v>70</v>
      </c>
      <c r="B107" s="1" t="s">
        <v>9</v>
      </c>
      <c r="C107" s="6">
        <v>13.0</v>
      </c>
      <c r="D107" s="6">
        <v>4.0</v>
      </c>
    </row>
    <row r="108">
      <c r="A108" s="1" t="s">
        <v>70</v>
      </c>
      <c r="B108" s="1" t="s">
        <v>9</v>
      </c>
      <c r="C108" s="6">
        <v>6.0</v>
      </c>
      <c r="D108" s="6">
        <v>4.0</v>
      </c>
    </row>
    <row r="109">
      <c r="A109" s="1" t="s">
        <v>70</v>
      </c>
      <c r="B109" s="1" t="s">
        <v>73</v>
      </c>
      <c r="C109" s="6">
        <v>3.0</v>
      </c>
      <c r="D109" s="6">
        <v>3.0</v>
      </c>
    </row>
    <row r="110">
      <c r="A110" s="1" t="s">
        <v>70</v>
      </c>
      <c r="B110" s="1" t="s">
        <v>14</v>
      </c>
      <c r="C110" s="6">
        <v>1.0</v>
      </c>
      <c r="D110" s="6">
        <v>2.0</v>
      </c>
    </row>
    <row r="111">
      <c r="A111" s="1" t="s">
        <v>70</v>
      </c>
      <c r="B111" s="1" t="s">
        <v>14</v>
      </c>
      <c r="C111" s="6">
        <v>6.0</v>
      </c>
      <c r="D111" s="6">
        <v>4.0</v>
      </c>
    </row>
    <row r="112">
      <c r="A112" s="1" t="s">
        <v>70</v>
      </c>
      <c r="B112" s="1" t="s">
        <v>14</v>
      </c>
      <c r="C112" s="6">
        <v>13.0</v>
      </c>
      <c r="D112" s="6">
        <v>4.0</v>
      </c>
    </row>
    <row r="113">
      <c r="A113" s="1" t="s">
        <v>70</v>
      </c>
      <c r="B113" s="1" t="s">
        <v>14</v>
      </c>
      <c r="C113" s="6">
        <v>20.0</v>
      </c>
      <c r="D113" s="6">
        <v>4.0</v>
      </c>
    </row>
    <row r="114">
      <c r="A114" s="1" t="s">
        <v>70</v>
      </c>
      <c r="B114" s="1" t="s">
        <v>35</v>
      </c>
      <c r="C114" s="6">
        <v>1.0</v>
      </c>
      <c r="D114" s="6">
        <v>5.0</v>
      </c>
    </row>
    <row r="115">
      <c r="A115" s="1" t="s">
        <v>70</v>
      </c>
      <c r="B115" s="1" t="s">
        <v>35</v>
      </c>
      <c r="C115" s="6">
        <v>6.0</v>
      </c>
      <c r="D115" s="6">
        <v>7.0</v>
      </c>
    </row>
    <row r="116">
      <c r="A116" s="1" t="s">
        <v>70</v>
      </c>
      <c r="B116" s="1" t="s">
        <v>35</v>
      </c>
      <c r="C116" s="6">
        <v>13.0</v>
      </c>
      <c r="D116" s="6">
        <v>7.0</v>
      </c>
    </row>
    <row r="117">
      <c r="A117" s="1" t="s">
        <v>70</v>
      </c>
      <c r="B117" s="1" t="s">
        <v>35</v>
      </c>
      <c r="C117" s="6">
        <v>20.0</v>
      </c>
      <c r="D117" s="6">
        <v>7.0</v>
      </c>
    </row>
    <row r="118">
      <c r="A118" s="1" t="s">
        <v>70</v>
      </c>
      <c r="B118" s="1" t="s">
        <v>12</v>
      </c>
      <c r="C118" s="6">
        <v>3.0</v>
      </c>
      <c r="D118" s="6">
        <v>3.0</v>
      </c>
    </row>
    <row r="119">
      <c r="A119" s="1" t="s">
        <v>70</v>
      </c>
      <c r="B119" s="1" t="s">
        <v>12</v>
      </c>
      <c r="C119" s="6">
        <v>10.0</v>
      </c>
      <c r="D119" s="6">
        <v>3.0</v>
      </c>
    </row>
    <row r="120">
      <c r="A120" s="1" t="s">
        <v>70</v>
      </c>
      <c r="B120" s="1" t="s">
        <v>12</v>
      </c>
      <c r="C120" s="6">
        <v>17.0</v>
      </c>
      <c r="D120" s="6">
        <v>3.0</v>
      </c>
    </row>
    <row r="121">
      <c r="A121" s="1" t="s">
        <v>70</v>
      </c>
      <c r="B121" s="1" t="s">
        <v>31</v>
      </c>
      <c r="C121" s="6">
        <v>4.0</v>
      </c>
      <c r="D121" s="6">
        <v>2.0</v>
      </c>
    </row>
    <row r="122">
      <c r="A122" s="1" t="s">
        <v>70</v>
      </c>
      <c r="B122" s="1" t="s">
        <v>31</v>
      </c>
      <c r="C122" s="6">
        <v>11.0</v>
      </c>
      <c r="D122" s="6">
        <v>2.0</v>
      </c>
    </row>
    <row r="123">
      <c r="A123" s="1" t="s">
        <v>70</v>
      </c>
      <c r="B123" s="1" t="s">
        <v>31</v>
      </c>
      <c r="C123" s="6">
        <v>18.0</v>
      </c>
      <c r="D123" s="6">
        <v>2.0</v>
      </c>
    </row>
    <row r="124">
      <c r="A124" s="1" t="s">
        <v>70</v>
      </c>
      <c r="B124" s="1" t="s">
        <v>37</v>
      </c>
      <c r="C124" s="6">
        <v>1.0</v>
      </c>
      <c r="D124" s="6">
        <v>30.0</v>
      </c>
    </row>
    <row r="125">
      <c r="A125" s="1" t="s">
        <v>70</v>
      </c>
      <c r="B125" s="1" t="s">
        <v>15</v>
      </c>
      <c r="C125" s="6">
        <v>13.0</v>
      </c>
      <c r="D125" s="6">
        <v>4.0</v>
      </c>
    </row>
    <row r="126">
      <c r="A126" s="1" t="s">
        <v>70</v>
      </c>
      <c r="B126" s="1" t="s">
        <v>15</v>
      </c>
      <c r="C126" s="6">
        <v>20.0</v>
      </c>
      <c r="D126" s="6">
        <v>4.0</v>
      </c>
    </row>
    <row r="127">
      <c r="A127" s="1" t="s">
        <v>70</v>
      </c>
      <c r="B127" s="1" t="s">
        <v>15</v>
      </c>
      <c r="C127" s="6">
        <v>6.0</v>
      </c>
      <c r="D127" s="6">
        <v>4.0</v>
      </c>
    </row>
    <row r="128">
      <c r="A128" s="1" t="s">
        <v>70</v>
      </c>
      <c r="B128" s="1" t="s">
        <v>15</v>
      </c>
      <c r="C128" s="6">
        <v>1.0</v>
      </c>
      <c r="D128" s="6">
        <v>2.0</v>
      </c>
    </row>
    <row r="129">
      <c r="A129" s="1" t="s">
        <v>70</v>
      </c>
      <c r="B129" s="1" t="s">
        <v>13</v>
      </c>
      <c r="C129" s="6">
        <v>13.0</v>
      </c>
      <c r="D129" s="6">
        <v>7.0</v>
      </c>
    </row>
    <row r="130">
      <c r="A130" s="1" t="s">
        <v>70</v>
      </c>
      <c r="B130" s="1" t="s">
        <v>13</v>
      </c>
      <c r="C130" s="6">
        <v>20.0</v>
      </c>
      <c r="D130" s="6">
        <v>7.0</v>
      </c>
    </row>
    <row r="131">
      <c r="A131" s="1" t="s">
        <v>70</v>
      </c>
      <c r="B131" s="1" t="s">
        <v>13</v>
      </c>
      <c r="C131" s="6">
        <v>1.0</v>
      </c>
      <c r="D131" s="6">
        <v>5.0</v>
      </c>
    </row>
    <row r="132">
      <c r="A132" s="1" t="s">
        <v>70</v>
      </c>
      <c r="B132" s="1" t="s">
        <v>13</v>
      </c>
      <c r="C132" s="6">
        <v>6.0</v>
      </c>
      <c r="D132" s="6">
        <v>7.0</v>
      </c>
    </row>
    <row r="133">
      <c r="A133" s="1" t="s">
        <v>70</v>
      </c>
      <c r="B133" s="1" t="s">
        <v>16</v>
      </c>
      <c r="C133" s="6">
        <v>3.0</v>
      </c>
      <c r="D133" s="6">
        <v>3.0</v>
      </c>
    </row>
    <row r="134">
      <c r="A134" s="1" t="s">
        <v>70</v>
      </c>
      <c r="B134" s="1" t="s">
        <v>16</v>
      </c>
      <c r="C134" s="6">
        <v>10.0</v>
      </c>
      <c r="D134" s="6">
        <v>3.0</v>
      </c>
    </row>
    <row r="135">
      <c r="A135" s="1" t="s">
        <v>70</v>
      </c>
      <c r="B135" s="1" t="s">
        <v>16</v>
      </c>
      <c r="C135" s="6">
        <v>17.0</v>
      </c>
      <c r="D135" s="6">
        <v>3.0</v>
      </c>
    </row>
    <row r="136">
      <c r="A136" s="1" t="s">
        <v>70</v>
      </c>
      <c r="B136" s="1" t="s">
        <v>18</v>
      </c>
      <c r="C136" s="6">
        <v>6.0</v>
      </c>
      <c r="D136" s="6">
        <v>2.0</v>
      </c>
    </row>
    <row r="137">
      <c r="A137" s="1" t="s">
        <v>70</v>
      </c>
      <c r="B137" s="1" t="s">
        <v>18</v>
      </c>
      <c r="C137" s="6">
        <v>8.0</v>
      </c>
      <c r="D137" s="6">
        <v>2.0</v>
      </c>
    </row>
    <row r="138">
      <c r="A138" s="1" t="s">
        <v>70</v>
      </c>
      <c r="B138" s="1" t="s">
        <v>40</v>
      </c>
      <c r="C138" s="6">
        <v>13.0</v>
      </c>
      <c r="D138" s="6">
        <v>2.0</v>
      </c>
    </row>
    <row r="139">
      <c r="A139" s="1" t="s">
        <v>70</v>
      </c>
      <c r="B139" s="1" t="s">
        <v>40</v>
      </c>
      <c r="C139" s="6">
        <v>15.0</v>
      </c>
      <c r="D139" s="6">
        <v>2.0</v>
      </c>
    </row>
    <row r="140">
      <c r="A140" s="1" t="s">
        <v>70</v>
      </c>
      <c r="B140" s="1" t="s">
        <v>7</v>
      </c>
      <c r="C140" s="6">
        <v>17.0</v>
      </c>
      <c r="D140" s="6">
        <v>3.0</v>
      </c>
    </row>
    <row r="141">
      <c r="A141" s="1" t="s">
        <v>70</v>
      </c>
      <c r="B141" s="1" t="s">
        <v>7</v>
      </c>
      <c r="C141" s="6">
        <v>3.0</v>
      </c>
      <c r="D141" s="6">
        <v>3.0</v>
      </c>
    </row>
    <row r="142">
      <c r="A142" s="1" t="s">
        <v>70</v>
      </c>
      <c r="B142" s="1" t="s">
        <v>7</v>
      </c>
      <c r="C142" s="6">
        <v>10.0</v>
      </c>
      <c r="D142" s="6">
        <v>3.0</v>
      </c>
    </row>
    <row r="143">
      <c r="A143" s="1" t="s">
        <v>70</v>
      </c>
      <c r="B143" s="1" t="s">
        <v>20</v>
      </c>
      <c r="C143" s="6">
        <v>20.0</v>
      </c>
      <c r="D143" s="6">
        <v>2.0</v>
      </c>
    </row>
    <row r="144">
      <c r="A144" s="1" t="s">
        <v>70</v>
      </c>
      <c r="B144" s="1" t="s">
        <v>41</v>
      </c>
      <c r="C144" s="6">
        <v>1.0</v>
      </c>
      <c r="D144" s="6">
        <v>2.0</v>
      </c>
    </row>
    <row r="145">
      <c r="A145" s="1" t="s">
        <v>70</v>
      </c>
      <c r="B145" s="1" t="s">
        <v>42</v>
      </c>
      <c r="C145" s="6">
        <v>3.0</v>
      </c>
      <c r="D145" s="6">
        <v>1.0</v>
      </c>
    </row>
    <row r="146">
      <c r="A146" s="1" t="s">
        <v>70</v>
      </c>
      <c r="B146" s="1" t="s">
        <v>42</v>
      </c>
      <c r="C146" s="6">
        <v>4.0</v>
      </c>
      <c r="D146" s="6">
        <v>1.0</v>
      </c>
    </row>
    <row r="147">
      <c r="A147" s="1" t="s">
        <v>70</v>
      </c>
      <c r="B147" s="1" t="s">
        <v>42</v>
      </c>
      <c r="C147" s="6">
        <v>5.0</v>
      </c>
      <c r="D147" s="6">
        <v>1.0</v>
      </c>
    </row>
    <row r="148">
      <c r="A148" s="1" t="s">
        <v>70</v>
      </c>
      <c r="B148" s="1" t="s">
        <v>42</v>
      </c>
      <c r="C148" s="6">
        <v>10.0</v>
      </c>
      <c r="D148" s="6">
        <v>1.0</v>
      </c>
    </row>
    <row r="149">
      <c r="A149" s="1" t="s">
        <v>70</v>
      </c>
      <c r="B149" s="1" t="s">
        <v>42</v>
      </c>
      <c r="C149" s="6">
        <v>11.0</v>
      </c>
      <c r="D149" s="6">
        <v>1.0</v>
      </c>
    </row>
    <row r="150">
      <c r="A150" s="1" t="s">
        <v>70</v>
      </c>
      <c r="B150" s="1" t="s">
        <v>42</v>
      </c>
      <c r="C150" s="6">
        <v>12.0</v>
      </c>
      <c r="D150" s="6">
        <v>1.0</v>
      </c>
    </row>
    <row r="151">
      <c r="A151" s="1" t="s">
        <v>70</v>
      </c>
      <c r="B151" s="1" t="s">
        <v>42</v>
      </c>
      <c r="C151" s="6">
        <v>17.0</v>
      </c>
      <c r="D151" s="6">
        <v>1.0</v>
      </c>
    </row>
    <row r="152">
      <c r="A152" s="1" t="s">
        <v>70</v>
      </c>
      <c r="B152" s="1" t="s">
        <v>42</v>
      </c>
      <c r="C152" s="6">
        <v>18.0</v>
      </c>
      <c r="D152" s="6">
        <v>1.0</v>
      </c>
    </row>
    <row r="153">
      <c r="A153" s="1" t="s">
        <v>70</v>
      </c>
      <c r="B153" s="1" t="s">
        <v>42</v>
      </c>
      <c r="C153" s="6">
        <v>19.0</v>
      </c>
      <c r="D153" s="6">
        <v>1.0</v>
      </c>
    </row>
    <row r="154">
      <c r="A154" s="1" t="s">
        <v>70</v>
      </c>
      <c r="B154" s="1" t="s">
        <v>51</v>
      </c>
      <c r="C154" s="6">
        <v>1.0</v>
      </c>
      <c r="D154" s="6">
        <v>1.0</v>
      </c>
    </row>
    <row r="155">
      <c r="A155" s="1" t="s">
        <v>70</v>
      </c>
      <c r="B155" s="1" t="s">
        <v>51</v>
      </c>
      <c r="C155" s="6">
        <v>2.0</v>
      </c>
      <c r="D155" s="6">
        <v>1.0</v>
      </c>
    </row>
    <row r="156">
      <c r="A156" s="1" t="s">
        <v>70</v>
      </c>
      <c r="B156" s="1" t="s">
        <v>51</v>
      </c>
      <c r="C156" s="6">
        <v>6.0</v>
      </c>
      <c r="D156" s="6">
        <v>1.0</v>
      </c>
    </row>
    <row r="157">
      <c r="A157" s="1" t="s">
        <v>70</v>
      </c>
      <c r="B157" s="1" t="s">
        <v>51</v>
      </c>
      <c r="C157" s="6">
        <v>7.0</v>
      </c>
      <c r="D157" s="6">
        <v>1.0</v>
      </c>
    </row>
    <row r="158">
      <c r="A158" s="1" t="s">
        <v>70</v>
      </c>
      <c r="B158" s="1" t="s">
        <v>51</v>
      </c>
      <c r="C158" s="6">
        <v>8.0</v>
      </c>
      <c r="D158" s="6">
        <v>1.0</v>
      </c>
    </row>
    <row r="159">
      <c r="A159" s="1" t="s">
        <v>70</v>
      </c>
      <c r="B159" s="1" t="s">
        <v>51</v>
      </c>
      <c r="C159" s="6">
        <v>9.0</v>
      </c>
      <c r="D159" s="6">
        <v>1.0</v>
      </c>
    </row>
    <row r="160">
      <c r="A160" s="1" t="s">
        <v>70</v>
      </c>
      <c r="B160" s="1" t="s">
        <v>51</v>
      </c>
      <c r="C160" s="6">
        <v>13.0</v>
      </c>
      <c r="D160" s="6">
        <v>1.0</v>
      </c>
    </row>
    <row r="161">
      <c r="A161" s="1" t="s">
        <v>70</v>
      </c>
      <c r="B161" s="1" t="s">
        <v>51</v>
      </c>
      <c r="C161" s="6">
        <v>14.0</v>
      </c>
      <c r="D161" s="6">
        <v>1.0</v>
      </c>
    </row>
    <row r="162">
      <c r="A162" s="1" t="s">
        <v>70</v>
      </c>
      <c r="B162" s="1" t="s">
        <v>51</v>
      </c>
      <c r="C162" s="6">
        <v>15.0</v>
      </c>
      <c r="D162" s="6">
        <v>1.0</v>
      </c>
    </row>
    <row r="163">
      <c r="A163" s="1" t="s">
        <v>70</v>
      </c>
      <c r="B163" s="1" t="s">
        <v>51</v>
      </c>
      <c r="C163" s="6">
        <v>16.0</v>
      </c>
      <c r="D163" s="6">
        <v>1.0</v>
      </c>
    </row>
    <row r="164">
      <c r="A164" s="1" t="s">
        <v>70</v>
      </c>
      <c r="B164" s="1" t="s">
        <v>51</v>
      </c>
      <c r="C164" s="6">
        <v>20.0</v>
      </c>
      <c r="D164" s="6">
        <v>1.0</v>
      </c>
    </row>
    <row r="165">
      <c r="A165" s="1" t="s">
        <v>70</v>
      </c>
      <c r="B165" s="1" t="s">
        <v>51</v>
      </c>
      <c r="C165" s="6">
        <v>21.0</v>
      </c>
      <c r="D165" s="6">
        <v>1.0</v>
      </c>
    </row>
    <row r="166">
      <c r="A166" s="1" t="s">
        <v>70</v>
      </c>
      <c r="B166" s="1" t="s">
        <v>63</v>
      </c>
      <c r="C166" s="6">
        <v>3.0</v>
      </c>
      <c r="D166" s="6">
        <v>1.0</v>
      </c>
    </row>
    <row r="167">
      <c r="A167" s="1" t="s">
        <v>70</v>
      </c>
      <c r="B167" s="1" t="s">
        <v>63</v>
      </c>
      <c r="C167" s="6">
        <v>4.0</v>
      </c>
      <c r="D167" s="6">
        <v>1.0</v>
      </c>
    </row>
    <row r="168">
      <c r="A168" s="1" t="s">
        <v>70</v>
      </c>
      <c r="B168" s="1" t="s">
        <v>63</v>
      </c>
      <c r="C168" s="6">
        <v>5.0</v>
      </c>
      <c r="D168" s="6">
        <v>1.0</v>
      </c>
    </row>
    <row r="169">
      <c r="A169" s="1" t="s">
        <v>70</v>
      </c>
      <c r="B169" s="1" t="s">
        <v>63</v>
      </c>
      <c r="C169" s="6">
        <v>10.0</v>
      </c>
      <c r="D169" s="6">
        <v>1.0</v>
      </c>
    </row>
    <row r="170">
      <c r="A170" s="1" t="s">
        <v>70</v>
      </c>
      <c r="B170" s="1" t="s">
        <v>63</v>
      </c>
      <c r="C170" s="6">
        <v>11.0</v>
      </c>
      <c r="D170" s="6">
        <v>1.0</v>
      </c>
    </row>
    <row r="171">
      <c r="A171" s="1" t="s">
        <v>70</v>
      </c>
      <c r="B171" s="1" t="s">
        <v>63</v>
      </c>
      <c r="C171" s="6">
        <v>12.0</v>
      </c>
      <c r="D171" s="6">
        <v>1.0</v>
      </c>
    </row>
    <row r="172">
      <c r="A172" s="1" t="s">
        <v>70</v>
      </c>
      <c r="B172" s="1" t="s">
        <v>63</v>
      </c>
      <c r="C172" s="6">
        <v>17.0</v>
      </c>
      <c r="D172" s="6">
        <v>1.0</v>
      </c>
    </row>
    <row r="173">
      <c r="A173" s="1" t="s">
        <v>70</v>
      </c>
      <c r="B173" s="1" t="s">
        <v>63</v>
      </c>
      <c r="C173" s="6">
        <v>18.0</v>
      </c>
      <c r="D173" s="6">
        <v>1.0</v>
      </c>
    </row>
    <row r="174">
      <c r="A174" s="1" t="s">
        <v>70</v>
      </c>
      <c r="B174" s="1" t="s">
        <v>63</v>
      </c>
      <c r="C174" s="6">
        <v>19.0</v>
      </c>
      <c r="D174" s="6">
        <v>1.0</v>
      </c>
    </row>
    <row r="175">
      <c r="A175" s="1" t="s">
        <v>70</v>
      </c>
      <c r="B175" s="1" t="s">
        <v>65</v>
      </c>
      <c r="C175" s="6">
        <v>1.0</v>
      </c>
      <c r="D175" s="6">
        <v>1.0</v>
      </c>
    </row>
    <row r="176">
      <c r="A176" s="1" t="s">
        <v>70</v>
      </c>
      <c r="B176" s="1" t="s">
        <v>65</v>
      </c>
      <c r="C176" s="6">
        <v>2.0</v>
      </c>
      <c r="D176" s="6">
        <v>1.0</v>
      </c>
    </row>
    <row r="177">
      <c r="A177" s="1" t="s">
        <v>70</v>
      </c>
      <c r="B177" s="1" t="s">
        <v>65</v>
      </c>
      <c r="C177" s="6">
        <v>3.0</v>
      </c>
      <c r="D177" s="6">
        <v>1.0</v>
      </c>
    </row>
    <row r="178">
      <c r="A178" s="1" t="s">
        <v>70</v>
      </c>
      <c r="B178" s="1" t="s">
        <v>65</v>
      </c>
      <c r="C178" s="6">
        <v>4.0</v>
      </c>
      <c r="D178" s="6">
        <v>1.0</v>
      </c>
    </row>
    <row r="179">
      <c r="A179" s="1" t="s">
        <v>70</v>
      </c>
      <c r="B179" s="1" t="s">
        <v>65</v>
      </c>
      <c r="C179" s="6">
        <v>5.0</v>
      </c>
      <c r="D179" s="6">
        <v>1.0</v>
      </c>
    </row>
    <row r="180">
      <c r="A180" s="1" t="s">
        <v>70</v>
      </c>
      <c r="B180" s="1" t="s">
        <v>65</v>
      </c>
      <c r="C180" s="6">
        <v>6.0</v>
      </c>
      <c r="D180" s="6">
        <v>1.0</v>
      </c>
    </row>
    <row r="181">
      <c r="A181" s="1" t="s">
        <v>70</v>
      </c>
      <c r="B181" s="1" t="s">
        <v>65</v>
      </c>
      <c r="C181" s="6">
        <v>7.0</v>
      </c>
      <c r="D181" s="6">
        <v>1.0</v>
      </c>
    </row>
    <row r="182">
      <c r="A182" s="1" t="s">
        <v>70</v>
      </c>
      <c r="B182" s="1" t="s">
        <v>65</v>
      </c>
      <c r="C182" s="6">
        <v>8.0</v>
      </c>
      <c r="D182" s="6">
        <v>1.0</v>
      </c>
    </row>
    <row r="183">
      <c r="A183" s="1" t="s">
        <v>70</v>
      </c>
      <c r="B183" s="1" t="s">
        <v>65</v>
      </c>
      <c r="C183" s="6">
        <v>9.0</v>
      </c>
      <c r="D183" s="6">
        <v>1.0</v>
      </c>
    </row>
    <row r="184">
      <c r="A184" s="1" t="s">
        <v>70</v>
      </c>
      <c r="B184" s="1" t="s">
        <v>65</v>
      </c>
      <c r="C184" s="6">
        <v>10.0</v>
      </c>
      <c r="D184" s="6">
        <v>1.0</v>
      </c>
    </row>
    <row r="185">
      <c r="A185" s="1" t="s">
        <v>70</v>
      </c>
      <c r="B185" s="1" t="s">
        <v>65</v>
      </c>
      <c r="C185" s="6">
        <v>11.0</v>
      </c>
      <c r="D185" s="6">
        <v>1.0</v>
      </c>
    </row>
    <row r="186">
      <c r="A186" s="1" t="s">
        <v>70</v>
      </c>
      <c r="B186" s="1" t="s">
        <v>65</v>
      </c>
      <c r="C186" s="6">
        <v>12.0</v>
      </c>
      <c r="D186" s="6">
        <v>1.0</v>
      </c>
    </row>
    <row r="187">
      <c r="A187" s="1" t="s">
        <v>70</v>
      </c>
      <c r="B187" s="1" t="s">
        <v>65</v>
      </c>
      <c r="C187" s="6">
        <v>13.0</v>
      </c>
      <c r="D187" s="6">
        <v>1.0</v>
      </c>
    </row>
    <row r="188">
      <c r="A188" s="1" t="s">
        <v>70</v>
      </c>
      <c r="B188" s="1" t="s">
        <v>65</v>
      </c>
      <c r="C188" s="6">
        <v>14.0</v>
      </c>
      <c r="D188" s="6">
        <v>1.0</v>
      </c>
    </row>
    <row r="189">
      <c r="A189" s="1" t="s">
        <v>70</v>
      </c>
      <c r="B189" s="1" t="s">
        <v>65</v>
      </c>
      <c r="C189" s="6">
        <v>15.0</v>
      </c>
      <c r="D189" s="6">
        <v>1.0</v>
      </c>
    </row>
    <row r="190">
      <c r="A190" s="1" t="s">
        <v>70</v>
      </c>
      <c r="B190" s="1" t="s">
        <v>65</v>
      </c>
      <c r="C190" s="6">
        <v>16.0</v>
      </c>
      <c r="D190" s="6">
        <v>1.0</v>
      </c>
    </row>
    <row r="191">
      <c r="A191" s="1" t="s">
        <v>70</v>
      </c>
      <c r="B191" s="1" t="s">
        <v>65</v>
      </c>
      <c r="C191" s="6">
        <v>17.0</v>
      </c>
      <c r="D191" s="6">
        <v>1.0</v>
      </c>
    </row>
    <row r="192">
      <c r="A192" s="1" t="s">
        <v>70</v>
      </c>
      <c r="B192" s="1" t="s">
        <v>65</v>
      </c>
      <c r="C192" s="6">
        <v>18.0</v>
      </c>
      <c r="D192" s="6">
        <v>1.0</v>
      </c>
    </row>
    <row r="193">
      <c r="A193" s="1" t="s">
        <v>70</v>
      </c>
      <c r="B193" s="1" t="s">
        <v>65</v>
      </c>
      <c r="C193" s="6">
        <v>19.0</v>
      </c>
      <c r="D193" s="6">
        <v>1.0</v>
      </c>
    </row>
    <row r="194">
      <c r="A194" s="1" t="s">
        <v>70</v>
      </c>
      <c r="B194" s="1" t="s">
        <v>65</v>
      </c>
      <c r="C194" s="6">
        <v>20.0</v>
      </c>
      <c r="D194" s="6">
        <v>1.0</v>
      </c>
    </row>
    <row r="195">
      <c r="A195" s="1" t="s">
        <v>70</v>
      </c>
      <c r="B195" s="1" t="s">
        <v>65</v>
      </c>
      <c r="C195" s="6">
        <v>21.0</v>
      </c>
      <c r="D195" s="6">
        <v>1.0</v>
      </c>
    </row>
    <row r="196">
      <c r="A196" s="1"/>
      <c r="B196" s="1"/>
      <c r="C196" s="6"/>
      <c r="D196" s="6"/>
    </row>
    <row r="197">
      <c r="A197" s="1"/>
      <c r="B197" s="1"/>
      <c r="C197" s="6"/>
      <c r="D197" s="6"/>
    </row>
    <row r="198">
      <c r="A198" s="1"/>
      <c r="B198" s="1"/>
      <c r="C198" s="6"/>
      <c r="D198" s="6"/>
    </row>
    <row r="199">
      <c r="A199" s="1"/>
      <c r="B199" s="1"/>
      <c r="C199" s="6"/>
      <c r="D199" s="6"/>
    </row>
    <row r="200">
      <c r="A200" s="1"/>
      <c r="B200" s="1"/>
      <c r="C200" s="6"/>
      <c r="D200" s="6"/>
    </row>
    <row r="201">
      <c r="A201" s="1"/>
      <c r="B201" s="1"/>
      <c r="C201" s="6"/>
      <c r="D201" s="6"/>
    </row>
    <row r="202">
      <c r="A202" s="1"/>
      <c r="B202" s="1"/>
      <c r="C202" s="6"/>
      <c r="D202" s="6"/>
    </row>
    <row r="203">
      <c r="A203" s="1"/>
      <c r="B203" s="1"/>
      <c r="C203" s="6"/>
      <c r="D203" s="6"/>
    </row>
    <row r="204">
      <c r="A204" s="1"/>
      <c r="B204" s="1"/>
      <c r="C204" s="6"/>
      <c r="D204" s="6"/>
    </row>
    <row r="205">
      <c r="A205" s="1"/>
      <c r="B205" s="1"/>
      <c r="C205" s="6"/>
      <c r="D205" s="6"/>
    </row>
    <row r="206">
      <c r="A206" s="1"/>
      <c r="B206" s="1"/>
      <c r="C206" s="6"/>
      <c r="D206" s="6"/>
    </row>
    <row r="207">
      <c r="A207" s="1"/>
      <c r="B207" s="1"/>
      <c r="C207" s="6"/>
      <c r="D207" s="6"/>
    </row>
    <row r="208">
      <c r="A208" s="1"/>
      <c r="B208" s="1"/>
      <c r="C208" s="6"/>
      <c r="D208" s="6"/>
    </row>
    <row r="209">
      <c r="A209" s="1"/>
      <c r="B209" s="1"/>
      <c r="C209" s="6"/>
      <c r="D209" s="6"/>
    </row>
    <row r="210">
      <c r="A210" s="1"/>
      <c r="B210" s="1"/>
      <c r="C210" s="6"/>
      <c r="D210" s="6"/>
    </row>
    <row r="211">
      <c r="A211" s="1"/>
      <c r="B211" s="1"/>
      <c r="C211" s="6"/>
      <c r="D211" s="6"/>
    </row>
    <row r="212">
      <c r="A212" s="1"/>
      <c r="B212" s="1"/>
      <c r="C212" s="6"/>
      <c r="D212" s="6"/>
    </row>
    <row r="213">
      <c r="A213" s="1"/>
      <c r="B213" s="1"/>
      <c r="C213" s="6"/>
      <c r="D213" s="6"/>
    </row>
    <row r="214">
      <c r="A214" s="1"/>
      <c r="B214" s="1"/>
      <c r="C214" s="6"/>
      <c r="D214" s="6"/>
    </row>
    <row r="215">
      <c r="A215" s="1"/>
      <c r="B215" s="1"/>
      <c r="C215" s="6"/>
      <c r="D215" s="6"/>
    </row>
    <row r="216">
      <c r="A216" s="1"/>
      <c r="B216" s="1"/>
      <c r="C216" s="6"/>
      <c r="D216" s="6"/>
    </row>
    <row r="217">
      <c r="A217" s="1"/>
      <c r="B217" s="1"/>
      <c r="C217" s="6"/>
      <c r="D217" s="6"/>
    </row>
    <row r="218">
      <c r="A218" s="1"/>
      <c r="B218" s="1"/>
      <c r="C218" s="6"/>
      <c r="D218" s="6"/>
    </row>
    <row r="219">
      <c r="A219" s="1"/>
      <c r="B219" s="1"/>
      <c r="C219" s="6"/>
      <c r="D219" s="6"/>
    </row>
    <row r="220">
      <c r="A220" s="1"/>
      <c r="B220" s="1"/>
      <c r="C220" s="6"/>
      <c r="D220" s="6"/>
    </row>
    <row r="221">
      <c r="A221" s="1"/>
      <c r="B221" s="1"/>
      <c r="C221" s="6"/>
      <c r="D221" s="6"/>
    </row>
    <row r="222">
      <c r="A222" s="1"/>
      <c r="B222" s="1"/>
      <c r="C222" s="6"/>
      <c r="D222" s="6"/>
    </row>
    <row r="223">
      <c r="A223" s="1"/>
      <c r="B223" s="1"/>
      <c r="C223" s="6"/>
      <c r="D223" s="6"/>
    </row>
    <row r="224">
      <c r="A224" s="1"/>
      <c r="B224" s="1"/>
      <c r="C224" s="6"/>
      <c r="D224" s="6"/>
    </row>
    <row r="225">
      <c r="A225" s="1"/>
      <c r="B225" s="1"/>
      <c r="C225" s="6"/>
      <c r="D225" s="6"/>
    </row>
    <row r="226">
      <c r="A226" s="1"/>
      <c r="B226" s="1"/>
      <c r="C226" s="6"/>
      <c r="D226" s="6"/>
    </row>
    <row r="227">
      <c r="A227" s="1"/>
      <c r="B227" s="1"/>
      <c r="C227" s="6"/>
      <c r="D227" s="6"/>
    </row>
    <row r="228">
      <c r="A228" s="1"/>
      <c r="B228" s="1"/>
      <c r="C228" s="6"/>
      <c r="D228" s="6"/>
    </row>
    <row r="229">
      <c r="A229" s="1"/>
      <c r="B229" s="1"/>
      <c r="C229" s="6"/>
      <c r="D229" s="6"/>
    </row>
    <row r="230">
      <c r="A230" s="1"/>
      <c r="B230" s="1"/>
      <c r="C230" s="6"/>
      <c r="D230" s="6"/>
    </row>
    <row r="231">
      <c r="A231" s="1"/>
      <c r="B231" s="1"/>
      <c r="C231" s="6"/>
      <c r="D231" s="6"/>
    </row>
    <row r="232">
      <c r="A232" s="1"/>
      <c r="B232" s="1"/>
      <c r="C232" s="6"/>
      <c r="D232" s="6"/>
    </row>
    <row r="233">
      <c r="A233" s="1"/>
      <c r="B233" s="1"/>
      <c r="C233" s="6"/>
      <c r="D233" s="6"/>
    </row>
    <row r="234">
      <c r="A234" s="1"/>
      <c r="B234" s="1"/>
      <c r="C234" s="6"/>
      <c r="D234" s="6"/>
    </row>
    <row r="235">
      <c r="A235" s="1"/>
      <c r="B235" s="1"/>
      <c r="C235" s="6"/>
      <c r="D235" s="6"/>
    </row>
    <row r="236">
      <c r="A236" s="1"/>
      <c r="B236" s="1"/>
      <c r="C236" s="6"/>
      <c r="D236" s="6"/>
    </row>
    <row r="237">
      <c r="A237" s="1"/>
      <c r="B237" s="1"/>
      <c r="C237" s="6"/>
      <c r="D237" s="6"/>
    </row>
    <row r="238">
      <c r="A238" s="1"/>
      <c r="B238" s="1"/>
      <c r="C238" s="6"/>
      <c r="D238" s="6"/>
    </row>
    <row r="239">
      <c r="A239" s="1"/>
      <c r="B239" s="1"/>
      <c r="C239" s="6"/>
      <c r="D239" s="6"/>
    </row>
    <row r="240">
      <c r="A240" s="1"/>
      <c r="B240" s="1"/>
      <c r="C240" s="6"/>
      <c r="D240" s="6"/>
    </row>
    <row r="241">
      <c r="A241" s="1"/>
      <c r="B241" s="1"/>
      <c r="C241" s="6"/>
      <c r="D241" s="6"/>
    </row>
    <row r="242">
      <c r="A242" s="1"/>
      <c r="B242" s="1"/>
      <c r="C242" s="6"/>
      <c r="D242" s="6"/>
    </row>
    <row r="243">
      <c r="A243" s="1"/>
      <c r="B243" s="1"/>
      <c r="C243" s="6"/>
      <c r="D243" s="6"/>
    </row>
    <row r="244">
      <c r="A244" s="1"/>
      <c r="B244" s="1"/>
      <c r="C244" s="6"/>
      <c r="D244" s="6"/>
    </row>
    <row r="245">
      <c r="A245" s="1"/>
      <c r="B245" s="1"/>
      <c r="C245" s="6"/>
      <c r="D245" s="6"/>
    </row>
    <row r="246">
      <c r="A246" s="1"/>
      <c r="B246" s="1"/>
      <c r="C246" s="6"/>
      <c r="D246" s="6"/>
    </row>
    <row r="247">
      <c r="A247" s="1"/>
      <c r="B247" s="1"/>
      <c r="C247" s="6"/>
      <c r="D247" s="6"/>
    </row>
    <row r="248">
      <c r="A248" s="1"/>
      <c r="B248" s="1"/>
      <c r="C248" s="6"/>
      <c r="D248" s="6"/>
    </row>
    <row r="249">
      <c r="A249" s="1"/>
      <c r="B249" s="1"/>
      <c r="C249" s="6"/>
      <c r="D249" s="6"/>
    </row>
    <row r="250">
      <c r="A250" s="1"/>
      <c r="B250" s="1"/>
      <c r="C250" s="6"/>
      <c r="D250" s="6"/>
    </row>
    <row r="251">
      <c r="A251" s="1"/>
      <c r="B251" s="1"/>
      <c r="C251" s="6"/>
      <c r="D251" s="6"/>
    </row>
    <row r="252">
      <c r="A252" s="1"/>
      <c r="B252" s="1"/>
      <c r="C252" s="6"/>
      <c r="D252" s="6"/>
    </row>
    <row r="253">
      <c r="A253" s="1"/>
      <c r="B253" s="1"/>
      <c r="C253" s="6"/>
      <c r="D253" s="6"/>
    </row>
    <row r="254">
      <c r="A254" s="1"/>
      <c r="B254" s="1"/>
      <c r="C254" s="6"/>
      <c r="D254" s="6"/>
    </row>
    <row r="255">
      <c r="A255" s="1"/>
      <c r="B255" s="1"/>
      <c r="C255" s="6"/>
      <c r="D255" s="6"/>
    </row>
    <row r="256">
      <c r="A256" s="1"/>
      <c r="B256" s="1"/>
      <c r="C256" s="6"/>
      <c r="D256" s="6"/>
    </row>
    <row r="257">
      <c r="A257" s="1"/>
      <c r="B257" s="1"/>
      <c r="C257" s="6"/>
      <c r="D257" s="6"/>
    </row>
    <row r="258">
      <c r="A258" s="1"/>
      <c r="B258" s="1"/>
      <c r="C258" s="6"/>
      <c r="D258" s="6"/>
    </row>
    <row r="259">
      <c r="A259" s="1"/>
      <c r="B259" s="1"/>
      <c r="C259" s="6"/>
      <c r="D259" s="6"/>
    </row>
    <row r="260">
      <c r="A260" s="1"/>
      <c r="B260" s="1"/>
      <c r="C260" s="6"/>
      <c r="D260" s="6"/>
    </row>
    <row r="261">
      <c r="A261" s="1"/>
      <c r="B261" s="1"/>
      <c r="C261" s="6"/>
      <c r="D261" s="6"/>
    </row>
    <row r="262">
      <c r="A262" s="1"/>
      <c r="B262" s="1"/>
      <c r="C262" s="6"/>
      <c r="D262" s="6"/>
    </row>
    <row r="263">
      <c r="A263" s="1"/>
      <c r="B263" s="1"/>
      <c r="C263" s="6"/>
      <c r="D263" s="6"/>
    </row>
    <row r="264">
      <c r="A264" s="1"/>
      <c r="B264" s="1"/>
      <c r="C264" s="6"/>
      <c r="D264" s="6"/>
    </row>
    <row r="265">
      <c r="A265" s="1"/>
      <c r="B265" s="1"/>
      <c r="C265" s="6"/>
      <c r="D265" s="6"/>
    </row>
    <row r="266">
      <c r="A266" s="1"/>
      <c r="B266" s="1"/>
      <c r="C266" s="6"/>
      <c r="D266" s="6"/>
    </row>
    <row r="267">
      <c r="A267" s="1"/>
      <c r="B267" s="1"/>
      <c r="C267" s="6"/>
      <c r="D267" s="6"/>
    </row>
    <row r="268">
      <c r="A268" s="1"/>
      <c r="B268" s="1"/>
      <c r="C268" s="6"/>
      <c r="D268" s="6"/>
    </row>
    <row r="269">
      <c r="A269" s="1"/>
      <c r="B269" s="1"/>
      <c r="C269" s="6"/>
      <c r="D269" s="6"/>
    </row>
    <row r="270">
      <c r="A270" s="1"/>
      <c r="B270" s="1"/>
      <c r="C270" s="6"/>
      <c r="D270" s="6"/>
    </row>
    <row r="271">
      <c r="A271" s="1"/>
      <c r="B271" s="1"/>
      <c r="C271" s="6"/>
      <c r="D271" s="6"/>
    </row>
    <row r="272">
      <c r="A272" s="1"/>
      <c r="B272" s="1"/>
      <c r="C272" s="6"/>
      <c r="D272" s="6"/>
    </row>
    <row r="273">
      <c r="A273" s="1"/>
      <c r="B273" s="1"/>
      <c r="C273" s="6"/>
      <c r="D273" s="6"/>
    </row>
    <row r="274">
      <c r="A274" s="1"/>
      <c r="B274" s="1"/>
      <c r="C274" s="6"/>
      <c r="D274" s="6"/>
    </row>
    <row r="275">
      <c r="A275" s="1"/>
      <c r="B275" s="1"/>
      <c r="C275" s="6"/>
      <c r="D275" s="6"/>
    </row>
    <row r="276">
      <c r="A276" s="1"/>
      <c r="B276" s="1"/>
      <c r="C276" s="6"/>
      <c r="D276" s="6"/>
    </row>
    <row r="277">
      <c r="A277" s="1"/>
      <c r="B277" s="1"/>
      <c r="C277" s="6"/>
      <c r="D277" s="6"/>
    </row>
    <row r="278">
      <c r="A278" s="1"/>
      <c r="B278" s="1"/>
      <c r="C278" s="6"/>
      <c r="D278" s="6"/>
    </row>
    <row r="279">
      <c r="A279" s="1"/>
      <c r="B279" s="1"/>
      <c r="C279" s="6"/>
      <c r="D279" s="6"/>
    </row>
    <row r="280">
      <c r="A280" s="1"/>
      <c r="B280" s="1"/>
      <c r="C280" s="6"/>
      <c r="D280" s="6"/>
    </row>
    <row r="281">
      <c r="A281" s="1"/>
      <c r="B281" s="1"/>
      <c r="C281" s="6"/>
      <c r="D281" s="6"/>
    </row>
    <row r="282">
      <c r="A282" s="1"/>
      <c r="B282" s="1"/>
      <c r="C282" s="6"/>
      <c r="D282" s="6"/>
    </row>
    <row r="283">
      <c r="A283" s="1"/>
      <c r="B283" s="1"/>
      <c r="C283" s="6"/>
      <c r="D283" s="6"/>
    </row>
    <row r="284">
      <c r="A284" s="1"/>
      <c r="B284" s="1"/>
      <c r="C284" s="6"/>
      <c r="D284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5.13"/>
    <col customWidth="1" min="3" max="4" width="11.13"/>
    <col hidden="1" min="5" max="5" width="12.63"/>
  </cols>
  <sheetData>
    <row r="1">
      <c r="A1" s="9" t="s">
        <v>8</v>
      </c>
      <c r="B1" s="9" t="s">
        <v>10</v>
      </c>
      <c r="C1" s="9" t="s">
        <v>11</v>
      </c>
      <c r="D1" s="9"/>
    </row>
    <row r="2">
      <c r="A2" s="12" t="str">
        <f>RR_v2!A1</f>
        <v>River Rush</v>
      </c>
      <c r="B2" s="14" t="s">
        <v>17</v>
      </c>
      <c r="C2" s="14" t="s">
        <v>25</v>
      </c>
    </row>
    <row r="3">
      <c r="A3" s="18" t="str">
        <f>NS_v2!A1</f>
        <v>Night Sky (5 Segment) - weekend (⚠️ WARNING: This sheet no longe represents the NS_v2, it's the Weekend version of NS_v2 instead)</v>
      </c>
      <c r="B3" s="20" t="s">
        <v>36</v>
      </c>
      <c r="C3" s="20" t="s">
        <v>38</v>
      </c>
    </row>
    <row r="4">
      <c r="A4" s="12" t="str">
        <f>J_v2!A1</f>
        <v>Jigsaw Puzzle</v>
      </c>
      <c r="B4" s="14" t="s">
        <v>44</v>
      </c>
      <c r="C4" s="14" t="s">
        <v>49</v>
      </c>
    </row>
    <row r="5">
      <c r="A5" s="18" t="str">
        <f>TaD_v2!A1</f>
        <v>Target Day</v>
      </c>
      <c r="B5" s="20" t="s">
        <v>62</v>
      </c>
      <c r="C5" s="20" t="s">
        <v>64</v>
      </c>
    </row>
    <row r="6">
      <c r="A6" s="12" t="str">
        <f>c_day_v2!A1</f>
        <v>Daily Rewards - NEW</v>
      </c>
      <c r="B6" s="14" t="s">
        <v>66</v>
      </c>
      <c r="C6" s="14" t="s">
        <v>67</v>
      </c>
    </row>
    <row r="7">
      <c r="A7" s="18" t="str">
        <f>c_saga_v2!A1</f>
        <v>Saga Progression - NEW</v>
      </c>
      <c r="B7" s="38" t="s">
        <v>68</v>
      </c>
      <c r="C7" s="20" t="s">
        <v>69</v>
      </c>
    </row>
    <row r="8">
      <c r="A8" s="12" t="str">
        <f>F_v2!A1</f>
        <v>Flock Flurry</v>
      </c>
      <c r="B8" s="14" t="s">
        <v>71</v>
      </c>
      <c r="C8" s="14" t="s">
        <v>72</v>
      </c>
    </row>
    <row r="9">
      <c r="A9" s="18" t="str">
        <f>Ki_v2!A1</f>
        <v>Kite Festival</v>
      </c>
      <c r="B9" s="20" t="s">
        <v>74</v>
      </c>
      <c r="C9" s="20" t="s">
        <v>75</v>
      </c>
    </row>
    <row r="10">
      <c r="A10" s="12" t="str">
        <f>BB_v2!A1</f>
        <v>Bomb's Ballet</v>
      </c>
      <c r="B10" s="14" t="s">
        <v>77</v>
      </c>
      <c r="C10" s="14" t="s">
        <v>78</v>
      </c>
    </row>
    <row r="11">
      <c r="A11" s="18" t="str">
        <f>Ph_v2!A1</f>
        <v>Photoshoot</v>
      </c>
      <c r="B11" s="20" t="s">
        <v>79</v>
      </c>
      <c r="C11" s="20" t="s">
        <v>80</v>
      </c>
    </row>
    <row r="12">
      <c r="A12" s="12" t="str">
        <f>Race_v2!A1</f>
        <v>All LB Challenges</v>
      </c>
      <c r="B12" s="14" t="s">
        <v>81</v>
      </c>
      <c r="C12" s="14" t="s">
        <v>82</v>
      </c>
    </row>
    <row r="13">
      <c r="A13" s="18" t="str">
        <f>HH_v2!A1</f>
        <v>Hatchling Hideaway</v>
      </c>
      <c r="B13" s="20" t="s">
        <v>83</v>
      </c>
      <c r="C13" s="20" t="s">
        <v>84</v>
      </c>
    </row>
    <row r="14">
      <c r="A14" s="12" t="s">
        <v>85</v>
      </c>
      <c r="B14" s="14" t="s">
        <v>85</v>
      </c>
      <c r="C14" s="14" t="s">
        <v>86</v>
      </c>
      <c r="E14" s="62"/>
    </row>
    <row r="15">
      <c r="A15" s="18" t="s">
        <v>87</v>
      </c>
      <c r="B15" s="20" t="s">
        <v>87</v>
      </c>
      <c r="C15" s="20" t="s">
        <v>88</v>
      </c>
      <c r="E15" s="63"/>
    </row>
    <row r="16">
      <c r="A16" s="65" t="s">
        <v>89</v>
      </c>
      <c r="B16" s="66" t="s">
        <v>90</v>
      </c>
      <c r="C16" s="68" t="s">
        <v>91</v>
      </c>
      <c r="D16" s="68" t="s">
        <v>92</v>
      </c>
      <c r="E16" s="69"/>
    </row>
    <row r="17">
      <c r="A17" s="70"/>
      <c r="B17" s="71"/>
      <c r="C17" s="72"/>
      <c r="D17" s="73"/>
      <c r="E17" s="74"/>
    </row>
  </sheetData>
  <mergeCells count="14">
    <mergeCell ref="C9:D9"/>
    <mergeCell ref="C10:D10"/>
    <mergeCell ref="C11:D11"/>
    <mergeCell ref="C12:D12"/>
    <mergeCell ref="C13:D13"/>
    <mergeCell ref="C14:D14"/>
    <mergeCell ref="C15:D15"/>
    <mergeCell ref="C2:D2"/>
    <mergeCell ref="C3:D3"/>
    <mergeCell ref="C4:D4"/>
    <mergeCell ref="C5:D5"/>
    <mergeCell ref="C6:D6"/>
    <mergeCell ref="C7:D7"/>
    <mergeCell ref="C8:D8"/>
  </mergeCells>
  <hyperlinks>
    <hyperlink display="RR" location="RR!A1" ref="B2"/>
    <hyperlink display="RR_v2" location="RR_v2!A1" ref="C2"/>
    <hyperlink display="NS" location="NS!A1" ref="B3"/>
    <hyperlink display="NS_v2" location="NS_v2!A1" ref="C3"/>
    <hyperlink display="J" location="J!A1" ref="B4"/>
    <hyperlink display="J_v2" location="J_v2!A1" ref="C4"/>
    <hyperlink display="TaD" location="TaD!A1" ref="B5"/>
    <hyperlink display="TaD_v2" location="TaD_v2!A1" ref="C5"/>
    <hyperlink display="c_day" location="c_day!A1" ref="B6"/>
    <hyperlink display="c_day_v2" location="c_day_v2!A1" ref="C6"/>
    <hyperlink display="c_saga" location="c_saga!A1" ref="B7"/>
    <hyperlink display="c_saga_v2" location="c_saga_v2!A1" ref="C7"/>
    <hyperlink display="F" location="F!A1" ref="B8"/>
    <hyperlink display="F_v2" location="F_v2!A1" ref="C8"/>
    <hyperlink display="Ki" location="Ki!A1" ref="B9"/>
    <hyperlink display="Ki_v2" location="Ki_v2!A1" ref="C9"/>
    <hyperlink display="BB" location="BB!A1" ref="B10"/>
    <hyperlink display="BB_v2" location="BB_v2!A1" ref="C10"/>
    <hyperlink display="Ph" location="Ph!A1" ref="B11"/>
    <hyperlink display="Ph_v2" location="Ph_v2!A1" ref="C11"/>
    <hyperlink display="Race" location="Race!A1" ref="B12"/>
    <hyperlink display="Race_v2" location="Race_v2!A1" ref="C12"/>
    <hyperlink display="HH" location="HH!A1" ref="B13"/>
    <hyperlink display="HH_v2" location="HH_v2!A1" ref="C13"/>
    <hyperlink display="SP" location="SP!A1" ref="B14"/>
    <hyperlink display="SP_v2" location="SP_v2!A1" ref="C14"/>
    <hyperlink display="SP_lb" location="SP_lb!A1" ref="B15"/>
    <hyperlink display="SP_lb_v2" location="SP_lb_v2!A1" ref="C15"/>
    <hyperlink display="RM_1st" location="RM_1st!A1" ref="C16"/>
    <hyperlink display="RM_2nd" location="RM_2nd!A1" ref="D16"/>
  </hyperlin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38" width="9.38"/>
    <col hidden="1" min="41" max="42" width="12.63"/>
  </cols>
  <sheetData>
    <row r="1" ht="17.25" customHeight="1">
      <c r="A1" s="2" t="s">
        <v>2</v>
      </c>
      <c r="B1" s="4"/>
      <c r="C1" s="8"/>
      <c r="D1" s="4"/>
      <c r="E1" s="4"/>
      <c r="F1" s="8"/>
      <c r="G1" s="4"/>
      <c r="H1" s="4"/>
      <c r="I1" s="8"/>
      <c r="J1" s="4"/>
      <c r="K1" s="4"/>
      <c r="L1" s="8"/>
      <c r="M1" s="4"/>
      <c r="N1" s="4"/>
      <c r="O1" s="8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  <row r="2" ht="15.0" customHeight="1">
      <c r="A2" s="10"/>
      <c r="B2" s="4"/>
      <c r="C2" s="8"/>
      <c r="D2" s="4"/>
      <c r="E2" s="4"/>
      <c r="F2" s="8"/>
      <c r="G2" s="4"/>
      <c r="H2" s="4"/>
      <c r="I2" s="8"/>
      <c r="J2" s="4"/>
      <c r="K2" s="4"/>
      <c r="L2" s="8"/>
      <c r="M2" s="4"/>
      <c r="N2" s="4"/>
      <c r="O2" s="8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</row>
    <row r="3" ht="15.0" customHeight="1">
      <c r="A3" s="10"/>
      <c r="B3" s="13" t="s">
        <v>19</v>
      </c>
      <c r="C3" s="8"/>
      <c r="D3" s="4"/>
      <c r="E3" s="13" t="s">
        <v>21</v>
      </c>
      <c r="F3" s="8"/>
      <c r="G3" s="4"/>
      <c r="H3" s="13" t="s">
        <v>22</v>
      </c>
      <c r="I3" s="8"/>
      <c r="J3" s="4"/>
      <c r="K3" s="13" t="s">
        <v>24</v>
      </c>
      <c r="L3" s="8"/>
      <c r="M3" s="4"/>
      <c r="N3" s="13" t="s">
        <v>26</v>
      </c>
      <c r="O3" s="8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16" t="s">
        <v>28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>
      <c r="A4" s="19" t="s">
        <v>30</v>
      </c>
      <c r="B4" s="19" t="s">
        <v>32</v>
      </c>
      <c r="C4" s="17" t="s">
        <v>33</v>
      </c>
      <c r="D4" s="19" t="s">
        <v>34</v>
      </c>
      <c r="E4" s="19" t="s">
        <v>32</v>
      </c>
      <c r="F4" s="17" t="s">
        <v>33</v>
      </c>
      <c r="G4" s="19" t="s">
        <v>34</v>
      </c>
      <c r="H4" s="19" t="s">
        <v>32</v>
      </c>
      <c r="I4" s="17" t="s">
        <v>33</v>
      </c>
      <c r="J4" s="19" t="s">
        <v>34</v>
      </c>
      <c r="K4" s="19" t="s">
        <v>32</v>
      </c>
      <c r="L4" s="17" t="s">
        <v>33</v>
      </c>
      <c r="M4" s="19" t="s">
        <v>34</v>
      </c>
      <c r="N4" s="19" t="s">
        <v>32</v>
      </c>
      <c r="O4" s="17" t="s">
        <v>33</v>
      </c>
      <c r="P4" s="19" t="s">
        <v>34</v>
      </c>
      <c r="Q4" s="24"/>
      <c r="R4" s="26" t="s">
        <v>39</v>
      </c>
      <c r="W4" s="23"/>
      <c r="X4" s="24"/>
      <c r="Y4" s="28" t="s">
        <v>43</v>
      </c>
      <c r="Z4" s="28" t="s">
        <v>45</v>
      </c>
      <c r="AA4" s="4"/>
      <c r="AB4" s="30" t="s">
        <v>46</v>
      </c>
      <c r="AC4" s="30" t="s">
        <v>47</v>
      </c>
      <c r="AD4" s="30" t="s">
        <v>48</v>
      </c>
      <c r="AE4" s="30" t="s">
        <v>50</v>
      </c>
      <c r="AF4" s="30" t="s">
        <v>52</v>
      </c>
      <c r="AG4" s="30" t="s">
        <v>53</v>
      </c>
      <c r="AH4" s="30" t="s">
        <v>54</v>
      </c>
      <c r="AI4" s="33" t="s">
        <v>55</v>
      </c>
      <c r="AJ4" s="30" t="s">
        <v>56</v>
      </c>
      <c r="AK4" s="30" t="s">
        <v>57</v>
      </c>
      <c r="AL4" s="30" t="s">
        <v>58</v>
      </c>
      <c r="AM4" s="33" t="s">
        <v>59</v>
      </c>
      <c r="AN4" s="24"/>
      <c r="AO4" s="30" t="s">
        <v>60</v>
      </c>
      <c r="AP4" s="30" t="s">
        <v>61</v>
      </c>
      <c r="AQ4" s="24"/>
    </row>
    <row r="5" ht="15.0" customHeight="1">
      <c r="A5" s="36">
        <v>1.0</v>
      </c>
      <c r="B5" s="32">
        <v>10.0</v>
      </c>
      <c r="C5" s="37">
        <v>1.0</v>
      </c>
      <c r="D5" s="35">
        <v>10.0</v>
      </c>
      <c r="E5" s="32">
        <v>10.0</v>
      </c>
      <c r="F5" s="37">
        <v>1.0</v>
      </c>
      <c r="G5" s="35">
        <v>10.0</v>
      </c>
      <c r="H5" s="32">
        <v>10.0</v>
      </c>
      <c r="I5" s="37">
        <v>1.0</v>
      </c>
      <c r="J5" s="35">
        <v>10.0</v>
      </c>
      <c r="K5" s="32">
        <v>10.0</v>
      </c>
      <c r="L5" s="37">
        <v>1.0</v>
      </c>
      <c r="M5" s="35">
        <v>10.0</v>
      </c>
      <c r="N5" s="32">
        <v>10.0</v>
      </c>
      <c r="O5" s="37">
        <v>1.0</v>
      </c>
      <c r="P5" s="35">
        <v>10.0</v>
      </c>
      <c r="Q5" s="5"/>
      <c r="R5" s="39"/>
      <c r="S5" s="40">
        <v>10.0</v>
      </c>
      <c r="T5" s="41"/>
      <c r="U5" s="40">
        <v>15.0</v>
      </c>
      <c r="V5" s="41"/>
      <c r="W5" s="42"/>
      <c r="X5" s="5"/>
      <c r="Y5" s="43">
        <v>15.0</v>
      </c>
      <c r="Z5" s="44">
        <v>10.0</v>
      </c>
      <c r="AA5" s="5"/>
      <c r="AB5" s="45">
        <v>0.0</v>
      </c>
      <c r="AC5" s="46">
        <v>0.0</v>
      </c>
      <c r="AD5" s="47">
        <v>0.0</v>
      </c>
      <c r="AE5" s="47">
        <v>0.0</v>
      </c>
      <c r="AF5" s="47">
        <v>0.0</v>
      </c>
      <c r="AG5" s="47">
        <v>0.0</v>
      </c>
      <c r="AH5" s="47">
        <v>0.0</v>
      </c>
      <c r="AI5" s="48">
        <v>15.0</v>
      </c>
      <c r="AJ5" s="47">
        <v>0.0</v>
      </c>
      <c r="AK5" s="47">
        <v>0.0</v>
      </c>
      <c r="AL5" s="49">
        <v>0.0</v>
      </c>
      <c r="AM5" s="50">
        <v>62.55</v>
      </c>
      <c r="AN5" s="4">
        <v>100.0</v>
      </c>
      <c r="AO5" s="51" t="s">
        <v>76</v>
      </c>
      <c r="AP5" s="16"/>
      <c r="AQ5" s="4">
        <v>-37.45</v>
      </c>
    </row>
    <row r="6" ht="15.0" customHeight="1">
      <c r="A6" s="52">
        <v>2.0</v>
      </c>
      <c r="B6" s="53">
        <v>10.0</v>
      </c>
      <c r="C6" s="54">
        <v>1.0</v>
      </c>
      <c r="D6" s="55">
        <v>0.0</v>
      </c>
      <c r="E6" s="53">
        <v>10.0</v>
      </c>
      <c r="F6" s="54">
        <v>1.0</v>
      </c>
      <c r="G6" s="55">
        <v>0.0</v>
      </c>
      <c r="H6" s="53">
        <v>10.0</v>
      </c>
      <c r="I6" s="54">
        <v>1.0</v>
      </c>
      <c r="J6" s="55">
        <v>0.0</v>
      </c>
      <c r="K6" s="53">
        <v>10.0</v>
      </c>
      <c r="L6" s="54">
        <v>1.0</v>
      </c>
      <c r="M6" s="55">
        <v>0.0</v>
      </c>
      <c r="N6" s="53">
        <v>10.0</v>
      </c>
      <c r="O6" s="54">
        <v>1.0</v>
      </c>
      <c r="P6" s="55">
        <v>0.0</v>
      </c>
      <c r="Q6" s="5"/>
      <c r="R6" s="39"/>
      <c r="S6" s="40">
        <v>1.0</v>
      </c>
      <c r="T6" s="41"/>
      <c r="U6" s="40">
        <v>15.0</v>
      </c>
      <c r="V6" s="41"/>
      <c r="W6" s="42"/>
      <c r="X6" s="5"/>
      <c r="Y6" s="43">
        <v>15.0</v>
      </c>
      <c r="Z6" s="44">
        <v>10.0</v>
      </c>
      <c r="AA6" s="5"/>
      <c r="AB6" s="56">
        <v>0.0</v>
      </c>
      <c r="AC6" s="48">
        <v>1.0</v>
      </c>
      <c r="AD6" s="57">
        <v>0.0</v>
      </c>
      <c r="AE6" s="48">
        <v>0.0</v>
      </c>
      <c r="AF6" s="48">
        <v>0.0</v>
      </c>
      <c r="AG6" s="48">
        <v>0.0</v>
      </c>
      <c r="AH6" s="48">
        <v>0.0</v>
      </c>
      <c r="AI6" s="48">
        <v>15.0</v>
      </c>
      <c r="AJ6" s="48">
        <v>0.0</v>
      </c>
      <c r="AK6" s="48">
        <v>0.0</v>
      </c>
      <c r="AL6" s="58">
        <v>0.0</v>
      </c>
      <c r="AM6" s="50">
        <v>95.55</v>
      </c>
      <c r="AN6" s="4">
        <v>112.55</v>
      </c>
      <c r="AO6" s="59" t="s">
        <v>46</v>
      </c>
      <c r="AP6" s="4"/>
      <c r="AQ6" s="4">
        <v>-17.0</v>
      </c>
    </row>
    <row r="7" ht="15.0" customHeight="1">
      <c r="A7" s="52">
        <v>3.0</v>
      </c>
      <c r="B7" s="53">
        <v>10.0</v>
      </c>
      <c r="C7" s="54">
        <v>2.0</v>
      </c>
      <c r="D7" s="55">
        <v>10.0</v>
      </c>
      <c r="E7" s="53">
        <v>10.0</v>
      </c>
      <c r="F7" s="54">
        <v>2.0</v>
      </c>
      <c r="G7" s="55">
        <v>10.0</v>
      </c>
      <c r="H7" s="53">
        <v>10.0</v>
      </c>
      <c r="I7" s="54">
        <v>2.0</v>
      </c>
      <c r="J7" s="55">
        <v>10.0</v>
      </c>
      <c r="K7" s="53">
        <v>10.0</v>
      </c>
      <c r="L7" s="54">
        <v>2.0</v>
      </c>
      <c r="M7" s="55">
        <v>10.0</v>
      </c>
      <c r="N7" s="53">
        <v>10.0</v>
      </c>
      <c r="O7" s="54">
        <v>2.0</v>
      </c>
      <c r="P7" s="55">
        <v>10.0</v>
      </c>
      <c r="Q7" s="5"/>
      <c r="R7" s="39"/>
      <c r="S7" s="40">
        <v>10.0</v>
      </c>
      <c r="T7" s="41"/>
      <c r="U7" s="40">
        <v>15.0</v>
      </c>
      <c r="V7" s="41"/>
      <c r="W7" s="42"/>
      <c r="X7" s="5"/>
      <c r="Y7" s="43">
        <v>15.0</v>
      </c>
      <c r="Z7" s="44">
        <v>10.0</v>
      </c>
      <c r="AA7" s="5"/>
      <c r="AB7" s="56">
        <v>0.0</v>
      </c>
      <c r="AC7" s="48">
        <v>0.0</v>
      </c>
      <c r="AD7" s="48">
        <v>0.0</v>
      </c>
      <c r="AE7" s="57">
        <v>0.0</v>
      </c>
      <c r="AF7" s="48">
        <v>0.0</v>
      </c>
      <c r="AG7" s="48">
        <v>0.0</v>
      </c>
      <c r="AH7" s="48">
        <v>0.0</v>
      </c>
      <c r="AI7" s="48">
        <v>15.0</v>
      </c>
      <c r="AJ7" s="48">
        <v>0.0</v>
      </c>
      <c r="AK7" s="48">
        <v>0.0</v>
      </c>
      <c r="AL7" s="58">
        <v>0.0</v>
      </c>
      <c r="AM7" s="50">
        <v>62.55</v>
      </c>
      <c r="AN7" s="4">
        <v>95.55</v>
      </c>
      <c r="AO7" s="59" t="s">
        <v>47</v>
      </c>
      <c r="AP7" s="16"/>
      <c r="AQ7" s="4">
        <v>-33.0</v>
      </c>
    </row>
    <row r="8">
      <c r="A8" s="52">
        <v>4.0</v>
      </c>
      <c r="B8" s="53">
        <v>10.0</v>
      </c>
      <c r="C8" s="54">
        <v>2.0</v>
      </c>
      <c r="D8" s="55">
        <v>0.0</v>
      </c>
      <c r="E8" s="53">
        <v>10.0</v>
      </c>
      <c r="F8" s="54">
        <v>2.0</v>
      </c>
      <c r="G8" s="55">
        <v>0.0</v>
      </c>
      <c r="H8" s="53">
        <v>10.0</v>
      </c>
      <c r="I8" s="54">
        <v>2.0</v>
      </c>
      <c r="J8" s="55">
        <v>0.0</v>
      </c>
      <c r="K8" s="53">
        <v>10.0</v>
      </c>
      <c r="L8" s="54">
        <v>2.0</v>
      </c>
      <c r="M8" s="55">
        <v>0.0</v>
      </c>
      <c r="N8" s="53">
        <v>10.0</v>
      </c>
      <c r="O8" s="54">
        <v>2.0</v>
      </c>
      <c r="P8" s="55">
        <v>0.0</v>
      </c>
      <c r="Q8" s="5"/>
      <c r="R8" s="39"/>
      <c r="S8" s="40">
        <v>1.0</v>
      </c>
      <c r="T8" s="41"/>
      <c r="U8" s="40">
        <v>15.0</v>
      </c>
      <c r="V8" s="41"/>
      <c r="W8" s="42"/>
      <c r="X8" s="5"/>
      <c r="Y8" s="43">
        <v>20.0</v>
      </c>
      <c r="Z8" s="44">
        <v>10.0</v>
      </c>
      <c r="AA8" s="5"/>
      <c r="AB8" s="56">
        <v>0.0</v>
      </c>
      <c r="AC8" s="57">
        <v>0.0</v>
      </c>
      <c r="AD8" s="48">
        <v>0.0</v>
      </c>
      <c r="AE8" s="48">
        <v>0.0</v>
      </c>
      <c r="AF8" s="57">
        <v>1.0</v>
      </c>
      <c r="AG8" s="57">
        <v>0.0</v>
      </c>
      <c r="AH8" s="48">
        <v>0.0</v>
      </c>
      <c r="AI8" s="48">
        <v>15.0</v>
      </c>
      <c r="AJ8" s="48">
        <v>0.0</v>
      </c>
      <c r="AK8" s="48">
        <v>0.0</v>
      </c>
      <c r="AL8" s="58">
        <v>0.0</v>
      </c>
      <c r="AM8" s="50">
        <v>229.55</v>
      </c>
      <c r="AN8" s="4">
        <v>95.55</v>
      </c>
      <c r="AO8" s="59" t="s">
        <v>48</v>
      </c>
      <c r="AP8" s="16"/>
      <c r="AQ8" s="4">
        <v>134.0</v>
      </c>
    </row>
    <row r="9" ht="15.0" customHeight="1">
      <c r="A9" s="52">
        <v>5.0</v>
      </c>
      <c r="B9" s="53">
        <v>10.0</v>
      </c>
      <c r="C9" s="54">
        <v>2.0</v>
      </c>
      <c r="D9" s="55">
        <v>0.0</v>
      </c>
      <c r="E9" s="53">
        <v>10.0</v>
      </c>
      <c r="F9" s="54">
        <v>2.0</v>
      </c>
      <c r="G9" s="55">
        <v>0.0</v>
      </c>
      <c r="H9" s="53">
        <v>10.0</v>
      </c>
      <c r="I9" s="54">
        <v>2.0</v>
      </c>
      <c r="J9" s="55">
        <v>0.0</v>
      </c>
      <c r="K9" s="53">
        <v>10.0</v>
      </c>
      <c r="L9" s="54">
        <v>2.0</v>
      </c>
      <c r="M9" s="55">
        <v>0.0</v>
      </c>
      <c r="N9" s="53">
        <v>10.0</v>
      </c>
      <c r="O9" s="54">
        <v>2.0</v>
      </c>
      <c r="P9" s="55">
        <v>0.0</v>
      </c>
      <c r="Q9" s="5"/>
      <c r="R9" s="39"/>
      <c r="S9" s="40">
        <v>1.0</v>
      </c>
      <c r="T9" s="41"/>
      <c r="U9" s="40">
        <v>15.0</v>
      </c>
      <c r="V9" s="41"/>
      <c r="W9" s="42"/>
      <c r="X9" s="5"/>
      <c r="Y9" s="43">
        <v>20.0</v>
      </c>
      <c r="Z9" s="44">
        <v>10.0</v>
      </c>
      <c r="AA9" s="5"/>
      <c r="AB9" s="56">
        <v>0.0</v>
      </c>
      <c r="AC9" s="48">
        <v>0.0</v>
      </c>
      <c r="AD9" s="57">
        <v>1.0</v>
      </c>
      <c r="AE9" s="57">
        <v>0.0</v>
      </c>
      <c r="AF9" s="48">
        <v>0.0</v>
      </c>
      <c r="AG9" s="48">
        <v>0.0</v>
      </c>
      <c r="AH9" s="48">
        <v>0.0</v>
      </c>
      <c r="AI9" s="48">
        <v>15.0</v>
      </c>
      <c r="AJ9" s="48">
        <v>0.0</v>
      </c>
      <c r="AK9" s="48">
        <v>0.0</v>
      </c>
      <c r="AL9" s="58">
        <v>0.0</v>
      </c>
      <c r="AM9" s="50">
        <v>112.55</v>
      </c>
      <c r="AN9" s="4">
        <v>100.0</v>
      </c>
      <c r="AO9" s="59" t="s">
        <v>50</v>
      </c>
      <c r="AP9" s="16"/>
      <c r="AQ9" s="4">
        <v>12.549999999999997</v>
      </c>
    </row>
    <row r="10" ht="15.0" customHeight="1">
      <c r="A10" s="52">
        <v>6.0</v>
      </c>
      <c r="B10" s="53">
        <v>10.0</v>
      </c>
      <c r="C10" s="54">
        <v>3.0</v>
      </c>
      <c r="D10" s="55">
        <v>0.0</v>
      </c>
      <c r="E10" s="53">
        <v>10.0</v>
      </c>
      <c r="F10" s="54">
        <v>3.0</v>
      </c>
      <c r="G10" s="55">
        <v>0.0</v>
      </c>
      <c r="H10" s="53">
        <v>10.0</v>
      </c>
      <c r="I10" s="54">
        <v>3.0</v>
      </c>
      <c r="J10" s="55">
        <v>0.0</v>
      </c>
      <c r="K10" s="53">
        <v>10.0</v>
      </c>
      <c r="L10" s="54">
        <v>3.0</v>
      </c>
      <c r="M10" s="55">
        <v>0.0</v>
      </c>
      <c r="N10" s="53">
        <v>10.0</v>
      </c>
      <c r="O10" s="54">
        <v>3.0</v>
      </c>
      <c r="P10" s="55">
        <v>0.0</v>
      </c>
      <c r="Q10" s="5"/>
      <c r="R10" s="39"/>
      <c r="S10" s="40">
        <v>1.0</v>
      </c>
      <c r="T10" s="41"/>
      <c r="U10" s="40">
        <v>20.0</v>
      </c>
      <c r="V10" s="41"/>
      <c r="W10" s="42"/>
      <c r="X10" s="5"/>
      <c r="Y10" s="43">
        <v>20.0</v>
      </c>
      <c r="Z10" s="44">
        <v>15.0</v>
      </c>
      <c r="AA10" s="5"/>
      <c r="AB10" s="56">
        <v>0.0</v>
      </c>
      <c r="AC10" s="48">
        <v>0.0</v>
      </c>
      <c r="AD10" s="57">
        <v>0.0</v>
      </c>
      <c r="AE10" s="57">
        <v>0.0</v>
      </c>
      <c r="AF10" s="57">
        <v>0.0</v>
      </c>
      <c r="AG10" s="57">
        <v>1.0</v>
      </c>
      <c r="AH10" s="57">
        <v>1.0</v>
      </c>
      <c r="AI10" s="48">
        <v>20.0</v>
      </c>
      <c r="AJ10" s="48">
        <v>0.0</v>
      </c>
      <c r="AK10" s="48">
        <v>0.0</v>
      </c>
      <c r="AL10" s="58">
        <v>0.0</v>
      </c>
      <c r="AM10" s="50">
        <v>150.4</v>
      </c>
      <c r="AN10" s="4">
        <v>229.55</v>
      </c>
      <c r="AO10" s="59" t="s">
        <v>52</v>
      </c>
      <c r="AP10" s="16"/>
      <c r="AQ10" s="4">
        <v>-79.15</v>
      </c>
    </row>
    <row r="11" ht="15.0" customHeight="1">
      <c r="A11" s="52">
        <v>7.0</v>
      </c>
      <c r="B11" s="53">
        <v>10.0</v>
      </c>
      <c r="C11" s="54">
        <v>3.0</v>
      </c>
      <c r="D11" s="55">
        <v>10.0</v>
      </c>
      <c r="E11" s="53">
        <v>10.0</v>
      </c>
      <c r="F11" s="54">
        <v>3.0</v>
      </c>
      <c r="G11" s="55">
        <v>10.0</v>
      </c>
      <c r="H11" s="53">
        <v>10.0</v>
      </c>
      <c r="I11" s="54">
        <v>3.0</v>
      </c>
      <c r="J11" s="55">
        <v>10.0</v>
      </c>
      <c r="K11" s="53">
        <v>10.0</v>
      </c>
      <c r="L11" s="54">
        <v>3.0</v>
      </c>
      <c r="M11" s="55">
        <v>10.0</v>
      </c>
      <c r="N11" s="53">
        <v>10.0</v>
      </c>
      <c r="O11" s="54">
        <v>3.0</v>
      </c>
      <c r="P11" s="55">
        <v>10.0</v>
      </c>
      <c r="Q11" s="5"/>
      <c r="R11" s="39"/>
      <c r="S11" s="40">
        <v>10.0</v>
      </c>
      <c r="T11" s="41"/>
      <c r="U11" s="40">
        <v>20.0</v>
      </c>
      <c r="V11" s="41"/>
      <c r="W11" s="42"/>
      <c r="X11" s="5"/>
      <c r="Y11" s="43">
        <v>25.0</v>
      </c>
      <c r="Z11" s="44">
        <v>15.0</v>
      </c>
      <c r="AA11" s="5"/>
      <c r="AB11" s="56">
        <v>0.0</v>
      </c>
      <c r="AC11" s="48">
        <v>0.0</v>
      </c>
      <c r="AD11" s="48">
        <v>0.0</v>
      </c>
      <c r="AE11" s="57">
        <v>0.0</v>
      </c>
      <c r="AF11" s="48">
        <v>0.0</v>
      </c>
      <c r="AG11" s="48">
        <v>0.0</v>
      </c>
      <c r="AH11" s="48">
        <v>0.0</v>
      </c>
      <c r="AI11" s="48">
        <v>20.0</v>
      </c>
      <c r="AJ11" s="48">
        <v>0.0</v>
      </c>
      <c r="AK11" s="48">
        <v>0.0</v>
      </c>
      <c r="AL11" s="58">
        <v>0.0</v>
      </c>
      <c r="AM11" s="50">
        <v>83.4</v>
      </c>
      <c r="AN11" s="4">
        <v>192.1</v>
      </c>
      <c r="AO11" s="59" t="s">
        <v>53</v>
      </c>
      <c r="AP11" s="16"/>
      <c r="AQ11" s="4">
        <v>-108.69999999999999</v>
      </c>
    </row>
    <row r="12">
      <c r="A12" s="52">
        <v>8.0</v>
      </c>
      <c r="B12" s="53">
        <v>10.0</v>
      </c>
      <c r="C12" s="54">
        <v>3.0</v>
      </c>
      <c r="D12" s="55">
        <v>0.0</v>
      </c>
      <c r="E12" s="53">
        <v>10.0</v>
      </c>
      <c r="F12" s="54">
        <v>3.0</v>
      </c>
      <c r="G12" s="55">
        <v>0.0</v>
      </c>
      <c r="H12" s="53">
        <v>10.0</v>
      </c>
      <c r="I12" s="54">
        <v>3.0</v>
      </c>
      <c r="J12" s="55">
        <v>0.0</v>
      </c>
      <c r="K12" s="53">
        <v>10.0</v>
      </c>
      <c r="L12" s="54">
        <v>3.0</v>
      </c>
      <c r="M12" s="55">
        <v>0.0</v>
      </c>
      <c r="N12" s="53">
        <v>10.0</v>
      </c>
      <c r="O12" s="54">
        <v>3.0</v>
      </c>
      <c r="P12" s="55">
        <v>0.0</v>
      </c>
      <c r="Q12" s="5"/>
      <c r="R12" s="39"/>
      <c r="S12" s="40">
        <v>1.0</v>
      </c>
      <c r="T12" s="41"/>
      <c r="U12" s="40">
        <v>30.0</v>
      </c>
      <c r="V12" s="41"/>
      <c r="W12" s="42"/>
      <c r="X12" s="5"/>
      <c r="Y12" s="43">
        <v>25.0</v>
      </c>
      <c r="Z12" s="44">
        <v>15.0</v>
      </c>
      <c r="AA12" s="5"/>
      <c r="AB12" s="56">
        <v>0.0</v>
      </c>
      <c r="AC12" s="48">
        <v>0.0</v>
      </c>
      <c r="AD12" s="57">
        <v>0.0</v>
      </c>
      <c r="AE12" s="57">
        <v>1.0</v>
      </c>
      <c r="AF12" s="57">
        <v>0.0</v>
      </c>
      <c r="AG12" s="48">
        <v>0.0</v>
      </c>
      <c r="AH12" s="48">
        <v>0.0</v>
      </c>
      <c r="AI12" s="48">
        <v>30.0</v>
      </c>
      <c r="AJ12" s="48">
        <v>0.0</v>
      </c>
      <c r="AK12" s="48">
        <v>0.0</v>
      </c>
      <c r="AL12" s="58">
        <v>0.0</v>
      </c>
      <c r="AM12" s="50">
        <v>192.1</v>
      </c>
      <c r="AN12" s="4">
        <v>217.0</v>
      </c>
      <c r="AO12" s="59" t="s">
        <v>54</v>
      </c>
      <c r="AP12" s="16"/>
      <c r="AQ12" s="4">
        <v>-24.900000000000006</v>
      </c>
    </row>
    <row r="13" ht="15.0" customHeight="1">
      <c r="A13" s="52">
        <v>9.0</v>
      </c>
      <c r="B13" s="53">
        <v>10.0</v>
      </c>
      <c r="C13" s="54">
        <v>3.0</v>
      </c>
      <c r="D13" s="55">
        <v>10.0</v>
      </c>
      <c r="E13" s="53">
        <v>10.0</v>
      </c>
      <c r="F13" s="54">
        <v>3.0</v>
      </c>
      <c r="G13" s="55">
        <v>10.0</v>
      </c>
      <c r="H13" s="53">
        <v>10.0</v>
      </c>
      <c r="I13" s="54">
        <v>3.0</v>
      </c>
      <c r="J13" s="55">
        <v>10.0</v>
      </c>
      <c r="K13" s="53">
        <v>10.0</v>
      </c>
      <c r="L13" s="54">
        <v>3.0</v>
      </c>
      <c r="M13" s="55">
        <v>10.0</v>
      </c>
      <c r="N13" s="53">
        <v>10.0</v>
      </c>
      <c r="O13" s="54">
        <v>3.0</v>
      </c>
      <c r="P13" s="55">
        <v>10.0</v>
      </c>
      <c r="Q13" s="5"/>
      <c r="R13" s="39"/>
      <c r="S13" s="40">
        <v>10.0</v>
      </c>
      <c r="T13" s="41"/>
      <c r="U13" s="40">
        <v>60.0</v>
      </c>
      <c r="V13" s="41"/>
      <c r="W13" s="42"/>
      <c r="X13" s="5"/>
      <c r="Y13" s="43">
        <v>25.0</v>
      </c>
      <c r="Z13" s="44">
        <v>15.0</v>
      </c>
      <c r="AA13" s="5"/>
      <c r="AB13" s="56">
        <v>0.0</v>
      </c>
      <c r="AC13" s="48">
        <v>0.0</v>
      </c>
      <c r="AD13" s="48">
        <v>0.0</v>
      </c>
      <c r="AE13" s="48">
        <v>0.0</v>
      </c>
      <c r="AF13" s="48">
        <v>0.0</v>
      </c>
      <c r="AG13" s="57">
        <v>0.0</v>
      </c>
      <c r="AH13" s="48">
        <v>0.0</v>
      </c>
      <c r="AI13" s="48">
        <v>60.0</v>
      </c>
      <c r="AJ13" s="48">
        <v>0.0</v>
      </c>
      <c r="AK13" s="48">
        <v>0.0</v>
      </c>
      <c r="AL13" s="58">
        <v>0.0</v>
      </c>
      <c r="AM13" s="50">
        <v>250.2</v>
      </c>
      <c r="AN13" s="4">
        <v>300.2</v>
      </c>
      <c r="AO13" s="59" t="s">
        <v>55</v>
      </c>
      <c r="AP13" s="16"/>
      <c r="AQ13" s="4">
        <v>-50.0</v>
      </c>
    </row>
    <row r="14" ht="15.0" customHeight="1">
      <c r="A14" s="75">
        <v>10.0</v>
      </c>
      <c r="B14" s="76">
        <v>10.0</v>
      </c>
      <c r="C14" s="77">
        <v>4.0</v>
      </c>
      <c r="D14" s="78">
        <v>20.0</v>
      </c>
      <c r="E14" s="76">
        <v>10.0</v>
      </c>
      <c r="F14" s="77">
        <v>4.0</v>
      </c>
      <c r="G14" s="78">
        <v>20.0</v>
      </c>
      <c r="H14" s="76">
        <v>10.0</v>
      </c>
      <c r="I14" s="77">
        <v>4.0</v>
      </c>
      <c r="J14" s="78">
        <v>20.0</v>
      </c>
      <c r="K14" s="76">
        <v>10.0</v>
      </c>
      <c r="L14" s="77">
        <v>4.0</v>
      </c>
      <c r="M14" s="78">
        <v>20.0</v>
      </c>
      <c r="N14" s="76">
        <v>10.0</v>
      </c>
      <c r="O14" s="77">
        <v>4.0</v>
      </c>
      <c r="P14" s="78">
        <v>20.0</v>
      </c>
      <c r="Q14" s="5"/>
      <c r="R14" s="39"/>
      <c r="S14" s="40">
        <v>20.0</v>
      </c>
      <c r="T14" s="41"/>
      <c r="U14" s="40">
        <v>60.0</v>
      </c>
      <c r="V14" s="41"/>
      <c r="W14" s="42"/>
      <c r="X14" s="5"/>
      <c r="Y14" s="43">
        <v>30.0</v>
      </c>
      <c r="Z14" s="44">
        <v>20.0</v>
      </c>
      <c r="AA14" s="5"/>
      <c r="AB14" s="79">
        <v>0.0</v>
      </c>
      <c r="AC14" s="80">
        <v>0.0</v>
      </c>
      <c r="AD14" s="80">
        <v>0.0</v>
      </c>
      <c r="AE14" s="81">
        <v>1.0</v>
      </c>
      <c r="AF14" s="80">
        <v>0.0</v>
      </c>
      <c r="AG14" s="80">
        <v>0.0</v>
      </c>
      <c r="AH14" s="81">
        <v>0.0</v>
      </c>
      <c r="AI14" s="80">
        <v>60.0</v>
      </c>
      <c r="AJ14" s="80">
        <v>0.0</v>
      </c>
      <c r="AK14" s="80">
        <v>0.0</v>
      </c>
      <c r="AL14" s="82">
        <v>0.0</v>
      </c>
      <c r="AM14" s="50">
        <v>250.2</v>
      </c>
      <c r="AN14" s="4">
        <v>117.0</v>
      </c>
      <c r="AO14" s="59" t="s">
        <v>56</v>
      </c>
      <c r="AP14" s="16"/>
      <c r="AQ14" s="4">
        <v>133.2</v>
      </c>
    </row>
    <row r="15" ht="15.0" customHeight="1">
      <c r="A15" s="4"/>
      <c r="B15" s="4"/>
      <c r="C15" s="8"/>
      <c r="D15" s="4"/>
      <c r="E15" s="4"/>
      <c r="F15" s="8"/>
      <c r="G15" s="4"/>
      <c r="H15" s="4"/>
      <c r="I15" s="8"/>
      <c r="J15" s="4"/>
      <c r="K15" s="4"/>
      <c r="L15" s="8"/>
      <c r="M15" s="4"/>
      <c r="N15" s="4"/>
      <c r="O15" s="8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59"/>
      <c r="AP15" s="16"/>
      <c r="AQ15" s="4"/>
    </row>
    <row r="16" ht="15.0" customHeight="1">
      <c r="A16" s="83" t="s">
        <v>93</v>
      </c>
      <c r="B16" s="84">
        <f>SUM(B5:B14)</f>
        <v>100</v>
      </c>
      <c r="C16" s="86"/>
      <c r="D16" s="84">
        <f t="shared" ref="D16:E16" si="1">SUM(D5:D14)</f>
        <v>60</v>
      </c>
      <c r="E16" s="84">
        <f t="shared" si="1"/>
        <v>100</v>
      </c>
      <c r="F16" s="86"/>
      <c r="G16" s="84">
        <f t="shared" ref="G16:H16" si="2">SUM(G5:G14)</f>
        <v>60</v>
      </c>
      <c r="H16" s="84">
        <f t="shared" si="2"/>
        <v>100</v>
      </c>
      <c r="I16" s="86"/>
      <c r="J16" s="84">
        <f t="shared" ref="J16:K16" si="3">SUM(J5:J14)</f>
        <v>60</v>
      </c>
      <c r="K16" s="84">
        <f t="shared" si="3"/>
        <v>100</v>
      </c>
      <c r="L16" s="86"/>
      <c r="M16" s="84">
        <f t="shared" ref="M16:N16" si="4">SUM(M5:M14)</f>
        <v>60</v>
      </c>
      <c r="N16" s="84">
        <f t="shared" si="4"/>
        <v>100</v>
      </c>
      <c r="O16" s="86"/>
      <c r="P16" s="84">
        <f>SUM(P5:P14)</f>
        <v>60</v>
      </c>
      <c r="Q16" s="4"/>
      <c r="R16" s="4"/>
      <c r="S16" s="4"/>
      <c r="T16" s="4"/>
      <c r="U16" s="4"/>
      <c r="V16" s="4"/>
      <c r="W16" s="4"/>
      <c r="X16" s="4"/>
      <c r="Y16" s="90">
        <f t="shared" ref="Y16:Z16" si="5">SUM(Y5:Y14)</f>
        <v>210</v>
      </c>
      <c r="Z16" s="90">
        <f t="shared" si="5"/>
        <v>130</v>
      </c>
      <c r="AA16" s="4"/>
      <c r="AB16" s="4"/>
      <c r="AC16" s="5">
        <f t="shared" ref="AC16:AH16" si="6">SUM(AC5:AC14)</f>
        <v>1</v>
      </c>
      <c r="AD16" s="5">
        <f t="shared" si="6"/>
        <v>1</v>
      </c>
      <c r="AE16" s="5">
        <f t="shared" si="6"/>
        <v>2</v>
      </c>
      <c r="AF16" s="5">
        <f t="shared" si="6"/>
        <v>1</v>
      </c>
      <c r="AG16" s="5">
        <f t="shared" si="6"/>
        <v>1</v>
      </c>
      <c r="AH16" s="5">
        <f t="shared" si="6"/>
        <v>1</v>
      </c>
      <c r="AI16" s="4"/>
      <c r="AJ16" s="4"/>
      <c r="AK16" s="4"/>
      <c r="AL16" s="4"/>
      <c r="AM16" s="4"/>
      <c r="AN16" s="4"/>
      <c r="AO16" s="4"/>
      <c r="AP16" s="16"/>
      <c r="AQ16" s="4"/>
    </row>
    <row r="17" ht="15.0" customHeight="1">
      <c r="A17" s="83" t="s">
        <v>95</v>
      </c>
      <c r="B17" s="4"/>
      <c r="C17" s="91"/>
      <c r="D17" s="92">
        <f>D16/B16</f>
        <v>0.6</v>
      </c>
      <c r="E17" s="4"/>
      <c r="F17" s="91"/>
      <c r="G17" s="92">
        <f>G16/E16</f>
        <v>0.6</v>
      </c>
      <c r="H17" s="4"/>
      <c r="I17" s="91"/>
      <c r="J17" s="92">
        <f>J16/H16</f>
        <v>0.6</v>
      </c>
      <c r="K17" s="4"/>
      <c r="L17" s="91"/>
      <c r="M17" s="92">
        <f>M16/K16</f>
        <v>0.6</v>
      </c>
      <c r="N17" s="4"/>
      <c r="O17" s="91"/>
      <c r="P17" s="92">
        <f>P16/N16</f>
        <v>0.6</v>
      </c>
      <c r="Q17" s="4"/>
      <c r="R17" s="4"/>
      <c r="S17" s="4"/>
      <c r="T17" s="4"/>
      <c r="U17" s="4"/>
      <c r="V17" s="4"/>
      <c r="W17" s="4"/>
      <c r="X17" s="4"/>
      <c r="Y17" s="98">
        <f t="shared" ref="Y17:Z17" si="7">Y16/$N$16</f>
        <v>2.1</v>
      </c>
      <c r="Z17" s="98">
        <f t="shared" si="7"/>
        <v>1.3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ht="15.0" customHeight="1">
      <c r="A18" s="4"/>
      <c r="B18" s="4"/>
      <c r="C18" s="8"/>
      <c r="D18" s="4"/>
      <c r="E18" s="4"/>
      <c r="F18" s="8"/>
      <c r="G18" s="4"/>
      <c r="H18" s="4"/>
      <c r="I18" s="8"/>
      <c r="J18" s="4"/>
      <c r="K18" s="4"/>
      <c r="L18" s="8"/>
      <c r="M18" s="4"/>
      <c r="N18" s="4"/>
      <c r="O18" s="8"/>
      <c r="P18" s="4"/>
      <c r="Q18" s="4"/>
      <c r="R18" s="4"/>
      <c r="S18" s="4"/>
      <c r="T18" s="4"/>
      <c r="U18" s="4"/>
      <c r="V18" s="4"/>
      <c r="W18" s="4"/>
      <c r="X18" s="4"/>
      <c r="Y18" s="102"/>
      <c r="Z18" s="102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ht="15.0" customHeight="1">
      <c r="A19" s="4"/>
      <c r="B19" s="4"/>
      <c r="C19" s="8"/>
      <c r="D19" s="4"/>
      <c r="E19" s="4"/>
      <c r="F19" s="8"/>
      <c r="G19" s="4"/>
      <c r="H19" s="4"/>
      <c r="I19" s="8"/>
      <c r="J19" s="4"/>
      <c r="K19" s="4"/>
      <c r="L19" s="8"/>
      <c r="M19" s="4"/>
      <c r="N19" s="4"/>
      <c r="O19" s="8"/>
      <c r="P19" s="4"/>
      <c r="Q19" s="4"/>
      <c r="R19" s="4"/>
      <c r="S19" s="4"/>
      <c r="T19" s="4"/>
      <c r="U19" s="4"/>
      <c r="V19" s="4"/>
      <c r="W19" s="4"/>
      <c r="X19" s="4"/>
      <c r="Y19" s="112" t="str">
        <f t="shared" ref="Y19:Z19" si="8">Y16/saga_progression_old!$C$15</f>
        <v>#REF!</v>
      </c>
      <c r="Z19" s="112" t="str">
        <f t="shared" si="8"/>
        <v>#REF!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ht="15.0" customHeight="1">
      <c r="A20" s="4"/>
      <c r="B20" s="4"/>
      <c r="C20" s="8"/>
      <c r="D20" s="4"/>
      <c r="E20" s="4"/>
      <c r="F20" s="8"/>
      <c r="G20" s="4"/>
      <c r="H20" s="4"/>
      <c r="I20" s="8"/>
      <c r="J20" s="4"/>
      <c r="K20" s="4"/>
      <c r="L20" s="8"/>
      <c r="M20" s="4"/>
      <c r="N20" s="4"/>
      <c r="O20" s="8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</row>
    <row r="21" ht="15.75" customHeight="1">
      <c r="A21" s="4"/>
      <c r="B21" s="4"/>
      <c r="C21" s="8"/>
      <c r="D21" s="4"/>
      <c r="E21" s="4"/>
      <c r="F21" s="8"/>
      <c r="G21" s="4"/>
      <c r="H21" s="4"/>
      <c r="I21" s="8"/>
      <c r="J21" s="4"/>
      <c r="K21" s="4"/>
      <c r="L21" s="8"/>
      <c r="M21" s="4"/>
      <c r="N21" s="4"/>
      <c r="O21" s="8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</row>
    <row r="22" ht="15.75" customHeight="1">
      <c r="A22" s="4"/>
      <c r="B22" s="4"/>
      <c r="C22" s="8"/>
      <c r="D22" s="4"/>
      <c r="E22" s="4"/>
      <c r="F22" s="8"/>
      <c r="G22" s="4"/>
      <c r="H22" s="4"/>
      <c r="I22" s="8"/>
      <c r="J22" s="4"/>
      <c r="K22" s="4"/>
      <c r="L22" s="8"/>
      <c r="M22" s="4"/>
      <c r="N22" s="4"/>
      <c r="O22" s="8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</row>
    <row r="23" ht="15.75" customHeight="1">
      <c r="A23" s="4"/>
      <c r="B23" s="4"/>
      <c r="C23" s="8"/>
      <c r="D23" s="4"/>
      <c r="E23" s="4"/>
      <c r="F23" s="8"/>
      <c r="G23" s="4"/>
      <c r="H23" s="4"/>
      <c r="I23" s="8"/>
      <c r="J23" s="4"/>
      <c r="K23" s="4"/>
      <c r="L23" s="8"/>
      <c r="M23" s="4"/>
      <c r="N23" s="4"/>
      <c r="O23" s="8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</row>
    <row r="24" ht="15.75" customHeight="1">
      <c r="A24" s="4"/>
      <c r="B24" s="4"/>
      <c r="C24" s="8"/>
      <c r="D24" s="4"/>
      <c r="E24" s="4"/>
      <c r="F24" s="8"/>
      <c r="G24" s="4"/>
      <c r="H24" s="4"/>
      <c r="I24" s="8"/>
      <c r="J24" s="4"/>
      <c r="K24" s="4"/>
      <c r="L24" s="8"/>
      <c r="M24" s="4"/>
      <c r="N24" s="4"/>
      <c r="O24" s="8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</row>
    <row r="25" ht="15.75" customHeight="1">
      <c r="A25" s="4"/>
      <c r="B25" s="4"/>
      <c r="C25" s="8"/>
      <c r="D25" s="4"/>
      <c r="E25" s="4"/>
      <c r="F25" s="8"/>
      <c r="G25" s="4"/>
      <c r="H25" s="4"/>
      <c r="I25" s="8"/>
      <c r="J25" s="4"/>
      <c r="K25" s="4"/>
      <c r="L25" s="8"/>
      <c r="M25" s="4"/>
      <c r="N25" s="4"/>
      <c r="O25" s="8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ht="15.75" customHeight="1">
      <c r="A26" s="4"/>
      <c r="B26" s="4"/>
      <c r="C26" s="8"/>
      <c r="D26" s="4"/>
      <c r="E26" s="4"/>
      <c r="F26" s="8"/>
      <c r="G26" s="4"/>
      <c r="H26" s="4"/>
      <c r="I26" s="8"/>
      <c r="J26" s="4"/>
      <c r="K26" s="4"/>
      <c r="L26" s="8"/>
      <c r="M26" s="4"/>
      <c r="N26" s="4"/>
      <c r="O26" s="8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ht="15.75" customHeight="1">
      <c r="A27" s="4"/>
      <c r="B27" s="4"/>
      <c r="C27" s="8"/>
      <c r="D27" s="4"/>
      <c r="E27" s="4"/>
      <c r="F27" s="8"/>
      <c r="G27" s="4"/>
      <c r="H27" s="4"/>
      <c r="I27" s="8"/>
      <c r="J27" s="4"/>
      <c r="K27" s="4"/>
      <c r="L27" s="8"/>
      <c r="M27" s="4"/>
      <c r="N27" s="4"/>
      <c r="O27" s="8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ht="15.75" customHeight="1">
      <c r="A28" s="4"/>
      <c r="B28" s="4"/>
      <c r="C28" s="133"/>
      <c r="D28" s="135" t="s">
        <v>19</v>
      </c>
      <c r="E28" s="135" t="s">
        <v>21</v>
      </c>
      <c r="F28" s="133"/>
      <c r="G28" s="135" t="s">
        <v>22</v>
      </c>
      <c r="H28" s="135" t="s">
        <v>24</v>
      </c>
      <c r="I28" s="133"/>
      <c r="J28" s="135" t="s">
        <v>26</v>
      </c>
      <c r="K28" s="4"/>
      <c r="L28" s="133"/>
      <c r="M28" s="4" t="str">
        <f>IFERROR(__xludf.DUMMYFUNCTION("join("","", D28:J28)"),"0-9,10-19,,20-39,40-99,,100+")</f>
        <v>0-9,10-19,,20-39,40-99,,100+</v>
      </c>
      <c r="N28" s="4"/>
      <c r="O28" s="133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</row>
    <row r="29" ht="15.75" customHeight="1">
      <c r="A29" s="4"/>
      <c r="B29" s="4"/>
      <c r="C29" s="8"/>
      <c r="D29" s="4"/>
      <c r="E29" s="4"/>
      <c r="F29" s="8"/>
      <c r="G29" s="4"/>
      <c r="H29" s="4"/>
      <c r="I29" s="8"/>
      <c r="J29" s="4"/>
      <c r="K29" s="4"/>
      <c r="L29" s="8"/>
      <c r="M29" s="4"/>
      <c r="N29" s="4"/>
      <c r="O29" s="8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</row>
    <row r="30" ht="15.75" customHeight="1">
      <c r="A30" s="4"/>
      <c r="B30" s="4"/>
      <c r="C30" s="8"/>
      <c r="D30" s="4"/>
      <c r="E30" s="4"/>
      <c r="F30" s="8"/>
      <c r="G30" s="4"/>
      <c r="H30" s="4"/>
      <c r="I30" s="8"/>
      <c r="J30" s="4"/>
      <c r="K30" s="4"/>
      <c r="L30" s="8"/>
      <c r="M30" s="4"/>
      <c r="N30" s="4"/>
      <c r="O30" s="8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</row>
    <row r="31" ht="15.75" customHeight="1">
      <c r="A31" s="4"/>
      <c r="B31" s="4"/>
      <c r="C31" s="8"/>
      <c r="D31" s="4" t="str">
        <f t="array" ref="D31:D37">TRANSPOSE(D28:J28)</f>
        <v>0-9</v>
      </c>
      <c r="E31" s="4"/>
      <c r="F31" s="8"/>
      <c r="G31" s="4"/>
      <c r="H31" s="4"/>
      <c r="I31" s="8"/>
      <c r="J31" s="4"/>
      <c r="K31" s="4"/>
      <c r="L31" s="8"/>
      <c r="M31" s="4"/>
      <c r="N31" s="4"/>
      <c r="O31" s="8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</row>
    <row r="32" ht="15.75" customHeight="1">
      <c r="A32" s="4"/>
      <c r="B32" s="4"/>
      <c r="C32" s="8"/>
      <c r="D32" s="4" t="s">
        <v>21</v>
      </c>
      <c r="E32" s="4"/>
      <c r="F32" s="8"/>
      <c r="G32" s="4"/>
      <c r="H32" s="4"/>
      <c r="I32" s="8"/>
      <c r="J32" s="4"/>
      <c r="K32" s="4"/>
      <c r="L32" s="8"/>
      <c r="M32" s="4"/>
      <c r="N32" s="4"/>
      <c r="O32" s="8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ht="15.75" customHeight="1">
      <c r="A33" s="4"/>
      <c r="B33" s="4"/>
      <c r="C33" s="8"/>
      <c r="D33" s="4"/>
      <c r="E33" s="4"/>
      <c r="F33" s="8"/>
      <c r="G33" s="4"/>
      <c r="H33" s="4"/>
      <c r="I33" s="8"/>
      <c r="J33" s="4"/>
      <c r="K33" s="4"/>
      <c r="L33" s="8"/>
      <c r="M33" s="4"/>
      <c r="N33" s="4"/>
      <c r="O33" s="8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ht="15.75" customHeight="1">
      <c r="A34" s="4"/>
      <c r="B34" s="4"/>
      <c r="C34" s="8"/>
      <c r="D34" s="4" t="s">
        <v>22</v>
      </c>
      <c r="E34" s="4"/>
      <c r="F34" s="8"/>
      <c r="G34" s="4"/>
      <c r="H34" s="4"/>
      <c r="I34" s="8"/>
      <c r="J34" s="4"/>
      <c r="K34" s="4"/>
      <c r="L34" s="8"/>
      <c r="M34" s="4"/>
      <c r="N34" s="4"/>
      <c r="O34" s="8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ht="15.75" customHeight="1">
      <c r="A35" s="4"/>
      <c r="B35" s="4"/>
      <c r="C35" s="8"/>
      <c r="D35" s="4" t="s">
        <v>24</v>
      </c>
      <c r="E35" s="4"/>
      <c r="F35" s="8"/>
      <c r="G35" s="4"/>
      <c r="H35" s="4"/>
      <c r="I35" s="8"/>
      <c r="J35" s="4"/>
      <c r="K35" s="4"/>
      <c r="L35" s="8"/>
      <c r="M35" s="4"/>
      <c r="N35" s="4"/>
      <c r="O35" s="8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ht="15.75" customHeight="1">
      <c r="A36" s="4"/>
      <c r="B36" s="4"/>
      <c r="C36" s="8"/>
      <c r="D36" s="4"/>
      <c r="E36" s="4"/>
      <c r="F36" s="8"/>
      <c r="G36" s="4"/>
      <c r="H36" s="4"/>
      <c r="I36" s="8"/>
      <c r="J36" s="4"/>
      <c r="K36" s="4"/>
      <c r="L36" s="8"/>
      <c r="M36" s="4"/>
      <c r="N36" s="4"/>
      <c r="O36" s="8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</row>
    <row r="37" ht="15.75" customHeight="1">
      <c r="A37" s="4"/>
      <c r="B37" s="4"/>
      <c r="C37" s="8"/>
      <c r="D37" s="4" t="s">
        <v>26</v>
      </c>
      <c r="E37" s="4"/>
      <c r="F37" s="8"/>
      <c r="G37" s="4"/>
      <c r="H37" s="4"/>
      <c r="I37" s="8"/>
      <c r="J37" s="4"/>
      <c r="K37" s="4"/>
      <c r="L37" s="8"/>
      <c r="M37" s="4"/>
      <c r="N37" s="4"/>
      <c r="O37" s="8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</row>
    <row r="38" ht="15.75" customHeight="1">
      <c r="A38" s="4"/>
      <c r="B38" s="4"/>
      <c r="C38" s="8"/>
      <c r="D38" s="4"/>
      <c r="E38" s="4"/>
      <c r="F38" s="8"/>
      <c r="G38" s="4"/>
      <c r="H38" s="4"/>
      <c r="I38" s="8"/>
      <c r="J38" s="4"/>
      <c r="K38" s="4"/>
      <c r="L38" s="8"/>
      <c r="M38" s="4"/>
      <c r="N38" s="4"/>
      <c r="O38" s="8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</row>
    <row r="39" ht="15.75" customHeight="1">
      <c r="A39" s="4"/>
      <c r="B39" s="4"/>
      <c r="C39" s="8"/>
      <c r="D39" s="4"/>
      <c r="E39" s="4"/>
      <c r="F39" s="8"/>
      <c r="G39" s="4"/>
      <c r="H39" s="4"/>
      <c r="I39" s="8"/>
      <c r="J39" s="4"/>
      <c r="K39" s="4"/>
      <c r="L39" s="8"/>
      <c r="M39" s="4"/>
      <c r="N39" s="4"/>
      <c r="O39" s="8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ht="15.75" customHeight="1">
      <c r="A40" s="4"/>
      <c r="B40" s="4"/>
      <c r="C40" s="8"/>
      <c r="D40" s="4"/>
      <c r="E40" s="4"/>
      <c r="F40" s="8"/>
      <c r="G40" s="4"/>
      <c r="H40" s="4"/>
      <c r="I40" s="8"/>
      <c r="J40" s="4"/>
      <c r="K40" s="4"/>
      <c r="L40" s="8"/>
      <c r="M40" s="4"/>
      <c r="N40" s="4"/>
      <c r="O40" s="8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ht="15.75" customHeight="1">
      <c r="A41" s="4"/>
      <c r="B41" s="4"/>
      <c r="C41" s="8"/>
      <c r="D41" s="4"/>
      <c r="E41" s="4"/>
      <c r="F41" s="8"/>
      <c r="G41" s="4"/>
      <c r="H41" s="4"/>
      <c r="I41" s="8"/>
      <c r="J41" s="4"/>
      <c r="K41" s="4"/>
      <c r="L41" s="8"/>
      <c r="M41" s="4"/>
      <c r="N41" s="4"/>
      <c r="O41" s="8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ht="15.75" customHeight="1">
      <c r="A42" s="4"/>
      <c r="B42" s="4"/>
      <c r="C42" s="8"/>
      <c r="D42" s="4"/>
      <c r="E42" s="4"/>
      <c r="F42" s="8"/>
      <c r="G42" s="4"/>
      <c r="H42" s="4"/>
      <c r="I42" s="8"/>
      <c r="J42" s="4"/>
      <c r="K42" s="4"/>
      <c r="L42" s="8"/>
      <c r="M42" s="4"/>
      <c r="N42" s="4"/>
      <c r="O42" s="8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ht="15.75" customHeight="1">
      <c r="A43" s="4"/>
      <c r="B43" s="4"/>
      <c r="C43" s="8"/>
      <c r="D43" s="4"/>
      <c r="E43" s="4"/>
      <c r="F43" s="8"/>
      <c r="G43" s="4"/>
      <c r="H43" s="4"/>
      <c r="I43" s="8"/>
      <c r="J43" s="4"/>
      <c r="K43" s="4"/>
      <c r="L43" s="8"/>
      <c r="M43" s="4"/>
      <c r="N43" s="4"/>
      <c r="O43" s="8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ht="15.75" customHeight="1">
      <c r="A44" s="4"/>
      <c r="B44" s="4"/>
      <c r="C44" s="8"/>
      <c r="D44" s="4"/>
      <c r="E44" s="4"/>
      <c r="F44" s="8"/>
      <c r="G44" s="4"/>
      <c r="H44" s="4"/>
      <c r="I44" s="8"/>
      <c r="J44" s="4"/>
      <c r="K44" s="4"/>
      <c r="L44" s="8"/>
      <c r="M44" s="4"/>
      <c r="N44" s="4"/>
      <c r="O44" s="8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ht="15.75" customHeight="1">
      <c r="A45" s="4"/>
      <c r="B45" s="4"/>
      <c r="C45" s="8"/>
      <c r="D45" s="4"/>
      <c r="E45" s="4"/>
      <c r="F45" s="8"/>
      <c r="G45" s="4"/>
      <c r="H45" s="4"/>
      <c r="I45" s="8"/>
      <c r="J45" s="4"/>
      <c r="K45" s="4"/>
      <c r="L45" s="8"/>
      <c r="M45" s="4"/>
      <c r="N45" s="4"/>
      <c r="O45" s="8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ht="15.75" customHeight="1">
      <c r="A46" s="4"/>
      <c r="B46" s="4"/>
      <c r="C46" s="8"/>
      <c r="D46" s="4"/>
      <c r="E46" s="4"/>
      <c r="F46" s="8"/>
      <c r="G46" s="4"/>
      <c r="H46" s="4"/>
      <c r="I46" s="8"/>
      <c r="J46" s="4"/>
      <c r="K46" s="4"/>
      <c r="L46" s="8"/>
      <c r="M46" s="4"/>
      <c r="N46" s="4"/>
      <c r="O46" s="8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ht="15.75" customHeight="1">
      <c r="A47" s="4"/>
      <c r="B47" s="4"/>
      <c r="C47" s="8"/>
      <c r="D47" s="4"/>
      <c r="E47" s="4"/>
      <c r="F47" s="8"/>
      <c r="G47" s="4"/>
      <c r="H47" s="4"/>
      <c r="I47" s="8"/>
      <c r="J47" s="4"/>
      <c r="K47" s="4"/>
      <c r="L47" s="8"/>
      <c r="M47" s="4"/>
      <c r="N47" s="4"/>
      <c r="O47" s="8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</row>
    <row r="48" ht="15.75" customHeight="1">
      <c r="A48" s="4"/>
      <c r="B48" s="4"/>
      <c r="C48" s="8"/>
      <c r="D48" s="4"/>
      <c r="E48" s="4"/>
      <c r="F48" s="8"/>
      <c r="G48" s="4"/>
      <c r="H48" s="4"/>
      <c r="I48" s="8"/>
      <c r="J48" s="4"/>
      <c r="K48" s="4"/>
      <c r="L48" s="8"/>
      <c r="M48" s="4"/>
      <c r="N48" s="4"/>
      <c r="O48" s="8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</row>
    <row r="49" ht="15.75" customHeight="1">
      <c r="A49" s="4"/>
      <c r="B49" s="4"/>
      <c r="C49" s="8"/>
      <c r="D49" s="4"/>
      <c r="E49" s="4"/>
      <c r="F49" s="8"/>
      <c r="G49" s="4"/>
      <c r="H49" s="4"/>
      <c r="I49" s="8"/>
      <c r="J49" s="4"/>
      <c r="K49" s="4"/>
      <c r="L49" s="8"/>
      <c r="M49" s="4"/>
      <c r="N49" s="4"/>
      <c r="O49" s="8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ht="15.75" customHeight="1">
      <c r="A50" s="4"/>
      <c r="B50" s="4"/>
      <c r="C50" s="8"/>
      <c r="D50" s="4"/>
      <c r="E50" s="4"/>
      <c r="F50" s="8"/>
      <c r="G50" s="4"/>
      <c r="H50" s="4"/>
      <c r="I50" s="8"/>
      <c r="J50" s="4"/>
      <c r="K50" s="4"/>
      <c r="L50" s="8"/>
      <c r="M50" s="4"/>
      <c r="N50" s="4"/>
      <c r="O50" s="8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ht="15.75" customHeight="1">
      <c r="A51" s="4"/>
      <c r="B51" s="4"/>
      <c r="C51" s="8"/>
      <c r="D51" s="4"/>
      <c r="E51" s="4"/>
      <c r="F51" s="8"/>
      <c r="G51" s="4"/>
      <c r="H51" s="4"/>
      <c r="I51" s="8"/>
      <c r="J51" s="4"/>
      <c r="K51" s="4"/>
      <c r="L51" s="8"/>
      <c r="M51" s="4"/>
      <c r="N51" s="4"/>
      <c r="O51" s="8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ht="15.75" customHeight="1">
      <c r="A52" s="4"/>
      <c r="B52" s="4"/>
      <c r="C52" s="8"/>
      <c r="D52" s="4"/>
      <c r="E52" s="4"/>
      <c r="F52" s="8"/>
      <c r="G52" s="4"/>
      <c r="H52" s="4"/>
      <c r="I52" s="8"/>
      <c r="J52" s="4"/>
      <c r="K52" s="4"/>
      <c r="L52" s="8"/>
      <c r="M52" s="4"/>
      <c r="N52" s="4"/>
      <c r="O52" s="8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</row>
    <row r="53" ht="15.75" customHeight="1">
      <c r="A53" s="4"/>
      <c r="B53" s="4"/>
      <c r="C53" s="8"/>
      <c r="D53" s="4"/>
      <c r="E53" s="4"/>
      <c r="F53" s="8"/>
      <c r="G53" s="4"/>
      <c r="H53" s="4"/>
      <c r="I53" s="8"/>
      <c r="J53" s="4"/>
      <c r="K53" s="4"/>
      <c r="L53" s="8"/>
      <c r="M53" s="4"/>
      <c r="N53" s="4"/>
      <c r="O53" s="8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</row>
    <row r="54" ht="15.75" customHeight="1">
      <c r="A54" s="4"/>
      <c r="B54" s="4"/>
      <c r="C54" s="8"/>
      <c r="D54" s="4"/>
      <c r="E54" s="4"/>
      <c r="F54" s="8"/>
      <c r="G54" s="4"/>
      <c r="H54" s="4"/>
      <c r="I54" s="8"/>
      <c r="J54" s="4"/>
      <c r="K54" s="4"/>
      <c r="L54" s="8"/>
      <c r="M54" s="4"/>
      <c r="N54" s="4"/>
      <c r="O54" s="8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</row>
    <row r="55" ht="15.75" customHeight="1">
      <c r="A55" s="4"/>
      <c r="B55" s="4"/>
      <c r="C55" s="8"/>
      <c r="D55" s="4"/>
      <c r="E55" s="4"/>
      <c r="F55" s="8"/>
      <c r="G55" s="4"/>
      <c r="H55" s="4"/>
      <c r="I55" s="8"/>
      <c r="J55" s="4"/>
      <c r="K55" s="4"/>
      <c r="L55" s="8"/>
      <c r="M55" s="4"/>
      <c r="N55" s="4"/>
      <c r="O55" s="8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</row>
    <row r="56" ht="15.75" customHeight="1">
      <c r="A56" s="4"/>
      <c r="B56" s="4"/>
      <c r="C56" s="8"/>
      <c r="D56" s="4"/>
      <c r="E56" s="4"/>
      <c r="F56" s="8"/>
      <c r="G56" s="4"/>
      <c r="H56" s="4"/>
      <c r="I56" s="8"/>
      <c r="J56" s="4"/>
      <c r="K56" s="4"/>
      <c r="L56" s="8"/>
      <c r="M56" s="4"/>
      <c r="N56" s="4"/>
      <c r="O56" s="8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</row>
    <row r="57" ht="15.75" customHeight="1">
      <c r="A57" s="4"/>
      <c r="B57" s="4"/>
      <c r="C57" s="8"/>
      <c r="D57" s="4"/>
      <c r="E57" s="4"/>
      <c r="F57" s="8"/>
      <c r="G57" s="4"/>
      <c r="H57" s="4"/>
      <c r="I57" s="8"/>
      <c r="J57" s="4"/>
      <c r="K57" s="4"/>
      <c r="L57" s="8"/>
      <c r="M57" s="4"/>
      <c r="N57" s="4"/>
      <c r="O57" s="8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ht="15.75" customHeight="1">
      <c r="A58" s="4"/>
      <c r="B58" s="4"/>
      <c r="C58" s="8"/>
      <c r="D58" s="4"/>
      <c r="E58" s="4"/>
      <c r="F58" s="8"/>
      <c r="G58" s="4"/>
      <c r="H58" s="4"/>
      <c r="I58" s="8"/>
      <c r="J58" s="4"/>
      <c r="K58" s="4"/>
      <c r="L58" s="8"/>
      <c r="M58" s="4"/>
      <c r="N58" s="4"/>
      <c r="O58" s="8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ht="15.75" customHeight="1">
      <c r="A59" s="4"/>
      <c r="B59" s="4"/>
      <c r="C59" s="8"/>
      <c r="D59" s="4"/>
      <c r="E59" s="4"/>
      <c r="F59" s="8"/>
      <c r="G59" s="4"/>
      <c r="H59" s="4"/>
      <c r="I59" s="8"/>
      <c r="J59" s="4"/>
      <c r="K59" s="4"/>
      <c r="L59" s="8"/>
      <c r="M59" s="4"/>
      <c r="N59" s="4"/>
      <c r="O59" s="8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ht="15.75" customHeight="1">
      <c r="A60" s="4"/>
      <c r="B60" s="4"/>
      <c r="C60" s="8"/>
      <c r="D60" s="4"/>
      <c r="E60" s="4"/>
      <c r="F60" s="8"/>
      <c r="G60" s="4"/>
      <c r="H60" s="4"/>
      <c r="I60" s="8"/>
      <c r="J60" s="4"/>
      <c r="K60" s="4"/>
      <c r="L60" s="8"/>
      <c r="M60" s="4"/>
      <c r="N60" s="4"/>
      <c r="O60" s="8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</row>
    <row r="61" ht="15.75" customHeight="1">
      <c r="A61" s="4"/>
      <c r="B61" s="4"/>
      <c r="C61" s="8"/>
      <c r="D61" s="4"/>
      <c r="E61" s="4"/>
      <c r="F61" s="8"/>
      <c r="G61" s="4"/>
      <c r="H61" s="4"/>
      <c r="I61" s="8"/>
      <c r="J61" s="4"/>
      <c r="K61" s="4"/>
      <c r="L61" s="8"/>
      <c r="M61" s="4"/>
      <c r="N61" s="4"/>
      <c r="O61" s="8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</row>
    <row r="62" ht="15.75" customHeight="1">
      <c r="A62" s="4"/>
      <c r="B62" s="4"/>
      <c r="C62" s="8"/>
      <c r="D62" s="4"/>
      <c r="E62" s="4"/>
      <c r="F62" s="8"/>
      <c r="G62" s="4"/>
      <c r="H62" s="4"/>
      <c r="I62" s="8"/>
      <c r="J62" s="4"/>
      <c r="K62" s="4"/>
      <c r="L62" s="8"/>
      <c r="M62" s="4"/>
      <c r="N62" s="4"/>
      <c r="O62" s="8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</row>
    <row r="63" ht="15.75" customHeight="1">
      <c r="A63" s="4"/>
      <c r="B63" s="4"/>
      <c r="C63" s="8"/>
      <c r="D63" s="4"/>
      <c r="E63" s="4"/>
      <c r="F63" s="8"/>
      <c r="G63" s="4"/>
      <c r="H63" s="4"/>
      <c r="I63" s="8"/>
      <c r="J63" s="4"/>
      <c r="K63" s="4"/>
      <c r="L63" s="8"/>
      <c r="M63" s="4"/>
      <c r="N63" s="4"/>
      <c r="O63" s="8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</row>
    <row r="64" ht="15.75" customHeight="1">
      <c r="A64" s="4"/>
      <c r="B64" s="4"/>
      <c r="C64" s="8"/>
      <c r="D64" s="4"/>
      <c r="E64" s="4"/>
      <c r="F64" s="8"/>
      <c r="G64" s="4"/>
      <c r="H64" s="4"/>
      <c r="I64" s="8"/>
      <c r="J64" s="4"/>
      <c r="K64" s="4"/>
      <c r="L64" s="8"/>
      <c r="M64" s="4"/>
      <c r="N64" s="4"/>
      <c r="O64" s="8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</row>
    <row r="65" ht="15.75" customHeight="1">
      <c r="A65" s="4"/>
      <c r="B65" s="4"/>
      <c r="C65" s="8"/>
      <c r="D65" s="4"/>
      <c r="E65" s="4"/>
      <c r="F65" s="8"/>
      <c r="G65" s="4"/>
      <c r="H65" s="4"/>
      <c r="I65" s="8"/>
      <c r="J65" s="4"/>
      <c r="K65" s="4"/>
      <c r="L65" s="8"/>
      <c r="M65" s="4"/>
      <c r="N65" s="4"/>
      <c r="O65" s="8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ht="15.75" customHeight="1">
      <c r="A66" s="4"/>
      <c r="B66" s="4"/>
      <c r="C66" s="8"/>
      <c r="D66" s="4"/>
      <c r="E66" s="4"/>
      <c r="F66" s="8"/>
      <c r="G66" s="4"/>
      <c r="H66" s="4"/>
      <c r="I66" s="8"/>
      <c r="J66" s="4"/>
      <c r="K66" s="4"/>
      <c r="L66" s="8"/>
      <c r="M66" s="4"/>
      <c r="N66" s="4"/>
      <c r="O66" s="8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ht="15.75" customHeight="1">
      <c r="A67" s="4"/>
      <c r="B67" s="4"/>
      <c r="C67" s="8"/>
      <c r="D67" s="4"/>
      <c r="E67" s="4"/>
      <c r="F67" s="8"/>
      <c r="G67" s="4"/>
      <c r="H67" s="4"/>
      <c r="I67" s="8"/>
      <c r="J67" s="4"/>
      <c r="K67" s="4"/>
      <c r="L67" s="8"/>
      <c r="M67" s="4"/>
      <c r="N67" s="4"/>
      <c r="O67" s="8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ht="15.75" customHeight="1">
      <c r="A68" s="4"/>
      <c r="B68" s="4"/>
      <c r="C68" s="8"/>
      <c r="D68" s="4"/>
      <c r="E68" s="4"/>
      <c r="F68" s="8"/>
      <c r="G68" s="4"/>
      <c r="H68" s="4"/>
      <c r="I68" s="8"/>
      <c r="J68" s="4"/>
      <c r="K68" s="4"/>
      <c r="L68" s="8"/>
      <c r="M68" s="4"/>
      <c r="N68" s="4"/>
      <c r="O68" s="8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</row>
    <row r="69" ht="15.75" customHeight="1">
      <c r="A69" s="4"/>
      <c r="B69" s="4"/>
      <c r="C69" s="8"/>
      <c r="D69" s="4"/>
      <c r="E69" s="4"/>
      <c r="F69" s="8"/>
      <c r="G69" s="4"/>
      <c r="H69" s="4"/>
      <c r="I69" s="8"/>
      <c r="J69" s="4"/>
      <c r="K69" s="4"/>
      <c r="L69" s="8"/>
      <c r="M69" s="4"/>
      <c r="N69" s="4"/>
      <c r="O69" s="8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</row>
    <row r="70" ht="15.75" customHeight="1">
      <c r="A70" s="4"/>
      <c r="B70" s="4"/>
      <c r="C70" s="8"/>
      <c r="D70" s="4"/>
      <c r="E70" s="4"/>
      <c r="F70" s="8"/>
      <c r="G70" s="4"/>
      <c r="H70" s="4"/>
      <c r="I70" s="8"/>
      <c r="J70" s="4"/>
      <c r="K70" s="4"/>
      <c r="L70" s="8"/>
      <c r="M70" s="4"/>
      <c r="N70" s="4"/>
      <c r="O70" s="8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</row>
    <row r="71" ht="15.75" customHeight="1">
      <c r="A71" s="4"/>
      <c r="B71" s="4"/>
      <c r="C71" s="8"/>
      <c r="D71" s="4"/>
      <c r="E71" s="4"/>
      <c r="F71" s="8"/>
      <c r="G71" s="4"/>
      <c r="H71" s="4"/>
      <c r="I71" s="8"/>
      <c r="J71" s="4"/>
      <c r="K71" s="4"/>
      <c r="L71" s="8"/>
      <c r="M71" s="4"/>
      <c r="N71" s="4"/>
      <c r="O71" s="8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</row>
    <row r="72" ht="15.75" customHeight="1">
      <c r="A72" s="4"/>
      <c r="B72" s="4"/>
      <c r="C72" s="8"/>
      <c r="D72" s="4"/>
      <c r="E72" s="4"/>
      <c r="F72" s="8"/>
      <c r="G72" s="4"/>
      <c r="H72" s="4"/>
      <c r="I72" s="8"/>
      <c r="J72" s="4"/>
      <c r="K72" s="4"/>
      <c r="L72" s="8"/>
      <c r="M72" s="4"/>
      <c r="N72" s="4"/>
      <c r="O72" s="8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</row>
    <row r="73" ht="15.75" customHeight="1">
      <c r="A73" s="4"/>
      <c r="B73" s="4"/>
      <c r="C73" s="8"/>
      <c r="D73" s="4"/>
      <c r="E73" s="4"/>
      <c r="F73" s="8"/>
      <c r="G73" s="4"/>
      <c r="H73" s="4"/>
      <c r="I73" s="8"/>
      <c r="J73" s="4"/>
      <c r="K73" s="4"/>
      <c r="L73" s="8"/>
      <c r="M73" s="4"/>
      <c r="N73" s="4"/>
      <c r="O73" s="8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</row>
    <row r="74" ht="15.75" customHeight="1">
      <c r="A74" s="4"/>
      <c r="B74" s="4"/>
      <c r="C74" s="8"/>
      <c r="D74" s="4"/>
      <c r="E74" s="4"/>
      <c r="F74" s="8"/>
      <c r="G74" s="4"/>
      <c r="H74" s="4"/>
      <c r="I74" s="8"/>
      <c r="J74" s="4"/>
      <c r="K74" s="4"/>
      <c r="L74" s="8"/>
      <c r="M74" s="4"/>
      <c r="N74" s="4"/>
      <c r="O74" s="8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</row>
    <row r="75" ht="15.75" customHeight="1">
      <c r="A75" s="4"/>
      <c r="B75" s="4"/>
      <c r="C75" s="8"/>
      <c r="D75" s="4"/>
      <c r="E75" s="4"/>
      <c r="F75" s="8"/>
      <c r="G75" s="4"/>
      <c r="H75" s="4"/>
      <c r="I75" s="8"/>
      <c r="J75" s="4"/>
      <c r="K75" s="4"/>
      <c r="L75" s="8"/>
      <c r="M75" s="4"/>
      <c r="N75" s="4"/>
      <c r="O75" s="8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ht="15.75" customHeight="1">
      <c r="A76" s="4"/>
      <c r="B76" s="4"/>
      <c r="C76" s="8"/>
      <c r="D76" s="4"/>
      <c r="E76" s="4"/>
      <c r="F76" s="8"/>
      <c r="G76" s="4"/>
      <c r="H76" s="4"/>
      <c r="I76" s="8"/>
      <c r="J76" s="4"/>
      <c r="K76" s="4"/>
      <c r="L76" s="8"/>
      <c r="M76" s="4"/>
      <c r="N76" s="4"/>
      <c r="O76" s="8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</row>
    <row r="77" ht="15.75" customHeight="1">
      <c r="A77" s="4"/>
      <c r="B77" s="4"/>
      <c r="C77" s="8"/>
      <c r="D77" s="4"/>
      <c r="E77" s="4"/>
      <c r="F77" s="8"/>
      <c r="G77" s="4"/>
      <c r="H77" s="4"/>
      <c r="I77" s="8"/>
      <c r="J77" s="4"/>
      <c r="K77" s="4"/>
      <c r="L77" s="8"/>
      <c r="M77" s="4"/>
      <c r="N77" s="4"/>
      <c r="O77" s="8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</row>
    <row r="78" ht="15.75" customHeight="1">
      <c r="A78" s="4"/>
      <c r="B78" s="4"/>
      <c r="C78" s="8"/>
      <c r="D78" s="4"/>
      <c r="E78" s="4"/>
      <c r="F78" s="8"/>
      <c r="G78" s="4"/>
      <c r="H78" s="4"/>
      <c r="I78" s="8"/>
      <c r="J78" s="4"/>
      <c r="K78" s="4"/>
      <c r="L78" s="8"/>
      <c r="M78" s="4"/>
      <c r="N78" s="4"/>
      <c r="O78" s="8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</row>
    <row r="79" ht="15.75" customHeight="1">
      <c r="A79" s="4"/>
      <c r="B79" s="4"/>
      <c r="C79" s="8"/>
      <c r="D79" s="4"/>
      <c r="E79" s="4"/>
      <c r="F79" s="8"/>
      <c r="G79" s="4"/>
      <c r="H79" s="4"/>
      <c r="I79" s="8"/>
      <c r="J79" s="4"/>
      <c r="K79" s="4"/>
      <c r="L79" s="8"/>
      <c r="M79" s="4"/>
      <c r="N79" s="4"/>
      <c r="O79" s="8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</row>
    <row r="80" ht="15.75" customHeight="1">
      <c r="A80" s="4"/>
      <c r="B80" s="4"/>
      <c r="C80" s="8"/>
      <c r="D80" s="4"/>
      <c r="E80" s="4"/>
      <c r="F80" s="8"/>
      <c r="G80" s="4"/>
      <c r="H80" s="4"/>
      <c r="I80" s="8"/>
      <c r="J80" s="4"/>
      <c r="K80" s="4"/>
      <c r="L80" s="8"/>
      <c r="M80" s="4"/>
      <c r="N80" s="4"/>
      <c r="O80" s="8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</row>
    <row r="81" ht="15.75" customHeight="1">
      <c r="A81" s="4"/>
      <c r="B81" s="4"/>
      <c r="C81" s="8"/>
      <c r="D81" s="4"/>
      <c r="E81" s="4"/>
      <c r="F81" s="8"/>
      <c r="G81" s="4"/>
      <c r="H81" s="4"/>
      <c r="I81" s="8"/>
      <c r="J81" s="4"/>
      <c r="K81" s="4"/>
      <c r="L81" s="8"/>
      <c r="M81" s="4"/>
      <c r="N81" s="4"/>
      <c r="O81" s="8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</row>
    <row r="82" ht="15.75" customHeight="1">
      <c r="A82" s="4"/>
      <c r="B82" s="4"/>
      <c r="C82" s="8"/>
      <c r="D82" s="4"/>
      <c r="E82" s="4"/>
      <c r="F82" s="8"/>
      <c r="G82" s="4"/>
      <c r="H82" s="4"/>
      <c r="I82" s="8"/>
      <c r="J82" s="4"/>
      <c r="K82" s="4"/>
      <c r="L82" s="8"/>
      <c r="M82" s="4"/>
      <c r="N82" s="4"/>
      <c r="O82" s="8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</row>
    <row r="83" ht="15.75" customHeight="1">
      <c r="A83" s="4"/>
      <c r="B83" s="4"/>
      <c r="C83" s="8"/>
      <c r="D83" s="4"/>
      <c r="E83" s="4"/>
      <c r="F83" s="8"/>
      <c r="G83" s="4"/>
      <c r="H83" s="4"/>
      <c r="I83" s="8"/>
      <c r="J83" s="4"/>
      <c r="K83" s="4"/>
      <c r="L83" s="8"/>
      <c r="M83" s="4"/>
      <c r="N83" s="4"/>
      <c r="O83" s="8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ht="15.75" customHeight="1">
      <c r="A84" s="4"/>
      <c r="B84" s="4"/>
      <c r="C84" s="8"/>
      <c r="D84" s="4"/>
      <c r="E84" s="4"/>
      <c r="F84" s="8"/>
      <c r="G84" s="4"/>
      <c r="H84" s="4"/>
      <c r="I84" s="8"/>
      <c r="J84" s="4"/>
      <c r="K84" s="4"/>
      <c r="L84" s="8"/>
      <c r="M84" s="4"/>
      <c r="N84" s="4"/>
      <c r="O84" s="8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</row>
    <row r="85" ht="15.75" customHeight="1">
      <c r="A85" s="4"/>
      <c r="B85" s="4"/>
      <c r="C85" s="8"/>
      <c r="D85" s="4"/>
      <c r="E85" s="4"/>
      <c r="F85" s="8"/>
      <c r="G85" s="4"/>
      <c r="H85" s="4"/>
      <c r="I85" s="8"/>
      <c r="J85" s="4"/>
      <c r="K85" s="4"/>
      <c r="L85" s="8"/>
      <c r="M85" s="4"/>
      <c r="N85" s="4"/>
      <c r="O85" s="8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</row>
    <row r="86" ht="15.75" customHeight="1">
      <c r="A86" s="4"/>
      <c r="B86" s="4"/>
      <c r="C86" s="8"/>
      <c r="D86" s="4"/>
      <c r="E86" s="4"/>
      <c r="F86" s="8"/>
      <c r="G86" s="4"/>
      <c r="H86" s="4"/>
      <c r="I86" s="8"/>
      <c r="J86" s="4"/>
      <c r="K86" s="4"/>
      <c r="L86" s="8"/>
      <c r="M86" s="4"/>
      <c r="N86" s="4"/>
      <c r="O86" s="8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</row>
    <row r="87" ht="15.75" customHeight="1">
      <c r="A87" s="4"/>
      <c r="B87" s="4"/>
      <c r="C87" s="8"/>
      <c r="D87" s="4"/>
      <c r="E87" s="4"/>
      <c r="F87" s="8"/>
      <c r="G87" s="4"/>
      <c r="H87" s="4"/>
      <c r="I87" s="8"/>
      <c r="J87" s="4"/>
      <c r="K87" s="4"/>
      <c r="L87" s="8"/>
      <c r="M87" s="4"/>
      <c r="N87" s="4"/>
      <c r="O87" s="8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</row>
    <row r="88" ht="15.75" customHeight="1">
      <c r="A88" s="4"/>
      <c r="B88" s="4"/>
      <c r="C88" s="8"/>
      <c r="D88" s="4"/>
      <c r="E88" s="4"/>
      <c r="F88" s="8"/>
      <c r="G88" s="4"/>
      <c r="H88" s="4"/>
      <c r="I88" s="8"/>
      <c r="J88" s="4"/>
      <c r="K88" s="4"/>
      <c r="L88" s="8"/>
      <c r="M88" s="4"/>
      <c r="N88" s="4"/>
      <c r="O88" s="8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</row>
    <row r="89" ht="15.75" customHeight="1">
      <c r="A89" s="4"/>
      <c r="B89" s="4"/>
      <c r="C89" s="8"/>
      <c r="D89" s="4"/>
      <c r="E89" s="4"/>
      <c r="F89" s="8"/>
      <c r="G89" s="4"/>
      <c r="H89" s="4"/>
      <c r="I89" s="8"/>
      <c r="J89" s="4"/>
      <c r="K89" s="4"/>
      <c r="L89" s="8"/>
      <c r="M89" s="4"/>
      <c r="N89" s="4"/>
      <c r="O89" s="8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</row>
    <row r="90" ht="15.75" customHeight="1">
      <c r="A90" s="4"/>
      <c r="B90" s="4"/>
      <c r="C90" s="8"/>
      <c r="D90" s="4"/>
      <c r="E90" s="4"/>
      <c r="F90" s="8"/>
      <c r="G90" s="4"/>
      <c r="H90" s="4"/>
      <c r="I90" s="8"/>
      <c r="J90" s="4"/>
      <c r="K90" s="4"/>
      <c r="L90" s="8"/>
      <c r="M90" s="4"/>
      <c r="N90" s="4"/>
      <c r="O90" s="8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</row>
    <row r="91" ht="15.75" customHeight="1">
      <c r="A91" s="4"/>
      <c r="B91" s="4"/>
      <c r="C91" s="8"/>
      <c r="D91" s="4"/>
      <c r="E91" s="4"/>
      <c r="F91" s="8"/>
      <c r="G91" s="4"/>
      <c r="H91" s="4"/>
      <c r="I91" s="8"/>
      <c r="J91" s="4"/>
      <c r="K91" s="4"/>
      <c r="L91" s="8"/>
      <c r="M91" s="4"/>
      <c r="N91" s="4"/>
      <c r="O91" s="8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ht="15.75" customHeight="1">
      <c r="A92" s="4"/>
      <c r="B92" s="4"/>
      <c r="C92" s="8"/>
      <c r="D92" s="4"/>
      <c r="E92" s="4"/>
      <c r="F92" s="8"/>
      <c r="G92" s="4"/>
      <c r="H92" s="4"/>
      <c r="I92" s="8"/>
      <c r="J92" s="4"/>
      <c r="K92" s="4"/>
      <c r="L92" s="8"/>
      <c r="M92" s="4"/>
      <c r="N92" s="4"/>
      <c r="O92" s="8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</row>
    <row r="93" ht="15.75" customHeight="1">
      <c r="A93" s="4"/>
      <c r="B93" s="4"/>
      <c r="C93" s="8"/>
      <c r="D93" s="4"/>
      <c r="E93" s="4"/>
      <c r="F93" s="8"/>
      <c r="G93" s="4"/>
      <c r="H93" s="4"/>
      <c r="I93" s="8"/>
      <c r="J93" s="4"/>
      <c r="K93" s="4"/>
      <c r="L93" s="8"/>
      <c r="M93" s="4"/>
      <c r="N93" s="4"/>
      <c r="O93" s="8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</row>
    <row r="94" ht="15.75" customHeight="1">
      <c r="A94" s="4"/>
      <c r="B94" s="4"/>
      <c r="C94" s="8"/>
      <c r="D94" s="4"/>
      <c r="E94" s="4"/>
      <c r="F94" s="8"/>
      <c r="G94" s="4"/>
      <c r="H94" s="4"/>
      <c r="I94" s="8"/>
      <c r="J94" s="4"/>
      <c r="K94" s="4"/>
      <c r="L94" s="8"/>
      <c r="M94" s="4"/>
      <c r="N94" s="4"/>
      <c r="O94" s="8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</row>
    <row r="95" ht="15.75" customHeight="1">
      <c r="A95" s="4"/>
      <c r="B95" s="4"/>
      <c r="C95" s="8"/>
      <c r="D95" s="4"/>
      <c r="E95" s="4"/>
      <c r="F95" s="8"/>
      <c r="G95" s="4"/>
      <c r="H95" s="4"/>
      <c r="I95" s="8"/>
      <c r="J95" s="4"/>
      <c r="K95" s="4"/>
      <c r="L95" s="8"/>
      <c r="M95" s="4"/>
      <c r="N95" s="4"/>
      <c r="O95" s="8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</row>
    <row r="96" ht="15.75" customHeight="1">
      <c r="A96" s="4"/>
      <c r="B96" s="4"/>
      <c r="C96" s="8"/>
      <c r="D96" s="4"/>
      <c r="E96" s="4"/>
      <c r="F96" s="8"/>
      <c r="G96" s="4"/>
      <c r="H96" s="4"/>
      <c r="I96" s="8"/>
      <c r="J96" s="4"/>
      <c r="K96" s="4"/>
      <c r="L96" s="8"/>
      <c r="M96" s="4"/>
      <c r="N96" s="4"/>
      <c r="O96" s="8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</row>
    <row r="97" ht="15.75" customHeight="1">
      <c r="A97" s="4"/>
      <c r="B97" s="4"/>
      <c r="C97" s="8"/>
      <c r="D97" s="4"/>
      <c r="E97" s="4"/>
      <c r="F97" s="8"/>
      <c r="G97" s="4"/>
      <c r="H97" s="4"/>
      <c r="I97" s="8"/>
      <c r="J97" s="4"/>
      <c r="K97" s="4"/>
      <c r="L97" s="8"/>
      <c r="M97" s="4"/>
      <c r="N97" s="4"/>
      <c r="O97" s="8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</row>
    <row r="98" ht="15.75" customHeight="1">
      <c r="A98" s="4"/>
      <c r="B98" s="4"/>
      <c r="C98" s="8"/>
      <c r="D98" s="4"/>
      <c r="E98" s="4"/>
      <c r="F98" s="8"/>
      <c r="G98" s="4"/>
      <c r="H98" s="4"/>
      <c r="I98" s="8"/>
      <c r="J98" s="4"/>
      <c r="K98" s="4"/>
      <c r="L98" s="8"/>
      <c r="M98" s="4"/>
      <c r="N98" s="4"/>
      <c r="O98" s="8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</row>
    <row r="99" ht="15.75" customHeight="1">
      <c r="A99" s="4"/>
      <c r="B99" s="4"/>
      <c r="C99" s="8"/>
      <c r="D99" s="4"/>
      <c r="E99" s="4"/>
      <c r="F99" s="8"/>
      <c r="G99" s="4"/>
      <c r="H99" s="4"/>
      <c r="I99" s="8"/>
      <c r="J99" s="4"/>
      <c r="K99" s="4"/>
      <c r="L99" s="8"/>
      <c r="M99" s="4"/>
      <c r="N99" s="4"/>
      <c r="O99" s="8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</row>
    <row r="100" ht="15.75" customHeight="1">
      <c r="A100" s="4"/>
      <c r="B100" s="4"/>
      <c r="C100" s="8"/>
      <c r="D100" s="4"/>
      <c r="E100" s="4"/>
      <c r="F100" s="8"/>
      <c r="G100" s="4"/>
      <c r="H100" s="4"/>
      <c r="I100" s="8"/>
      <c r="J100" s="4"/>
      <c r="K100" s="4"/>
      <c r="L100" s="8"/>
      <c r="M100" s="4"/>
      <c r="N100" s="4"/>
      <c r="O100" s="8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</row>
    <row r="101" ht="15.75" customHeight="1">
      <c r="A101" s="4"/>
      <c r="B101" s="4"/>
      <c r="C101" s="8"/>
      <c r="D101" s="4"/>
      <c r="E101" s="4"/>
      <c r="F101" s="8"/>
      <c r="G101" s="4"/>
      <c r="H101" s="4"/>
      <c r="I101" s="8"/>
      <c r="J101" s="4"/>
      <c r="K101" s="4"/>
      <c r="L101" s="8"/>
      <c r="M101" s="4"/>
      <c r="N101" s="4"/>
      <c r="O101" s="8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</row>
    <row r="102" ht="15.75" customHeight="1">
      <c r="A102" s="4"/>
      <c r="B102" s="4"/>
      <c r="C102" s="8"/>
      <c r="D102" s="4"/>
      <c r="E102" s="4"/>
      <c r="F102" s="8"/>
      <c r="G102" s="4"/>
      <c r="H102" s="4"/>
      <c r="I102" s="8"/>
      <c r="J102" s="4"/>
      <c r="K102" s="4"/>
      <c r="L102" s="8"/>
      <c r="M102" s="4"/>
      <c r="N102" s="4"/>
      <c r="O102" s="8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</row>
    <row r="103" ht="15.75" customHeight="1">
      <c r="A103" s="4"/>
      <c r="B103" s="4"/>
      <c r="C103" s="8"/>
      <c r="D103" s="4"/>
      <c r="E103" s="4"/>
      <c r="F103" s="8"/>
      <c r="G103" s="4"/>
      <c r="H103" s="4"/>
      <c r="I103" s="8"/>
      <c r="J103" s="4"/>
      <c r="K103" s="4"/>
      <c r="L103" s="8"/>
      <c r="M103" s="4"/>
      <c r="N103" s="4"/>
      <c r="O103" s="8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</row>
    <row r="104" ht="15.75" customHeight="1">
      <c r="A104" s="4"/>
      <c r="B104" s="4"/>
      <c r="C104" s="8"/>
      <c r="D104" s="4"/>
      <c r="E104" s="4"/>
      <c r="F104" s="8"/>
      <c r="G104" s="4"/>
      <c r="H104" s="4"/>
      <c r="I104" s="8"/>
      <c r="J104" s="4"/>
      <c r="K104" s="4"/>
      <c r="L104" s="8"/>
      <c r="M104" s="4"/>
      <c r="N104" s="4"/>
      <c r="O104" s="8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</row>
    <row r="105" ht="15.75" customHeight="1">
      <c r="A105" s="4"/>
      <c r="B105" s="4"/>
      <c r="C105" s="8"/>
      <c r="D105" s="4"/>
      <c r="E105" s="4"/>
      <c r="F105" s="8"/>
      <c r="G105" s="4"/>
      <c r="H105" s="4"/>
      <c r="I105" s="8"/>
      <c r="J105" s="4"/>
      <c r="K105" s="4"/>
      <c r="L105" s="8"/>
      <c r="M105" s="4"/>
      <c r="N105" s="4"/>
      <c r="O105" s="8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</row>
    <row r="106" ht="15.75" customHeight="1">
      <c r="A106" s="4"/>
      <c r="B106" s="4"/>
      <c r="C106" s="8"/>
      <c r="D106" s="4"/>
      <c r="E106" s="4"/>
      <c r="F106" s="8"/>
      <c r="G106" s="4"/>
      <c r="H106" s="4"/>
      <c r="I106" s="8"/>
      <c r="J106" s="4"/>
      <c r="K106" s="4"/>
      <c r="L106" s="8"/>
      <c r="M106" s="4"/>
      <c r="N106" s="4"/>
      <c r="O106" s="8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</row>
    <row r="107" ht="15.75" customHeight="1">
      <c r="A107" s="4"/>
      <c r="B107" s="4"/>
      <c r="C107" s="8"/>
      <c r="D107" s="4"/>
      <c r="E107" s="4"/>
      <c r="F107" s="8"/>
      <c r="G107" s="4"/>
      <c r="H107" s="4"/>
      <c r="I107" s="8"/>
      <c r="J107" s="4"/>
      <c r="K107" s="4"/>
      <c r="L107" s="8"/>
      <c r="M107" s="4"/>
      <c r="N107" s="4"/>
      <c r="O107" s="8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</row>
    <row r="108" ht="15.75" customHeight="1">
      <c r="A108" s="4"/>
      <c r="B108" s="4"/>
      <c r="C108" s="8"/>
      <c r="D108" s="4"/>
      <c r="E108" s="4"/>
      <c r="F108" s="8"/>
      <c r="G108" s="4"/>
      <c r="H108" s="4"/>
      <c r="I108" s="8"/>
      <c r="J108" s="4"/>
      <c r="K108" s="4"/>
      <c r="L108" s="8"/>
      <c r="M108" s="4"/>
      <c r="N108" s="4"/>
      <c r="O108" s="8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</row>
    <row r="109" ht="15.75" customHeight="1">
      <c r="A109" s="4"/>
      <c r="B109" s="4"/>
      <c r="C109" s="8"/>
      <c r="D109" s="4"/>
      <c r="E109" s="4"/>
      <c r="F109" s="8"/>
      <c r="G109" s="4"/>
      <c r="H109" s="4"/>
      <c r="I109" s="8"/>
      <c r="J109" s="4"/>
      <c r="K109" s="4"/>
      <c r="L109" s="8"/>
      <c r="M109" s="4"/>
      <c r="N109" s="4"/>
      <c r="O109" s="8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</row>
    <row r="110" ht="15.75" customHeight="1">
      <c r="A110" s="4"/>
      <c r="B110" s="4"/>
      <c r="C110" s="8"/>
      <c r="D110" s="4"/>
      <c r="E110" s="4"/>
      <c r="F110" s="8"/>
      <c r="G110" s="4"/>
      <c r="H110" s="4"/>
      <c r="I110" s="8"/>
      <c r="J110" s="4"/>
      <c r="K110" s="4"/>
      <c r="L110" s="8"/>
      <c r="M110" s="4"/>
      <c r="N110" s="4"/>
      <c r="O110" s="8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</row>
    <row r="111" ht="15.75" customHeight="1">
      <c r="A111" s="4"/>
      <c r="B111" s="4"/>
      <c r="C111" s="8"/>
      <c r="D111" s="4"/>
      <c r="E111" s="4"/>
      <c r="F111" s="8"/>
      <c r="G111" s="4"/>
      <c r="H111" s="4"/>
      <c r="I111" s="8"/>
      <c r="J111" s="4"/>
      <c r="K111" s="4"/>
      <c r="L111" s="8"/>
      <c r="M111" s="4"/>
      <c r="N111" s="4"/>
      <c r="O111" s="8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</row>
    <row r="112" ht="15.75" customHeight="1">
      <c r="A112" s="4"/>
      <c r="B112" s="4"/>
      <c r="C112" s="8"/>
      <c r="D112" s="4"/>
      <c r="E112" s="4"/>
      <c r="F112" s="8"/>
      <c r="G112" s="4"/>
      <c r="H112" s="4"/>
      <c r="I112" s="8"/>
      <c r="J112" s="4"/>
      <c r="K112" s="4"/>
      <c r="L112" s="8"/>
      <c r="M112" s="4"/>
      <c r="N112" s="4"/>
      <c r="O112" s="8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</row>
    <row r="113" ht="15.75" customHeight="1">
      <c r="A113" s="4"/>
      <c r="B113" s="4"/>
      <c r="C113" s="8"/>
      <c r="D113" s="4"/>
      <c r="E113" s="4"/>
      <c r="F113" s="8"/>
      <c r="G113" s="4"/>
      <c r="H113" s="4"/>
      <c r="I113" s="8"/>
      <c r="J113" s="4"/>
      <c r="K113" s="4"/>
      <c r="L113" s="8"/>
      <c r="M113" s="4"/>
      <c r="N113" s="4"/>
      <c r="O113" s="8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</row>
    <row r="114" ht="15.75" customHeight="1">
      <c r="A114" s="4"/>
      <c r="B114" s="4"/>
      <c r="C114" s="8"/>
      <c r="D114" s="4"/>
      <c r="E114" s="4"/>
      <c r="F114" s="8"/>
      <c r="G114" s="4"/>
      <c r="H114" s="4"/>
      <c r="I114" s="8"/>
      <c r="J114" s="4"/>
      <c r="K114" s="4"/>
      <c r="L114" s="8"/>
      <c r="M114" s="4"/>
      <c r="N114" s="4"/>
      <c r="O114" s="8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</row>
    <row r="115" ht="15.75" customHeight="1">
      <c r="A115" s="4"/>
      <c r="B115" s="4"/>
      <c r="C115" s="8"/>
      <c r="D115" s="4"/>
      <c r="E115" s="4"/>
      <c r="F115" s="8"/>
      <c r="G115" s="4"/>
      <c r="H115" s="4"/>
      <c r="I115" s="8"/>
      <c r="J115" s="4"/>
      <c r="K115" s="4"/>
      <c r="L115" s="8"/>
      <c r="M115" s="4"/>
      <c r="N115" s="4"/>
      <c r="O115" s="8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ht="15.75" customHeight="1">
      <c r="A116" s="4"/>
      <c r="B116" s="4"/>
      <c r="C116" s="8"/>
      <c r="D116" s="4"/>
      <c r="E116" s="4"/>
      <c r="F116" s="8"/>
      <c r="G116" s="4"/>
      <c r="H116" s="4"/>
      <c r="I116" s="8"/>
      <c r="J116" s="4"/>
      <c r="K116" s="4"/>
      <c r="L116" s="8"/>
      <c r="M116" s="4"/>
      <c r="N116" s="4"/>
      <c r="O116" s="8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ht="15.75" customHeight="1">
      <c r="A117" s="4"/>
      <c r="B117" s="4"/>
      <c r="C117" s="8"/>
      <c r="D117" s="4"/>
      <c r="E117" s="4"/>
      <c r="F117" s="8"/>
      <c r="G117" s="4"/>
      <c r="H117" s="4"/>
      <c r="I117" s="8"/>
      <c r="J117" s="4"/>
      <c r="K117" s="4"/>
      <c r="L117" s="8"/>
      <c r="M117" s="4"/>
      <c r="N117" s="4"/>
      <c r="O117" s="8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ht="15.75" customHeight="1">
      <c r="A118" s="4"/>
      <c r="B118" s="4"/>
      <c r="C118" s="8"/>
      <c r="D118" s="4"/>
      <c r="E118" s="4"/>
      <c r="F118" s="8"/>
      <c r="G118" s="4"/>
      <c r="H118" s="4"/>
      <c r="I118" s="8"/>
      <c r="J118" s="4"/>
      <c r="K118" s="4"/>
      <c r="L118" s="8"/>
      <c r="M118" s="4"/>
      <c r="N118" s="4"/>
      <c r="O118" s="8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ht="15.75" customHeight="1">
      <c r="A119" s="4"/>
      <c r="B119" s="4"/>
      <c r="C119" s="8"/>
      <c r="D119" s="4"/>
      <c r="E119" s="4"/>
      <c r="F119" s="8"/>
      <c r="G119" s="4"/>
      <c r="H119" s="4"/>
      <c r="I119" s="8"/>
      <c r="J119" s="4"/>
      <c r="K119" s="4"/>
      <c r="L119" s="8"/>
      <c r="M119" s="4"/>
      <c r="N119" s="4"/>
      <c r="O119" s="8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ht="15.75" customHeight="1">
      <c r="A120" s="4"/>
      <c r="B120" s="4"/>
      <c r="C120" s="8"/>
      <c r="D120" s="4"/>
      <c r="E120" s="4"/>
      <c r="F120" s="8"/>
      <c r="G120" s="4"/>
      <c r="H120" s="4"/>
      <c r="I120" s="8"/>
      <c r="J120" s="4"/>
      <c r="K120" s="4"/>
      <c r="L120" s="8"/>
      <c r="M120" s="4"/>
      <c r="N120" s="4"/>
      <c r="O120" s="8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ht="15.75" customHeight="1">
      <c r="A121" s="4"/>
      <c r="B121" s="4"/>
      <c r="C121" s="8"/>
      <c r="D121" s="4"/>
      <c r="E121" s="4"/>
      <c r="F121" s="8"/>
      <c r="G121" s="4"/>
      <c r="H121" s="4"/>
      <c r="I121" s="8"/>
      <c r="J121" s="4"/>
      <c r="K121" s="4"/>
      <c r="L121" s="8"/>
      <c r="M121" s="4"/>
      <c r="N121" s="4"/>
      <c r="O121" s="8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ht="15.75" customHeight="1">
      <c r="A122" s="4"/>
      <c r="B122" s="4"/>
      <c r="C122" s="8"/>
      <c r="D122" s="4"/>
      <c r="E122" s="4"/>
      <c r="F122" s="8"/>
      <c r="G122" s="4"/>
      <c r="H122" s="4"/>
      <c r="I122" s="8"/>
      <c r="J122" s="4"/>
      <c r="K122" s="4"/>
      <c r="L122" s="8"/>
      <c r="M122" s="4"/>
      <c r="N122" s="4"/>
      <c r="O122" s="8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ht="15.75" customHeight="1">
      <c r="A123" s="4"/>
      <c r="B123" s="4"/>
      <c r="C123" s="8"/>
      <c r="D123" s="4"/>
      <c r="E123" s="4"/>
      <c r="F123" s="8"/>
      <c r="G123" s="4"/>
      <c r="H123" s="4"/>
      <c r="I123" s="8"/>
      <c r="J123" s="4"/>
      <c r="K123" s="4"/>
      <c r="L123" s="8"/>
      <c r="M123" s="4"/>
      <c r="N123" s="4"/>
      <c r="O123" s="8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ht="15.75" customHeight="1">
      <c r="A124" s="4"/>
      <c r="B124" s="4"/>
      <c r="C124" s="8"/>
      <c r="D124" s="4"/>
      <c r="E124" s="4"/>
      <c r="F124" s="8"/>
      <c r="G124" s="4"/>
      <c r="H124" s="4"/>
      <c r="I124" s="8"/>
      <c r="J124" s="4"/>
      <c r="K124" s="4"/>
      <c r="L124" s="8"/>
      <c r="M124" s="4"/>
      <c r="N124" s="4"/>
      <c r="O124" s="8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ht="15.75" customHeight="1">
      <c r="A125" s="4"/>
      <c r="B125" s="4"/>
      <c r="C125" s="8"/>
      <c r="D125" s="4"/>
      <c r="E125" s="4"/>
      <c r="F125" s="8"/>
      <c r="G125" s="4"/>
      <c r="H125" s="4"/>
      <c r="I125" s="8"/>
      <c r="J125" s="4"/>
      <c r="K125" s="4"/>
      <c r="L125" s="8"/>
      <c r="M125" s="4"/>
      <c r="N125" s="4"/>
      <c r="O125" s="8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ht="15.75" customHeight="1">
      <c r="A126" s="4"/>
      <c r="B126" s="4"/>
      <c r="C126" s="8"/>
      <c r="D126" s="4"/>
      <c r="E126" s="4"/>
      <c r="F126" s="8"/>
      <c r="G126" s="4"/>
      <c r="H126" s="4"/>
      <c r="I126" s="8"/>
      <c r="J126" s="4"/>
      <c r="K126" s="4"/>
      <c r="L126" s="8"/>
      <c r="M126" s="4"/>
      <c r="N126" s="4"/>
      <c r="O126" s="8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ht="15.75" customHeight="1">
      <c r="A127" s="4"/>
      <c r="B127" s="4"/>
      <c r="C127" s="8"/>
      <c r="D127" s="4"/>
      <c r="E127" s="4"/>
      <c r="F127" s="8"/>
      <c r="G127" s="4"/>
      <c r="H127" s="4"/>
      <c r="I127" s="8"/>
      <c r="J127" s="4"/>
      <c r="K127" s="4"/>
      <c r="L127" s="8"/>
      <c r="M127" s="4"/>
      <c r="N127" s="4"/>
      <c r="O127" s="8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ht="15.75" customHeight="1">
      <c r="A128" s="4"/>
      <c r="B128" s="4"/>
      <c r="C128" s="8"/>
      <c r="D128" s="4"/>
      <c r="E128" s="4"/>
      <c r="F128" s="8"/>
      <c r="G128" s="4"/>
      <c r="H128" s="4"/>
      <c r="I128" s="8"/>
      <c r="J128" s="4"/>
      <c r="K128" s="4"/>
      <c r="L128" s="8"/>
      <c r="M128" s="4"/>
      <c r="N128" s="4"/>
      <c r="O128" s="8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ht="15.75" customHeight="1">
      <c r="A129" s="4"/>
      <c r="B129" s="4"/>
      <c r="C129" s="8"/>
      <c r="D129" s="4"/>
      <c r="E129" s="4"/>
      <c r="F129" s="8"/>
      <c r="G129" s="4"/>
      <c r="H129" s="4"/>
      <c r="I129" s="8"/>
      <c r="J129" s="4"/>
      <c r="K129" s="4"/>
      <c r="L129" s="8"/>
      <c r="M129" s="4"/>
      <c r="N129" s="4"/>
      <c r="O129" s="8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 ht="15.75" customHeight="1">
      <c r="A130" s="4"/>
      <c r="B130" s="4"/>
      <c r="C130" s="8"/>
      <c r="D130" s="4"/>
      <c r="E130" s="4"/>
      <c r="F130" s="8"/>
      <c r="G130" s="4"/>
      <c r="H130" s="4"/>
      <c r="I130" s="8"/>
      <c r="J130" s="4"/>
      <c r="K130" s="4"/>
      <c r="L130" s="8"/>
      <c r="M130" s="4"/>
      <c r="N130" s="4"/>
      <c r="O130" s="8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ht="15.75" customHeight="1">
      <c r="A131" s="4"/>
      <c r="B131" s="4"/>
      <c r="C131" s="8"/>
      <c r="D131" s="4"/>
      <c r="E131" s="4"/>
      <c r="F131" s="8"/>
      <c r="G131" s="4"/>
      <c r="H131" s="4"/>
      <c r="I131" s="8"/>
      <c r="J131" s="4"/>
      <c r="K131" s="4"/>
      <c r="L131" s="8"/>
      <c r="M131" s="4"/>
      <c r="N131" s="4"/>
      <c r="O131" s="8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ht="15.75" customHeight="1">
      <c r="A132" s="4"/>
      <c r="B132" s="4"/>
      <c r="C132" s="8"/>
      <c r="D132" s="4"/>
      <c r="E132" s="4"/>
      <c r="F132" s="8"/>
      <c r="G132" s="4"/>
      <c r="H132" s="4"/>
      <c r="I132" s="8"/>
      <c r="J132" s="4"/>
      <c r="K132" s="4"/>
      <c r="L132" s="8"/>
      <c r="M132" s="4"/>
      <c r="N132" s="4"/>
      <c r="O132" s="8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ht="15.75" customHeight="1">
      <c r="A133" s="4"/>
      <c r="B133" s="4"/>
      <c r="C133" s="8"/>
      <c r="D133" s="4"/>
      <c r="E133" s="4"/>
      <c r="F133" s="8"/>
      <c r="G133" s="4"/>
      <c r="H133" s="4"/>
      <c r="I133" s="8"/>
      <c r="J133" s="4"/>
      <c r="K133" s="4"/>
      <c r="L133" s="8"/>
      <c r="M133" s="4"/>
      <c r="N133" s="4"/>
      <c r="O133" s="8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ht="15.75" customHeight="1">
      <c r="A134" s="4"/>
      <c r="B134" s="4"/>
      <c r="C134" s="8"/>
      <c r="D134" s="4"/>
      <c r="E134" s="4"/>
      <c r="F134" s="8"/>
      <c r="G134" s="4"/>
      <c r="H134" s="4"/>
      <c r="I134" s="8"/>
      <c r="J134" s="4"/>
      <c r="K134" s="4"/>
      <c r="L134" s="8"/>
      <c r="M134" s="4"/>
      <c r="N134" s="4"/>
      <c r="O134" s="8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ht="15.75" customHeight="1">
      <c r="A135" s="4"/>
      <c r="B135" s="4"/>
      <c r="C135" s="8"/>
      <c r="D135" s="4"/>
      <c r="E135" s="4"/>
      <c r="F135" s="8"/>
      <c r="G135" s="4"/>
      <c r="H135" s="4"/>
      <c r="I135" s="8"/>
      <c r="J135" s="4"/>
      <c r="K135" s="4"/>
      <c r="L135" s="8"/>
      <c r="M135" s="4"/>
      <c r="N135" s="4"/>
      <c r="O135" s="8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</row>
    <row r="136" ht="15.75" customHeight="1">
      <c r="A136" s="4"/>
      <c r="B136" s="4"/>
      <c r="C136" s="8"/>
      <c r="D136" s="4"/>
      <c r="E136" s="4"/>
      <c r="F136" s="8"/>
      <c r="G136" s="4"/>
      <c r="H136" s="4"/>
      <c r="I136" s="8"/>
      <c r="J136" s="4"/>
      <c r="K136" s="4"/>
      <c r="L136" s="8"/>
      <c r="M136" s="4"/>
      <c r="N136" s="4"/>
      <c r="O136" s="8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 ht="15.75" customHeight="1">
      <c r="A137" s="4"/>
      <c r="B137" s="4"/>
      <c r="C137" s="8"/>
      <c r="D137" s="4"/>
      <c r="E137" s="4"/>
      <c r="F137" s="8"/>
      <c r="G137" s="4"/>
      <c r="H137" s="4"/>
      <c r="I137" s="8"/>
      <c r="J137" s="4"/>
      <c r="K137" s="4"/>
      <c r="L137" s="8"/>
      <c r="M137" s="4"/>
      <c r="N137" s="4"/>
      <c r="O137" s="8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</row>
    <row r="138" ht="15.75" customHeight="1">
      <c r="A138" s="4"/>
      <c r="B138" s="4"/>
      <c r="C138" s="8"/>
      <c r="D138" s="4"/>
      <c r="E138" s="4"/>
      <c r="F138" s="8"/>
      <c r="G138" s="4"/>
      <c r="H138" s="4"/>
      <c r="I138" s="8"/>
      <c r="J138" s="4"/>
      <c r="K138" s="4"/>
      <c r="L138" s="8"/>
      <c r="M138" s="4"/>
      <c r="N138" s="4"/>
      <c r="O138" s="8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</row>
    <row r="139" ht="15.75" customHeight="1">
      <c r="A139" s="4"/>
      <c r="B139" s="4"/>
      <c r="C139" s="8"/>
      <c r="D139" s="4"/>
      <c r="E139" s="4"/>
      <c r="F139" s="8"/>
      <c r="G139" s="4"/>
      <c r="H139" s="4"/>
      <c r="I139" s="8"/>
      <c r="J139" s="4"/>
      <c r="K139" s="4"/>
      <c r="L139" s="8"/>
      <c r="M139" s="4"/>
      <c r="N139" s="4"/>
      <c r="O139" s="8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ht="15.75" customHeight="1">
      <c r="A140" s="4"/>
      <c r="B140" s="4"/>
      <c r="C140" s="8"/>
      <c r="D140" s="4"/>
      <c r="E140" s="4"/>
      <c r="F140" s="8"/>
      <c r="G140" s="4"/>
      <c r="H140" s="4"/>
      <c r="I140" s="8"/>
      <c r="J140" s="4"/>
      <c r="K140" s="4"/>
      <c r="L140" s="8"/>
      <c r="M140" s="4"/>
      <c r="N140" s="4"/>
      <c r="O140" s="8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ht="15.75" customHeight="1">
      <c r="A141" s="4"/>
      <c r="B141" s="4"/>
      <c r="C141" s="8"/>
      <c r="D141" s="4"/>
      <c r="E141" s="4"/>
      <c r="F141" s="8"/>
      <c r="G141" s="4"/>
      <c r="H141" s="4"/>
      <c r="I141" s="8"/>
      <c r="J141" s="4"/>
      <c r="K141" s="4"/>
      <c r="L141" s="8"/>
      <c r="M141" s="4"/>
      <c r="N141" s="4"/>
      <c r="O141" s="8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</row>
    <row r="142" ht="15.75" customHeight="1">
      <c r="A142" s="4"/>
      <c r="B142" s="4"/>
      <c r="C142" s="8"/>
      <c r="D142" s="4"/>
      <c r="E142" s="4"/>
      <c r="F142" s="8"/>
      <c r="G142" s="4"/>
      <c r="H142" s="4"/>
      <c r="I142" s="8"/>
      <c r="J142" s="4"/>
      <c r="K142" s="4"/>
      <c r="L142" s="8"/>
      <c r="M142" s="4"/>
      <c r="N142" s="4"/>
      <c r="O142" s="8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</row>
    <row r="143" ht="15.75" customHeight="1">
      <c r="A143" s="4"/>
      <c r="B143" s="4"/>
      <c r="C143" s="8"/>
      <c r="D143" s="4"/>
      <c r="E143" s="4"/>
      <c r="F143" s="8"/>
      <c r="G143" s="4"/>
      <c r="H143" s="4"/>
      <c r="I143" s="8"/>
      <c r="J143" s="4"/>
      <c r="K143" s="4"/>
      <c r="L143" s="8"/>
      <c r="M143" s="4"/>
      <c r="N143" s="4"/>
      <c r="O143" s="8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</row>
    <row r="144" ht="15.75" customHeight="1">
      <c r="A144" s="4"/>
      <c r="B144" s="4"/>
      <c r="C144" s="8"/>
      <c r="D144" s="4"/>
      <c r="E144" s="4"/>
      <c r="F144" s="8"/>
      <c r="G144" s="4"/>
      <c r="H144" s="4"/>
      <c r="I144" s="8"/>
      <c r="J144" s="4"/>
      <c r="K144" s="4"/>
      <c r="L144" s="8"/>
      <c r="M144" s="4"/>
      <c r="N144" s="4"/>
      <c r="O144" s="8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</row>
    <row r="145" ht="15.75" customHeight="1">
      <c r="A145" s="4"/>
      <c r="B145" s="4"/>
      <c r="C145" s="8"/>
      <c r="D145" s="4"/>
      <c r="E145" s="4"/>
      <c r="F145" s="8"/>
      <c r="G145" s="4"/>
      <c r="H145" s="4"/>
      <c r="I145" s="8"/>
      <c r="J145" s="4"/>
      <c r="K145" s="4"/>
      <c r="L145" s="8"/>
      <c r="M145" s="4"/>
      <c r="N145" s="4"/>
      <c r="O145" s="8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</row>
    <row r="146" ht="15.75" customHeight="1">
      <c r="A146" s="4"/>
      <c r="B146" s="4"/>
      <c r="C146" s="8"/>
      <c r="D146" s="4"/>
      <c r="E146" s="4"/>
      <c r="F146" s="8"/>
      <c r="G146" s="4"/>
      <c r="H146" s="4"/>
      <c r="I146" s="8"/>
      <c r="J146" s="4"/>
      <c r="K146" s="4"/>
      <c r="L146" s="8"/>
      <c r="M146" s="4"/>
      <c r="N146" s="4"/>
      <c r="O146" s="8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</row>
    <row r="147" ht="15.75" customHeight="1">
      <c r="A147" s="4"/>
      <c r="B147" s="4"/>
      <c r="C147" s="8"/>
      <c r="D147" s="4"/>
      <c r="E147" s="4"/>
      <c r="F147" s="8"/>
      <c r="G147" s="4"/>
      <c r="H147" s="4"/>
      <c r="I147" s="8"/>
      <c r="J147" s="4"/>
      <c r="K147" s="4"/>
      <c r="L147" s="8"/>
      <c r="M147" s="4"/>
      <c r="N147" s="4"/>
      <c r="O147" s="8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</row>
    <row r="148" ht="15.75" customHeight="1">
      <c r="A148" s="4"/>
      <c r="B148" s="4"/>
      <c r="C148" s="8"/>
      <c r="D148" s="4"/>
      <c r="E148" s="4"/>
      <c r="F148" s="8"/>
      <c r="G148" s="4"/>
      <c r="H148" s="4"/>
      <c r="I148" s="8"/>
      <c r="J148" s="4"/>
      <c r="K148" s="4"/>
      <c r="L148" s="8"/>
      <c r="M148" s="4"/>
      <c r="N148" s="4"/>
      <c r="O148" s="8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</row>
    <row r="149" ht="15.75" customHeight="1">
      <c r="A149" s="4"/>
      <c r="B149" s="4"/>
      <c r="C149" s="8"/>
      <c r="D149" s="4"/>
      <c r="E149" s="4"/>
      <c r="F149" s="8"/>
      <c r="G149" s="4"/>
      <c r="H149" s="4"/>
      <c r="I149" s="8"/>
      <c r="J149" s="4"/>
      <c r="K149" s="4"/>
      <c r="L149" s="8"/>
      <c r="M149" s="4"/>
      <c r="N149" s="4"/>
      <c r="O149" s="8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</row>
    <row r="150" ht="15.75" customHeight="1">
      <c r="A150" s="4"/>
      <c r="B150" s="4"/>
      <c r="C150" s="8"/>
      <c r="D150" s="4"/>
      <c r="E150" s="4"/>
      <c r="F150" s="8"/>
      <c r="G150" s="4"/>
      <c r="H150" s="4"/>
      <c r="I150" s="8"/>
      <c r="J150" s="4"/>
      <c r="K150" s="4"/>
      <c r="L150" s="8"/>
      <c r="M150" s="4"/>
      <c r="N150" s="4"/>
      <c r="O150" s="8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</row>
    <row r="151" ht="15.75" customHeight="1">
      <c r="A151" s="4"/>
      <c r="B151" s="4"/>
      <c r="C151" s="8"/>
      <c r="D151" s="4"/>
      <c r="E151" s="4"/>
      <c r="F151" s="8"/>
      <c r="G151" s="4"/>
      <c r="H151" s="4"/>
      <c r="I151" s="8"/>
      <c r="J151" s="4"/>
      <c r="K151" s="4"/>
      <c r="L151" s="8"/>
      <c r="M151" s="4"/>
      <c r="N151" s="4"/>
      <c r="O151" s="8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</row>
    <row r="152" ht="15.75" customHeight="1">
      <c r="A152" s="4"/>
      <c r="B152" s="4"/>
      <c r="C152" s="8"/>
      <c r="D152" s="4"/>
      <c r="E152" s="4"/>
      <c r="F152" s="8"/>
      <c r="G152" s="4"/>
      <c r="H152" s="4"/>
      <c r="I152" s="8"/>
      <c r="J152" s="4"/>
      <c r="K152" s="4"/>
      <c r="L152" s="8"/>
      <c r="M152" s="4"/>
      <c r="N152" s="4"/>
      <c r="O152" s="8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</row>
    <row r="153" ht="15.75" customHeight="1">
      <c r="A153" s="4"/>
      <c r="B153" s="4"/>
      <c r="C153" s="8"/>
      <c r="D153" s="4"/>
      <c r="E153" s="4"/>
      <c r="F153" s="8"/>
      <c r="G153" s="4"/>
      <c r="H153" s="4"/>
      <c r="I153" s="8"/>
      <c r="J153" s="4"/>
      <c r="K153" s="4"/>
      <c r="L153" s="8"/>
      <c r="M153" s="4"/>
      <c r="N153" s="4"/>
      <c r="O153" s="8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</row>
    <row r="154" ht="15.75" customHeight="1">
      <c r="A154" s="4"/>
      <c r="B154" s="4"/>
      <c r="C154" s="8"/>
      <c r="D154" s="4"/>
      <c r="E154" s="4"/>
      <c r="F154" s="8"/>
      <c r="G154" s="4"/>
      <c r="H154" s="4"/>
      <c r="I154" s="8"/>
      <c r="J154" s="4"/>
      <c r="K154" s="4"/>
      <c r="L154" s="8"/>
      <c r="M154" s="4"/>
      <c r="N154" s="4"/>
      <c r="O154" s="8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</row>
    <row r="155" ht="15.75" customHeight="1">
      <c r="A155" s="4"/>
      <c r="B155" s="4"/>
      <c r="C155" s="8"/>
      <c r="D155" s="4"/>
      <c r="E155" s="4"/>
      <c r="F155" s="8"/>
      <c r="G155" s="4"/>
      <c r="H155" s="4"/>
      <c r="I155" s="8"/>
      <c r="J155" s="4"/>
      <c r="K155" s="4"/>
      <c r="L155" s="8"/>
      <c r="M155" s="4"/>
      <c r="N155" s="4"/>
      <c r="O155" s="8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</row>
    <row r="156" ht="15.75" customHeight="1">
      <c r="A156" s="4"/>
      <c r="B156" s="4"/>
      <c r="C156" s="8"/>
      <c r="D156" s="4"/>
      <c r="E156" s="4"/>
      <c r="F156" s="8"/>
      <c r="G156" s="4"/>
      <c r="H156" s="4"/>
      <c r="I156" s="8"/>
      <c r="J156" s="4"/>
      <c r="K156" s="4"/>
      <c r="L156" s="8"/>
      <c r="M156" s="4"/>
      <c r="N156" s="4"/>
      <c r="O156" s="8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</row>
    <row r="157" ht="15.75" customHeight="1">
      <c r="A157" s="4"/>
      <c r="B157" s="4"/>
      <c r="C157" s="8"/>
      <c r="D157" s="4"/>
      <c r="E157" s="4"/>
      <c r="F157" s="8"/>
      <c r="G157" s="4"/>
      <c r="H157" s="4"/>
      <c r="I157" s="8"/>
      <c r="J157" s="4"/>
      <c r="K157" s="4"/>
      <c r="L157" s="8"/>
      <c r="M157" s="4"/>
      <c r="N157" s="4"/>
      <c r="O157" s="8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</row>
    <row r="158" ht="15.75" customHeight="1">
      <c r="A158" s="4"/>
      <c r="B158" s="4"/>
      <c r="C158" s="8"/>
      <c r="D158" s="4"/>
      <c r="E158" s="4"/>
      <c r="F158" s="8"/>
      <c r="G158" s="4"/>
      <c r="H158" s="4"/>
      <c r="I158" s="8"/>
      <c r="J158" s="4"/>
      <c r="K158" s="4"/>
      <c r="L158" s="8"/>
      <c r="M158" s="4"/>
      <c r="N158" s="4"/>
      <c r="O158" s="8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</row>
    <row r="159" ht="15.75" customHeight="1">
      <c r="A159" s="4"/>
      <c r="B159" s="4"/>
      <c r="C159" s="8"/>
      <c r="D159" s="4"/>
      <c r="E159" s="4"/>
      <c r="F159" s="8"/>
      <c r="G159" s="4"/>
      <c r="H159" s="4"/>
      <c r="I159" s="8"/>
      <c r="J159" s="4"/>
      <c r="K159" s="4"/>
      <c r="L159" s="8"/>
      <c r="M159" s="4"/>
      <c r="N159" s="4"/>
      <c r="O159" s="8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</row>
    <row r="160" ht="15.75" customHeight="1">
      <c r="A160" s="4"/>
      <c r="B160" s="4"/>
      <c r="C160" s="8"/>
      <c r="D160" s="4"/>
      <c r="E160" s="4"/>
      <c r="F160" s="8"/>
      <c r="G160" s="4"/>
      <c r="H160" s="4"/>
      <c r="I160" s="8"/>
      <c r="J160" s="4"/>
      <c r="K160" s="4"/>
      <c r="L160" s="8"/>
      <c r="M160" s="4"/>
      <c r="N160" s="4"/>
      <c r="O160" s="8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</row>
    <row r="161" ht="15.75" customHeight="1">
      <c r="A161" s="4"/>
      <c r="B161" s="4"/>
      <c r="C161" s="8"/>
      <c r="D161" s="4"/>
      <c r="E161" s="4"/>
      <c r="F161" s="8"/>
      <c r="G161" s="4"/>
      <c r="H161" s="4"/>
      <c r="I161" s="8"/>
      <c r="J161" s="4"/>
      <c r="K161" s="4"/>
      <c r="L161" s="8"/>
      <c r="M161" s="4"/>
      <c r="N161" s="4"/>
      <c r="O161" s="8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</row>
    <row r="162" ht="15.75" customHeight="1">
      <c r="A162" s="4"/>
      <c r="B162" s="4"/>
      <c r="C162" s="8"/>
      <c r="D162" s="4"/>
      <c r="E162" s="4"/>
      <c r="F162" s="8"/>
      <c r="G162" s="4"/>
      <c r="H162" s="4"/>
      <c r="I162" s="8"/>
      <c r="J162" s="4"/>
      <c r="K162" s="4"/>
      <c r="L162" s="8"/>
      <c r="M162" s="4"/>
      <c r="N162" s="4"/>
      <c r="O162" s="8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</row>
    <row r="163" ht="15.75" customHeight="1">
      <c r="A163" s="4"/>
      <c r="B163" s="4"/>
      <c r="C163" s="8"/>
      <c r="D163" s="4"/>
      <c r="E163" s="4"/>
      <c r="F163" s="8"/>
      <c r="G163" s="4"/>
      <c r="H163" s="4"/>
      <c r="I163" s="8"/>
      <c r="J163" s="4"/>
      <c r="K163" s="4"/>
      <c r="L163" s="8"/>
      <c r="M163" s="4"/>
      <c r="N163" s="4"/>
      <c r="O163" s="8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</row>
    <row r="164" ht="15.75" customHeight="1">
      <c r="A164" s="4"/>
      <c r="B164" s="4"/>
      <c r="C164" s="8"/>
      <c r="D164" s="4"/>
      <c r="E164" s="4"/>
      <c r="F164" s="8"/>
      <c r="G164" s="4"/>
      <c r="H164" s="4"/>
      <c r="I164" s="8"/>
      <c r="J164" s="4"/>
      <c r="K164" s="4"/>
      <c r="L164" s="8"/>
      <c r="M164" s="4"/>
      <c r="N164" s="4"/>
      <c r="O164" s="8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</row>
    <row r="165" ht="15.75" customHeight="1">
      <c r="A165" s="4"/>
      <c r="B165" s="4"/>
      <c r="C165" s="8"/>
      <c r="D165" s="4"/>
      <c r="E165" s="4"/>
      <c r="F165" s="8"/>
      <c r="G165" s="4"/>
      <c r="H165" s="4"/>
      <c r="I165" s="8"/>
      <c r="J165" s="4"/>
      <c r="K165" s="4"/>
      <c r="L165" s="8"/>
      <c r="M165" s="4"/>
      <c r="N165" s="4"/>
      <c r="O165" s="8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</row>
    <row r="166" ht="15.75" customHeight="1">
      <c r="A166" s="4"/>
      <c r="B166" s="4"/>
      <c r="C166" s="8"/>
      <c r="D166" s="4"/>
      <c r="E166" s="4"/>
      <c r="F166" s="8"/>
      <c r="G166" s="4"/>
      <c r="H166" s="4"/>
      <c r="I166" s="8"/>
      <c r="J166" s="4"/>
      <c r="K166" s="4"/>
      <c r="L166" s="8"/>
      <c r="M166" s="4"/>
      <c r="N166" s="4"/>
      <c r="O166" s="8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</row>
    <row r="167" ht="15.75" customHeight="1">
      <c r="A167" s="4"/>
      <c r="B167" s="4"/>
      <c r="C167" s="8"/>
      <c r="D167" s="4"/>
      <c r="E167" s="4"/>
      <c r="F167" s="8"/>
      <c r="G167" s="4"/>
      <c r="H167" s="4"/>
      <c r="I167" s="8"/>
      <c r="J167" s="4"/>
      <c r="K167" s="4"/>
      <c r="L167" s="8"/>
      <c r="M167" s="4"/>
      <c r="N167" s="4"/>
      <c r="O167" s="8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</row>
    <row r="168" ht="15.75" customHeight="1">
      <c r="A168" s="4"/>
      <c r="B168" s="4"/>
      <c r="C168" s="8"/>
      <c r="D168" s="4"/>
      <c r="E168" s="4"/>
      <c r="F168" s="8"/>
      <c r="G168" s="4"/>
      <c r="H168" s="4"/>
      <c r="I168" s="8"/>
      <c r="J168" s="4"/>
      <c r="K168" s="4"/>
      <c r="L168" s="8"/>
      <c r="M168" s="4"/>
      <c r="N168" s="4"/>
      <c r="O168" s="8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</row>
    <row r="169" ht="15.75" customHeight="1">
      <c r="A169" s="4"/>
      <c r="B169" s="4"/>
      <c r="C169" s="8"/>
      <c r="D169" s="4"/>
      <c r="E169" s="4"/>
      <c r="F169" s="8"/>
      <c r="G169" s="4"/>
      <c r="H169" s="4"/>
      <c r="I169" s="8"/>
      <c r="J169" s="4"/>
      <c r="K169" s="4"/>
      <c r="L169" s="8"/>
      <c r="M169" s="4"/>
      <c r="N169" s="4"/>
      <c r="O169" s="8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</row>
    <row r="170" ht="15.75" customHeight="1">
      <c r="A170" s="4"/>
      <c r="B170" s="4"/>
      <c r="C170" s="8"/>
      <c r="D170" s="4"/>
      <c r="E170" s="4"/>
      <c r="F170" s="8"/>
      <c r="G170" s="4"/>
      <c r="H170" s="4"/>
      <c r="I170" s="8"/>
      <c r="J170" s="4"/>
      <c r="K170" s="4"/>
      <c r="L170" s="8"/>
      <c r="M170" s="4"/>
      <c r="N170" s="4"/>
      <c r="O170" s="8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</row>
    <row r="171" ht="15.75" customHeight="1">
      <c r="A171" s="4"/>
      <c r="B171" s="4"/>
      <c r="C171" s="8"/>
      <c r="D171" s="4"/>
      <c r="E171" s="4"/>
      <c r="F171" s="8"/>
      <c r="G171" s="4"/>
      <c r="H171" s="4"/>
      <c r="I171" s="8"/>
      <c r="J171" s="4"/>
      <c r="K171" s="4"/>
      <c r="L171" s="8"/>
      <c r="M171" s="4"/>
      <c r="N171" s="4"/>
      <c r="O171" s="8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</row>
    <row r="172" ht="15.75" customHeight="1">
      <c r="A172" s="4"/>
      <c r="B172" s="4"/>
      <c r="C172" s="8"/>
      <c r="D172" s="4"/>
      <c r="E172" s="4"/>
      <c r="F172" s="8"/>
      <c r="G172" s="4"/>
      <c r="H172" s="4"/>
      <c r="I172" s="8"/>
      <c r="J172" s="4"/>
      <c r="K172" s="4"/>
      <c r="L172" s="8"/>
      <c r="M172" s="4"/>
      <c r="N172" s="4"/>
      <c r="O172" s="8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</row>
    <row r="173" ht="15.75" customHeight="1">
      <c r="A173" s="4"/>
      <c r="B173" s="4"/>
      <c r="C173" s="8"/>
      <c r="D173" s="4"/>
      <c r="E173" s="4"/>
      <c r="F173" s="8"/>
      <c r="G173" s="4"/>
      <c r="H173" s="4"/>
      <c r="I173" s="8"/>
      <c r="J173" s="4"/>
      <c r="K173" s="4"/>
      <c r="L173" s="8"/>
      <c r="M173" s="4"/>
      <c r="N173" s="4"/>
      <c r="O173" s="8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</row>
    <row r="174" ht="15.75" customHeight="1">
      <c r="A174" s="4"/>
      <c r="B174" s="4"/>
      <c r="C174" s="8"/>
      <c r="D174" s="4"/>
      <c r="E174" s="4"/>
      <c r="F174" s="8"/>
      <c r="G174" s="4"/>
      <c r="H174" s="4"/>
      <c r="I174" s="8"/>
      <c r="J174" s="4"/>
      <c r="K174" s="4"/>
      <c r="L174" s="8"/>
      <c r="M174" s="4"/>
      <c r="N174" s="4"/>
      <c r="O174" s="8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</row>
    <row r="175" ht="15.75" customHeight="1">
      <c r="A175" s="4"/>
      <c r="B175" s="4"/>
      <c r="C175" s="8"/>
      <c r="D175" s="4"/>
      <c r="E175" s="4"/>
      <c r="F175" s="8"/>
      <c r="G175" s="4"/>
      <c r="H175" s="4"/>
      <c r="I175" s="8"/>
      <c r="J175" s="4"/>
      <c r="K175" s="4"/>
      <c r="L175" s="8"/>
      <c r="M175" s="4"/>
      <c r="N175" s="4"/>
      <c r="O175" s="8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</row>
    <row r="176" ht="15.75" customHeight="1">
      <c r="A176" s="4"/>
      <c r="B176" s="4"/>
      <c r="C176" s="8"/>
      <c r="D176" s="4"/>
      <c r="E176" s="4"/>
      <c r="F176" s="8"/>
      <c r="G176" s="4"/>
      <c r="H176" s="4"/>
      <c r="I176" s="8"/>
      <c r="J176" s="4"/>
      <c r="K176" s="4"/>
      <c r="L176" s="8"/>
      <c r="M176" s="4"/>
      <c r="N176" s="4"/>
      <c r="O176" s="8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</row>
    <row r="177" ht="15.75" customHeight="1">
      <c r="A177" s="4"/>
      <c r="B177" s="4"/>
      <c r="C177" s="8"/>
      <c r="D177" s="4"/>
      <c r="E177" s="4"/>
      <c r="F177" s="8"/>
      <c r="G177" s="4"/>
      <c r="H177" s="4"/>
      <c r="I177" s="8"/>
      <c r="J177" s="4"/>
      <c r="K177" s="4"/>
      <c r="L177" s="8"/>
      <c r="M177" s="4"/>
      <c r="N177" s="4"/>
      <c r="O177" s="8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</row>
    <row r="178" ht="15.75" customHeight="1">
      <c r="A178" s="4"/>
      <c r="B178" s="4"/>
      <c r="C178" s="8"/>
      <c r="D178" s="4"/>
      <c r="E178" s="4"/>
      <c r="F178" s="8"/>
      <c r="G178" s="4"/>
      <c r="H178" s="4"/>
      <c r="I178" s="8"/>
      <c r="J178" s="4"/>
      <c r="K178" s="4"/>
      <c r="L178" s="8"/>
      <c r="M178" s="4"/>
      <c r="N178" s="4"/>
      <c r="O178" s="8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</row>
    <row r="179" ht="15.75" customHeight="1">
      <c r="A179" s="4"/>
      <c r="B179" s="4"/>
      <c r="C179" s="8"/>
      <c r="D179" s="4"/>
      <c r="E179" s="4"/>
      <c r="F179" s="8"/>
      <c r="G179" s="4"/>
      <c r="H179" s="4"/>
      <c r="I179" s="8"/>
      <c r="J179" s="4"/>
      <c r="K179" s="4"/>
      <c r="L179" s="8"/>
      <c r="M179" s="4"/>
      <c r="N179" s="4"/>
      <c r="O179" s="8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</row>
    <row r="180" ht="15.75" customHeight="1">
      <c r="A180" s="4"/>
      <c r="B180" s="4"/>
      <c r="C180" s="8"/>
      <c r="D180" s="4"/>
      <c r="E180" s="4"/>
      <c r="F180" s="8"/>
      <c r="G180" s="4"/>
      <c r="H180" s="4"/>
      <c r="I180" s="8"/>
      <c r="J180" s="4"/>
      <c r="K180" s="4"/>
      <c r="L180" s="8"/>
      <c r="M180" s="4"/>
      <c r="N180" s="4"/>
      <c r="O180" s="8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</row>
    <row r="181" ht="15.75" customHeight="1">
      <c r="A181" s="4"/>
      <c r="B181" s="4"/>
      <c r="C181" s="8"/>
      <c r="D181" s="4"/>
      <c r="E181" s="4"/>
      <c r="F181" s="8"/>
      <c r="G181" s="4"/>
      <c r="H181" s="4"/>
      <c r="I181" s="8"/>
      <c r="J181" s="4"/>
      <c r="K181" s="4"/>
      <c r="L181" s="8"/>
      <c r="M181" s="4"/>
      <c r="N181" s="4"/>
      <c r="O181" s="8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</row>
    <row r="182" ht="15.75" customHeight="1">
      <c r="A182" s="4"/>
      <c r="B182" s="4"/>
      <c r="C182" s="8"/>
      <c r="D182" s="4"/>
      <c r="E182" s="4"/>
      <c r="F182" s="8"/>
      <c r="G182" s="4"/>
      <c r="H182" s="4"/>
      <c r="I182" s="8"/>
      <c r="J182" s="4"/>
      <c r="K182" s="4"/>
      <c r="L182" s="8"/>
      <c r="M182" s="4"/>
      <c r="N182" s="4"/>
      <c r="O182" s="8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</row>
    <row r="183" ht="15.75" customHeight="1">
      <c r="A183" s="4"/>
      <c r="B183" s="4"/>
      <c r="C183" s="8"/>
      <c r="D183" s="4"/>
      <c r="E183" s="4"/>
      <c r="F183" s="8"/>
      <c r="G183" s="4"/>
      <c r="H183" s="4"/>
      <c r="I183" s="8"/>
      <c r="J183" s="4"/>
      <c r="K183" s="4"/>
      <c r="L183" s="8"/>
      <c r="M183" s="4"/>
      <c r="N183" s="4"/>
      <c r="O183" s="8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</row>
    <row r="184" ht="15.75" customHeight="1">
      <c r="A184" s="4"/>
      <c r="B184" s="4"/>
      <c r="C184" s="8"/>
      <c r="D184" s="4"/>
      <c r="E184" s="4"/>
      <c r="F184" s="8"/>
      <c r="G184" s="4"/>
      <c r="H184" s="4"/>
      <c r="I184" s="8"/>
      <c r="J184" s="4"/>
      <c r="K184" s="4"/>
      <c r="L184" s="8"/>
      <c r="M184" s="4"/>
      <c r="N184" s="4"/>
      <c r="O184" s="8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</row>
    <row r="185" ht="15.75" customHeight="1">
      <c r="A185" s="4"/>
      <c r="B185" s="4"/>
      <c r="C185" s="8"/>
      <c r="D185" s="4"/>
      <c r="E185" s="4"/>
      <c r="F185" s="8"/>
      <c r="G185" s="4"/>
      <c r="H185" s="4"/>
      <c r="I185" s="8"/>
      <c r="J185" s="4"/>
      <c r="K185" s="4"/>
      <c r="L185" s="8"/>
      <c r="M185" s="4"/>
      <c r="N185" s="4"/>
      <c r="O185" s="8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</row>
    <row r="186" ht="15.75" customHeight="1">
      <c r="A186" s="4"/>
      <c r="B186" s="4"/>
      <c r="C186" s="8"/>
      <c r="D186" s="4"/>
      <c r="E186" s="4"/>
      <c r="F186" s="8"/>
      <c r="G186" s="4"/>
      <c r="H186" s="4"/>
      <c r="I186" s="8"/>
      <c r="J186" s="4"/>
      <c r="K186" s="4"/>
      <c r="L186" s="8"/>
      <c r="M186" s="4"/>
      <c r="N186" s="4"/>
      <c r="O186" s="8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</row>
    <row r="187" ht="15.75" customHeight="1">
      <c r="A187" s="4"/>
      <c r="B187" s="4"/>
      <c r="C187" s="8"/>
      <c r="D187" s="4"/>
      <c r="E187" s="4"/>
      <c r="F187" s="8"/>
      <c r="G187" s="4"/>
      <c r="H187" s="4"/>
      <c r="I187" s="8"/>
      <c r="J187" s="4"/>
      <c r="K187" s="4"/>
      <c r="L187" s="8"/>
      <c r="M187" s="4"/>
      <c r="N187" s="4"/>
      <c r="O187" s="8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</row>
    <row r="188" ht="15.75" customHeight="1">
      <c r="A188" s="4"/>
      <c r="B188" s="4"/>
      <c r="C188" s="8"/>
      <c r="D188" s="4"/>
      <c r="E188" s="4"/>
      <c r="F188" s="8"/>
      <c r="G188" s="4"/>
      <c r="H188" s="4"/>
      <c r="I188" s="8"/>
      <c r="J188" s="4"/>
      <c r="K188" s="4"/>
      <c r="L188" s="8"/>
      <c r="M188" s="4"/>
      <c r="N188" s="4"/>
      <c r="O188" s="8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</row>
    <row r="189" ht="15.75" customHeight="1">
      <c r="A189" s="4"/>
      <c r="B189" s="4"/>
      <c r="C189" s="8"/>
      <c r="D189" s="4"/>
      <c r="E189" s="4"/>
      <c r="F189" s="8"/>
      <c r="G189" s="4"/>
      <c r="H189" s="4"/>
      <c r="I189" s="8"/>
      <c r="J189" s="4"/>
      <c r="K189" s="4"/>
      <c r="L189" s="8"/>
      <c r="M189" s="4"/>
      <c r="N189" s="4"/>
      <c r="O189" s="8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</row>
    <row r="190" ht="15.75" customHeight="1">
      <c r="A190" s="4"/>
      <c r="B190" s="4"/>
      <c r="C190" s="8"/>
      <c r="D190" s="4"/>
      <c r="E190" s="4"/>
      <c r="F190" s="8"/>
      <c r="G190" s="4"/>
      <c r="H190" s="4"/>
      <c r="I190" s="8"/>
      <c r="J190" s="4"/>
      <c r="K190" s="4"/>
      <c r="L190" s="8"/>
      <c r="M190" s="4"/>
      <c r="N190" s="4"/>
      <c r="O190" s="8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</row>
    <row r="191" ht="15.75" customHeight="1">
      <c r="A191" s="4"/>
      <c r="B191" s="4"/>
      <c r="C191" s="8"/>
      <c r="D191" s="4"/>
      <c r="E191" s="4"/>
      <c r="F191" s="8"/>
      <c r="G191" s="4"/>
      <c r="H191" s="4"/>
      <c r="I191" s="8"/>
      <c r="J191" s="4"/>
      <c r="K191" s="4"/>
      <c r="L191" s="8"/>
      <c r="M191" s="4"/>
      <c r="N191" s="4"/>
      <c r="O191" s="8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</row>
    <row r="192" ht="15.75" customHeight="1">
      <c r="A192" s="4"/>
      <c r="B192" s="4"/>
      <c r="C192" s="8"/>
      <c r="D192" s="4"/>
      <c r="E192" s="4"/>
      <c r="F192" s="8"/>
      <c r="G192" s="4"/>
      <c r="H192" s="4"/>
      <c r="I192" s="8"/>
      <c r="J192" s="4"/>
      <c r="K192" s="4"/>
      <c r="L192" s="8"/>
      <c r="M192" s="4"/>
      <c r="N192" s="4"/>
      <c r="O192" s="8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</row>
    <row r="193" ht="15.75" customHeight="1">
      <c r="A193" s="4"/>
      <c r="B193" s="4"/>
      <c r="C193" s="8"/>
      <c r="D193" s="4"/>
      <c r="E193" s="4"/>
      <c r="F193" s="8"/>
      <c r="G193" s="4"/>
      <c r="H193" s="4"/>
      <c r="I193" s="8"/>
      <c r="J193" s="4"/>
      <c r="K193" s="4"/>
      <c r="L193" s="8"/>
      <c r="M193" s="4"/>
      <c r="N193" s="4"/>
      <c r="O193" s="8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</row>
    <row r="194" ht="15.75" customHeight="1">
      <c r="A194" s="4"/>
      <c r="B194" s="4"/>
      <c r="C194" s="8"/>
      <c r="D194" s="4"/>
      <c r="E194" s="4"/>
      <c r="F194" s="8"/>
      <c r="G194" s="4"/>
      <c r="H194" s="4"/>
      <c r="I194" s="8"/>
      <c r="J194" s="4"/>
      <c r="K194" s="4"/>
      <c r="L194" s="8"/>
      <c r="M194" s="4"/>
      <c r="N194" s="4"/>
      <c r="O194" s="8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</row>
    <row r="195" ht="15.75" customHeight="1">
      <c r="A195" s="4"/>
      <c r="B195" s="4"/>
      <c r="C195" s="8"/>
      <c r="D195" s="4"/>
      <c r="E195" s="4"/>
      <c r="F195" s="8"/>
      <c r="G195" s="4"/>
      <c r="H195" s="4"/>
      <c r="I195" s="8"/>
      <c r="J195" s="4"/>
      <c r="K195" s="4"/>
      <c r="L195" s="8"/>
      <c r="M195" s="4"/>
      <c r="N195" s="4"/>
      <c r="O195" s="8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</row>
    <row r="196" ht="15.75" customHeight="1">
      <c r="A196" s="4"/>
      <c r="B196" s="4"/>
      <c r="C196" s="8"/>
      <c r="D196" s="4"/>
      <c r="E196" s="4"/>
      <c r="F196" s="8"/>
      <c r="G196" s="4"/>
      <c r="H196" s="4"/>
      <c r="I196" s="8"/>
      <c r="J196" s="4"/>
      <c r="K196" s="4"/>
      <c r="L196" s="8"/>
      <c r="M196" s="4"/>
      <c r="N196" s="4"/>
      <c r="O196" s="8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</row>
    <row r="197" ht="15.75" customHeight="1">
      <c r="A197" s="4"/>
      <c r="B197" s="4"/>
      <c r="C197" s="8"/>
      <c r="D197" s="4"/>
      <c r="E197" s="4"/>
      <c r="F197" s="8"/>
      <c r="G197" s="4"/>
      <c r="H197" s="4"/>
      <c r="I197" s="8"/>
      <c r="J197" s="4"/>
      <c r="K197" s="4"/>
      <c r="L197" s="8"/>
      <c r="M197" s="4"/>
      <c r="N197" s="4"/>
      <c r="O197" s="8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</row>
    <row r="198" ht="15.75" customHeight="1">
      <c r="A198" s="4"/>
      <c r="B198" s="4"/>
      <c r="C198" s="8"/>
      <c r="D198" s="4"/>
      <c r="E198" s="4"/>
      <c r="F198" s="8"/>
      <c r="G198" s="4"/>
      <c r="H198" s="4"/>
      <c r="I198" s="8"/>
      <c r="J198" s="4"/>
      <c r="K198" s="4"/>
      <c r="L198" s="8"/>
      <c r="M198" s="4"/>
      <c r="N198" s="4"/>
      <c r="O198" s="8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</row>
    <row r="199" ht="15.75" customHeight="1">
      <c r="A199" s="4"/>
      <c r="B199" s="4"/>
      <c r="C199" s="8"/>
      <c r="D199" s="4"/>
      <c r="E199" s="4"/>
      <c r="F199" s="8"/>
      <c r="G199" s="4"/>
      <c r="H199" s="4"/>
      <c r="I199" s="8"/>
      <c r="J199" s="4"/>
      <c r="K199" s="4"/>
      <c r="L199" s="8"/>
      <c r="M199" s="4"/>
      <c r="N199" s="4"/>
      <c r="O199" s="8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</row>
    <row r="200" ht="15.75" customHeight="1">
      <c r="A200" s="4"/>
      <c r="B200" s="4"/>
      <c r="C200" s="8"/>
      <c r="D200" s="4"/>
      <c r="E200" s="4"/>
      <c r="F200" s="8"/>
      <c r="G200" s="4"/>
      <c r="H200" s="4"/>
      <c r="I200" s="8"/>
      <c r="J200" s="4"/>
      <c r="K200" s="4"/>
      <c r="L200" s="8"/>
      <c r="M200" s="4"/>
      <c r="N200" s="4"/>
      <c r="O200" s="8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</row>
    <row r="201" ht="15.75" customHeight="1">
      <c r="A201" s="4"/>
      <c r="B201" s="4"/>
      <c r="C201" s="8"/>
      <c r="D201" s="4"/>
      <c r="E201" s="4"/>
      <c r="F201" s="8"/>
      <c r="G201" s="4"/>
      <c r="H201" s="4"/>
      <c r="I201" s="8"/>
      <c r="J201" s="4"/>
      <c r="K201" s="4"/>
      <c r="L201" s="8"/>
      <c r="M201" s="4"/>
      <c r="N201" s="4"/>
      <c r="O201" s="8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</row>
    <row r="202" ht="15.75" customHeight="1">
      <c r="A202" s="4"/>
      <c r="B202" s="4"/>
      <c r="C202" s="8"/>
      <c r="D202" s="4"/>
      <c r="E202" s="4"/>
      <c r="F202" s="8"/>
      <c r="G202" s="4"/>
      <c r="H202" s="4"/>
      <c r="I202" s="8"/>
      <c r="J202" s="4"/>
      <c r="K202" s="4"/>
      <c r="L202" s="8"/>
      <c r="M202" s="4"/>
      <c r="N202" s="4"/>
      <c r="O202" s="8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</row>
    <row r="203" ht="15.75" customHeight="1">
      <c r="A203" s="4"/>
      <c r="B203" s="4"/>
      <c r="C203" s="8"/>
      <c r="D203" s="4"/>
      <c r="E203" s="4"/>
      <c r="F203" s="8"/>
      <c r="G203" s="4"/>
      <c r="H203" s="4"/>
      <c r="I203" s="8"/>
      <c r="J203" s="4"/>
      <c r="K203" s="4"/>
      <c r="L203" s="8"/>
      <c r="M203" s="4"/>
      <c r="N203" s="4"/>
      <c r="O203" s="8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</row>
    <row r="204" ht="15.75" customHeight="1">
      <c r="A204" s="4"/>
      <c r="B204" s="4"/>
      <c r="C204" s="8"/>
      <c r="D204" s="4"/>
      <c r="E204" s="4"/>
      <c r="F204" s="8"/>
      <c r="G204" s="4"/>
      <c r="H204" s="4"/>
      <c r="I204" s="8"/>
      <c r="J204" s="4"/>
      <c r="K204" s="4"/>
      <c r="L204" s="8"/>
      <c r="M204" s="4"/>
      <c r="N204" s="4"/>
      <c r="O204" s="8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</row>
    <row r="205" ht="15.75" customHeight="1">
      <c r="A205" s="4"/>
      <c r="B205" s="4"/>
      <c r="C205" s="8"/>
      <c r="D205" s="4"/>
      <c r="E205" s="4"/>
      <c r="F205" s="8"/>
      <c r="G205" s="4"/>
      <c r="H205" s="4"/>
      <c r="I205" s="8"/>
      <c r="J205" s="4"/>
      <c r="K205" s="4"/>
      <c r="L205" s="8"/>
      <c r="M205" s="4"/>
      <c r="N205" s="4"/>
      <c r="O205" s="8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</row>
    <row r="206" ht="15.75" customHeight="1">
      <c r="A206" s="4"/>
      <c r="B206" s="4"/>
      <c r="C206" s="8"/>
      <c r="D206" s="4"/>
      <c r="E206" s="4"/>
      <c r="F206" s="8"/>
      <c r="G206" s="4"/>
      <c r="H206" s="4"/>
      <c r="I206" s="8"/>
      <c r="J206" s="4"/>
      <c r="K206" s="4"/>
      <c r="L206" s="8"/>
      <c r="M206" s="4"/>
      <c r="N206" s="4"/>
      <c r="O206" s="8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</row>
    <row r="207" ht="15.75" customHeight="1">
      <c r="A207" s="4"/>
      <c r="B207" s="4"/>
      <c r="C207" s="8"/>
      <c r="D207" s="4"/>
      <c r="E207" s="4"/>
      <c r="F207" s="8"/>
      <c r="G207" s="4"/>
      <c r="H207" s="4"/>
      <c r="I207" s="8"/>
      <c r="J207" s="4"/>
      <c r="K207" s="4"/>
      <c r="L207" s="8"/>
      <c r="M207" s="4"/>
      <c r="N207" s="4"/>
      <c r="O207" s="8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</row>
    <row r="208" ht="15.75" customHeight="1">
      <c r="A208" s="4"/>
      <c r="B208" s="4"/>
      <c r="C208" s="8"/>
      <c r="D208" s="4"/>
      <c r="E208" s="4"/>
      <c r="F208" s="8"/>
      <c r="G208" s="4"/>
      <c r="H208" s="4"/>
      <c r="I208" s="8"/>
      <c r="J208" s="4"/>
      <c r="K208" s="4"/>
      <c r="L208" s="8"/>
      <c r="M208" s="4"/>
      <c r="N208" s="4"/>
      <c r="O208" s="8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</row>
    <row r="209" ht="15.75" customHeight="1">
      <c r="A209" s="4"/>
      <c r="B209" s="4"/>
      <c r="C209" s="8"/>
      <c r="D209" s="4"/>
      <c r="E209" s="4"/>
      <c r="F209" s="8"/>
      <c r="G209" s="4"/>
      <c r="H209" s="4"/>
      <c r="I209" s="8"/>
      <c r="J209" s="4"/>
      <c r="K209" s="4"/>
      <c r="L209" s="8"/>
      <c r="M209" s="4"/>
      <c r="N209" s="4"/>
      <c r="O209" s="8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</row>
    <row r="210" ht="15.75" customHeight="1">
      <c r="A210" s="4"/>
      <c r="B210" s="4"/>
      <c r="C210" s="8"/>
      <c r="D210" s="4"/>
      <c r="E210" s="4"/>
      <c r="F210" s="8"/>
      <c r="G210" s="4"/>
      <c r="H210" s="4"/>
      <c r="I210" s="8"/>
      <c r="J210" s="4"/>
      <c r="K210" s="4"/>
      <c r="L210" s="8"/>
      <c r="M210" s="4"/>
      <c r="N210" s="4"/>
      <c r="O210" s="8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</row>
    <row r="211" ht="15.75" customHeight="1">
      <c r="A211" s="4"/>
      <c r="B211" s="4"/>
      <c r="C211" s="8"/>
      <c r="D211" s="4"/>
      <c r="E211" s="4"/>
      <c r="F211" s="8"/>
      <c r="G211" s="4"/>
      <c r="H211" s="4"/>
      <c r="I211" s="8"/>
      <c r="J211" s="4"/>
      <c r="K211" s="4"/>
      <c r="L211" s="8"/>
      <c r="M211" s="4"/>
      <c r="N211" s="4"/>
      <c r="O211" s="8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</row>
    <row r="212" ht="15.75" customHeight="1">
      <c r="A212" s="4"/>
      <c r="B212" s="4"/>
      <c r="C212" s="8"/>
      <c r="D212" s="4"/>
      <c r="E212" s="4"/>
      <c r="F212" s="8"/>
      <c r="G212" s="4"/>
      <c r="H212" s="4"/>
      <c r="I212" s="8"/>
      <c r="J212" s="4"/>
      <c r="K212" s="4"/>
      <c r="L212" s="8"/>
      <c r="M212" s="4"/>
      <c r="N212" s="4"/>
      <c r="O212" s="8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</row>
    <row r="213" ht="15.75" customHeight="1">
      <c r="A213" s="4"/>
      <c r="B213" s="4"/>
      <c r="C213" s="8"/>
      <c r="D213" s="4"/>
      <c r="E213" s="4"/>
      <c r="F213" s="8"/>
      <c r="G213" s="4"/>
      <c r="H213" s="4"/>
      <c r="I213" s="8"/>
      <c r="J213" s="4"/>
      <c r="K213" s="4"/>
      <c r="L213" s="8"/>
      <c r="M213" s="4"/>
      <c r="N213" s="4"/>
      <c r="O213" s="8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</row>
    <row r="214" ht="15.75" customHeight="1">
      <c r="A214" s="4"/>
      <c r="B214" s="4"/>
      <c r="C214" s="8"/>
      <c r="D214" s="4"/>
      <c r="E214" s="4"/>
      <c r="F214" s="8"/>
      <c r="G214" s="4"/>
      <c r="H214" s="4"/>
      <c r="I214" s="8"/>
      <c r="J214" s="4"/>
      <c r="K214" s="4"/>
      <c r="L214" s="8"/>
      <c r="M214" s="4"/>
      <c r="N214" s="4"/>
      <c r="O214" s="8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</row>
    <row r="215" ht="15.75" customHeight="1">
      <c r="A215" s="4"/>
      <c r="B215" s="4"/>
      <c r="C215" s="8"/>
      <c r="D215" s="4"/>
      <c r="E215" s="4"/>
      <c r="F215" s="8"/>
      <c r="G215" s="4"/>
      <c r="H215" s="4"/>
      <c r="I215" s="8"/>
      <c r="J215" s="4"/>
      <c r="K215" s="4"/>
      <c r="L215" s="8"/>
      <c r="M215" s="4"/>
      <c r="N215" s="4"/>
      <c r="O215" s="8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</row>
    <row r="216" ht="15.75" customHeight="1">
      <c r="A216" s="4"/>
      <c r="B216" s="4"/>
      <c r="C216" s="8"/>
      <c r="D216" s="4"/>
      <c r="E216" s="4"/>
      <c r="F216" s="8"/>
      <c r="G216" s="4"/>
      <c r="H216" s="4"/>
      <c r="I216" s="8"/>
      <c r="J216" s="4"/>
      <c r="K216" s="4"/>
      <c r="L216" s="8"/>
      <c r="M216" s="4"/>
      <c r="N216" s="4"/>
      <c r="O216" s="8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</row>
    <row r="217" ht="15.75" customHeight="1">
      <c r="A217" s="4"/>
      <c r="B217" s="4"/>
      <c r="C217" s="8"/>
      <c r="D217" s="4"/>
      <c r="E217" s="4"/>
      <c r="F217" s="8"/>
      <c r="G217" s="4"/>
      <c r="H217" s="4"/>
      <c r="I217" s="8"/>
      <c r="J217" s="4"/>
      <c r="K217" s="4"/>
      <c r="L217" s="8"/>
      <c r="M217" s="4"/>
      <c r="N217" s="4"/>
      <c r="O217" s="8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</row>
    <row r="218" ht="15.75" customHeight="1">
      <c r="A218" s="4"/>
      <c r="B218" s="4"/>
      <c r="C218" s="8"/>
      <c r="D218" s="4"/>
      <c r="E218" s="4"/>
      <c r="F218" s="8"/>
      <c r="G218" s="4"/>
      <c r="H218" s="4"/>
      <c r="I218" s="8"/>
      <c r="J218" s="4"/>
      <c r="K218" s="4"/>
      <c r="L218" s="8"/>
      <c r="M218" s="4"/>
      <c r="N218" s="4"/>
      <c r="O218" s="8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</row>
    <row r="219" ht="15.75" customHeight="1">
      <c r="A219" s="4"/>
      <c r="B219" s="4"/>
      <c r="C219" s="8"/>
      <c r="D219" s="4"/>
      <c r="E219" s="4"/>
      <c r="F219" s="8"/>
      <c r="G219" s="4"/>
      <c r="H219" s="4"/>
      <c r="I219" s="8"/>
      <c r="J219" s="4"/>
      <c r="K219" s="4"/>
      <c r="L219" s="8"/>
      <c r="M219" s="4"/>
      <c r="N219" s="4"/>
      <c r="O219" s="8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</row>
    <row r="220" ht="15.75" customHeight="1">
      <c r="A220" s="4"/>
      <c r="B220" s="4"/>
      <c r="C220" s="8"/>
      <c r="D220" s="4"/>
      <c r="E220" s="4"/>
      <c r="F220" s="8"/>
      <c r="G220" s="4"/>
      <c r="H220" s="4"/>
      <c r="I220" s="8"/>
      <c r="J220" s="4"/>
      <c r="K220" s="4"/>
      <c r="L220" s="8"/>
      <c r="M220" s="4"/>
      <c r="N220" s="4"/>
      <c r="O220" s="8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</row>
    <row r="221" ht="15.75" customHeight="1">
      <c r="A221" s="4"/>
      <c r="B221" s="4"/>
      <c r="C221" s="8"/>
      <c r="D221" s="4"/>
      <c r="E221" s="4"/>
      <c r="F221" s="8"/>
      <c r="G221" s="4"/>
      <c r="H221" s="4"/>
      <c r="I221" s="8"/>
      <c r="J221" s="4"/>
      <c r="K221" s="4"/>
      <c r="L221" s="8"/>
      <c r="M221" s="4"/>
      <c r="N221" s="4"/>
      <c r="O221" s="8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</row>
    <row r="222" ht="15.75" customHeight="1">
      <c r="A222" s="4"/>
      <c r="B222" s="4"/>
      <c r="C222" s="8"/>
      <c r="D222" s="4"/>
      <c r="E222" s="4"/>
      <c r="F222" s="8"/>
      <c r="G222" s="4"/>
      <c r="H222" s="4"/>
      <c r="I222" s="8"/>
      <c r="J222" s="4"/>
      <c r="K222" s="4"/>
      <c r="L222" s="8"/>
      <c r="M222" s="4"/>
      <c r="N222" s="4"/>
      <c r="O222" s="8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</row>
    <row r="223" ht="15.75" customHeight="1">
      <c r="A223" s="4"/>
      <c r="B223" s="4"/>
      <c r="C223" s="8"/>
      <c r="D223" s="4"/>
      <c r="E223" s="4"/>
      <c r="F223" s="8"/>
      <c r="G223" s="4"/>
      <c r="H223" s="4"/>
      <c r="I223" s="8"/>
      <c r="J223" s="4"/>
      <c r="K223" s="4"/>
      <c r="L223" s="8"/>
      <c r="M223" s="4"/>
      <c r="N223" s="4"/>
      <c r="O223" s="8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</row>
    <row r="224" ht="15.75" customHeight="1">
      <c r="A224" s="4"/>
      <c r="B224" s="4"/>
      <c r="C224" s="8"/>
      <c r="D224" s="4"/>
      <c r="E224" s="4"/>
      <c r="F224" s="8"/>
      <c r="G224" s="4"/>
      <c r="H224" s="4"/>
      <c r="I224" s="8"/>
      <c r="J224" s="4"/>
      <c r="K224" s="4"/>
      <c r="L224" s="8"/>
      <c r="M224" s="4"/>
      <c r="N224" s="4"/>
      <c r="O224" s="8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</row>
    <row r="225" ht="15.75" customHeight="1">
      <c r="A225" s="4"/>
      <c r="B225" s="4"/>
      <c r="C225" s="8"/>
      <c r="D225" s="4"/>
      <c r="E225" s="4"/>
      <c r="F225" s="8"/>
      <c r="G225" s="4"/>
      <c r="H225" s="4"/>
      <c r="I225" s="8"/>
      <c r="J225" s="4"/>
      <c r="K225" s="4"/>
      <c r="L225" s="8"/>
      <c r="M225" s="4"/>
      <c r="N225" s="4"/>
      <c r="O225" s="8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</row>
    <row r="226" ht="15.75" customHeight="1">
      <c r="A226" s="4"/>
      <c r="B226" s="4"/>
      <c r="C226" s="8"/>
      <c r="D226" s="4"/>
      <c r="E226" s="4"/>
      <c r="F226" s="8"/>
      <c r="G226" s="4"/>
      <c r="H226" s="4"/>
      <c r="I226" s="8"/>
      <c r="J226" s="4"/>
      <c r="K226" s="4"/>
      <c r="L226" s="8"/>
      <c r="M226" s="4"/>
      <c r="N226" s="4"/>
      <c r="O226" s="8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</row>
    <row r="227" ht="15.75" customHeight="1">
      <c r="A227" s="4"/>
      <c r="B227" s="4"/>
      <c r="C227" s="8"/>
      <c r="D227" s="4"/>
      <c r="E227" s="4"/>
      <c r="F227" s="8"/>
      <c r="G227" s="4"/>
      <c r="H227" s="4"/>
      <c r="I227" s="8"/>
      <c r="J227" s="4"/>
      <c r="K227" s="4"/>
      <c r="L227" s="8"/>
      <c r="M227" s="4"/>
      <c r="N227" s="4"/>
      <c r="O227" s="8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</row>
    <row r="228" ht="15.75" customHeight="1">
      <c r="A228" s="4"/>
      <c r="B228" s="4"/>
      <c r="C228" s="8"/>
      <c r="D228" s="4"/>
      <c r="E228" s="4"/>
      <c r="F228" s="8"/>
      <c r="G228" s="4"/>
      <c r="H228" s="4"/>
      <c r="I228" s="8"/>
      <c r="J228" s="4"/>
      <c r="K228" s="4"/>
      <c r="L228" s="8"/>
      <c r="M228" s="4"/>
      <c r="N228" s="4"/>
      <c r="O228" s="8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</row>
    <row r="229" ht="15.75" customHeight="1">
      <c r="A229" s="4"/>
      <c r="B229" s="4"/>
      <c r="C229" s="8"/>
      <c r="D229" s="4"/>
      <c r="E229" s="4"/>
      <c r="F229" s="8"/>
      <c r="G229" s="4"/>
      <c r="H229" s="4"/>
      <c r="I229" s="8"/>
      <c r="J229" s="4"/>
      <c r="K229" s="4"/>
      <c r="L229" s="8"/>
      <c r="M229" s="4"/>
      <c r="N229" s="4"/>
      <c r="O229" s="8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</row>
    <row r="230" ht="15.75" customHeight="1">
      <c r="A230" s="4"/>
      <c r="B230" s="4"/>
      <c r="C230" s="8"/>
      <c r="D230" s="4"/>
      <c r="E230" s="4"/>
      <c r="F230" s="8"/>
      <c r="G230" s="4"/>
      <c r="H230" s="4"/>
      <c r="I230" s="8"/>
      <c r="J230" s="4"/>
      <c r="K230" s="4"/>
      <c r="L230" s="8"/>
      <c r="M230" s="4"/>
      <c r="N230" s="4"/>
      <c r="O230" s="8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</row>
    <row r="231" ht="15.75" customHeight="1">
      <c r="A231" s="4"/>
      <c r="B231" s="4"/>
      <c r="C231" s="8"/>
      <c r="D231" s="4"/>
      <c r="E231" s="4"/>
      <c r="F231" s="8"/>
      <c r="G231" s="4"/>
      <c r="H231" s="4"/>
      <c r="I231" s="8"/>
      <c r="J231" s="4"/>
      <c r="K231" s="4"/>
      <c r="L231" s="8"/>
      <c r="M231" s="4"/>
      <c r="N231" s="4"/>
      <c r="O231" s="8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</row>
    <row r="232" ht="15.75" customHeight="1">
      <c r="A232" s="4"/>
      <c r="B232" s="4"/>
      <c r="C232" s="8"/>
      <c r="D232" s="4"/>
      <c r="E232" s="4"/>
      <c r="F232" s="8"/>
      <c r="G232" s="4"/>
      <c r="H232" s="4"/>
      <c r="I232" s="8"/>
      <c r="J232" s="4"/>
      <c r="K232" s="4"/>
      <c r="L232" s="8"/>
      <c r="M232" s="4"/>
      <c r="N232" s="4"/>
      <c r="O232" s="8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</row>
    <row r="233" ht="15.75" customHeight="1">
      <c r="A233" s="4"/>
      <c r="B233" s="4"/>
      <c r="C233" s="8"/>
      <c r="D233" s="4"/>
      <c r="E233" s="4"/>
      <c r="F233" s="8"/>
      <c r="G233" s="4"/>
      <c r="H233" s="4"/>
      <c r="I233" s="8"/>
      <c r="J233" s="4"/>
      <c r="K233" s="4"/>
      <c r="L233" s="8"/>
      <c r="M233" s="4"/>
      <c r="N233" s="4"/>
      <c r="O233" s="8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</row>
    <row r="234" ht="15.75" customHeight="1">
      <c r="A234" s="4"/>
      <c r="B234" s="4"/>
      <c r="C234" s="8"/>
      <c r="D234" s="4"/>
      <c r="E234" s="4"/>
      <c r="F234" s="8"/>
      <c r="G234" s="4"/>
      <c r="H234" s="4"/>
      <c r="I234" s="8"/>
      <c r="J234" s="4"/>
      <c r="K234" s="4"/>
      <c r="L234" s="8"/>
      <c r="M234" s="4"/>
      <c r="N234" s="4"/>
      <c r="O234" s="8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</row>
    <row r="235" ht="15.75" customHeight="1">
      <c r="A235" s="4"/>
      <c r="B235" s="4"/>
      <c r="C235" s="8"/>
      <c r="D235" s="4"/>
      <c r="E235" s="4"/>
      <c r="F235" s="8"/>
      <c r="G235" s="4"/>
      <c r="H235" s="4"/>
      <c r="I235" s="8"/>
      <c r="J235" s="4"/>
      <c r="K235" s="4"/>
      <c r="L235" s="8"/>
      <c r="M235" s="4"/>
      <c r="N235" s="4"/>
      <c r="O235" s="8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</row>
    <row r="236" ht="15.75" customHeight="1">
      <c r="A236" s="4"/>
      <c r="B236" s="4"/>
      <c r="C236" s="8"/>
      <c r="D236" s="4"/>
      <c r="E236" s="4"/>
      <c r="F236" s="8"/>
      <c r="G236" s="4"/>
      <c r="H236" s="4"/>
      <c r="I236" s="8"/>
      <c r="J236" s="4"/>
      <c r="K236" s="4"/>
      <c r="L236" s="8"/>
      <c r="M236" s="4"/>
      <c r="N236" s="4"/>
      <c r="O236" s="8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</row>
    <row r="237" ht="15.75" customHeight="1">
      <c r="A237" s="4"/>
      <c r="B237" s="4"/>
      <c r="C237" s="8"/>
      <c r="D237" s="4"/>
      <c r="E237" s="4"/>
      <c r="F237" s="8"/>
      <c r="G237" s="4"/>
      <c r="H237" s="4"/>
      <c r="I237" s="8"/>
      <c r="J237" s="4"/>
      <c r="K237" s="4"/>
      <c r="L237" s="8"/>
      <c r="M237" s="4"/>
      <c r="N237" s="4"/>
      <c r="O237" s="8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</row>
    <row r="238" ht="15.75" customHeight="1">
      <c r="A238" s="4"/>
      <c r="B238" s="4"/>
      <c r="C238" s="8"/>
      <c r="D238" s="4"/>
      <c r="E238" s="4"/>
      <c r="F238" s="8"/>
      <c r="G238" s="4"/>
      <c r="H238" s="4"/>
      <c r="I238" s="8"/>
      <c r="J238" s="4"/>
      <c r="K238" s="4"/>
      <c r="L238" s="8"/>
      <c r="M238" s="4"/>
      <c r="N238" s="4"/>
      <c r="O238" s="8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</row>
    <row r="239" ht="15.75" customHeight="1">
      <c r="A239" s="4"/>
      <c r="B239" s="4"/>
      <c r="C239" s="8"/>
      <c r="D239" s="4"/>
      <c r="E239" s="4"/>
      <c r="F239" s="8"/>
      <c r="G239" s="4"/>
      <c r="H239" s="4"/>
      <c r="I239" s="8"/>
      <c r="J239" s="4"/>
      <c r="K239" s="4"/>
      <c r="L239" s="8"/>
      <c r="M239" s="4"/>
      <c r="N239" s="4"/>
      <c r="O239" s="8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</row>
    <row r="240" ht="15.75" customHeight="1">
      <c r="A240" s="4"/>
      <c r="B240" s="4"/>
      <c r="C240" s="8"/>
      <c r="D240" s="4"/>
      <c r="E240" s="4"/>
      <c r="F240" s="8"/>
      <c r="G240" s="4"/>
      <c r="H240" s="4"/>
      <c r="I240" s="8"/>
      <c r="J240" s="4"/>
      <c r="K240" s="4"/>
      <c r="L240" s="8"/>
      <c r="M240" s="4"/>
      <c r="N240" s="4"/>
      <c r="O240" s="8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</row>
    <row r="241" ht="15.75" customHeight="1">
      <c r="A241" s="4"/>
      <c r="B241" s="4"/>
      <c r="C241" s="8"/>
      <c r="D241" s="4"/>
      <c r="E241" s="4"/>
      <c r="F241" s="8"/>
      <c r="G241" s="4"/>
      <c r="H241" s="4"/>
      <c r="I241" s="8"/>
      <c r="J241" s="4"/>
      <c r="K241" s="4"/>
      <c r="L241" s="8"/>
      <c r="M241" s="4"/>
      <c r="N241" s="4"/>
      <c r="O241" s="8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</row>
    <row r="242" ht="15.75" customHeight="1">
      <c r="A242" s="4"/>
      <c r="B242" s="4"/>
      <c r="C242" s="8"/>
      <c r="D242" s="4"/>
      <c r="E242" s="4"/>
      <c r="F242" s="8"/>
      <c r="G242" s="4"/>
      <c r="H242" s="4"/>
      <c r="I242" s="8"/>
      <c r="J242" s="4"/>
      <c r="K242" s="4"/>
      <c r="L242" s="8"/>
      <c r="M242" s="4"/>
      <c r="N242" s="4"/>
      <c r="O242" s="8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</row>
    <row r="243" ht="15.75" customHeight="1">
      <c r="A243" s="4"/>
      <c r="B243" s="4"/>
      <c r="C243" s="8"/>
      <c r="D243" s="4"/>
      <c r="E243" s="4"/>
      <c r="F243" s="8"/>
      <c r="G243" s="4"/>
      <c r="H243" s="4"/>
      <c r="I243" s="8"/>
      <c r="J243" s="4"/>
      <c r="K243" s="4"/>
      <c r="L243" s="8"/>
      <c r="M243" s="4"/>
      <c r="N243" s="4"/>
      <c r="O243" s="8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</row>
    <row r="244" ht="15.75" customHeight="1">
      <c r="A244" s="4"/>
      <c r="B244" s="4"/>
      <c r="C244" s="8"/>
      <c r="D244" s="4"/>
      <c r="E244" s="4"/>
      <c r="F244" s="8"/>
      <c r="G244" s="4"/>
      <c r="H244" s="4"/>
      <c r="I244" s="8"/>
      <c r="J244" s="4"/>
      <c r="K244" s="4"/>
      <c r="L244" s="8"/>
      <c r="M244" s="4"/>
      <c r="N244" s="4"/>
      <c r="O244" s="8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</row>
    <row r="245" ht="15.75" customHeight="1">
      <c r="A245" s="4"/>
      <c r="B245" s="4"/>
      <c r="C245" s="8"/>
      <c r="D245" s="4"/>
      <c r="E245" s="4"/>
      <c r="F245" s="8"/>
      <c r="G245" s="4"/>
      <c r="H245" s="4"/>
      <c r="I245" s="8"/>
      <c r="J245" s="4"/>
      <c r="K245" s="4"/>
      <c r="L245" s="8"/>
      <c r="M245" s="4"/>
      <c r="N245" s="4"/>
      <c r="O245" s="8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</row>
    <row r="246" ht="15.75" customHeight="1">
      <c r="A246" s="4"/>
      <c r="B246" s="4"/>
      <c r="C246" s="8"/>
      <c r="D246" s="4"/>
      <c r="E246" s="4"/>
      <c r="F246" s="8"/>
      <c r="G246" s="4"/>
      <c r="H246" s="4"/>
      <c r="I246" s="8"/>
      <c r="J246" s="4"/>
      <c r="K246" s="4"/>
      <c r="L246" s="8"/>
      <c r="M246" s="4"/>
      <c r="N246" s="4"/>
      <c r="O246" s="8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</row>
    <row r="247" ht="15.75" customHeight="1">
      <c r="A247" s="4"/>
      <c r="B247" s="4"/>
      <c r="C247" s="8"/>
      <c r="D247" s="4"/>
      <c r="E247" s="4"/>
      <c r="F247" s="8"/>
      <c r="G247" s="4"/>
      <c r="H247" s="4"/>
      <c r="I247" s="8"/>
      <c r="J247" s="4"/>
      <c r="K247" s="4"/>
      <c r="L247" s="8"/>
      <c r="M247" s="4"/>
      <c r="N247" s="4"/>
      <c r="O247" s="8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</row>
    <row r="248" ht="15.75" customHeight="1">
      <c r="A248" s="4"/>
      <c r="B248" s="4"/>
      <c r="C248" s="8"/>
      <c r="D248" s="4"/>
      <c r="E248" s="4"/>
      <c r="F248" s="8"/>
      <c r="G248" s="4"/>
      <c r="H248" s="4"/>
      <c r="I248" s="8"/>
      <c r="J248" s="4"/>
      <c r="K248" s="4"/>
      <c r="L248" s="8"/>
      <c r="M248" s="4"/>
      <c r="N248" s="4"/>
      <c r="O248" s="8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</row>
    <row r="249" ht="15.75" customHeight="1">
      <c r="A249" s="4"/>
      <c r="B249" s="4"/>
      <c r="C249" s="8"/>
      <c r="D249" s="4"/>
      <c r="E249" s="4"/>
      <c r="F249" s="8"/>
      <c r="G249" s="4"/>
      <c r="H249" s="4"/>
      <c r="I249" s="8"/>
      <c r="J249" s="4"/>
      <c r="K249" s="4"/>
      <c r="L249" s="8"/>
      <c r="M249" s="4"/>
      <c r="N249" s="4"/>
      <c r="O249" s="8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</row>
    <row r="250" ht="15.75" customHeight="1">
      <c r="A250" s="4"/>
      <c r="B250" s="4"/>
      <c r="C250" s="8"/>
      <c r="D250" s="4"/>
      <c r="E250" s="4"/>
      <c r="F250" s="8"/>
      <c r="G250" s="4"/>
      <c r="H250" s="4"/>
      <c r="I250" s="8"/>
      <c r="J250" s="4"/>
      <c r="K250" s="4"/>
      <c r="L250" s="8"/>
      <c r="M250" s="4"/>
      <c r="N250" s="4"/>
      <c r="O250" s="8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</row>
    <row r="251" ht="15.75" customHeight="1">
      <c r="A251" s="4"/>
      <c r="B251" s="4"/>
      <c r="C251" s="8"/>
      <c r="D251" s="4"/>
      <c r="E251" s="4"/>
      <c r="F251" s="8"/>
      <c r="G251" s="4"/>
      <c r="H251" s="4"/>
      <c r="I251" s="8"/>
      <c r="J251" s="4"/>
      <c r="K251" s="4"/>
      <c r="L251" s="8"/>
      <c r="M251" s="4"/>
      <c r="N251" s="4"/>
      <c r="O251" s="8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</row>
    <row r="252" ht="15.75" customHeight="1">
      <c r="A252" s="4"/>
      <c r="B252" s="4"/>
      <c r="C252" s="8"/>
      <c r="D252" s="4"/>
      <c r="E252" s="4"/>
      <c r="F252" s="8"/>
      <c r="G252" s="4"/>
      <c r="H252" s="4"/>
      <c r="I252" s="8"/>
      <c r="J252" s="4"/>
      <c r="K252" s="4"/>
      <c r="L252" s="8"/>
      <c r="M252" s="4"/>
      <c r="N252" s="4"/>
      <c r="O252" s="8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</row>
    <row r="253" ht="15.75" customHeight="1">
      <c r="A253" s="4"/>
      <c r="B253" s="4"/>
      <c r="C253" s="8"/>
      <c r="D253" s="4"/>
      <c r="E253" s="4"/>
      <c r="F253" s="8"/>
      <c r="G253" s="4"/>
      <c r="H253" s="4"/>
      <c r="I253" s="8"/>
      <c r="J253" s="4"/>
      <c r="K253" s="4"/>
      <c r="L253" s="8"/>
      <c r="M253" s="4"/>
      <c r="N253" s="4"/>
      <c r="O253" s="8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</row>
    <row r="254" ht="15.75" customHeight="1">
      <c r="A254" s="4"/>
      <c r="B254" s="4"/>
      <c r="C254" s="8"/>
      <c r="D254" s="4"/>
      <c r="E254" s="4"/>
      <c r="F254" s="8"/>
      <c r="G254" s="4"/>
      <c r="H254" s="4"/>
      <c r="I254" s="8"/>
      <c r="J254" s="4"/>
      <c r="K254" s="4"/>
      <c r="L254" s="8"/>
      <c r="M254" s="4"/>
      <c r="N254" s="4"/>
      <c r="O254" s="8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</row>
    <row r="255" ht="15.75" customHeight="1">
      <c r="A255" s="4"/>
      <c r="B255" s="4"/>
      <c r="C255" s="8"/>
      <c r="D255" s="4"/>
      <c r="E255" s="4"/>
      <c r="F255" s="8"/>
      <c r="G255" s="4"/>
      <c r="H255" s="4"/>
      <c r="I255" s="8"/>
      <c r="J255" s="4"/>
      <c r="K255" s="4"/>
      <c r="L255" s="8"/>
      <c r="M255" s="4"/>
      <c r="N255" s="4"/>
      <c r="O255" s="8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</row>
    <row r="256" ht="15.75" customHeight="1">
      <c r="A256" s="4"/>
      <c r="B256" s="4"/>
      <c r="C256" s="8"/>
      <c r="D256" s="4"/>
      <c r="E256" s="4"/>
      <c r="F256" s="8"/>
      <c r="G256" s="4"/>
      <c r="H256" s="4"/>
      <c r="I256" s="8"/>
      <c r="J256" s="4"/>
      <c r="K256" s="4"/>
      <c r="L256" s="8"/>
      <c r="M256" s="4"/>
      <c r="N256" s="4"/>
      <c r="O256" s="8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</row>
    <row r="257" ht="15.75" customHeight="1">
      <c r="A257" s="4"/>
      <c r="B257" s="4"/>
      <c r="C257" s="8"/>
      <c r="D257" s="4"/>
      <c r="E257" s="4"/>
      <c r="F257" s="8"/>
      <c r="G257" s="4"/>
      <c r="H257" s="4"/>
      <c r="I257" s="8"/>
      <c r="J257" s="4"/>
      <c r="K257" s="4"/>
      <c r="L257" s="8"/>
      <c r="M257" s="4"/>
      <c r="N257" s="4"/>
      <c r="O257" s="8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</row>
    <row r="258" ht="15.75" customHeight="1">
      <c r="A258" s="4"/>
      <c r="B258" s="4"/>
      <c r="C258" s="8"/>
      <c r="D258" s="4"/>
      <c r="E258" s="4"/>
      <c r="F258" s="8"/>
      <c r="G258" s="4"/>
      <c r="H258" s="4"/>
      <c r="I258" s="8"/>
      <c r="J258" s="4"/>
      <c r="K258" s="4"/>
      <c r="L258" s="8"/>
      <c r="M258" s="4"/>
      <c r="N258" s="4"/>
      <c r="O258" s="8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</row>
    <row r="259" ht="15.75" customHeight="1">
      <c r="A259" s="4"/>
      <c r="B259" s="4"/>
      <c r="C259" s="8"/>
      <c r="D259" s="4"/>
      <c r="E259" s="4"/>
      <c r="F259" s="8"/>
      <c r="G259" s="4"/>
      <c r="H259" s="4"/>
      <c r="I259" s="8"/>
      <c r="J259" s="4"/>
      <c r="K259" s="4"/>
      <c r="L259" s="8"/>
      <c r="M259" s="4"/>
      <c r="N259" s="4"/>
      <c r="O259" s="8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</row>
    <row r="260" ht="15.75" customHeight="1">
      <c r="A260" s="4"/>
      <c r="B260" s="4"/>
      <c r="C260" s="8"/>
      <c r="D260" s="4"/>
      <c r="E260" s="4"/>
      <c r="F260" s="8"/>
      <c r="G260" s="4"/>
      <c r="H260" s="4"/>
      <c r="I260" s="8"/>
      <c r="J260" s="4"/>
      <c r="K260" s="4"/>
      <c r="L260" s="8"/>
      <c r="M260" s="4"/>
      <c r="N260" s="4"/>
      <c r="O260" s="8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</row>
    <row r="261" ht="15.75" customHeight="1">
      <c r="A261" s="4"/>
      <c r="B261" s="4"/>
      <c r="C261" s="8"/>
      <c r="D261" s="4"/>
      <c r="E261" s="4"/>
      <c r="F261" s="8"/>
      <c r="G261" s="4"/>
      <c r="H261" s="4"/>
      <c r="I261" s="8"/>
      <c r="J261" s="4"/>
      <c r="K261" s="4"/>
      <c r="L261" s="8"/>
      <c r="M261" s="4"/>
      <c r="N261" s="4"/>
      <c r="O261" s="8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</row>
    <row r="262" ht="15.75" customHeight="1">
      <c r="A262" s="4"/>
      <c r="B262" s="4"/>
      <c r="C262" s="8"/>
      <c r="D262" s="4"/>
      <c r="E262" s="4"/>
      <c r="F262" s="8"/>
      <c r="G262" s="4"/>
      <c r="H262" s="4"/>
      <c r="I262" s="8"/>
      <c r="J262" s="4"/>
      <c r="K262" s="4"/>
      <c r="L262" s="8"/>
      <c r="M262" s="4"/>
      <c r="N262" s="4"/>
      <c r="O262" s="8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</row>
    <row r="263" ht="15.75" customHeight="1">
      <c r="A263" s="4"/>
      <c r="B263" s="4"/>
      <c r="C263" s="8"/>
      <c r="D263" s="4"/>
      <c r="E263" s="4"/>
      <c r="F263" s="8"/>
      <c r="G263" s="4"/>
      <c r="H263" s="4"/>
      <c r="I263" s="8"/>
      <c r="J263" s="4"/>
      <c r="K263" s="4"/>
      <c r="L263" s="8"/>
      <c r="M263" s="4"/>
      <c r="N263" s="4"/>
      <c r="O263" s="8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</row>
    <row r="264" ht="15.75" customHeight="1">
      <c r="A264" s="4"/>
      <c r="B264" s="4"/>
      <c r="C264" s="8"/>
      <c r="D264" s="4"/>
      <c r="E264" s="4"/>
      <c r="F264" s="8"/>
      <c r="G264" s="4"/>
      <c r="H264" s="4"/>
      <c r="I264" s="8"/>
      <c r="J264" s="4"/>
      <c r="K264" s="4"/>
      <c r="L264" s="8"/>
      <c r="M264" s="4"/>
      <c r="N264" s="4"/>
      <c r="O264" s="8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</row>
    <row r="265" ht="15.75" customHeight="1">
      <c r="A265" s="4"/>
      <c r="B265" s="4"/>
      <c r="C265" s="8"/>
      <c r="D265" s="4"/>
      <c r="E265" s="4"/>
      <c r="F265" s="8"/>
      <c r="G265" s="4"/>
      <c r="H265" s="4"/>
      <c r="I265" s="8"/>
      <c r="J265" s="4"/>
      <c r="K265" s="4"/>
      <c r="L265" s="8"/>
      <c r="M265" s="4"/>
      <c r="N265" s="4"/>
      <c r="O265" s="8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</row>
    <row r="266" ht="15.75" customHeight="1">
      <c r="A266" s="4"/>
      <c r="B266" s="4"/>
      <c r="C266" s="8"/>
      <c r="D266" s="4"/>
      <c r="E266" s="4"/>
      <c r="F266" s="8"/>
      <c r="G266" s="4"/>
      <c r="H266" s="4"/>
      <c r="I266" s="8"/>
      <c r="J266" s="4"/>
      <c r="K266" s="4"/>
      <c r="L266" s="8"/>
      <c r="M266" s="4"/>
      <c r="N266" s="4"/>
      <c r="O266" s="8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</row>
    <row r="267" ht="15.75" customHeight="1">
      <c r="A267" s="4"/>
      <c r="B267" s="4"/>
      <c r="C267" s="8"/>
      <c r="D267" s="4"/>
      <c r="E267" s="4"/>
      <c r="F267" s="8"/>
      <c r="G267" s="4"/>
      <c r="H267" s="4"/>
      <c r="I267" s="8"/>
      <c r="J267" s="4"/>
      <c r="K267" s="4"/>
      <c r="L267" s="8"/>
      <c r="M267" s="4"/>
      <c r="N267" s="4"/>
      <c r="O267" s="8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</row>
    <row r="268" ht="15.75" customHeight="1">
      <c r="A268" s="4"/>
      <c r="B268" s="4"/>
      <c r="C268" s="8"/>
      <c r="D268" s="4"/>
      <c r="E268" s="4"/>
      <c r="F268" s="8"/>
      <c r="G268" s="4"/>
      <c r="H268" s="4"/>
      <c r="I268" s="8"/>
      <c r="J268" s="4"/>
      <c r="K268" s="4"/>
      <c r="L268" s="8"/>
      <c r="M268" s="4"/>
      <c r="N268" s="4"/>
      <c r="O268" s="8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</row>
    <row r="269" ht="15.75" customHeight="1">
      <c r="A269" s="4"/>
      <c r="B269" s="4"/>
      <c r="C269" s="8"/>
      <c r="D269" s="4"/>
      <c r="E269" s="4"/>
      <c r="F269" s="8"/>
      <c r="G269" s="4"/>
      <c r="H269" s="4"/>
      <c r="I269" s="8"/>
      <c r="J269" s="4"/>
      <c r="K269" s="4"/>
      <c r="L269" s="8"/>
      <c r="M269" s="4"/>
      <c r="N269" s="4"/>
      <c r="O269" s="8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</row>
    <row r="270" ht="15.75" customHeight="1">
      <c r="A270" s="4"/>
      <c r="B270" s="4"/>
      <c r="C270" s="8"/>
      <c r="D270" s="4"/>
      <c r="E270" s="4"/>
      <c r="F270" s="8"/>
      <c r="G270" s="4"/>
      <c r="H270" s="4"/>
      <c r="I270" s="8"/>
      <c r="J270" s="4"/>
      <c r="K270" s="4"/>
      <c r="L270" s="8"/>
      <c r="M270" s="4"/>
      <c r="N270" s="4"/>
      <c r="O270" s="8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</row>
    <row r="271" ht="15.75" customHeight="1">
      <c r="A271" s="4"/>
      <c r="B271" s="4"/>
      <c r="C271" s="8"/>
      <c r="D271" s="4"/>
      <c r="E271" s="4"/>
      <c r="F271" s="8"/>
      <c r="G271" s="4"/>
      <c r="H271" s="4"/>
      <c r="I271" s="8"/>
      <c r="J271" s="4"/>
      <c r="K271" s="4"/>
      <c r="L271" s="8"/>
      <c r="M271" s="4"/>
      <c r="N271" s="4"/>
      <c r="O271" s="8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</row>
    <row r="272" ht="15.75" customHeight="1">
      <c r="A272" s="4"/>
      <c r="B272" s="4"/>
      <c r="C272" s="8"/>
      <c r="D272" s="4"/>
      <c r="E272" s="4"/>
      <c r="F272" s="8"/>
      <c r="G272" s="4"/>
      <c r="H272" s="4"/>
      <c r="I272" s="8"/>
      <c r="J272" s="4"/>
      <c r="K272" s="4"/>
      <c r="L272" s="8"/>
      <c r="M272" s="4"/>
      <c r="N272" s="4"/>
      <c r="O272" s="8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</row>
    <row r="273" ht="15.75" customHeight="1">
      <c r="A273" s="4"/>
      <c r="B273" s="4"/>
      <c r="C273" s="8"/>
      <c r="D273" s="4"/>
      <c r="E273" s="4"/>
      <c r="F273" s="8"/>
      <c r="G273" s="4"/>
      <c r="H273" s="4"/>
      <c r="I273" s="8"/>
      <c r="J273" s="4"/>
      <c r="K273" s="4"/>
      <c r="L273" s="8"/>
      <c r="M273" s="4"/>
      <c r="N273" s="4"/>
      <c r="O273" s="8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</row>
    <row r="274" ht="15.75" customHeight="1">
      <c r="A274" s="4"/>
      <c r="B274" s="4"/>
      <c r="C274" s="8"/>
      <c r="D274" s="4"/>
      <c r="E274" s="4"/>
      <c r="F274" s="8"/>
      <c r="G274" s="4"/>
      <c r="H274" s="4"/>
      <c r="I274" s="8"/>
      <c r="J274" s="4"/>
      <c r="K274" s="4"/>
      <c r="L274" s="8"/>
      <c r="M274" s="4"/>
      <c r="N274" s="4"/>
      <c r="O274" s="8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</row>
    <row r="275" ht="15.75" customHeight="1">
      <c r="A275" s="4"/>
      <c r="B275" s="4"/>
      <c r="C275" s="8"/>
      <c r="D275" s="4"/>
      <c r="E275" s="4"/>
      <c r="F275" s="8"/>
      <c r="G275" s="4"/>
      <c r="H275" s="4"/>
      <c r="I275" s="8"/>
      <c r="J275" s="4"/>
      <c r="K275" s="4"/>
      <c r="L275" s="8"/>
      <c r="M275" s="4"/>
      <c r="N275" s="4"/>
      <c r="O275" s="8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</row>
    <row r="276" ht="15.75" customHeight="1">
      <c r="A276" s="4"/>
      <c r="B276" s="4"/>
      <c r="C276" s="8"/>
      <c r="D276" s="4"/>
      <c r="E276" s="4"/>
      <c r="F276" s="8"/>
      <c r="G276" s="4"/>
      <c r="H276" s="4"/>
      <c r="I276" s="8"/>
      <c r="J276" s="4"/>
      <c r="K276" s="4"/>
      <c r="L276" s="8"/>
      <c r="M276" s="4"/>
      <c r="N276" s="4"/>
      <c r="O276" s="8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</row>
    <row r="277" ht="15.75" customHeight="1">
      <c r="A277" s="4"/>
      <c r="B277" s="4"/>
      <c r="C277" s="8"/>
      <c r="D277" s="4"/>
      <c r="E277" s="4"/>
      <c r="F277" s="8"/>
      <c r="G277" s="4"/>
      <c r="H277" s="4"/>
      <c r="I277" s="8"/>
      <c r="J277" s="4"/>
      <c r="K277" s="4"/>
      <c r="L277" s="8"/>
      <c r="M277" s="4"/>
      <c r="N277" s="4"/>
      <c r="O277" s="8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</row>
    <row r="278" ht="15.75" customHeight="1">
      <c r="A278" s="4"/>
      <c r="B278" s="4"/>
      <c r="C278" s="8"/>
      <c r="D278" s="4"/>
      <c r="E278" s="4"/>
      <c r="F278" s="8"/>
      <c r="G278" s="4"/>
      <c r="H278" s="4"/>
      <c r="I278" s="8"/>
      <c r="J278" s="4"/>
      <c r="K278" s="4"/>
      <c r="L278" s="8"/>
      <c r="M278" s="4"/>
      <c r="N278" s="4"/>
      <c r="O278" s="8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</row>
    <row r="279" ht="15.75" customHeight="1">
      <c r="A279" s="4"/>
      <c r="B279" s="4"/>
      <c r="C279" s="8"/>
      <c r="D279" s="4"/>
      <c r="E279" s="4"/>
      <c r="F279" s="8"/>
      <c r="G279" s="4"/>
      <c r="H279" s="4"/>
      <c r="I279" s="8"/>
      <c r="J279" s="4"/>
      <c r="K279" s="4"/>
      <c r="L279" s="8"/>
      <c r="M279" s="4"/>
      <c r="N279" s="4"/>
      <c r="O279" s="8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</row>
    <row r="280" ht="15.75" customHeight="1">
      <c r="A280" s="4"/>
      <c r="B280" s="4"/>
      <c r="C280" s="8"/>
      <c r="D280" s="4"/>
      <c r="E280" s="4"/>
      <c r="F280" s="8"/>
      <c r="G280" s="4"/>
      <c r="H280" s="4"/>
      <c r="I280" s="8"/>
      <c r="J280" s="4"/>
      <c r="K280" s="4"/>
      <c r="L280" s="8"/>
      <c r="M280" s="4"/>
      <c r="N280" s="4"/>
      <c r="O280" s="8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</row>
    <row r="281" ht="15.75" customHeight="1">
      <c r="A281" s="4"/>
      <c r="B281" s="4"/>
      <c r="C281" s="8"/>
      <c r="D281" s="4"/>
      <c r="E281" s="4"/>
      <c r="F281" s="8"/>
      <c r="G281" s="4"/>
      <c r="H281" s="4"/>
      <c r="I281" s="8"/>
      <c r="J281" s="4"/>
      <c r="K281" s="4"/>
      <c r="L281" s="8"/>
      <c r="M281" s="4"/>
      <c r="N281" s="4"/>
      <c r="O281" s="8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</row>
    <row r="282" ht="15.75" customHeight="1">
      <c r="A282" s="4"/>
      <c r="B282" s="4"/>
      <c r="C282" s="8"/>
      <c r="D282" s="4"/>
      <c r="E282" s="4"/>
      <c r="F282" s="8"/>
      <c r="G282" s="4"/>
      <c r="H282" s="4"/>
      <c r="I282" s="8"/>
      <c r="J282" s="4"/>
      <c r="K282" s="4"/>
      <c r="L282" s="8"/>
      <c r="M282" s="4"/>
      <c r="N282" s="4"/>
      <c r="O282" s="8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</row>
    <row r="283" ht="15.75" customHeight="1">
      <c r="A283" s="4"/>
      <c r="B283" s="4"/>
      <c r="C283" s="8"/>
      <c r="D283" s="4"/>
      <c r="E283" s="4"/>
      <c r="F283" s="8"/>
      <c r="G283" s="4"/>
      <c r="H283" s="4"/>
      <c r="I283" s="8"/>
      <c r="J283" s="4"/>
      <c r="K283" s="4"/>
      <c r="L283" s="8"/>
      <c r="M283" s="4"/>
      <c r="N283" s="4"/>
      <c r="O283" s="8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</row>
    <row r="284" ht="15.75" customHeight="1">
      <c r="A284" s="4"/>
      <c r="B284" s="4"/>
      <c r="C284" s="8"/>
      <c r="D284" s="4"/>
      <c r="E284" s="4"/>
      <c r="F284" s="8"/>
      <c r="G284" s="4"/>
      <c r="H284" s="4"/>
      <c r="I284" s="8"/>
      <c r="J284" s="4"/>
      <c r="K284" s="4"/>
      <c r="L284" s="8"/>
      <c r="M284" s="4"/>
      <c r="N284" s="4"/>
      <c r="O284" s="8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</row>
    <row r="285" ht="15.75" customHeight="1">
      <c r="A285" s="4"/>
      <c r="B285" s="4"/>
      <c r="C285" s="8"/>
      <c r="D285" s="4"/>
      <c r="E285" s="4"/>
      <c r="F285" s="8"/>
      <c r="G285" s="4"/>
      <c r="H285" s="4"/>
      <c r="I285" s="8"/>
      <c r="J285" s="4"/>
      <c r="K285" s="4"/>
      <c r="L285" s="8"/>
      <c r="M285" s="4"/>
      <c r="N285" s="4"/>
      <c r="O285" s="8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</row>
    <row r="286" ht="15.75" customHeight="1">
      <c r="A286" s="4"/>
      <c r="B286" s="4"/>
      <c r="C286" s="8"/>
      <c r="D286" s="4"/>
      <c r="E286" s="4"/>
      <c r="F286" s="8"/>
      <c r="G286" s="4"/>
      <c r="H286" s="4"/>
      <c r="I286" s="8"/>
      <c r="J286" s="4"/>
      <c r="K286" s="4"/>
      <c r="L286" s="8"/>
      <c r="M286" s="4"/>
      <c r="N286" s="4"/>
      <c r="O286" s="8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</row>
    <row r="287" ht="15.75" customHeight="1">
      <c r="A287" s="4"/>
      <c r="B287" s="4"/>
      <c r="C287" s="8"/>
      <c r="D287" s="4"/>
      <c r="E287" s="4"/>
      <c r="F287" s="8"/>
      <c r="G287" s="4"/>
      <c r="H287" s="4"/>
      <c r="I287" s="8"/>
      <c r="J287" s="4"/>
      <c r="K287" s="4"/>
      <c r="L287" s="8"/>
      <c r="M287" s="4"/>
      <c r="N287" s="4"/>
      <c r="O287" s="8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</row>
    <row r="288" ht="15.75" customHeight="1">
      <c r="A288" s="4"/>
      <c r="B288" s="4"/>
      <c r="C288" s="8"/>
      <c r="D288" s="4"/>
      <c r="E288" s="4"/>
      <c r="F288" s="8"/>
      <c r="G288" s="4"/>
      <c r="H288" s="4"/>
      <c r="I288" s="8"/>
      <c r="J288" s="4"/>
      <c r="K288" s="4"/>
      <c r="L288" s="8"/>
      <c r="M288" s="4"/>
      <c r="N288" s="4"/>
      <c r="O288" s="8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</row>
    <row r="289" ht="15.75" customHeight="1">
      <c r="A289" s="4"/>
      <c r="B289" s="4"/>
      <c r="C289" s="8"/>
      <c r="D289" s="4"/>
      <c r="E289" s="4"/>
      <c r="F289" s="8"/>
      <c r="G289" s="4"/>
      <c r="H289" s="4"/>
      <c r="I289" s="8"/>
      <c r="J289" s="4"/>
      <c r="K289" s="4"/>
      <c r="L289" s="8"/>
      <c r="M289" s="4"/>
      <c r="N289" s="4"/>
      <c r="O289" s="8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</row>
    <row r="290" ht="15.75" customHeight="1">
      <c r="A290" s="4"/>
      <c r="B290" s="4"/>
      <c r="C290" s="8"/>
      <c r="D290" s="4"/>
      <c r="E290" s="4"/>
      <c r="F290" s="8"/>
      <c r="G290" s="4"/>
      <c r="H290" s="4"/>
      <c r="I290" s="8"/>
      <c r="J290" s="4"/>
      <c r="K290" s="4"/>
      <c r="L290" s="8"/>
      <c r="M290" s="4"/>
      <c r="N290" s="4"/>
      <c r="O290" s="8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</row>
    <row r="291" ht="15.75" customHeight="1">
      <c r="A291" s="4"/>
      <c r="B291" s="4"/>
      <c r="C291" s="8"/>
      <c r="D291" s="4"/>
      <c r="E291" s="4"/>
      <c r="F291" s="8"/>
      <c r="G291" s="4"/>
      <c r="H291" s="4"/>
      <c r="I291" s="8"/>
      <c r="J291" s="4"/>
      <c r="K291" s="4"/>
      <c r="L291" s="8"/>
      <c r="M291" s="4"/>
      <c r="N291" s="4"/>
      <c r="O291" s="8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</row>
    <row r="292" ht="15.75" customHeight="1">
      <c r="A292" s="4"/>
      <c r="B292" s="4"/>
      <c r="C292" s="8"/>
      <c r="D292" s="4"/>
      <c r="E292" s="4"/>
      <c r="F292" s="8"/>
      <c r="G292" s="4"/>
      <c r="H292" s="4"/>
      <c r="I292" s="8"/>
      <c r="J292" s="4"/>
      <c r="K292" s="4"/>
      <c r="L292" s="8"/>
      <c r="M292" s="4"/>
      <c r="N292" s="4"/>
      <c r="O292" s="8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</row>
    <row r="293" ht="15.75" customHeight="1">
      <c r="A293" s="4"/>
      <c r="B293" s="4"/>
      <c r="C293" s="8"/>
      <c r="D293" s="4"/>
      <c r="E293" s="4"/>
      <c r="F293" s="8"/>
      <c r="G293" s="4"/>
      <c r="H293" s="4"/>
      <c r="I293" s="8"/>
      <c r="J293" s="4"/>
      <c r="K293" s="4"/>
      <c r="L293" s="8"/>
      <c r="M293" s="4"/>
      <c r="N293" s="4"/>
      <c r="O293" s="8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</row>
    <row r="294" ht="15.75" customHeight="1">
      <c r="A294" s="4"/>
      <c r="B294" s="4"/>
      <c r="C294" s="8"/>
      <c r="D294" s="4"/>
      <c r="E294" s="4"/>
      <c r="F294" s="8"/>
      <c r="G294" s="4"/>
      <c r="H294" s="4"/>
      <c r="I294" s="8"/>
      <c r="J294" s="4"/>
      <c r="K294" s="4"/>
      <c r="L294" s="8"/>
      <c r="M294" s="4"/>
      <c r="N294" s="4"/>
      <c r="O294" s="8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</row>
    <row r="295" ht="15.75" customHeight="1">
      <c r="A295" s="4"/>
      <c r="B295" s="4"/>
      <c r="C295" s="8"/>
      <c r="D295" s="4"/>
      <c r="E295" s="4"/>
      <c r="F295" s="8"/>
      <c r="G295" s="4"/>
      <c r="H295" s="4"/>
      <c r="I295" s="8"/>
      <c r="J295" s="4"/>
      <c r="K295" s="4"/>
      <c r="L295" s="8"/>
      <c r="M295" s="4"/>
      <c r="N295" s="4"/>
      <c r="O295" s="8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</row>
    <row r="296" ht="15.75" customHeight="1">
      <c r="A296" s="4"/>
      <c r="B296" s="4"/>
      <c r="C296" s="8"/>
      <c r="D296" s="4"/>
      <c r="E296" s="4"/>
      <c r="F296" s="8"/>
      <c r="G296" s="4"/>
      <c r="H296" s="4"/>
      <c r="I296" s="8"/>
      <c r="J296" s="4"/>
      <c r="K296" s="4"/>
      <c r="L296" s="8"/>
      <c r="M296" s="4"/>
      <c r="N296" s="4"/>
      <c r="O296" s="8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</row>
    <row r="297" ht="15.75" customHeight="1">
      <c r="A297" s="4"/>
      <c r="B297" s="4"/>
      <c r="C297" s="8"/>
      <c r="D297" s="4"/>
      <c r="E297" s="4"/>
      <c r="F297" s="8"/>
      <c r="G297" s="4"/>
      <c r="H297" s="4"/>
      <c r="I297" s="8"/>
      <c r="J297" s="4"/>
      <c r="K297" s="4"/>
      <c r="L297" s="8"/>
      <c r="M297" s="4"/>
      <c r="N297" s="4"/>
      <c r="O297" s="8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</row>
    <row r="298" ht="15.75" customHeight="1">
      <c r="A298" s="4"/>
      <c r="B298" s="4"/>
      <c r="C298" s="8"/>
      <c r="D298" s="4"/>
      <c r="E298" s="4"/>
      <c r="F298" s="8"/>
      <c r="G298" s="4"/>
      <c r="H298" s="4"/>
      <c r="I298" s="8"/>
      <c r="J298" s="4"/>
      <c r="K298" s="4"/>
      <c r="L298" s="8"/>
      <c r="M298" s="4"/>
      <c r="N298" s="4"/>
      <c r="O298" s="8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</row>
    <row r="299" ht="15.75" customHeight="1">
      <c r="A299" s="4"/>
      <c r="B299" s="4"/>
      <c r="C299" s="8"/>
      <c r="D299" s="4"/>
      <c r="E299" s="4"/>
      <c r="F299" s="8"/>
      <c r="G299" s="4"/>
      <c r="H299" s="4"/>
      <c r="I299" s="8"/>
      <c r="J299" s="4"/>
      <c r="K299" s="4"/>
      <c r="L299" s="8"/>
      <c r="M299" s="4"/>
      <c r="N299" s="4"/>
      <c r="O299" s="8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</row>
    <row r="300" ht="15.75" customHeight="1">
      <c r="A300" s="4"/>
      <c r="B300" s="4"/>
      <c r="C300" s="8"/>
      <c r="D300" s="4"/>
      <c r="E300" s="4"/>
      <c r="F300" s="8"/>
      <c r="G300" s="4"/>
      <c r="H300" s="4"/>
      <c r="I300" s="8"/>
      <c r="J300" s="4"/>
      <c r="K300" s="4"/>
      <c r="L300" s="8"/>
      <c r="M300" s="4"/>
      <c r="N300" s="4"/>
      <c r="O300" s="8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</row>
    <row r="301" ht="15.75" customHeight="1">
      <c r="A301" s="4"/>
      <c r="B301" s="4"/>
      <c r="C301" s="8"/>
      <c r="D301" s="4"/>
      <c r="E301" s="4"/>
      <c r="F301" s="8"/>
      <c r="G301" s="4"/>
      <c r="H301" s="4"/>
      <c r="I301" s="8"/>
      <c r="J301" s="4"/>
      <c r="K301" s="4"/>
      <c r="L301" s="8"/>
      <c r="M301" s="4"/>
      <c r="N301" s="4"/>
      <c r="O301" s="8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</row>
    <row r="302" ht="15.75" customHeight="1">
      <c r="A302" s="4"/>
      <c r="B302" s="4"/>
      <c r="C302" s="8"/>
      <c r="D302" s="4"/>
      <c r="E302" s="4"/>
      <c r="F302" s="8"/>
      <c r="G302" s="4"/>
      <c r="H302" s="4"/>
      <c r="I302" s="8"/>
      <c r="J302" s="4"/>
      <c r="K302" s="4"/>
      <c r="L302" s="8"/>
      <c r="M302" s="4"/>
      <c r="N302" s="4"/>
      <c r="O302" s="8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</row>
    <row r="303" ht="15.75" customHeight="1">
      <c r="A303" s="4"/>
      <c r="B303" s="4"/>
      <c r="C303" s="8"/>
      <c r="D303" s="4"/>
      <c r="E303" s="4"/>
      <c r="F303" s="8"/>
      <c r="G303" s="4"/>
      <c r="H303" s="4"/>
      <c r="I303" s="8"/>
      <c r="J303" s="4"/>
      <c r="K303" s="4"/>
      <c r="L303" s="8"/>
      <c r="M303" s="4"/>
      <c r="N303" s="4"/>
      <c r="O303" s="8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</row>
    <row r="304" ht="15.75" customHeight="1">
      <c r="A304" s="4"/>
      <c r="B304" s="4"/>
      <c r="C304" s="8"/>
      <c r="D304" s="4"/>
      <c r="E304" s="4"/>
      <c r="F304" s="8"/>
      <c r="G304" s="4"/>
      <c r="H304" s="4"/>
      <c r="I304" s="8"/>
      <c r="J304" s="4"/>
      <c r="K304" s="4"/>
      <c r="L304" s="8"/>
      <c r="M304" s="4"/>
      <c r="N304" s="4"/>
      <c r="O304" s="8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</row>
    <row r="305" ht="15.75" customHeight="1">
      <c r="A305" s="4"/>
      <c r="B305" s="4"/>
      <c r="C305" s="8"/>
      <c r="D305" s="4"/>
      <c r="E305" s="4"/>
      <c r="F305" s="8"/>
      <c r="G305" s="4"/>
      <c r="H305" s="4"/>
      <c r="I305" s="8"/>
      <c r="J305" s="4"/>
      <c r="K305" s="4"/>
      <c r="L305" s="8"/>
      <c r="M305" s="4"/>
      <c r="N305" s="4"/>
      <c r="O305" s="8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</row>
    <row r="306" ht="15.75" customHeight="1">
      <c r="A306" s="4"/>
      <c r="B306" s="4"/>
      <c r="C306" s="8"/>
      <c r="D306" s="4"/>
      <c r="E306" s="4"/>
      <c r="F306" s="8"/>
      <c r="G306" s="4"/>
      <c r="H306" s="4"/>
      <c r="I306" s="8"/>
      <c r="J306" s="4"/>
      <c r="K306" s="4"/>
      <c r="L306" s="8"/>
      <c r="M306" s="4"/>
      <c r="N306" s="4"/>
      <c r="O306" s="8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</row>
    <row r="307" ht="15.75" customHeight="1">
      <c r="A307" s="4"/>
      <c r="B307" s="4"/>
      <c r="C307" s="8"/>
      <c r="D307" s="4"/>
      <c r="E307" s="4"/>
      <c r="F307" s="8"/>
      <c r="G307" s="4"/>
      <c r="H307" s="4"/>
      <c r="I307" s="8"/>
      <c r="J307" s="4"/>
      <c r="K307" s="4"/>
      <c r="L307" s="8"/>
      <c r="M307" s="4"/>
      <c r="N307" s="4"/>
      <c r="O307" s="8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</row>
    <row r="308" ht="15.75" customHeight="1">
      <c r="A308" s="4"/>
      <c r="B308" s="4"/>
      <c r="C308" s="8"/>
      <c r="D308" s="4"/>
      <c r="E308" s="4"/>
      <c r="F308" s="8"/>
      <c r="G308" s="4"/>
      <c r="H308" s="4"/>
      <c r="I308" s="8"/>
      <c r="J308" s="4"/>
      <c r="K308" s="4"/>
      <c r="L308" s="8"/>
      <c r="M308" s="4"/>
      <c r="N308" s="4"/>
      <c r="O308" s="8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</row>
    <row r="309" ht="15.75" customHeight="1">
      <c r="A309" s="4"/>
      <c r="B309" s="4"/>
      <c r="C309" s="8"/>
      <c r="D309" s="4"/>
      <c r="E309" s="4"/>
      <c r="F309" s="8"/>
      <c r="G309" s="4"/>
      <c r="H309" s="4"/>
      <c r="I309" s="8"/>
      <c r="J309" s="4"/>
      <c r="K309" s="4"/>
      <c r="L309" s="8"/>
      <c r="M309" s="4"/>
      <c r="N309" s="4"/>
      <c r="O309" s="8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</row>
    <row r="310" ht="15.75" customHeight="1">
      <c r="A310" s="4"/>
      <c r="B310" s="4"/>
      <c r="C310" s="8"/>
      <c r="D310" s="4"/>
      <c r="E310" s="4"/>
      <c r="F310" s="8"/>
      <c r="G310" s="4"/>
      <c r="H310" s="4"/>
      <c r="I310" s="8"/>
      <c r="J310" s="4"/>
      <c r="K310" s="4"/>
      <c r="L310" s="8"/>
      <c r="M310" s="4"/>
      <c r="N310" s="4"/>
      <c r="O310" s="8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</row>
    <row r="311" ht="15.75" customHeight="1">
      <c r="A311" s="4"/>
      <c r="B311" s="4"/>
      <c r="C311" s="8"/>
      <c r="D311" s="4"/>
      <c r="E311" s="4"/>
      <c r="F311" s="8"/>
      <c r="G311" s="4"/>
      <c r="H311" s="4"/>
      <c r="I311" s="8"/>
      <c r="J311" s="4"/>
      <c r="K311" s="4"/>
      <c r="L311" s="8"/>
      <c r="M311" s="4"/>
      <c r="N311" s="4"/>
      <c r="O311" s="8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</row>
    <row r="312" ht="15.75" customHeight="1">
      <c r="A312" s="4"/>
      <c r="B312" s="4"/>
      <c r="C312" s="8"/>
      <c r="D312" s="4"/>
      <c r="E312" s="4"/>
      <c r="F312" s="8"/>
      <c r="G312" s="4"/>
      <c r="H312" s="4"/>
      <c r="I312" s="8"/>
      <c r="J312" s="4"/>
      <c r="K312" s="4"/>
      <c r="L312" s="8"/>
      <c r="M312" s="4"/>
      <c r="N312" s="4"/>
      <c r="O312" s="8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</row>
    <row r="313" ht="15.75" customHeight="1">
      <c r="A313" s="4"/>
      <c r="B313" s="4"/>
      <c r="C313" s="8"/>
      <c r="D313" s="4"/>
      <c r="E313" s="4"/>
      <c r="F313" s="8"/>
      <c r="G313" s="4"/>
      <c r="H313" s="4"/>
      <c r="I313" s="8"/>
      <c r="J313" s="4"/>
      <c r="K313" s="4"/>
      <c r="L313" s="8"/>
      <c r="M313" s="4"/>
      <c r="N313" s="4"/>
      <c r="O313" s="8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</row>
    <row r="314" ht="15.75" customHeight="1">
      <c r="A314" s="4"/>
      <c r="B314" s="4"/>
      <c r="C314" s="8"/>
      <c r="D314" s="4"/>
      <c r="E314" s="4"/>
      <c r="F314" s="8"/>
      <c r="G314" s="4"/>
      <c r="H314" s="4"/>
      <c r="I314" s="8"/>
      <c r="J314" s="4"/>
      <c r="K314" s="4"/>
      <c r="L314" s="8"/>
      <c r="M314" s="4"/>
      <c r="N314" s="4"/>
      <c r="O314" s="8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</row>
    <row r="315" ht="15.75" customHeight="1">
      <c r="A315" s="4"/>
      <c r="B315" s="4"/>
      <c r="C315" s="8"/>
      <c r="D315" s="4"/>
      <c r="E315" s="4"/>
      <c r="F315" s="8"/>
      <c r="G315" s="4"/>
      <c r="H315" s="4"/>
      <c r="I315" s="8"/>
      <c r="J315" s="4"/>
      <c r="K315" s="4"/>
      <c r="L315" s="8"/>
      <c r="M315" s="4"/>
      <c r="N315" s="4"/>
      <c r="O315" s="8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</row>
    <row r="316" ht="15.75" customHeight="1">
      <c r="A316" s="4"/>
      <c r="B316" s="4"/>
      <c r="C316" s="8"/>
      <c r="D316" s="4"/>
      <c r="E316" s="4"/>
      <c r="F316" s="8"/>
      <c r="G316" s="4"/>
      <c r="H316" s="4"/>
      <c r="I316" s="8"/>
      <c r="J316" s="4"/>
      <c r="K316" s="4"/>
      <c r="L316" s="8"/>
      <c r="M316" s="4"/>
      <c r="N316" s="4"/>
      <c r="O316" s="8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</row>
    <row r="317" ht="15.75" customHeight="1">
      <c r="A317" s="4"/>
      <c r="B317" s="4"/>
      <c r="C317" s="8"/>
      <c r="D317" s="4"/>
      <c r="E317" s="4"/>
      <c r="F317" s="8"/>
      <c r="G317" s="4"/>
      <c r="H317" s="4"/>
      <c r="I317" s="8"/>
      <c r="J317" s="4"/>
      <c r="K317" s="4"/>
      <c r="L317" s="8"/>
      <c r="M317" s="4"/>
      <c r="N317" s="4"/>
      <c r="O317" s="8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</row>
    <row r="318" ht="15.75" customHeight="1">
      <c r="A318" s="4"/>
      <c r="B318" s="4"/>
      <c r="C318" s="8"/>
      <c r="D318" s="4"/>
      <c r="E318" s="4"/>
      <c r="F318" s="8"/>
      <c r="G318" s="4"/>
      <c r="H318" s="4"/>
      <c r="I318" s="8"/>
      <c r="J318" s="4"/>
      <c r="K318" s="4"/>
      <c r="L318" s="8"/>
      <c r="M318" s="4"/>
      <c r="N318" s="4"/>
      <c r="O318" s="8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</row>
    <row r="319" ht="15.75" customHeight="1">
      <c r="A319" s="4"/>
      <c r="B319" s="4"/>
      <c r="C319" s="8"/>
      <c r="D319" s="4"/>
      <c r="E319" s="4"/>
      <c r="F319" s="8"/>
      <c r="G319" s="4"/>
      <c r="H319" s="4"/>
      <c r="I319" s="8"/>
      <c r="J319" s="4"/>
      <c r="K319" s="4"/>
      <c r="L319" s="8"/>
      <c r="M319" s="4"/>
      <c r="N319" s="4"/>
      <c r="O319" s="8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</row>
    <row r="320" ht="15.75" customHeight="1">
      <c r="A320" s="4"/>
      <c r="B320" s="4"/>
      <c r="C320" s="8"/>
      <c r="D320" s="4"/>
      <c r="E320" s="4"/>
      <c r="F320" s="8"/>
      <c r="G320" s="4"/>
      <c r="H320" s="4"/>
      <c r="I320" s="8"/>
      <c r="J320" s="4"/>
      <c r="K320" s="4"/>
      <c r="L320" s="8"/>
      <c r="M320" s="4"/>
      <c r="N320" s="4"/>
      <c r="O320" s="8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</row>
    <row r="321" ht="15.75" customHeight="1">
      <c r="A321" s="4"/>
      <c r="B321" s="4"/>
      <c r="C321" s="8"/>
      <c r="D321" s="4"/>
      <c r="E321" s="4"/>
      <c r="F321" s="8"/>
      <c r="G321" s="4"/>
      <c r="H321" s="4"/>
      <c r="I321" s="8"/>
      <c r="J321" s="4"/>
      <c r="K321" s="4"/>
      <c r="L321" s="8"/>
      <c r="M321" s="4"/>
      <c r="N321" s="4"/>
      <c r="O321" s="8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</row>
    <row r="322" ht="15.75" customHeight="1">
      <c r="A322" s="4"/>
      <c r="B322" s="4"/>
      <c r="C322" s="8"/>
      <c r="D322" s="4"/>
      <c r="E322" s="4"/>
      <c r="F322" s="8"/>
      <c r="G322" s="4"/>
      <c r="H322" s="4"/>
      <c r="I322" s="8"/>
      <c r="J322" s="4"/>
      <c r="K322" s="4"/>
      <c r="L322" s="8"/>
      <c r="M322" s="4"/>
      <c r="N322" s="4"/>
      <c r="O322" s="8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</row>
    <row r="323" ht="15.75" customHeight="1">
      <c r="A323" s="4"/>
      <c r="B323" s="4"/>
      <c r="C323" s="8"/>
      <c r="D323" s="4"/>
      <c r="E323" s="4"/>
      <c r="F323" s="8"/>
      <c r="G323" s="4"/>
      <c r="H323" s="4"/>
      <c r="I323" s="8"/>
      <c r="J323" s="4"/>
      <c r="K323" s="4"/>
      <c r="L323" s="8"/>
      <c r="M323" s="4"/>
      <c r="N323" s="4"/>
      <c r="O323" s="8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</row>
    <row r="324" ht="15.75" customHeight="1">
      <c r="A324" s="4"/>
      <c r="B324" s="4"/>
      <c r="C324" s="8"/>
      <c r="D324" s="4"/>
      <c r="E324" s="4"/>
      <c r="F324" s="8"/>
      <c r="G324" s="4"/>
      <c r="H324" s="4"/>
      <c r="I324" s="8"/>
      <c r="J324" s="4"/>
      <c r="K324" s="4"/>
      <c r="L324" s="8"/>
      <c r="M324" s="4"/>
      <c r="N324" s="4"/>
      <c r="O324" s="8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</row>
    <row r="325" ht="15.75" customHeight="1">
      <c r="A325" s="4"/>
      <c r="B325" s="4"/>
      <c r="C325" s="8"/>
      <c r="D325" s="4"/>
      <c r="E325" s="4"/>
      <c r="F325" s="8"/>
      <c r="G325" s="4"/>
      <c r="H325" s="4"/>
      <c r="I325" s="8"/>
      <c r="J325" s="4"/>
      <c r="K325" s="4"/>
      <c r="L325" s="8"/>
      <c r="M325" s="4"/>
      <c r="N325" s="4"/>
      <c r="O325" s="8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</row>
    <row r="326" ht="15.75" customHeight="1">
      <c r="A326" s="4"/>
      <c r="B326" s="4"/>
      <c r="C326" s="8"/>
      <c r="D326" s="4"/>
      <c r="E326" s="4"/>
      <c r="F326" s="8"/>
      <c r="G326" s="4"/>
      <c r="H326" s="4"/>
      <c r="I326" s="8"/>
      <c r="J326" s="4"/>
      <c r="K326" s="4"/>
      <c r="L326" s="8"/>
      <c r="M326" s="4"/>
      <c r="N326" s="4"/>
      <c r="O326" s="8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</row>
    <row r="327" ht="15.75" customHeight="1">
      <c r="A327" s="4"/>
      <c r="B327" s="4"/>
      <c r="C327" s="8"/>
      <c r="D327" s="4"/>
      <c r="E327" s="4"/>
      <c r="F327" s="8"/>
      <c r="G327" s="4"/>
      <c r="H327" s="4"/>
      <c r="I327" s="8"/>
      <c r="J327" s="4"/>
      <c r="K327" s="4"/>
      <c r="L327" s="8"/>
      <c r="M327" s="4"/>
      <c r="N327" s="4"/>
      <c r="O327" s="8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</row>
    <row r="328" ht="15.75" customHeight="1">
      <c r="A328" s="4"/>
      <c r="B328" s="4"/>
      <c r="C328" s="8"/>
      <c r="D328" s="4"/>
      <c r="E328" s="4"/>
      <c r="F328" s="8"/>
      <c r="G328" s="4"/>
      <c r="H328" s="4"/>
      <c r="I328" s="8"/>
      <c r="J328" s="4"/>
      <c r="K328" s="4"/>
      <c r="L328" s="8"/>
      <c r="M328" s="4"/>
      <c r="N328" s="4"/>
      <c r="O328" s="8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</row>
    <row r="329" ht="15.75" customHeight="1">
      <c r="A329" s="4"/>
      <c r="B329" s="4"/>
      <c r="C329" s="8"/>
      <c r="D329" s="4"/>
      <c r="E329" s="4"/>
      <c r="F329" s="8"/>
      <c r="G329" s="4"/>
      <c r="H329" s="4"/>
      <c r="I329" s="8"/>
      <c r="J329" s="4"/>
      <c r="K329" s="4"/>
      <c r="L329" s="8"/>
      <c r="M329" s="4"/>
      <c r="N329" s="4"/>
      <c r="O329" s="8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</row>
    <row r="330" ht="15.75" customHeight="1">
      <c r="A330" s="4"/>
      <c r="B330" s="4"/>
      <c r="C330" s="8"/>
      <c r="D330" s="4"/>
      <c r="E330" s="4"/>
      <c r="F330" s="8"/>
      <c r="G330" s="4"/>
      <c r="H330" s="4"/>
      <c r="I330" s="8"/>
      <c r="J330" s="4"/>
      <c r="K330" s="4"/>
      <c r="L330" s="8"/>
      <c r="M330" s="4"/>
      <c r="N330" s="4"/>
      <c r="O330" s="8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</row>
    <row r="331" ht="15.75" customHeight="1">
      <c r="A331" s="4"/>
      <c r="B331" s="4"/>
      <c r="C331" s="8"/>
      <c r="D331" s="4"/>
      <c r="E331" s="4"/>
      <c r="F331" s="8"/>
      <c r="G331" s="4"/>
      <c r="H331" s="4"/>
      <c r="I331" s="8"/>
      <c r="J331" s="4"/>
      <c r="K331" s="4"/>
      <c r="L331" s="8"/>
      <c r="M331" s="4"/>
      <c r="N331" s="4"/>
      <c r="O331" s="8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</row>
    <row r="332" ht="15.75" customHeight="1">
      <c r="A332" s="4"/>
      <c r="B332" s="4"/>
      <c r="C332" s="8"/>
      <c r="D332" s="4"/>
      <c r="E332" s="4"/>
      <c r="F332" s="8"/>
      <c r="G332" s="4"/>
      <c r="H332" s="4"/>
      <c r="I332" s="8"/>
      <c r="J332" s="4"/>
      <c r="K332" s="4"/>
      <c r="L332" s="8"/>
      <c r="M332" s="4"/>
      <c r="N332" s="4"/>
      <c r="O332" s="8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</row>
    <row r="333" ht="15.75" customHeight="1">
      <c r="A333" s="4"/>
      <c r="B333" s="4"/>
      <c r="C333" s="8"/>
      <c r="D333" s="4"/>
      <c r="E333" s="4"/>
      <c r="F333" s="8"/>
      <c r="G333" s="4"/>
      <c r="H333" s="4"/>
      <c r="I333" s="8"/>
      <c r="J333" s="4"/>
      <c r="K333" s="4"/>
      <c r="L333" s="8"/>
      <c r="M333" s="4"/>
      <c r="N333" s="4"/>
      <c r="O333" s="8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</row>
    <row r="334" ht="15.75" customHeight="1">
      <c r="A334" s="4"/>
      <c r="B334" s="4"/>
      <c r="C334" s="8"/>
      <c r="D334" s="4"/>
      <c r="E334" s="4"/>
      <c r="F334" s="8"/>
      <c r="G334" s="4"/>
      <c r="H334" s="4"/>
      <c r="I334" s="8"/>
      <c r="J334" s="4"/>
      <c r="K334" s="4"/>
      <c r="L334" s="8"/>
      <c r="M334" s="4"/>
      <c r="N334" s="4"/>
      <c r="O334" s="8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</row>
    <row r="335" ht="15.75" customHeight="1">
      <c r="A335" s="4"/>
      <c r="B335" s="4"/>
      <c r="C335" s="8"/>
      <c r="D335" s="4"/>
      <c r="E335" s="4"/>
      <c r="F335" s="8"/>
      <c r="G335" s="4"/>
      <c r="H335" s="4"/>
      <c r="I335" s="8"/>
      <c r="J335" s="4"/>
      <c r="K335" s="4"/>
      <c r="L335" s="8"/>
      <c r="M335" s="4"/>
      <c r="N335" s="4"/>
      <c r="O335" s="8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</row>
    <row r="336" ht="15.75" customHeight="1">
      <c r="A336" s="4"/>
      <c r="B336" s="4"/>
      <c r="C336" s="8"/>
      <c r="D336" s="4"/>
      <c r="E336" s="4"/>
      <c r="F336" s="8"/>
      <c r="G336" s="4"/>
      <c r="H336" s="4"/>
      <c r="I336" s="8"/>
      <c r="J336" s="4"/>
      <c r="K336" s="4"/>
      <c r="L336" s="8"/>
      <c r="M336" s="4"/>
      <c r="N336" s="4"/>
      <c r="O336" s="8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</row>
    <row r="337" ht="15.75" customHeight="1">
      <c r="A337" s="4"/>
      <c r="B337" s="4"/>
      <c r="C337" s="8"/>
      <c r="D337" s="4"/>
      <c r="E337" s="4"/>
      <c r="F337" s="8"/>
      <c r="G337" s="4"/>
      <c r="H337" s="4"/>
      <c r="I337" s="8"/>
      <c r="J337" s="4"/>
      <c r="K337" s="4"/>
      <c r="L337" s="8"/>
      <c r="M337" s="4"/>
      <c r="N337" s="4"/>
      <c r="O337" s="8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</row>
    <row r="338" ht="15.75" customHeight="1">
      <c r="A338" s="4"/>
      <c r="B338" s="4"/>
      <c r="C338" s="8"/>
      <c r="D338" s="4"/>
      <c r="E338" s="4"/>
      <c r="F338" s="8"/>
      <c r="G338" s="4"/>
      <c r="H338" s="4"/>
      <c r="I338" s="8"/>
      <c r="J338" s="4"/>
      <c r="K338" s="4"/>
      <c r="L338" s="8"/>
      <c r="M338" s="4"/>
      <c r="N338" s="4"/>
      <c r="O338" s="8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</row>
    <row r="339" ht="15.75" customHeight="1">
      <c r="A339" s="4"/>
      <c r="B339" s="4"/>
      <c r="C339" s="8"/>
      <c r="D339" s="4"/>
      <c r="E339" s="4"/>
      <c r="F339" s="8"/>
      <c r="G339" s="4"/>
      <c r="H339" s="4"/>
      <c r="I339" s="8"/>
      <c r="J339" s="4"/>
      <c r="K339" s="4"/>
      <c r="L339" s="8"/>
      <c r="M339" s="4"/>
      <c r="N339" s="4"/>
      <c r="O339" s="8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</row>
    <row r="340" ht="15.75" customHeight="1">
      <c r="A340" s="4"/>
      <c r="B340" s="4"/>
      <c r="C340" s="8"/>
      <c r="D340" s="4"/>
      <c r="E340" s="4"/>
      <c r="F340" s="8"/>
      <c r="G340" s="4"/>
      <c r="H340" s="4"/>
      <c r="I340" s="8"/>
      <c r="J340" s="4"/>
      <c r="K340" s="4"/>
      <c r="L340" s="8"/>
      <c r="M340" s="4"/>
      <c r="N340" s="4"/>
      <c r="O340" s="8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</row>
    <row r="341" ht="15.75" customHeight="1">
      <c r="A341" s="4"/>
      <c r="B341" s="4"/>
      <c r="C341" s="8"/>
      <c r="D341" s="4"/>
      <c r="E341" s="4"/>
      <c r="F341" s="8"/>
      <c r="G341" s="4"/>
      <c r="H341" s="4"/>
      <c r="I341" s="8"/>
      <c r="J341" s="4"/>
      <c r="K341" s="4"/>
      <c r="L341" s="8"/>
      <c r="M341" s="4"/>
      <c r="N341" s="4"/>
      <c r="O341" s="8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</row>
    <row r="342" ht="15.75" customHeight="1">
      <c r="A342" s="4"/>
      <c r="B342" s="4"/>
      <c r="C342" s="8"/>
      <c r="D342" s="4"/>
      <c r="E342" s="4"/>
      <c r="F342" s="8"/>
      <c r="G342" s="4"/>
      <c r="H342" s="4"/>
      <c r="I342" s="8"/>
      <c r="J342" s="4"/>
      <c r="K342" s="4"/>
      <c r="L342" s="8"/>
      <c r="M342" s="4"/>
      <c r="N342" s="4"/>
      <c r="O342" s="8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</row>
    <row r="343" ht="15.75" customHeight="1">
      <c r="A343" s="4"/>
      <c r="B343" s="4"/>
      <c r="C343" s="8"/>
      <c r="D343" s="4"/>
      <c r="E343" s="4"/>
      <c r="F343" s="8"/>
      <c r="G343" s="4"/>
      <c r="H343" s="4"/>
      <c r="I343" s="8"/>
      <c r="J343" s="4"/>
      <c r="K343" s="4"/>
      <c r="L343" s="8"/>
      <c r="M343" s="4"/>
      <c r="N343" s="4"/>
      <c r="O343" s="8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</row>
    <row r="344" ht="15.75" customHeight="1">
      <c r="A344" s="4"/>
      <c r="B344" s="4"/>
      <c r="C344" s="8"/>
      <c r="D344" s="4"/>
      <c r="E344" s="4"/>
      <c r="F344" s="8"/>
      <c r="G344" s="4"/>
      <c r="H344" s="4"/>
      <c r="I344" s="8"/>
      <c r="J344" s="4"/>
      <c r="K344" s="4"/>
      <c r="L344" s="8"/>
      <c r="M344" s="4"/>
      <c r="N344" s="4"/>
      <c r="O344" s="8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</row>
    <row r="345" ht="15.75" customHeight="1">
      <c r="A345" s="4"/>
      <c r="B345" s="4"/>
      <c r="C345" s="8"/>
      <c r="D345" s="4"/>
      <c r="E345" s="4"/>
      <c r="F345" s="8"/>
      <c r="G345" s="4"/>
      <c r="H345" s="4"/>
      <c r="I345" s="8"/>
      <c r="J345" s="4"/>
      <c r="K345" s="4"/>
      <c r="L345" s="8"/>
      <c r="M345" s="4"/>
      <c r="N345" s="4"/>
      <c r="O345" s="8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</row>
    <row r="346" ht="15.75" customHeight="1">
      <c r="A346" s="4"/>
      <c r="B346" s="4"/>
      <c r="C346" s="8"/>
      <c r="D346" s="4"/>
      <c r="E346" s="4"/>
      <c r="F346" s="8"/>
      <c r="G346" s="4"/>
      <c r="H346" s="4"/>
      <c r="I346" s="8"/>
      <c r="J346" s="4"/>
      <c r="K346" s="4"/>
      <c r="L346" s="8"/>
      <c r="M346" s="4"/>
      <c r="N346" s="4"/>
      <c r="O346" s="8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</row>
    <row r="347" ht="15.75" customHeight="1">
      <c r="A347" s="4"/>
      <c r="B347" s="4"/>
      <c r="C347" s="8"/>
      <c r="D347" s="4"/>
      <c r="E347" s="4"/>
      <c r="F347" s="8"/>
      <c r="G347" s="4"/>
      <c r="H347" s="4"/>
      <c r="I347" s="8"/>
      <c r="J347" s="4"/>
      <c r="K347" s="4"/>
      <c r="L347" s="8"/>
      <c r="M347" s="4"/>
      <c r="N347" s="4"/>
      <c r="O347" s="8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</row>
    <row r="348" ht="15.75" customHeight="1">
      <c r="A348" s="4"/>
      <c r="B348" s="4"/>
      <c r="C348" s="8"/>
      <c r="D348" s="4"/>
      <c r="E348" s="4"/>
      <c r="F348" s="8"/>
      <c r="G348" s="4"/>
      <c r="H348" s="4"/>
      <c r="I348" s="8"/>
      <c r="J348" s="4"/>
      <c r="K348" s="4"/>
      <c r="L348" s="8"/>
      <c r="M348" s="4"/>
      <c r="N348" s="4"/>
      <c r="O348" s="8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</row>
    <row r="349" ht="15.75" customHeight="1">
      <c r="A349" s="4"/>
      <c r="B349" s="4"/>
      <c r="C349" s="8"/>
      <c r="D349" s="4"/>
      <c r="E349" s="4"/>
      <c r="F349" s="8"/>
      <c r="G349" s="4"/>
      <c r="H349" s="4"/>
      <c r="I349" s="8"/>
      <c r="J349" s="4"/>
      <c r="K349" s="4"/>
      <c r="L349" s="8"/>
      <c r="M349" s="4"/>
      <c r="N349" s="4"/>
      <c r="O349" s="8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</row>
    <row r="350" ht="15.75" customHeight="1">
      <c r="A350" s="4"/>
      <c r="B350" s="4"/>
      <c r="C350" s="8"/>
      <c r="D350" s="4"/>
      <c r="E350" s="4"/>
      <c r="F350" s="8"/>
      <c r="G350" s="4"/>
      <c r="H350" s="4"/>
      <c r="I350" s="8"/>
      <c r="J350" s="4"/>
      <c r="K350" s="4"/>
      <c r="L350" s="8"/>
      <c r="M350" s="4"/>
      <c r="N350" s="4"/>
      <c r="O350" s="8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</row>
    <row r="351" ht="15.75" customHeight="1">
      <c r="A351" s="4"/>
      <c r="B351" s="4"/>
      <c r="C351" s="8"/>
      <c r="D351" s="4"/>
      <c r="E351" s="4"/>
      <c r="F351" s="8"/>
      <c r="G351" s="4"/>
      <c r="H351" s="4"/>
      <c r="I351" s="8"/>
      <c r="J351" s="4"/>
      <c r="K351" s="4"/>
      <c r="L351" s="8"/>
      <c r="M351" s="4"/>
      <c r="N351" s="4"/>
      <c r="O351" s="8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</row>
    <row r="352" ht="15.75" customHeight="1">
      <c r="A352" s="4"/>
      <c r="B352" s="4"/>
      <c r="C352" s="8"/>
      <c r="D352" s="4"/>
      <c r="E352" s="4"/>
      <c r="F352" s="8"/>
      <c r="G352" s="4"/>
      <c r="H352" s="4"/>
      <c r="I352" s="8"/>
      <c r="J352" s="4"/>
      <c r="K352" s="4"/>
      <c r="L352" s="8"/>
      <c r="M352" s="4"/>
      <c r="N352" s="4"/>
      <c r="O352" s="8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</row>
    <row r="353" ht="15.75" customHeight="1">
      <c r="A353" s="4"/>
      <c r="B353" s="4"/>
      <c r="C353" s="8"/>
      <c r="D353" s="4"/>
      <c r="E353" s="4"/>
      <c r="F353" s="8"/>
      <c r="G353" s="4"/>
      <c r="H353" s="4"/>
      <c r="I353" s="8"/>
      <c r="J353" s="4"/>
      <c r="K353" s="4"/>
      <c r="L353" s="8"/>
      <c r="M353" s="4"/>
      <c r="N353" s="4"/>
      <c r="O353" s="8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</row>
    <row r="354" ht="15.75" customHeight="1">
      <c r="A354" s="4"/>
      <c r="B354" s="4"/>
      <c r="C354" s="8"/>
      <c r="D354" s="4"/>
      <c r="E354" s="4"/>
      <c r="F354" s="8"/>
      <c r="G354" s="4"/>
      <c r="H354" s="4"/>
      <c r="I354" s="8"/>
      <c r="J354" s="4"/>
      <c r="K354" s="4"/>
      <c r="L354" s="8"/>
      <c r="M354" s="4"/>
      <c r="N354" s="4"/>
      <c r="O354" s="8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</row>
    <row r="355" ht="15.75" customHeight="1">
      <c r="A355" s="4"/>
      <c r="B355" s="4"/>
      <c r="C355" s="8"/>
      <c r="D355" s="4"/>
      <c r="E355" s="4"/>
      <c r="F355" s="8"/>
      <c r="G355" s="4"/>
      <c r="H355" s="4"/>
      <c r="I355" s="8"/>
      <c r="J355" s="4"/>
      <c r="K355" s="4"/>
      <c r="L355" s="8"/>
      <c r="M355" s="4"/>
      <c r="N355" s="4"/>
      <c r="O355" s="8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</row>
    <row r="356" ht="15.75" customHeight="1">
      <c r="A356" s="4"/>
      <c r="B356" s="4"/>
      <c r="C356" s="8"/>
      <c r="D356" s="4"/>
      <c r="E356" s="4"/>
      <c r="F356" s="8"/>
      <c r="G356" s="4"/>
      <c r="H356" s="4"/>
      <c r="I356" s="8"/>
      <c r="J356" s="4"/>
      <c r="K356" s="4"/>
      <c r="L356" s="8"/>
      <c r="M356" s="4"/>
      <c r="N356" s="4"/>
      <c r="O356" s="8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</row>
    <row r="357" ht="15.75" customHeight="1">
      <c r="A357" s="4"/>
      <c r="B357" s="4"/>
      <c r="C357" s="8"/>
      <c r="D357" s="4"/>
      <c r="E357" s="4"/>
      <c r="F357" s="8"/>
      <c r="G357" s="4"/>
      <c r="H357" s="4"/>
      <c r="I357" s="8"/>
      <c r="J357" s="4"/>
      <c r="K357" s="4"/>
      <c r="L357" s="8"/>
      <c r="M357" s="4"/>
      <c r="N357" s="4"/>
      <c r="O357" s="8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</row>
    <row r="358" ht="15.75" customHeight="1">
      <c r="A358" s="4"/>
      <c r="B358" s="4"/>
      <c r="C358" s="8"/>
      <c r="D358" s="4"/>
      <c r="E358" s="4"/>
      <c r="F358" s="8"/>
      <c r="G358" s="4"/>
      <c r="H358" s="4"/>
      <c r="I358" s="8"/>
      <c r="J358" s="4"/>
      <c r="K358" s="4"/>
      <c r="L358" s="8"/>
      <c r="M358" s="4"/>
      <c r="N358" s="4"/>
      <c r="O358" s="8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</row>
    <row r="359" ht="15.75" customHeight="1">
      <c r="A359" s="4"/>
      <c r="B359" s="4"/>
      <c r="C359" s="8"/>
      <c r="D359" s="4"/>
      <c r="E359" s="4"/>
      <c r="F359" s="8"/>
      <c r="G359" s="4"/>
      <c r="H359" s="4"/>
      <c r="I359" s="8"/>
      <c r="J359" s="4"/>
      <c r="K359" s="4"/>
      <c r="L359" s="8"/>
      <c r="M359" s="4"/>
      <c r="N359" s="4"/>
      <c r="O359" s="8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</row>
    <row r="360" ht="15.75" customHeight="1">
      <c r="A360" s="4"/>
      <c r="B360" s="4"/>
      <c r="C360" s="8"/>
      <c r="D360" s="4"/>
      <c r="E360" s="4"/>
      <c r="F360" s="8"/>
      <c r="G360" s="4"/>
      <c r="H360" s="4"/>
      <c r="I360" s="8"/>
      <c r="J360" s="4"/>
      <c r="K360" s="4"/>
      <c r="L360" s="8"/>
      <c r="M360" s="4"/>
      <c r="N360" s="4"/>
      <c r="O360" s="8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</row>
    <row r="361" ht="15.75" customHeight="1">
      <c r="A361" s="4"/>
      <c r="B361" s="4"/>
      <c r="C361" s="8"/>
      <c r="D361" s="4"/>
      <c r="E361" s="4"/>
      <c r="F361" s="8"/>
      <c r="G361" s="4"/>
      <c r="H361" s="4"/>
      <c r="I361" s="8"/>
      <c r="J361" s="4"/>
      <c r="K361" s="4"/>
      <c r="L361" s="8"/>
      <c r="M361" s="4"/>
      <c r="N361" s="4"/>
      <c r="O361" s="8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</row>
    <row r="362" ht="15.75" customHeight="1">
      <c r="A362" s="4"/>
      <c r="B362" s="4"/>
      <c r="C362" s="8"/>
      <c r="D362" s="4"/>
      <c r="E362" s="4"/>
      <c r="F362" s="8"/>
      <c r="G362" s="4"/>
      <c r="H362" s="4"/>
      <c r="I362" s="8"/>
      <c r="J362" s="4"/>
      <c r="K362" s="4"/>
      <c r="L362" s="8"/>
      <c r="M362" s="4"/>
      <c r="N362" s="4"/>
      <c r="O362" s="8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</row>
    <row r="363" ht="15.75" customHeight="1">
      <c r="A363" s="4"/>
      <c r="B363" s="4"/>
      <c r="C363" s="8"/>
      <c r="D363" s="4"/>
      <c r="E363" s="4"/>
      <c r="F363" s="8"/>
      <c r="G363" s="4"/>
      <c r="H363" s="4"/>
      <c r="I363" s="8"/>
      <c r="J363" s="4"/>
      <c r="K363" s="4"/>
      <c r="L363" s="8"/>
      <c r="M363" s="4"/>
      <c r="N363" s="4"/>
      <c r="O363" s="8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</row>
    <row r="364" ht="15.75" customHeight="1">
      <c r="A364" s="4"/>
      <c r="B364" s="4"/>
      <c r="C364" s="8"/>
      <c r="D364" s="4"/>
      <c r="E364" s="4"/>
      <c r="F364" s="8"/>
      <c r="G364" s="4"/>
      <c r="H364" s="4"/>
      <c r="I364" s="8"/>
      <c r="J364" s="4"/>
      <c r="K364" s="4"/>
      <c r="L364" s="8"/>
      <c r="M364" s="4"/>
      <c r="N364" s="4"/>
      <c r="O364" s="8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</row>
    <row r="365" ht="15.75" customHeight="1">
      <c r="A365" s="4"/>
      <c r="B365" s="4"/>
      <c r="C365" s="8"/>
      <c r="D365" s="4"/>
      <c r="E365" s="4"/>
      <c r="F365" s="8"/>
      <c r="G365" s="4"/>
      <c r="H365" s="4"/>
      <c r="I365" s="8"/>
      <c r="J365" s="4"/>
      <c r="K365" s="4"/>
      <c r="L365" s="8"/>
      <c r="M365" s="4"/>
      <c r="N365" s="4"/>
      <c r="O365" s="8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</row>
    <row r="366" ht="15.75" customHeight="1">
      <c r="A366" s="4"/>
      <c r="B366" s="4"/>
      <c r="C366" s="8"/>
      <c r="D366" s="4"/>
      <c r="E366" s="4"/>
      <c r="F366" s="8"/>
      <c r="G366" s="4"/>
      <c r="H366" s="4"/>
      <c r="I366" s="8"/>
      <c r="J366" s="4"/>
      <c r="K366" s="4"/>
      <c r="L366" s="8"/>
      <c r="M366" s="4"/>
      <c r="N366" s="4"/>
      <c r="O366" s="8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</row>
    <row r="367" ht="15.75" customHeight="1">
      <c r="A367" s="4"/>
      <c r="B367" s="4"/>
      <c r="C367" s="8"/>
      <c r="D367" s="4"/>
      <c r="E367" s="4"/>
      <c r="F367" s="8"/>
      <c r="G367" s="4"/>
      <c r="H367" s="4"/>
      <c r="I367" s="8"/>
      <c r="J367" s="4"/>
      <c r="K367" s="4"/>
      <c r="L367" s="8"/>
      <c r="M367" s="4"/>
      <c r="N367" s="4"/>
      <c r="O367" s="8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</row>
    <row r="368" ht="15.75" customHeight="1">
      <c r="A368" s="4"/>
      <c r="B368" s="4"/>
      <c r="C368" s="8"/>
      <c r="D368" s="4"/>
      <c r="E368" s="4"/>
      <c r="F368" s="8"/>
      <c r="G368" s="4"/>
      <c r="H368" s="4"/>
      <c r="I368" s="8"/>
      <c r="J368" s="4"/>
      <c r="K368" s="4"/>
      <c r="L368" s="8"/>
      <c r="M368" s="4"/>
      <c r="N368" s="4"/>
      <c r="O368" s="8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</row>
    <row r="369" ht="15.75" customHeight="1">
      <c r="A369" s="4"/>
      <c r="B369" s="4"/>
      <c r="C369" s="8"/>
      <c r="D369" s="4"/>
      <c r="E369" s="4"/>
      <c r="F369" s="8"/>
      <c r="G369" s="4"/>
      <c r="H369" s="4"/>
      <c r="I369" s="8"/>
      <c r="J369" s="4"/>
      <c r="K369" s="4"/>
      <c r="L369" s="8"/>
      <c r="M369" s="4"/>
      <c r="N369" s="4"/>
      <c r="O369" s="8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</row>
    <row r="370" ht="15.75" customHeight="1">
      <c r="A370" s="4"/>
      <c r="B370" s="4"/>
      <c r="C370" s="8"/>
      <c r="D370" s="4"/>
      <c r="E370" s="4"/>
      <c r="F370" s="8"/>
      <c r="G370" s="4"/>
      <c r="H370" s="4"/>
      <c r="I370" s="8"/>
      <c r="J370" s="4"/>
      <c r="K370" s="4"/>
      <c r="L370" s="8"/>
      <c r="M370" s="4"/>
      <c r="N370" s="4"/>
      <c r="O370" s="8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</row>
    <row r="371" ht="15.75" customHeight="1">
      <c r="A371" s="4"/>
      <c r="B371" s="4"/>
      <c r="C371" s="8"/>
      <c r="D371" s="4"/>
      <c r="E371" s="4"/>
      <c r="F371" s="8"/>
      <c r="G371" s="4"/>
      <c r="H371" s="4"/>
      <c r="I371" s="8"/>
      <c r="J371" s="4"/>
      <c r="K371" s="4"/>
      <c r="L371" s="8"/>
      <c r="M371" s="4"/>
      <c r="N371" s="4"/>
      <c r="O371" s="8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</row>
    <row r="372" ht="15.75" customHeight="1">
      <c r="A372" s="4"/>
      <c r="B372" s="4"/>
      <c r="C372" s="8"/>
      <c r="D372" s="4"/>
      <c r="E372" s="4"/>
      <c r="F372" s="8"/>
      <c r="G372" s="4"/>
      <c r="H372" s="4"/>
      <c r="I372" s="8"/>
      <c r="J372" s="4"/>
      <c r="K372" s="4"/>
      <c r="L372" s="8"/>
      <c r="M372" s="4"/>
      <c r="N372" s="4"/>
      <c r="O372" s="8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</row>
    <row r="373" ht="15.75" customHeight="1">
      <c r="A373" s="4"/>
      <c r="B373" s="4"/>
      <c r="C373" s="8"/>
      <c r="D373" s="4"/>
      <c r="E373" s="4"/>
      <c r="F373" s="8"/>
      <c r="G373" s="4"/>
      <c r="H373" s="4"/>
      <c r="I373" s="8"/>
      <c r="J373" s="4"/>
      <c r="K373" s="4"/>
      <c r="L373" s="8"/>
      <c r="M373" s="4"/>
      <c r="N373" s="4"/>
      <c r="O373" s="8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</row>
    <row r="374" ht="15.75" customHeight="1">
      <c r="A374" s="4"/>
      <c r="B374" s="4"/>
      <c r="C374" s="8"/>
      <c r="D374" s="4"/>
      <c r="E374" s="4"/>
      <c r="F374" s="8"/>
      <c r="G374" s="4"/>
      <c r="H374" s="4"/>
      <c r="I374" s="8"/>
      <c r="J374" s="4"/>
      <c r="K374" s="4"/>
      <c r="L374" s="8"/>
      <c r="M374" s="4"/>
      <c r="N374" s="4"/>
      <c r="O374" s="8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</row>
    <row r="375" ht="15.75" customHeight="1">
      <c r="A375" s="4"/>
      <c r="B375" s="4"/>
      <c r="C375" s="8"/>
      <c r="D375" s="4"/>
      <c r="E375" s="4"/>
      <c r="F375" s="8"/>
      <c r="G375" s="4"/>
      <c r="H375" s="4"/>
      <c r="I375" s="8"/>
      <c r="J375" s="4"/>
      <c r="K375" s="4"/>
      <c r="L375" s="8"/>
      <c r="M375" s="4"/>
      <c r="N375" s="4"/>
      <c r="O375" s="8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</row>
    <row r="376" ht="15.75" customHeight="1">
      <c r="A376" s="4"/>
      <c r="B376" s="4"/>
      <c r="C376" s="8"/>
      <c r="D376" s="4"/>
      <c r="E376" s="4"/>
      <c r="F376" s="8"/>
      <c r="G376" s="4"/>
      <c r="H376" s="4"/>
      <c r="I376" s="8"/>
      <c r="J376" s="4"/>
      <c r="K376" s="4"/>
      <c r="L376" s="8"/>
      <c r="M376" s="4"/>
      <c r="N376" s="4"/>
      <c r="O376" s="8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</row>
    <row r="377" ht="15.75" customHeight="1">
      <c r="A377" s="4"/>
      <c r="B377" s="4"/>
      <c r="C377" s="8"/>
      <c r="D377" s="4"/>
      <c r="E377" s="4"/>
      <c r="F377" s="8"/>
      <c r="G377" s="4"/>
      <c r="H377" s="4"/>
      <c r="I377" s="8"/>
      <c r="J377" s="4"/>
      <c r="K377" s="4"/>
      <c r="L377" s="8"/>
      <c r="M377" s="4"/>
      <c r="N377" s="4"/>
      <c r="O377" s="8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</row>
    <row r="378" ht="15.75" customHeight="1">
      <c r="A378" s="4"/>
      <c r="B378" s="4"/>
      <c r="C378" s="8"/>
      <c r="D378" s="4"/>
      <c r="E378" s="4"/>
      <c r="F378" s="8"/>
      <c r="G378" s="4"/>
      <c r="H378" s="4"/>
      <c r="I378" s="8"/>
      <c r="J378" s="4"/>
      <c r="K378" s="4"/>
      <c r="L378" s="8"/>
      <c r="M378" s="4"/>
      <c r="N378" s="4"/>
      <c r="O378" s="8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</row>
    <row r="379" ht="15.75" customHeight="1">
      <c r="A379" s="4"/>
      <c r="B379" s="4"/>
      <c r="C379" s="8"/>
      <c r="D379" s="4"/>
      <c r="E379" s="4"/>
      <c r="F379" s="8"/>
      <c r="G379" s="4"/>
      <c r="H379" s="4"/>
      <c r="I379" s="8"/>
      <c r="J379" s="4"/>
      <c r="K379" s="4"/>
      <c r="L379" s="8"/>
      <c r="M379" s="4"/>
      <c r="N379" s="4"/>
      <c r="O379" s="8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</row>
    <row r="380" ht="15.75" customHeight="1">
      <c r="A380" s="4"/>
      <c r="B380" s="4"/>
      <c r="C380" s="8"/>
      <c r="D380" s="4"/>
      <c r="E380" s="4"/>
      <c r="F380" s="8"/>
      <c r="G380" s="4"/>
      <c r="H380" s="4"/>
      <c r="I380" s="8"/>
      <c r="J380" s="4"/>
      <c r="K380" s="4"/>
      <c r="L380" s="8"/>
      <c r="M380" s="4"/>
      <c r="N380" s="4"/>
      <c r="O380" s="8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</row>
    <row r="381" ht="15.75" customHeight="1">
      <c r="A381" s="4"/>
      <c r="B381" s="4"/>
      <c r="C381" s="8"/>
      <c r="D381" s="4"/>
      <c r="E381" s="4"/>
      <c r="F381" s="8"/>
      <c r="G381" s="4"/>
      <c r="H381" s="4"/>
      <c r="I381" s="8"/>
      <c r="J381" s="4"/>
      <c r="K381" s="4"/>
      <c r="L381" s="8"/>
      <c r="M381" s="4"/>
      <c r="N381" s="4"/>
      <c r="O381" s="8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</row>
    <row r="382" ht="15.75" customHeight="1">
      <c r="A382" s="4"/>
      <c r="B382" s="4"/>
      <c r="C382" s="8"/>
      <c r="D382" s="4"/>
      <c r="E382" s="4"/>
      <c r="F382" s="8"/>
      <c r="G382" s="4"/>
      <c r="H382" s="4"/>
      <c r="I382" s="8"/>
      <c r="J382" s="4"/>
      <c r="K382" s="4"/>
      <c r="L382" s="8"/>
      <c r="M382" s="4"/>
      <c r="N382" s="4"/>
      <c r="O382" s="8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</row>
    <row r="383" ht="15.75" customHeight="1">
      <c r="A383" s="4"/>
      <c r="B383" s="4"/>
      <c r="C383" s="8"/>
      <c r="D383" s="4"/>
      <c r="E383" s="4"/>
      <c r="F383" s="8"/>
      <c r="G383" s="4"/>
      <c r="H383" s="4"/>
      <c r="I383" s="8"/>
      <c r="J383" s="4"/>
      <c r="K383" s="4"/>
      <c r="L383" s="8"/>
      <c r="M383" s="4"/>
      <c r="N383" s="4"/>
      <c r="O383" s="8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</row>
    <row r="384" ht="15.75" customHeight="1">
      <c r="A384" s="4"/>
      <c r="B384" s="4"/>
      <c r="C384" s="8"/>
      <c r="D384" s="4"/>
      <c r="E384" s="4"/>
      <c r="F384" s="8"/>
      <c r="G384" s="4"/>
      <c r="H384" s="4"/>
      <c r="I384" s="8"/>
      <c r="J384" s="4"/>
      <c r="K384" s="4"/>
      <c r="L384" s="8"/>
      <c r="M384" s="4"/>
      <c r="N384" s="4"/>
      <c r="O384" s="8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</row>
    <row r="385" ht="15.75" customHeight="1">
      <c r="A385" s="4"/>
      <c r="B385" s="4"/>
      <c r="C385" s="8"/>
      <c r="D385" s="4"/>
      <c r="E385" s="4"/>
      <c r="F385" s="8"/>
      <c r="G385" s="4"/>
      <c r="H385" s="4"/>
      <c r="I385" s="8"/>
      <c r="J385" s="4"/>
      <c r="K385" s="4"/>
      <c r="L385" s="8"/>
      <c r="M385" s="4"/>
      <c r="N385" s="4"/>
      <c r="O385" s="8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</row>
    <row r="386" ht="15.75" customHeight="1">
      <c r="A386" s="4"/>
      <c r="B386" s="4"/>
      <c r="C386" s="8"/>
      <c r="D386" s="4"/>
      <c r="E386" s="4"/>
      <c r="F386" s="8"/>
      <c r="G386" s="4"/>
      <c r="H386" s="4"/>
      <c r="I386" s="8"/>
      <c r="J386" s="4"/>
      <c r="K386" s="4"/>
      <c r="L386" s="8"/>
      <c r="M386" s="4"/>
      <c r="N386" s="4"/>
      <c r="O386" s="8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</row>
    <row r="387" ht="15.75" customHeight="1">
      <c r="A387" s="4"/>
      <c r="B387" s="4"/>
      <c r="C387" s="8"/>
      <c r="D387" s="4"/>
      <c r="E387" s="4"/>
      <c r="F387" s="8"/>
      <c r="G387" s="4"/>
      <c r="H387" s="4"/>
      <c r="I387" s="8"/>
      <c r="J387" s="4"/>
      <c r="K387" s="4"/>
      <c r="L387" s="8"/>
      <c r="M387" s="4"/>
      <c r="N387" s="4"/>
      <c r="O387" s="8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</row>
    <row r="388" ht="15.75" customHeight="1">
      <c r="A388" s="4"/>
      <c r="B388" s="4"/>
      <c r="C388" s="8"/>
      <c r="D388" s="4"/>
      <c r="E388" s="4"/>
      <c r="F388" s="8"/>
      <c r="G388" s="4"/>
      <c r="H388" s="4"/>
      <c r="I388" s="8"/>
      <c r="J388" s="4"/>
      <c r="K388" s="4"/>
      <c r="L388" s="8"/>
      <c r="M388" s="4"/>
      <c r="N388" s="4"/>
      <c r="O388" s="8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</row>
    <row r="389" ht="15.75" customHeight="1">
      <c r="A389" s="4"/>
      <c r="B389" s="4"/>
      <c r="C389" s="8"/>
      <c r="D389" s="4"/>
      <c r="E389" s="4"/>
      <c r="F389" s="8"/>
      <c r="G389" s="4"/>
      <c r="H389" s="4"/>
      <c r="I389" s="8"/>
      <c r="J389" s="4"/>
      <c r="K389" s="4"/>
      <c r="L389" s="8"/>
      <c r="M389" s="4"/>
      <c r="N389" s="4"/>
      <c r="O389" s="8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</row>
    <row r="390" ht="15.75" customHeight="1">
      <c r="A390" s="4"/>
      <c r="B390" s="4"/>
      <c r="C390" s="8"/>
      <c r="D390" s="4"/>
      <c r="E390" s="4"/>
      <c r="F390" s="8"/>
      <c r="G390" s="4"/>
      <c r="H390" s="4"/>
      <c r="I390" s="8"/>
      <c r="J390" s="4"/>
      <c r="K390" s="4"/>
      <c r="L390" s="8"/>
      <c r="M390" s="4"/>
      <c r="N390" s="4"/>
      <c r="O390" s="8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</row>
    <row r="391" ht="15.75" customHeight="1">
      <c r="A391" s="4"/>
      <c r="B391" s="4"/>
      <c r="C391" s="8"/>
      <c r="D391" s="4"/>
      <c r="E391" s="4"/>
      <c r="F391" s="8"/>
      <c r="G391" s="4"/>
      <c r="H391" s="4"/>
      <c r="I391" s="8"/>
      <c r="J391" s="4"/>
      <c r="K391" s="4"/>
      <c r="L391" s="8"/>
      <c r="M391" s="4"/>
      <c r="N391" s="4"/>
      <c r="O391" s="8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</row>
    <row r="392" ht="15.75" customHeight="1">
      <c r="A392" s="4"/>
      <c r="B392" s="4"/>
      <c r="C392" s="8"/>
      <c r="D392" s="4"/>
      <c r="E392" s="4"/>
      <c r="F392" s="8"/>
      <c r="G392" s="4"/>
      <c r="H392" s="4"/>
      <c r="I392" s="8"/>
      <c r="J392" s="4"/>
      <c r="K392" s="4"/>
      <c r="L392" s="8"/>
      <c r="M392" s="4"/>
      <c r="N392" s="4"/>
      <c r="O392" s="8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</row>
    <row r="393" ht="15.75" customHeight="1">
      <c r="A393" s="4"/>
      <c r="B393" s="4"/>
      <c r="C393" s="8"/>
      <c r="D393" s="4"/>
      <c r="E393" s="4"/>
      <c r="F393" s="8"/>
      <c r="G393" s="4"/>
      <c r="H393" s="4"/>
      <c r="I393" s="8"/>
      <c r="J393" s="4"/>
      <c r="K393" s="4"/>
      <c r="L393" s="8"/>
      <c r="M393" s="4"/>
      <c r="N393" s="4"/>
      <c r="O393" s="8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</row>
    <row r="394" ht="15.75" customHeight="1">
      <c r="A394" s="4"/>
      <c r="B394" s="4"/>
      <c r="C394" s="8"/>
      <c r="D394" s="4"/>
      <c r="E394" s="4"/>
      <c r="F394" s="8"/>
      <c r="G394" s="4"/>
      <c r="H394" s="4"/>
      <c r="I394" s="8"/>
      <c r="J394" s="4"/>
      <c r="K394" s="4"/>
      <c r="L394" s="8"/>
      <c r="M394" s="4"/>
      <c r="N394" s="4"/>
      <c r="O394" s="8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</row>
    <row r="395" ht="15.75" customHeight="1">
      <c r="A395" s="4"/>
      <c r="B395" s="4"/>
      <c r="C395" s="8"/>
      <c r="D395" s="4"/>
      <c r="E395" s="4"/>
      <c r="F395" s="8"/>
      <c r="G395" s="4"/>
      <c r="H395" s="4"/>
      <c r="I395" s="8"/>
      <c r="J395" s="4"/>
      <c r="K395" s="4"/>
      <c r="L395" s="8"/>
      <c r="M395" s="4"/>
      <c r="N395" s="4"/>
      <c r="O395" s="8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</row>
    <row r="396" ht="15.75" customHeight="1">
      <c r="A396" s="4"/>
      <c r="B396" s="4"/>
      <c r="C396" s="8"/>
      <c r="D396" s="4"/>
      <c r="E396" s="4"/>
      <c r="F396" s="8"/>
      <c r="G396" s="4"/>
      <c r="H396" s="4"/>
      <c r="I396" s="8"/>
      <c r="J396" s="4"/>
      <c r="K396" s="4"/>
      <c r="L396" s="8"/>
      <c r="M396" s="4"/>
      <c r="N396" s="4"/>
      <c r="O396" s="8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</row>
    <row r="397" ht="15.75" customHeight="1">
      <c r="A397" s="4"/>
      <c r="B397" s="4"/>
      <c r="C397" s="8"/>
      <c r="D397" s="4"/>
      <c r="E397" s="4"/>
      <c r="F397" s="8"/>
      <c r="G397" s="4"/>
      <c r="H397" s="4"/>
      <c r="I397" s="8"/>
      <c r="J397" s="4"/>
      <c r="K397" s="4"/>
      <c r="L397" s="8"/>
      <c r="M397" s="4"/>
      <c r="N397" s="4"/>
      <c r="O397" s="8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</row>
    <row r="398" ht="15.75" customHeight="1">
      <c r="A398" s="4"/>
      <c r="B398" s="4"/>
      <c r="C398" s="8"/>
      <c r="D398" s="4"/>
      <c r="E398" s="4"/>
      <c r="F398" s="8"/>
      <c r="G398" s="4"/>
      <c r="H398" s="4"/>
      <c r="I398" s="8"/>
      <c r="J398" s="4"/>
      <c r="K398" s="4"/>
      <c r="L398" s="8"/>
      <c r="M398" s="4"/>
      <c r="N398" s="4"/>
      <c r="O398" s="8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</row>
    <row r="399" ht="15.75" customHeight="1">
      <c r="A399" s="4"/>
      <c r="B399" s="4"/>
      <c r="C399" s="8"/>
      <c r="D399" s="4"/>
      <c r="E399" s="4"/>
      <c r="F399" s="8"/>
      <c r="G399" s="4"/>
      <c r="H399" s="4"/>
      <c r="I399" s="8"/>
      <c r="J399" s="4"/>
      <c r="K399" s="4"/>
      <c r="L399" s="8"/>
      <c r="M399" s="4"/>
      <c r="N399" s="4"/>
      <c r="O399" s="8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</row>
    <row r="400" ht="15.75" customHeight="1">
      <c r="A400" s="4"/>
      <c r="B400" s="4"/>
      <c r="C400" s="8"/>
      <c r="D400" s="4"/>
      <c r="E400" s="4"/>
      <c r="F400" s="8"/>
      <c r="G400" s="4"/>
      <c r="H400" s="4"/>
      <c r="I400" s="8"/>
      <c r="J400" s="4"/>
      <c r="K400" s="4"/>
      <c r="L400" s="8"/>
      <c r="M400" s="4"/>
      <c r="N400" s="4"/>
      <c r="O400" s="8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</row>
    <row r="401" ht="15.75" customHeight="1">
      <c r="A401" s="4"/>
      <c r="B401" s="4"/>
      <c r="C401" s="8"/>
      <c r="D401" s="4"/>
      <c r="E401" s="4"/>
      <c r="F401" s="8"/>
      <c r="G401" s="4"/>
      <c r="H401" s="4"/>
      <c r="I401" s="8"/>
      <c r="J401" s="4"/>
      <c r="K401" s="4"/>
      <c r="L401" s="8"/>
      <c r="M401" s="4"/>
      <c r="N401" s="4"/>
      <c r="O401" s="8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</row>
    <row r="402" ht="15.75" customHeight="1">
      <c r="A402" s="4"/>
      <c r="B402" s="4"/>
      <c r="C402" s="8"/>
      <c r="D402" s="4"/>
      <c r="E402" s="4"/>
      <c r="F402" s="8"/>
      <c r="G402" s="4"/>
      <c r="H402" s="4"/>
      <c r="I402" s="8"/>
      <c r="J402" s="4"/>
      <c r="K402" s="4"/>
      <c r="L402" s="8"/>
      <c r="M402" s="4"/>
      <c r="N402" s="4"/>
      <c r="O402" s="8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</row>
    <row r="403" ht="15.75" customHeight="1">
      <c r="A403" s="4"/>
      <c r="B403" s="4"/>
      <c r="C403" s="8"/>
      <c r="D403" s="4"/>
      <c r="E403" s="4"/>
      <c r="F403" s="8"/>
      <c r="G403" s="4"/>
      <c r="H403" s="4"/>
      <c r="I403" s="8"/>
      <c r="J403" s="4"/>
      <c r="K403" s="4"/>
      <c r="L403" s="8"/>
      <c r="M403" s="4"/>
      <c r="N403" s="4"/>
      <c r="O403" s="8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</row>
    <row r="404" ht="15.75" customHeight="1">
      <c r="A404" s="4"/>
      <c r="B404" s="4"/>
      <c r="C404" s="8"/>
      <c r="D404" s="4"/>
      <c r="E404" s="4"/>
      <c r="F404" s="8"/>
      <c r="G404" s="4"/>
      <c r="H404" s="4"/>
      <c r="I404" s="8"/>
      <c r="J404" s="4"/>
      <c r="K404" s="4"/>
      <c r="L404" s="8"/>
      <c r="M404" s="4"/>
      <c r="N404" s="4"/>
      <c r="O404" s="8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</row>
    <row r="405" ht="15.75" customHeight="1">
      <c r="A405" s="4"/>
      <c r="B405" s="4"/>
      <c r="C405" s="8"/>
      <c r="D405" s="4"/>
      <c r="E405" s="4"/>
      <c r="F405" s="8"/>
      <c r="G405" s="4"/>
      <c r="H405" s="4"/>
      <c r="I405" s="8"/>
      <c r="J405" s="4"/>
      <c r="K405" s="4"/>
      <c r="L405" s="8"/>
      <c r="M405" s="4"/>
      <c r="N405" s="4"/>
      <c r="O405" s="8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</row>
    <row r="406" ht="15.75" customHeight="1">
      <c r="A406" s="4"/>
      <c r="B406" s="4"/>
      <c r="C406" s="8"/>
      <c r="D406" s="4"/>
      <c r="E406" s="4"/>
      <c r="F406" s="8"/>
      <c r="G406" s="4"/>
      <c r="H406" s="4"/>
      <c r="I406" s="8"/>
      <c r="J406" s="4"/>
      <c r="K406" s="4"/>
      <c r="L406" s="8"/>
      <c r="M406" s="4"/>
      <c r="N406" s="4"/>
      <c r="O406" s="8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</row>
    <row r="407" ht="15.75" customHeight="1">
      <c r="A407" s="4"/>
      <c r="B407" s="4"/>
      <c r="C407" s="8"/>
      <c r="D407" s="4"/>
      <c r="E407" s="4"/>
      <c r="F407" s="8"/>
      <c r="G407" s="4"/>
      <c r="H407" s="4"/>
      <c r="I407" s="8"/>
      <c r="J407" s="4"/>
      <c r="K407" s="4"/>
      <c r="L407" s="8"/>
      <c r="M407" s="4"/>
      <c r="N407" s="4"/>
      <c r="O407" s="8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</row>
    <row r="408" ht="15.75" customHeight="1">
      <c r="A408" s="4"/>
      <c r="B408" s="4"/>
      <c r="C408" s="8"/>
      <c r="D408" s="4"/>
      <c r="E408" s="4"/>
      <c r="F408" s="8"/>
      <c r="G408" s="4"/>
      <c r="H408" s="4"/>
      <c r="I408" s="8"/>
      <c r="J408" s="4"/>
      <c r="K408" s="4"/>
      <c r="L408" s="8"/>
      <c r="M408" s="4"/>
      <c r="N408" s="4"/>
      <c r="O408" s="8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</row>
    <row r="409" ht="15.75" customHeight="1">
      <c r="A409" s="4"/>
      <c r="B409" s="4"/>
      <c r="C409" s="8"/>
      <c r="D409" s="4"/>
      <c r="E409" s="4"/>
      <c r="F409" s="8"/>
      <c r="G409" s="4"/>
      <c r="H409" s="4"/>
      <c r="I409" s="8"/>
      <c r="J409" s="4"/>
      <c r="K409" s="4"/>
      <c r="L409" s="8"/>
      <c r="M409" s="4"/>
      <c r="N409" s="4"/>
      <c r="O409" s="8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</row>
    <row r="410" ht="15.75" customHeight="1">
      <c r="A410" s="4"/>
      <c r="B410" s="4"/>
      <c r="C410" s="8"/>
      <c r="D410" s="4"/>
      <c r="E410" s="4"/>
      <c r="F410" s="8"/>
      <c r="G410" s="4"/>
      <c r="H410" s="4"/>
      <c r="I410" s="8"/>
      <c r="J410" s="4"/>
      <c r="K410" s="4"/>
      <c r="L410" s="8"/>
      <c r="M410" s="4"/>
      <c r="N410" s="4"/>
      <c r="O410" s="8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</row>
    <row r="411" ht="15.75" customHeight="1">
      <c r="A411" s="4"/>
      <c r="B411" s="4"/>
      <c r="C411" s="8"/>
      <c r="D411" s="4"/>
      <c r="E411" s="4"/>
      <c r="F411" s="8"/>
      <c r="G411" s="4"/>
      <c r="H411" s="4"/>
      <c r="I411" s="8"/>
      <c r="J411" s="4"/>
      <c r="K411" s="4"/>
      <c r="L411" s="8"/>
      <c r="M411" s="4"/>
      <c r="N411" s="4"/>
      <c r="O411" s="8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</row>
    <row r="412" ht="15.75" customHeight="1">
      <c r="A412" s="4"/>
      <c r="B412" s="4"/>
      <c r="C412" s="8"/>
      <c r="D412" s="4"/>
      <c r="E412" s="4"/>
      <c r="F412" s="8"/>
      <c r="G412" s="4"/>
      <c r="H412" s="4"/>
      <c r="I412" s="8"/>
      <c r="J412" s="4"/>
      <c r="K412" s="4"/>
      <c r="L412" s="8"/>
      <c r="M412" s="4"/>
      <c r="N412" s="4"/>
      <c r="O412" s="8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</row>
    <row r="413" ht="15.75" customHeight="1">
      <c r="A413" s="4"/>
      <c r="B413" s="4"/>
      <c r="C413" s="8"/>
      <c r="D413" s="4"/>
      <c r="E413" s="4"/>
      <c r="F413" s="8"/>
      <c r="G413" s="4"/>
      <c r="H413" s="4"/>
      <c r="I413" s="8"/>
      <c r="J413" s="4"/>
      <c r="K413" s="4"/>
      <c r="L413" s="8"/>
      <c r="M413" s="4"/>
      <c r="N413" s="4"/>
      <c r="O413" s="8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</row>
    <row r="414" ht="15.75" customHeight="1">
      <c r="A414" s="4"/>
      <c r="B414" s="4"/>
      <c r="C414" s="8"/>
      <c r="D414" s="4"/>
      <c r="E414" s="4"/>
      <c r="F414" s="8"/>
      <c r="G414" s="4"/>
      <c r="H414" s="4"/>
      <c r="I414" s="8"/>
      <c r="J414" s="4"/>
      <c r="K414" s="4"/>
      <c r="L414" s="8"/>
      <c r="M414" s="4"/>
      <c r="N414" s="4"/>
      <c r="O414" s="8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</row>
    <row r="415" ht="15.75" customHeight="1">
      <c r="A415" s="4"/>
      <c r="B415" s="4"/>
      <c r="C415" s="8"/>
      <c r="D415" s="4"/>
      <c r="E415" s="4"/>
      <c r="F415" s="8"/>
      <c r="G415" s="4"/>
      <c r="H415" s="4"/>
      <c r="I415" s="8"/>
      <c r="J415" s="4"/>
      <c r="K415" s="4"/>
      <c r="L415" s="8"/>
      <c r="M415" s="4"/>
      <c r="N415" s="4"/>
      <c r="O415" s="8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</row>
    <row r="416" ht="15.75" customHeight="1">
      <c r="A416" s="4"/>
      <c r="B416" s="4"/>
      <c r="C416" s="8"/>
      <c r="D416" s="4"/>
      <c r="E416" s="4"/>
      <c r="F416" s="8"/>
      <c r="G416" s="4"/>
      <c r="H416" s="4"/>
      <c r="I416" s="8"/>
      <c r="J416" s="4"/>
      <c r="K416" s="4"/>
      <c r="L416" s="8"/>
      <c r="M416" s="4"/>
      <c r="N416" s="4"/>
      <c r="O416" s="8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</row>
    <row r="417" ht="15.75" customHeight="1">
      <c r="A417" s="4"/>
      <c r="B417" s="4"/>
      <c r="C417" s="8"/>
      <c r="D417" s="4"/>
      <c r="E417" s="4"/>
      <c r="F417" s="8"/>
      <c r="G417" s="4"/>
      <c r="H417" s="4"/>
      <c r="I417" s="8"/>
      <c r="J417" s="4"/>
      <c r="K417" s="4"/>
      <c r="L417" s="8"/>
      <c r="M417" s="4"/>
      <c r="N417" s="4"/>
      <c r="O417" s="8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</row>
    <row r="418" ht="15.75" customHeight="1">
      <c r="A418" s="4"/>
      <c r="B418" s="4"/>
      <c r="C418" s="8"/>
      <c r="D418" s="4"/>
      <c r="E418" s="4"/>
      <c r="F418" s="8"/>
      <c r="G418" s="4"/>
      <c r="H418" s="4"/>
      <c r="I418" s="8"/>
      <c r="J418" s="4"/>
      <c r="K418" s="4"/>
      <c r="L418" s="8"/>
      <c r="M418" s="4"/>
      <c r="N418" s="4"/>
      <c r="O418" s="8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</row>
    <row r="419" ht="15.75" customHeight="1">
      <c r="A419" s="4"/>
      <c r="B419" s="4"/>
      <c r="C419" s="8"/>
      <c r="D419" s="4"/>
      <c r="E419" s="4"/>
      <c r="F419" s="8"/>
      <c r="G419" s="4"/>
      <c r="H419" s="4"/>
      <c r="I419" s="8"/>
      <c r="J419" s="4"/>
      <c r="K419" s="4"/>
      <c r="L419" s="8"/>
      <c r="M419" s="4"/>
      <c r="N419" s="4"/>
      <c r="O419" s="8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</row>
    <row r="420" ht="15.75" customHeight="1">
      <c r="A420" s="4"/>
      <c r="B420" s="4"/>
      <c r="C420" s="8"/>
      <c r="D420" s="4"/>
      <c r="E420" s="4"/>
      <c r="F420" s="8"/>
      <c r="G420" s="4"/>
      <c r="H420" s="4"/>
      <c r="I420" s="8"/>
      <c r="J420" s="4"/>
      <c r="K420" s="4"/>
      <c r="L420" s="8"/>
      <c r="M420" s="4"/>
      <c r="N420" s="4"/>
      <c r="O420" s="8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</row>
    <row r="421" ht="15.75" customHeight="1">
      <c r="A421" s="4"/>
      <c r="B421" s="4"/>
      <c r="C421" s="8"/>
      <c r="D421" s="4"/>
      <c r="E421" s="4"/>
      <c r="F421" s="8"/>
      <c r="G421" s="4"/>
      <c r="H421" s="4"/>
      <c r="I421" s="8"/>
      <c r="J421" s="4"/>
      <c r="K421" s="4"/>
      <c r="L421" s="8"/>
      <c r="M421" s="4"/>
      <c r="N421" s="4"/>
      <c r="O421" s="8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</row>
    <row r="422" ht="15.75" customHeight="1">
      <c r="A422" s="4"/>
      <c r="B422" s="4"/>
      <c r="C422" s="8"/>
      <c r="D422" s="4"/>
      <c r="E422" s="4"/>
      <c r="F422" s="8"/>
      <c r="G422" s="4"/>
      <c r="H422" s="4"/>
      <c r="I422" s="8"/>
      <c r="J422" s="4"/>
      <c r="K422" s="4"/>
      <c r="L422" s="8"/>
      <c r="M422" s="4"/>
      <c r="N422" s="4"/>
      <c r="O422" s="8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</row>
    <row r="423" ht="15.75" customHeight="1">
      <c r="A423" s="4"/>
      <c r="B423" s="4"/>
      <c r="C423" s="8"/>
      <c r="D423" s="4"/>
      <c r="E423" s="4"/>
      <c r="F423" s="8"/>
      <c r="G423" s="4"/>
      <c r="H423" s="4"/>
      <c r="I423" s="8"/>
      <c r="J423" s="4"/>
      <c r="K423" s="4"/>
      <c r="L423" s="8"/>
      <c r="M423" s="4"/>
      <c r="N423" s="4"/>
      <c r="O423" s="8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</row>
    <row r="424" ht="15.75" customHeight="1">
      <c r="A424" s="4"/>
      <c r="B424" s="4"/>
      <c r="C424" s="8"/>
      <c r="D424" s="4"/>
      <c r="E424" s="4"/>
      <c r="F424" s="8"/>
      <c r="G424" s="4"/>
      <c r="H424" s="4"/>
      <c r="I424" s="8"/>
      <c r="J424" s="4"/>
      <c r="K424" s="4"/>
      <c r="L424" s="8"/>
      <c r="M424" s="4"/>
      <c r="N424" s="4"/>
      <c r="O424" s="8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</row>
    <row r="425" ht="15.75" customHeight="1">
      <c r="A425" s="4"/>
      <c r="B425" s="4"/>
      <c r="C425" s="8"/>
      <c r="D425" s="4"/>
      <c r="E425" s="4"/>
      <c r="F425" s="8"/>
      <c r="G425" s="4"/>
      <c r="H425" s="4"/>
      <c r="I425" s="8"/>
      <c r="J425" s="4"/>
      <c r="K425" s="4"/>
      <c r="L425" s="8"/>
      <c r="M425" s="4"/>
      <c r="N425" s="4"/>
      <c r="O425" s="8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</row>
    <row r="426" ht="15.75" customHeight="1">
      <c r="A426" s="4"/>
      <c r="B426" s="4"/>
      <c r="C426" s="8"/>
      <c r="D426" s="4"/>
      <c r="E426" s="4"/>
      <c r="F426" s="8"/>
      <c r="G426" s="4"/>
      <c r="H426" s="4"/>
      <c r="I426" s="8"/>
      <c r="J426" s="4"/>
      <c r="K426" s="4"/>
      <c r="L426" s="8"/>
      <c r="M426" s="4"/>
      <c r="N426" s="4"/>
      <c r="O426" s="8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</row>
    <row r="427" ht="15.75" customHeight="1">
      <c r="A427" s="4"/>
      <c r="B427" s="4"/>
      <c r="C427" s="8"/>
      <c r="D427" s="4"/>
      <c r="E427" s="4"/>
      <c r="F427" s="8"/>
      <c r="G427" s="4"/>
      <c r="H427" s="4"/>
      <c r="I427" s="8"/>
      <c r="J427" s="4"/>
      <c r="K427" s="4"/>
      <c r="L427" s="8"/>
      <c r="M427" s="4"/>
      <c r="N427" s="4"/>
      <c r="O427" s="8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</row>
    <row r="428" ht="15.75" customHeight="1">
      <c r="A428" s="4"/>
      <c r="B428" s="4"/>
      <c r="C428" s="8"/>
      <c r="D428" s="4"/>
      <c r="E428" s="4"/>
      <c r="F428" s="8"/>
      <c r="G428" s="4"/>
      <c r="H428" s="4"/>
      <c r="I428" s="8"/>
      <c r="J428" s="4"/>
      <c r="K428" s="4"/>
      <c r="L428" s="8"/>
      <c r="M428" s="4"/>
      <c r="N428" s="4"/>
      <c r="O428" s="8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</row>
    <row r="429" ht="15.75" customHeight="1">
      <c r="A429" s="4"/>
      <c r="B429" s="4"/>
      <c r="C429" s="8"/>
      <c r="D429" s="4"/>
      <c r="E429" s="4"/>
      <c r="F429" s="8"/>
      <c r="G429" s="4"/>
      <c r="H429" s="4"/>
      <c r="I429" s="8"/>
      <c r="J429" s="4"/>
      <c r="K429" s="4"/>
      <c r="L429" s="8"/>
      <c r="M429" s="4"/>
      <c r="N429" s="4"/>
      <c r="O429" s="8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</row>
    <row r="430" ht="15.75" customHeight="1">
      <c r="A430" s="4"/>
      <c r="B430" s="4"/>
      <c r="C430" s="8"/>
      <c r="D430" s="4"/>
      <c r="E430" s="4"/>
      <c r="F430" s="8"/>
      <c r="G430" s="4"/>
      <c r="H430" s="4"/>
      <c r="I430" s="8"/>
      <c r="J430" s="4"/>
      <c r="K430" s="4"/>
      <c r="L430" s="8"/>
      <c r="M430" s="4"/>
      <c r="N430" s="4"/>
      <c r="O430" s="8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</row>
    <row r="431" ht="15.75" customHeight="1">
      <c r="A431" s="4"/>
      <c r="B431" s="4"/>
      <c r="C431" s="8"/>
      <c r="D431" s="4"/>
      <c r="E431" s="4"/>
      <c r="F431" s="8"/>
      <c r="G431" s="4"/>
      <c r="H431" s="4"/>
      <c r="I431" s="8"/>
      <c r="J431" s="4"/>
      <c r="K431" s="4"/>
      <c r="L431" s="8"/>
      <c r="M431" s="4"/>
      <c r="N431" s="4"/>
      <c r="O431" s="8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</row>
    <row r="432" ht="15.75" customHeight="1">
      <c r="A432" s="4"/>
      <c r="B432" s="4"/>
      <c r="C432" s="8"/>
      <c r="D432" s="4"/>
      <c r="E432" s="4"/>
      <c r="F432" s="8"/>
      <c r="G432" s="4"/>
      <c r="H432" s="4"/>
      <c r="I432" s="8"/>
      <c r="J432" s="4"/>
      <c r="K432" s="4"/>
      <c r="L432" s="8"/>
      <c r="M432" s="4"/>
      <c r="N432" s="4"/>
      <c r="O432" s="8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</row>
    <row r="433" ht="15.75" customHeight="1">
      <c r="A433" s="4"/>
      <c r="B433" s="4"/>
      <c r="C433" s="8"/>
      <c r="D433" s="4"/>
      <c r="E433" s="4"/>
      <c r="F433" s="8"/>
      <c r="G433" s="4"/>
      <c r="H433" s="4"/>
      <c r="I433" s="8"/>
      <c r="J433" s="4"/>
      <c r="K433" s="4"/>
      <c r="L433" s="8"/>
      <c r="M433" s="4"/>
      <c r="N433" s="4"/>
      <c r="O433" s="8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</row>
    <row r="434" ht="15.75" customHeight="1">
      <c r="A434" s="4"/>
      <c r="B434" s="4"/>
      <c r="C434" s="8"/>
      <c r="D434" s="4"/>
      <c r="E434" s="4"/>
      <c r="F434" s="8"/>
      <c r="G434" s="4"/>
      <c r="H434" s="4"/>
      <c r="I434" s="8"/>
      <c r="J434" s="4"/>
      <c r="K434" s="4"/>
      <c r="L434" s="8"/>
      <c r="M434" s="4"/>
      <c r="N434" s="4"/>
      <c r="O434" s="8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</row>
    <row r="435" ht="15.75" customHeight="1">
      <c r="A435" s="4"/>
      <c r="B435" s="4"/>
      <c r="C435" s="8"/>
      <c r="D435" s="4"/>
      <c r="E435" s="4"/>
      <c r="F435" s="8"/>
      <c r="G435" s="4"/>
      <c r="H435" s="4"/>
      <c r="I435" s="8"/>
      <c r="J435" s="4"/>
      <c r="K435" s="4"/>
      <c r="L435" s="8"/>
      <c r="M435" s="4"/>
      <c r="N435" s="4"/>
      <c r="O435" s="8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</row>
    <row r="436" ht="15.75" customHeight="1">
      <c r="A436" s="4"/>
      <c r="B436" s="4"/>
      <c r="C436" s="8"/>
      <c r="D436" s="4"/>
      <c r="E436" s="4"/>
      <c r="F436" s="8"/>
      <c r="G436" s="4"/>
      <c r="H436" s="4"/>
      <c r="I436" s="8"/>
      <c r="J436" s="4"/>
      <c r="K436" s="4"/>
      <c r="L436" s="8"/>
      <c r="M436" s="4"/>
      <c r="N436" s="4"/>
      <c r="O436" s="8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</row>
    <row r="437" ht="15.75" customHeight="1">
      <c r="A437" s="4"/>
      <c r="B437" s="4"/>
      <c r="C437" s="8"/>
      <c r="D437" s="4"/>
      <c r="E437" s="4"/>
      <c r="F437" s="8"/>
      <c r="G437" s="4"/>
      <c r="H437" s="4"/>
      <c r="I437" s="8"/>
      <c r="J437" s="4"/>
      <c r="K437" s="4"/>
      <c r="L437" s="8"/>
      <c r="M437" s="4"/>
      <c r="N437" s="4"/>
      <c r="O437" s="8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</row>
    <row r="438" ht="15.75" customHeight="1">
      <c r="A438" s="4"/>
      <c r="B438" s="4"/>
      <c r="C438" s="8"/>
      <c r="D438" s="4"/>
      <c r="E438" s="4"/>
      <c r="F438" s="8"/>
      <c r="G438" s="4"/>
      <c r="H438" s="4"/>
      <c r="I438" s="8"/>
      <c r="J438" s="4"/>
      <c r="K438" s="4"/>
      <c r="L438" s="8"/>
      <c r="M438" s="4"/>
      <c r="N438" s="4"/>
      <c r="O438" s="8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</row>
    <row r="439" ht="15.75" customHeight="1">
      <c r="A439" s="4"/>
      <c r="B439" s="4"/>
      <c r="C439" s="8"/>
      <c r="D439" s="4"/>
      <c r="E439" s="4"/>
      <c r="F439" s="8"/>
      <c r="G439" s="4"/>
      <c r="H439" s="4"/>
      <c r="I439" s="8"/>
      <c r="J439" s="4"/>
      <c r="K439" s="4"/>
      <c r="L439" s="8"/>
      <c r="M439" s="4"/>
      <c r="N439" s="4"/>
      <c r="O439" s="8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</row>
    <row r="440" ht="15.75" customHeight="1">
      <c r="A440" s="4"/>
      <c r="B440" s="4"/>
      <c r="C440" s="8"/>
      <c r="D440" s="4"/>
      <c r="E440" s="4"/>
      <c r="F440" s="8"/>
      <c r="G440" s="4"/>
      <c r="H440" s="4"/>
      <c r="I440" s="8"/>
      <c r="J440" s="4"/>
      <c r="K440" s="4"/>
      <c r="L440" s="8"/>
      <c r="M440" s="4"/>
      <c r="N440" s="4"/>
      <c r="O440" s="8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</row>
    <row r="441" ht="15.75" customHeight="1">
      <c r="A441" s="4"/>
      <c r="B441" s="4"/>
      <c r="C441" s="8"/>
      <c r="D441" s="4"/>
      <c r="E441" s="4"/>
      <c r="F441" s="8"/>
      <c r="G441" s="4"/>
      <c r="H441" s="4"/>
      <c r="I441" s="8"/>
      <c r="J441" s="4"/>
      <c r="K441" s="4"/>
      <c r="L441" s="8"/>
      <c r="M441" s="4"/>
      <c r="N441" s="4"/>
      <c r="O441" s="8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</row>
    <row r="442" ht="15.75" customHeight="1">
      <c r="A442" s="4"/>
      <c r="B442" s="4"/>
      <c r="C442" s="8"/>
      <c r="D442" s="4"/>
      <c r="E442" s="4"/>
      <c r="F442" s="8"/>
      <c r="G442" s="4"/>
      <c r="H442" s="4"/>
      <c r="I442" s="8"/>
      <c r="J442" s="4"/>
      <c r="K442" s="4"/>
      <c r="L442" s="8"/>
      <c r="M442" s="4"/>
      <c r="N442" s="4"/>
      <c r="O442" s="8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</row>
    <row r="443" ht="15.75" customHeight="1">
      <c r="A443" s="4"/>
      <c r="B443" s="4"/>
      <c r="C443" s="8"/>
      <c r="D443" s="4"/>
      <c r="E443" s="4"/>
      <c r="F443" s="8"/>
      <c r="G443" s="4"/>
      <c r="H443" s="4"/>
      <c r="I443" s="8"/>
      <c r="J443" s="4"/>
      <c r="K443" s="4"/>
      <c r="L443" s="8"/>
      <c r="M443" s="4"/>
      <c r="N443" s="4"/>
      <c r="O443" s="8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</row>
    <row r="444" ht="15.75" customHeight="1">
      <c r="A444" s="4"/>
      <c r="B444" s="4"/>
      <c r="C444" s="8"/>
      <c r="D444" s="4"/>
      <c r="E444" s="4"/>
      <c r="F444" s="8"/>
      <c r="G444" s="4"/>
      <c r="H444" s="4"/>
      <c r="I444" s="8"/>
      <c r="J444" s="4"/>
      <c r="K444" s="4"/>
      <c r="L444" s="8"/>
      <c r="M444" s="4"/>
      <c r="N444" s="4"/>
      <c r="O444" s="8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</row>
    <row r="445" ht="15.75" customHeight="1">
      <c r="A445" s="4"/>
      <c r="B445" s="4"/>
      <c r="C445" s="8"/>
      <c r="D445" s="4"/>
      <c r="E445" s="4"/>
      <c r="F445" s="8"/>
      <c r="G445" s="4"/>
      <c r="H445" s="4"/>
      <c r="I445" s="8"/>
      <c r="J445" s="4"/>
      <c r="K445" s="4"/>
      <c r="L445" s="8"/>
      <c r="M445" s="4"/>
      <c r="N445" s="4"/>
      <c r="O445" s="8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</row>
    <row r="446" ht="15.75" customHeight="1">
      <c r="A446" s="4"/>
      <c r="B446" s="4"/>
      <c r="C446" s="8"/>
      <c r="D446" s="4"/>
      <c r="E446" s="4"/>
      <c r="F446" s="8"/>
      <c r="G446" s="4"/>
      <c r="H446" s="4"/>
      <c r="I446" s="8"/>
      <c r="J446" s="4"/>
      <c r="K446" s="4"/>
      <c r="L446" s="8"/>
      <c r="M446" s="4"/>
      <c r="N446" s="4"/>
      <c r="O446" s="8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</row>
    <row r="447" ht="15.75" customHeight="1">
      <c r="A447" s="4"/>
      <c r="B447" s="4"/>
      <c r="C447" s="8"/>
      <c r="D447" s="4"/>
      <c r="E447" s="4"/>
      <c r="F447" s="8"/>
      <c r="G447" s="4"/>
      <c r="H447" s="4"/>
      <c r="I447" s="8"/>
      <c r="J447" s="4"/>
      <c r="K447" s="4"/>
      <c r="L447" s="8"/>
      <c r="M447" s="4"/>
      <c r="N447" s="4"/>
      <c r="O447" s="8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</row>
    <row r="448" ht="15.75" customHeight="1">
      <c r="A448" s="4"/>
      <c r="B448" s="4"/>
      <c r="C448" s="8"/>
      <c r="D448" s="4"/>
      <c r="E448" s="4"/>
      <c r="F448" s="8"/>
      <c r="G448" s="4"/>
      <c r="H448" s="4"/>
      <c r="I448" s="8"/>
      <c r="J448" s="4"/>
      <c r="K448" s="4"/>
      <c r="L448" s="8"/>
      <c r="M448" s="4"/>
      <c r="N448" s="4"/>
      <c r="O448" s="8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</row>
    <row r="449" ht="15.75" customHeight="1">
      <c r="A449" s="4"/>
      <c r="B449" s="4"/>
      <c r="C449" s="8"/>
      <c r="D449" s="4"/>
      <c r="E449" s="4"/>
      <c r="F449" s="8"/>
      <c r="G449" s="4"/>
      <c r="H449" s="4"/>
      <c r="I449" s="8"/>
      <c r="J449" s="4"/>
      <c r="K449" s="4"/>
      <c r="L449" s="8"/>
      <c r="M449" s="4"/>
      <c r="N449" s="4"/>
      <c r="O449" s="8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</row>
    <row r="450" ht="15.75" customHeight="1">
      <c r="A450" s="4"/>
      <c r="B450" s="4"/>
      <c r="C450" s="8"/>
      <c r="D450" s="4"/>
      <c r="E450" s="4"/>
      <c r="F450" s="8"/>
      <c r="G450" s="4"/>
      <c r="H450" s="4"/>
      <c r="I450" s="8"/>
      <c r="J450" s="4"/>
      <c r="K450" s="4"/>
      <c r="L450" s="8"/>
      <c r="M450" s="4"/>
      <c r="N450" s="4"/>
      <c r="O450" s="8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</row>
    <row r="451" ht="15.75" customHeight="1">
      <c r="A451" s="4"/>
      <c r="B451" s="4"/>
      <c r="C451" s="8"/>
      <c r="D451" s="4"/>
      <c r="E451" s="4"/>
      <c r="F451" s="8"/>
      <c r="G451" s="4"/>
      <c r="H451" s="4"/>
      <c r="I451" s="8"/>
      <c r="J451" s="4"/>
      <c r="K451" s="4"/>
      <c r="L451" s="8"/>
      <c r="M451" s="4"/>
      <c r="N451" s="4"/>
      <c r="O451" s="8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</row>
    <row r="452" ht="15.75" customHeight="1">
      <c r="A452" s="4"/>
      <c r="B452" s="4"/>
      <c r="C452" s="8"/>
      <c r="D452" s="4"/>
      <c r="E452" s="4"/>
      <c r="F452" s="8"/>
      <c r="G452" s="4"/>
      <c r="H452" s="4"/>
      <c r="I452" s="8"/>
      <c r="J452" s="4"/>
      <c r="K452" s="4"/>
      <c r="L452" s="8"/>
      <c r="M452" s="4"/>
      <c r="N452" s="4"/>
      <c r="O452" s="8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</row>
    <row r="453" ht="15.75" customHeight="1">
      <c r="A453" s="4"/>
      <c r="B453" s="4"/>
      <c r="C453" s="8"/>
      <c r="D453" s="4"/>
      <c r="E453" s="4"/>
      <c r="F453" s="8"/>
      <c r="G453" s="4"/>
      <c r="H453" s="4"/>
      <c r="I453" s="8"/>
      <c r="J453" s="4"/>
      <c r="K453" s="4"/>
      <c r="L453" s="8"/>
      <c r="M453" s="4"/>
      <c r="N453" s="4"/>
      <c r="O453" s="8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</row>
    <row r="454" ht="15.75" customHeight="1">
      <c r="A454" s="4"/>
      <c r="B454" s="4"/>
      <c r="C454" s="8"/>
      <c r="D454" s="4"/>
      <c r="E454" s="4"/>
      <c r="F454" s="8"/>
      <c r="G454" s="4"/>
      <c r="H454" s="4"/>
      <c r="I454" s="8"/>
      <c r="J454" s="4"/>
      <c r="K454" s="4"/>
      <c r="L454" s="8"/>
      <c r="M454" s="4"/>
      <c r="N454" s="4"/>
      <c r="O454" s="8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</row>
    <row r="455" ht="15.75" customHeight="1">
      <c r="A455" s="4"/>
      <c r="B455" s="4"/>
      <c r="C455" s="8"/>
      <c r="D455" s="4"/>
      <c r="E455" s="4"/>
      <c r="F455" s="8"/>
      <c r="G455" s="4"/>
      <c r="H455" s="4"/>
      <c r="I455" s="8"/>
      <c r="J455" s="4"/>
      <c r="K455" s="4"/>
      <c r="L455" s="8"/>
      <c r="M455" s="4"/>
      <c r="N455" s="4"/>
      <c r="O455" s="8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</row>
    <row r="456" ht="15.75" customHeight="1">
      <c r="A456" s="4"/>
      <c r="B456" s="4"/>
      <c r="C456" s="8"/>
      <c r="D456" s="4"/>
      <c r="E456" s="4"/>
      <c r="F456" s="8"/>
      <c r="G456" s="4"/>
      <c r="H456" s="4"/>
      <c r="I456" s="8"/>
      <c r="J456" s="4"/>
      <c r="K456" s="4"/>
      <c r="L456" s="8"/>
      <c r="M456" s="4"/>
      <c r="N456" s="4"/>
      <c r="O456" s="8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</row>
    <row r="457" ht="15.75" customHeight="1">
      <c r="A457" s="4"/>
      <c r="B457" s="4"/>
      <c r="C457" s="8"/>
      <c r="D457" s="4"/>
      <c r="E457" s="4"/>
      <c r="F457" s="8"/>
      <c r="G457" s="4"/>
      <c r="H457" s="4"/>
      <c r="I457" s="8"/>
      <c r="J457" s="4"/>
      <c r="K457" s="4"/>
      <c r="L457" s="8"/>
      <c r="M457" s="4"/>
      <c r="N457" s="4"/>
      <c r="O457" s="8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</row>
    <row r="458" ht="15.75" customHeight="1">
      <c r="A458" s="4"/>
      <c r="B458" s="4"/>
      <c r="C458" s="8"/>
      <c r="D458" s="4"/>
      <c r="E458" s="4"/>
      <c r="F458" s="8"/>
      <c r="G458" s="4"/>
      <c r="H458" s="4"/>
      <c r="I458" s="8"/>
      <c r="J458" s="4"/>
      <c r="K458" s="4"/>
      <c r="L458" s="8"/>
      <c r="M458" s="4"/>
      <c r="N458" s="4"/>
      <c r="O458" s="8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</row>
    <row r="459" ht="15.75" customHeight="1">
      <c r="A459" s="4"/>
      <c r="B459" s="4"/>
      <c r="C459" s="8"/>
      <c r="D459" s="4"/>
      <c r="E459" s="4"/>
      <c r="F459" s="8"/>
      <c r="G459" s="4"/>
      <c r="H459" s="4"/>
      <c r="I459" s="8"/>
      <c r="J459" s="4"/>
      <c r="K459" s="4"/>
      <c r="L459" s="8"/>
      <c r="M459" s="4"/>
      <c r="N459" s="4"/>
      <c r="O459" s="8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</row>
    <row r="460" ht="15.75" customHeight="1">
      <c r="A460" s="4"/>
      <c r="B460" s="4"/>
      <c r="C460" s="8"/>
      <c r="D460" s="4"/>
      <c r="E460" s="4"/>
      <c r="F460" s="8"/>
      <c r="G460" s="4"/>
      <c r="H460" s="4"/>
      <c r="I460" s="8"/>
      <c r="J460" s="4"/>
      <c r="K460" s="4"/>
      <c r="L460" s="8"/>
      <c r="M460" s="4"/>
      <c r="N460" s="4"/>
      <c r="O460" s="8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</row>
    <row r="461" ht="15.75" customHeight="1">
      <c r="A461" s="4"/>
      <c r="B461" s="4"/>
      <c r="C461" s="8"/>
      <c r="D461" s="4"/>
      <c r="E461" s="4"/>
      <c r="F461" s="8"/>
      <c r="G461" s="4"/>
      <c r="H461" s="4"/>
      <c r="I461" s="8"/>
      <c r="J461" s="4"/>
      <c r="K461" s="4"/>
      <c r="L461" s="8"/>
      <c r="M461" s="4"/>
      <c r="N461" s="4"/>
      <c r="O461" s="8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</row>
    <row r="462" ht="15.75" customHeight="1">
      <c r="A462" s="4"/>
      <c r="B462" s="4"/>
      <c r="C462" s="8"/>
      <c r="D462" s="4"/>
      <c r="E462" s="4"/>
      <c r="F462" s="8"/>
      <c r="G462" s="4"/>
      <c r="H462" s="4"/>
      <c r="I462" s="8"/>
      <c r="J462" s="4"/>
      <c r="K462" s="4"/>
      <c r="L462" s="8"/>
      <c r="M462" s="4"/>
      <c r="N462" s="4"/>
      <c r="O462" s="8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</row>
    <row r="463" ht="15.75" customHeight="1">
      <c r="A463" s="4"/>
      <c r="B463" s="4"/>
      <c r="C463" s="8"/>
      <c r="D463" s="4"/>
      <c r="E463" s="4"/>
      <c r="F463" s="8"/>
      <c r="G463" s="4"/>
      <c r="H463" s="4"/>
      <c r="I463" s="8"/>
      <c r="J463" s="4"/>
      <c r="K463" s="4"/>
      <c r="L463" s="8"/>
      <c r="M463" s="4"/>
      <c r="N463" s="4"/>
      <c r="O463" s="8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</row>
    <row r="464" ht="15.75" customHeight="1">
      <c r="A464" s="4"/>
      <c r="B464" s="4"/>
      <c r="C464" s="8"/>
      <c r="D464" s="4"/>
      <c r="E464" s="4"/>
      <c r="F464" s="8"/>
      <c r="G464" s="4"/>
      <c r="H464" s="4"/>
      <c r="I464" s="8"/>
      <c r="J464" s="4"/>
      <c r="K464" s="4"/>
      <c r="L464" s="8"/>
      <c r="M464" s="4"/>
      <c r="N464" s="4"/>
      <c r="O464" s="8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</row>
    <row r="465" ht="15.75" customHeight="1">
      <c r="A465" s="4"/>
      <c r="B465" s="4"/>
      <c r="C465" s="8"/>
      <c r="D465" s="4"/>
      <c r="E465" s="4"/>
      <c r="F465" s="8"/>
      <c r="G465" s="4"/>
      <c r="H465" s="4"/>
      <c r="I465" s="8"/>
      <c r="J465" s="4"/>
      <c r="K465" s="4"/>
      <c r="L465" s="8"/>
      <c r="M465" s="4"/>
      <c r="N465" s="4"/>
      <c r="O465" s="8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</row>
    <row r="466" ht="15.75" customHeight="1">
      <c r="A466" s="4"/>
      <c r="B466" s="4"/>
      <c r="C466" s="8"/>
      <c r="D466" s="4"/>
      <c r="E466" s="4"/>
      <c r="F466" s="8"/>
      <c r="G466" s="4"/>
      <c r="H466" s="4"/>
      <c r="I466" s="8"/>
      <c r="J466" s="4"/>
      <c r="K466" s="4"/>
      <c r="L466" s="8"/>
      <c r="M466" s="4"/>
      <c r="N466" s="4"/>
      <c r="O466" s="8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</row>
    <row r="467" ht="15.75" customHeight="1">
      <c r="A467" s="4"/>
      <c r="B467" s="4"/>
      <c r="C467" s="8"/>
      <c r="D467" s="4"/>
      <c r="E467" s="4"/>
      <c r="F467" s="8"/>
      <c r="G467" s="4"/>
      <c r="H467" s="4"/>
      <c r="I467" s="8"/>
      <c r="J467" s="4"/>
      <c r="K467" s="4"/>
      <c r="L467" s="8"/>
      <c r="M467" s="4"/>
      <c r="N467" s="4"/>
      <c r="O467" s="8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</row>
    <row r="468" ht="15.75" customHeight="1">
      <c r="A468" s="4"/>
      <c r="B468" s="4"/>
      <c r="C468" s="8"/>
      <c r="D468" s="4"/>
      <c r="E468" s="4"/>
      <c r="F468" s="8"/>
      <c r="G468" s="4"/>
      <c r="H468" s="4"/>
      <c r="I468" s="8"/>
      <c r="J468" s="4"/>
      <c r="K468" s="4"/>
      <c r="L468" s="8"/>
      <c r="M468" s="4"/>
      <c r="N468" s="4"/>
      <c r="O468" s="8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</row>
    <row r="469" ht="15.75" customHeight="1">
      <c r="A469" s="4"/>
      <c r="B469" s="4"/>
      <c r="C469" s="8"/>
      <c r="D469" s="4"/>
      <c r="E469" s="4"/>
      <c r="F469" s="8"/>
      <c r="G469" s="4"/>
      <c r="H469" s="4"/>
      <c r="I469" s="8"/>
      <c r="J469" s="4"/>
      <c r="K469" s="4"/>
      <c r="L469" s="8"/>
      <c r="M469" s="4"/>
      <c r="N469" s="4"/>
      <c r="O469" s="8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</row>
    <row r="470" ht="15.75" customHeight="1">
      <c r="A470" s="4"/>
      <c r="B470" s="4"/>
      <c r="C470" s="8"/>
      <c r="D470" s="4"/>
      <c r="E470" s="4"/>
      <c r="F470" s="8"/>
      <c r="G470" s="4"/>
      <c r="H470" s="4"/>
      <c r="I470" s="8"/>
      <c r="J470" s="4"/>
      <c r="K470" s="4"/>
      <c r="L470" s="8"/>
      <c r="M470" s="4"/>
      <c r="N470" s="4"/>
      <c r="O470" s="8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</row>
    <row r="471" ht="15.75" customHeight="1">
      <c r="A471" s="4"/>
      <c r="B471" s="4"/>
      <c r="C471" s="8"/>
      <c r="D471" s="4"/>
      <c r="E471" s="4"/>
      <c r="F471" s="8"/>
      <c r="G471" s="4"/>
      <c r="H471" s="4"/>
      <c r="I471" s="8"/>
      <c r="J471" s="4"/>
      <c r="K471" s="4"/>
      <c r="L471" s="8"/>
      <c r="M471" s="4"/>
      <c r="N471" s="4"/>
      <c r="O471" s="8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</row>
    <row r="472" ht="15.75" customHeight="1">
      <c r="A472" s="4"/>
      <c r="B472" s="4"/>
      <c r="C472" s="8"/>
      <c r="D472" s="4"/>
      <c r="E472" s="4"/>
      <c r="F472" s="8"/>
      <c r="G472" s="4"/>
      <c r="H472" s="4"/>
      <c r="I472" s="8"/>
      <c r="J472" s="4"/>
      <c r="K472" s="4"/>
      <c r="L472" s="8"/>
      <c r="M472" s="4"/>
      <c r="N472" s="4"/>
      <c r="O472" s="8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</row>
    <row r="473" ht="15.75" customHeight="1">
      <c r="A473" s="4"/>
      <c r="B473" s="4"/>
      <c r="C473" s="8"/>
      <c r="D473" s="4"/>
      <c r="E473" s="4"/>
      <c r="F473" s="8"/>
      <c r="G473" s="4"/>
      <c r="H473" s="4"/>
      <c r="I473" s="8"/>
      <c r="J473" s="4"/>
      <c r="K473" s="4"/>
      <c r="L473" s="8"/>
      <c r="M473" s="4"/>
      <c r="N473" s="4"/>
      <c r="O473" s="8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</row>
    <row r="474" ht="15.75" customHeight="1">
      <c r="A474" s="4"/>
      <c r="B474" s="4"/>
      <c r="C474" s="8"/>
      <c r="D474" s="4"/>
      <c r="E474" s="4"/>
      <c r="F474" s="8"/>
      <c r="G474" s="4"/>
      <c r="H474" s="4"/>
      <c r="I474" s="8"/>
      <c r="J474" s="4"/>
      <c r="K474" s="4"/>
      <c r="L474" s="8"/>
      <c r="M474" s="4"/>
      <c r="N474" s="4"/>
      <c r="O474" s="8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</row>
    <row r="475" ht="15.75" customHeight="1">
      <c r="A475" s="4"/>
      <c r="B475" s="4"/>
      <c r="C475" s="8"/>
      <c r="D475" s="4"/>
      <c r="E475" s="4"/>
      <c r="F475" s="8"/>
      <c r="G475" s="4"/>
      <c r="H475" s="4"/>
      <c r="I475" s="8"/>
      <c r="J475" s="4"/>
      <c r="K475" s="4"/>
      <c r="L475" s="8"/>
      <c r="M475" s="4"/>
      <c r="N475" s="4"/>
      <c r="O475" s="8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</row>
    <row r="476" ht="15.75" customHeight="1">
      <c r="A476" s="4"/>
      <c r="B476" s="4"/>
      <c r="C476" s="8"/>
      <c r="D476" s="4"/>
      <c r="E476" s="4"/>
      <c r="F476" s="8"/>
      <c r="G476" s="4"/>
      <c r="H476" s="4"/>
      <c r="I476" s="8"/>
      <c r="J476" s="4"/>
      <c r="K476" s="4"/>
      <c r="L476" s="8"/>
      <c r="M476" s="4"/>
      <c r="N476" s="4"/>
      <c r="O476" s="8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</row>
    <row r="477" ht="15.75" customHeight="1">
      <c r="A477" s="4"/>
      <c r="B477" s="4"/>
      <c r="C477" s="8"/>
      <c r="D477" s="4"/>
      <c r="E477" s="4"/>
      <c r="F477" s="8"/>
      <c r="G477" s="4"/>
      <c r="H477" s="4"/>
      <c r="I477" s="8"/>
      <c r="J477" s="4"/>
      <c r="K477" s="4"/>
      <c r="L477" s="8"/>
      <c r="M477" s="4"/>
      <c r="N477" s="4"/>
      <c r="O477" s="8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</row>
    <row r="478" ht="15.75" customHeight="1">
      <c r="A478" s="4"/>
      <c r="B478" s="4"/>
      <c r="C478" s="8"/>
      <c r="D478" s="4"/>
      <c r="E478" s="4"/>
      <c r="F478" s="8"/>
      <c r="G478" s="4"/>
      <c r="H478" s="4"/>
      <c r="I478" s="8"/>
      <c r="J478" s="4"/>
      <c r="K478" s="4"/>
      <c r="L478" s="8"/>
      <c r="M478" s="4"/>
      <c r="N478" s="4"/>
      <c r="O478" s="8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</row>
    <row r="479" ht="15.75" customHeight="1">
      <c r="A479" s="4"/>
      <c r="B479" s="4"/>
      <c r="C479" s="8"/>
      <c r="D479" s="4"/>
      <c r="E479" s="4"/>
      <c r="F479" s="8"/>
      <c r="G479" s="4"/>
      <c r="H479" s="4"/>
      <c r="I479" s="8"/>
      <c r="J479" s="4"/>
      <c r="K479" s="4"/>
      <c r="L479" s="8"/>
      <c r="M479" s="4"/>
      <c r="N479" s="4"/>
      <c r="O479" s="8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</row>
    <row r="480" ht="15.75" customHeight="1">
      <c r="A480" s="4"/>
      <c r="B480" s="4"/>
      <c r="C480" s="8"/>
      <c r="D480" s="4"/>
      <c r="E480" s="4"/>
      <c r="F480" s="8"/>
      <c r="G480" s="4"/>
      <c r="H480" s="4"/>
      <c r="I480" s="8"/>
      <c r="J480" s="4"/>
      <c r="K480" s="4"/>
      <c r="L480" s="8"/>
      <c r="M480" s="4"/>
      <c r="N480" s="4"/>
      <c r="O480" s="8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</row>
    <row r="481" ht="15.75" customHeight="1">
      <c r="A481" s="4"/>
      <c r="B481" s="4"/>
      <c r="C481" s="8"/>
      <c r="D481" s="4"/>
      <c r="E481" s="4"/>
      <c r="F481" s="8"/>
      <c r="G481" s="4"/>
      <c r="H481" s="4"/>
      <c r="I481" s="8"/>
      <c r="J481" s="4"/>
      <c r="K481" s="4"/>
      <c r="L481" s="8"/>
      <c r="M481" s="4"/>
      <c r="N481" s="4"/>
      <c r="O481" s="8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</row>
    <row r="482" ht="15.75" customHeight="1">
      <c r="A482" s="4"/>
      <c r="B482" s="4"/>
      <c r="C482" s="8"/>
      <c r="D482" s="4"/>
      <c r="E482" s="4"/>
      <c r="F482" s="8"/>
      <c r="G482" s="4"/>
      <c r="H482" s="4"/>
      <c r="I482" s="8"/>
      <c r="J482" s="4"/>
      <c r="K482" s="4"/>
      <c r="L482" s="8"/>
      <c r="M482" s="4"/>
      <c r="N482" s="4"/>
      <c r="O482" s="8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</row>
    <row r="483" ht="15.75" customHeight="1">
      <c r="A483" s="4"/>
      <c r="B483" s="4"/>
      <c r="C483" s="8"/>
      <c r="D483" s="4"/>
      <c r="E483" s="4"/>
      <c r="F483" s="8"/>
      <c r="G483" s="4"/>
      <c r="H483" s="4"/>
      <c r="I483" s="8"/>
      <c r="J483" s="4"/>
      <c r="K483" s="4"/>
      <c r="L483" s="8"/>
      <c r="M483" s="4"/>
      <c r="N483" s="4"/>
      <c r="O483" s="8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</row>
    <row r="484" ht="15.75" customHeight="1">
      <c r="A484" s="4"/>
      <c r="B484" s="4"/>
      <c r="C484" s="8"/>
      <c r="D484" s="4"/>
      <c r="E484" s="4"/>
      <c r="F484" s="8"/>
      <c r="G484" s="4"/>
      <c r="H484" s="4"/>
      <c r="I484" s="8"/>
      <c r="J484" s="4"/>
      <c r="K484" s="4"/>
      <c r="L484" s="8"/>
      <c r="M484" s="4"/>
      <c r="N484" s="4"/>
      <c r="O484" s="8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</row>
    <row r="485" ht="15.75" customHeight="1">
      <c r="A485" s="4"/>
      <c r="B485" s="4"/>
      <c r="C485" s="8"/>
      <c r="D485" s="4"/>
      <c r="E485" s="4"/>
      <c r="F485" s="8"/>
      <c r="G485" s="4"/>
      <c r="H485" s="4"/>
      <c r="I485" s="8"/>
      <c r="J485" s="4"/>
      <c r="K485" s="4"/>
      <c r="L485" s="8"/>
      <c r="M485" s="4"/>
      <c r="N485" s="4"/>
      <c r="O485" s="8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</row>
    <row r="486" ht="15.75" customHeight="1">
      <c r="A486" s="4"/>
      <c r="B486" s="4"/>
      <c r="C486" s="8"/>
      <c r="D486" s="4"/>
      <c r="E486" s="4"/>
      <c r="F486" s="8"/>
      <c r="G486" s="4"/>
      <c r="H486" s="4"/>
      <c r="I486" s="8"/>
      <c r="J486" s="4"/>
      <c r="K486" s="4"/>
      <c r="L486" s="8"/>
      <c r="M486" s="4"/>
      <c r="N486" s="4"/>
      <c r="O486" s="8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</row>
    <row r="487" ht="15.75" customHeight="1">
      <c r="A487" s="4"/>
      <c r="B487" s="4"/>
      <c r="C487" s="8"/>
      <c r="D487" s="4"/>
      <c r="E487" s="4"/>
      <c r="F487" s="8"/>
      <c r="G487" s="4"/>
      <c r="H487" s="4"/>
      <c r="I487" s="8"/>
      <c r="J487" s="4"/>
      <c r="K487" s="4"/>
      <c r="L487" s="8"/>
      <c r="M487" s="4"/>
      <c r="N487" s="4"/>
      <c r="O487" s="8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</row>
    <row r="488" ht="15.75" customHeight="1">
      <c r="A488" s="4"/>
      <c r="B488" s="4"/>
      <c r="C488" s="8"/>
      <c r="D488" s="4"/>
      <c r="E488" s="4"/>
      <c r="F488" s="8"/>
      <c r="G488" s="4"/>
      <c r="H488" s="4"/>
      <c r="I488" s="8"/>
      <c r="J488" s="4"/>
      <c r="K488" s="4"/>
      <c r="L488" s="8"/>
      <c r="M488" s="4"/>
      <c r="N488" s="4"/>
      <c r="O488" s="8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</row>
    <row r="489" ht="15.75" customHeight="1">
      <c r="A489" s="4"/>
      <c r="B489" s="4"/>
      <c r="C489" s="8"/>
      <c r="D489" s="4"/>
      <c r="E489" s="4"/>
      <c r="F489" s="8"/>
      <c r="G489" s="4"/>
      <c r="H489" s="4"/>
      <c r="I489" s="8"/>
      <c r="J489" s="4"/>
      <c r="K489" s="4"/>
      <c r="L489" s="8"/>
      <c r="M489" s="4"/>
      <c r="N489" s="4"/>
      <c r="O489" s="8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</row>
    <row r="490" ht="15.75" customHeight="1">
      <c r="A490" s="4"/>
      <c r="B490" s="4"/>
      <c r="C490" s="8"/>
      <c r="D490" s="4"/>
      <c r="E490" s="4"/>
      <c r="F490" s="8"/>
      <c r="G490" s="4"/>
      <c r="H490" s="4"/>
      <c r="I490" s="8"/>
      <c r="J490" s="4"/>
      <c r="K490" s="4"/>
      <c r="L490" s="8"/>
      <c r="M490" s="4"/>
      <c r="N490" s="4"/>
      <c r="O490" s="8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</row>
    <row r="491" ht="15.75" customHeight="1">
      <c r="A491" s="4"/>
      <c r="B491" s="4"/>
      <c r="C491" s="8"/>
      <c r="D491" s="4"/>
      <c r="E491" s="4"/>
      <c r="F491" s="8"/>
      <c r="G491" s="4"/>
      <c r="H491" s="4"/>
      <c r="I491" s="8"/>
      <c r="J491" s="4"/>
      <c r="K491" s="4"/>
      <c r="L491" s="8"/>
      <c r="M491" s="4"/>
      <c r="N491" s="4"/>
      <c r="O491" s="8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</row>
    <row r="492" ht="15.75" customHeight="1">
      <c r="A492" s="4"/>
      <c r="B492" s="4"/>
      <c r="C492" s="8"/>
      <c r="D492" s="4"/>
      <c r="E492" s="4"/>
      <c r="F492" s="8"/>
      <c r="G492" s="4"/>
      <c r="H492" s="4"/>
      <c r="I492" s="8"/>
      <c r="J492" s="4"/>
      <c r="K492" s="4"/>
      <c r="L492" s="8"/>
      <c r="M492" s="4"/>
      <c r="N492" s="4"/>
      <c r="O492" s="8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</row>
    <row r="493" ht="15.75" customHeight="1">
      <c r="A493" s="4"/>
      <c r="B493" s="4"/>
      <c r="C493" s="8"/>
      <c r="D493" s="4"/>
      <c r="E493" s="4"/>
      <c r="F493" s="8"/>
      <c r="G493" s="4"/>
      <c r="H493" s="4"/>
      <c r="I493" s="8"/>
      <c r="J493" s="4"/>
      <c r="K493" s="4"/>
      <c r="L493" s="8"/>
      <c r="M493" s="4"/>
      <c r="N493" s="4"/>
      <c r="O493" s="8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</row>
    <row r="494" ht="15.75" customHeight="1">
      <c r="A494" s="4"/>
      <c r="B494" s="4"/>
      <c r="C494" s="8"/>
      <c r="D494" s="4"/>
      <c r="E494" s="4"/>
      <c r="F494" s="8"/>
      <c r="G494" s="4"/>
      <c r="H494" s="4"/>
      <c r="I494" s="8"/>
      <c r="J494" s="4"/>
      <c r="K494" s="4"/>
      <c r="L494" s="8"/>
      <c r="M494" s="4"/>
      <c r="N494" s="4"/>
      <c r="O494" s="8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</row>
    <row r="495" ht="15.75" customHeight="1">
      <c r="A495" s="4"/>
      <c r="B495" s="4"/>
      <c r="C495" s="8"/>
      <c r="D495" s="4"/>
      <c r="E495" s="4"/>
      <c r="F495" s="8"/>
      <c r="G495" s="4"/>
      <c r="H495" s="4"/>
      <c r="I495" s="8"/>
      <c r="J495" s="4"/>
      <c r="K495" s="4"/>
      <c r="L495" s="8"/>
      <c r="M495" s="4"/>
      <c r="N495" s="4"/>
      <c r="O495" s="8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</row>
    <row r="496" ht="15.75" customHeight="1">
      <c r="A496" s="4"/>
      <c r="B496" s="4"/>
      <c r="C496" s="8"/>
      <c r="D496" s="4"/>
      <c r="E496" s="4"/>
      <c r="F496" s="8"/>
      <c r="G496" s="4"/>
      <c r="H496" s="4"/>
      <c r="I496" s="8"/>
      <c r="J496" s="4"/>
      <c r="K496" s="4"/>
      <c r="L496" s="8"/>
      <c r="M496" s="4"/>
      <c r="N496" s="4"/>
      <c r="O496" s="8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</row>
    <row r="497" ht="15.75" customHeight="1">
      <c r="A497" s="4"/>
      <c r="B497" s="4"/>
      <c r="C497" s="8"/>
      <c r="D497" s="4"/>
      <c r="E497" s="4"/>
      <c r="F497" s="8"/>
      <c r="G497" s="4"/>
      <c r="H497" s="4"/>
      <c r="I497" s="8"/>
      <c r="J497" s="4"/>
      <c r="K497" s="4"/>
      <c r="L497" s="8"/>
      <c r="M497" s="4"/>
      <c r="N497" s="4"/>
      <c r="O497" s="8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</row>
    <row r="498" ht="15.75" customHeight="1">
      <c r="A498" s="4"/>
      <c r="B498" s="4"/>
      <c r="C498" s="8"/>
      <c r="D498" s="4"/>
      <c r="E498" s="4"/>
      <c r="F498" s="8"/>
      <c r="G498" s="4"/>
      <c r="H498" s="4"/>
      <c r="I498" s="8"/>
      <c r="J498" s="4"/>
      <c r="K498" s="4"/>
      <c r="L498" s="8"/>
      <c r="M498" s="4"/>
      <c r="N498" s="4"/>
      <c r="O498" s="8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</row>
    <row r="499" ht="15.75" customHeight="1">
      <c r="A499" s="4"/>
      <c r="B499" s="4"/>
      <c r="C499" s="8"/>
      <c r="D499" s="4"/>
      <c r="E499" s="4"/>
      <c r="F499" s="8"/>
      <c r="G499" s="4"/>
      <c r="H499" s="4"/>
      <c r="I499" s="8"/>
      <c r="J499" s="4"/>
      <c r="K499" s="4"/>
      <c r="L499" s="8"/>
      <c r="M499" s="4"/>
      <c r="N499" s="4"/>
      <c r="O499" s="8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</row>
    <row r="500" ht="15.75" customHeight="1">
      <c r="A500" s="4"/>
      <c r="B500" s="4"/>
      <c r="C500" s="8"/>
      <c r="D500" s="4"/>
      <c r="E500" s="4"/>
      <c r="F500" s="8"/>
      <c r="G500" s="4"/>
      <c r="H500" s="4"/>
      <c r="I500" s="8"/>
      <c r="J500" s="4"/>
      <c r="K500" s="4"/>
      <c r="L500" s="8"/>
      <c r="M500" s="4"/>
      <c r="N500" s="4"/>
      <c r="O500" s="8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</row>
    <row r="501" ht="15.75" customHeight="1">
      <c r="A501" s="4"/>
      <c r="B501" s="4"/>
      <c r="C501" s="8"/>
      <c r="D501" s="4"/>
      <c r="E501" s="4"/>
      <c r="F501" s="8"/>
      <c r="G501" s="4"/>
      <c r="H501" s="4"/>
      <c r="I501" s="8"/>
      <c r="J501" s="4"/>
      <c r="K501" s="4"/>
      <c r="L501" s="8"/>
      <c r="M501" s="4"/>
      <c r="N501" s="4"/>
      <c r="O501" s="8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</row>
    <row r="502" ht="15.75" customHeight="1">
      <c r="A502" s="4"/>
      <c r="B502" s="4"/>
      <c r="C502" s="8"/>
      <c r="D502" s="4"/>
      <c r="E502" s="4"/>
      <c r="F502" s="8"/>
      <c r="G502" s="4"/>
      <c r="H502" s="4"/>
      <c r="I502" s="8"/>
      <c r="J502" s="4"/>
      <c r="K502" s="4"/>
      <c r="L502" s="8"/>
      <c r="M502" s="4"/>
      <c r="N502" s="4"/>
      <c r="O502" s="8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</row>
    <row r="503" ht="15.75" customHeight="1">
      <c r="A503" s="4"/>
      <c r="B503" s="4"/>
      <c r="C503" s="8"/>
      <c r="D503" s="4"/>
      <c r="E503" s="4"/>
      <c r="F503" s="8"/>
      <c r="G503" s="4"/>
      <c r="H503" s="4"/>
      <c r="I503" s="8"/>
      <c r="J503" s="4"/>
      <c r="K503" s="4"/>
      <c r="L503" s="8"/>
      <c r="M503" s="4"/>
      <c r="N503" s="4"/>
      <c r="O503" s="8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</row>
    <row r="504" ht="15.75" customHeight="1">
      <c r="A504" s="4"/>
      <c r="B504" s="4"/>
      <c r="C504" s="8"/>
      <c r="D504" s="4"/>
      <c r="E504" s="4"/>
      <c r="F504" s="8"/>
      <c r="G504" s="4"/>
      <c r="H504" s="4"/>
      <c r="I504" s="8"/>
      <c r="J504" s="4"/>
      <c r="K504" s="4"/>
      <c r="L504" s="8"/>
      <c r="M504" s="4"/>
      <c r="N504" s="4"/>
      <c r="O504" s="8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</row>
    <row r="505" ht="15.75" customHeight="1">
      <c r="A505" s="4"/>
      <c r="B505" s="4"/>
      <c r="C505" s="8"/>
      <c r="D505" s="4"/>
      <c r="E505" s="4"/>
      <c r="F505" s="8"/>
      <c r="G505" s="4"/>
      <c r="H505" s="4"/>
      <c r="I505" s="8"/>
      <c r="J505" s="4"/>
      <c r="K505" s="4"/>
      <c r="L505" s="8"/>
      <c r="M505" s="4"/>
      <c r="N505" s="4"/>
      <c r="O505" s="8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</row>
    <row r="506" ht="15.75" customHeight="1">
      <c r="A506" s="4"/>
      <c r="B506" s="4"/>
      <c r="C506" s="8"/>
      <c r="D506" s="4"/>
      <c r="E506" s="4"/>
      <c r="F506" s="8"/>
      <c r="G506" s="4"/>
      <c r="H506" s="4"/>
      <c r="I506" s="8"/>
      <c r="J506" s="4"/>
      <c r="K506" s="4"/>
      <c r="L506" s="8"/>
      <c r="M506" s="4"/>
      <c r="N506" s="4"/>
      <c r="O506" s="8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</row>
    <row r="507" ht="15.75" customHeight="1">
      <c r="A507" s="4"/>
      <c r="B507" s="4"/>
      <c r="C507" s="8"/>
      <c r="D507" s="4"/>
      <c r="E507" s="4"/>
      <c r="F507" s="8"/>
      <c r="G507" s="4"/>
      <c r="H507" s="4"/>
      <c r="I507" s="8"/>
      <c r="J507" s="4"/>
      <c r="K507" s="4"/>
      <c r="L507" s="8"/>
      <c r="M507" s="4"/>
      <c r="N507" s="4"/>
      <c r="O507" s="8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</row>
    <row r="508" ht="15.75" customHeight="1">
      <c r="A508" s="4"/>
      <c r="B508" s="4"/>
      <c r="C508" s="8"/>
      <c r="D508" s="4"/>
      <c r="E508" s="4"/>
      <c r="F508" s="8"/>
      <c r="G508" s="4"/>
      <c r="H508" s="4"/>
      <c r="I508" s="8"/>
      <c r="J508" s="4"/>
      <c r="K508" s="4"/>
      <c r="L508" s="8"/>
      <c r="M508" s="4"/>
      <c r="N508" s="4"/>
      <c r="O508" s="8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</row>
    <row r="509" ht="15.75" customHeight="1">
      <c r="A509" s="4"/>
      <c r="B509" s="4"/>
      <c r="C509" s="8"/>
      <c r="D509" s="4"/>
      <c r="E509" s="4"/>
      <c r="F509" s="8"/>
      <c r="G509" s="4"/>
      <c r="H509" s="4"/>
      <c r="I509" s="8"/>
      <c r="J509" s="4"/>
      <c r="K509" s="4"/>
      <c r="L509" s="8"/>
      <c r="M509" s="4"/>
      <c r="N509" s="4"/>
      <c r="O509" s="8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</row>
    <row r="510" ht="15.75" customHeight="1">
      <c r="A510" s="4"/>
      <c r="B510" s="4"/>
      <c r="C510" s="8"/>
      <c r="D510" s="4"/>
      <c r="E510" s="4"/>
      <c r="F510" s="8"/>
      <c r="G510" s="4"/>
      <c r="H510" s="4"/>
      <c r="I510" s="8"/>
      <c r="J510" s="4"/>
      <c r="K510" s="4"/>
      <c r="L510" s="8"/>
      <c r="M510" s="4"/>
      <c r="N510" s="4"/>
      <c r="O510" s="8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</row>
    <row r="511" ht="15.75" customHeight="1">
      <c r="A511" s="4"/>
      <c r="B511" s="4"/>
      <c r="C511" s="8"/>
      <c r="D511" s="4"/>
      <c r="E511" s="4"/>
      <c r="F511" s="8"/>
      <c r="G511" s="4"/>
      <c r="H511" s="4"/>
      <c r="I511" s="8"/>
      <c r="J511" s="4"/>
      <c r="K511" s="4"/>
      <c r="L511" s="8"/>
      <c r="M511" s="4"/>
      <c r="N511" s="4"/>
      <c r="O511" s="8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</row>
    <row r="512" ht="15.75" customHeight="1">
      <c r="A512" s="4"/>
      <c r="B512" s="4"/>
      <c r="C512" s="8"/>
      <c r="D512" s="4"/>
      <c r="E512" s="4"/>
      <c r="F512" s="8"/>
      <c r="G512" s="4"/>
      <c r="H512" s="4"/>
      <c r="I512" s="8"/>
      <c r="J512" s="4"/>
      <c r="K512" s="4"/>
      <c r="L512" s="8"/>
      <c r="M512" s="4"/>
      <c r="N512" s="4"/>
      <c r="O512" s="8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</row>
    <row r="513" ht="15.75" customHeight="1">
      <c r="A513" s="4"/>
      <c r="B513" s="4"/>
      <c r="C513" s="8"/>
      <c r="D513" s="4"/>
      <c r="E513" s="4"/>
      <c r="F513" s="8"/>
      <c r="G513" s="4"/>
      <c r="H513" s="4"/>
      <c r="I513" s="8"/>
      <c r="J513" s="4"/>
      <c r="K513" s="4"/>
      <c r="L513" s="8"/>
      <c r="M513" s="4"/>
      <c r="N513" s="4"/>
      <c r="O513" s="8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</row>
    <row r="514" ht="15.75" customHeight="1">
      <c r="A514" s="4"/>
      <c r="B514" s="4"/>
      <c r="C514" s="8"/>
      <c r="D514" s="4"/>
      <c r="E514" s="4"/>
      <c r="F514" s="8"/>
      <c r="G514" s="4"/>
      <c r="H514" s="4"/>
      <c r="I514" s="8"/>
      <c r="J514" s="4"/>
      <c r="K514" s="4"/>
      <c r="L514" s="8"/>
      <c r="M514" s="4"/>
      <c r="N514" s="4"/>
      <c r="O514" s="8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</row>
    <row r="515" ht="15.75" customHeight="1">
      <c r="A515" s="4"/>
      <c r="B515" s="4"/>
      <c r="C515" s="8"/>
      <c r="D515" s="4"/>
      <c r="E515" s="4"/>
      <c r="F515" s="8"/>
      <c r="G515" s="4"/>
      <c r="H515" s="4"/>
      <c r="I515" s="8"/>
      <c r="J515" s="4"/>
      <c r="K515" s="4"/>
      <c r="L515" s="8"/>
      <c r="M515" s="4"/>
      <c r="N515" s="4"/>
      <c r="O515" s="8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</row>
    <row r="516" ht="15.75" customHeight="1">
      <c r="A516" s="4"/>
      <c r="B516" s="4"/>
      <c r="C516" s="8"/>
      <c r="D516" s="4"/>
      <c r="E516" s="4"/>
      <c r="F516" s="8"/>
      <c r="G516" s="4"/>
      <c r="H516" s="4"/>
      <c r="I516" s="8"/>
      <c r="J516" s="4"/>
      <c r="K516" s="4"/>
      <c r="L516" s="8"/>
      <c r="M516" s="4"/>
      <c r="N516" s="4"/>
      <c r="O516" s="8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</row>
    <row r="517" ht="15.75" customHeight="1">
      <c r="A517" s="4"/>
      <c r="B517" s="4"/>
      <c r="C517" s="8"/>
      <c r="D517" s="4"/>
      <c r="E517" s="4"/>
      <c r="F517" s="8"/>
      <c r="G517" s="4"/>
      <c r="H517" s="4"/>
      <c r="I517" s="8"/>
      <c r="J517" s="4"/>
      <c r="K517" s="4"/>
      <c r="L517" s="8"/>
      <c r="M517" s="4"/>
      <c r="N517" s="4"/>
      <c r="O517" s="8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</row>
    <row r="518" ht="15.75" customHeight="1">
      <c r="A518" s="4"/>
      <c r="B518" s="4"/>
      <c r="C518" s="8"/>
      <c r="D518" s="4"/>
      <c r="E518" s="4"/>
      <c r="F518" s="8"/>
      <c r="G518" s="4"/>
      <c r="H518" s="4"/>
      <c r="I518" s="8"/>
      <c r="J518" s="4"/>
      <c r="K518" s="4"/>
      <c r="L518" s="8"/>
      <c r="M518" s="4"/>
      <c r="N518" s="4"/>
      <c r="O518" s="8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</row>
    <row r="519" ht="15.75" customHeight="1">
      <c r="A519" s="4"/>
      <c r="B519" s="4"/>
      <c r="C519" s="8"/>
      <c r="D519" s="4"/>
      <c r="E519" s="4"/>
      <c r="F519" s="8"/>
      <c r="G519" s="4"/>
      <c r="H519" s="4"/>
      <c r="I519" s="8"/>
      <c r="J519" s="4"/>
      <c r="K519" s="4"/>
      <c r="L519" s="8"/>
      <c r="M519" s="4"/>
      <c r="N519" s="4"/>
      <c r="O519" s="8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</row>
    <row r="520" ht="15.75" customHeight="1">
      <c r="A520" s="4"/>
      <c r="B520" s="4"/>
      <c r="C520" s="8"/>
      <c r="D520" s="4"/>
      <c r="E520" s="4"/>
      <c r="F520" s="8"/>
      <c r="G520" s="4"/>
      <c r="H520" s="4"/>
      <c r="I520" s="8"/>
      <c r="J520" s="4"/>
      <c r="K520" s="4"/>
      <c r="L520" s="8"/>
      <c r="M520" s="4"/>
      <c r="N520" s="4"/>
      <c r="O520" s="8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</row>
    <row r="521" ht="15.75" customHeight="1">
      <c r="A521" s="4"/>
      <c r="B521" s="4"/>
      <c r="C521" s="8"/>
      <c r="D521" s="4"/>
      <c r="E521" s="4"/>
      <c r="F521" s="8"/>
      <c r="G521" s="4"/>
      <c r="H521" s="4"/>
      <c r="I521" s="8"/>
      <c r="J521" s="4"/>
      <c r="K521" s="4"/>
      <c r="L521" s="8"/>
      <c r="M521" s="4"/>
      <c r="N521" s="4"/>
      <c r="O521" s="8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</row>
    <row r="522" ht="15.75" customHeight="1">
      <c r="A522" s="4"/>
      <c r="B522" s="4"/>
      <c r="C522" s="8"/>
      <c r="D522" s="4"/>
      <c r="E522" s="4"/>
      <c r="F522" s="8"/>
      <c r="G522" s="4"/>
      <c r="H522" s="4"/>
      <c r="I522" s="8"/>
      <c r="J522" s="4"/>
      <c r="K522" s="4"/>
      <c r="L522" s="8"/>
      <c r="M522" s="4"/>
      <c r="N522" s="4"/>
      <c r="O522" s="8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</row>
    <row r="523" ht="15.75" customHeight="1">
      <c r="A523" s="4"/>
      <c r="B523" s="4"/>
      <c r="C523" s="8"/>
      <c r="D523" s="4"/>
      <c r="E523" s="4"/>
      <c r="F523" s="8"/>
      <c r="G523" s="4"/>
      <c r="H523" s="4"/>
      <c r="I523" s="8"/>
      <c r="J523" s="4"/>
      <c r="K523" s="4"/>
      <c r="L523" s="8"/>
      <c r="M523" s="4"/>
      <c r="N523" s="4"/>
      <c r="O523" s="8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</row>
    <row r="524" ht="15.75" customHeight="1">
      <c r="A524" s="4"/>
      <c r="B524" s="4"/>
      <c r="C524" s="8"/>
      <c r="D524" s="4"/>
      <c r="E524" s="4"/>
      <c r="F524" s="8"/>
      <c r="G524" s="4"/>
      <c r="H524" s="4"/>
      <c r="I524" s="8"/>
      <c r="J524" s="4"/>
      <c r="K524" s="4"/>
      <c r="L524" s="8"/>
      <c r="M524" s="4"/>
      <c r="N524" s="4"/>
      <c r="O524" s="8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</row>
    <row r="525" ht="15.75" customHeight="1">
      <c r="A525" s="4"/>
      <c r="B525" s="4"/>
      <c r="C525" s="8"/>
      <c r="D525" s="4"/>
      <c r="E525" s="4"/>
      <c r="F525" s="8"/>
      <c r="G525" s="4"/>
      <c r="H525" s="4"/>
      <c r="I525" s="8"/>
      <c r="J525" s="4"/>
      <c r="K525" s="4"/>
      <c r="L525" s="8"/>
      <c r="M525" s="4"/>
      <c r="N525" s="4"/>
      <c r="O525" s="8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</row>
    <row r="526" ht="15.75" customHeight="1">
      <c r="A526" s="4"/>
      <c r="B526" s="4"/>
      <c r="C526" s="8"/>
      <c r="D526" s="4"/>
      <c r="E526" s="4"/>
      <c r="F526" s="8"/>
      <c r="G526" s="4"/>
      <c r="H526" s="4"/>
      <c r="I526" s="8"/>
      <c r="J526" s="4"/>
      <c r="K526" s="4"/>
      <c r="L526" s="8"/>
      <c r="M526" s="4"/>
      <c r="N526" s="4"/>
      <c r="O526" s="8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</row>
    <row r="527" ht="15.75" customHeight="1">
      <c r="A527" s="4"/>
      <c r="B527" s="4"/>
      <c r="C527" s="8"/>
      <c r="D527" s="4"/>
      <c r="E527" s="4"/>
      <c r="F527" s="8"/>
      <c r="G527" s="4"/>
      <c r="H527" s="4"/>
      <c r="I527" s="8"/>
      <c r="J527" s="4"/>
      <c r="K527" s="4"/>
      <c r="L527" s="8"/>
      <c r="M527" s="4"/>
      <c r="N527" s="4"/>
      <c r="O527" s="8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</row>
    <row r="528" ht="15.75" customHeight="1">
      <c r="A528" s="4"/>
      <c r="B528" s="4"/>
      <c r="C528" s="8"/>
      <c r="D528" s="4"/>
      <c r="E528" s="4"/>
      <c r="F528" s="8"/>
      <c r="G528" s="4"/>
      <c r="H528" s="4"/>
      <c r="I528" s="8"/>
      <c r="J528" s="4"/>
      <c r="K528" s="4"/>
      <c r="L528" s="8"/>
      <c r="M528" s="4"/>
      <c r="N528" s="4"/>
      <c r="O528" s="8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</row>
    <row r="529" ht="15.75" customHeight="1">
      <c r="A529" s="4"/>
      <c r="B529" s="4"/>
      <c r="C529" s="8"/>
      <c r="D529" s="4"/>
      <c r="E529" s="4"/>
      <c r="F529" s="8"/>
      <c r="G529" s="4"/>
      <c r="H529" s="4"/>
      <c r="I529" s="8"/>
      <c r="J529" s="4"/>
      <c r="K529" s="4"/>
      <c r="L529" s="8"/>
      <c r="M529" s="4"/>
      <c r="N529" s="4"/>
      <c r="O529" s="8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</row>
    <row r="530" ht="15.75" customHeight="1">
      <c r="A530" s="4"/>
      <c r="B530" s="4"/>
      <c r="C530" s="8"/>
      <c r="D530" s="4"/>
      <c r="E530" s="4"/>
      <c r="F530" s="8"/>
      <c r="G530" s="4"/>
      <c r="H530" s="4"/>
      <c r="I530" s="8"/>
      <c r="J530" s="4"/>
      <c r="K530" s="4"/>
      <c r="L530" s="8"/>
      <c r="M530" s="4"/>
      <c r="N530" s="4"/>
      <c r="O530" s="8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</row>
    <row r="531" ht="15.75" customHeight="1">
      <c r="A531" s="4"/>
      <c r="B531" s="4"/>
      <c r="C531" s="8"/>
      <c r="D531" s="4"/>
      <c r="E531" s="4"/>
      <c r="F531" s="8"/>
      <c r="G531" s="4"/>
      <c r="H531" s="4"/>
      <c r="I531" s="8"/>
      <c r="J531" s="4"/>
      <c r="K531" s="4"/>
      <c r="L531" s="8"/>
      <c r="M531" s="4"/>
      <c r="N531" s="4"/>
      <c r="O531" s="8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</row>
    <row r="532" ht="15.75" customHeight="1">
      <c r="A532" s="4"/>
      <c r="B532" s="4"/>
      <c r="C532" s="8"/>
      <c r="D532" s="4"/>
      <c r="E532" s="4"/>
      <c r="F532" s="8"/>
      <c r="G532" s="4"/>
      <c r="H532" s="4"/>
      <c r="I532" s="8"/>
      <c r="J532" s="4"/>
      <c r="K532" s="4"/>
      <c r="L532" s="8"/>
      <c r="M532" s="4"/>
      <c r="N532" s="4"/>
      <c r="O532" s="8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</row>
    <row r="533" ht="15.75" customHeight="1">
      <c r="A533" s="4"/>
      <c r="B533" s="4"/>
      <c r="C533" s="8"/>
      <c r="D533" s="4"/>
      <c r="E533" s="4"/>
      <c r="F533" s="8"/>
      <c r="G533" s="4"/>
      <c r="H533" s="4"/>
      <c r="I533" s="8"/>
      <c r="J533" s="4"/>
      <c r="K533" s="4"/>
      <c r="L533" s="8"/>
      <c r="M533" s="4"/>
      <c r="N533" s="4"/>
      <c r="O533" s="8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</row>
    <row r="534" ht="15.75" customHeight="1">
      <c r="A534" s="4"/>
      <c r="B534" s="4"/>
      <c r="C534" s="8"/>
      <c r="D534" s="4"/>
      <c r="E534" s="4"/>
      <c r="F534" s="8"/>
      <c r="G534" s="4"/>
      <c r="H534" s="4"/>
      <c r="I534" s="8"/>
      <c r="J534" s="4"/>
      <c r="K534" s="4"/>
      <c r="L534" s="8"/>
      <c r="M534" s="4"/>
      <c r="N534" s="4"/>
      <c r="O534" s="8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</row>
    <row r="535" ht="15.75" customHeight="1">
      <c r="A535" s="4"/>
      <c r="B535" s="4"/>
      <c r="C535" s="8"/>
      <c r="D535" s="4"/>
      <c r="E535" s="4"/>
      <c r="F535" s="8"/>
      <c r="G535" s="4"/>
      <c r="H535" s="4"/>
      <c r="I535" s="8"/>
      <c r="J535" s="4"/>
      <c r="K535" s="4"/>
      <c r="L535" s="8"/>
      <c r="M535" s="4"/>
      <c r="N535" s="4"/>
      <c r="O535" s="8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</row>
    <row r="536" ht="15.75" customHeight="1">
      <c r="A536" s="4"/>
      <c r="B536" s="4"/>
      <c r="C536" s="8"/>
      <c r="D536" s="4"/>
      <c r="E536" s="4"/>
      <c r="F536" s="8"/>
      <c r="G536" s="4"/>
      <c r="H536" s="4"/>
      <c r="I536" s="8"/>
      <c r="J536" s="4"/>
      <c r="K536" s="4"/>
      <c r="L536" s="8"/>
      <c r="M536" s="4"/>
      <c r="N536" s="4"/>
      <c r="O536" s="8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</row>
    <row r="537" ht="15.75" customHeight="1">
      <c r="A537" s="4"/>
      <c r="B537" s="4"/>
      <c r="C537" s="8"/>
      <c r="D537" s="4"/>
      <c r="E537" s="4"/>
      <c r="F537" s="8"/>
      <c r="G537" s="4"/>
      <c r="H537" s="4"/>
      <c r="I537" s="8"/>
      <c r="J537" s="4"/>
      <c r="K537" s="4"/>
      <c r="L537" s="8"/>
      <c r="M537" s="4"/>
      <c r="N537" s="4"/>
      <c r="O537" s="8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</row>
    <row r="538" ht="15.75" customHeight="1">
      <c r="A538" s="4"/>
      <c r="B538" s="4"/>
      <c r="C538" s="8"/>
      <c r="D538" s="4"/>
      <c r="E538" s="4"/>
      <c r="F538" s="8"/>
      <c r="G538" s="4"/>
      <c r="H538" s="4"/>
      <c r="I538" s="8"/>
      <c r="J538" s="4"/>
      <c r="K538" s="4"/>
      <c r="L538" s="8"/>
      <c r="M538" s="4"/>
      <c r="N538" s="4"/>
      <c r="O538" s="8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</row>
    <row r="539" ht="15.75" customHeight="1">
      <c r="A539" s="4"/>
      <c r="B539" s="4"/>
      <c r="C539" s="8"/>
      <c r="D539" s="4"/>
      <c r="E539" s="4"/>
      <c r="F539" s="8"/>
      <c r="G539" s="4"/>
      <c r="H539" s="4"/>
      <c r="I539" s="8"/>
      <c r="J539" s="4"/>
      <c r="K539" s="4"/>
      <c r="L539" s="8"/>
      <c r="M539" s="4"/>
      <c r="N539" s="4"/>
      <c r="O539" s="8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</row>
    <row r="540" ht="15.75" customHeight="1">
      <c r="A540" s="4"/>
      <c r="B540" s="4"/>
      <c r="C540" s="8"/>
      <c r="D540" s="4"/>
      <c r="E540" s="4"/>
      <c r="F540" s="8"/>
      <c r="G540" s="4"/>
      <c r="H540" s="4"/>
      <c r="I540" s="8"/>
      <c r="J540" s="4"/>
      <c r="K540" s="4"/>
      <c r="L540" s="8"/>
      <c r="M540" s="4"/>
      <c r="N540" s="4"/>
      <c r="O540" s="8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</row>
    <row r="541" ht="15.75" customHeight="1">
      <c r="A541" s="4"/>
      <c r="B541" s="4"/>
      <c r="C541" s="8"/>
      <c r="D541" s="4"/>
      <c r="E541" s="4"/>
      <c r="F541" s="8"/>
      <c r="G541" s="4"/>
      <c r="H541" s="4"/>
      <c r="I541" s="8"/>
      <c r="J541" s="4"/>
      <c r="K541" s="4"/>
      <c r="L541" s="8"/>
      <c r="M541" s="4"/>
      <c r="N541" s="4"/>
      <c r="O541" s="8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</row>
    <row r="542" ht="15.75" customHeight="1">
      <c r="A542" s="4"/>
      <c r="B542" s="4"/>
      <c r="C542" s="8"/>
      <c r="D542" s="4"/>
      <c r="E542" s="4"/>
      <c r="F542" s="8"/>
      <c r="G542" s="4"/>
      <c r="H542" s="4"/>
      <c r="I542" s="8"/>
      <c r="J542" s="4"/>
      <c r="K542" s="4"/>
      <c r="L542" s="8"/>
      <c r="M542" s="4"/>
      <c r="N542" s="4"/>
      <c r="O542" s="8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</row>
    <row r="543" ht="15.75" customHeight="1">
      <c r="A543" s="4"/>
      <c r="B543" s="4"/>
      <c r="C543" s="8"/>
      <c r="D543" s="4"/>
      <c r="E543" s="4"/>
      <c r="F543" s="8"/>
      <c r="G543" s="4"/>
      <c r="H543" s="4"/>
      <c r="I543" s="8"/>
      <c r="J543" s="4"/>
      <c r="K543" s="4"/>
      <c r="L543" s="8"/>
      <c r="M543" s="4"/>
      <c r="N543" s="4"/>
      <c r="O543" s="8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</row>
    <row r="544" ht="15.75" customHeight="1">
      <c r="A544" s="4"/>
      <c r="B544" s="4"/>
      <c r="C544" s="8"/>
      <c r="D544" s="4"/>
      <c r="E544" s="4"/>
      <c r="F544" s="8"/>
      <c r="G544" s="4"/>
      <c r="H544" s="4"/>
      <c r="I544" s="8"/>
      <c r="J544" s="4"/>
      <c r="K544" s="4"/>
      <c r="L544" s="8"/>
      <c r="M544" s="4"/>
      <c r="N544" s="4"/>
      <c r="O544" s="8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</row>
    <row r="545" ht="15.75" customHeight="1">
      <c r="A545" s="4"/>
      <c r="B545" s="4"/>
      <c r="C545" s="8"/>
      <c r="D545" s="4"/>
      <c r="E545" s="4"/>
      <c r="F545" s="8"/>
      <c r="G545" s="4"/>
      <c r="H545" s="4"/>
      <c r="I545" s="8"/>
      <c r="J545" s="4"/>
      <c r="K545" s="4"/>
      <c r="L545" s="8"/>
      <c r="M545" s="4"/>
      <c r="N545" s="4"/>
      <c r="O545" s="8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</row>
    <row r="546" ht="15.75" customHeight="1">
      <c r="A546" s="4"/>
      <c r="B546" s="4"/>
      <c r="C546" s="8"/>
      <c r="D546" s="4"/>
      <c r="E546" s="4"/>
      <c r="F546" s="8"/>
      <c r="G546" s="4"/>
      <c r="H546" s="4"/>
      <c r="I546" s="8"/>
      <c r="J546" s="4"/>
      <c r="K546" s="4"/>
      <c r="L546" s="8"/>
      <c r="M546" s="4"/>
      <c r="N546" s="4"/>
      <c r="O546" s="8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</row>
    <row r="547" ht="15.75" customHeight="1">
      <c r="A547" s="4"/>
      <c r="B547" s="4"/>
      <c r="C547" s="8"/>
      <c r="D547" s="4"/>
      <c r="E547" s="4"/>
      <c r="F547" s="8"/>
      <c r="G547" s="4"/>
      <c r="H547" s="4"/>
      <c r="I547" s="8"/>
      <c r="J547" s="4"/>
      <c r="K547" s="4"/>
      <c r="L547" s="8"/>
      <c r="M547" s="4"/>
      <c r="N547" s="4"/>
      <c r="O547" s="8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</row>
    <row r="548" ht="15.75" customHeight="1">
      <c r="A548" s="4"/>
      <c r="B548" s="4"/>
      <c r="C548" s="8"/>
      <c r="D548" s="4"/>
      <c r="E548" s="4"/>
      <c r="F548" s="8"/>
      <c r="G548" s="4"/>
      <c r="H548" s="4"/>
      <c r="I548" s="8"/>
      <c r="J548" s="4"/>
      <c r="K548" s="4"/>
      <c r="L548" s="8"/>
      <c r="M548" s="4"/>
      <c r="N548" s="4"/>
      <c r="O548" s="8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</row>
    <row r="549" ht="15.75" customHeight="1">
      <c r="A549" s="4"/>
      <c r="B549" s="4"/>
      <c r="C549" s="8"/>
      <c r="D549" s="4"/>
      <c r="E549" s="4"/>
      <c r="F549" s="8"/>
      <c r="G549" s="4"/>
      <c r="H549" s="4"/>
      <c r="I549" s="8"/>
      <c r="J549" s="4"/>
      <c r="K549" s="4"/>
      <c r="L549" s="8"/>
      <c r="M549" s="4"/>
      <c r="N549" s="4"/>
      <c r="O549" s="8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</row>
    <row r="550" ht="15.75" customHeight="1">
      <c r="A550" s="4"/>
      <c r="B550" s="4"/>
      <c r="C550" s="8"/>
      <c r="D550" s="4"/>
      <c r="E550" s="4"/>
      <c r="F550" s="8"/>
      <c r="G550" s="4"/>
      <c r="H550" s="4"/>
      <c r="I550" s="8"/>
      <c r="J550" s="4"/>
      <c r="K550" s="4"/>
      <c r="L550" s="8"/>
      <c r="M550" s="4"/>
      <c r="N550" s="4"/>
      <c r="O550" s="8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</row>
    <row r="551" ht="15.75" customHeight="1">
      <c r="A551" s="4"/>
      <c r="B551" s="4"/>
      <c r="C551" s="8"/>
      <c r="D551" s="4"/>
      <c r="E551" s="4"/>
      <c r="F551" s="8"/>
      <c r="G551" s="4"/>
      <c r="H551" s="4"/>
      <c r="I551" s="8"/>
      <c r="J551" s="4"/>
      <c r="K551" s="4"/>
      <c r="L551" s="8"/>
      <c r="M551" s="4"/>
      <c r="N551" s="4"/>
      <c r="O551" s="8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</row>
    <row r="552" ht="15.75" customHeight="1">
      <c r="A552" s="4"/>
      <c r="B552" s="4"/>
      <c r="C552" s="8"/>
      <c r="D552" s="4"/>
      <c r="E552" s="4"/>
      <c r="F552" s="8"/>
      <c r="G552" s="4"/>
      <c r="H552" s="4"/>
      <c r="I552" s="8"/>
      <c r="J552" s="4"/>
      <c r="K552" s="4"/>
      <c r="L552" s="8"/>
      <c r="M552" s="4"/>
      <c r="N552" s="4"/>
      <c r="O552" s="8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</row>
    <row r="553" ht="15.75" customHeight="1">
      <c r="A553" s="4"/>
      <c r="B553" s="4"/>
      <c r="C553" s="8"/>
      <c r="D553" s="4"/>
      <c r="E553" s="4"/>
      <c r="F553" s="8"/>
      <c r="G553" s="4"/>
      <c r="H553" s="4"/>
      <c r="I553" s="8"/>
      <c r="J553" s="4"/>
      <c r="K553" s="4"/>
      <c r="L553" s="8"/>
      <c r="M553" s="4"/>
      <c r="N553" s="4"/>
      <c r="O553" s="8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</row>
    <row r="554" ht="15.75" customHeight="1">
      <c r="A554" s="4"/>
      <c r="B554" s="4"/>
      <c r="C554" s="8"/>
      <c r="D554" s="4"/>
      <c r="E554" s="4"/>
      <c r="F554" s="8"/>
      <c r="G554" s="4"/>
      <c r="H554" s="4"/>
      <c r="I554" s="8"/>
      <c r="J554" s="4"/>
      <c r="K554" s="4"/>
      <c r="L554" s="8"/>
      <c r="M554" s="4"/>
      <c r="N554" s="4"/>
      <c r="O554" s="8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</row>
    <row r="555" ht="15.75" customHeight="1">
      <c r="A555" s="4"/>
      <c r="B555" s="4"/>
      <c r="C555" s="8"/>
      <c r="D555" s="4"/>
      <c r="E555" s="4"/>
      <c r="F555" s="8"/>
      <c r="G555" s="4"/>
      <c r="H555" s="4"/>
      <c r="I555" s="8"/>
      <c r="J555" s="4"/>
      <c r="K555" s="4"/>
      <c r="L555" s="8"/>
      <c r="M555" s="4"/>
      <c r="N555" s="4"/>
      <c r="O555" s="8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</row>
    <row r="556" ht="15.75" customHeight="1">
      <c r="A556" s="4"/>
      <c r="B556" s="4"/>
      <c r="C556" s="8"/>
      <c r="D556" s="4"/>
      <c r="E556" s="4"/>
      <c r="F556" s="8"/>
      <c r="G556" s="4"/>
      <c r="H556" s="4"/>
      <c r="I556" s="8"/>
      <c r="J556" s="4"/>
      <c r="K556" s="4"/>
      <c r="L556" s="8"/>
      <c r="M556" s="4"/>
      <c r="N556" s="4"/>
      <c r="O556" s="8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</row>
    <row r="557" ht="15.75" customHeight="1">
      <c r="A557" s="4"/>
      <c r="B557" s="4"/>
      <c r="C557" s="8"/>
      <c r="D557" s="4"/>
      <c r="E557" s="4"/>
      <c r="F557" s="8"/>
      <c r="G557" s="4"/>
      <c r="H557" s="4"/>
      <c r="I557" s="8"/>
      <c r="J557" s="4"/>
      <c r="K557" s="4"/>
      <c r="L557" s="8"/>
      <c r="M557" s="4"/>
      <c r="N557" s="4"/>
      <c r="O557" s="8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</row>
    <row r="558" ht="15.75" customHeight="1">
      <c r="A558" s="4"/>
      <c r="B558" s="4"/>
      <c r="C558" s="8"/>
      <c r="D558" s="4"/>
      <c r="E558" s="4"/>
      <c r="F558" s="8"/>
      <c r="G558" s="4"/>
      <c r="H558" s="4"/>
      <c r="I558" s="8"/>
      <c r="J558" s="4"/>
      <c r="K558" s="4"/>
      <c r="L558" s="8"/>
      <c r="M558" s="4"/>
      <c r="N558" s="4"/>
      <c r="O558" s="8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</row>
    <row r="559" ht="15.75" customHeight="1">
      <c r="A559" s="4"/>
      <c r="B559" s="4"/>
      <c r="C559" s="8"/>
      <c r="D559" s="4"/>
      <c r="E559" s="4"/>
      <c r="F559" s="8"/>
      <c r="G559" s="4"/>
      <c r="H559" s="4"/>
      <c r="I559" s="8"/>
      <c r="J559" s="4"/>
      <c r="K559" s="4"/>
      <c r="L559" s="8"/>
      <c r="M559" s="4"/>
      <c r="N559" s="4"/>
      <c r="O559" s="8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</row>
    <row r="560" ht="15.75" customHeight="1">
      <c r="A560" s="4"/>
      <c r="B560" s="4"/>
      <c r="C560" s="8"/>
      <c r="D560" s="4"/>
      <c r="E560" s="4"/>
      <c r="F560" s="8"/>
      <c r="G560" s="4"/>
      <c r="H560" s="4"/>
      <c r="I560" s="8"/>
      <c r="J560" s="4"/>
      <c r="K560" s="4"/>
      <c r="L560" s="8"/>
      <c r="M560" s="4"/>
      <c r="N560" s="4"/>
      <c r="O560" s="8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</row>
    <row r="561" ht="15.75" customHeight="1">
      <c r="A561" s="4"/>
      <c r="B561" s="4"/>
      <c r="C561" s="8"/>
      <c r="D561" s="4"/>
      <c r="E561" s="4"/>
      <c r="F561" s="8"/>
      <c r="G561" s="4"/>
      <c r="H561" s="4"/>
      <c r="I561" s="8"/>
      <c r="J561" s="4"/>
      <c r="K561" s="4"/>
      <c r="L561" s="8"/>
      <c r="M561" s="4"/>
      <c r="N561" s="4"/>
      <c r="O561" s="8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</row>
    <row r="562" ht="15.75" customHeight="1">
      <c r="A562" s="4"/>
      <c r="B562" s="4"/>
      <c r="C562" s="8"/>
      <c r="D562" s="4"/>
      <c r="E562" s="4"/>
      <c r="F562" s="8"/>
      <c r="G562" s="4"/>
      <c r="H562" s="4"/>
      <c r="I562" s="8"/>
      <c r="J562" s="4"/>
      <c r="K562" s="4"/>
      <c r="L562" s="8"/>
      <c r="M562" s="4"/>
      <c r="N562" s="4"/>
      <c r="O562" s="8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</row>
    <row r="563" ht="15.75" customHeight="1">
      <c r="A563" s="4"/>
      <c r="B563" s="4"/>
      <c r="C563" s="8"/>
      <c r="D563" s="4"/>
      <c r="E563" s="4"/>
      <c r="F563" s="8"/>
      <c r="G563" s="4"/>
      <c r="H563" s="4"/>
      <c r="I563" s="8"/>
      <c r="J563" s="4"/>
      <c r="K563" s="4"/>
      <c r="L563" s="8"/>
      <c r="M563" s="4"/>
      <c r="N563" s="4"/>
      <c r="O563" s="8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</row>
    <row r="564" ht="15.75" customHeight="1">
      <c r="A564" s="4"/>
      <c r="B564" s="4"/>
      <c r="C564" s="8"/>
      <c r="D564" s="4"/>
      <c r="E564" s="4"/>
      <c r="F564" s="8"/>
      <c r="G564" s="4"/>
      <c r="H564" s="4"/>
      <c r="I564" s="8"/>
      <c r="J564" s="4"/>
      <c r="K564" s="4"/>
      <c r="L564" s="8"/>
      <c r="M564" s="4"/>
      <c r="N564" s="4"/>
      <c r="O564" s="8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</row>
    <row r="565" ht="15.75" customHeight="1">
      <c r="A565" s="4"/>
      <c r="B565" s="4"/>
      <c r="C565" s="8"/>
      <c r="D565" s="4"/>
      <c r="E565" s="4"/>
      <c r="F565" s="8"/>
      <c r="G565" s="4"/>
      <c r="H565" s="4"/>
      <c r="I565" s="8"/>
      <c r="J565" s="4"/>
      <c r="K565" s="4"/>
      <c r="L565" s="8"/>
      <c r="M565" s="4"/>
      <c r="N565" s="4"/>
      <c r="O565" s="8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</row>
    <row r="566" ht="15.75" customHeight="1">
      <c r="A566" s="4"/>
      <c r="B566" s="4"/>
      <c r="C566" s="8"/>
      <c r="D566" s="4"/>
      <c r="E566" s="4"/>
      <c r="F566" s="8"/>
      <c r="G566" s="4"/>
      <c r="H566" s="4"/>
      <c r="I566" s="8"/>
      <c r="J566" s="4"/>
      <c r="K566" s="4"/>
      <c r="L566" s="8"/>
      <c r="M566" s="4"/>
      <c r="N566" s="4"/>
      <c r="O566" s="8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</row>
    <row r="567" ht="15.75" customHeight="1">
      <c r="A567" s="4"/>
      <c r="B567" s="4"/>
      <c r="C567" s="8"/>
      <c r="D567" s="4"/>
      <c r="E567" s="4"/>
      <c r="F567" s="8"/>
      <c r="G567" s="4"/>
      <c r="H567" s="4"/>
      <c r="I567" s="8"/>
      <c r="J567" s="4"/>
      <c r="K567" s="4"/>
      <c r="L567" s="8"/>
      <c r="M567" s="4"/>
      <c r="N567" s="4"/>
      <c r="O567" s="8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</row>
    <row r="568" ht="15.75" customHeight="1">
      <c r="A568" s="4"/>
      <c r="B568" s="4"/>
      <c r="C568" s="8"/>
      <c r="D568" s="4"/>
      <c r="E568" s="4"/>
      <c r="F568" s="8"/>
      <c r="G568" s="4"/>
      <c r="H568" s="4"/>
      <c r="I568" s="8"/>
      <c r="J568" s="4"/>
      <c r="K568" s="4"/>
      <c r="L568" s="8"/>
      <c r="M568" s="4"/>
      <c r="N568" s="4"/>
      <c r="O568" s="8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</row>
    <row r="569" ht="15.75" customHeight="1">
      <c r="A569" s="4"/>
      <c r="B569" s="4"/>
      <c r="C569" s="8"/>
      <c r="D569" s="4"/>
      <c r="E569" s="4"/>
      <c r="F569" s="8"/>
      <c r="G569" s="4"/>
      <c r="H569" s="4"/>
      <c r="I569" s="8"/>
      <c r="J569" s="4"/>
      <c r="K569" s="4"/>
      <c r="L569" s="8"/>
      <c r="M569" s="4"/>
      <c r="N569" s="4"/>
      <c r="O569" s="8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</row>
    <row r="570" ht="15.75" customHeight="1">
      <c r="A570" s="4"/>
      <c r="B570" s="4"/>
      <c r="C570" s="8"/>
      <c r="D570" s="4"/>
      <c r="E570" s="4"/>
      <c r="F570" s="8"/>
      <c r="G570" s="4"/>
      <c r="H570" s="4"/>
      <c r="I570" s="8"/>
      <c r="J570" s="4"/>
      <c r="K570" s="4"/>
      <c r="L570" s="8"/>
      <c r="M570" s="4"/>
      <c r="N570" s="4"/>
      <c r="O570" s="8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</row>
    <row r="571" ht="15.75" customHeight="1">
      <c r="A571" s="4"/>
      <c r="B571" s="4"/>
      <c r="C571" s="8"/>
      <c r="D571" s="4"/>
      <c r="E571" s="4"/>
      <c r="F571" s="8"/>
      <c r="G571" s="4"/>
      <c r="H571" s="4"/>
      <c r="I571" s="8"/>
      <c r="J571" s="4"/>
      <c r="K571" s="4"/>
      <c r="L571" s="8"/>
      <c r="M571" s="4"/>
      <c r="N571" s="4"/>
      <c r="O571" s="8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</row>
    <row r="572" ht="15.75" customHeight="1">
      <c r="A572" s="4"/>
      <c r="B572" s="4"/>
      <c r="C572" s="8"/>
      <c r="D572" s="4"/>
      <c r="E572" s="4"/>
      <c r="F572" s="8"/>
      <c r="G572" s="4"/>
      <c r="H572" s="4"/>
      <c r="I572" s="8"/>
      <c r="J572" s="4"/>
      <c r="K572" s="4"/>
      <c r="L572" s="8"/>
      <c r="M572" s="4"/>
      <c r="N572" s="4"/>
      <c r="O572" s="8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</row>
    <row r="573" ht="15.75" customHeight="1">
      <c r="A573" s="4"/>
      <c r="B573" s="4"/>
      <c r="C573" s="8"/>
      <c r="D573" s="4"/>
      <c r="E573" s="4"/>
      <c r="F573" s="8"/>
      <c r="G573" s="4"/>
      <c r="H573" s="4"/>
      <c r="I573" s="8"/>
      <c r="J573" s="4"/>
      <c r="K573" s="4"/>
      <c r="L573" s="8"/>
      <c r="M573" s="4"/>
      <c r="N573" s="4"/>
      <c r="O573" s="8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</row>
    <row r="574" ht="15.75" customHeight="1">
      <c r="A574" s="4"/>
      <c r="B574" s="4"/>
      <c r="C574" s="8"/>
      <c r="D574" s="4"/>
      <c r="E574" s="4"/>
      <c r="F574" s="8"/>
      <c r="G574" s="4"/>
      <c r="H574" s="4"/>
      <c r="I574" s="8"/>
      <c r="J574" s="4"/>
      <c r="K574" s="4"/>
      <c r="L574" s="8"/>
      <c r="M574" s="4"/>
      <c r="N574" s="4"/>
      <c r="O574" s="8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</row>
    <row r="575" ht="15.75" customHeight="1">
      <c r="A575" s="4"/>
      <c r="B575" s="4"/>
      <c r="C575" s="8"/>
      <c r="D575" s="4"/>
      <c r="E575" s="4"/>
      <c r="F575" s="8"/>
      <c r="G575" s="4"/>
      <c r="H575" s="4"/>
      <c r="I575" s="8"/>
      <c r="J575" s="4"/>
      <c r="K575" s="4"/>
      <c r="L575" s="8"/>
      <c r="M575" s="4"/>
      <c r="N575" s="4"/>
      <c r="O575" s="8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</row>
    <row r="576" ht="15.75" customHeight="1">
      <c r="A576" s="4"/>
      <c r="B576" s="4"/>
      <c r="C576" s="8"/>
      <c r="D576" s="4"/>
      <c r="E576" s="4"/>
      <c r="F576" s="8"/>
      <c r="G576" s="4"/>
      <c r="H576" s="4"/>
      <c r="I576" s="8"/>
      <c r="J576" s="4"/>
      <c r="K576" s="4"/>
      <c r="L576" s="8"/>
      <c r="M576" s="4"/>
      <c r="N576" s="4"/>
      <c r="O576" s="8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</row>
    <row r="577" ht="15.75" customHeight="1">
      <c r="A577" s="4"/>
      <c r="B577" s="4"/>
      <c r="C577" s="8"/>
      <c r="D577" s="4"/>
      <c r="E577" s="4"/>
      <c r="F577" s="8"/>
      <c r="G577" s="4"/>
      <c r="H577" s="4"/>
      <c r="I577" s="8"/>
      <c r="J577" s="4"/>
      <c r="K577" s="4"/>
      <c r="L577" s="8"/>
      <c r="M577" s="4"/>
      <c r="N577" s="4"/>
      <c r="O577" s="8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</row>
    <row r="578" ht="15.75" customHeight="1">
      <c r="A578" s="4"/>
      <c r="B578" s="4"/>
      <c r="C578" s="8"/>
      <c r="D578" s="4"/>
      <c r="E578" s="4"/>
      <c r="F578" s="8"/>
      <c r="G578" s="4"/>
      <c r="H578" s="4"/>
      <c r="I578" s="8"/>
      <c r="J578" s="4"/>
      <c r="K578" s="4"/>
      <c r="L578" s="8"/>
      <c r="M578" s="4"/>
      <c r="N578" s="4"/>
      <c r="O578" s="8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</row>
    <row r="579" ht="15.75" customHeight="1">
      <c r="A579" s="4"/>
      <c r="B579" s="4"/>
      <c r="C579" s="8"/>
      <c r="D579" s="4"/>
      <c r="E579" s="4"/>
      <c r="F579" s="8"/>
      <c r="G579" s="4"/>
      <c r="H579" s="4"/>
      <c r="I579" s="8"/>
      <c r="J579" s="4"/>
      <c r="K579" s="4"/>
      <c r="L579" s="8"/>
      <c r="M579" s="4"/>
      <c r="N579" s="4"/>
      <c r="O579" s="8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</row>
    <row r="580" ht="15.75" customHeight="1">
      <c r="A580" s="4"/>
      <c r="B580" s="4"/>
      <c r="C580" s="8"/>
      <c r="D580" s="4"/>
      <c r="E580" s="4"/>
      <c r="F580" s="8"/>
      <c r="G580" s="4"/>
      <c r="H580" s="4"/>
      <c r="I580" s="8"/>
      <c r="J580" s="4"/>
      <c r="K580" s="4"/>
      <c r="L580" s="8"/>
      <c r="M580" s="4"/>
      <c r="N580" s="4"/>
      <c r="O580" s="8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</row>
    <row r="581" ht="15.75" customHeight="1">
      <c r="A581" s="4"/>
      <c r="B581" s="4"/>
      <c r="C581" s="8"/>
      <c r="D581" s="4"/>
      <c r="E581" s="4"/>
      <c r="F581" s="8"/>
      <c r="G581" s="4"/>
      <c r="H581" s="4"/>
      <c r="I581" s="8"/>
      <c r="J581" s="4"/>
      <c r="K581" s="4"/>
      <c r="L581" s="8"/>
      <c r="M581" s="4"/>
      <c r="N581" s="4"/>
      <c r="O581" s="8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</row>
    <row r="582" ht="15.75" customHeight="1">
      <c r="A582" s="4"/>
      <c r="B582" s="4"/>
      <c r="C582" s="8"/>
      <c r="D582" s="4"/>
      <c r="E582" s="4"/>
      <c r="F582" s="8"/>
      <c r="G582" s="4"/>
      <c r="H582" s="4"/>
      <c r="I582" s="8"/>
      <c r="J582" s="4"/>
      <c r="K582" s="4"/>
      <c r="L582" s="8"/>
      <c r="M582" s="4"/>
      <c r="N582" s="4"/>
      <c r="O582" s="8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</row>
    <row r="583" ht="15.75" customHeight="1">
      <c r="A583" s="4"/>
      <c r="B583" s="4"/>
      <c r="C583" s="8"/>
      <c r="D583" s="4"/>
      <c r="E583" s="4"/>
      <c r="F583" s="8"/>
      <c r="G583" s="4"/>
      <c r="H583" s="4"/>
      <c r="I583" s="8"/>
      <c r="J583" s="4"/>
      <c r="K583" s="4"/>
      <c r="L583" s="8"/>
      <c r="M583" s="4"/>
      <c r="N583" s="4"/>
      <c r="O583" s="8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</row>
    <row r="584" ht="15.75" customHeight="1">
      <c r="A584" s="4"/>
      <c r="B584" s="4"/>
      <c r="C584" s="8"/>
      <c r="D584" s="4"/>
      <c r="E584" s="4"/>
      <c r="F584" s="8"/>
      <c r="G584" s="4"/>
      <c r="H584" s="4"/>
      <c r="I584" s="8"/>
      <c r="J584" s="4"/>
      <c r="K584" s="4"/>
      <c r="L584" s="8"/>
      <c r="M584" s="4"/>
      <c r="N584" s="4"/>
      <c r="O584" s="8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</row>
    <row r="585" ht="15.75" customHeight="1">
      <c r="A585" s="4"/>
      <c r="B585" s="4"/>
      <c r="C585" s="8"/>
      <c r="D585" s="4"/>
      <c r="E585" s="4"/>
      <c r="F585" s="8"/>
      <c r="G585" s="4"/>
      <c r="H585" s="4"/>
      <c r="I585" s="8"/>
      <c r="J585" s="4"/>
      <c r="K585" s="4"/>
      <c r="L585" s="8"/>
      <c r="M585" s="4"/>
      <c r="N585" s="4"/>
      <c r="O585" s="8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</row>
    <row r="586" ht="15.75" customHeight="1">
      <c r="A586" s="4"/>
      <c r="B586" s="4"/>
      <c r="C586" s="8"/>
      <c r="D586" s="4"/>
      <c r="E586" s="4"/>
      <c r="F586" s="8"/>
      <c r="G586" s="4"/>
      <c r="H586" s="4"/>
      <c r="I586" s="8"/>
      <c r="J586" s="4"/>
      <c r="K586" s="4"/>
      <c r="L586" s="8"/>
      <c r="M586" s="4"/>
      <c r="N586" s="4"/>
      <c r="O586" s="8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</row>
    <row r="587" ht="15.75" customHeight="1">
      <c r="A587" s="4"/>
      <c r="B587" s="4"/>
      <c r="C587" s="8"/>
      <c r="D587" s="4"/>
      <c r="E587" s="4"/>
      <c r="F587" s="8"/>
      <c r="G587" s="4"/>
      <c r="H587" s="4"/>
      <c r="I587" s="8"/>
      <c r="J587" s="4"/>
      <c r="K587" s="4"/>
      <c r="L587" s="8"/>
      <c r="M587" s="4"/>
      <c r="N587" s="4"/>
      <c r="O587" s="8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</row>
    <row r="588" ht="15.75" customHeight="1">
      <c r="A588" s="4"/>
      <c r="B588" s="4"/>
      <c r="C588" s="8"/>
      <c r="D588" s="4"/>
      <c r="E588" s="4"/>
      <c r="F588" s="8"/>
      <c r="G588" s="4"/>
      <c r="H588" s="4"/>
      <c r="I588" s="8"/>
      <c r="J588" s="4"/>
      <c r="K588" s="4"/>
      <c r="L588" s="8"/>
      <c r="M588" s="4"/>
      <c r="N588" s="4"/>
      <c r="O588" s="8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</row>
    <row r="589" ht="15.75" customHeight="1">
      <c r="A589" s="4"/>
      <c r="B589" s="4"/>
      <c r="C589" s="8"/>
      <c r="D589" s="4"/>
      <c r="E589" s="4"/>
      <c r="F589" s="8"/>
      <c r="G589" s="4"/>
      <c r="H589" s="4"/>
      <c r="I589" s="8"/>
      <c r="J589" s="4"/>
      <c r="K589" s="4"/>
      <c r="L589" s="8"/>
      <c r="M589" s="4"/>
      <c r="N589" s="4"/>
      <c r="O589" s="8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</row>
    <row r="590" ht="15.75" customHeight="1">
      <c r="A590" s="4"/>
      <c r="B590" s="4"/>
      <c r="C590" s="8"/>
      <c r="D590" s="4"/>
      <c r="E590" s="4"/>
      <c r="F590" s="8"/>
      <c r="G590" s="4"/>
      <c r="H590" s="4"/>
      <c r="I590" s="8"/>
      <c r="J590" s="4"/>
      <c r="K590" s="4"/>
      <c r="L590" s="8"/>
      <c r="M590" s="4"/>
      <c r="N590" s="4"/>
      <c r="O590" s="8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</row>
    <row r="591" ht="15.75" customHeight="1">
      <c r="A591" s="4"/>
      <c r="B591" s="4"/>
      <c r="C591" s="8"/>
      <c r="D591" s="4"/>
      <c r="E591" s="4"/>
      <c r="F591" s="8"/>
      <c r="G591" s="4"/>
      <c r="H591" s="4"/>
      <c r="I591" s="8"/>
      <c r="J591" s="4"/>
      <c r="K591" s="4"/>
      <c r="L591" s="8"/>
      <c r="M591" s="4"/>
      <c r="N591" s="4"/>
      <c r="O591" s="8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</row>
    <row r="592" ht="15.75" customHeight="1">
      <c r="A592" s="4"/>
      <c r="B592" s="4"/>
      <c r="C592" s="8"/>
      <c r="D592" s="4"/>
      <c r="E592" s="4"/>
      <c r="F592" s="8"/>
      <c r="G592" s="4"/>
      <c r="H592" s="4"/>
      <c r="I592" s="8"/>
      <c r="J592" s="4"/>
      <c r="K592" s="4"/>
      <c r="L592" s="8"/>
      <c r="M592" s="4"/>
      <c r="N592" s="4"/>
      <c r="O592" s="8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</row>
    <row r="593" ht="15.75" customHeight="1">
      <c r="A593" s="4"/>
      <c r="B593" s="4"/>
      <c r="C593" s="8"/>
      <c r="D593" s="4"/>
      <c r="E593" s="4"/>
      <c r="F593" s="8"/>
      <c r="G593" s="4"/>
      <c r="H593" s="4"/>
      <c r="I593" s="8"/>
      <c r="J593" s="4"/>
      <c r="K593" s="4"/>
      <c r="L593" s="8"/>
      <c r="M593" s="4"/>
      <c r="N593" s="4"/>
      <c r="O593" s="8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</row>
    <row r="594" ht="15.75" customHeight="1">
      <c r="A594" s="4"/>
      <c r="B594" s="4"/>
      <c r="C594" s="8"/>
      <c r="D594" s="4"/>
      <c r="E594" s="4"/>
      <c r="F594" s="8"/>
      <c r="G594" s="4"/>
      <c r="H594" s="4"/>
      <c r="I594" s="8"/>
      <c r="J594" s="4"/>
      <c r="K594" s="4"/>
      <c r="L594" s="8"/>
      <c r="M594" s="4"/>
      <c r="N594" s="4"/>
      <c r="O594" s="8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</row>
    <row r="595" ht="15.75" customHeight="1">
      <c r="A595" s="4"/>
      <c r="B595" s="4"/>
      <c r="C595" s="8"/>
      <c r="D595" s="4"/>
      <c r="E595" s="4"/>
      <c r="F595" s="8"/>
      <c r="G595" s="4"/>
      <c r="H595" s="4"/>
      <c r="I595" s="8"/>
      <c r="J595" s="4"/>
      <c r="K595" s="4"/>
      <c r="L595" s="8"/>
      <c r="M595" s="4"/>
      <c r="N595" s="4"/>
      <c r="O595" s="8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</row>
    <row r="596" ht="15.75" customHeight="1">
      <c r="A596" s="4"/>
      <c r="B596" s="4"/>
      <c r="C596" s="8"/>
      <c r="D596" s="4"/>
      <c r="E596" s="4"/>
      <c r="F596" s="8"/>
      <c r="G596" s="4"/>
      <c r="H596" s="4"/>
      <c r="I596" s="8"/>
      <c r="J596" s="4"/>
      <c r="K596" s="4"/>
      <c r="L596" s="8"/>
      <c r="M596" s="4"/>
      <c r="N596" s="4"/>
      <c r="O596" s="8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</row>
    <row r="597" ht="15.75" customHeight="1">
      <c r="A597" s="4"/>
      <c r="B597" s="4"/>
      <c r="C597" s="8"/>
      <c r="D597" s="4"/>
      <c r="E597" s="4"/>
      <c r="F597" s="8"/>
      <c r="G597" s="4"/>
      <c r="H597" s="4"/>
      <c r="I597" s="8"/>
      <c r="J597" s="4"/>
      <c r="K597" s="4"/>
      <c r="L597" s="8"/>
      <c r="M597" s="4"/>
      <c r="N597" s="4"/>
      <c r="O597" s="8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</row>
    <row r="598" ht="15.75" customHeight="1">
      <c r="A598" s="4"/>
      <c r="B598" s="4"/>
      <c r="C598" s="8"/>
      <c r="D598" s="4"/>
      <c r="E598" s="4"/>
      <c r="F598" s="8"/>
      <c r="G598" s="4"/>
      <c r="H598" s="4"/>
      <c r="I598" s="8"/>
      <c r="J598" s="4"/>
      <c r="K598" s="4"/>
      <c r="L598" s="8"/>
      <c r="M598" s="4"/>
      <c r="N598" s="4"/>
      <c r="O598" s="8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</row>
    <row r="599" ht="15.75" customHeight="1">
      <c r="A599" s="4"/>
      <c r="B599" s="4"/>
      <c r="C599" s="8"/>
      <c r="D599" s="4"/>
      <c r="E599" s="4"/>
      <c r="F599" s="8"/>
      <c r="G599" s="4"/>
      <c r="H599" s="4"/>
      <c r="I599" s="8"/>
      <c r="J599" s="4"/>
      <c r="K599" s="4"/>
      <c r="L599" s="8"/>
      <c r="M599" s="4"/>
      <c r="N599" s="4"/>
      <c r="O599" s="8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</row>
    <row r="600" ht="15.75" customHeight="1">
      <c r="A600" s="4"/>
      <c r="B600" s="4"/>
      <c r="C600" s="8"/>
      <c r="D600" s="4"/>
      <c r="E600" s="4"/>
      <c r="F600" s="8"/>
      <c r="G600" s="4"/>
      <c r="H600" s="4"/>
      <c r="I600" s="8"/>
      <c r="J600" s="4"/>
      <c r="K600" s="4"/>
      <c r="L600" s="8"/>
      <c r="M600" s="4"/>
      <c r="N600" s="4"/>
      <c r="O600" s="8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</row>
    <row r="601" ht="15.75" customHeight="1">
      <c r="A601" s="4"/>
      <c r="B601" s="4"/>
      <c r="C601" s="8"/>
      <c r="D601" s="4"/>
      <c r="E601" s="4"/>
      <c r="F601" s="8"/>
      <c r="G601" s="4"/>
      <c r="H601" s="4"/>
      <c r="I601" s="8"/>
      <c r="J601" s="4"/>
      <c r="K601" s="4"/>
      <c r="L601" s="8"/>
      <c r="M601" s="4"/>
      <c r="N601" s="4"/>
      <c r="O601" s="8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</row>
    <row r="602" ht="15.75" customHeight="1">
      <c r="A602" s="4"/>
      <c r="B602" s="4"/>
      <c r="C602" s="8"/>
      <c r="D602" s="4"/>
      <c r="E602" s="4"/>
      <c r="F602" s="8"/>
      <c r="G602" s="4"/>
      <c r="H602" s="4"/>
      <c r="I602" s="8"/>
      <c r="J602" s="4"/>
      <c r="K602" s="4"/>
      <c r="L602" s="8"/>
      <c r="M602" s="4"/>
      <c r="N602" s="4"/>
      <c r="O602" s="8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</row>
    <row r="603" ht="15.75" customHeight="1">
      <c r="A603" s="4"/>
      <c r="B603" s="4"/>
      <c r="C603" s="8"/>
      <c r="D603" s="4"/>
      <c r="E603" s="4"/>
      <c r="F603" s="8"/>
      <c r="G603" s="4"/>
      <c r="H603" s="4"/>
      <c r="I603" s="8"/>
      <c r="J603" s="4"/>
      <c r="K603" s="4"/>
      <c r="L603" s="8"/>
      <c r="M603" s="4"/>
      <c r="N603" s="4"/>
      <c r="O603" s="8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</row>
    <row r="604" ht="15.75" customHeight="1">
      <c r="A604" s="4"/>
      <c r="B604" s="4"/>
      <c r="C604" s="8"/>
      <c r="D604" s="4"/>
      <c r="E604" s="4"/>
      <c r="F604" s="8"/>
      <c r="G604" s="4"/>
      <c r="H604" s="4"/>
      <c r="I604" s="8"/>
      <c r="J604" s="4"/>
      <c r="K604" s="4"/>
      <c r="L604" s="8"/>
      <c r="M604" s="4"/>
      <c r="N604" s="4"/>
      <c r="O604" s="8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</row>
    <row r="605" ht="15.75" customHeight="1">
      <c r="A605" s="4"/>
      <c r="B605" s="4"/>
      <c r="C605" s="8"/>
      <c r="D605" s="4"/>
      <c r="E605" s="4"/>
      <c r="F605" s="8"/>
      <c r="G605" s="4"/>
      <c r="H605" s="4"/>
      <c r="I605" s="8"/>
      <c r="J605" s="4"/>
      <c r="K605" s="4"/>
      <c r="L605" s="8"/>
      <c r="M605" s="4"/>
      <c r="N605" s="4"/>
      <c r="O605" s="8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</row>
    <row r="606" ht="15.75" customHeight="1">
      <c r="A606" s="4"/>
      <c r="B606" s="4"/>
      <c r="C606" s="8"/>
      <c r="D606" s="4"/>
      <c r="E606" s="4"/>
      <c r="F606" s="8"/>
      <c r="G606" s="4"/>
      <c r="H606" s="4"/>
      <c r="I606" s="8"/>
      <c r="J606" s="4"/>
      <c r="K606" s="4"/>
      <c r="L606" s="8"/>
      <c r="M606" s="4"/>
      <c r="N606" s="4"/>
      <c r="O606" s="8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</row>
    <row r="607" ht="15.75" customHeight="1">
      <c r="A607" s="4"/>
      <c r="B607" s="4"/>
      <c r="C607" s="8"/>
      <c r="D607" s="4"/>
      <c r="E607" s="4"/>
      <c r="F607" s="8"/>
      <c r="G607" s="4"/>
      <c r="H607" s="4"/>
      <c r="I607" s="8"/>
      <c r="J607" s="4"/>
      <c r="K607" s="4"/>
      <c r="L607" s="8"/>
      <c r="M607" s="4"/>
      <c r="N607" s="4"/>
      <c r="O607" s="8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</row>
    <row r="608" ht="15.75" customHeight="1">
      <c r="A608" s="4"/>
      <c r="B608" s="4"/>
      <c r="C608" s="8"/>
      <c r="D608" s="4"/>
      <c r="E608" s="4"/>
      <c r="F608" s="8"/>
      <c r="G608" s="4"/>
      <c r="H608" s="4"/>
      <c r="I608" s="8"/>
      <c r="J608" s="4"/>
      <c r="K608" s="4"/>
      <c r="L608" s="8"/>
      <c r="M608" s="4"/>
      <c r="N608" s="4"/>
      <c r="O608" s="8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</row>
    <row r="609" ht="15.75" customHeight="1">
      <c r="A609" s="4"/>
      <c r="B609" s="4"/>
      <c r="C609" s="8"/>
      <c r="D609" s="4"/>
      <c r="E609" s="4"/>
      <c r="F609" s="8"/>
      <c r="G609" s="4"/>
      <c r="H609" s="4"/>
      <c r="I609" s="8"/>
      <c r="J609" s="4"/>
      <c r="K609" s="4"/>
      <c r="L609" s="8"/>
      <c r="M609" s="4"/>
      <c r="N609" s="4"/>
      <c r="O609" s="8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</row>
    <row r="610" ht="15.75" customHeight="1">
      <c r="A610" s="4"/>
      <c r="B610" s="4"/>
      <c r="C610" s="8"/>
      <c r="D610" s="4"/>
      <c r="E610" s="4"/>
      <c r="F610" s="8"/>
      <c r="G610" s="4"/>
      <c r="H610" s="4"/>
      <c r="I610" s="8"/>
      <c r="J610" s="4"/>
      <c r="K610" s="4"/>
      <c r="L610" s="8"/>
      <c r="M610" s="4"/>
      <c r="N610" s="4"/>
      <c r="O610" s="8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</row>
    <row r="611" ht="15.75" customHeight="1">
      <c r="A611" s="4"/>
      <c r="B611" s="4"/>
      <c r="C611" s="8"/>
      <c r="D611" s="4"/>
      <c r="E611" s="4"/>
      <c r="F611" s="8"/>
      <c r="G611" s="4"/>
      <c r="H611" s="4"/>
      <c r="I611" s="8"/>
      <c r="J611" s="4"/>
      <c r="K611" s="4"/>
      <c r="L611" s="8"/>
      <c r="M611" s="4"/>
      <c r="N611" s="4"/>
      <c r="O611" s="8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</row>
    <row r="612" ht="15.75" customHeight="1">
      <c r="A612" s="4"/>
      <c r="B612" s="4"/>
      <c r="C612" s="8"/>
      <c r="D612" s="4"/>
      <c r="E612" s="4"/>
      <c r="F612" s="8"/>
      <c r="G612" s="4"/>
      <c r="H612" s="4"/>
      <c r="I612" s="8"/>
      <c r="J612" s="4"/>
      <c r="K612" s="4"/>
      <c r="L612" s="8"/>
      <c r="M612" s="4"/>
      <c r="N612" s="4"/>
      <c r="O612" s="8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</row>
    <row r="613" ht="15.75" customHeight="1">
      <c r="A613" s="4"/>
      <c r="B613" s="4"/>
      <c r="C613" s="8"/>
      <c r="D613" s="4"/>
      <c r="E613" s="4"/>
      <c r="F613" s="8"/>
      <c r="G613" s="4"/>
      <c r="H613" s="4"/>
      <c r="I613" s="8"/>
      <c r="J613" s="4"/>
      <c r="K613" s="4"/>
      <c r="L613" s="8"/>
      <c r="M613" s="4"/>
      <c r="N613" s="4"/>
      <c r="O613" s="8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</row>
    <row r="614" ht="15.75" customHeight="1">
      <c r="A614" s="4"/>
      <c r="B614" s="4"/>
      <c r="C614" s="8"/>
      <c r="D614" s="4"/>
      <c r="E614" s="4"/>
      <c r="F614" s="8"/>
      <c r="G614" s="4"/>
      <c r="H614" s="4"/>
      <c r="I614" s="8"/>
      <c r="J614" s="4"/>
      <c r="K614" s="4"/>
      <c r="L614" s="8"/>
      <c r="M614" s="4"/>
      <c r="N614" s="4"/>
      <c r="O614" s="8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</row>
    <row r="615" ht="15.75" customHeight="1">
      <c r="A615" s="4"/>
      <c r="B615" s="4"/>
      <c r="C615" s="8"/>
      <c r="D615" s="4"/>
      <c r="E615" s="4"/>
      <c r="F615" s="8"/>
      <c r="G615" s="4"/>
      <c r="H615" s="4"/>
      <c r="I615" s="8"/>
      <c r="J615" s="4"/>
      <c r="K615" s="4"/>
      <c r="L615" s="8"/>
      <c r="M615" s="4"/>
      <c r="N615" s="4"/>
      <c r="O615" s="8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</row>
    <row r="616" ht="15.75" customHeight="1">
      <c r="A616" s="4"/>
      <c r="B616" s="4"/>
      <c r="C616" s="8"/>
      <c r="D616" s="4"/>
      <c r="E616" s="4"/>
      <c r="F616" s="8"/>
      <c r="G616" s="4"/>
      <c r="H616" s="4"/>
      <c r="I616" s="8"/>
      <c r="J616" s="4"/>
      <c r="K616" s="4"/>
      <c r="L616" s="8"/>
      <c r="M616" s="4"/>
      <c r="N616" s="4"/>
      <c r="O616" s="8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</row>
    <row r="617" ht="15.75" customHeight="1">
      <c r="A617" s="4"/>
      <c r="B617" s="4"/>
      <c r="C617" s="8"/>
      <c r="D617" s="4"/>
      <c r="E617" s="4"/>
      <c r="F617" s="8"/>
      <c r="G617" s="4"/>
      <c r="H617" s="4"/>
      <c r="I617" s="8"/>
      <c r="J617" s="4"/>
      <c r="K617" s="4"/>
      <c r="L617" s="8"/>
      <c r="M617" s="4"/>
      <c r="N617" s="4"/>
      <c r="O617" s="8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</row>
    <row r="618" ht="15.75" customHeight="1">
      <c r="A618" s="4"/>
      <c r="B618" s="4"/>
      <c r="C618" s="8"/>
      <c r="D618" s="4"/>
      <c r="E618" s="4"/>
      <c r="F618" s="8"/>
      <c r="G618" s="4"/>
      <c r="H618" s="4"/>
      <c r="I618" s="8"/>
      <c r="J618" s="4"/>
      <c r="K618" s="4"/>
      <c r="L618" s="8"/>
      <c r="M618" s="4"/>
      <c r="N618" s="4"/>
      <c r="O618" s="8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</row>
    <row r="619" ht="15.75" customHeight="1">
      <c r="A619" s="4"/>
      <c r="B619" s="4"/>
      <c r="C619" s="8"/>
      <c r="D619" s="4"/>
      <c r="E619" s="4"/>
      <c r="F619" s="8"/>
      <c r="G619" s="4"/>
      <c r="H619" s="4"/>
      <c r="I619" s="8"/>
      <c r="J619" s="4"/>
      <c r="K619" s="4"/>
      <c r="L619" s="8"/>
      <c r="M619" s="4"/>
      <c r="N619" s="4"/>
      <c r="O619" s="8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</row>
    <row r="620" ht="15.75" customHeight="1">
      <c r="A620" s="4"/>
      <c r="B620" s="4"/>
      <c r="C620" s="8"/>
      <c r="D620" s="4"/>
      <c r="E620" s="4"/>
      <c r="F620" s="8"/>
      <c r="G620" s="4"/>
      <c r="H620" s="4"/>
      <c r="I620" s="8"/>
      <c r="J620" s="4"/>
      <c r="K620" s="4"/>
      <c r="L620" s="8"/>
      <c r="M620" s="4"/>
      <c r="N620" s="4"/>
      <c r="O620" s="8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</row>
    <row r="621" ht="15.75" customHeight="1">
      <c r="A621" s="4"/>
      <c r="B621" s="4"/>
      <c r="C621" s="8"/>
      <c r="D621" s="4"/>
      <c r="E621" s="4"/>
      <c r="F621" s="8"/>
      <c r="G621" s="4"/>
      <c r="H621" s="4"/>
      <c r="I621" s="8"/>
      <c r="J621" s="4"/>
      <c r="K621" s="4"/>
      <c r="L621" s="8"/>
      <c r="M621" s="4"/>
      <c r="N621" s="4"/>
      <c r="O621" s="8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</row>
    <row r="622" ht="15.75" customHeight="1">
      <c r="A622" s="4"/>
      <c r="B622" s="4"/>
      <c r="C622" s="8"/>
      <c r="D622" s="4"/>
      <c r="E622" s="4"/>
      <c r="F622" s="8"/>
      <c r="G622" s="4"/>
      <c r="H622" s="4"/>
      <c r="I622" s="8"/>
      <c r="J622" s="4"/>
      <c r="K622" s="4"/>
      <c r="L622" s="8"/>
      <c r="M622" s="4"/>
      <c r="N622" s="4"/>
      <c r="O622" s="8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</row>
    <row r="623" ht="15.75" customHeight="1">
      <c r="A623" s="4"/>
      <c r="B623" s="4"/>
      <c r="C623" s="8"/>
      <c r="D623" s="4"/>
      <c r="E623" s="4"/>
      <c r="F623" s="8"/>
      <c r="G623" s="4"/>
      <c r="H623" s="4"/>
      <c r="I623" s="8"/>
      <c r="J623" s="4"/>
      <c r="K623" s="4"/>
      <c r="L623" s="8"/>
      <c r="M623" s="4"/>
      <c r="N623" s="4"/>
      <c r="O623" s="8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</row>
    <row r="624" ht="15.75" customHeight="1">
      <c r="A624" s="4"/>
      <c r="B624" s="4"/>
      <c r="C624" s="8"/>
      <c r="D624" s="4"/>
      <c r="E624" s="4"/>
      <c r="F624" s="8"/>
      <c r="G624" s="4"/>
      <c r="H624" s="4"/>
      <c r="I624" s="8"/>
      <c r="J624" s="4"/>
      <c r="K624" s="4"/>
      <c r="L624" s="8"/>
      <c r="M624" s="4"/>
      <c r="N624" s="4"/>
      <c r="O624" s="8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</row>
    <row r="625" ht="15.75" customHeight="1">
      <c r="A625" s="4"/>
      <c r="B625" s="4"/>
      <c r="C625" s="8"/>
      <c r="D625" s="4"/>
      <c r="E625" s="4"/>
      <c r="F625" s="8"/>
      <c r="G625" s="4"/>
      <c r="H625" s="4"/>
      <c r="I625" s="8"/>
      <c r="J625" s="4"/>
      <c r="K625" s="4"/>
      <c r="L625" s="8"/>
      <c r="M625" s="4"/>
      <c r="N625" s="4"/>
      <c r="O625" s="8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</row>
    <row r="626" ht="15.75" customHeight="1">
      <c r="A626" s="4"/>
      <c r="B626" s="4"/>
      <c r="C626" s="8"/>
      <c r="D626" s="4"/>
      <c r="E626" s="4"/>
      <c r="F626" s="8"/>
      <c r="G626" s="4"/>
      <c r="H626" s="4"/>
      <c r="I626" s="8"/>
      <c r="J626" s="4"/>
      <c r="K626" s="4"/>
      <c r="L626" s="8"/>
      <c r="M626" s="4"/>
      <c r="N626" s="4"/>
      <c r="O626" s="8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</row>
    <row r="627" ht="15.75" customHeight="1">
      <c r="A627" s="4"/>
      <c r="B627" s="4"/>
      <c r="C627" s="8"/>
      <c r="D627" s="4"/>
      <c r="E627" s="4"/>
      <c r="F627" s="8"/>
      <c r="G627" s="4"/>
      <c r="H627" s="4"/>
      <c r="I627" s="8"/>
      <c r="J627" s="4"/>
      <c r="K627" s="4"/>
      <c r="L627" s="8"/>
      <c r="M627" s="4"/>
      <c r="N627" s="4"/>
      <c r="O627" s="8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</row>
    <row r="628" ht="15.75" customHeight="1">
      <c r="A628" s="4"/>
      <c r="B628" s="4"/>
      <c r="C628" s="8"/>
      <c r="D628" s="4"/>
      <c r="E628" s="4"/>
      <c r="F628" s="8"/>
      <c r="G628" s="4"/>
      <c r="H628" s="4"/>
      <c r="I628" s="8"/>
      <c r="J628" s="4"/>
      <c r="K628" s="4"/>
      <c r="L628" s="8"/>
      <c r="M628" s="4"/>
      <c r="N628" s="4"/>
      <c r="O628" s="8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</row>
    <row r="629" ht="15.75" customHeight="1">
      <c r="A629" s="4"/>
      <c r="B629" s="4"/>
      <c r="C629" s="8"/>
      <c r="D629" s="4"/>
      <c r="E629" s="4"/>
      <c r="F629" s="8"/>
      <c r="G629" s="4"/>
      <c r="H629" s="4"/>
      <c r="I629" s="8"/>
      <c r="J629" s="4"/>
      <c r="K629" s="4"/>
      <c r="L629" s="8"/>
      <c r="M629" s="4"/>
      <c r="N629" s="4"/>
      <c r="O629" s="8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</row>
    <row r="630" ht="15.75" customHeight="1">
      <c r="A630" s="4"/>
      <c r="B630" s="4"/>
      <c r="C630" s="8"/>
      <c r="D630" s="4"/>
      <c r="E630" s="4"/>
      <c r="F630" s="8"/>
      <c r="G630" s="4"/>
      <c r="H630" s="4"/>
      <c r="I630" s="8"/>
      <c r="J630" s="4"/>
      <c r="K630" s="4"/>
      <c r="L630" s="8"/>
      <c r="M630" s="4"/>
      <c r="N630" s="4"/>
      <c r="O630" s="8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</row>
    <row r="631" ht="15.75" customHeight="1">
      <c r="A631" s="4"/>
      <c r="B631" s="4"/>
      <c r="C631" s="8"/>
      <c r="D631" s="4"/>
      <c r="E631" s="4"/>
      <c r="F631" s="8"/>
      <c r="G631" s="4"/>
      <c r="H631" s="4"/>
      <c r="I631" s="8"/>
      <c r="J631" s="4"/>
      <c r="K631" s="4"/>
      <c r="L631" s="8"/>
      <c r="M631" s="4"/>
      <c r="N631" s="4"/>
      <c r="O631" s="8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</row>
    <row r="632" ht="15.75" customHeight="1">
      <c r="A632" s="4"/>
      <c r="B632" s="4"/>
      <c r="C632" s="8"/>
      <c r="D632" s="4"/>
      <c r="E632" s="4"/>
      <c r="F632" s="8"/>
      <c r="G632" s="4"/>
      <c r="H632" s="4"/>
      <c r="I632" s="8"/>
      <c r="J632" s="4"/>
      <c r="K632" s="4"/>
      <c r="L632" s="8"/>
      <c r="M632" s="4"/>
      <c r="N632" s="4"/>
      <c r="O632" s="8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</row>
    <row r="633" ht="15.75" customHeight="1">
      <c r="A633" s="4"/>
      <c r="B633" s="4"/>
      <c r="C633" s="8"/>
      <c r="D633" s="4"/>
      <c r="E633" s="4"/>
      <c r="F633" s="8"/>
      <c r="G633" s="4"/>
      <c r="H633" s="4"/>
      <c r="I633" s="8"/>
      <c r="J633" s="4"/>
      <c r="K633" s="4"/>
      <c r="L633" s="8"/>
      <c r="M633" s="4"/>
      <c r="N633" s="4"/>
      <c r="O633" s="8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</row>
    <row r="634" ht="15.75" customHeight="1">
      <c r="A634" s="4"/>
      <c r="B634" s="4"/>
      <c r="C634" s="8"/>
      <c r="D634" s="4"/>
      <c r="E634" s="4"/>
      <c r="F634" s="8"/>
      <c r="G634" s="4"/>
      <c r="H634" s="4"/>
      <c r="I634" s="8"/>
      <c r="J634" s="4"/>
      <c r="K634" s="4"/>
      <c r="L634" s="8"/>
      <c r="M634" s="4"/>
      <c r="N634" s="4"/>
      <c r="O634" s="8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</row>
    <row r="635" ht="15.75" customHeight="1">
      <c r="A635" s="4"/>
      <c r="B635" s="4"/>
      <c r="C635" s="8"/>
      <c r="D635" s="4"/>
      <c r="E635" s="4"/>
      <c r="F635" s="8"/>
      <c r="G635" s="4"/>
      <c r="H635" s="4"/>
      <c r="I635" s="8"/>
      <c r="J635" s="4"/>
      <c r="K635" s="4"/>
      <c r="L635" s="8"/>
      <c r="M635" s="4"/>
      <c r="N635" s="4"/>
      <c r="O635" s="8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</row>
    <row r="636" ht="15.75" customHeight="1">
      <c r="A636" s="4"/>
      <c r="B636" s="4"/>
      <c r="C636" s="8"/>
      <c r="D636" s="4"/>
      <c r="E636" s="4"/>
      <c r="F636" s="8"/>
      <c r="G636" s="4"/>
      <c r="H636" s="4"/>
      <c r="I636" s="8"/>
      <c r="J636" s="4"/>
      <c r="K636" s="4"/>
      <c r="L636" s="8"/>
      <c r="M636" s="4"/>
      <c r="N636" s="4"/>
      <c r="O636" s="8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</row>
    <row r="637" ht="15.75" customHeight="1">
      <c r="A637" s="4"/>
      <c r="B637" s="4"/>
      <c r="C637" s="8"/>
      <c r="D637" s="4"/>
      <c r="E637" s="4"/>
      <c r="F637" s="8"/>
      <c r="G637" s="4"/>
      <c r="H637" s="4"/>
      <c r="I637" s="8"/>
      <c r="J637" s="4"/>
      <c r="K637" s="4"/>
      <c r="L637" s="8"/>
      <c r="M637" s="4"/>
      <c r="N637" s="4"/>
      <c r="O637" s="8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</row>
    <row r="638" ht="15.75" customHeight="1">
      <c r="A638" s="4"/>
      <c r="B638" s="4"/>
      <c r="C638" s="8"/>
      <c r="D638" s="4"/>
      <c r="E638" s="4"/>
      <c r="F638" s="8"/>
      <c r="G638" s="4"/>
      <c r="H638" s="4"/>
      <c r="I638" s="8"/>
      <c r="J638" s="4"/>
      <c r="K638" s="4"/>
      <c r="L638" s="8"/>
      <c r="M638" s="4"/>
      <c r="N638" s="4"/>
      <c r="O638" s="8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</row>
    <row r="639" ht="15.75" customHeight="1">
      <c r="A639" s="4"/>
      <c r="B639" s="4"/>
      <c r="C639" s="8"/>
      <c r="D639" s="4"/>
      <c r="E639" s="4"/>
      <c r="F639" s="8"/>
      <c r="G639" s="4"/>
      <c r="H639" s="4"/>
      <c r="I639" s="8"/>
      <c r="J639" s="4"/>
      <c r="K639" s="4"/>
      <c r="L639" s="8"/>
      <c r="M639" s="4"/>
      <c r="N639" s="4"/>
      <c r="O639" s="8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</row>
    <row r="640" ht="15.75" customHeight="1">
      <c r="A640" s="4"/>
      <c r="B640" s="4"/>
      <c r="C640" s="8"/>
      <c r="D640" s="4"/>
      <c r="E640" s="4"/>
      <c r="F640" s="8"/>
      <c r="G640" s="4"/>
      <c r="H640" s="4"/>
      <c r="I640" s="8"/>
      <c r="J640" s="4"/>
      <c r="K640" s="4"/>
      <c r="L640" s="8"/>
      <c r="M640" s="4"/>
      <c r="N640" s="4"/>
      <c r="O640" s="8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</row>
    <row r="641" ht="15.75" customHeight="1">
      <c r="A641" s="4"/>
      <c r="B641" s="4"/>
      <c r="C641" s="8"/>
      <c r="D641" s="4"/>
      <c r="E641" s="4"/>
      <c r="F641" s="8"/>
      <c r="G641" s="4"/>
      <c r="H641" s="4"/>
      <c r="I641" s="8"/>
      <c r="J641" s="4"/>
      <c r="K641" s="4"/>
      <c r="L641" s="8"/>
      <c r="M641" s="4"/>
      <c r="N641" s="4"/>
      <c r="O641" s="8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</row>
    <row r="642" ht="15.75" customHeight="1">
      <c r="A642" s="4"/>
      <c r="B642" s="4"/>
      <c r="C642" s="8"/>
      <c r="D642" s="4"/>
      <c r="E642" s="4"/>
      <c r="F642" s="8"/>
      <c r="G642" s="4"/>
      <c r="H642" s="4"/>
      <c r="I642" s="8"/>
      <c r="J642" s="4"/>
      <c r="K642" s="4"/>
      <c r="L642" s="8"/>
      <c r="M642" s="4"/>
      <c r="N642" s="4"/>
      <c r="O642" s="8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</row>
    <row r="643" ht="15.75" customHeight="1">
      <c r="A643" s="4"/>
      <c r="B643" s="4"/>
      <c r="C643" s="8"/>
      <c r="D643" s="4"/>
      <c r="E643" s="4"/>
      <c r="F643" s="8"/>
      <c r="G643" s="4"/>
      <c r="H643" s="4"/>
      <c r="I643" s="8"/>
      <c r="J643" s="4"/>
      <c r="K643" s="4"/>
      <c r="L643" s="8"/>
      <c r="M643" s="4"/>
      <c r="N643" s="4"/>
      <c r="O643" s="8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</row>
    <row r="644" ht="15.75" customHeight="1">
      <c r="A644" s="4"/>
      <c r="B644" s="4"/>
      <c r="C644" s="8"/>
      <c r="D644" s="4"/>
      <c r="E644" s="4"/>
      <c r="F644" s="8"/>
      <c r="G644" s="4"/>
      <c r="H644" s="4"/>
      <c r="I644" s="8"/>
      <c r="J644" s="4"/>
      <c r="K644" s="4"/>
      <c r="L644" s="8"/>
      <c r="M644" s="4"/>
      <c r="N644" s="4"/>
      <c r="O644" s="8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</row>
    <row r="645" ht="15.75" customHeight="1">
      <c r="A645" s="4"/>
      <c r="B645" s="4"/>
      <c r="C645" s="8"/>
      <c r="D645" s="4"/>
      <c r="E645" s="4"/>
      <c r="F645" s="8"/>
      <c r="G645" s="4"/>
      <c r="H645" s="4"/>
      <c r="I645" s="8"/>
      <c r="J645" s="4"/>
      <c r="K645" s="4"/>
      <c r="L645" s="8"/>
      <c r="M645" s="4"/>
      <c r="N645" s="4"/>
      <c r="O645" s="8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</row>
    <row r="646" ht="15.75" customHeight="1">
      <c r="A646" s="4"/>
      <c r="B646" s="4"/>
      <c r="C646" s="8"/>
      <c r="D646" s="4"/>
      <c r="E646" s="4"/>
      <c r="F646" s="8"/>
      <c r="G646" s="4"/>
      <c r="H646" s="4"/>
      <c r="I646" s="8"/>
      <c r="J646" s="4"/>
      <c r="K646" s="4"/>
      <c r="L646" s="8"/>
      <c r="M646" s="4"/>
      <c r="N646" s="4"/>
      <c r="O646" s="8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</row>
    <row r="647" ht="15.75" customHeight="1">
      <c r="A647" s="4"/>
      <c r="B647" s="4"/>
      <c r="C647" s="8"/>
      <c r="D647" s="4"/>
      <c r="E647" s="4"/>
      <c r="F647" s="8"/>
      <c r="G647" s="4"/>
      <c r="H647" s="4"/>
      <c r="I647" s="8"/>
      <c r="J647" s="4"/>
      <c r="K647" s="4"/>
      <c r="L647" s="8"/>
      <c r="M647" s="4"/>
      <c r="N647" s="4"/>
      <c r="O647" s="8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</row>
    <row r="648" ht="15.75" customHeight="1">
      <c r="A648" s="4"/>
      <c r="B648" s="4"/>
      <c r="C648" s="8"/>
      <c r="D648" s="4"/>
      <c r="E648" s="4"/>
      <c r="F648" s="8"/>
      <c r="G648" s="4"/>
      <c r="H648" s="4"/>
      <c r="I648" s="8"/>
      <c r="J648" s="4"/>
      <c r="K648" s="4"/>
      <c r="L648" s="8"/>
      <c r="M648" s="4"/>
      <c r="N648" s="4"/>
      <c r="O648" s="8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</row>
    <row r="649" ht="15.75" customHeight="1">
      <c r="A649" s="4"/>
      <c r="B649" s="4"/>
      <c r="C649" s="8"/>
      <c r="D649" s="4"/>
      <c r="E649" s="4"/>
      <c r="F649" s="8"/>
      <c r="G649" s="4"/>
      <c r="H649" s="4"/>
      <c r="I649" s="8"/>
      <c r="J649" s="4"/>
      <c r="K649" s="4"/>
      <c r="L649" s="8"/>
      <c r="M649" s="4"/>
      <c r="N649" s="4"/>
      <c r="O649" s="8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</row>
    <row r="650" ht="15.75" customHeight="1">
      <c r="A650" s="4"/>
      <c r="B650" s="4"/>
      <c r="C650" s="8"/>
      <c r="D650" s="4"/>
      <c r="E650" s="4"/>
      <c r="F650" s="8"/>
      <c r="G650" s="4"/>
      <c r="H650" s="4"/>
      <c r="I650" s="8"/>
      <c r="J650" s="4"/>
      <c r="K650" s="4"/>
      <c r="L650" s="8"/>
      <c r="M650" s="4"/>
      <c r="N650" s="4"/>
      <c r="O650" s="8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</row>
    <row r="651" ht="15.75" customHeight="1">
      <c r="A651" s="4"/>
      <c r="B651" s="4"/>
      <c r="C651" s="8"/>
      <c r="D651" s="4"/>
      <c r="E651" s="4"/>
      <c r="F651" s="8"/>
      <c r="G651" s="4"/>
      <c r="H651" s="4"/>
      <c r="I651" s="8"/>
      <c r="J651" s="4"/>
      <c r="K651" s="4"/>
      <c r="L651" s="8"/>
      <c r="M651" s="4"/>
      <c r="N651" s="4"/>
      <c r="O651" s="8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</row>
    <row r="652" ht="15.75" customHeight="1">
      <c r="A652" s="4"/>
      <c r="B652" s="4"/>
      <c r="C652" s="8"/>
      <c r="D652" s="4"/>
      <c r="E652" s="4"/>
      <c r="F652" s="8"/>
      <c r="G652" s="4"/>
      <c r="H652" s="4"/>
      <c r="I652" s="8"/>
      <c r="J652" s="4"/>
      <c r="K652" s="4"/>
      <c r="L652" s="8"/>
      <c r="M652" s="4"/>
      <c r="N652" s="4"/>
      <c r="O652" s="8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</row>
    <row r="653" ht="15.75" customHeight="1">
      <c r="A653" s="4"/>
      <c r="B653" s="4"/>
      <c r="C653" s="8"/>
      <c r="D653" s="4"/>
      <c r="E653" s="4"/>
      <c r="F653" s="8"/>
      <c r="G653" s="4"/>
      <c r="H653" s="4"/>
      <c r="I653" s="8"/>
      <c r="J653" s="4"/>
      <c r="K653" s="4"/>
      <c r="L653" s="8"/>
      <c r="M653" s="4"/>
      <c r="N653" s="4"/>
      <c r="O653" s="8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</row>
    <row r="654" ht="15.75" customHeight="1">
      <c r="A654" s="4"/>
      <c r="B654" s="4"/>
      <c r="C654" s="8"/>
      <c r="D654" s="4"/>
      <c r="E654" s="4"/>
      <c r="F654" s="8"/>
      <c r="G654" s="4"/>
      <c r="H654" s="4"/>
      <c r="I654" s="8"/>
      <c r="J654" s="4"/>
      <c r="K654" s="4"/>
      <c r="L654" s="8"/>
      <c r="M654" s="4"/>
      <c r="N654" s="4"/>
      <c r="O654" s="8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</row>
    <row r="655" ht="15.75" customHeight="1">
      <c r="A655" s="4"/>
      <c r="B655" s="4"/>
      <c r="C655" s="8"/>
      <c r="D655" s="4"/>
      <c r="E655" s="4"/>
      <c r="F655" s="8"/>
      <c r="G655" s="4"/>
      <c r="H655" s="4"/>
      <c r="I655" s="8"/>
      <c r="J655" s="4"/>
      <c r="K655" s="4"/>
      <c r="L655" s="8"/>
      <c r="M655" s="4"/>
      <c r="N655" s="4"/>
      <c r="O655" s="8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</row>
    <row r="656" ht="15.75" customHeight="1">
      <c r="A656" s="4"/>
      <c r="B656" s="4"/>
      <c r="C656" s="8"/>
      <c r="D656" s="4"/>
      <c r="E656" s="4"/>
      <c r="F656" s="8"/>
      <c r="G656" s="4"/>
      <c r="H656" s="4"/>
      <c r="I656" s="8"/>
      <c r="J656" s="4"/>
      <c r="K656" s="4"/>
      <c r="L656" s="8"/>
      <c r="M656" s="4"/>
      <c r="N656" s="4"/>
      <c r="O656" s="8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</row>
    <row r="657" ht="15.75" customHeight="1">
      <c r="A657" s="4"/>
      <c r="B657" s="4"/>
      <c r="C657" s="8"/>
      <c r="D657" s="4"/>
      <c r="E657" s="4"/>
      <c r="F657" s="8"/>
      <c r="G657" s="4"/>
      <c r="H657" s="4"/>
      <c r="I657" s="8"/>
      <c r="J657" s="4"/>
      <c r="K657" s="4"/>
      <c r="L657" s="8"/>
      <c r="M657" s="4"/>
      <c r="N657" s="4"/>
      <c r="O657" s="8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</row>
    <row r="658" ht="15.75" customHeight="1">
      <c r="A658" s="4"/>
      <c r="B658" s="4"/>
      <c r="C658" s="8"/>
      <c r="D658" s="4"/>
      <c r="E658" s="4"/>
      <c r="F658" s="8"/>
      <c r="G658" s="4"/>
      <c r="H658" s="4"/>
      <c r="I658" s="8"/>
      <c r="J658" s="4"/>
      <c r="K658" s="4"/>
      <c r="L658" s="8"/>
      <c r="M658" s="4"/>
      <c r="N658" s="4"/>
      <c r="O658" s="8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</row>
    <row r="659" ht="15.75" customHeight="1">
      <c r="A659" s="4"/>
      <c r="B659" s="4"/>
      <c r="C659" s="8"/>
      <c r="D659" s="4"/>
      <c r="E659" s="4"/>
      <c r="F659" s="8"/>
      <c r="G659" s="4"/>
      <c r="H659" s="4"/>
      <c r="I659" s="8"/>
      <c r="J659" s="4"/>
      <c r="K659" s="4"/>
      <c r="L659" s="8"/>
      <c r="M659" s="4"/>
      <c r="N659" s="4"/>
      <c r="O659" s="8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</row>
    <row r="660" ht="15.75" customHeight="1">
      <c r="A660" s="4"/>
      <c r="B660" s="4"/>
      <c r="C660" s="8"/>
      <c r="D660" s="4"/>
      <c r="E660" s="4"/>
      <c r="F660" s="8"/>
      <c r="G660" s="4"/>
      <c r="H660" s="4"/>
      <c r="I660" s="8"/>
      <c r="J660" s="4"/>
      <c r="K660" s="4"/>
      <c r="L660" s="8"/>
      <c r="M660" s="4"/>
      <c r="N660" s="4"/>
      <c r="O660" s="8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</row>
    <row r="661" ht="15.75" customHeight="1">
      <c r="A661" s="4"/>
      <c r="B661" s="4"/>
      <c r="C661" s="8"/>
      <c r="D661" s="4"/>
      <c r="E661" s="4"/>
      <c r="F661" s="8"/>
      <c r="G661" s="4"/>
      <c r="H661" s="4"/>
      <c r="I661" s="8"/>
      <c r="J661" s="4"/>
      <c r="K661" s="4"/>
      <c r="L661" s="8"/>
      <c r="M661" s="4"/>
      <c r="N661" s="4"/>
      <c r="O661" s="8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</row>
    <row r="662" ht="15.75" customHeight="1">
      <c r="A662" s="4"/>
      <c r="B662" s="4"/>
      <c r="C662" s="8"/>
      <c r="D662" s="4"/>
      <c r="E662" s="4"/>
      <c r="F662" s="8"/>
      <c r="G662" s="4"/>
      <c r="H662" s="4"/>
      <c r="I662" s="8"/>
      <c r="J662" s="4"/>
      <c r="K662" s="4"/>
      <c r="L662" s="8"/>
      <c r="M662" s="4"/>
      <c r="N662" s="4"/>
      <c r="O662" s="8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</row>
    <row r="663" ht="15.75" customHeight="1">
      <c r="A663" s="4"/>
      <c r="B663" s="4"/>
      <c r="C663" s="8"/>
      <c r="D663" s="4"/>
      <c r="E663" s="4"/>
      <c r="F663" s="8"/>
      <c r="G663" s="4"/>
      <c r="H663" s="4"/>
      <c r="I663" s="8"/>
      <c r="J663" s="4"/>
      <c r="K663" s="4"/>
      <c r="L663" s="8"/>
      <c r="M663" s="4"/>
      <c r="N663" s="4"/>
      <c r="O663" s="8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</row>
    <row r="664" ht="15.75" customHeight="1">
      <c r="A664" s="4"/>
      <c r="B664" s="4"/>
      <c r="C664" s="8"/>
      <c r="D664" s="4"/>
      <c r="E664" s="4"/>
      <c r="F664" s="8"/>
      <c r="G664" s="4"/>
      <c r="H664" s="4"/>
      <c r="I664" s="8"/>
      <c r="J664" s="4"/>
      <c r="K664" s="4"/>
      <c r="L664" s="8"/>
      <c r="M664" s="4"/>
      <c r="N664" s="4"/>
      <c r="O664" s="8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</row>
    <row r="665" ht="15.75" customHeight="1">
      <c r="A665" s="4"/>
      <c r="B665" s="4"/>
      <c r="C665" s="8"/>
      <c r="D665" s="4"/>
      <c r="E665" s="4"/>
      <c r="F665" s="8"/>
      <c r="G665" s="4"/>
      <c r="H665" s="4"/>
      <c r="I665" s="8"/>
      <c r="J665" s="4"/>
      <c r="K665" s="4"/>
      <c r="L665" s="8"/>
      <c r="M665" s="4"/>
      <c r="N665" s="4"/>
      <c r="O665" s="8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</row>
    <row r="666" ht="15.75" customHeight="1">
      <c r="A666" s="4"/>
      <c r="B666" s="4"/>
      <c r="C666" s="8"/>
      <c r="D666" s="4"/>
      <c r="E666" s="4"/>
      <c r="F666" s="8"/>
      <c r="G666" s="4"/>
      <c r="H666" s="4"/>
      <c r="I666" s="8"/>
      <c r="J666" s="4"/>
      <c r="K666" s="4"/>
      <c r="L666" s="8"/>
      <c r="M666" s="4"/>
      <c r="N666" s="4"/>
      <c r="O666" s="8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</row>
    <row r="667" ht="15.75" customHeight="1">
      <c r="A667" s="4"/>
      <c r="B667" s="4"/>
      <c r="C667" s="8"/>
      <c r="D667" s="4"/>
      <c r="E667" s="4"/>
      <c r="F667" s="8"/>
      <c r="G667" s="4"/>
      <c r="H667" s="4"/>
      <c r="I667" s="8"/>
      <c r="J667" s="4"/>
      <c r="K667" s="4"/>
      <c r="L667" s="8"/>
      <c r="M667" s="4"/>
      <c r="N667" s="4"/>
      <c r="O667" s="8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</row>
    <row r="668" ht="15.75" customHeight="1">
      <c r="A668" s="4"/>
      <c r="B668" s="4"/>
      <c r="C668" s="8"/>
      <c r="D668" s="4"/>
      <c r="E668" s="4"/>
      <c r="F668" s="8"/>
      <c r="G668" s="4"/>
      <c r="H668" s="4"/>
      <c r="I668" s="8"/>
      <c r="J668" s="4"/>
      <c r="K668" s="4"/>
      <c r="L668" s="8"/>
      <c r="M668" s="4"/>
      <c r="N668" s="4"/>
      <c r="O668" s="8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</row>
    <row r="669" ht="15.75" customHeight="1">
      <c r="A669" s="4"/>
      <c r="B669" s="4"/>
      <c r="C669" s="8"/>
      <c r="D669" s="4"/>
      <c r="E669" s="4"/>
      <c r="F669" s="8"/>
      <c r="G669" s="4"/>
      <c r="H669" s="4"/>
      <c r="I669" s="8"/>
      <c r="J669" s="4"/>
      <c r="K669" s="4"/>
      <c r="L669" s="8"/>
      <c r="M669" s="4"/>
      <c r="N669" s="4"/>
      <c r="O669" s="8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</row>
    <row r="670" ht="15.75" customHeight="1">
      <c r="A670" s="4"/>
      <c r="B670" s="4"/>
      <c r="C670" s="8"/>
      <c r="D670" s="4"/>
      <c r="E670" s="4"/>
      <c r="F670" s="8"/>
      <c r="G670" s="4"/>
      <c r="H670" s="4"/>
      <c r="I670" s="8"/>
      <c r="J670" s="4"/>
      <c r="K670" s="4"/>
      <c r="L670" s="8"/>
      <c r="M670" s="4"/>
      <c r="N670" s="4"/>
      <c r="O670" s="8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</row>
    <row r="671" ht="15.75" customHeight="1">
      <c r="A671" s="4"/>
      <c r="B671" s="4"/>
      <c r="C671" s="8"/>
      <c r="D671" s="4"/>
      <c r="E671" s="4"/>
      <c r="F671" s="8"/>
      <c r="G671" s="4"/>
      <c r="H671" s="4"/>
      <c r="I671" s="8"/>
      <c r="J671" s="4"/>
      <c r="K671" s="4"/>
      <c r="L671" s="8"/>
      <c r="M671" s="4"/>
      <c r="N671" s="4"/>
      <c r="O671" s="8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</row>
    <row r="672" ht="15.75" customHeight="1">
      <c r="A672" s="4"/>
      <c r="B672" s="4"/>
      <c r="C672" s="8"/>
      <c r="D672" s="4"/>
      <c r="E672" s="4"/>
      <c r="F672" s="8"/>
      <c r="G672" s="4"/>
      <c r="H672" s="4"/>
      <c r="I672" s="8"/>
      <c r="J672" s="4"/>
      <c r="K672" s="4"/>
      <c r="L672" s="8"/>
      <c r="M672" s="4"/>
      <c r="N672" s="4"/>
      <c r="O672" s="8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</row>
    <row r="673" ht="15.75" customHeight="1">
      <c r="A673" s="4"/>
      <c r="B673" s="4"/>
      <c r="C673" s="8"/>
      <c r="D673" s="4"/>
      <c r="E673" s="4"/>
      <c r="F673" s="8"/>
      <c r="G673" s="4"/>
      <c r="H673" s="4"/>
      <c r="I673" s="8"/>
      <c r="J673" s="4"/>
      <c r="K673" s="4"/>
      <c r="L673" s="8"/>
      <c r="M673" s="4"/>
      <c r="N673" s="4"/>
      <c r="O673" s="8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</row>
    <row r="674" ht="15.75" customHeight="1">
      <c r="A674" s="4"/>
      <c r="B674" s="4"/>
      <c r="C674" s="8"/>
      <c r="D674" s="4"/>
      <c r="E674" s="4"/>
      <c r="F674" s="8"/>
      <c r="G674" s="4"/>
      <c r="H674" s="4"/>
      <c r="I674" s="8"/>
      <c r="J674" s="4"/>
      <c r="K674" s="4"/>
      <c r="L674" s="8"/>
      <c r="M674" s="4"/>
      <c r="N674" s="4"/>
      <c r="O674" s="8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</row>
    <row r="675" ht="15.75" customHeight="1">
      <c r="A675" s="4"/>
      <c r="B675" s="4"/>
      <c r="C675" s="8"/>
      <c r="D675" s="4"/>
      <c r="E675" s="4"/>
      <c r="F675" s="8"/>
      <c r="G675" s="4"/>
      <c r="H675" s="4"/>
      <c r="I675" s="8"/>
      <c r="J675" s="4"/>
      <c r="K675" s="4"/>
      <c r="L675" s="8"/>
      <c r="M675" s="4"/>
      <c r="N675" s="4"/>
      <c r="O675" s="8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</row>
    <row r="676" ht="15.75" customHeight="1">
      <c r="A676" s="4"/>
      <c r="B676" s="4"/>
      <c r="C676" s="8"/>
      <c r="D676" s="4"/>
      <c r="E676" s="4"/>
      <c r="F676" s="8"/>
      <c r="G676" s="4"/>
      <c r="H676" s="4"/>
      <c r="I676" s="8"/>
      <c r="J676" s="4"/>
      <c r="K676" s="4"/>
      <c r="L676" s="8"/>
      <c r="M676" s="4"/>
      <c r="N676" s="4"/>
      <c r="O676" s="8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</row>
    <row r="677" ht="15.75" customHeight="1">
      <c r="A677" s="4"/>
      <c r="B677" s="4"/>
      <c r="C677" s="8"/>
      <c r="D677" s="4"/>
      <c r="E677" s="4"/>
      <c r="F677" s="8"/>
      <c r="G677" s="4"/>
      <c r="H677" s="4"/>
      <c r="I677" s="8"/>
      <c r="J677" s="4"/>
      <c r="K677" s="4"/>
      <c r="L677" s="8"/>
      <c r="M677" s="4"/>
      <c r="N677" s="4"/>
      <c r="O677" s="8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</row>
    <row r="678" ht="15.75" customHeight="1">
      <c r="A678" s="4"/>
      <c r="B678" s="4"/>
      <c r="C678" s="8"/>
      <c r="D678" s="4"/>
      <c r="E678" s="4"/>
      <c r="F678" s="8"/>
      <c r="G678" s="4"/>
      <c r="H678" s="4"/>
      <c r="I678" s="8"/>
      <c r="J678" s="4"/>
      <c r="K678" s="4"/>
      <c r="L678" s="8"/>
      <c r="M678" s="4"/>
      <c r="N678" s="4"/>
      <c r="O678" s="8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</row>
    <row r="679" ht="15.75" customHeight="1">
      <c r="A679" s="4"/>
      <c r="B679" s="4"/>
      <c r="C679" s="8"/>
      <c r="D679" s="4"/>
      <c r="E679" s="4"/>
      <c r="F679" s="8"/>
      <c r="G679" s="4"/>
      <c r="H679" s="4"/>
      <c r="I679" s="8"/>
      <c r="J679" s="4"/>
      <c r="K679" s="4"/>
      <c r="L679" s="8"/>
      <c r="M679" s="4"/>
      <c r="N679" s="4"/>
      <c r="O679" s="8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</row>
    <row r="680" ht="15.75" customHeight="1">
      <c r="A680" s="4"/>
      <c r="B680" s="4"/>
      <c r="C680" s="8"/>
      <c r="D680" s="4"/>
      <c r="E680" s="4"/>
      <c r="F680" s="8"/>
      <c r="G680" s="4"/>
      <c r="H680" s="4"/>
      <c r="I680" s="8"/>
      <c r="J680" s="4"/>
      <c r="K680" s="4"/>
      <c r="L680" s="8"/>
      <c r="M680" s="4"/>
      <c r="N680" s="4"/>
      <c r="O680" s="8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</row>
    <row r="681" ht="15.75" customHeight="1">
      <c r="A681" s="4"/>
      <c r="B681" s="4"/>
      <c r="C681" s="8"/>
      <c r="D681" s="4"/>
      <c r="E681" s="4"/>
      <c r="F681" s="8"/>
      <c r="G681" s="4"/>
      <c r="H681" s="4"/>
      <c r="I681" s="8"/>
      <c r="J681" s="4"/>
      <c r="K681" s="4"/>
      <c r="L681" s="8"/>
      <c r="M681" s="4"/>
      <c r="N681" s="4"/>
      <c r="O681" s="8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</row>
    <row r="682" ht="15.75" customHeight="1">
      <c r="A682" s="4"/>
      <c r="B682" s="4"/>
      <c r="C682" s="8"/>
      <c r="D682" s="4"/>
      <c r="E682" s="4"/>
      <c r="F682" s="8"/>
      <c r="G682" s="4"/>
      <c r="H682" s="4"/>
      <c r="I682" s="8"/>
      <c r="J682" s="4"/>
      <c r="K682" s="4"/>
      <c r="L682" s="8"/>
      <c r="M682" s="4"/>
      <c r="N682" s="4"/>
      <c r="O682" s="8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</row>
    <row r="683" ht="15.75" customHeight="1">
      <c r="A683" s="4"/>
      <c r="B683" s="4"/>
      <c r="C683" s="8"/>
      <c r="D683" s="4"/>
      <c r="E683" s="4"/>
      <c r="F683" s="8"/>
      <c r="G683" s="4"/>
      <c r="H683" s="4"/>
      <c r="I683" s="8"/>
      <c r="J683" s="4"/>
      <c r="K683" s="4"/>
      <c r="L683" s="8"/>
      <c r="M683" s="4"/>
      <c r="N683" s="4"/>
      <c r="O683" s="8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</row>
    <row r="684" ht="15.75" customHeight="1">
      <c r="A684" s="4"/>
      <c r="B684" s="4"/>
      <c r="C684" s="8"/>
      <c r="D684" s="4"/>
      <c r="E684" s="4"/>
      <c r="F684" s="8"/>
      <c r="G684" s="4"/>
      <c r="H684" s="4"/>
      <c r="I684" s="8"/>
      <c r="J684" s="4"/>
      <c r="K684" s="4"/>
      <c r="L684" s="8"/>
      <c r="M684" s="4"/>
      <c r="N684" s="4"/>
      <c r="O684" s="8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</row>
    <row r="685" ht="15.75" customHeight="1">
      <c r="A685" s="4"/>
      <c r="B685" s="4"/>
      <c r="C685" s="8"/>
      <c r="D685" s="4"/>
      <c r="E685" s="4"/>
      <c r="F685" s="8"/>
      <c r="G685" s="4"/>
      <c r="H685" s="4"/>
      <c r="I685" s="8"/>
      <c r="J685" s="4"/>
      <c r="K685" s="4"/>
      <c r="L685" s="8"/>
      <c r="M685" s="4"/>
      <c r="N685" s="4"/>
      <c r="O685" s="8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</row>
    <row r="686" ht="15.75" customHeight="1">
      <c r="A686" s="4"/>
      <c r="B686" s="4"/>
      <c r="C686" s="8"/>
      <c r="D686" s="4"/>
      <c r="E686" s="4"/>
      <c r="F686" s="8"/>
      <c r="G686" s="4"/>
      <c r="H686" s="4"/>
      <c r="I686" s="8"/>
      <c r="J686" s="4"/>
      <c r="K686" s="4"/>
      <c r="L686" s="8"/>
      <c r="M686" s="4"/>
      <c r="N686" s="4"/>
      <c r="O686" s="8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</row>
    <row r="687" ht="15.75" customHeight="1">
      <c r="A687" s="4"/>
      <c r="B687" s="4"/>
      <c r="C687" s="8"/>
      <c r="D687" s="4"/>
      <c r="E687" s="4"/>
      <c r="F687" s="8"/>
      <c r="G687" s="4"/>
      <c r="H687" s="4"/>
      <c r="I687" s="8"/>
      <c r="J687" s="4"/>
      <c r="K687" s="4"/>
      <c r="L687" s="8"/>
      <c r="M687" s="4"/>
      <c r="N687" s="4"/>
      <c r="O687" s="8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</row>
    <row r="688" ht="15.75" customHeight="1">
      <c r="A688" s="4"/>
      <c r="B688" s="4"/>
      <c r="C688" s="8"/>
      <c r="D688" s="4"/>
      <c r="E688" s="4"/>
      <c r="F688" s="8"/>
      <c r="G688" s="4"/>
      <c r="H688" s="4"/>
      <c r="I688" s="8"/>
      <c r="J688" s="4"/>
      <c r="K688" s="4"/>
      <c r="L688" s="8"/>
      <c r="M688" s="4"/>
      <c r="N688" s="4"/>
      <c r="O688" s="8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</row>
    <row r="689" ht="15.75" customHeight="1">
      <c r="A689" s="4"/>
      <c r="B689" s="4"/>
      <c r="C689" s="8"/>
      <c r="D689" s="4"/>
      <c r="E689" s="4"/>
      <c r="F689" s="8"/>
      <c r="G689" s="4"/>
      <c r="H689" s="4"/>
      <c r="I689" s="8"/>
      <c r="J689" s="4"/>
      <c r="K689" s="4"/>
      <c r="L689" s="8"/>
      <c r="M689" s="4"/>
      <c r="N689" s="4"/>
      <c r="O689" s="8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</row>
    <row r="690" ht="15.75" customHeight="1">
      <c r="A690" s="4"/>
      <c r="B690" s="4"/>
      <c r="C690" s="8"/>
      <c r="D690" s="4"/>
      <c r="E690" s="4"/>
      <c r="F690" s="8"/>
      <c r="G690" s="4"/>
      <c r="H690" s="4"/>
      <c r="I690" s="8"/>
      <c r="J690" s="4"/>
      <c r="K690" s="4"/>
      <c r="L690" s="8"/>
      <c r="M690" s="4"/>
      <c r="N690" s="4"/>
      <c r="O690" s="8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</row>
    <row r="691" ht="15.75" customHeight="1">
      <c r="A691" s="4"/>
      <c r="B691" s="4"/>
      <c r="C691" s="8"/>
      <c r="D691" s="4"/>
      <c r="E691" s="4"/>
      <c r="F691" s="8"/>
      <c r="G691" s="4"/>
      <c r="H691" s="4"/>
      <c r="I691" s="8"/>
      <c r="J691" s="4"/>
      <c r="K691" s="4"/>
      <c r="L691" s="8"/>
      <c r="M691" s="4"/>
      <c r="N691" s="4"/>
      <c r="O691" s="8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</row>
    <row r="692" ht="15.75" customHeight="1">
      <c r="A692" s="4"/>
      <c r="B692" s="4"/>
      <c r="C692" s="8"/>
      <c r="D692" s="4"/>
      <c r="E692" s="4"/>
      <c r="F692" s="8"/>
      <c r="G692" s="4"/>
      <c r="H692" s="4"/>
      <c r="I692" s="8"/>
      <c r="J692" s="4"/>
      <c r="K692" s="4"/>
      <c r="L692" s="8"/>
      <c r="M692" s="4"/>
      <c r="N692" s="4"/>
      <c r="O692" s="8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</row>
    <row r="693" ht="15.75" customHeight="1">
      <c r="A693" s="4"/>
      <c r="B693" s="4"/>
      <c r="C693" s="8"/>
      <c r="D693" s="4"/>
      <c r="E693" s="4"/>
      <c r="F693" s="8"/>
      <c r="G693" s="4"/>
      <c r="H693" s="4"/>
      <c r="I693" s="8"/>
      <c r="J693" s="4"/>
      <c r="K693" s="4"/>
      <c r="L693" s="8"/>
      <c r="M693" s="4"/>
      <c r="N693" s="4"/>
      <c r="O693" s="8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</row>
    <row r="694" ht="15.75" customHeight="1">
      <c r="A694" s="4"/>
      <c r="B694" s="4"/>
      <c r="C694" s="8"/>
      <c r="D694" s="4"/>
      <c r="E694" s="4"/>
      <c r="F694" s="8"/>
      <c r="G694" s="4"/>
      <c r="H694" s="4"/>
      <c r="I694" s="8"/>
      <c r="J694" s="4"/>
      <c r="K694" s="4"/>
      <c r="L694" s="8"/>
      <c r="M694" s="4"/>
      <c r="N694" s="4"/>
      <c r="O694" s="8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</row>
    <row r="695" ht="15.75" customHeight="1">
      <c r="A695" s="4"/>
      <c r="B695" s="4"/>
      <c r="C695" s="8"/>
      <c r="D695" s="4"/>
      <c r="E695" s="4"/>
      <c r="F695" s="8"/>
      <c r="G695" s="4"/>
      <c r="H695" s="4"/>
      <c r="I695" s="8"/>
      <c r="J695" s="4"/>
      <c r="K695" s="4"/>
      <c r="L695" s="8"/>
      <c r="M695" s="4"/>
      <c r="N695" s="4"/>
      <c r="O695" s="8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</row>
    <row r="696" ht="15.75" customHeight="1">
      <c r="A696" s="4"/>
      <c r="B696" s="4"/>
      <c r="C696" s="8"/>
      <c r="D696" s="4"/>
      <c r="E696" s="4"/>
      <c r="F696" s="8"/>
      <c r="G696" s="4"/>
      <c r="H696" s="4"/>
      <c r="I696" s="8"/>
      <c r="J696" s="4"/>
      <c r="K696" s="4"/>
      <c r="L696" s="8"/>
      <c r="M696" s="4"/>
      <c r="N696" s="4"/>
      <c r="O696" s="8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</row>
    <row r="697" ht="15.75" customHeight="1">
      <c r="A697" s="4"/>
      <c r="B697" s="4"/>
      <c r="C697" s="8"/>
      <c r="D697" s="4"/>
      <c r="E697" s="4"/>
      <c r="F697" s="8"/>
      <c r="G697" s="4"/>
      <c r="H697" s="4"/>
      <c r="I697" s="8"/>
      <c r="J697" s="4"/>
      <c r="K697" s="4"/>
      <c r="L697" s="8"/>
      <c r="M697" s="4"/>
      <c r="N697" s="4"/>
      <c r="O697" s="8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</row>
    <row r="698" ht="15.75" customHeight="1">
      <c r="A698" s="4"/>
      <c r="B698" s="4"/>
      <c r="C698" s="8"/>
      <c r="D698" s="4"/>
      <c r="E698" s="4"/>
      <c r="F698" s="8"/>
      <c r="G698" s="4"/>
      <c r="H698" s="4"/>
      <c r="I698" s="8"/>
      <c r="J698" s="4"/>
      <c r="K698" s="4"/>
      <c r="L698" s="8"/>
      <c r="M698" s="4"/>
      <c r="N698" s="4"/>
      <c r="O698" s="8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</row>
    <row r="699" ht="15.75" customHeight="1">
      <c r="A699" s="4"/>
      <c r="B699" s="4"/>
      <c r="C699" s="8"/>
      <c r="D699" s="4"/>
      <c r="E699" s="4"/>
      <c r="F699" s="8"/>
      <c r="G699" s="4"/>
      <c r="H699" s="4"/>
      <c r="I699" s="8"/>
      <c r="J699" s="4"/>
      <c r="K699" s="4"/>
      <c r="L699" s="8"/>
      <c r="M699" s="4"/>
      <c r="N699" s="4"/>
      <c r="O699" s="8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</row>
    <row r="700" ht="15.75" customHeight="1">
      <c r="A700" s="4"/>
      <c r="B700" s="4"/>
      <c r="C700" s="8"/>
      <c r="D700" s="4"/>
      <c r="E700" s="4"/>
      <c r="F700" s="8"/>
      <c r="G700" s="4"/>
      <c r="H700" s="4"/>
      <c r="I700" s="8"/>
      <c r="J700" s="4"/>
      <c r="K700" s="4"/>
      <c r="L700" s="8"/>
      <c r="M700" s="4"/>
      <c r="N700" s="4"/>
      <c r="O700" s="8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</row>
    <row r="701" ht="15.75" customHeight="1">
      <c r="A701" s="4"/>
      <c r="B701" s="4"/>
      <c r="C701" s="8"/>
      <c r="D701" s="4"/>
      <c r="E701" s="4"/>
      <c r="F701" s="8"/>
      <c r="G701" s="4"/>
      <c r="H701" s="4"/>
      <c r="I701" s="8"/>
      <c r="J701" s="4"/>
      <c r="K701" s="4"/>
      <c r="L701" s="8"/>
      <c r="M701" s="4"/>
      <c r="N701" s="4"/>
      <c r="O701" s="8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</row>
    <row r="702" ht="15.75" customHeight="1">
      <c r="A702" s="4"/>
      <c r="B702" s="4"/>
      <c r="C702" s="8"/>
      <c r="D702" s="4"/>
      <c r="E702" s="4"/>
      <c r="F702" s="8"/>
      <c r="G702" s="4"/>
      <c r="H702" s="4"/>
      <c r="I702" s="8"/>
      <c r="J702" s="4"/>
      <c r="K702" s="4"/>
      <c r="L702" s="8"/>
      <c r="M702" s="4"/>
      <c r="N702" s="4"/>
      <c r="O702" s="8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</row>
    <row r="703" ht="15.75" customHeight="1">
      <c r="A703" s="4"/>
      <c r="B703" s="4"/>
      <c r="C703" s="8"/>
      <c r="D703" s="4"/>
      <c r="E703" s="4"/>
      <c r="F703" s="8"/>
      <c r="G703" s="4"/>
      <c r="H703" s="4"/>
      <c r="I703" s="8"/>
      <c r="J703" s="4"/>
      <c r="K703" s="4"/>
      <c r="L703" s="8"/>
      <c r="M703" s="4"/>
      <c r="N703" s="4"/>
      <c r="O703" s="8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</row>
    <row r="704" ht="15.75" customHeight="1">
      <c r="A704" s="4"/>
      <c r="B704" s="4"/>
      <c r="C704" s="8"/>
      <c r="D704" s="4"/>
      <c r="E704" s="4"/>
      <c r="F704" s="8"/>
      <c r="G704" s="4"/>
      <c r="H704" s="4"/>
      <c r="I704" s="8"/>
      <c r="J704" s="4"/>
      <c r="K704" s="4"/>
      <c r="L704" s="8"/>
      <c r="M704" s="4"/>
      <c r="N704" s="4"/>
      <c r="O704" s="8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</row>
    <row r="705" ht="15.75" customHeight="1">
      <c r="A705" s="4"/>
      <c r="B705" s="4"/>
      <c r="C705" s="8"/>
      <c r="D705" s="4"/>
      <c r="E705" s="4"/>
      <c r="F705" s="8"/>
      <c r="G705" s="4"/>
      <c r="H705" s="4"/>
      <c r="I705" s="8"/>
      <c r="J705" s="4"/>
      <c r="K705" s="4"/>
      <c r="L705" s="8"/>
      <c r="M705" s="4"/>
      <c r="N705" s="4"/>
      <c r="O705" s="8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</row>
    <row r="706" ht="15.75" customHeight="1">
      <c r="A706" s="4"/>
      <c r="B706" s="4"/>
      <c r="C706" s="8"/>
      <c r="D706" s="4"/>
      <c r="E706" s="4"/>
      <c r="F706" s="8"/>
      <c r="G706" s="4"/>
      <c r="H706" s="4"/>
      <c r="I706" s="8"/>
      <c r="J706" s="4"/>
      <c r="K706" s="4"/>
      <c r="L706" s="8"/>
      <c r="M706" s="4"/>
      <c r="N706" s="4"/>
      <c r="O706" s="8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</row>
    <row r="707" ht="15.75" customHeight="1">
      <c r="A707" s="4"/>
      <c r="B707" s="4"/>
      <c r="C707" s="8"/>
      <c r="D707" s="4"/>
      <c r="E707" s="4"/>
      <c r="F707" s="8"/>
      <c r="G707" s="4"/>
      <c r="H707" s="4"/>
      <c r="I707" s="8"/>
      <c r="J707" s="4"/>
      <c r="K707" s="4"/>
      <c r="L707" s="8"/>
      <c r="M707" s="4"/>
      <c r="N707" s="4"/>
      <c r="O707" s="8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</row>
    <row r="708" ht="15.75" customHeight="1">
      <c r="A708" s="4"/>
      <c r="B708" s="4"/>
      <c r="C708" s="8"/>
      <c r="D708" s="4"/>
      <c r="E708" s="4"/>
      <c r="F708" s="8"/>
      <c r="G708" s="4"/>
      <c r="H708" s="4"/>
      <c r="I708" s="8"/>
      <c r="J708" s="4"/>
      <c r="K708" s="4"/>
      <c r="L708" s="8"/>
      <c r="M708" s="4"/>
      <c r="N708" s="4"/>
      <c r="O708" s="8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</row>
    <row r="709" ht="15.75" customHeight="1">
      <c r="A709" s="4"/>
      <c r="B709" s="4"/>
      <c r="C709" s="8"/>
      <c r="D709" s="4"/>
      <c r="E709" s="4"/>
      <c r="F709" s="8"/>
      <c r="G709" s="4"/>
      <c r="H709" s="4"/>
      <c r="I709" s="8"/>
      <c r="J709" s="4"/>
      <c r="K709" s="4"/>
      <c r="L709" s="8"/>
      <c r="M709" s="4"/>
      <c r="N709" s="4"/>
      <c r="O709" s="8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</row>
    <row r="710" ht="15.75" customHeight="1">
      <c r="A710" s="4"/>
      <c r="B710" s="4"/>
      <c r="C710" s="8"/>
      <c r="D710" s="4"/>
      <c r="E710" s="4"/>
      <c r="F710" s="8"/>
      <c r="G710" s="4"/>
      <c r="H710" s="4"/>
      <c r="I710" s="8"/>
      <c r="J710" s="4"/>
      <c r="K710" s="4"/>
      <c r="L710" s="8"/>
      <c r="M710" s="4"/>
      <c r="N710" s="4"/>
      <c r="O710" s="8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</row>
    <row r="711" ht="15.75" customHeight="1">
      <c r="A711" s="4"/>
      <c r="B711" s="4"/>
      <c r="C711" s="8"/>
      <c r="D711" s="4"/>
      <c r="E711" s="4"/>
      <c r="F711" s="8"/>
      <c r="G711" s="4"/>
      <c r="H711" s="4"/>
      <c r="I711" s="8"/>
      <c r="J711" s="4"/>
      <c r="K711" s="4"/>
      <c r="L711" s="8"/>
      <c r="M711" s="4"/>
      <c r="N711" s="4"/>
      <c r="O711" s="8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</row>
    <row r="712" ht="15.75" customHeight="1">
      <c r="A712" s="4"/>
      <c r="B712" s="4"/>
      <c r="C712" s="8"/>
      <c r="D712" s="4"/>
      <c r="E712" s="4"/>
      <c r="F712" s="8"/>
      <c r="G712" s="4"/>
      <c r="H712" s="4"/>
      <c r="I712" s="8"/>
      <c r="J712" s="4"/>
      <c r="K712" s="4"/>
      <c r="L712" s="8"/>
      <c r="M712" s="4"/>
      <c r="N712" s="4"/>
      <c r="O712" s="8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</row>
    <row r="713" ht="15.75" customHeight="1">
      <c r="A713" s="4"/>
      <c r="B713" s="4"/>
      <c r="C713" s="8"/>
      <c r="D713" s="4"/>
      <c r="E713" s="4"/>
      <c r="F713" s="8"/>
      <c r="G713" s="4"/>
      <c r="H713" s="4"/>
      <c r="I713" s="8"/>
      <c r="J713" s="4"/>
      <c r="K713" s="4"/>
      <c r="L713" s="8"/>
      <c r="M713" s="4"/>
      <c r="N713" s="4"/>
      <c r="O713" s="8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</row>
    <row r="714" ht="15.75" customHeight="1">
      <c r="A714" s="4"/>
      <c r="B714" s="4"/>
      <c r="C714" s="8"/>
      <c r="D714" s="4"/>
      <c r="E714" s="4"/>
      <c r="F714" s="8"/>
      <c r="G714" s="4"/>
      <c r="H714" s="4"/>
      <c r="I714" s="8"/>
      <c r="J714" s="4"/>
      <c r="K714" s="4"/>
      <c r="L714" s="8"/>
      <c r="M714" s="4"/>
      <c r="N714" s="4"/>
      <c r="O714" s="8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</row>
    <row r="715" ht="15.75" customHeight="1">
      <c r="A715" s="4"/>
      <c r="B715" s="4"/>
      <c r="C715" s="8"/>
      <c r="D715" s="4"/>
      <c r="E715" s="4"/>
      <c r="F715" s="8"/>
      <c r="G715" s="4"/>
      <c r="H715" s="4"/>
      <c r="I715" s="8"/>
      <c r="J715" s="4"/>
      <c r="K715" s="4"/>
      <c r="L715" s="8"/>
      <c r="M715" s="4"/>
      <c r="N715" s="4"/>
      <c r="O715" s="8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</row>
    <row r="716" ht="15.75" customHeight="1">
      <c r="A716" s="4"/>
      <c r="B716" s="4"/>
      <c r="C716" s="8"/>
      <c r="D716" s="4"/>
      <c r="E716" s="4"/>
      <c r="F716" s="8"/>
      <c r="G716" s="4"/>
      <c r="H716" s="4"/>
      <c r="I716" s="8"/>
      <c r="J716" s="4"/>
      <c r="K716" s="4"/>
      <c r="L716" s="8"/>
      <c r="M716" s="4"/>
      <c r="N716" s="4"/>
      <c r="O716" s="8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</row>
    <row r="717" ht="15.75" customHeight="1">
      <c r="A717" s="4"/>
      <c r="B717" s="4"/>
      <c r="C717" s="8"/>
      <c r="D717" s="4"/>
      <c r="E717" s="4"/>
      <c r="F717" s="8"/>
      <c r="G717" s="4"/>
      <c r="H717" s="4"/>
      <c r="I717" s="8"/>
      <c r="J717" s="4"/>
      <c r="K717" s="4"/>
      <c r="L717" s="8"/>
      <c r="M717" s="4"/>
      <c r="N717" s="4"/>
      <c r="O717" s="8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</row>
    <row r="718" ht="15.75" customHeight="1">
      <c r="A718" s="4"/>
      <c r="B718" s="4"/>
      <c r="C718" s="8"/>
      <c r="D718" s="4"/>
      <c r="E718" s="4"/>
      <c r="F718" s="8"/>
      <c r="G718" s="4"/>
      <c r="H718" s="4"/>
      <c r="I718" s="8"/>
      <c r="J718" s="4"/>
      <c r="K718" s="4"/>
      <c r="L718" s="8"/>
      <c r="M718" s="4"/>
      <c r="N718" s="4"/>
      <c r="O718" s="8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</row>
    <row r="719" ht="15.75" customHeight="1">
      <c r="A719" s="4"/>
      <c r="B719" s="4"/>
      <c r="C719" s="8"/>
      <c r="D719" s="4"/>
      <c r="E719" s="4"/>
      <c r="F719" s="8"/>
      <c r="G719" s="4"/>
      <c r="H719" s="4"/>
      <c r="I719" s="8"/>
      <c r="J719" s="4"/>
      <c r="K719" s="4"/>
      <c r="L719" s="8"/>
      <c r="M719" s="4"/>
      <c r="N719" s="4"/>
      <c r="O719" s="8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</row>
    <row r="720" ht="15.75" customHeight="1">
      <c r="A720" s="4"/>
      <c r="B720" s="4"/>
      <c r="C720" s="8"/>
      <c r="D720" s="4"/>
      <c r="E720" s="4"/>
      <c r="F720" s="8"/>
      <c r="G720" s="4"/>
      <c r="H720" s="4"/>
      <c r="I720" s="8"/>
      <c r="J720" s="4"/>
      <c r="K720" s="4"/>
      <c r="L720" s="8"/>
      <c r="M720" s="4"/>
      <c r="N720" s="4"/>
      <c r="O720" s="8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</row>
    <row r="721" ht="15.75" customHeight="1">
      <c r="A721" s="4"/>
      <c r="B721" s="4"/>
      <c r="C721" s="8"/>
      <c r="D721" s="4"/>
      <c r="E721" s="4"/>
      <c r="F721" s="8"/>
      <c r="G721" s="4"/>
      <c r="H721" s="4"/>
      <c r="I721" s="8"/>
      <c r="J721" s="4"/>
      <c r="K721" s="4"/>
      <c r="L721" s="8"/>
      <c r="M721" s="4"/>
      <c r="N721" s="4"/>
      <c r="O721" s="8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</row>
    <row r="722" ht="15.75" customHeight="1">
      <c r="A722" s="4"/>
      <c r="B722" s="4"/>
      <c r="C722" s="8"/>
      <c r="D722" s="4"/>
      <c r="E722" s="4"/>
      <c r="F722" s="8"/>
      <c r="G722" s="4"/>
      <c r="H722" s="4"/>
      <c r="I722" s="8"/>
      <c r="J722" s="4"/>
      <c r="K722" s="4"/>
      <c r="L722" s="8"/>
      <c r="M722" s="4"/>
      <c r="N722" s="4"/>
      <c r="O722" s="8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</row>
    <row r="723" ht="15.75" customHeight="1">
      <c r="A723" s="4"/>
      <c r="B723" s="4"/>
      <c r="C723" s="8"/>
      <c r="D723" s="4"/>
      <c r="E723" s="4"/>
      <c r="F723" s="8"/>
      <c r="G723" s="4"/>
      <c r="H723" s="4"/>
      <c r="I723" s="8"/>
      <c r="J723" s="4"/>
      <c r="K723" s="4"/>
      <c r="L723" s="8"/>
      <c r="M723" s="4"/>
      <c r="N723" s="4"/>
      <c r="O723" s="8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</row>
    <row r="724" ht="15.75" customHeight="1">
      <c r="A724" s="4"/>
      <c r="B724" s="4"/>
      <c r="C724" s="8"/>
      <c r="D724" s="4"/>
      <c r="E724" s="4"/>
      <c r="F724" s="8"/>
      <c r="G724" s="4"/>
      <c r="H724" s="4"/>
      <c r="I724" s="8"/>
      <c r="J724" s="4"/>
      <c r="K724" s="4"/>
      <c r="L724" s="8"/>
      <c r="M724" s="4"/>
      <c r="N724" s="4"/>
      <c r="O724" s="8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</row>
    <row r="725" ht="15.75" customHeight="1">
      <c r="A725" s="4"/>
      <c r="B725" s="4"/>
      <c r="C725" s="8"/>
      <c r="D725" s="4"/>
      <c r="E725" s="4"/>
      <c r="F725" s="8"/>
      <c r="G725" s="4"/>
      <c r="H725" s="4"/>
      <c r="I725" s="8"/>
      <c r="J725" s="4"/>
      <c r="K725" s="4"/>
      <c r="L725" s="8"/>
      <c r="M725" s="4"/>
      <c r="N725" s="4"/>
      <c r="O725" s="8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</row>
    <row r="726" ht="15.75" customHeight="1">
      <c r="A726" s="4"/>
      <c r="B726" s="4"/>
      <c r="C726" s="8"/>
      <c r="D726" s="4"/>
      <c r="E726" s="4"/>
      <c r="F726" s="8"/>
      <c r="G726" s="4"/>
      <c r="H726" s="4"/>
      <c r="I726" s="8"/>
      <c r="J726" s="4"/>
      <c r="K726" s="4"/>
      <c r="L726" s="8"/>
      <c r="M726" s="4"/>
      <c r="N726" s="4"/>
      <c r="O726" s="8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</row>
    <row r="727" ht="15.75" customHeight="1">
      <c r="A727" s="4"/>
      <c r="B727" s="4"/>
      <c r="C727" s="8"/>
      <c r="D727" s="4"/>
      <c r="E727" s="4"/>
      <c r="F727" s="8"/>
      <c r="G727" s="4"/>
      <c r="H727" s="4"/>
      <c r="I727" s="8"/>
      <c r="J727" s="4"/>
      <c r="K727" s="4"/>
      <c r="L727" s="8"/>
      <c r="M727" s="4"/>
      <c r="N727" s="4"/>
      <c r="O727" s="8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</row>
    <row r="728" ht="15.75" customHeight="1">
      <c r="A728" s="4"/>
      <c r="B728" s="4"/>
      <c r="C728" s="8"/>
      <c r="D728" s="4"/>
      <c r="E728" s="4"/>
      <c r="F728" s="8"/>
      <c r="G728" s="4"/>
      <c r="H728" s="4"/>
      <c r="I728" s="8"/>
      <c r="J728" s="4"/>
      <c r="K728" s="4"/>
      <c r="L728" s="8"/>
      <c r="M728" s="4"/>
      <c r="N728" s="4"/>
      <c r="O728" s="8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</row>
    <row r="729" ht="15.75" customHeight="1">
      <c r="A729" s="4"/>
      <c r="B729" s="4"/>
      <c r="C729" s="8"/>
      <c r="D729" s="4"/>
      <c r="E729" s="4"/>
      <c r="F729" s="8"/>
      <c r="G729" s="4"/>
      <c r="H729" s="4"/>
      <c r="I729" s="8"/>
      <c r="J729" s="4"/>
      <c r="K729" s="4"/>
      <c r="L729" s="8"/>
      <c r="M729" s="4"/>
      <c r="N729" s="4"/>
      <c r="O729" s="8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</row>
    <row r="730" ht="15.75" customHeight="1">
      <c r="A730" s="4"/>
      <c r="B730" s="4"/>
      <c r="C730" s="8"/>
      <c r="D730" s="4"/>
      <c r="E730" s="4"/>
      <c r="F730" s="8"/>
      <c r="G730" s="4"/>
      <c r="H730" s="4"/>
      <c r="I730" s="8"/>
      <c r="J730" s="4"/>
      <c r="K730" s="4"/>
      <c r="L730" s="8"/>
      <c r="M730" s="4"/>
      <c r="N730" s="4"/>
      <c r="O730" s="8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</row>
    <row r="731" ht="15.75" customHeight="1">
      <c r="A731" s="4"/>
      <c r="B731" s="4"/>
      <c r="C731" s="8"/>
      <c r="D731" s="4"/>
      <c r="E731" s="4"/>
      <c r="F731" s="8"/>
      <c r="G731" s="4"/>
      <c r="H731" s="4"/>
      <c r="I731" s="8"/>
      <c r="J731" s="4"/>
      <c r="K731" s="4"/>
      <c r="L731" s="8"/>
      <c r="M731" s="4"/>
      <c r="N731" s="4"/>
      <c r="O731" s="8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</row>
    <row r="732" ht="15.75" customHeight="1">
      <c r="A732" s="4"/>
      <c r="B732" s="4"/>
      <c r="C732" s="8"/>
      <c r="D732" s="4"/>
      <c r="E732" s="4"/>
      <c r="F732" s="8"/>
      <c r="G732" s="4"/>
      <c r="H732" s="4"/>
      <c r="I732" s="8"/>
      <c r="J732" s="4"/>
      <c r="K732" s="4"/>
      <c r="L732" s="8"/>
      <c r="M732" s="4"/>
      <c r="N732" s="4"/>
      <c r="O732" s="8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</row>
    <row r="733" ht="15.75" customHeight="1">
      <c r="A733" s="4"/>
      <c r="B733" s="4"/>
      <c r="C733" s="8"/>
      <c r="D733" s="4"/>
      <c r="E733" s="4"/>
      <c r="F733" s="8"/>
      <c r="G733" s="4"/>
      <c r="H733" s="4"/>
      <c r="I733" s="8"/>
      <c r="J733" s="4"/>
      <c r="K733" s="4"/>
      <c r="L733" s="8"/>
      <c r="M733" s="4"/>
      <c r="N733" s="4"/>
      <c r="O733" s="8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</row>
    <row r="734" ht="15.75" customHeight="1">
      <c r="A734" s="4"/>
      <c r="B734" s="4"/>
      <c r="C734" s="8"/>
      <c r="D734" s="4"/>
      <c r="E734" s="4"/>
      <c r="F734" s="8"/>
      <c r="G734" s="4"/>
      <c r="H734" s="4"/>
      <c r="I734" s="8"/>
      <c r="J734" s="4"/>
      <c r="K734" s="4"/>
      <c r="L734" s="8"/>
      <c r="M734" s="4"/>
      <c r="N734" s="4"/>
      <c r="O734" s="8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</row>
    <row r="735" ht="15.75" customHeight="1">
      <c r="A735" s="4"/>
      <c r="B735" s="4"/>
      <c r="C735" s="8"/>
      <c r="D735" s="4"/>
      <c r="E735" s="4"/>
      <c r="F735" s="8"/>
      <c r="G735" s="4"/>
      <c r="H735" s="4"/>
      <c r="I735" s="8"/>
      <c r="J735" s="4"/>
      <c r="K735" s="4"/>
      <c r="L735" s="8"/>
      <c r="M735" s="4"/>
      <c r="N735" s="4"/>
      <c r="O735" s="8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</row>
    <row r="736" ht="15.75" customHeight="1">
      <c r="A736" s="4"/>
      <c r="B736" s="4"/>
      <c r="C736" s="8"/>
      <c r="D736" s="4"/>
      <c r="E736" s="4"/>
      <c r="F736" s="8"/>
      <c r="G736" s="4"/>
      <c r="H736" s="4"/>
      <c r="I736" s="8"/>
      <c r="J736" s="4"/>
      <c r="K736" s="4"/>
      <c r="L736" s="8"/>
      <c r="M736" s="4"/>
      <c r="N736" s="4"/>
      <c r="O736" s="8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</row>
    <row r="737" ht="15.75" customHeight="1">
      <c r="A737" s="4"/>
      <c r="B737" s="4"/>
      <c r="C737" s="8"/>
      <c r="D737" s="4"/>
      <c r="E737" s="4"/>
      <c r="F737" s="8"/>
      <c r="G737" s="4"/>
      <c r="H737" s="4"/>
      <c r="I737" s="8"/>
      <c r="J737" s="4"/>
      <c r="K737" s="4"/>
      <c r="L737" s="8"/>
      <c r="M737" s="4"/>
      <c r="N737" s="4"/>
      <c r="O737" s="8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</row>
    <row r="738" ht="15.75" customHeight="1">
      <c r="A738" s="4"/>
      <c r="B738" s="4"/>
      <c r="C738" s="8"/>
      <c r="D738" s="4"/>
      <c r="E738" s="4"/>
      <c r="F738" s="8"/>
      <c r="G738" s="4"/>
      <c r="H738" s="4"/>
      <c r="I738" s="8"/>
      <c r="J738" s="4"/>
      <c r="K738" s="4"/>
      <c r="L738" s="8"/>
      <c r="M738" s="4"/>
      <c r="N738" s="4"/>
      <c r="O738" s="8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</row>
    <row r="739" ht="15.75" customHeight="1">
      <c r="A739" s="4"/>
      <c r="B739" s="4"/>
      <c r="C739" s="8"/>
      <c r="D739" s="4"/>
      <c r="E739" s="4"/>
      <c r="F739" s="8"/>
      <c r="G739" s="4"/>
      <c r="H739" s="4"/>
      <c r="I739" s="8"/>
      <c r="J739" s="4"/>
      <c r="K739" s="4"/>
      <c r="L739" s="8"/>
      <c r="M739" s="4"/>
      <c r="N739" s="4"/>
      <c r="O739" s="8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</row>
    <row r="740" ht="15.75" customHeight="1">
      <c r="A740" s="4"/>
      <c r="B740" s="4"/>
      <c r="C740" s="8"/>
      <c r="D740" s="4"/>
      <c r="E740" s="4"/>
      <c r="F740" s="8"/>
      <c r="G740" s="4"/>
      <c r="H740" s="4"/>
      <c r="I740" s="8"/>
      <c r="J740" s="4"/>
      <c r="K740" s="4"/>
      <c r="L740" s="8"/>
      <c r="M740" s="4"/>
      <c r="N740" s="4"/>
      <c r="O740" s="8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</row>
    <row r="741" ht="15.75" customHeight="1">
      <c r="A741" s="4"/>
      <c r="B741" s="4"/>
      <c r="C741" s="8"/>
      <c r="D741" s="4"/>
      <c r="E741" s="4"/>
      <c r="F741" s="8"/>
      <c r="G741" s="4"/>
      <c r="H741" s="4"/>
      <c r="I741" s="8"/>
      <c r="J741" s="4"/>
      <c r="K741" s="4"/>
      <c r="L741" s="8"/>
      <c r="M741" s="4"/>
      <c r="N741" s="4"/>
      <c r="O741" s="8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</row>
    <row r="742" ht="15.75" customHeight="1">
      <c r="A742" s="4"/>
      <c r="B742" s="4"/>
      <c r="C742" s="8"/>
      <c r="D742" s="4"/>
      <c r="E742" s="4"/>
      <c r="F742" s="8"/>
      <c r="G742" s="4"/>
      <c r="H742" s="4"/>
      <c r="I742" s="8"/>
      <c r="J742" s="4"/>
      <c r="K742" s="4"/>
      <c r="L742" s="8"/>
      <c r="M742" s="4"/>
      <c r="N742" s="4"/>
      <c r="O742" s="8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</row>
    <row r="743" ht="15.75" customHeight="1">
      <c r="A743" s="4"/>
      <c r="B743" s="4"/>
      <c r="C743" s="8"/>
      <c r="D743" s="4"/>
      <c r="E743" s="4"/>
      <c r="F743" s="8"/>
      <c r="G743" s="4"/>
      <c r="H743" s="4"/>
      <c r="I743" s="8"/>
      <c r="J743" s="4"/>
      <c r="K743" s="4"/>
      <c r="L743" s="8"/>
      <c r="M743" s="4"/>
      <c r="N743" s="4"/>
      <c r="O743" s="8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</row>
    <row r="744" ht="15.75" customHeight="1">
      <c r="A744" s="4"/>
      <c r="B744" s="4"/>
      <c r="C744" s="8"/>
      <c r="D744" s="4"/>
      <c r="E744" s="4"/>
      <c r="F744" s="8"/>
      <c r="G744" s="4"/>
      <c r="H744" s="4"/>
      <c r="I744" s="8"/>
      <c r="J744" s="4"/>
      <c r="K744" s="4"/>
      <c r="L744" s="8"/>
      <c r="M744" s="4"/>
      <c r="N744" s="4"/>
      <c r="O744" s="8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</row>
    <row r="745" ht="15.75" customHeight="1">
      <c r="A745" s="4"/>
      <c r="B745" s="4"/>
      <c r="C745" s="8"/>
      <c r="D745" s="4"/>
      <c r="E745" s="4"/>
      <c r="F745" s="8"/>
      <c r="G745" s="4"/>
      <c r="H745" s="4"/>
      <c r="I745" s="8"/>
      <c r="J745" s="4"/>
      <c r="K745" s="4"/>
      <c r="L745" s="8"/>
      <c r="M745" s="4"/>
      <c r="N745" s="4"/>
      <c r="O745" s="8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</row>
    <row r="746" ht="15.75" customHeight="1">
      <c r="A746" s="4"/>
      <c r="B746" s="4"/>
      <c r="C746" s="8"/>
      <c r="D746" s="4"/>
      <c r="E746" s="4"/>
      <c r="F746" s="8"/>
      <c r="G746" s="4"/>
      <c r="H746" s="4"/>
      <c r="I746" s="8"/>
      <c r="J746" s="4"/>
      <c r="K746" s="4"/>
      <c r="L746" s="8"/>
      <c r="M746" s="4"/>
      <c r="N746" s="4"/>
      <c r="O746" s="8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</row>
    <row r="747" ht="15.75" customHeight="1">
      <c r="A747" s="4"/>
      <c r="B747" s="4"/>
      <c r="C747" s="8"/>
      <c r="D747" s="4"/>
      <c r="E747" s="4"/>
      <c r="F747" s="8"/>
      <c r="G747" s="4"/>
      <c r="H747" s="4"/>
      <c r="I747" s="8"/>
      <c r="J747" s="4"/>
      <c r="K747" s="4"/>
      <c r="L747" s="8"/>
      <c r="M747" s="4"/>
      <c r="N747" s="4"/>
      <c r="O747" s="8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</row>
    <row r="748" ht="15.75" customHeight="1">
      <c r="A748" s="4"/>
      <c r="B748" s="4"/>
      <c r="C748" s="8"/>
      <c r="D748" s="4"/>
      <c r="E748" s="4"/>
      <c r="F748" s="8"/>
      <c r="G748" s="4"/>
      <c r="H748" s="4"/>
      <c r="I748" s="8"/>
      <c r="J748" s="4"/>
      <c r="K748" s="4"/>
      <c r="L748" s="8"/>
      <c r="M748" s="4"/>
      <c r="N748" s="4"/>
      <c r="O748" s="8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</row>
    <row r="749" ht="15.75" customHeight="1">
      <c r="A749" s="4"/>
      <c r="B749" s="4"/>
      <c r="C749" s="8"/>
      <c r="D749" s="4"/>
      <c r="E749" s="4"/>
      <c r="F749" s="8"/>
      <c r="G749" s="4"/>
      <c r="H749" s="4"/>
      <c r="I749" s="8"/>
      <c r="J749" s="4"/>
      <c r="K749" s="4"/>
      <c r="L749" s="8"/>
      <c r="M749" s="4"/>
      <c r="N749" s="4"/>
      <c r="O749" s="8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</row>
    <row r="750" ht="15.75" customHeight="1">
      <c r="A750" s="4"/>
      <c r="B750" s="4"/>
      <c r="C750" s="8"/>
      <c r="D750" s="4"/>
      <c r="E750" s="4"/>
      <c r="F750" s="8"/>
      <c r="G750" s="4"/>
      <c r="H750" s="4"/>
      <c r="I750" s="8"/>
      <c r="J750" s="4"/>
      <c r="K750" s="4"/>
      <c r="L750" s="8"/>
      <c r="M750" s="4"/>
      <c r="N750" s="4"/>
      <c r="O750" s="8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</row>
    <row r="751" ht="15.75" customHeight="1">
      <c r="A751" s="4"/>
      <c r="B751" s="4"/>
      <c r="C751" s="8"/>
      <c r="D751" s="4"/>
      <c r="E751" s="4"/>
      <c r="F751" s="8"/>
      <c r="G751" s="4"/>
      <c r="H751" s="4"/>
      <c r="I751" s="8"/>
      <c r="J751" s="4"/>
      <c r="K751" s="4"/>
      <c r="L751" s="8"/>
      <c r="M751" s="4"/>
      <c r="N751" s="4"/>
      <c r="O751" s="8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</row>
    <row r="752" ht="15.75" customHeight="1">
      <c r="A752" s="4"/>
      <c r="B752" s="4"/>
      <c r="C752" s="8"/>
      <c r="D752" s="4"/>
      <c r="E752" s="4"/>
      <c r="F752" s="8"/>
      <c r="G752" s="4"/>
      <c r="H752" s="4"/>
      <c r="I752" s="8"/>
      <c r="J752" s="4"/>
      <c r="K752" s="4"/>
      <c r="L752" s="8"/>
      <c r="M752" s="4"/>
      <c r="N752" s="4"/>
      <c r="O752" s="8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</row>
    <row r="753" ht="15.75" customHeight="1">
      <c r="A753" s="4"/>
      <c r="B753" s="4"/>
      <c r="C753" s="8"/>
      <c r="D753" s="4"/>
      <c r="E753" s="4"/>
      <c r="F753" s="8"/>
      <c r="G753" s="4"/>
      <c r="H753" s="4"/>
      <c r="I753" s="8"/>
      <c r="J753" s="4"/>
      <c r="K753" s="4"/>
      <c r="L753" s="8"/>
      <c r="M753" s="4"/>
      <c r="N753" s="4"/>
      <c r="O753" s="8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</row>
    <row r="754" ht="15.75" customHeight="1">
      <c r="A754" s="4"/>
      <c r="B754" s="4"/>
      <c r="C754" s="8"/>
      <c r="D754" s="4"/>
      <c r="E754" s="4"/>
      <c r="F754" s="8"/>
      <c r="G754" s="4"/>
      <c r="H754" s="4"/>
      <c r="I754" s="8"/>
      <c r="J754" s="4"/>
      <c r="K754" s="4"/>
      <c r="L754" s="8"/>
      <c r="M754" s="4"/>
      <c r="N754" s="4"/>
      <c r="O754" s="8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</row>
    <row r="755" ht="15.75" customHeight="1">
      <c r="A755" s="4"/>
      <c r="B755" s="4"/>
      <c r="C755" s="8"/>
      <c r="D755" s="4"/>
      <c r="E755" s="4"/>
      <c r="F755" s="8"/>
      <c r="G755" s="4"/>
      <c r="H755" s="4"/>
      <c r="I755" s="8"/>
      <c r="J755" s="4"/>
      <c r="K755" s="4"/>
      <c r="L755" s="8"/>
      <c r="M755" s="4"/>
      <c r="N755" s="4"/>
      <c r="O755" s="8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</row>
    <row r="756" ht="15.75" customHeight="1">
      <c r="A756" s="4"/>
      <c r="B756" s="4"/>
      <c r="C756" s="8"/>
      <c r="D756" s="4"/>
      <c r="E756" s="4"/>
      <c r="F756" s="8"/>
      <c r="G756" s="4"/>
      <c r="H756" s="4"/>
      <c r="I756" s="8"/>
      <c r="J756" s="4"/>
      <c r="K756" s="4"/>
      <c r="L756" s="8"/>
      <c r="M756" s="4"/>
      <c r="N756" s="4"/>
      <c r="O756" s="8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</row>
    <row r="757" ht="15.75" customHeight="1">
      <c r="A757" s="4"/>
      <c r="B757" s="4"/>
      <c r="C757" s="8"/>
      <c r="D757" s="4"/>
      <c r="E757" s="4"/>
      <c r="F757" s="8"/>
      <c r="G757" s="4"/>
      <c r="H757" s="4"/>
      <c r="I757" s="8"/>
      <c r="J757" s="4"/>
      <c r="K757" s="4"/>
      <c r="L757" s="8"/>
      <c r="M757" s="4"/>
      <c r="N757" s="4"/>
      <c r="O757" s="8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</row>
    <row r="758" ht="15.75" customHeight="1">
      <c r="A758" s="4"/>
      <c r="B758" s="4"/>
      <c r="C758" s="8"/>
      <c r="D758" s="4"/>
      <c r="E758" s="4"/>
      <c r="F758" s="8"/>
      <c r="G758" s="4"/>
      <c r="H758" s="4"/>
      <c r="I758" s="8"/>
      <c r="J758" s="4"/>
      <c r="K758" s="4"/>
      <c r="L758" s="8"/>
      <c r="M758" s="4"/>
      <c r="N758" s="4"/>
      <c r="O758" s="8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</row>
    <row r="759" ht="15.75" customHeight="1">
      <c r="A759" s="4"/>
      <c r="B759" s="4"/>
      <c r="C759" s="8"/>
      <c r="D759" s="4"/>
      <c r="E759" s="4"/>
      <c r="F759" s="8"/>
      <c r="G759" s="4"/>
      <c r="H759" s="4"/>
      <c r="I759" s="8"/>
      <c r="J759" s="4"/>
      <c r="K759" s="4"/>
      <c r="L759" s="8"/>
      <c r="M759" s="4"/>
      <c r="N759" s="4"/>
      <c r="O759" s="8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</row>
    <row r="760" ht="15.75" customHeight="1">
      <c r="A760" s="4"/>
      <c r="B760" s="4"/>
      <c r="C760" s="8"/>
      <c r="D760" s="4"/>
      <c r="E760" s="4"/>
      <c r="F760" s="8"/>
      <c r="G760" s="4"/>
      <c r="H760" s="4"/>
      <c r="I760" s="8"/>
      <c r="J760" s="4"/>
      <c r="K760" s="4"/>
      <c r="L760" s="8"/>
      <c r="M760" s="4"/>
      <c r="N760" s="4"/>
      <c r="O760" s="8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</row>
    <row r="761" ht="15.75" customHeight="1">
      <c r="A761" s="4"/>
      <c r="B761" s="4"/>
      <c r="C761" s="8"/>
      <c r="D761" s="4"/>
      <c r="E761" s="4"/>
      <c r="F761" s="8"/>
      <c r="G761" s="4"/>
      <c r="H761" s="4"/>
      <c r="I761" s="8"/>
      <c r="J761" s="4"/>
      <c r="K761" s="4"/>
      <c r="L761" s="8"/>
      <c r="M761" s="4"/>
      <c r="N761" s="4"/>
      <c r="O761" s="8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</row>
    <row r="762" ht="15.75" customHeight="1">
      <c r="A762" s="4"/>
      <c r="B762" s="4"/>
      <c r="C762" s="8"/>
      <c r="D762" s="4"/>
      <c r="E762" s="4"/>
      <c r="F762" s="8"/>
      <c r="G762" s="4"/>
      <c r="H762" s="4"/>
      <c r="I762" s="8"/>
      <c r="J762" s="4"/>
      <c r="K762" s="4"/>
      <c r="L762" s="8"/>
      <c r="M762" s="4"/>
      <c r="N762" s="4"/>
      <c r="O762" s="8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</row>
    <row r="763" ht="15.75" customHeight="1">
      <c r="A763" s="4"/>
      <c r="B763" s="4"/>
      <c r="C763" s="8"/>
      <c r="D763" s="4"/>
      <c r="E763" s="4"/>
      <c r="F763" s="8"/>
      <c r="G763" s="4"/>
      <c r="H763" s="4"/>
      <c r="I763" s="8"/>
      <c r="J763" s="4"/>
      <c r="K763" s="4"/>
      <c r="L763" s="8"/>
      <c r="M763" s="4"/>
      <c r="N763" s="4"/>
      <c r="O763" s="8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</row>
    <row r="764" ht="15.75" customHeight="1">
      <c r="A764" s="4"/>
      <c r="B764" s="4"/>
      <c r="C764" s="8"/>
      <c r="D764" s="4"/>
      <c r="E764" s="4"/>
      <c r="F764" s="8"/>
      <c r="G764" s="4"/>
      <c r="H764" s="4"/>
      <c r="I764" s="8"/>
      <c r="J764" s="4"/>
      <c r="K764" s="4"/>
      <c r="L764" s="8"/>
      <c r="M764" s="4"/>
      <c r="N764" s="4"/>
      <c r="O764" s="8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</row>
    <row r="765" ht="15.75" customHeight="1">
      <c r="A765" s="4"/>
      <c r="B765" s="4"/>
      <c r="C765" s="8"/>
      <c r="D765" s="4"/>
      <c r="E765" s="4"/>
      <c r="F765" s="8"/>
      <c r="G765" s="4"/>
      <c r="H765" s="4"/>
      <c r="I765" s="8"/>
      <c r="J765" s="4"/>
      <c r="K765" s="4"/>
      <c r="L765" s="8"/>
      <c r="M765" s="4"/>
      <c r="N765" s="4"/>
      <c r="O765" s="8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</row>
    <row r="766" ht="15.75" customHeight="1">
      <c r="A766" s="4"/>
      <c r="B766" s="4"/>
      <c r="C766" s="8"/>
      <c r="D766" s="4"/>
      <c r="E766" s="4"/>
      <c r="F766" s="8"/>
      <c r="G766" s="4"/>
      <c r="H766" s="4"/>
      <c r="I766" s="8"/>
      <c r="J766" s="4"/>
      <c r="K766" s="4"/>
      <c r="L766" s="8"/>
      <c r="M766" s="4"/>
      <c r="N766" s="4"/>
      <c r="O766" s="8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</row>
    <row r="767" ht="15.75" customHeight="1">
      <c r="A767" s="4"/>
      <c r="B767" s="4"/>
      <c r="C767" s="8"/>
      <c r="D767" s="4"/>
      <c r="E767" s="4"/>
      <c r="F767" s="8"/>
      <c r="G767" s="4"/>
      <c r="H767" s="4"/>
      <c r="I767" s="8"/>
      <c r="J767" s="4"/>
      <c r="K767" s="4"/>
      <c r="L767" s="8"/>
      <c r="M767" s="4"/>
      <c r="N767" s="4"/>
      <c r="O767" s="8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</row>
    <row r="768" ht="15.75" customHeight="1">
      <c r="A768" s="4"/>
      <c r="B768" s="4"/>
      <c r="C768" s="8"/>
      <c r="D768" s="4"/>
      <c r="E768" s="4"/>
      <c r="F768" s="8"/>
      <c r="G768" s="4"/>
      <c r="H768" s="4"/>
      <c r="I768" s="8"/>
      <c r="J768" s="4"/>
      <c r="K768" s="4"/>
      <c r="L768" s="8"/>
      <c r="M768" s="4"/>
      <c r="N768" s="4"/>
      <c r="O768" s="8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</row>
    <row r="769" ht="15.75" customHeight="1">
      <c r="A769" s="4"/>
      <c r="B769" s="4"/>
      <c r="C769" s="8"/>
      <c r="D769" s="4"/>
      <c r="E769" s="4"/>
      <c r="F769" s="8"/>
      <c r="G769" s="4"/>
      <c r="H769" s="4"/>
      <c r="I769" s="8"/>
      <c r="J769" s="4"/>
      <c r="K769" s="4"/>
      <c r="L769" s="8"/>
      <c r="M769" s="4"/>
      <c r="N769" s="4"/>
      <c r="O769" s="8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</row>
    <row r="770" ht="15.75" customHeight="1">
      <c r="A770" s="4"/>
      <c r="B770" s="4"/>
      <c r="C770" s="8"/>
      <c r="D770" s="4"/>
      <c r="E770" s="4"/>
      <c r="F770" s="8"/>
      <c r="G770" s="4"/>
      <c r="H770" s="4"/>
      <c r="I770" s="8"/>
      <c r="J770" s="4"/>
      <c r="K770" s="4"/>
      <c r="L770" s="8"/>
      <c r="M770" s="4"/>
      <c r="N770" s="4"/>
      <c r="O770" s="8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</row>
    <row r="771" ht="15.75" customHeight="1">
      <c r="A771" s="4"/>
      <c r="B771" s="4"/>
      <c r="C771" s="8"/>
      <c r="D771" s="4"/>
      <c r="E771" s="4"/>
      <c r="F771" s="8"/>
      <c r="G771" s="4"/>
      <c r="H771" s="4"/>
      <c r="I771" s="8"/>
      <c r="J771" s="4"/>
      <c r="K771" s="4"/>
      <c r="L771" s="8"/>
      <c r="M771" s="4"/>
      <c r="N771" s="4"/>
      <c r="O771" s="8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</row>
    <row r="772" ht="15.75" customHeight="1">
      <c r="A772" s="4"/>
      <c r="B772" s="4"/>
      <c r="C772" s="8"/>
      <c r="D772" s="4"/>
      <c r="E772" s="4"/>
      <c r="F772" s="8"/>
      <c r="G772" s="4"/>
      <c r="H772" s="4"/>
      <c r="I772" s="8"/>
      <c r="J772" s="4"/>
      <c r="K772" s="4"/>
      <c r="L772" s="8"/>
      <c r="M772" s="4"/>
      <c r="N772" s="4"/>
      <c r="O772" s="8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</row>
    <row r="773" ht="15.75" customHeight="1">
      <c r="A773" s="4"/>
      <c r="B773" s="4"/>
      <c r="C773" s="8"/>
      <c r="D773" s="4"/>
      <c r="E773" s="4"/>
      <c r="F773" s="8"/>
      <c r="G773" s="4"/>
      <c r="H773" s="4"/>
      <c r="I773" s="8"/>
      <c r="J773" s="4"/>
      <c r="K773" s="4"/>
      <c r="L773" s="8"/>
      <c r="M773" s="4"/>
      <c r="N773" s="4"/>
      <c r="O773" s="8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</row>
    <row r="774" ht="15.75" customHeight="1">
      <c r="A774" s="4"/>
      <c r="B774" s="4"/>
      <c r="C774" s="8"/>
      <c r="D774" s="4"/>
      <c r="E774" s="4"/>
      <c r="F774" s="8"/>
      <c r="G774" s="4"/>
      <c r="H774" s="4"/>
      <c r="I774" s="8"/>
      <c r="J774" s="4"/>
      <c r="K774" s="4"/>
      <c r="L774" s="8"/>
      <c r="M774" s="4"/>
      <c r="N774" s="4"/>
      <c r="O774" s="8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</row>
    <row r="775" ht="15.75" customHeight="1">
      <c r="A775" s="4"/>
      <c r="B775" s="4"/>
      <c r="C775" s="8"/>
      <c r="D775" s="4"/>
      <c r="E775" s="4"/>
      <c r="F775" s="8"/>
      <c r="G775" s="4"/>
      <c r="H775" s="4"/>
      <c r="I775" s="8"/>
      <c r="J775" s="4"/>
      <c r="K775" s="4"/>
      <c r="L775" s="8"/>
      <c r="M775" s="4"/>
      <c r="N775" s="4"/>
      <c r="O775" s="8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</row>
    <row r="776" ht="15.75" customHeight="1">
      <c r="A776" s="4"/>
      <c r="B776" s="4"/>
      <c r="C776" s="8"/>
      <c r="D776" s="4"/>
      <c r="E776" s="4"/>
      <c r="F776" s="8"/>
      <c r="G776" s="4"/>
      <c r="H776" s="4"/>
      <c r="I776" s="8"/>
      <c r="J776" s="4"/>
      <c r="K776" s="4"/>
      <c r="L776" s="8"/>
      <c r="M776" s="4"/>
      <c r="N776" s="4"/>
      <c r="O776" s="8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</row>
    <row r="777" ht="15.75" customHeight="1">
      <c r="A777" s="4"/>
      <c r="B777" s="4"/>
      <c r="C777" s="8"/>
      <c r="D777" s="4"/>
      <c r="E777" s="4"/>
      <c r="F777" s="8"/>
      <c r="G777" s="4"/>
      <c r="H777" s="4"/>
      <c r="I777" s="8"/>
      <c r="J777" s="4"/>
      <c r="K777" s="4"/>
      <c r="L777" s="8"/>
      <c r="M777" s="4"/>
      <c r="N777" s="4"/>
      <c r="O777" s="8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</row>
    <row r="778" ht="15.75" customHeight="1">
      <c r="A778" s="4"/>
      <c r="B778" s="4"/>
      <c r="C778" s="8"/>
      <c r="D778" s="4"/>
      <c r="E778" s="4"/>
      <c r="F778" s="8"/>
      <c r="G778" s="4"/>
      <c r="H778" s="4"/>
      <c r="I778" s="8"/>
      <c r="J778" s="4"/>
      <c r="K778" s="4"/>
      <c r="L778" s="8"/>
      <c r="M778" s="4"/>
      <c r="N778" s="4"/>
      <c r="O778" s="8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</row>
    <row r="779" ht="15.75" customHeight="1">
      <c r="A779" s="4"/>
      <c r="B779" s="4"/>
      <c r="C779" s="8"/>
      <c r="D779" s="4"/>
      <c r="E779" s="4"/>
      <c r="F779" s="8"/>
      <c r="G779" s="4"/>
      <c r="H779" s="4"/>
      <c r="I779" s="8"/>
      <c r="J779" s="4"/>
      <c r="K779" s="4"/>
      <c r="L779" s="8"/>
      <c r="M779" s="4"/>
      <c r="N779" s="4"/>
      <c r="O779" s="8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</row>
    <row r="780" ht="15.75" customHeight="1">
      <c r="A780" s="4"/>
      <c r="B780" s="4"/>
      <c r="C780" s="8"/>
      <c r="D780" s="4"/>
      <c r="E780" s="4"/>
      <c r="F780" s="8"/>
      <c r="G780" s="4"/>
      <c r="H780" s="4"/>
      <c r="I780" s="8"/>
      <c r="J780" s="4"/>
      <c r="K780" s="4"/>
      <c r="L780" s="8"/>
      <c r="M780" s="4"/>
      <c r="N780" s="4"/>
      <c r="O780" s="8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</row>
    <row r="781" ht="15.75" customHeight="1">
      <c r="A781" s="4"/>
      <c r="B781" s="4"/>
      <c r="C781" s="8"/>
      <c r="D781" s="4"/>
      <c r="E781" s="4"/>
      <c r="F781" s="8"/>
      <c r="G781" s="4"/>
      <c r="H781" s="4"/>
      <c r="I781" s="8"/>
      <c r="J781" s="4"/>
      <c r="K781" s="4"/>
      <c r="L781" s="8"/>
      <c r="M781" s="4"/>
      <c r="N781" s="4"/>
      <c r="O781" s="8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</row>
    <row r="782" ht="15.75" customHeight="1">
      <c r="A782" s="4"/>
      <c r="B782" s="4"/>
      <c r="C782" s="8"/>
      <c r="D782" s="4"/>
      <c r="E782" s="4"/>
      <c r="F782" s="8"/>
      <c r="G782" s="4"/>
      <c r="H782" s="4"/>
      <c r="I782" s="8"/>
      <c r="J782" s="4"/>
      <c r="K782" s="4"/>
      <c r="L782" s="8"/>
      <c r="M782" s="4"/>
      <c r="N782" s="4"/>
      <c r="O782" s="8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</row>
    <row r="783" ht="15.75" customHeight="1">
      <c r="A783" s="4"/>
      <c r="B783" s="4"/>
      <c r="C783" s="8"/>
      <c r="D783" s="4"/>
      <c r="E783" s="4"/>
      <c r="F783" s="8"/>
      <c r="G783" s="4"/>
      <c r="H783" s="4"/>
      <c r="I783" s="8"/>
      <c r="J783" s="4"/>
      <c r="K783" s="4"/>
      <c r="L783" s="8"/>
      <c r="M783" s="4"/>
      <c r="N783" s="4"/>
      <c r="O783" s="8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</row>
    <row r="784" ht="15.75" customHeight="1">
      <c r="A784" s="4"/>
      <c r="B784" s="4"/>
      <c r="C784" s="8"/>
      <c r="D784" s="4"/>
      <c r="E784" s="4"/>
      <c r="F784" s="8"/>
      <c r="G784" s="4"/>
      <c r="H784" s="4"/>
      <c r="I784" s="8"/>
      <c r="J784" s="4"/>
      <c r="K784" s="4"/>
      <c r="L784" s="8"/>
      <c r="M784" s="4"/>
      <c r="N784" s="4"/>
      <c r="O784" s="8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</row>
    <row r="785" ht="15.75" customHeight="1">
      <c r="A785" s="4"/>
      <c r="B785" s="4"/>
      <c r="C785" s="8"/>
      <c r="D785" s="4"/>
      <c r="E785" s="4"/>
      <c r="F785" s="8"/>
      <c r="G785" s="4"/>
      <c r="H785" s="4"/>
      <c r="I785" s="8"/>
      <c r="J785" s="4"/>
      <c r="K785" s="4"/>
      <c r="L785" s="8"/>
      <c r="M785" s="4"/>
      <c r="N785" s="4"/>
      <c r="O785" s="8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</row>
    <row r="786" ht="15.75" customHeight="1">
      <c r="A786" s="4"/>
      <c r="B786" s="4"/>
      <c r="C786" s="8"/>
      <c r="D786" s="4"/>
      <c r="E786" s="4"/>
      <c r="F786" s="8"/>
      <c r="G786" s="4"/>
      <c r="H786" s="4"/>
      <c r="I786" s="8"/>
      <c r="J786" s="4"/>
      <c r="K786" s="4"/>
      <c r="L786" s="8"/>
      <c r="M786" s="4"/>
      <c r="N786" s="4"/>
      <c r="O786" s="8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</row>
    <row r="787" ht="15.75" customHeight="1">
      <c r="A787" s="4"/>
      <c r="B787" s="4"/>
      <c r="C787" s="8"/>
      <c r="D787" s="4"/>
      <c r="E787" s="4"/>
      <c r="F787" s="8"/>
      <c r="G787" s="4"/>
      <c r="H787" s="4"/>
      <c r="I787" s="8"/>
      <c r="J787" s="4"/>
      <c r="K787" s="4"/>
      <c r="L787" s="8"/>
      <c r="M787" s="4"/>
      <c r="N787" s="4"/>
      <c r="O787" s="8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</row>
    <row r="788" ht="15.75" customHeight="1">
      <c r="A788" s="4"/>
      <c r="B788" s="4"/>
      <c r="C788" s="8"/>
      <c r="D788" s="4"/>
      <c r="E788" s="4"/>
      <c r="F788" s="8"/>
      <c r="G788" s="4"/>
      <c r="H788" s="4"/>
      <c r="I788" s="8"/>
      <c r="J788" s="4"/>
      <c r="K788" s="4"/>
      <c r="L788" s="8"/>
      <c r="M788" s="4"/>
      <c r="N788" s="4"/>
      <c r="O788" s="8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</row>
    <row r="789" ht="15.75" customHeight="1">
      <c r="A789" s="4"/>
      <c r="B789" s="4"/>
      <c r="C789" s="8"/>
      <c r="D789" s="4"/>
      <c r="E789" s="4"/>
      <c r="F789" s="8"/>
      <c r="G789" s="4"/>
      <c r="H789" s="4"/>
      <c r="I789" s="8"/>
      <c r="J789" s="4"/>
      <c r="K789" s="4"/>
      <c r="L789" s="8"/>
      <c r="M789" s="4"/>
      <c r="N789" s="4"/>
      <c r="O789" s="8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</row>
    <row r="790" ht="15.75" customHeight="1">
      <c r="A790" s="4"/>
      <c r="B790" s="4"/>
      <c r="C790" s="8"/>
      <c r="D790" s="4"/>
      <c r="E790" s="4"/>
      <c r="F790" s="8"/>
      <c r="G790" s="4"/>
      <c r="H790" s="4"/>
      <c r="I790" s="8"/>
      <c r="J790" s="4"/>
      <c r="K790" s="4"/>
      <c r="L790" s="8"/>
      <c r="M790" s="4"/>
      <c r="N790" s="4"/>
      <c r="O790" s="8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</row>
    <row r="791" ht="15.75" customHeight="1">
      <c r="A791" s="4"/>
      <c r="B791" s="4"/>
      <c r="C791" s="8"/>
      <c r="D791" s="4"/>
      <c r="E791" s="4"/>
      <c r="F791" s="8"/>
      <c r="G791" s="4"/>
      <c r="H791" s="4"/>
      <c r="I791" s="8"/>
      <c r="J791" s="4"/>
      <c r="K791" s="4"/>
      <c r="L791" s="8"/>
      <c r="M791" s="4"/>
      <c r="N791" s="4"/>
      <c r="O791" s="8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</row>
    <row r="792" ht="15.75" customHeight="1">
      <c r="A792" s="4"/>
      <c r="B792" s="4"/>
      <c r="C792" s="8"/>
      <c r="D792" s="4"/>
      <c r="E792" s="4"/>
      <c r="F792" s="8"/>
      <c r="G792" s="4"/>
      <c r="H792" s="4"/>
      <c r="I792" s="8"/>
      <c r="J792" s="4"/>
      <c r="K792" s="4"/>
      <c r="L792" s="8"/>
      <c r="M792" s="4"/>
      <c r="N792" s="4"/>
      <c r="O792" s="8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</row>
    <row r="793" ht="15.75" customHeight="1">
      <c r="A793" s="4"/>
      <c r="B793" s="4"/>
      <c r="C793" s="8"/>
      <c r="D793" s="4"/>
      <c r="E793" s="4"/>
      <c r="F793" s="8"/>
      <c r="G793" s="4"/>
      <c r="H793" s="4"/>
      <c r="I793" s="8"/>
      <c r="J793" s="4"/>
      <c r="K793" s="4"/>
      <c r="L793" s="8"/>
      <c r="M793" s="4"/>
      <c r="N793" s="4"/>
      <c r="O793" s="8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</row>
    <row r="794" ht="15.75" customHeight="1">
      <c r="A794" s="4"/>
      <c r="B794" s="4"/>
      <c r="C794" s="8"/>
      <c r="D794" s="4"/>
      <c r="E794" s="4"/>
      <c r="F794" s="8"/>
      <c r="G794" s="4"/>
      <c r="H794" s="4"/>
      <c r="I794" s="8"/>
      <c r="J794" s="4"/>
      <c r="K794" s="4"/>
      <c r="L794" s="8"/>
      <c r="M794" s="4"/>
      <c r="N794" s="4"/>
      <c r="O794" s="8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</row>
    <row r="795" ht="15.75" customHeight="1">
      <c r="A795" s="4"/>
      <c r="B795" s="4"/>
      <c r="C795" s="8"/>
      <c r="D795" s="4"/>
      <c r="E795" s="4"/>
      <c r="F795" s="8"/>
      <c r="G795" s="4"/>
      <c r="H795" s="4"/>
      <c r="I795" s="8"/>
      <c r="J795" s="4"/>
      <c r="K795" s="4"/>
      <c r="L795" s="8"/>
      <c r="M795" s="4"/>
      <c r="N795" s="4"/>
      <c r="O795" s="8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</row>
    <row r="796" ht="15.75" customHeight="1">
      <c r="A796" s="4"/>
      <c r="B796" s="4"/>
      <c r="C796" s="8"/>
      <c r="D796" s="4"/>
      <c r="E796" s="4"/>
      <c r="F796" s="8"/>
      <c r="G796" s="4"/>
      <c r="H796" s="4"/>
      <c r="I796" s="8"/>
      <c r="J796" s="4"/>
      <c r="K796" s="4"/>
      <c r="L796" s="8"/>
      <c r="M796" s="4"/>
      <c r="N796" s="4"/>
      <c r="O796" s="8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</row>
    <row r="797" ht="15.75" customHeight="1">
      <c r="A797" s="4"/>
      <c r="B797" s="4"/>
      <c r="C797" s="8"/>
      <c r="D797" s="4"/>
      <c r="E797" s="4"/>
      <c r="F797" s="8"/>
      <c r="G797" s="4"/>
      <c r="H797" s="4"/>
      <c r="I797" s="8"/>
      <c r="J797" s="4"/>
      <c r="K797" s="4"/>
      <c r="L797" s="8"/>
      <c r="M797" s="4"/>
      <c r="N797" s="4"/>
      <c r="O797" s="8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</row>
    <row r="798" ht="15.75" customHeight="1">
      <c r="A798" s="4"/>
      <c r="B798" s="4"/>
      <c r="C798" s="8"/>
      <c r="D798" s="4"/>
      <c r="E798" s="4"/>
      <c r="F798" s="8"/>
      <c r="G798" s="4"/>
      <c r="H798" s="4"/>
      <c r="I798" s="8"/>
      <c r="J798" s="4"/>
      <c r="K798" s="4"/>
      <c r="L798" s="8"/>
      <c r="M798" s="4"/>
      <c r="N798" s="4"/>
      <c r="O798" s="8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</row>
    <row r="799" ht="15.75" customHeight="1">
      <c r="A799" s="4"/>
      <c r="B799" s="4"/>
      <c r="C799" s="8"/>
      <c r="D799" s="4"/>
      <c r="E799" s="4"/>
      <c r="F799" s="8"/>
      <c r="G799" s="4"/>
      <c r="H799" s="4"/>
      <c r="I799" s="8"/>
      <c r="J799" s="4"/>
      <c r="K799" s="4"/>
      <c r="L799" s="8"/>
      <c r="M799" s="4"/>
      <c r="N799" s="4"/>
      <c r="O799" s="8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</row>
    <row r="800" ht="15.75" customHeight="1">
      <c r="A800" s="4"/>
      <c r="B800" s="4"/>
      <c r="C800" s="8"/>
      <c r="D800" s="4"/>
      <c r="E800" s="4"/>
      <c r="F800" s="8"/>
      <c r="G800" s="4"/>
      <c r="H800" s="4"/>
      <c r="I800" s="8"/>
      <c r="J800" s="4"/>
      <c r="K800" s="4"/>
      <c r="L800" s="8"/>
      <c r="M800" s="4"/>
      <c r="N800" s="4"/>
      <c r="O800" s="8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</row>
    <row r="801" ht="15.75" customHeight="1">
      <c r="A801" s="4"/>
      <c r="B801" s="4"/>
      <c r="C801" s="8"/>
      <c r="D801" s="4"/>
      <c r="E801" s="4"/>
      <c r="F801" s="8"/>
      <c r="G801" s="4"/>
      <c r="H801" s="4"/>
      <c r="I801" s="8"/>
      <c r="J801" s="4"/>
      <c r="K801" s="4"/>
      <c r="L801" s="8"/>
      <c r="M801" s="4"/>
      <c r="N801" s="4"/>
      <c r="O801" s="8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</row>
    <row r="802" ht="15.75" customHeight="1">
      <c r="A802" s="4"/>
      <c r="B802" s="4"/>
      <c r="C802" s="8"/>
      <c r="D802" s="4"/>
      <c r="E802" s="4"/>
      <c r="F802" s="8"/>
      <c r="G802" s="4"/>
      <c r="H802" s="4"/>
      <c r="I802" s="8"/>
      <c r="J802" s="4"/>
      <c r="K802" s="4"/>
      <c r="L802" s="8"/>
      <c r="M802" s="4"/>
      <c r="N802" s="4"/>
      <c r="O802" s="8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</row>
    <row r="803" ht="15.75" customHeight="1">
      <c r="A803" s="4"/>
      <c r="B803" s="4"/>
      <c r="C803" s="8"/>
      <c r="D803" s="4"/>
      <c r="E803" s="4"/>
      <c r="F803" s="8"/>
      <c r="G803" s="4"/>
      <c r="H803" s="4"/>
      <c r="I803" s="8"/>
      <c r="J803" s="4"/>
      <c r="K803" s="4"/>
      <c r="L803" s="8"/>
      <c r="M803" s="4"/>
      <c r="N803" s="4"/>
      <c r="O803" s="8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</row>
    <row r="804" ht="15.75" customHeight="1">
      <c r="A804" s="4"/>
      <c r="B804" s="4"/>
      <c r="C804" s="8"/>
      <c r="D804" s="4"/>
      <c r="E804" s="4"/>
      <c r="F804" s="8"/>
      <c r="G804" s="4"/>
      <c r="H804" s="4"/>
      <c r="I804" s="8"/>
      <c r="J804" s="4"/>
      <c r="K804" s="4"/>
      <c r="L804" s="8"/>
      <c r="M804" s="4"/>
      <c r="N804" s="4"/>
      <c r="O804" s="8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</row>
    <row r="805" ht="15.75" customHeight="1">
      <c r="A805" s="4"/>
      <c r="B805" s="4"/>
      <c r="C805" s="8"/>
      <c r="D805" s="4"/>
      <c r="E805" s="4"/>
      <c r="F805" s="8"/>
      <c r="G805" s="4"/>
      <c r="H805" s="4"/>
      <c r="I805" s="8"/>
      <c r="J805" s="4"/>
      <c r="K805" s="4"/>
      <c r="L805" s="8"/>
      <c r="M805" s="4"/>
      <c r="N805" s="4"/>
      <c r="O805" s="8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</row>
    <row r="806" ht="15.75" customHeight="1">
      <c r="A806" s="4"/>
      <c r="B806" s="4"/>
      <c r="C806" s="8"/>
      <c r="D806" s="4"/>
      <c r="E806" s="4"/>
      <c r="F806" s="8"/>
      <c r="G806" s="4"/>
      <c r="H806" s="4"/>
      <c r="I806" s="8"/>
      <c r="J806" s="4"/>
      <c r="K806" s="4"/>
      <c r="L806" s="8"/>
      <c r="M806" s="4"/>
      <c r="N806" s="4"/>
      <c r="O806" s="8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</row>
    <row r="807" ht="15.75" customHeight="1">
      <c r="A807" s="4"/>
      <c r="B807" s="4"/>
      <c r="C807" s="8"/>
      <c r="D807" s="4"/>
      <c r="E807" s="4"/>
      <c r="F807" s="8"/>
      <c r="G807" s="4"/>
      <c r="H807" s="4"/>
      <c r="I807" s="8"/>
      <c r="J807" s="4"/>
      <c r="K807" s="4"/>
      <c r="L807" s="8"/>
      <c r="M807" s="4"/>
      <c r="N807" s="4"/>
      <c r="O807" s="8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</row>
    <row r="808" ht="15.75" customHeight="1">
      <c r="A808" s="4"/>
      <c r="B808" s="4"/>
      <c r="C808" s="8"/>
      <c r="D808" s="4"/>
      <c r="E808" s="4"/>
      <c r="F808" s="8"/>
      <c r="G808" s="4"/>
      <c r="H808" s="4"/>
      <c r="I808" s="8"/>
      <c r="J808" s="4"/>
      <c r="K808" s="4"/>
      <c r="L808" s="8"/>
      <c r="M808" s="4"/>
      <c r="N808" s="4"/>
      <c r="O808" s="8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</row>
    <row r="809" ht="15.75" customHeight="1">
      <c r="A809" s="4"/>
      <c r="B809" s="4"/>
      <c r="C809" s="8"/>
      <c r="D809" s="4"/>
      <c r="E809" s="4"/>
      <c r="F809" s="8"/>
      <c r="G809" s="4"/>
      <c r="H809" s="4"/>
      <c r="I809" s="8"/>
      <c r="J809" s="4"/>
      <c r="K809" s="4"/>
      <c r="L809" s="8"/>
      <c r="M809" s="4"/>
      <c r="N809" s="4"/>
      <c r="O809" s="8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</row>
    <row r="810" ht="15.75" customHeight="1">
      <c r="A810" s="4"/>
      <c r="B810" s="4"/>
      <c r="C810" s="8"/>
      <c r="D810" s="4"/>
      <c r="E810" s="4"/>
      <c r="F810" s="8"/>
      <c r="G810" s="4"/>
      <c r="H810" s="4"/>
      <c r="I810" s="8"/>
      <c r="J810" s="4"/>
      <c r="K810" s="4"/>
      <c r="L810" s="8"/>
      <c r="M810" s="4"/>
      <c r="N810" s="4"/>
      <c r="O810" s="8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</row>
    <row r="811" ht="15.75" customHeight="1">
      <c r="A811" s="4"/>
      <c r="B811" s="4"/>
      <c r="C811" s="8"/>
      <c r="D811" s="4"/>
      <c r="E811" s="4"/>
      <c r="F811" s="8"/>
      <c r="G811" s="4"/>
      <c r="H811" s="4"/>
      <c r="I811" s="8"/>
      <c r="J811" s="4"/>
      <c r="K811" s="4"/>
      <c r="L811" s="8"/>
      <c r="M811" s="4"/>
      <c r="N811" s="4"/>
      <c r="O811" s="8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</row>
    <row r="812" ht="15.75" customHeight="1">
      <c r="A812" s="4"/>
      <c r="B812" s="4"/>
      <c r="C812" s="8"/>
      <c r="D812" s="4"/>
      <c r="E812" s="4"/>
      <c r="F812" s="8"/>
      <c r="G812" s="4"/>
      <c r="H812" s="4"/>
      <c r="I812" s="8"/>
      <c r="J812" s="4"/>
      <c r="K812" s="4"/>
      <c r="L812" s="8"/>
      <c r="M812" s="4"/>
      <c r="N812" s="4"/>
      <c r="O812" s="8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</row>
    <row r="813" ht="15.75" customHeight="1">
      <c r="A813" s="4"/>
      <c r="B813" s="4"/>
      <c r="C813" s="8"/>
      <c r="D813" s="4"/>
      <c r="E813" s="4"/>
      <c r="F813" s="8"/>
      <c r="G813" s="4"/>
      <c r="H813" s="4"/>
      <c r="I813" s="8"/>
      <c r="J813" s="4"/>
      <c r="K813" s="4"/>
      <c r="L813" s="8"/>
      <c r="M813" s="4"/>
      <c r="N813" s="4"/>
      <c r="O813" s="8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</row>
    <row r="814" ht="15.75" customHeight="1">
      <c r="A814" s="4"/>
      <c r="B814" s="4"/>
      <c r="C814" s="8"/>
      <c r="D814" s="4"/>
      <c r="E814" s="4"/>
      <c r="F814" s="8"/>
      <c r="G814" s="4"/>
      <c r="H814" s="4"/>
      <c r="I814" s="8"/>
      <c r="J814" s="4"/>
      <c r="K814" s="4"/>
      <c r="L814" s="8"/>
      <c r="M814" s="4"/>
      <c r="N814" s="4"/>
      <c r="O814" s="8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</row>
    <row r="815" ht="15.75" customHeight="1">
      <c r="A815" s="4"/>
      <c r="B815" s="4"/>
      <c r="C815" s="8"/>
      <c r="D815" s="4"/>
      <c r="E815" s="4"/>
      <c r="F815" s="8"/>
      <c r="G815" s="4"/>
      <c r="H815" s="4"/>
      <c r="I815" s="8"/>
      <c r="J815" s="4"/>
      <c r="K815" s="4"/>
      <c r="L815" s="8"/>
      <c r="M815" s="4"/>
      <c r="N815" s="4"/>
      <c r="O815" s="8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</row>
    <row r="816" ht="15.75" customHeight="1">
      <c r="A816" s="4"/>
      <c r="B816" s="4"/>
      <c r="C816" s="8"/>
      <c r="D816" s="4"/>
      <c r="E816" s="4"/>
      <c r="F816" s="8"/>
      <c r="G816" s="4"/>
      <c r="H816" s="4"/>
      <c r="I816" s="8"/>
      <c r="J816" s="4"/>
      <c r="K816" s="4"/>
      <c r="L816" s="8"/>
      <c r="M816" s="4"/>
      <c r="N816" s="4"/>
      <c r="O816" s="8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</row>
    <row r="817" ht="15.75" customHeight="1">
      <c r="A817" s="4"/>
      <c r="B817" s="4"/>
      <c r="C817" s="8"/>
      <c r="D817" s="4"/>
      <c r="E817" s="4"/>
      <c r="F817" s="8"/>
      <c r="G817" s="4"/>
      <c r="H817" s="4"/>
      <c r="I817" s="8"/>
      <c r="J817" s="4"/>
      <c r="K817" s="4"/>
      <c r="L817" s="8"/>
      <c r="M817" s="4"/>
      <c r="N817" s="4"/>
      <c r="O817" s="8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</row>
    <row r="818" ht="15.75" customHeight="1">
      <c r="A818" s="4"/>
      <c r="B818" s="4"/>
      <c r="C818" s="8"/>
      <c r="D818" s="4"/>
      <c r="E818" s="4"/>
      <c r="F818" s="8"/>
      <c r="G818" s="4"/>
      <c r="H818" s="4"/>
      <c r="I818" s="8"/>
      <c r="J818" s="4"/>
      <c r="K818" s="4"/>
      <c r="L818" s="8"/>
      <c r="M818" s="4"/>
      <c r="N818" s="4"/>
      <c r="O818" s="8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</row>
    <row r="819" ht="15.75" customHeight="1">
      <c r="A819" s="4"/>
      <c r="B819" s="4"/>
      <c r="C819" s="8"/>
      <c r="D819" s="4"/>
      <c r="E819" s="4"/>
      <c r="F819" s="8"/>
      <c r="G819" s="4"/>
      <c r="H819" s="4"/>
      <c r="I819" s="8"/>
      <c r="J819" s="4"/>
      <c r="K819" s="4"/>
      <c r="L819" s="8"/>
      <c r="M819" s="4"/>
      <c r="N819" s="4"/>
      <c r="O819" s="8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</row>
    <row r="820" ht="15.75" customHeight="1">
      <c r="A820" s="4"/>
      <c r="B820" s="4"/>
      <c r="C820" s="8"/>
      <c r="D820" s="4"/>
      <c r="E820" s="4"/>
      <c r="F820" s="8"/>
      <c r="G820" s="4"/>
      <c r="H820" s="4"/>
      <c r="I820" s="8"/>
      <c r="J820" s="4"/>
      <c r="K820" s="4"/>
      <c r="L820" s="8"/>
      <c r="M820" s="4"/>
      <c r="N820" s="4"/>
      <c r="O820" s="8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</row>
    <row r="821" ht="15.75" customHeight="1">
      <c r="A821" s="4"/>
      <c r="B821" s="4"/>
      <c r="C821" s="8"/>
      <c r="D821" s="4"/>
      <c r="E821" s="4"/>
      <c r="F821" s="8"/>
      <c r="G821" s="4"/>
      <c r="H821" s="4"/>
      <c r="I821" s="8"/>
      <c r="J821" s="4"/>
      <c r="K821" s="4"/>
      <c r="L821" s="8"/>
      <c r="M821" s="4"/>
      <c r="N821" s="4"/>
      <c r="O821" s="8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</row>
    <row r="822" ht="15.75" customHeight="1">
      <c r="A822" s="4"/>
      <c r="B822" s="4"/>
      <c r="C822" s="8"/>
      <c r="D822" s="4"/>
      <c r="E822" s="4"/>
      <c r="F822" s="8"/>
      <c r="G822" s="4"/>
      <c r="H822" s="4"/>
      <c r="I822" s="8"/>
      <c r="J822" s="4"/>
      <c r="K822" s="4"/>
      <c r="L822" s="8"/>
      <c r="M822" s="4"/>
      <c r="N822" s="4"/>
      <c r="O822" s="8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</row>
    <row r="823" ht="15.75" customHeight="1">
      <c r="A823" s="4"/>
      <c r="B823" s="4"/>
      <c r="C823" s="8"/>
      <c r="D823" s="4"/>
      <c r="E823" s="4"/>
      <c r="F823" s="8"/>
      <c r="G823" s="4"/>
      <c r="H823" s="4"/>
      <c r="I823" s="8"/>
      <c r="J823" s="4"/>
      <c r="K823" s="4"/>
      <c r="L823" s="8"/>
      <c r="M823" s="4"/>
      <c r="N823" s="4"/>
      <c r="O823" s="8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</row>
    <row r="824" ht="15.75" customHeight="1">
      <c r="A824" s="4"/>
      <c r="B824" s="4"/>
      <c r="C824" s="8"/>
      <c r="D824" s="4"/>
      <c r="E824" s="4"/>
      <c r="F824" s="8"/>
      <c r="G824" s="4"/>
      <c r="H824" s="4"/>
      <c r="I824" s="8"/>
      <c r="J824" s="4"/>
      <c r="K824" s="4"/>
      <c r="L824" s="8"/>
      <c r="M824" s="4"/>
      <c r="N824" s="4"/>
      <c r="O824" s="8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</row>
    <row r="825" ht="15.75" customHeight="1">
      <c r="A825" s="4"/>
      <c r="B825" s="4"/>
      <c r="C825" s="8"/>
      <c r="D825" s="4"/>
      <c r="E825" s="4"/>
      <c r="F825" s="8"/>
      <c r="G825" s="4"/>
      <c r="H825" s="4"/>
      <c r="I825" s="8"/>
      <c r="J825" s="4"/>
      <c r="K825" s="4"/>
      <c r="L825" s="8"/>
      <c r="M825" s="4"/>
      <c r="N825" s="4"/>
      <c r="O825" s="8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</row>
    <row r="826" ht="15.75" customHeight="1">
      <c r="A826" s="4"/>
      <c r="B826" s="4"/>
      <c r="C826" s="8"/>
      <c r="D826" s="4"/>
      <c r="E826" s="4"/>
      <c r="F826" s="8"/>
      <c r="G826" s="4"/>
      <c r="H826" s="4"/>
      <c r="I826" s="8"/>
      <c r="J826" s="4"/>
      <c r="K826" s="4"/>
      <c r="L826" s="8"/>
      <c r="M826" s="4"/>
      <c r="N826" s="4"/>
      <c r="O826" s="8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</row>
    <row r="827" ht="15.75" customHeight="1">
      <c r="A827" s="4"/>
      <c r="B827" s="4"/>
      <c r="C827" s="8"/>
      <c r="D827" s="4"/>
      <c r="E827" s="4"/>
      <c r="F827" s="8"/>
      <c r="G827" s="4"/>
      <c r="H827" s="4"/>
      <c r="I827" s="8"/>
      <c r="J827" s="4"/>
      <c r="K827" s="4"/>
      <c r="L827" s="8"/>
      <c r="M827" s="4"/>
      <c r="N827" s="4"/>
      <c r="O827" s="8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</row>
    <row r="828" ht="15.75" customHeight="1">
      <c r="A828" s="4"/>
      <c r="B828" s="4"/>
      <c r="C828" s="8"/>
      <c r="D828" s="4"/>
      <c r="E828" s="4"/>
      <c r="F828" s="8"/>
      <c r="G828" s="4"/>
      <c r="H828" s="4"/>
      <c r="I828" s="8"/>
      <c r="J828" s="4"/>
      <c r="K828" s="4"/>
      <c r="L828" s="8"/>
      <c r="M828" s="4"/>
      <c r="N828" s="4"/>
      <c r="O828" s="8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</row>
    <row r="829" ht="15.75" customHeight="1">
      <c r="A829" s="4"/>
      <c r="B829" s="4"/>
      <c r="C829" s="8"/>
      <c r="D829" s="4"/>
      <c r="E829" s="4"/>
      <c r="F829" s="8"/>
      <c r="G829" s="4"/>
      <c r="H829" s="4"/>
      <c r="I829" s="8"/>
      <c r="J829" s="4"/>
      <c r="K829" s="4"/>
      <c r="L829" s="8"/>
      <c r="M829" s="4"/>
      <c r="N829" s="4"/>
      <c r="O829" s="8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</row>
    <row r="830" ht="15.75" customHeight="1">
      <c r="A830" s="4"/>
      <c r="B830" s="4"/>
      <c r="C830" s="8"/>
      <c r="D830" s="4"/>
      <c r="E830" s="4"/>
      <c r="F830" s="8"/>
      <c r="G830" s="4"/>
      <c r="H830" s="4"/>
      <c r="I830" s="8"/>
      <c r="J830" s="4"/>
      <c r="K830" s="4"/>
      <c r="L830" s="8"/>
      <c r="M830" s="4"/>
      <c r="N830" s="4"/>
      <c r="O830" s="8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</row>
    <row r="831" ht="15.75" customHeight="1">
      <c r="A831" s="4"/>
      <c r="B831" s="4"/>
      <c r="C831" s="8"/>
      <c r="D831" s="4"/>
      <c r="E831" s="4"/>
      <c r="F831" s="8"/>
      <c r="G831" s="4"/>
      <c r="H831" s="4"/>
      <c r="I831" s="8"/>
      <c r="J831" s="4"/>
      <c r="K831" s="4"/>
      <c r="L831" s="8"/>
      <c r="M831" s="4"/>
      <c r="N831" s="4"/>
      <c r="O831" s="8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</row>
    <row r="832" ht="15.75" customHeight="1">
      <c r="A832" s="4"/>
      <c r="B832" s="4"/>
      <c r="C832" s="8"/>
      <c r="D832" s="4"/>
      <c r="E832" s="4"/>
      <c r="F832" s="8"/>
      <c r="G832" s="4"/>
      <c r="H832" s="4"/>
      <c r="I832" s="8"/>
      <c r="J832" s="4"/>
      <c r="K832" s="4"/>
      <c r="L832" s="8"/>
      <c r="M832" s="4"/>
      <c r="N832" s="4"/>
      <c r="O832" s="8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</row>
    <row r="833" ht="15.75" customHeight="1">
      <c r="A833" s="4"/>
      <c r="B833" s="4"/>
      <c r="C833" s="8"/>
      <c r="D833" s="4"/>
      <c r="E833" s="4"/>
      <c r="F833" s="8"/>
      <c r="G833" s="4"/>
      <c r="H833" s="4"/>
      <c r="I833" s="8"/>
      <c r="J833" s="4"/>
      <c r="K833" s="4"/>
      <c r="L833" s="8"/>
      <c r="M833" s="4"/>
      <c r="N833" s="4"/>
      <c r="O833" s="8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</row>
    <row r="834" ht="15.75" customHeight="1">
      <c r="A834" s="4"/>
      <c r="B834" s="4"/>
      <c r="C834" s="8"/>
      <c r="D834" s="4"/>
      <c r="E834" s="4"/>
      <c r="F834" s="8"/>
      <c r="G834" s="4"/>
      <c r="H834" s="4"/>
      <c r="I834" s="8"/>
      <c r="J834" s="4"/>
      <c r="K834" s="4"/>
      <c r="L834" s="8"/>
      <c r="M834" s="4"/>
      <c r="N834" s="4"/>
      <c r="O834" s="8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</row>
    <row r="835" ht="15.75" customHeight="1">
      <c r="A835" s="4"/>
      <c r="B835" s="4"/>
      <c r="C835" s="8"/>
      <c r="D835" s="4"/>
      <c r="E835" s="4"/>
      <c r="F835" s="8"/>
      <c r="G835" s="4"/>
      <c r="H835" s="4"/>
      <c r="I835" s="8"/>
      <c r="J835" s="4"/>
      <c r="K835" s="4"/>
      <c r="L835" s="8"/>
      <c r="M835" s="4"/>
      <c r="N835" s="4"/>
      <c r="O835" s="8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</row>
    <row r="836" ht="15.75" customHeight="1">
      <c r="A836" s="4"/>
      <c r="B836" s="4"/>
      <c r="C836" s="8"/>
      <c r="D836" s="4"/>
      <c r="E836" s="4"/>
      <c r="F836" s="8"/>
      <c r="G836" s="4"/>
      <c r="H836" s="4"/>
      <c r="I836" s="8"/>
      <c r="J836" s="4"/>
      <c r="K836" s="4"/>
      <c r="L836" s="8"/>
      <c r="M836" s="4"/>
      <c r="N836" s="4"/>
      <c r="O836" s="8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</row>
    <row r="837" ht="15.75" customHeight="1">
      <c r="A837" s="4"/>
      <c r="B837" s="4"/>
      <c r="C837" s="8"/>
      <c r="D837" s="4"/>
      <c r="E837" s="4"/>
      <c r="F837" s="8"/>
      <c r="G837" s="4"/>
      <c r="H837" s="4"/>
      <c r="I837" s="8"/>
      <c r="J837" s="4"/>
      <c r="K837" s="4"/>
      <c r="L837" s="8"/>
      <c r="M837" s="4"/>
      <c r="N837" s="4"/>
      <c r="O837" s="8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</row>
    <row r="838" ht="15.75" customHeight="1">
      <c r="A838" s="4"/>
      <c r="B838" s="4"/>
      <c r="C838" s="8"/>
      <c r="D838" s="4"/>
      <c r="E838" s="4"/>
      <c r="F838" s="8"/>
      <c r="G838" s="4"/>
      <c r="H838" s="4"/>
      <c r="I838" s="8"/>
      <c r="J838" s="4"/>
      <c r="K838" s="4"/>
      <c r="L838" s="8"/>
      <c r="M838" s="4"/>
      <c r="N838" s="4"/>
      <c r="O838" s="8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</row>
    <row r="839" ht="15.75" customHeight="1">
      <c r="A839" s="4"/>
      <c r="B839" s="4"/>
      <c r="C839" s="8"/>
      <c r="D839" s="4"/>
      <c r="E839" s="4"/>
      <c r="F839" s="8"/>
      <c r="G839" s="4"/>
      <c r="H839" s="4"/>
      <c r="I839" s="8"/>
      <c r="J839" s="4"/>
      <c r="K839" s="4"/>
      <c r="L839" s="8"/>
      <c r="M839" s="4"/>
      <c r="N839" s="4"/>
      <c r="O839" s="8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</row>
    <row r="840" ht="15.75" customHeight="1">
      <c r="A840" s="4"/>
      <c r="B840" s="4"/>
      <c r="C840" s="8"/>
      <c r="D840" s="4"/>
      <c r="E840" s="4"/>
      <c r="F840" s="8"/>
      <c r="G840" s="4"/>
      <c r="H840" s="4"/>
      <c r="I840" s="8"/>
      <c r="J840" s="4"/>
      <c r="K840" s="4"/>
      <c r="L840" s="8"/>
      <c r="M840" s="4"/>
      <c r="N840" s="4"/>
      <c r="O840" s="8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</row>
    <row r="841" ht="15.75" customHeight="1">
      <c r="A841" s="4"/>
      <c r="B841" s="4"/>
      <c r="C841" s="8"/>
      <c r="D841" s="4"/>
      <c r="E841" s="4"/>
      <c r="F841" s="8"/>
      <c r="G841" s="4"/>
      <c r="H841" s="4"/>
      <c r="I841" s="8"/>
      <c r="J841" s="4"/>
      <c r="K841" s="4"/>
      <c r="L841" s="8"/>
      <c r="M841" s="4"/>
      <c r="N841" s="4"/>
      <c r="O841" s="8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</row>
    <row r="842" ht="15.75" customHeight="1">
      <c r="A842" s="4"/>
      <c r="B842" s="4"/>
      <c r="C842" s="8"/>
      <c r="D842" s="4"/>
      <c r="E842" s="4"/>
      <c r="F842" s="8"/>
      <c r="G842" s="4"/>
      <c r="H842" s="4"/>
      <c r="I842" s="8"/>
      <c r="J842" s="4"/>
      <c r="K842" s="4"/>
      <c r="L842" s="8"/>
      <c r="M842" s="4"/>
      <c r="N842" s="4"/>
      <c r="O842" s="8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</row>
    <row r="843" ht="15.75" customHeight="1">
      <c r="A843" s="4"/>
      <c r="B843" s="4"/>
      <c r="C843" s="8"/>
      <c r="D843" s="4"/>
      <c r="E843" s="4"/>
      <c r="F843" s="8"/>
      <c r="G843" s="4"/>
      <c r="H843" s="4"/>
      <c r="I843" s="8"/>
      <c r="J843" s="4"/>
      <c r="K843" s="4"/>
      <c r="L843" s="8"/>
      <c r="M843" s="4"/>
      <c r="N843" s="4"/>
      <c r="O843" s="8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</row>
    <row r="844" ht="15.75" customHeight="1">
      <c r="A844" s="4"/>
      <c r="B844" s="4"/>
      <c r="C844" s="8"/>
      <c r="D844" s="4"/>
      <c r="E844" s="4"/>
      <c r="F844" s="8"/>
      <c r="G844" s="4"/>
      <c r="H844" s="4"/>
      <c r="I844" s="8"/>
      <c r="J844" s="4"/>
      <c r="K844" s="4"/>
      <c r="L844" s="8"/>
      <c r="M844" s="4"/>
      <c r="N844" s="4"/>
      <c r="O844" s="8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</row>
    <row r="845" ht="15.75" customHeight="1">
      <c r="A845" s="4"/>
      <c r="B845" s="4"/>
      <c r="C845" s="8"/>
      <c r="D845" s="4"/>
      <c r="E845" s="4"/>
      <c r="F845" s="8"/>
      <c r="G845" s="4"/>
      <c r="H845" s="4"/>
      <c r="I845" s="8"/>
      <c r="J845" s="4"/>
      <c r="K845" s="4"/>
      <c r="L845" s="8"/>
      <c r="M845" s="4"/>
      <c r="N845" s="4"/>
      <c r="O845" s="8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</row>
    <row r="846" ht="15.75" customHeight="1">
      <c r="A846" s="4"/>
      <c r="B846" s="4"/>
      <c r="C846" s="8"/>
      <c r="D846" s="4"/>
      <c r="E846" s="4"/>
      <c r="F846" s="8"/>
      <c r="G846" s="4"/>
      <c r="H846" s="4"/>
      <c r="I846" s="8"/>
      <c r="J846" s="4"/>
      <c r="K846" s="4"/>
      <c r="L846" s="8"/>
      <c r="M846" s="4"/>
      <c r="N846" s="4"/>
      <c r="O846" s="8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</row>
    <row r="847" ht="15.75" customHeight="1">
      <c r="A847" s="4"/>
      <c r="B847" s="4"/>
      <c r="C847" s="8"/>
      <c r="D847" s="4"/>
      <c r="E847" s="4"/>
      <c r="F847" s="8"/>
      <c r="G847" s="4"/>
      <c r="H847" s="4"/>
      <c r="I847" s="8"/>
      <c r="J847" s="4"/>
      <c r="K847" s="4"/>
      <c r="L847" s="8"/>
      <c r="M847" s="4"/>
      <c r="N847" s="4"/>
      <c r="O847" s="8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</row>
    <row r="848" ht="15.75" customHeight="1">
      <c r="A848" s="4"/>
      <c r="B848" s="4"/>
      <c r="C848" s="8"/>
      <c r="D848" s="4"/>
      <c r="E848" s="4"/>
      <c r="F848" s="8"/>
      <c r="G848" s="4"/>
      <c r="H848" s="4"/>
      <c r="I848" s="8"/>
      <c r="J848" s="4"/>
      <c r="K848" s="4"/>
      <c r="L848" s="8"/>
      <c r="M848" s="4"/>
      <c r="N848" s="4"/>
      <c r="O848" s="8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</row>
    <row r="849" ht="15.75" customHeight="1">
      <c r="A849" s="4"/>
      <c r="B849" s="4"/>
      <c r="C849" s="8"/>
      <c r="D849" s="4"/>
      <c r="E849" s="4"/>
      <c r="F849" s="8"/>
      <c r="G849" s="4"/>
      <c r="H849" s="4"/>
      <c r="I849" s="8"/>
      <c r="J849" s="4"/>
      <c r="K849" s="4"/>
      <c r="L849" s="8"/>
      <c r="M849" s="4"/>
      <c r="N849" s="4"/>
      <c r="O849" s="8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</row>
    <row r="850" ht="15.75" customHeight="1">
      <c r="A850" s="4"/>
      <c r="B850" s="4"/>
      <c r="C850" s="8"/>
      <c r="D850" s="4"/>
      <c r="E850" s="4"/>
      <c r="F850" s="8"/>
      <c r="G850" s="4"/>
      <c r="H850" s="4"/>
      <c r="I850" s="8"/>
      <c r="J850" s="4"/>
      <c r="K850" s="4"/>
      <c r="L850" s="8"/>
      <c r="M850" s="4"/>
      <c r="N850" s="4"/>
      <c r="O850" s="8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</row>
    <row r="851" ht="15.75" customHeight="1">
      <c r="A851" s="4"/>
      <c r="B851" s="4"/>
      <c r="C851" s="8"/>
      <c r="D851" s="4"/>
      <c r="E851" s="4"/>
      <c r="F851" s="8"/>
      <c r="G851" s="4"/>
      <c r="H851" s="4"/>
      <c r="I851" s="8"/>
      <c r="J851" s="4"/>
      <c r="K851" s="4"/>
      <c r="L851" s="8"/>
      <c r="M851" s="4"/>
      <c r="N851" s="4"/>
      <c r="O851" s="8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</row>
    <row r="852" ht="15.75" customHeight="1">
      <c r="A852" s="4"/>
      <c r="B852" s="4"/>
      <c r="C852" s="8"/>
      <c r="D852" s="4"/>
      <c r="E852" s="4"/>
      <c r="F852" s="8"/>
      <c r="G852" s="4"/>
      <c r="H852" s="4"/>
      <c r="I852" s="8"/>
      <c r="J852" s="4"/>
      <c r="K852" s="4"/>
      <c r="L852" s="8"/>
      <c r="M852" s="4"/>
      <c r="N852" s="4"/>
      <c r="O852" s="8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</row>
    <row r="853" ht="15.75" customHeight="1">
      <c r="A853" s="4"/>
      <c r="B853" s="4"/>
      <c r="C853" s="8"/>
      <c r="D853" s="4"/>
      <c r="E853" s="4"/>
      <c r="F853" s="8"/>
      <c r="G853" s="4"/>
      <c r="H853" s="4"/>
      <c r="I853" s="8"/>
      <c r="J853" s="4"/>
      <c r="K853" s="4"/>
      <c r="L853" s="8"/>
      <c r="M853" s="4"/>
      <c r="N853" s="4"/>
      <c r="O853" s="8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</row>
    <row r="854" ht="15.75" customHeight="1">
      <c r="A854" s="4"/>
      <c r="B854" s="4"/>
      <c r="C854" s="8"/>
      <c r="D854" s="4"/>
      <c r="E854" s="4"/>
      <c r="F854" s="8"/>
      <c r="G854" s="4"/>
      <c r="H854" s="4"/>
      <c r="I854" s="8"/>
      <c r="J854" s="4"/>
      <c r="K854" s="4"/>
      <c r="L854" s="8"/>
      <c r="M854" s="4"/>
      <c r="N854" s="4"/>
      <c r="O854" s="8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</row>
    <row r="855" ht="15.75" customHeight="1">
      <c r="A855" s="4"/>
      <c r="B855" s="4"/>
      <c r="C855" s="8"/>
      <c r="D855" s="4"/>
      <c r="E855" s="4"/>
      <c r="F855" s="8"/>
      <c r="G855" s="4"/>
      <c r="H855" s="4"/>
      <c r="I855" s="8"/>
      <c r="J855" s="4"/>
      <c r="K855" s="4"/>
      <c r="L855" s="8"/>
      <c r="M855" s="4"/>
      <c r="N855" s="4"/>
      <c r="O855" s="8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</row>
    <row r="856" ht="15.75" customHeight="1">
      <c r="A856" s="4"/>
      <c r="B856" s="4"/>
      <c r="C856" s="8"/>
      <c r="D856" s="4"/>
      <c r="E856" s="4"/>
      <c r="F856" s="8"/>
      <c r="G856" s="4"/>
      <c r="H856" s="4"/>
      <c r="I856" s="8"/>
      <c r="J856" s="4"/>
      <c r="K856" s="4"/>
      <c r="L856" s="8"/>
      <c r="M856" s="4"/>
      <c r="N856" s="4"/>
      <c r="O856" s="8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</row>
    <row r="857" ht="15.75" customHeight="1">
      <c r="A857" s="4"/>
      <c r="B857" s="4"/>
      <c r="C857" s="8"/>
      <c r="D857" s="4"/>
      <c r="E857" s="4"/>
      <c r="F857" s="8"/>
      <c r="G857" s="4"/>
      <c r="H857" s="4"/>
      <c r="I857" s="8"/>
      <c r="J857" s="4"/>
      <c r="K857" s="4"/>
      <c r="L857" s="8"/>
      <c r="M857" s="4"/>
      <c r="N857" s="4"/>
      <c r="O857" s="8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</row>
    <row r="858" ht="15.75" customHeight="1">
      <c r="A858" s="4"/>
      <c r="B858" s="4"/>
      <c r="C858" s="8"/>
      <c r="D858" s="4"/>
      <c r="E858" s="4"/>
      <c r="F858" s="8"/>
      <c r="G858" s="4"/>
      <c r="H858" s="4"/>
      <c r="I858" s="8"/>
      <c r="J858" s="4"/>
      <c r="K858" s="4"/>
      <c r="L858" s="8"/>
      <c r="M858" s="4"/>
      <c r="N858" s="4"/>
      <c r="O858" s="8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</row>
    <row r="859" ht="15.75" customHeight="1">
      <c r="A859" s="4"/>
      <c r="B859" s="4"/>
      <c r="C859" s="8"/>
      <c r="D859" s="4"/>
      <c r="E859" s="4"/>
      <c r="F859" s="8"/>
      <c r="G859" s="4"/>
      <c r="H859" s="4"/>
      <c r="I859" s="8"/>
      <c r="J859" s="4"/>
      <c r="K859" s="4"/>
      <c r="L859" s="8"/>
      <c r="M859" s="4"/>
      <c r="N859" s="4"/>
      <c r="O859" s="8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</row>
    <row r="860" ht="15.75" customHeight="1">
      <c r="A860" s="4"/>
      <c r="B860" s="4"/>
      <c r="C860" s="8"/>
      <c r="D860" s="4"/>
      <c r="E860" s="4"/>
      <c r="F860" s="8"/>
      <c r="G860" s="4"/>
      <c r="H860" s="4"/>
      <c r="I860" s="8"/>
      <c r="J860" s="4"/>
      <c r="K860" s="4"/>
      <c r="L860" s="8"/>
      <c r="M860" s="4"/>
      <c r="N860" s="4"/>
      <c r="O860" s="8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</row>
    <row r="861" ht="15.75" customHeight="1">
      <c r="A861" s="4"/>
      <c r="B861" s="4"/>
      <c r="C861" s="8"/>
      <c r="D861" s="4"/>
      <c r="E861" s="4"/>
      <c r="F861" s="8"/>
      <c r="G861" s="4"/>
      <c r="H861" s="4"/>
      <c r="I861" s="8"/>
      <c r="J861" s="4"/>
      <c r="K861" s="4"/>
      <c r="L861" s="8"/>
      <c r="M861" s="4"/>
      <c r="N861" s="4"/>
      <c r="O861" s="8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</row>
    <row r="862" ht="15.75" customHeight="1">
      <c r="A862" s="4"/>
      <c r="B862" s="4"/>
      <c r="C862" s="8"/>
      <c r="D862" s="4"/>
      <c r="E862" s="4"/>
      <c r="F862" s="8"/>
      <c r="G862" s="4"/>
      <c r="H862" s="4"/>
      <c r="I862" s="8"/>
      <c r="J862" s="4"/>
      <c r="K862" s="4"/>
      <c r="L862" s="8"/>
      <c r="M862" s="4"/>
      <c r="N862" s="4"/>
      <c r="O862" s="8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</row>
    <row r="863" ht="15.75" customHeight="1">
      <c r="A863" s="4"/>
      <c r="B863" s="4"/>
      <c r="C863" s="8"/>
      <c r="D863" s="4"/>
      <c r="E863" s="4"/>
      <c r="F863" s="8"/>
      <c r="G863" s="4"/>
      <c r="H863" s="4"/>
      <c r="I863" s="8"/>
      <c r="J863" s="4"/>
      <c r="K863" s="4"/>
      <c r="L863" s="8"/>
      <c r="M863" s="4"/>
      <c r="N863" s="4"/>
      <c r="O863" s="8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</row>
    <row r="864" ht="15.75" customHeight="1">
      <c r="A864" s="4"/>
      <c r="B864" s="4"/>
      <c r="C864" s="8"/>
      <c r="D864" s="4"/>
      <c r="E864" s="4"/>
      <c r="F864" s="8"/>
      <c r="G864" s="4"/>
      <c r="H864" s="4"/>
      <c r="I864" s="8"/>
      <c r="J864" s="4"/>
      <c r="K864" s="4"/>
      <c r="L864" s="8"/>
      <c r="M864" s="4"/>
      <c r="N864" s="4"/>
      <c r="O864" s="8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</row>
    <row r="865" ht="15.75" customHeight="1">
      <c r="A865" s="4"/>
      <c r="B865" s="4"/>
      <c r="C865" s="8"/>
      <c r="D865" s="4"/>
      <c r="E865" s="4"/>
      <c r="F865" s="8"/>
      <c r="G865" s="4"/>
      <c r="H865" s="4"/>
      <c r="I865" s="8"/>
      <c r="J865" s="4"/>
      <c r="K865" s="4"/>
      <c r="L865" s="8"/>
      <c r="M865" s="4"/>
      <c r="N865" s="4"/>
      <c r="O865" s="8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</row>
    <row r="866" ht="15.75" customHeight="1">
      <c r="A866" s="4"/>
      <c r="B866" s="4"/>
      <c r="C866" s="8"/>
      <c r="D866" s="4"/>
      <c r="E866" s="4"/>
      <c r="F866" s="8"/>
      <c r="G866" s="4"/>
      <c r="H866" s="4"/>
      <c r="I866" s="8"/>
      <c r="J866" s="4"/>
      <c r="K866" s="4"/>
      <c r="L866" s="8"/>
      <c r="M866" s="4"/>
      <c r="N866" s="4"/>
      <c r="O866" s="8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</row>
    <row r="867" ht="15.75" customHeight="1">
      <c r="A867" s="4"/>
      <c r="B867" s="4"/>
      <c r="C867" s="8"/>
      <c r="D867" s="4"/>
      <c r="E867" s="4"/>
      <c r="F867" s="8"/>
      <c r="G867" s="4"/>
      <c r="H867" s="4"/>
      <c r="I867" s="8"/>
      <c r="J867" s="4"/>
      <c r="K867" s="4"/>
      <c r="L867" s="8"/>
      <c r="M867" s="4"/>
      <c r="N867" s="4"/>
      <c r="O867" s="8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</row>
    <row r="868" ht="15.75" customHeight="1">
      <c r="A868" s="4"/>
      <c r="B868" s="4"/>
      <c r="C868" s="8"/>
      <c r="D868" s="4"/>
      <c r="E868" s="4"/>
      <c r="F868" s="8"/>
      <c r="G868" s="4"/>
      <c r="H868" s="4"/>
      <c r="I868" s="8"/>
      <c r="J868" s="4"/>
      <c r="K868" s="4"/>
      <c r="L868" s="8"/>
      <c r="M868" s="4"/>
      <c r="N868" s="4"/>
      <c r="O868" s="8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</row>
    <row r="869" ht="15.75" customHeight="1">
      <c r="A869" s="4"/>
      <c r="B869" s="4"/>
      <c r="C869" s="8"/>
      <c r="D869" s="4"/>
      <c r="E869" s="4"/>
      <c r="F869" s="8"/>
      <c r="G869" s="4"/>
      <c r="H869" s="4"/>
      <c r="I869" s="8"/>
      <c r="J869" s="4"/>
      <c r="K869" s="4"/>
      <c r="L869" s="8"/>
      <c r="M869" s="4"/>
      <c r="N869" s="4"/>
      <c r="O869" s="8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</row>
    <row r="870" ht="15.75" customHeight="1">
      <c r="A870" s="4"/>
      <c r="B870" s="4"/>
      <c r="C870" s="8"/>
      <c r="D870" s="4"/>
      <c r="E870" s="4"/>
      <c r="F870" s="8"/>
      <c r="G870" s="4"/>
      <c r="H870" s="4"/>
      <c r="I870" s="8"/>
      <c r="J870" s="4"/>
      <c r="K870" s="4"/>
      <c r="L870" s="8"/>
      <c r="M870" s="4"/>
      <c r="N870" s="4"/>
      <c r="O870" s="8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</row>
    <row r="871" ht="15.75" customHeight="1">
      <c r="A871" s="4"/>
      <c r="B871" s="4"/>
      <c r="C871" s="8"/>
      <c r="D871" s="4"/>
      <c r="E871" s="4"/>
      <c r="F871" s="8"/>
      <c r="G871" s="4"/>
      <c r="H871" s="4"/>
      <c r="I871" s="8"/>
      <c r="J871" s="4"/>
      <c r="K871" s="4"/>
      <c r="L871" s="8"/>
      <c r="M871" s="4"/>
      <c r="N871" s="4"/>
      <c r="O871" s="8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</row>
    <row r="872" ht="15.75" customHeight="1">
      <c r="A872" s="4"/>
      <c r="B872" s="4"/>
      <c r="C872" s="8"/>
      <c r="D872" s="4"/>
      <c r="E872" s="4"/>
      <c r="F872" s="8"/>
      <c r="G872" s="4"/>
      <c r="H872" s="4"/>
      <c r="I872" s="8"/>
      <c r="J872" s="4"/>
      <c r="K872" s="4"/>
      <c r="L872" s="8"/>
      <c r="M872" s="4"/>
      <c r="N872" s="4"/>
      <c r="O872" s="8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</row>
    <row r="873" ht="15.75" customHeight="1">
      <c r="A873" s="4"/>
      <c r="B873" s="4"/>
      <c r="C873" s="8"/>
      <c r="D873" s="4"/>
      <c r="E873" s="4"/>
      <c r="F873" s="8"/>
      <c r="G873" s="4"/>
      <c r="H873" s="4"/>
      <c r="I873" s="8"/>
      <c r="J873" s="4"/>
      <c r="K873" s="4"/>
      <c r="L873" s="8"/>
      <c r="M873" s="4"/>
      <c r="N873" s="4"/>
      <c r="O873" s="8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</row>
    <row r="874" ht="15.75" customHeight="1">
      <c r="A874" s="4"/>
      <c r="B874" s="4"/>
      <c r="C874" s="8"/>
      <c r="D874" s="4"/>
      <c r="E874" s="4"/>
      <c r="F874" s="8"/>
      <c r="G874" s="4"/>
      <c r="H874" s="4"/>
      <c r="I874" s="8"/>
      <c r="J874" s="4"/>
      <c r="K874" s="4"/>
      <c r="L874" s="8"/>
      <c r="M874" s="4"/>
      <c r="N874" s="4"/>
      <c r="O874" s="8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</row>
    <row r="875" ht="15.75" customHeight="1">
      <c r="A875" s="4"/>
      <c r="B875" s="4"/>
      <c r="C875" s="8"/>
      <c r="D875" s="4"/>
      <c r="E875" s="4"/>
      <c r="F875" s="8"/>
      <c r="G875" s="4"/>
      <c r="H875" s="4"/>
      <c r="I875" s="8"/>
      <c r="J875" s="4"/>
      <c r="K875" s="4"/>
      <c r="L875" s="8"/>
      <c r="M875" s="4"/>
      <c r="N875" s="4"/>
      <c r="O875" s="8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</row>
    <row r="876" ht="15.75" customHeight="1">
      <c r="A876" s="4"/>
      <c r="B876" s="4"/>
      <c r="C876" s="8"/>
      <c r="D876" s="4"/>
      <c r="E876" s="4"/>
      <c r="F876" s="8"/>
      <c r="G876" s="4"/>
      <c r="H876" s="4"/>
      <c r="I876" s="8"/>
      <c r="J876" s="4"/>
      <c r="K876" s="4"/>
      <c r="L876" s="8"/>
      <c r="M876" s="4"/>
      <c r="N876" s="4"/>
      <c r="O876" s="8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</row>
    <row r="877" ht="15.75" customHeight="1">
      <c r="A877" s="4"/>
      <c r="B877" s="4"/>
      <c r="C877" s="8"/>
      <c r="D877" s="4"/>
      <c r="E877" s="4"/>
      <c r="F877" s="8"/>
      <c r="G877" s="4"/>
      <c r="H877" s="4"/>
      <c r="I877" s="8"/>
      <c r="J877" s="4"/>
      <c r="K877" s="4"/>
      <c r="L877" s="8"/>
      <c r="M877" s="4"/>
      <c r="N877" s="4"/>
      <c r="O877" s="8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</row>
    <row r="878" ht="15.75" customHeight="1">
      <c r="A878" s="4"/>
      <c r="B878" s="4"/>
      <c r="C878" s="8"/>
      <c r="D878" s="4"/>
      <c r="E878" s="4"/>
      <c r="F878" s="8"/>
      <c r="G878" s="4"/>
      <c r="H878" s="4"/>
      <c r="I878" s="8"/>
      <c r="J878" s="4"/>
      <c r="K878" s="4"/>
      <c r="L878" s="8"/>
      <c r="M878" s="4"/>
      <c r="N878" s="4"/>
      <c r="O878" s="8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</row>
    <row r="879" ht="15.75" customHeight="1">
      <c r="A879" s="4"/>
      <c r="B879" s="4"/>
      <c r="C879" s="8"/>
      <c r="D879" s="4"/>
      <c r="E879" s="4"/>
      <c r="F879" s="8"/>
      <c r="G879" s="4"/>
      <c r="H879" s="4"/>
      <c r="I879" s="8"/>
      <c r="J879" s="4"/>
      <c r="K879" s="4"/>
      <c r="L879" s="8"/>
      <c r="M879" s="4"/>
      <c r="N879" s="4"/>
      <c r="O879" s="8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</row>
    <row r="880" ht="15.75" customHeight="1">
      <c r="A880" s="4"/>
      <c r="B880" s="4"/>
      <c r="C880" s="8"/>
      <c r="D880" s="4"/>
      <c r="E880" s="4"/>
      <c r="F880" s="8"/>
      <c r="G880" s="4"/>
      <c r="H880" s="4"/>
      <c r="I880" s="8"/>
      <c r="J880" s="4"/>
      <c r="K880" s="4"/>
      <c r="L880" s="8"/>
      <c r="M880" s="4"/>
      <c r="N880" s="4"/>
      <c r="O880" s="8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</row>
    <row r="881" ht="15.75" customHeight="1">
      <c r="A881" s="4"/>
      <c r="B881" s="4"/>
      <c r="C881" s="8"/>
      <c r="D881" s="4"/>
      <c r="E881" s="4"/>
      <c r="F881" s="8"/>
      <c r="G881" s="4"/>
      <c r="H881" s="4"/>
      <c r="I881" s="8"/>
      <c r="J881" s="4"/>
      <c r="K881" s="4"/>
      <c r="L881" s="8"/>
      <c r="M881" s="4"/>
      <c r="N881" s="4"/>
      <c r="O881" s="8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</row>
    <row r="882" ht="15.75" customHeight="1">
      <c r="A882" s="4"/>
      <c r="B882" s="4"/>
      <c r="C882" s="8"/>
      <c r="D882" s="4"/>
      <c r="E882" s="4"/>
      <c r="F882" s="8"/>
      <c r="G882" s="4"/>
      <c r="H882" s="4"/>
      <c r="I882" s="8"/>
      <c r="J882" s="4"/>
      <c r="K882" s="4"/>
      <c r="L882" s="8"/>
      <c r="M882" s="4"/>
      <c r="N882" s="4"/>
      <c r="O882" s="8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</row>
    <row r="883" ht="15.75" customHeight="1">
      <c r="A883" s="4"/>
      <c r="B883" s="4"/>
      <c r="C883" s="8"/>
      <c r="D883" s="4"/>
      <c r="E883" s="4"/>
      <c r="F883" s="8"/>
      <c r="G883" s="4"/>
      <c r="H883" s="4"/>
      <c r="I883" s="8"/>
      <c r="J883" s="4"/>
      <c r="K883" s="4"/>
      <c r="L883" s="8"/>
      <c r="M883" s="4"/>
      <c r="N883" s="4"/>
      <c r="O883" s="8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</row>
    <row r="884" ht="15.75" customHeight="1">
      <c r="A884" s="4"/>
      <c r="B884" s="4"/>
      <c r="C884" s="8"/>
      <c r="D884" s="4"/>
      <c r="E884" s="4"/>
      <c r="F884" s="8"/>
      <c r="G884" s="4"/>
      <c r="H884" s="4"/>
      <c r="I884" s="8"/>
      <c r="J884" s="4"/>
      <c r="K884" s="4"/>
      <c r="L884" s="8"/>
      <c r="M884" s="4"/>
      <c r="N884" s="4"/>
      <c r="O884" s="8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</row>
    <row r="885" ht="15.75" customHeight="1">
      <c r="A885" s="4"/>
      <c r="B885" s="4"/>
      <c r="C885" s="8"/>
      <c r="D885" s="4"/>
      <c r="E885" s="4"/>
      <c r="F885" s="8"/>
      <c r="G885" s="4"/>
      <c r="H885" s="4"/>
      <c r="I885" s="8"/>
      <c r="J885" s="4"/>
      <c r="K885" s="4"/>
      <c r="L885" s="8"/>
      <c r="M885" s="4"/>
      <c r="N885" s="4"/>
      <c r="O885" s="8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</row>
    <row r="886" ht="15.75" customHeight="1">
      <c r="A886" s="4"/>
      <c r="B886" s="4"/>
      <c r="C886" s="8"/>
      <c r="D886" s="4"/>
      <c r="E886" s="4"/>
      <c r="F886" s="8"/>
      <c r="G886" s="4"/>
      <c r="H886" s="4"/>
      <c r="I886" s="8"/>
      <c r="J886" s="4"/>
      <c r="K886" s="4"/>
      <c r="L886" s="8"/>
      <c r="M886" s="4"/>
      <c r="N886" s="4"/>
      <c r="O886" s="8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</row>
    <row r="887" ht="15.75" customHeight="1">
      <c r="A887" s="4"/>
      <c r="B887" s="4"/>
      <c r="C887" s="8"/>
      <c r="D887" s="4"/>
      <c r="E887" s="4"/>
      <c r="F887" s="8"/>
      <c r="G887" s="4"/>
      <c r="H887" s="4"/>
      <c r="I887" s="8"/>
      <c r="J887" s="4"/>
      <c r="K887" s="4"/>
      <c r="L887" s="8"/>
      <c r="M887" s="4"/>
      <c r="N887" s="4"/>
      <c r="O887" s="8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</row>
    <row r="888" ht="15.75" customHeight="1">
      <c r="A888" s="4"/>
      <c r="B888" s="4"/>
      <c r="C888" s="8"/>
      <c r="D888" s="4"/>
      <c r="E888" s="4"/>
      <c r="F888" s="8"/>
      <c r="G888" s="4"/>
      <c r="H888" s="4"/>
      <c r="I888" s="8"/>
      <c r="J888" s="4"/>
      <c r="K888" s="4"/>
      <c r="L888" s="8"/>
      <c r="M888" s="4"/>
      <c r="N888" s="4"/>
      <c r="O888" s="8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</row>
    <row r="889" ht="15.75" customHeight="1">
      <c r="A889" s="4"/>
      <c r="B889" s="4"/>
      <c r="C889" s="8"/>
      <c r="D889" s="4"/>
      <c r="E889" s="4"/>
      <c r="F889" s="8"/>
      <c r="G889" s="4"/>
      <c r="H889" s="4"/>
      <c r="I889" s="8"/>
      <c r="J889" s="4"/>
      <c r="K889" s="4"/>
      <c r="L889" s="8"/>
      <c r="M889" s="4"/>
      <c r="N889" s="4"/>
      <c r="O889" s="8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</row>
    <row r="890" ht="15.75" customHeight="1">
      <c r="A890" s="4"/>
      <c r="B890" s="4"/>
      <c r="C890" s="8"/>
      <c r="D890" s="4"/>
      <c r="E890" s="4"/>
      <c r="F890" s="8"/>
      <c r="G890" s="4"/>
      <c r="H890" s="4"/>
      <c r="I890" s="8"/>
      <c r="J890" s="4"/>
      <c r="K890" s="4"/>
      <c r="L890" s="8"/>
      <c r="M890" s="4"/>
      <c r="N890" s="4"/>
      <c r="O890" s="8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</row>
    <row r="891" ht="15.75" customHeight="1">
      <c r="A891" s="4"/>
      <c r="B891" s="4"/>
      <c r="C891" s="8"/>
      <c r="D891" s="4"/>
      <c r="E891" s="4"/>
      <c r="F891" s="8"/>
      <c r="G891" s="4"/>
      <c r="H891" s="4"/>
      <c r="I891" s="8"/>
      <c r="J891" s="4"/>
      <c r="K891" s="4"/>
      <c r="L891" s="8"/>
      <c r="M891" s="4"/>
      <c r="N891" s="4"/>
      <c r="O891" s="8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</row>
    <row r="892" ht="15.75" customHeight="1">
      <c r="A892" s="4"/>
      <c r="B892" s="4"/>
      <c r="C892" s="8"/>
      <c r="D892" s="4"/>
      <c r="E892" s="4"/>
      <c r="F892" s="8"/>
      <c r="G892" s="4"/>
      <c r="H892" s="4"/>
      <c r="I892" s="8"/>
      <c r="J892" s="4"/>
      <c r="K892" s="4"/>
      <c r="L892" s="8"/>
      <c r="M892" s="4"/>
      <c r="N892" s="4"/>
      <c r="O892" s="8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</row>
    <row r="893" ht="15.75" customHeight="1">
      <c r="A893" s="4"/>
      <c r="B893" s="4"/>
      <c r="C893" s="8"/>
      <c r="D893" s="4"/>
      <c r="E893" s="4"/>
      <c r="F893" s="8"/>
      <c r="G893" s="4"/>
      <c r="H893" s="4"/>
      <c r="I893" s="8"/>
      <c r="J893" s="4"/>
      <c r="K893" s="4"/>
      <c r="L893" s="8"/>
      <c r="M893" s="4"/>
      <c r="N893" s="4"/>
      <c r="O893" s="8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</row>
    <row r="894" ht="15.75" customHeight="1">
      <c r="A894" s="4"/>
      <c r="B894" s="4"/>
      <c r="C894" s="8"/>
      <c r="D894" s="4"/>
      <c r="E894" s="4"/>
      <c r="F894" s="8"/>
      <c r="G894" s="4"/>
      <c r="H894" s="4"/>
      <c r="I894" s="8"/>
      <c r="J894" s="4"/>
      <c r="K894" s="4"/>
      <c r="L894" s="8"/>
      <c r="M894" s="4"/>
      <c r="N894" s="4"/>
      <c r="O894" s="8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</row>
    <row r="895" ht="15.75" customHeight="1">
      <c r="A895" s="4"/>
      <c r="B895" s="4"/>
      <c r="C895" s="8"/>
      <c r="D895" s="4"/>
      <c r="E895" s="4"/>
      <c r="F895" s="8"/>
      <c r="G895" s="4"/>
      <c r="H895" s="4"/>
      <c r="I895" s="8"/>
      <c r="J895" s="4"/>
      <c r="K895" s="4"/>
      <c r="L895" s="8"/>
      <c r="M895" s="4"/>
      <c r="N895" s="4"/>
      <c r="O895" s="8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</row>
    <row r="896" ht="15.75" customHeight="1">
      <c r="A896" s="4"/>
      <c r="B896" s="4"/>
      <c r="C896" s="8"/>
      <c r="D896" s="4"/>
      <c r="E896" s="4"/>
      <c r="F896" s="8"/>
      <c r="G896" s="4"/>
      <c r="H896" s="4"/>
      <c r="I896" s="8"/>
      <c r="J896" s="4"/>
      <c r="K896" s="4"/>
      <c r="L896" s="8"/>
      <c r="M896" s="4"/>
      <c r="N896" s="4"/>
      <c r="O896" s="8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</row>
    <row r="897" ht="15.75" customHeight="1">
      <c r="A897" s="4"/>
      <c r="B897" s="4"/>
      <c r="C897" s="8"/>
      <c r="D897" s="4"/>
      <c r="E897" s="4"/>
      <c r="F897" s="8"/>
      <c r="G897" s="4"/>
      <c r="H897" s="4"/>
      <c r="I897" s="8"/>
      <c r="J897" s="4"/>
      <c r="K897" s="4"/>
      <c r="L897" s="8"/>
      <c r="M897" s="4"/>
      <c r="N897" s="4"/>
      <c r="O897" s="8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</row>
    <row r="898" ht="15.75" customHeight="1">
      <c r="A898" s="4"/>
      <c r="B898" s="4"/>
      <c r="C898" s="8"/>
      <c r="D898" s="4"/>
      <c r="E898" s="4"/>
      <c r="F898" s="8"/>
      <c r="G898" s="4"/>
      <c r="H898" s="4"/>
      <c r="I898" s="8"/>
      <c r="J898" s="4"/>
      <c r="K898" s="4"/>
      <c r="L898" s="8"/>
      <c r="M898" s="4"/>
      <c r="N898" s="4"/>
      <c r="O898" s="8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</row>
    <row r="899" ht="15.75" customHeight="1">
      <c r="A899" s="4"/>
      <c r="B899" s="4"/>
      <c r="C899" s="8"/>
      <c r="D899" s="4"/>
      <c r="E899" s="4"/>
      <c r="F899" s="8"/>
      <c r="G899" s="4"/>
      <c r="H899" s="4"/>
      <c r="I899" s="8"/>
      <c r="J899" s="4"/>
      <c r="K899" s="4"/>
      <c r="L899" s="8"/>
      <c r="M899" s="4"/>
      <c r="N899" s="4"/>
      <c r="O899" s="8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</row>
    <row r="900" ht="15.75" customHeight="1">
      <c r="A900" s="4"/>
      <c r="B900" s="4"/>
      <c r="C900" s="8"/>
      <c r="D900" s="4"/>
      <c r="E900" s="4"/>
      <c r="F900" s="8"/>
      <c r="G900" s="4"/>
      <c r="H900" s="4"/>
      <c r="I900" s="8"/>
      <c r="J900" s="4"/>
      <c r="K900" s="4"/>
      <c r="L900" s="8"/>
      <c r="M900" s="4"/>
      <c r="N900" s="4"/>
      <c r="O900" s="8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</row>
    <row r="901" ht="15.75" customHeight="1">
      <c r="A901" s="4"/>
      <c r="B901" s="4"/>
      <c r="C901" s="8"/>
      <c r="D901" s="4"/>
      <c r="E901" s="4"/>
      <c r="F901" s="8"/>
      <c r="G901" s="4"/>
      <c r="H901" s="4"/>
      <c r="I901" s="8"/>
      <c r="J901" s="4"/>
      <c r="K901" s="4"/>
      <c r="L901" s="8"/>
      <c r="M901" s="4"/>
      <c r="N901" s="4"/>
      <c r="O901" s="8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</row>
    <row r="902" ht="15.75" customHeight="1">
      <c r="A902" s="4"/>
      <c r="B902" s="4"/>
      <c r="C902" s="8"/>
      <c r="D902" s="4"/>
      <c r="E902" s="4"/>
      <c r="F902" s="8"/>
      <c r="G902" s="4"/>
      <c r="H902" s="4"/>
      <c r="I902" s="8"/>
      <c r="J902" s="4"/>
      <c r="K902" s="4"/>
      <c r="L902" s="8"/>
      <c r="M902" s="4"/>
      <c r="N902" s="4"/>
      <c r="O902" s="8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</row>
    <row r="903" ht="15.75" customHeight="1">
      <c r="A903" s="4"/>
      <c r="B903" s="4"/>
      <c r="C903" s="8"/>
      <c r="D903" s="4"/>
      <c r="E903" s="4"/>
      <c r="F903" s="8"/>
      <c r="G903" s="4"/>
      <c r="H903" s="4"/>
      <c r="I903" s="8"/>
      <c r="J903" s="4"/>
      <c r="K903" s="4"/>
      <c r="L903" s="8"/>
      <c r="M903" s="4"/>
      <c r="N903" s="4"/>
      <c r="O903" s="8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</row>
    <row r="904" ht="15.75" customHeight="1">
      <c r="A904" s="4"/>
      <c r="B904" s="4"/>
      <c r="C904" s="8"/>
      <c r="D904" s="4"/>
      <c r="E904" s="4"/>
      <c r="F904" s="8"/>
      <c r="G904" s="4"/>
      <c r="H904" s="4"/>
      <c r="I904" s="8"/>
      <c r="J904" s="4"/>
      <c r="K904" s="4"/>
      <c r="L904" s="8"/>
      <c r="M904" s="4"/>
      <c r="N904" s="4"/>
      <c r="O904" s="8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</row>
    <row r="905" ht="15.75" customHeight="1">
      <c r="A905" s="4"/>
      <c r="B905" s="4"/>
      <c r="C905" s="8"/>
      <c r="D905" s="4"/>
      <c r="E905" s="4"/>
      <c r="F905" s="8"/>
      <c r="G905" s="4"/>
      <c r="H905" s="4"/>
      <c r="I905" s="8"/>
      <c r="J905" s="4"/>
      <c r="K905" s="4"/>
      <c r="L905" s="8"/>
      <c r="M905" s="4"/>
      <c r="N905" s="4"/>
      <c r="O905" s="8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</row>
    <row r="906" ht="15.75" customHeight="1">
      <c r="A906" s="4"/>
      <c r="B906" s="4"/>
      <c r="C906" s="8"/>
      <c r="D906" s="4"/>
      <c r="E906" s="4"/>
      <c r="F906" s="8"/>
      <c r="G906" s="4"/>
      <c r="H906" s="4"/>
      <c r="I906" s="8"/>
      <c r="J906" s="4"/>
      <c r="K906" s="4"/>
      <c r="L906" s="8"/>
      <c r="M906" s="4"/>
      <c r="N906" s="4"/>
      <c r="O906" s="8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</row>
    <row r="907" ht="15.75" customHeight="1">
      <c r="A907" s="4"/>
      <c r="B907" s="4"/>
      <c r="C907" s="8"/>
      <c r="D907" s="4"/>
      <c r="E907" s="4"/>
      <c r="F907" s="8"/>
      <c r="G907" s="4"/>
      <c r="H907" s="4"/>
      <c r="I907" s="8"/>
      <c r="J907" s="4"/>
      <c r="K907" s="4"/>
      <c r="L907" s="8"/>
      <c r="M907" s="4"/>
      <c r="N907" s="4"/>
      <c r="O907" s="8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</row>
    <row r="908" ht="15.75" customHeight="1">
      <c r="A908" s="4"/>
      <c r="B908" s="4"/>
      <c r="C908" s="8"/>
      <c r="D908" s="4"/>
      <c r="E908" s="4"/>
      <c r="F908" s="8"/>
      <c r="G908" s="4"/>
      <c r="H908" s="4"/>
      <c r="I908" s="8"/>
      <c r="J908" s="4"/>
      <c r="K908" s="4"/>
      <c r="L908" s="8"/>
      <c r="M908" s="4"/>
      <c r="N908" s="4"/>
      <c r="O908" s="8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</row>
    <row r="909" ht="15.75" customHeight="1">
      <c r="A909" s="4"/>
      <c r="B909" s="4"/>
      <c r="C909" s="8"/>
      <c r="D909" s="4"/>
      <c r="E909" s="4"/>
      <c r="F909" s="8"/>
      <c r="G909" s="4"/>
      <c r="H909" s="4"/>
      <c r="I909" s="8"/>
      <c r="J909" s="4"/>
      <c r="K909" s="4"/>
      <c r="L909" s="8"/>
      <c r="M909" s="4"/>
      <c r="N909" s="4"/>
      <c r="O909" s="8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</row>
    <row r="910" ht="15.75" customHeight="1">
      <c r="A910" s="4"/>
      <c r="B910" s="4"/>
      <c r="C910" s="8"/>
      <c r="D910" s="4"/>
      <c r="E910" s="4"/>
      <c r="F910" s="8"/>
      <c r="G910" s="4"/>
      <c r="H910" s="4"/>
      <c r="I910" s="8"/>
      <c r="J910" s="4"/>
      <c r="K910" s="4"/>
      <c r="L910" s="8"/>
      <c r="M910" s="4"/>
      <c r="N910" s="4"/>
      <c r="O910" s="8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</row>
    <row r="911" ht="15.75" customHeight="1">
      <c r="A911" s="4"/>
      <c r="B911" s="4"/>
      <c r="C911" s="8"/>
      <c r="D911" s="4"/>
      <c r="E911" s="4"/>
      <c r="F911" s="8"/>
      <c r="G911" s="4"/>
      <c r="H911" s="4"/>
      <c r="I911" s="8"/>
      <c r="J911" s="4"/>
      <c r="K911" s="4"/>
      <c r="L911" s="8"/>
      <c r="M911" s="4"/>
      <c r="N911" s="4"/>
      <c r="O911" s="8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</row>
    <row r="912" ht="15.75" customHeight="1">
      <c r="A912" s="4"/>
      <c r="B912" s="4"/>
      <c r="C912" s="8"/>
      <c r="D912" s="4"/>
      <c r="E912" s="4"/>
      <c r="F912" s="8"/>
      <c r="G912" s="4"/>
      <c r="H912" s="4"/>
      <c r="I912" s="8"/>
      <c r="J912" s="4"/>
      <c r="K912" s="4"/>
      <c r="L912" s="8"/>
      <c r="M912" s="4"/>
      <c r="N912" s="4"/>
      <c r="O912" s="8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</row>
    <row r="913" ht="15.75" customHeight="1">
      <c r="A913" s="4"/>
      <c r="B913" s="4"/>
      <c r="C913" s="8"/>
      <c r="D913" s="4"/>
      <c r="E913" s="4"/>
      <c r="F913" s="8"/>
      <c r="G913" s="4"/>
      <c r="H913" s="4"/>
      <c r="I913" s="8"/>
      <c r="J913" s="4"/>
      <c r="K913" s="4"/>
      <c r="L913" s="8"/>
      <c r="M913" s="4"/>
      <c r="N913" s="4"/>
      <c r="O913" s="8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</row>
    <row r="914" ht="15.75" customHeight="1">
      <c r="A914" s="4"/>
      <c r="B914" s="4"/>
      <c r="C914" s="8"/>
      <c r="D914" s="4"/>
      <c r="E914" s="4"/>
      <c r="F914" s="8"/>
      <c r="G914" s="4"/>
      <c r="H914" s="4"/>
      <c r="I914" s="8"/>
      <c r="J914" s="4"/>
      <c r="K914" s="4"/>
      <c r="L914" s="8"/>
      <c r="M914" s="4"/>
      <c r="N914" s="4"/>
      <c r="O914" s="8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</row>
    <row r="915" ht="15.75" customHeight="1">
      <c r="A915" s="4"/>
      <c r="B915" s="4"/>
      <c r="C915" s="8"/>
      <c r="D915" s="4"/>
      <c r="E915" s="4"/>
      <c r="F915" s="8"/>
      <c r="G915" s="4"/>
      <c r="H915" s="4"/>
      <c r="I915" s="8"/>
      <c r="J915" s="4"/>
      <c r="K915" s="4"/>
      <c r="L915" s="8"/>
      <c r="M915" s="4"/>
      <c r="N915" s="4"/>
      <c r="O915" s="8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</row>
    <row r="916" ht="15.75" customHeight="1">
      <c r="A916" s="4"/>
      <c r="B916" s="4"/>
      <c r="C916" s="8"/>
      <c r="D916" s="4"/>
      <c r="E916" s="4"/>
      <c r="F916" s="8"/>
      <c r="G916" s="4"/>
      <c r="H916" s="4"/>
      <c r="I916" s="8"/>
      <c r="J916" s="4"/>
      <c r="K916" s="4"/>
      <c r="L916" s="8"/>
      <c r="M916" s="4"/>
      <c r="N916" s="4"/>
      <c r="O916" s="8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</row>
    <row r="917" ht="15.75" customHeight="1">
      <c r="A917" s="4"/>
      <c r="B917" s="4"/>
      <c r="C917" s="8"/>
      <c r="D917" s="4"/>
      <c r="E917" s="4"/>
      <c r="F917" s="8"/>
      <c r="G917" s="4"/>
      <c r="H917" s="4"/>
      <c r="I917" s="8"/>
      <c r="J917" s="4"/>
      <c r="K917" s="4"/>
      <c r="L917" s="8"/>
      <c r="M917" s="4"/>
      <c r="N917" s="4"/>
      <c r="O917" s="8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</row>
    <row r="918" ht="15.75" customHeight="1">
      <c r="A918" s="4"/>
      <c r="B918" s="4"/>
      <c r="C918" s="8"/>
      <c r="D918" s="4"/>
      <c r="E918" s="4"/>
      <c r="F918" s="8"/>
      <c r="G918" s="4"/>
      <c r="H918" s="4"/>
      <c r="I918" s="8"/>
      <c r="J918" s="4"/>
      <c r="K918" s="4"/>
      <c r="L918" s="8"/>
      <c r="M918" s="4"/>
      <c r="N918" s="4"/>
      <c r="O918" s="8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</row>
    <row r="919" ht="15.75" customHeight="1">
      <c r="A919" s="4"/>
      <c r="B919" s="4"/>
      <c r="C919" s="8"/>
      <c r="D919" s="4"/>
      <c r="E919" s="4"/>
      <c r="F919" s="8"/>
      <c r="G919" s="4"/>
      <c r="H919" s="4"/>
      <c r="I919" s="8"/>
      <c r="J919" s="4"/>
      <c r="K919" s="4"/>
      <c r="L919" s="8"/>
      <c r="M919" s="4"/>
      <c r="N919" s="4"/>
      <c r="O919" s="8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</row>
    <row r="920" ht="15.75" customHeight="1">
      <c r="A920" s="4"/>
      <c r="B920" s="4"/>
      <c r="C920" s="8"/>
      <c r="D920" s="4"/>
      <c r="E920" s="4"/>
      <c r="F920" s="8"/>
      <c r="G920" s="4"/>
      <c r="H920" s="4"/>
      <c r="I920" s="8"/>
      <c r="J920" s="4"/>
      <c r="K920" s="4"/>
      <c r="L920" s="8"/>
      <c r="M920" s="4"/>
      <c r="N920" s="4"/>
      <c r="O920" s="8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</row>
    <row r="921" ht="15.75" customHeight="1">
      <c r="A921" s="4"/>
      <c r="B921" s="4"/>
      <c r="C921" s="8"/>
      <c r="D921" s="4"/>
      <c r="E921" s="4"/>
      <c r="F921" s="8"/>
      <c r="G921" s="4"/>
      <c r="H921" s="4"/>
      <c r="I921" s="8"/>
      <c r="J921" s="4"/>
      <c r="K921" s="4"/>
      <c r="L921" s="8"/>
      <c r="M921" s="4"/>
      <c r="N921" s="4"/>
      <c r="O921" s="8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</row>
    <row r="922" ht="15.75" customHeight="1">
      <c r="A922" s="4"/>
      <c r="B922" s="4"/>
      <c r="C922" s="8"/>
      <c r="D922" s="4"/>
      <c r="E922" s="4"/>
      <c r="F922" s="8"/>
      <c r="G922" s="4"/>
      <c r="H922" s="4"/>
      <c r="I922" s="8"/>
      <c r="J922" s="4"/>
      <c r="K922" s="4"/>
      <c r="L922" s="8"/>
      <c r="M922" s="4"/>
      <c r="N922" s="4"/>
      <c r="O922" s="8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</row>
    <row r="923" ht="15.75" customHeight="1">
      <c r="A923" s="4"/>
      <c r="B923" s="4"/>
      <c r="C923" s="8"/>
      <c r="D923" s="4"/>
      <c r="E923" s="4"/>
      <c r="F923" s="8"/>
      <c r="G923" s="4"/>
      <c r="H923" s="4"/>
      <c r="I923" s="8"/>
      <c r="J923" s="4"/>
      <c r="K923" s="4"/>
      <c r="L923" s="8"/>
      <c r="M923" s="4"/>
      <c r="N923" s="4"/>
      <c r="O923" s="8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</row>
    <row r="924" ht="15.75" customHeight="1">
      <c r="A924" s="4"/>
      <c r="B924" s="4"/>
      <c r="C924" s="8"/>
      <c r="D924" s="4"/>
      <c r="E924" s="4"/>
      <c r="F924" s="8"/>
      <c r="G924" s="4"/>
      <c r="H924" s="4"/>
      <c r="I924" s="8"/>
      <c r="J924" s="4"/>
      <c r="K924" s="4"/>
      <c r="L924" s="8"/>
      <c r="M924" s="4"/>
      <c r="N924" s="4"/>
      <c r="O924" s="8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</row>
    <row r="925" ht="15.75" customHeight="1">
      <c r="A925" s="4"/>
      <c r="B925" s="4"/>
      <c r="C925" s="8"/>
      <c r="D925" s="4"/>
      <c r="E925" s="4"/>
      <c r="F925" s="8"/>
      <c r="G925" s="4"/>
      <c r="H925" s="4"/>
      <c r="I925" s="8"/>
      <c r="J925" s="4"/>
      <c r="K925" s="4"/>
      <c r="L925" s="8"/>
      <c r="M925" s="4"/>
      <c r="N925" s="4"/>
      <c r="O925" s="8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</row>
    <row r="926" ht="15.75" customHeight="1">
      <c r="A926" s="4"/>
      <c r="B926" s="4"/>
      <c r="C926" s="8"/>
      <c r="D926" s="4"/>
      <c r="E926" s="4"/>
      <c r="F926" s="8"/>
      <c r="G926" s="4"/>
      <c r="H926" s="4"/>
      <c r="I926" s="8"/>
      <c r="J926" s="4"/>
      <c r="K926" s="4"/>
      <c r="L926" s="8"/>
      <c r="M926" s="4"/>
      <c r="N926" s="4"/>
      <c r="O926" s="8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</row>
    <row r="927" ht="15.75" customHeight="1">
      <c r="A927" s="4"/>
      <c r="B927" s="4"/>
      <c r="C927" s="8"/>
      <c r="D927" s="4"/>
      <c r="E927" s="4"/>
      <c r="F927" s="8"/>
      <c r="G927" s="4"/>
      <c r="H927" s="4"/>
      <c r="I927" s="8"/>
      <c r="J927" s="4"/>
      <c r="K927" s="4"/>
      <c r="L927" s="8"/>
      <c r="M927" s="4"/>
      <c r="N927" s="4"/>
      <c r="O927" s="8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</row>
    <row r="928" ht="15.75" customHeight="1">
      <c r="A928" s="4"/>
      <c r="B928" s="4"/>
      <c r="C928" s="8"/>
      <c r="D928" s="4"/>
      <c r="E928" s="4"/>
      <c r="F928" s="8"/>
      <c r="G928" s="4"/>
      <c r="H928" s="4"/>
      <c r="I928" s="8"/>
      <c r="J928" s="4"/>
      <c r="K928" s="4"/>
      <c r="L928" s="8"/>
      <c r="M928" s="4"/>
      <c r="N928" s="4"/>
      <c r="O928" s="8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</row>
    <row r="929" ht="15.75" customHeight="1">
      <c r="A929" s="4"/>
      <c r="B929" s="4"/>
      <c r="C929" s="8"/>
      <c r="D929" s="4"/>
      <c r="E929" s="4"/>
      <c r="F929" s="8"/>
      <c r="G929" s="4"/>
      <c r="H929" s="4"/>
      <c r="I929" s="8"/>
      <c r="J929" s="4"/>
      <c r="K929" s="4"/>
      <c r="L929" s="8"/>
      <c r="M929" s="4"/>
      <c r="N929" s="4"/>
      <c r="O929" s="8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</row>
    <row r="930" ht="15.75" customHeight="1">
      <c r="A930" s="4"/>
      <c r="B930" s="4"/>
      <c r="C930" s="8"/>
      <c r="D930" s="4"/>
      <c r="E930" s="4"/>
      <c r="F930" s="8"/>
      <c r="G930" s="4"/>
      <c r="H930" s="4"/>
      <c r="I930" s="8"/>
      <c r="J930" s="4"/>
      <c r="K930" s="4"/>
      <c r="L930" s="8"/>
      <c r="M930" s="4"/>
      <c r="N930" s="4"/>
      <c r="O930" s="8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</row>
    <row r="931" ht="15.75" customHeight="1">
      <c r="A931" s="4"/>
      <c r="B931" s="4"/>
      <c r="C931" s="8"/>
      <c r="D931" s="4"/>
      <c r="E931" s="4"/>
      <c r="F931" s="8"/>
      <c r="G931" s="4"/>
      <c r="H931" s="4"/>
      <c r="I931" s="8"/>
      <c r="J931" s="4"/>
      <c r="K931" s="4"/>
      <c r="L931" s="8"/>
      <c r="M931" s="4"/>
      <c r="N931" s="4"/>
      <c r="O931" s="8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</row>
    <row r="932" ht="15.75" customHeight="1">
      <c r="A932" s="4"/>
      <c r="B932" s="4"/>
      <c r="C932" s="8"/>
      <c r="D932" s="4"/>
      <c r="E932" s="4"/>
      <c r="F932" s="8"/>
      <c r="G932" s="4"/>
      <c r="H932" s="4"/>
      <c r="I932" s="8"/>
      <c r="J932" s="4"/>
      <c r="K932" s="4"/>
      <c r="L932" s="8"/>
      <c r="M932" s="4"/>
      <c r="N932" s="4"/>
      <c r="O932" s="8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</row>
    <row r="933" ht="15.75" customHeight="1">
      <c r="A933" s="4"/>
      <c r="B933" s="4"/>
      <c r="C933" s="8"/>
      <c r="D933" s="4"/>
      <c r="E933" s="4"/>
      <c r="F933" s="8"/>
      <c r="G933" s="4"/>
      <c r="H933" s="4"/>
      <c r="I933" s="8"/>
      <c r="J933" s="4"/>
      <c r="K933" s="4"/>
      <c r="L933" s="8"/>
      <c r="M933" s="4"/>
      <c r="N933" s="4"/>
      <c r="O933" s="8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</row>
    <row r="934" ht="15.75" customHeight="1">
      <c r="A934" s="4"/>
      <c r="B934" s="4"/>
      <c r="C934" s="8"/>
      <c r="D934" s="4"/>
      <c r="E934" s="4"/>
      <c r="F934" s="8"/>
      <c r="G934" s="4"/>
      <c r="H934" s="4"/>
      <c r="I934" s="8"/>
      <c r="J934" s="4"/>
      <c r="K934" s="4"/>
      <c r="L934" s="8"/>
      <c r="M934" s="4"/>
      <c r="N934" s="4"/>
      <c r="O934" s="8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</row>
    <row r="935" ht="15.75" customHeight="1">
      <c r="A935" s="4"/>
      <c r="B935" s="4"/>
      <c r="C935" s="8"/>
      <c r="D935" s="4"/>
      <c r="E935" s="4"/>
      <c r="F935" s="8"/>
      <c r="G935" s="4"/>
      <c r="H935" s="4"/>
      <c r="I935" s="8"/>
      <c r="J935" s="4"/>
      <c r="K935" s="4"/>
      <c r="L935" s="8"/>
      <c r="M935" s="4"/>
      <c r="N935" s="4"/>
      <c r="O935" s="8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</row>
    <row r="936" ht="15.75" customHeight="1">
      <c r="A936" s="4"/>
      <c r="B936" s="4"/>
      <c r="C936" s="8"/>
      <c r="D936" s="4"/>
      <c r="E936" s="4"/>
      <c r="F936" s="8"/>
      <c r="G936" s="4"/>
      <c r="H936" s="4"/>
      <c r="I936" s="8"/>
      <c r="J936" s="4"/>
      <c r="K936" s="4"/>
      <c r="L936" s="8"/>
      <c r="M936" s="4"/>
      <c r="N936" s="4"/>
      <c r="O936" s="8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</row>
    <row r="937" ht="15.75" customHeight="1">
      <c r="A937" s="4"/>
      <c r="B937" s="4"/>
      <c r="C937" s="8"/>
      <c r="D937" s="4"/>
      <c r="E937" s="4"/>
      <c r="F937" s="8"/>
      <c r="G937" s="4"/>
      <c r="H937" s="4"/>
      <c r="I937" s="8"/>
      <c r="J937" s="4"/>
      <c r="K937" s="4"/>
      <c r="L937" s="8"/>
      <c r="M937" s="4"/>
      <c r="N937" s="4"/>
      <c r="O937" s="8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</row>
    <row r="938" ht="15.75" customHeight="1">
      <c r="A938" s="4"/>
      <c r="B938" s="4"/>
      <c r="C938" s="8"/>
      <c r="D938" s="4"/>
      <c r="E938" s="4"/>
      <c r="F938" s="8"/>
      <c r="G938" s="4"/>
      <c r="H938" s="4"/>
      <c r="I938" s="8"/>
      <c r="J938" s="4"/>
      <c r="K938" s="4"/>
      <c r="L938" s="8"/>
      <c r="M938" s="4"/>
      <c r="N938" s="4"/>
      <c r="O938" s="8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</row>
    <row r="939" ht="15.75" customHeight="1">
      <c r="A939" s="4"/>
      <c r="B939" s="4"/>
      <c r="C939" s="8"/>
      <c r="D939" s="4"/>
      <c r="E939" s="4"/>
      <c r="F939" s="8"/>
      <c r="G939" s="4"/>
      <c r="H939" s="4"/>
      <c r="I939" s="8"/>
      <c r="J939" s="4"/>
      <c r="K939" s="4"/>
      <c r="L939" s="8"/>
      <c r="M939" s="4"/>
      <c r="N939" s="4"/>
      <c r="O939" s="8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</row>
    <row r="940" ht="15.75" customHeight="1">
      <c r="A940" s="4"/>
      <c r="B940" s="4"/>
      <c r="C940" s="8"/>
      <c r="D940" s="4"/>
      <c r="E940" s="4"/>
      <c r="F940" s="8"/>
      <c r="G940" s="4"/>
      <c r="H940" s="4"/>
      <c r="I940" s="8"/>
      <c r="J940" s="4"/>
      <c r="K940" s="4"/>
      <c r="L940" s="8"/>
      <c r="M940" s="4"/>
      <c r="N940" s="4"/>
      <c r="O940" s="8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</row>
    <row r="941" ht="15.75" customHeight="1">
      <c r="A941" s="4"/>
      <c r="B941" s="4"/>
      <c r="C941" s="8"/>
      <c r="D941" s="4"/>
      <c r="E941" s="4"/>
      <c r="F941" s="8"/>
      <c r="G941" s="4"/>
      <c r="H941" s="4"/>
      <c r="I941" s="8"/>
      <c r="J941" s="4"/>
      <c r="K941" s="4"/>
      <c r="L941" s="8"/>
      <c r="M941" s="4"/>
      <c r="N941" s="4"/>
      <c r="O941" s="8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</row>
    <row r="942" ht="15.75" customHeight="1">
      <c r="A942" s="4"/>
      <c r="B942" s="4"/>
      <c r="C942" s="8"/>
      <c r="D942" s="4"/>
      <c r="E942" s="4"/>
      <c r="F942" s="8"/>
      <c r="G942" s="4"/>
      <c r="H942" s="4"/>
      <c r="I942" s="8"/>
      <c r="J942" s="4"/>
      <c r="K942" s="4"/>
      <c r="L942" s="8"/>
      <c r="M942" s="4"/>
      <c r="N942" s="4"/>
      <c r="O942" s="8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</row>
    <row r="943" ht="15.75" customHeight="1">
      <c r="A943" s="4"/>
      <c r="B943" s="4"/>
      <c r="C943" s="8"/>
      <c r="D943" s="4"/>
      <c r="E943" s="4"/>
      <c r="F943" s="8"/>
      <c r="G943" s="4"/>
      <c r="H943" s="4"/>
      <c r="I943" s="8"/>
      <c r="J943" s="4"/>
      <c r="K943" s="4"/>
      <c r="L943" s="8"/>
      <c r="M943" s="4"/>
      <c r="N943" s="4"/>
      <c r="O943" s="8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</row>
    <row r="944" ht="15.75" customHeight="1">
      <c r="A944" s="4"/>
      <c r="B944" s="4"/>
      <c r="C944" s="8"/>
      <c r="D944" s="4"/>
      <c r="E944" s="4"/>
      <c r="F944" s="8"/>
      <c r="G944" s="4"/>
      <c r="H944" s="4"/>
      <c r="I944" s="8"/>
      <c r="J944" s="4"/>
      <c r="K944" s="4"/>
      <c r="L944" s="8"/>
      <c r="M944" s="4"/>
      <c r="N944" s="4"/>
      <c r="O944" s="8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</row>
    <row r="945" ht="15.75" customHeight="1">
      <c r="A945" s="4"/>
      <c r="B945" s="4"/>
      <c r="C945" s="8"/>
      <c r="D945" s="4"/>
      <c r="E945" s="4"/>
      <c r="F945" s="8"/>
      <c r="G945" s="4"/>
      <c r="H945" s="4"/>
      <c r="I945" s="8"/>
      <c r="J945" s="4"/>
      <c r="K945" s="4"/>
      <c r="L945" s="8"/>
      <c r="M945" s="4"/>
      <c r="N945" s="4"/>
      <c r="O945" s="8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</row>
    <row r="946" ht="15.75" customHeight="1">
      <c r="A946" s="4"/>
      <c r="B946" s="4"/>
      <c r="C946" s="8"/>
      <c r="D946" s="4"/>
      <c r="E946" s="4"/>
      <c r="F946" s="8"/>
      <c r="G946" s="4"/>
      <c r="H946" s="4"/>
      <c r="I946" s="8"/>
      <c r="J946" s="4"/>
      <c r="K946" s="4"/>
      <c r="L946" s="8"/>
      <c r="M946" s="4"/>
      <c r="N946" s="4"/>
      <c r="O946" s="8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</row>
    <row r="947" ht="15.75" customHeight="1">
      <c r="A947" s="4"/>
      <c r="B947" s="4"/>
      <c r="C947" s="8"/>
      <c r="D947" s="4"/>
      <c r="E947" s="4"/>
      <c r="F947" s="8"/>
      <c r="G947" s="4"/>
      <c r="H947" s="4"/>
      <c r="I947" s="8"/>
      <c r="J947" s="4"/>
      <c r="K947" s="4"/>
      <c r="L947" s="8"/>
      <c r="M947" s="4"/>
      <c r="N947" s="4"/>
      <c r="O947" s="8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</row>
    <row r="948" ht="15.75" customHeight="1">
      <c r="A948" s="4"/>
      <c r="B948" s="4"/>
      <c r="C948" s="8"/>
      <c r="D948" s="4"/>
      <c r="E948" s="4"/>
      <c r="F948" s="8"/>
      <c r="G948" s="4"/>
      <c r="H948" s="4"/>
      <c r="I948" s="8"/>
      <c r="J948" s="4"/>
      <c r="K948" s="4"/>
      <c r="L948" s="8"/>
      <c r="M948" s="4"/>
      <c r="N948" s="4"/>
      <c r="O948" s="8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</row>
    <row r="949" ht="15.75" customHeight="1">
      <c r="A949" s="4"/>
      <c r="B949" s="4"/>
      <c r="C949" s="8"/>
      <c r="D949" s="4"/>
      <c r="E949" s="4"/>
      <c r="F949" s="8"/>
      <c r="G949" s="4"/>
      <c r="H949" s="4"/>
      <c r="I949" s="8"/>
      <c r="J949" s="4"/>
      <c r="K949" s="4"/>
      <c r="L949" s="8"/>
      <c r="M949" s="4"/>
      <c r="N949" s="4"/>
      <c r="O949" s="8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</row>
    <row r="950" ht="15.75" customHeight="1">
      <c r="A950" s="4"/>
      <c r="B950" s="4"/>
      <c r="C950" s="8"/>
      <c r="D950" s="4"/>
      <c r="E950" s="4"/>
      <c r="F950" s="8"/>
      <c r="G950" s="4"/>
      <c r="H950" s="4"/>
      <c r="I950" s="8"/>
      <c r="J950" s="4"/>
      <c r="K950" s="4"/>
      <c r="L950" s="8"/>
      <c r="M950" s="4"/>
      <c r="N950" s="4"/>
      <c r="O950" s="8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</row>
    <row r="951" ht="15.75" customHeight="1">
      <c r="A951" s="4"/>
      <c r="B951" s="4"/>
      <c r="C951" s="8"/>
      <c r="D951" s="4"/>
      <c r="E951" s="4"/>
      <c r="F951" s="8"/>
      <c r="G951" s="4"/>
      <c r="H951" s="4"/>
      <c r="I951" s="8"/>
      <c r="J951" s="4"/>
      <c r="K951" s="4"/>
      <c r="L951" s="8"/>
      <c r="M951" s="4"/>
      <c r="N951" s="4"/>
      <c r="O951" s="8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</row>
    <row r="952" ht="15.75" customHeight="1">
      <c r="A952" s="4"/>
      <c r="B952" s="4"/>
      <c r="C952" s="8"/>
      <c r="D952" s="4"/>
      <c r="E952" s="4"/>
      <c r="F952" s="8"/>
      <c r="G952" s="4"/>
      <c r="H952" s="4"/>
      <c r="I952" s="8"/>
      <c r="J952" s="4"/>
      <c r="K952" s="4"/>
      <c r="L952" s="8"/>
      <c r="M952" s="4"/>
      <c r="N952" s="4"/>
      <c r="O952" s="8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</row>
    <row r="953" ht="15.75" customHeight="1">
      <c r="A953" s="4"/>
      <c r="B953" s="4"/>
      <c r="C953" s="8"/>
      <c r="D953" s="4"/>
      <c r="E953" s="4"/>
      <c r="F953" s="8"/>
      <c r="G953" s="4"/>
      <c r="H953" s="4"/>
      <c r="I953" s="8"/>
      <c r="J953" s="4"/>
      <c r="K953" s="4"/>
      <c r="L953" s="8"/>
      <c r="M953" s="4"/>
      <c r="N953" s="4"/>
      <c r="O953" s="8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</row>
    <row r="954" ht="15.75" customHeight="1">
      <c r="A954" s="4"/>
      <c r="B954" s="4"/>
      <c r="C954" s="8"/>
      <c r="D954" s="4"/>
      <c r="E954" s="4"/>
      <c r="F954" s="8"/>
      <c r="G954" s="4"/>
      <c r="H954" s="4"/>
      <c r="I954" s="8"/>
      <c r="J954" s="4"/>
      <c r="K954" s="4"/>
      <c r="L954" s="8"/>
      <c r="M954" s="4"/>
      <c r="N954" s="4"/>
      <c r="O954" s="8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</row>
    <row r="955" ht="15.75" customHeight="1">
      <c r="A955" s="4"/>
      <c r="B955" s="4"/>
      <c r="C955" s="8"/>
      <c r="D955" s="4"/>
      <c r="E955" s="4"/>
      <c r="F955" s="8"/>
      <c r="G955" s="4"/>
      <c r="H955" s="4"/>
      <c r="I955" s="8"/>
      <c r="J955" s="4"/>
      <c r="K955" s="4"/>
      <c r="L955" s="8"/>
      <c r="M955" s="4"/>
      <c r="N955" s="4"/>
      <c r="O955" s="8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</row>
    <row r="956" ht="15.75" customHeight="1">
      <c r="A956" s="4"/>
      <c r="B956" s="4"/>
      <c r="C956" s="8"/>
      <c r="D956" s="4"/>
      <c r="E956" s="4"/>
      <c r="F956" s="8"/>
      <c r="G956" s="4"/>
      <c r="H956" s="4"/>
      <c r="I956" s="8"/>
      <c r="J956" s="4"/>
      <c r="K956" s="4"/>
      <c r="L956" s="8"/>
      <c r="M956" s="4"/>
      <c r="N956" s="4"/>
      <c r="O956" s="8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</row>
    <row r="957" ht="15.75" customHeight="1">
      <c r="A957" s="4"/>
      <c r="B957" s="4"/>
      <c r="C957" s="8"/>
      <c r="D957" s="4"/>
      <c r="E957" s="4"/>
      <c r="F957" s="8"/>
      <c r="G957" s="4"/>
      <c r="H957" s="4"/>
      <c r="I957" s="8"/>
      <c r="J957" s="4"/>
      <c r="K957" s="4"/>
      <c r="L957" s="8"/>
      <c r="M957" s="4"/>
      <c r="N957" s="4"/>
      <c r="O957" s="8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</row>
    <row r="958" ht="15.75" customHeight="1">
      <c r="A958" s="4"/>
      <c r="B958" s="4"/>
      <c r="C958" s="8"/>
      <c r="D958" s="4"/>
      <c r="E958" s="4"/>
      <c r="F958" s="8"/>
      <c r="G958" s="4"/>
      <c r="H958" s="4"/>
      <c r="I958" s="8"/>
      <c r="J958" s="4"/>
      <c r="K958" s="4"/>
      <c r="L958" s="8"/>
      <c r="M958" s="4"/>
      <c r="N958" s="4"/>
      <c r="O958" s="8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</row>
    <row r="959" ht="15.75" customHeight="1">
      <c r="A959" s="4"/>
      <c r="B959" s="4"/>
      <c r="C959" s="8"/>
      <c r="D959" s="4"/>
      <c r="E959" s="4"/>
      <c r="F959" s="8"/>
      <c r="G959" s="4"/>
      <c r="H959" s="4"/>
      <c r="I959" s="8"/>
      <c r="J959" s="4"/>
      <c r="K959" s="4"/>
      <c r="L959" s="8"/>
      <c r="M959" s="4"/>
      <c r="N959" s="4"/>
      <c r="O959" s="8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</row>
    <row r="960" ht="15.75" customHeight="1">
      <c r="A960" s="4"/>
      <c r="B960" s="4"/>
      <c r="C960" s="8"/>
      <c r="D960" s="4"/>
      <c r="E960" s="4"/>
      <c r="F960" s="8"/>
      <c r="G960" s="4"/>
      <c r="H960" s="4"/>
      <c r="I960" s="8"/>
      <c r="J960" s="4"/>
      <c r="K960" s="4"/>
      <c r="L960" s="8"/>
      <c r="M960" s="4"/>
      <c r="N960" s="4"/>
      <c r="O960" s="8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</row>
    <row r="961" ht="15.75" customHeight="1">
      <c r="A961" s="4"/>
      <c r="B961" s="4"/>
      <c r="C961" s="8"/>
      <c r="D961" s="4"/>
      <c r="E961" s="4"/>
      <c r="F961" s="8"/>
      <c r="G961" s="4"/>
      <c r="H961" s="4"/>
      <c r="I961" s="8"/>
      <c r="J961" s="4"/>
      <c r="K961" s="4"/>
      <c r="L961" s="8"/>
      <c r="M961" s="4"/>
      <c r="N961" s="4"/>
      <c r="O961" s="8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</row>
    <row r="962" ht="15.75" customHeight="1">
      <c r="A962" s="4"/>
      <c r="B962" s="4"/>
      <c r="C962" s="8"/>
      <c r="D962" s="4"/>
      <c r="E962" s="4"/>
      <c r="F962" s="8"/>
      <c r="G962" s="4"/>
      <c r="H962" s="4"/>
      <c r="I962" s="8"/>
      <c r="J962" s="4"/>
      <c r="K962" s="4"/>
      <c r="L962" s="8"/>
      <c r="M962" s="4"/>
      <c r="N962" s="4"/>
      <c r="O962" s="8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</row>
    <row r="963" ht="15.75" customHeight="1">
      <c r="A963" s="4"/>
      <c r="B963" s="4"/>
      <c r="C963" s="8"/>
      <c r="D963" s="4"/>
      <c r="E963" s="4"/>
      <c r="F963" s="8"/>
      <c r="G963" s="4"/>
      <c r="H963" s="4"/>
      <c r="I963" s="8"/>
      <c r="J963" s="4"/>
      <c r="K963" s="4"/>
      <c r="L963" s="8"/>
      <c r="M963" s="4"/>
      <c r="N963" s="4"/>
      <c r="O963" s="8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</row>
    <row r="964" ht="15.75" customHeight="1">
      <c r="A964" s="4"/>
      <c r="B964" s="4"/>
      <c r="C964" s="8"/>
      <c r="D964" s="4"/>
      <c r="E964" s="4"/>
      <c r="F964" s="8"/>
      <c r="G964" s="4"/>
      <c r="H964" s="4"/>
      <c r="I964" s="8"/>
      <c r="J964" s="4"/>
      <c r="K964" s="4"/>
      <c r="L964" s="8"/>
      <c r="M964" s="4"/>
      <c r="N964" s="4"/>
      <c r="O964" s="8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</row>
    <row r="965" ht="15.75" customHeight="1">
      <c r="A965" s="4"/>
      <c r="B965" s="4"/>
      <c r="C965" s="8"/>
      <c r="D965" s="4"/>
      <c r="E965" s="4"/>
      <c r="F965" s="8"/>
      <c r="G965" s="4"/>
      <c r="H965" s="4"/>
      <c r="I965" s="8"/>
      <c r="J965" s="4"/>
      <c r="K965" s="4"/>
      <c r="L965" s="8"/>
      <c r="M965" s="4"/>
      <c r="N965" s="4"/>
      <c r="O965" s="8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</row>
    <row r="966" ht="15.75" customHeight="1">
      <c r="A966" s="4"/>
      <c r="B966" s="4"/>
      <c r="C966" s="8"/>
      <c r="D966" s="4"/>
      <c r="E966" s="4"/>
      <c r="F966" s="8"/>
      <c r="G966" s="4"/>
      <c r="H966" s="4"/>
      <c r="I966" s="8"/>
      <c r="J966" s="4"/>
      <c r="K966" s="4"/>
      <c r="L966" s="8"/>
      <c r="M966" s="4"/>
      <c r="N966" s="4"/>
      <c r="O966" s="8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</row>
    <row r="967" ht="15.75" customHeight="1">
      <c r="A967" s="4"/>
      <c r="B967" s="4"/>
      <c r="C967" s="8"/>
      <c r="D967" s="4"/>
      <c r="E967" s="4"/>
      <c r="F967" s="8"/>
      <c r="G967" s="4"/>
      <c r="H967" s="4"/>
      <c r="I967" s="8"/>
      <c r="J967" s="4"/>
      <c r="K967" s="4"/>
      <c r="L967" s="8"/>
      <c r="M967" s="4"/>
      <c r="N967" s="4"/>
      <c r="O967" s="8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</row>
    <row r="968" ht="15.75" customHeight="1">
      <c r="A968" s="4"/>
      <c r="B968" s="4"/>
      <c r="C968" s="8"/>
      <c r="D968" s="4"/>
      <c r="E968" s="4"/>
      <c r="F968" s="8"/>
      <c r="G968" s="4"/>
      <c r="H968" s="4"/>
      <c r="I968" s="8"/>
      <c r="J968" s="4"/>
      <c r="K968" s="4"/>
      <c r="L968" s="8"/>
      <c r="M968" s="4"/>
      <c r="N968" s="4"/>
      <c r="O968" s="8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</row>
    <row r="969" ht="15.75" customHeight="1">
      <c r="A969" s="4"/>
      <c r="B969" s="4"/>
      <c r="C969" s="8"/>
      <c r="D969" s="4"/>
      <c r="E969" s="4"/>
      <c r="F969" s="8"/>
      <c r="G969" s="4"/>
      <c r="H969" s="4"/>
      <c r="I969" s="8"/>
      <c r="J969" s="4"/>
      <c r="K969" s="4"/>
      <c r="L969" s="8"/>
      <c r="M969" s="4"/>
      <c r="N969" s="4"/>
      <c r="O969" s="8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</row>
    <row r="970" ht="15.75" customHeight="1">
      <c r="A970" s="4"/>
      <c r="B970" s="4"/>
      <c r="C970" s="8"/>
      <c r="D970" s="4"/>
      <c r="E970" s="4"/>
      <c r="F970" s="8"/>
      <c r="G970" s="4"/>
      <c r="H970" s="4"/>
      <c r="I970" s="8"/>
      <c r="J970" s="4"/>
      <c r="K970" s="4"/>
      <c r="L970" s="8"/>
      <c r="M970" s="4"/>
      <c r="N970" s="4"/>
      <c r="O970" s="8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</row>
    <row r="971" ht="15.75" customHeight="1">
      <c r="A971" s="4"/>
      <c r="B971" s="4"/>
      <c r="C971" s="8"/>
      <c r="D971" s="4"/>
      <c r="E971" s="4"/>
      <c r="F971" s="8"/>
      <c r="G971" s="4"/>
      <c r="H971" s="4"/>
      <c r="I971" s="8"/>
      <c r="J971" s="4"/>
      <c r="K971" s="4"/>
      <c r="L971" s="8"/>
      <c r="M971" s="4"/>
      <c r="N971" s="4"/>
      <c r="O971" s="8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</row>
    <row r="972" ht="15.75" customHeight="1">
      <c r="A972" s="4"/>
      <c r="B972" s="4"/>
      <c r="C972" s="8"/>
      <c r="D972" s="4"/>
      <c r="E972" s="4"/>
      <c r="F972" s="8"/>
      <c r="G972" s="4"/>
      <c r="H972" s="4"/>
      <c r="I972" s="8"/>
      <c r="J972" s="4"/>
      <c r="K972" s="4"/>
      <c r="L972" s="8"/>
      <c r="M972" s="4"/>
      <c r="N972" s="4"/>
      <c r="O972" s="8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</row>
    <row r="973" ht="15.75" customHeight="1">
      <c r="A973" s="4"/>
      <c r="B973" s="4"/>
      <c r="C973" s="8"/>
      <c r="D973" s="4"/>
      <c r="E973" s="4"/>
      <c r="F973" s="8"/>
      <c r="G973" s="4"/>
      <c r="H973" s="4"/>
      <c r="I973" s="8"/>
      <c r="J973" s="4"/>
      <c r="K973" s="4"/>
      <c r="L973" s="8"/>
      <c r="M973" s="4"/>
      <c r="N973" s="4"/>
      <c r="O973" s="8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</row>
    <row r="974" ht="15.75" customHeight="1">
      <c r="A974" s="4"/>
      <c r="B974" s="4"/>
      <c r="C974" s="8"/>
      <c r="D974" s="4"/>
      <c r="E974" s="4"/>
      <c r="F974" s="8"/>
      <c r="G974" s="4"/>
      <c r="H974" s="4"/>
      <c r="I974" s="8"/>
      <c r="J974" s="4"/>
      <c r="K974" s="4"/>
      <c r="L974" s="8"/>
      <c r="M974" s="4"/>
      <c r="N974" s="4"/>
      <c r="O974" s="8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</row>
    <row r="975" ht="15.75" customHeight="1">
      <c r="A975" s="4"/>
      <c r="B975" s="4"/>
      <c r="C975" s="8"/>
      <c r="D975" s="4"/>
      <c r="E975" s="4"/>
      <c r="F975" s="8"/>
      <c r="G975" s="4"/>
      <c r="H975" s="4"/>
      <c r="I975" s="8"/>
      <c r="J975" s="4"/>
      <c r="K975" s="4"/>
      <c r="L975" s="8"/>
      <c r="M975" s="4"/>
      <c r="N975" s="4"/>
      <c r="O975" s="8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</row>
    <row r="976" ht="15.75" customHeight="1">
      <c r="A976" s="4"/>
      <c r="B976" s="4"/>
      <c r="C976" s="8"/>
      <c r="D976" s="4"/>
      <c r="E976" s="4"/>
      <c r="F976" s="8"/>
      <c r="G976" s="4"/>
      <c r="H976" s="4"/>
      <c r="I976" s="8"/>
      <c r="J976" s="4"/>
      <c r="K976" s="4"/>
      <c r="L976" s="8"/>
      <c r="M976" s="4"/>
      <c r="N976" s="4"/>
      <c r="O976" s="8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</row>
    <row r="977" ht="15.75" customHeight="1">
      <c r="A977" s="4"/>
      <c r="B977" s="4"/>
      <c r="C977" s="8"/>
      <c r="D977" s="4"/>
      <c r="E977" s="4"/>
      <c r="F977" s="8"/>
      <c r="G977" s="4"/>
      <c r="H977" s="4"/>
      <c r="I977" s="8"/>
      <c r="J977" s="4"/>
      <c r="K977" s="4"/>
      <c r="L977" s="8"/>
      <c r="M977" s="4"/>
      <c r="N977" s="4"/>
      <c r="O977" s="8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</row>
    <row r="978" ht="15.75" customHeight="1">
      <c r="A978" s="4"/>
      <c r="B978" s="4"/>
      <c r="C978" s="8"/>
      <c r="D978" s="4"/>
      <c r="E978" s="4"/>
      <c r="F978" s="8"/>
      <c r="G978" s="4"/>
      <c r="H978" s="4"/>
      <c r="I978" s="8"/>
      <c r="J978" s="4"/>
      <c r="K978" s="4"/>
      <c r="L978" s="8"/>
      <c r="M978" s="4"/>
      <c r="N978" s="4"/>
      <c r="O978" s="8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</row>
    <row r="979" ht="15.75" customHeight="1">
      <c r="A979" s="4"/>
      <c r="B979" s="4"/>
      <c r="C979" s="8"/>
      <c r="D979" s="4"/>
      <c r="E979" s="4"/>
      <c r="F979" s="8"/>
      <c r="G979" s="4"/>
      <c r="H979" s="4"/>
      <c r="I979" s="8"/>
      <c r="J979" s="4"/>
      <c r="K979" s="4"/>
      <c r="L979" s="8"/>
      <c r="M979" s="4"/>
      <c r="N979" s="4"/>
      <c r="O979" s="8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</row>
    <row r="980" ht="15.75" customHeight="1">
      <c r="A980" s="4"/>
      <c r="B980" s="4"/>
      <c r="C980" s="8"/>
      <c r="D980" s="4"/>
      <c r="E980" s="4"/>
      <c r="F980" s="8"/>
      <c r="G980" s="4"/>
      <c r="H980" s="4"/>
      <c r="I980" s="8"/>
      <c r="J980" s="4"/>
      <c r="K980" s="4"/>
      <c r="L980" s="8"/>
      <c r="M980" s="4"/>
      <c r="N980" s="4"/>
      <c r="O980" s="8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</row>
    <row r="981" ht="15.75" customHeight="1">
      <c r="A981" s="4"/>
      <c r="B981" s="4"/>
      <c r="C981" s="8"/>
      <c r="D981" s="4"/>
      <c r="E981" s="4"/>
      <c r="F981" s="8"/>
      <c r="G981" s="4"/>
      <c r="H981" s="4"/>
      <c r="I981" s="8"/>
      <c r="J981" s="4"/>
      <c r="K981" s="4"/>
      <c r="L981" s="8"/>
      <c r="M981" s="4"/>
      <c r="N981" s="4"/>
      <c r="O981" s="8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</row>
    <row r="982" ht="15.75" customHeight="1">
      <c r="A982" s="4"/>
      <c r="B982" s="4"/>
      <c r="C982" s="8"/>
      <c r="D982" s="4"/>
      <c r="E982" s="4"/>
      <c r="F982" s="8"/>
      <c r="G982" s="4"/>
      <c r="H982" s="4"/>
      <c r="I982" s="8"/>
      <c r="J982" s="4"/>
      <c r="K982" s="4"/>
      <c r="L982" s="8"/>
      <c r="M982" s="4"/>
      <c r="N982" s="4"/>
      <c r="O982" s="8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</row>
    <row r="983" ht="15.75" customHeight="1">
      <c r="A983" s="4"/>
      <c r="B983" s="4"/>
      <c r="C983" s="8"/>
      <c r="D983" s="4"/>
      <c r="E983" s="4"/>
      <c r="F983" s="8"/>
      <c r="G983" s="4"/>
      <c r="H983" s="4"/>
      <c r="I983" s="8"/>
      <c r="J983" s="4"/>
      <c r="K983" s="4"/>
      <c r="L983" s="8"/>
      <c r="M983" s="4"/>
      <c r="N983" s="4"/>
      <c r="O983" s="8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</row>
    <row r="984" ht="15.75" customHeight="1">
      <c r="A984" s="4"/>
      <c r="B984" s="4"/>
      <c r="C984" s="8"/>
      <c r="D984" s="4"/>
      <c r="E984" s="4"/>
      <c r="F984" s="8"/>
      <c r="G984" s="4"/>
      <c r="H984" s="4"/>
      <c r="I984" s="8"/>
      <c r="J984" s="4"/>
      <c r="K984" s="4"/>
      <c r="L984" s="8"/>
      <c r="M984" s="4"/>
      <c r="N984" s="4"/>
      <c r="O984" s="8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</row>
    <row r="985" ht="15.75" customHeight="1">
      <c r="A985" s="4"/>
      <c r="B985" s="4"/>
      <c r="C985" s="8"/>
      <c r="D985" s="4"/>
      <c r="E985" s="4"/>
      <c r="F985" s="8"/>
      <c r="G985" s="4"/>
      <c r="H985" s="4"/>
      <c r="I985" s="8"/>
      <c r="J985" s="4"/>
      <c r="K985" s="4"/>
      <c r="L985" s="8"/>
      <c r="M985" s="4"/>
      <c r="N985" s="4"/>
      <c r="O985" s="8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</row>
    <row r="986" ht="15.75" customHeight="1">
      <c r="A986" s="4"/>
      <c r="B986" s="4"/>
      <c r="C986" s="8"/>
      <c r="D986" s="4"/>
      <c r="E986" s="4"/>
      <c r="F986" s="8"/>
      <c r="G986" s="4"/>
      <c r="H986" s="4"/>
      <c r="I986" s="8"/>
      <c r="J986" s="4"/>
      <c r="K986" s="4"/>
      <c r="L986" s="8"/>
      <c r="M986" s="4"/>
      <c r="N986" s="4"/>
      <c r="O986" s="8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</row>
    <row r="987" ht="15.75" customHeight="1">
      <c r="A987" s="4"/>
      <c r="B987" s="4"/>
      <c r="C987" s="8"/>
      <c r="D987" s="4"/>
      <c r="E987" s="4"/>
      <c r="F987" s="8"/>
      <c r="G987" s="4"/>
      <c r="H987" s="4"/>
      <c r="I987" s="8"/>
      <c r="J987" s="4"/>
      <c r="K987" s="4"/>
      <c r="L987" s="8"/>
      <c r="M987" s="4"/>
      <c r="N987" s="4"/>
      <c r="O987" s="8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</row>
    <row r="988" ht="15.75" customHeight="1">
      <c r="A988" s="4"/>
      <c r="B988" s="4"/>
      <c r="C988" s="8"/>
      <c r="D988" s="4"/>
      <c r="E988" s="4"/>
      <c r="F988" s="8"/>
      <c r="G988" s="4"/>
      <c r="H988" s="4"/>
      <c r="I988" s="8"/>
      <c r="J988" s="4"/>
      <c r="K988" s="4"/>
      <c r="L988" s="8"/>
      <c r="M988" s="4"/>
      <c r="N988" s="4"/>
      <c r="O988" s="8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</row>
    <row r="989" ht="15.75" customHeight="1">
      <c r="A989" s="4"/>
      <c r="B989" s="4"/>
      <c r="C989" s="8"/>
      <c r="D989" s="4"/>
      <c r="E989" s="4"/>
      <c r="F989" s="8"/>
      <c r="G989" s="4"/>
      <c r="H989" s="4"/>
      <c r="I989" s="8"/>
      <c r="J989" s="4"/>
      <c r="K989" s="4"/>
      <c r="L989" s="8"/>
      <c r="M989" s="4"/>
      <c r="N989" s="4"/>
      <c r="O989" s="8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</row>
    <row r="990" ht="15.75" customHeight="1">
      <c r="A990" s="4"/>
      <c r="B990" s="4"/>
      <c r="C990" s="8"/>
      <c r="D990" s="4"/>
      <c r="E990" s="4"/>
      <c r="F990" s="8"/>
      <c r="G990" s="4"/>
      <c r="H990" s="4"/>
      <c r="I990" s="8"/>
      <c r="J990" s="4"/>
      <c r="K990" s="4"/>
      <c r="L990" s="8"/>
      <c r="M990" s="4"/>
      <c r="N990" s="4"/>
      <c r="O990" s="8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</row>
    <row r="991" ht="15.75" customHeight="1">
      <c r="A991" s="4"/>
      <c r="B991" s="4"/>
      <c r="C991" s="8"/>
      <c r="D991" s="4"/>
      <c r="E991" s="4"/>
      <c r="F991" s="8"/>
      <c r="G991" s="4"/>
      <c r="H991" s="4"/>
      <c r="I991" s="8"/>
      <c r="J991" s="4"/>
      <c r="K991" s="4"/>
      <c r="L991" s="8"/>
      <c r="M991" s="4"/>
      <c r="N991" s="4"/>
      <c r="O991" s="8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</row>
    <row r="992" ht="15.75" customHeight="1">
      <c r="A992" s="4"/>
      <c r="B992" s="4"/>
      <c r="C992" s="8"/>
      <c r="D992" s="4"/>
      <c r="E992" s="4"/>
      <c r="F992" s="8"/>
      <c r="G992" s="4"/>
      <c r="H992" s="4"/>
      <c r="I992" s="8"/>
      <c r="J992" s="4"/>
      <c r="K992" s="4"/>
      <c r="L992" s="8"/>
      <c r="M992" s="4"/>
      <c r="N992" s="4"/>
      <c r="O992" s="8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</row>
    <row r="993" ht="15.75" customHeight="1">
      <c r="A993" s="4"/>
      <c r="B993" s="4"/>
      <c r="C993" s="8"/>
      <c r="D993" s="4"/>
      <c r="E993" s="4"/>
      <c r="F993" s="8"/>
      <c r="G993" s="4"/>
      <c r="H993" s="4"/>
      <c r="I993" s="8"/>
      <c r="J993" s="4"/>
      <c r="K993" s="4"/>
      <c r="L993" s="8"/>
      <c r="M993" s="4"/>
      <c r="N993" s="4"/>
      <c r="O993" s="8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</row>
    <row r="994" ht="15.75" customHeight="1">
      <c r="A994" s="4"/>
      <c r="B994" s="4"/>
      <c r="C994" s="8"/>
      <c r="D994" s="4"/>
      <c r="E994" s="4"/>
      <c r="F994" s="8"/>
      <c r="G994" s="4"/>
      <c r="H994" s="4"/>
      <c r="I994" s="8"/>
      <c r="J994" s="4"/>
      <c r="K994" s="4"/>
      <c r="L994" s="8"/>
      <c r="M994" s="4"/>
      <c r="N994" s="4"/>
      <c r="O994" s="8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</row>
    <row r="995" ht="15.75" customHeight="1">
      <c r="A995" s="4"/>
      <c r="B995" s="4"/>
      <c r="C995" s="8"/>
      <c r="D995" s="4"/>
      <c r="E995" s="4"/>
      <c r="F995" s="8"/>
      <c r="G995" s="4"/>
      <c r="H995" s="4"/>
      <c r="I995" s="8"/>
      <c r="J995" s="4"/>
      <c r="K995" s="4"/>
      <c r="L995" s="8"/>
      <c r="M995" s="4"/>
      <c r="N995" s="4"/>
      <c r="O995" s="8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</row>
    <row r="996" ht="15.75" customHeight="1">
      <c r="A996" s="4"/>
      <c r="B996" s="4"/>
      <c r="C996" s="8"/>
      <c r="D996" s="4"/>
      <c r="E996" s="4"/>
      <c r="F996" s="8"/>
      <c r="G996" s="4"/>
      <c r="H996" s="4"/>
      <c r="I996" s="8"/>
      <c r="J996" s="4"/>
      <c r="K996" s="4"/>
      <c r="L996" s="8"/>
      <c r="M996" s="4"/>
      <c r="N996" s="4"/>
      <c r="O996" s="8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</row>
    <row r="997" ht="15.75" customHeight="1">
      <c r="A997" s="4"/>
      <c r="B997" s="4"/>
      <c r="C997" s="8"/>
      <c r="D997" s="4"/>
      <c r="E997" s="4"/>
      <c r="F997" s="8"/>
      <c r="G997" s="4"/>
      <c r="H997" s="4"/>
      <c r="I997" s="8"/>
      <c r="J997" s="4"/>
      <c r="K997" s="4"/>
      <c r="L997" s="8"/>
      <c r="M997" s="4"/>
      <c r="N997" s="4"/>
      <c r="O997" s="8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</row>
    <row r="998" ht="15.75" customHeight="1">
      <c r="A998" s="4"/>
      <c r="B998" s="4"/>
      <c r="C998" s="8"/>
      <c r="D998" s="4"/>
      <c r="E998" s="4"/>
      <c r="F998" s="8"/>
      <c r="G998" s="4"/>
      <c r="H998" s="4"/>
      <c r="I998" s="8"/>
      <c r="J998" s="4"/>
      <c r="K998" s="4"/>
      <c r="L998" s="8"/>
      <c r="M998" s="4"/>
      <c r="N998" s="4"/>
      <c r="O998" s="8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</row>
    <row r="999" ht="15.75" customHeight="1">
      <c r="A999" s="4"/>
      <c r="B999" s="4"/>
      <c r="C999" s="8"/>
      <c r="D999" s="4"/>
      <c r="E999" s="4"/>
      <c r="F999" s="8"/>
      <c r="G999" s="4"/>
      <c r="H999" s="4"/>
      <c r="I999" s="8"/>
      <c r="J999" s="4"/>
      <c r="K999" s="4"/>
      <c r="L999" s="8"/>
      <c r="M999" s="4"/>
      <c r="N999" s="4"/>
      <c r="O999" s="8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</row>
    <row r="1000" ht="15.75" customHeight="1">
      <c r="A1000" s="4"/>
      <c r="B1000" s="4"/>
      <c r="C1000" s="8"/>
      <c r="D1000" s="4"/>
      <c r="E1000" s="4"/>
      <c r="F1000" s="8"/>
      <c r="G1000" s="4"/>
      <c r="H1000" s="4"/>
      <c r="I1000" s="8"/>
      <c r="J1000" s="4"/>
      <c r="K1000" s="4"/>
      <c r="L1000" s="8"/>
      <c r="M1000" s="4"/>
      <c r="N1000" s="4"/>
      <c r="O1000" s="8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</row>
  </sheetData>
  <mergeCells count="1">
    <mergeCell ref="R4:W4"/>
  </mergeCells>
  <conditionalFormatting sqref="C5:D14 F5:G14 I5:J14 L5:M14 O5:P14 AB5:AL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38" width="9.38"/>
    <col hidden="1" min="41" max="42" width="12.63"/>
  </cols>
  <sheetData>
    <row r="1" ht="17.25" customHeight="1">
      <c r="A1" s="3" t="s">
        <v>1</v>
      </c>
      <c r="B1" s="5"/>
      <c r="C1" s="7"/>
      <c r="D1" s="5"/>
      <c r="E1" s="5"/>
      <c r="F1" s="7"/>
      <c r="G1" s="5"/>
      <c r="H1" s="5"/>
      <c r="I1" s="7"/>
      <c r="J1" s="5"/>
      <c r="K1" s="5"/>
      <c r="L1" s="7"/>
      <c r="M1" s="5"/>
      <c r="N1" s="5"/>
      <c r="O1" s="7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</row>
    <row r="2" ht="15.0" customHeight="1">
      <c r="A2" s="11"/>
      <c r="B2" s="5"/>
      <c r="C2" s="7"/>
      <c r="D2" s="5"/>
      <c r="E2" s="5"/>
      <c r="F2" s="7"/>
      <c r="G2" s="5"/>
      <c r="H2" s="5"/>
      <c r="I2" s="7"/>
      <c r="J2" s="5"/>
      <c r="K2" s="5"/>
      <c r="L2" s="7"/>
      <c r="M2" s="5"/>
      <c r="N2" s="5"/>
      <c r="O2" s="7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ht="15.0" customHeight="1">
      <c r="A3" s="11"/>
      <c r="B3" s="13" t="s">
        <v>19</v>
      </c>
      <c r="C3" s="7"/>
      <c r="D3" s="5"/>
      <c r="E3" s="13" t="s">
        <v>21</v>
      </c>
      <c r="F3" s="7"/>
      <c r="G3" s="5"/>
      <c r="H3" s="13" t="s">
        <v>22</v>
      </c>
      <c r="I3" s="7"/>
      <c r="J3" s="5"/>
      <c r="K3" s="13" t="s">
        <v>24</v>
      </c>
      <c r="L3" s="7"/>
      <c r="M3" s="5"/>
      <c r="N3" s="13" t="s">
        <v>26</v>
      </c>
      <c r="O3" s="7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15" t="s">
        <v>28</v>
      </c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>
      <c r="A4" s="17" t="s">
        <v>30</v>
      </c>
      <c r="B4" s="17" t="s">
        <v>32</v>
      </c>
      <c r="C4" s="17" t="s">
        <v>33</v>
      </c>
      <c r="D4" s="17" t="s">
        <v>34</v>
      </c>
      <c r="E4" s="17" t="s">
        <v>32</v>
      </c>
      <c r="F4" s="17" t="s">
        <v>33</v>
      </c>
      <c r="G4" s="17" t="s">
        <v>34</v>
      </c>
      <c r="H4" s="17" t="s">
        <v>32</v>
      </c>
      <c r="I4" s="17" t="s">
        <v>33</v>
      </c>
      <c r="J4" s="17" t="s">
        <v>34</v>
      </c>
      <c r="K4" s="17" t="s">
        <v>32</v>
      </c>
      <c r="L4" s="17" t="s">
        <v>33</v>
      </c>
      <c r="M4" s="17" t="s">
        <v>34</v>
      </c>
      <c r="N4" s="17" t="s">
        <v>32</v>
      </c>
      <c r="O4" s="17" t="s">
        <v>33</v>
      </c>
      <c r="P4" s="17" t="s">
        <v>34</v>
      </c>
      <c r="Q4" s="21"/>
      <c r="R4" s="22" t="s">
        <v>39</v>
      </c>
      <c r="W4" s="23"/>
      <c r="X4" s="21"/>
      <c r="Y4" s="25" t="s">
        <v>43</v>
      </c>
      <c r="Z4" s="25" t="s">
        <v>45</v>
      </c>
      <c r="AA4" s="5"/>
      <c r="AB4" s="27" t="s">
        <v>46</v>
      </c>
      <c r="AC4" s="27" t="s">
        <v>47</v>
      </c>
      <c r="AD4" s="27" t="s">
        <v>48</v>
      </c>
      <c r="AE4" s="27" t="s">
        <v>50</v>
      </c>
      <c r="AF4" s="27" t="s">
        <v>52</v>
      </c>
      <c r="AG4" s="27" t="s">
        <v>53</v>
      </c>
      <c r="AH4" s="27" t="s">
        <v>54</v>
      </c>
      <c r="AI4" s="29" t="s">
        <v>55</v>
      </c>
      <c r="AJ4" s="27" t="s">
        <v>56</v>
      </c>
      <c r="AK4" s="27" t="s">
        <v>57</v>
      </c>
      <c r="AL4" s="27" t="s">
        <v>58</v>
      </c>
      <c r="AM4" s="29" t="s">
        <v>59</v>
      </c>
      <c r="AN4" s="21"/>
      <c r="AO4" s="27" t="s">
        <v>60</v>
      </c>
      <c r="AP4" s="27" t="s">
        <v>61</v>
      </c>
      <c r="AQ4" s="21"/>
    </row>
    <row r="5" ht="15.0" customHeight="1">
      <c r="A5" s="31">
        <v>1.0</v>
      </c>
      <c r="B5" s="32">
        <v>10.0</v>
      </c>
      <c r="C5" s="34">
        <v>1.0</v>
      </c>
      <c r="D5" s="35">
        <v>10.0</v>
      </c>
      <c r="E5" s="32">
        <v>10.0</v>
      </c>
      <c r="F5" s="34">
        <v>1.0</v>
      </c>
      <c r="G5" s="35">
        <v>10.0</v>
      </c>
      <c r="H5" s="32">
        <v>10.0</v>
      </c>
      <c r="I5" s="34">
        <v>1.0</v>
      </c>
      <c r="J5" s="35">
        <v>10.0</v>
      </c>
      <c r="K5" s="32">
        <v>10.0</v>
      </c>
      <c r="L5" s="34">
        <v>1.0</v>
      </c>
      <c r="M5" s="35">
        <v>10.0</v>
      </c>
      <c r="N5" s="32">
        <v>10.0</v>
      </c>
      <c r="O5" s="34">
        <v>1.0</v>
      </c>
      <c r="P5" s="35">
        <v>10.0</v>
      </c>
      <c r="Q5" s="5"/>
      <c r="R5" s="39" t="str">
        <f>IFERROR(__xludf.DUMMYFUNCTION("LET(
  names, HSTACK(""Coins"", AB$4:AL$4),
  amounts, HSTACK(D5, AB5:AL5),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40">
        <f>IFERROR(__xludf.DUMMYFUNCTION("""COMPUTED_VALUE"""),10.0)</f>
        <v>10</v>
      </c>
      <c r="T5" s="41" t="str">
        <f>IFERROR(__xludf.DUMMYFUNCTION("""COMPUTED_VALUE"""),"")</f>
        <v/>
      </c>
      <c r="U5" s="40">
        <f>IFERROR(__xludf.DUMMYFUNCTION("""COMPUTED_VALUE"""),15.0)</f>
        <v>15</v>
      </c>
      <c r="V5" s="41"/>
      <c r="W5" s="42"/>
      <c r="X5" s="5"/>
      <c r="Y5" s="43">
        <v>15.0</v>
      </c>
      <c r="Z5" s="44">
        <v>10.0</v>
      </c>
      <c r="AA5" s="5"/>
      <c r="AB5" s="45">
        <v>0.0</v>
      </c>
      <c r="AC5" s="46">
        <v>0.0</v>
      </c>
      <c r="AD5" s="47">
        <v>0.0</v>
      </c>
      <c r="AE5" s="47">
        <v>0.0</v>
      </c>
      <c r="AF5" s="47">
        <v>0.0</v>
      </c>
      <c r="AG5" s="47">
        <v>0.0</v>
      </c>
      <c r="AH5" s="47">
        <v>0.0</v>
      </c>
      <c r="AI5" s="48">
        <v>15.0</v>
      </c>
      <c r="AJ5" s="47">
        <v>0.0</v>
      </c>
      <c r="AK5" s="47">
        <v>0.0</v>
      </c>
      <c r="AL5" s="49">
        <v>0.0</v>
      </c>
      <c r="AM5" s="60">
        <f t="shared" ref="AM5:AM14" si="1">SUMPRODUCT(AB5:AL5, {0,33,50,67,167,67,50,4.17,7.56,12.17,16.22})</f>
        <v>62.55</v>
      </c>
      <c r="AN5" s="5">
        <v>100.0</v>
      </c>
      <c r="AO5" s="61" t="s">
        <v>76</v>
      </c>
      <c r="AP5" s="15"/>
      <c r="AQ5" s="5">
        <f t="shared" ref="AQ5:AQ14" si="2">AM5-AN5</f>
        <v>-37.45</v>
      </c>
    </row>
    <row r="6" ht="15.0" customHeight="1">
      <c r="A6" s="64">
        <v>2.0</v>
      </c>
      <c r="B6" s="53">
        <v>10.0</v>
      </c>
      <c r="C6" s="67">
        <v>1.0</v>
      </c>
      <c r="D6" s="55">
        <v>0.0</v>
      </c>
      <c r="E6" s="53">
        <v>10.0</v>
      </c>
      <c r="F6" s="67">
        <v>1.0</v>
      </c>
      <c r="G6" s="55">
        <v>0.0</v>
      </c>
      <c r="H6" s="53">
        <v>10.0</v>
      </c>
      <c r="I6" s="67">
        <v>1.0</v>
      </c>
      <c r="J6" s="55">
        <v>0.0</v>
      </c>
      <c r="K6" s="53">
        <v>10.0</v>
      </c>
      <c r="L6" s="67">
        <v>1.0</v>
      </c>
      <c r="M6" s="55">
        <v>0.0</v>
      </c>
      <c r="N6" s="53">
        <v>10.0</v>
      </c>
      <c r="O6" s="67">
        <v>1.0</v>
      </c>
      <c r="P6" s="55">
        <v>0.0</v>
      </c>
      <c r="Q6" s="5"/>
      <c r="R6" s="39" t="str">
        <f>IFERROR(__xludf.DUMMYFUNCTION("LET(
  names, HSTACK(""Coins"", AB$4:AL$4),
  amounts, HSTACK(D6, AB6:AL6),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40">
        <f>IFERROR(__xludf.DUMMYFUNCTION("""COMPUTED_VALUE"""),1.0)</f>
        <v>1</v>
      </c>
      <c r="T6" s="41" t="str">
        <f>IFERROR(__xludf.DUMMYFUNCTION("""COMPUTED_VALUE"""),"")</f>
        <v/>
      </c>
      <c r="U6" s="40">
        <f>IFERROR(__xludf.DUMMYFUNCTION("""COMPUTED_VALUE"""),15.0)</f>
        <v>15</v>
      </c>
      <c r="V6" s="41"/>
      <c r="W6" s="42"/>
      <c r="X6" s="5"/>
      <c r="Y6" s="43">
        <v>15.0</v>
      </c>
      <c r="Z6" s="44">
        <v>10.0</v>
      </c>
      <c r="AA6" s="5"/>
      <c r="AB6" s="56">
        <v>0.0</v>
      </c>
      <c r="AC6" s="48">
        <v>1.0</v>
      </c>
      <c r="AD6" s="57">
        <v>0.0</v>
      </c>
      <c r="AE6" s="48">
        <v>0.0</v>
      </c>
      <c r="AF6" s="48">
        <v>0.0</v>
      </c>
      <c r="AG6" s="48">
        <v>0.0</v>
      </c>
      <c r="AH6" s="48">
        <v>0.0</v>
      </c>
      <c r="AI6" s="48">
        <v>15.0</v>
      </c>
      <c r="AJ6" s="48">
        <v>0.0</v>
      </c>
      <c r="AK6" s="48">
        <v>0.0</v>
      </c>
      <c r="AL6" s="58">
        <v>0.0</v>
      </c>
      <c r="AM6" s="60">
        <f t="shared" si="1"/>
        <v>95.55</v>
      </c>
      <c r="AN6" s="5">
        <v>112.55</v>
      </c>
      <c r="AO6" s="41" t="str">
        <f t="array" ref="AO6:AO16">TRANSPOSE(AB4:AL4)</f>
        <v>SPT</v>
      </c>
      <c r="AP6" s="5"/>
      <c r="AQ6" s="5">
        <f t="shared" si="2"/>
        <v>-17</v>
      </c>
    </row>
    <row r="7" ht="15.0" customHeight="1">
      <c r="A7" s="64">
        <v>3.0</v>
      </c>
      <c r="B7" s="53">
        <v>10.0</v>
      </c>
      <c r="C7" s="67">
        <v>2.0</v>
      </c>
      <c r="D7" s="55">
        <v>10.0</v>
      </c>
      <c r="E7" s="53">
        <v>10.0</v>
      </c>
      <c r="F7" s="67">
        <v>2.0</v>
      </c>
      <c r="G7" s="55">
        <v>10.0</v>
      </c>
      <c r="H7" s="53">
        <v>10.0</v>
      </c>
      <c r="I7" s="67">
        <v>2.0</v>
      </c>
      <c r="J7" s="55">
        <v>10.0</v>
      </c>
      <c r="K7" s="53">
        <v>10.0</v>
      </c>
      <c r="L7" s="67">
        <v>2.0</v>
      </c>
      <c r="M7" s="55">
        <v>10.0</v>
      </c>
      <c r="N7" s="53">
        <v>10.0</v>
      </c>
      <c r="O7" s="67">
        <v>2.0</v>
      </c>
      <c r="P7" s="55">
        <v>10.0</v>
      </c>
      <c r="Q7" s="5"/>
      <c r="R7" s="39" t="str">
        <f>IFERROR(__xludf.DUMMYFUNCTION("LET(
  names, HSTACK(""Coins"", AB$4:AL$4),
  amounts, HSTACK(D7, AB7:AL7),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40">
        <f>IFERROR(__xludf.DUMMYFUNCTION("""COMPUTED_VALUE"""),10.0)</f>
        <v>10</v>
      </c>
      <c r="T7" s="41" t="str">
        <f>IFERROR(__xludf.DUMMYFUNCTION("""COMPUTED_VALUE"""),"")</f>
        <v/>
      </c>
      <c r="U7" s="40">
        <f>IFERROR(__xludf.DUMMYFUNCTION("""COMPUTED_VALUE"""),15.0)</f>
        <v>15</v>
      </c>
      <c r="V7" s="41"/>
      <c r="W7" s="42"/>
      <c r="X7" s="5"/>
      <c r="Y7" s="43">
        <v>15.0</v>
      </c>
      <c r="Z7" s="44">
        <v>10.0</v>
      </c>
      <c r="AA7" s="5"/>
      <c r="AB7" s="56">
        <v>0.0</v>
      </c>
      <c r="AC7" s="48">
        <v>0.0</v>
      </c>
      <c r="AD7" s="48">
        <v>0.0</v>
      </c>
      <c r="AE7" s="57">
        <v>0.0</v>
      </c>
      <c r="AF7" s="48">
        <v>0.0</v>
      </c>
      <c r="AG7" s="48">
        <v>0.0</v>
      </c>
      <c r="AH7" s="48">
        <v>0.0</v>
      </c>
      <c r="AI7" s="48">
        <v>15.0</v>
      </c>
      <c r="AJ7" s="48">
        <v>0.0</v>
      </c>
      <c r="AK7" s="48">
        <v>0.0</v>
      </c>
      <c r="AL7" s="58">
        <v>0.0</v>
      </c>
      <c r="AM7" s="60">
        <f t="shared" si="1"/>
        <v>62.55</v>
      </c>
      <c r="AN7" s="5">
        <v>95.55</v>
      </c>
      <c r="AO7" s="41" t="s">
        <v>47</v>
      </c>
      <c r="AP7" s="15"/>
      <c r="AQ7" s="5">
        <f t="shared" si="2"/>
        <v>-33</v>
      </c>
    </row>
    <row r="8">
      <c r="A8" s="64">
        <v>4.0</v>
      </c>
      <c r="B8" s="53">
        <v>10.0</v>
      </c>
      <c r="C8" s="67">
        <v>2.0</v>
      </c>
      <c r="D8" s="55">
        <v>0.0</v>
      </c>
      <c r="E8" s="53">
        <v>10.0</v>
      </c>
      <c r="F8" s="67">
        <v>2.0</v>
      </c>
      <c r="G8" s="55">
        <v>0.0</v>
      </c>
      <c r="H8" s="53">
        <v>10.0</v>
      </c>
      <c r="I8" s="67">
        <v>2.0</v>
      </c>
      <c r="J8" s="55">
        <v>0.0</v>
      </c>
      <c r="K8" s="53">
        <v>10.0</v>
      </c>
      <c r="L8" s="67">
        <v>2.0</v>
      </c>
      <c r="M8" s="55">
        <v>0.0</v>
      </c>
      <c r="N8" s="53">
        <v>10.0</v>
      </c>
      <c r="O8" s="67">
        <v>2.0</v>
      </c>
      <c r="P8" s="55">
        <v>0.0</v>
      </c>
      <c r="Q8" s="5"/>
      <c r="R8" s="39" t="str">
        <f>IFERROR(__xludf.DUMMYFUNCTION("LET(
  names, HSTACK(""Coins"", AB$4:AL$4),
  amounts, HSTACK(D8, AB8:AL8),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40">
        <f>IFERROR(__xludf.DUMMYFUNCTION("""COMPUTED_VALUE"""),1.0)</f>
        <v>1</v>
      </c>
      <c r="T8" s="41" t="str">
        <f>IFERROR(__xludf.DUMMYFUNCTION("""COMPUTED_VALUE"""),"")</f>
        <v/>
      </c>
      <c r="U8" s="40">
        <f>IFERROR(__xludf.DUMMYFUNCTION("""COMPUTED_VALUE"""),15.0)</f>
        <v>15</v>
      </c>
      <c r="V8" s="41"/>
      <c r="W8" s="42"/>
      <c r="X8" s="5"/>
      <c r="Y8" s="43">
        <v>20.0</v>
      </c>
      <c r="Z8" s="44">
        <v>10.0</v>
      </c>
      <c r="AA8" s="5"/>
      <c r="AB8" s="56">
        <v>0.0</v>
      </c>
      <c r="AC8" s="57">
        <v>0.0</v>
      </c>
      <c r="AD8" s="48">
        <v>0.0</v>
      </c>
      <c r="AE8" s="48">
        <v>0.0</v>
      </c>
      <c r="AF8" s="57">
        <v>1.0</v>
      </c>
      <c r="AG8" s="57">
        <v>0.0</v>
      </c>
      <c r="AH8" s="48">
        <v>0.0</v>
      </c>
      <c r="AI8" s="48">
        <v>15.0</v>
      </c>
      <c r="AJ8" s="48">
        <v>0.0</v>
      </c>
      <c r="AK8" s="48">
        <v>0.0</v>
      </c>
      <c r="AL8" s="58">
        <v>0.0</v>
      </c>
      <c r="AM8" s="60">
        <f t="shared" si="1"/>
        <v>229.55</v>
      </c>
      <c r="AN8" s="5">
        <v>95.55</v>
      </c>
      <c r="AO8" s="41" t="s">
        <v>48</v>
      </c>
      <c r="AP8" s="15"/>
      <c r="AQ8" s="5">
        <f t="shared" si="2"/>
        <v>134</v>
      </c>
    </row>
    <row r="9" ht="15.0" customHeight="1">
      <c r="A9" s="64">
        <v>5.0</v>
      </c>
      <c r="B9" s="53">
        <v>10.0</v>
      </c>
      <c r="C9" s="67">
        <v>2.0</v>
      </c>
      <c r="D9" s="55">
        <v>0.0</v>
      </c>
      <c r="E9" s="53">
        <v>10.0</v>
      </c>
      <c r="F9" s="67">
        <v>2.0</v>
      </c>
      <c r="G9" s="55">
        <v>0.0</v>
      </c>
      <c r="H9" s="53">
        <v>10.0</v>
      </c>
      <c r="I9" s="67">
        <v>2.0</v>
      </c>
      <c r="J9" s="55">
        <v>0.0</v>
      </c>
      <c r="K9" s="53">
        <v>10.0</v>
      </c>
      <c r="L9" s="67">
        <v>2.0</v>
      </c>
      <c r="M9" s="55">
        <v>0.0</v>
      </c>
      <c r="N9" s="53">
        <v>10.0</v>
      </c>
      <c r="O9" s="67">
        <v>2.0</v>
      </c>
      <c r="P9" s="55">
        <v>0.0</v>
      </c>
      <c r="Q9" s="5"/>
      <c r="R9" s="39" t="str">
        <f>IFERROR(__xludf.DUMMYFUNCTION("LET(
  names, HSTACK(""Coins"", AB$4:AL$4),
  amounts, HSTACK(D9, AB9:AL9),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40">
        <f>IFERROR(__xludf.DUMMYFUNCTION("""COMPUTED_VALUE"""),1.0)</f>
        <v>1</v>
      </c>
      <c r="T9" s="41" t="str">
        <f>IFERROR(__xludf.DUMMYFUNCTION("""COMPUTED_VALUE"""),"")</f>
        <v/>
      </c>
      <c r="U9" s="40">
        <f>IFERROR(__xludf.DUMMYFUNCTION("""COMPUTED_VALUE"""),15.0)</f>
        <v>15</v>
      </c>
      <c r="V9" s="41"/>
      <c r="W9" s="42"/>
      <c r="X9" s="5"/>
      <c r="Y9" s="43">
        <v>20.0</v>
      </c>
      <c r="Z9" s="44">
        <v>10.0</v>
      </c>
      <c r="AA9" s="5"/>
      <c r="AB9" s="56">
        <v>0.0</v>
      </c>
      <c r="AC9" s="48">
        <v>0.0</v>
      </c>
      <c r="AD9" s="57">
        <v>1.0</v>
      </c>
      <c r="AE9" s="57">
        <v>0.0</v>
      </c>
      <c r="AF9" s="48">
        <v>0.0</v>
      </c>
      <c r="AG9" s="48">
        <v>0.0</v>
      </c>
      <c r="AH9" s="48">
        <v>0.0</v>
      </c>
      <c r="AI9" s="48">
        <v>15.0</v>
      </c>
      <c r="AJ9" s="48">
        <v>0.0</v>
      </c>
      <c r="AK9" s="48">
        <v>0.0</v>
      </c>
      <c r="AL9" s="58">
        <v>0.0</v>
      </c>
      <c r="AM9" s="60">
        <f t="shared" si="1"/>
        <v>112.55</v>
      </c>
      <c r="AN9" s="5">
        <v>100.0</v>
      </c>
      <c r="AO9" s="41" t="s">
        <v>50</v>
      </c>
      <c r="AP9" s="15"/>
      <c r="AQ9" s="5">
        <f t="shared" si="2"/>
        <v>12.55</v>
      </c>
    </row>
    <row r="10" ht="15.0" customHeight="1">
      <c r="A10" s="64">
        <v>6.0</v>
      </c>
      <c r="B10" s="53">
        <v>10.0</v>
      </c>
      <c r="C10" s="67">
        <v>3.0</v>
      </c>
      <c r="D10" s="55">
        <v>0.0</v>
      </c>
      <c r="E10" s="53">
        <v>10.0</v>
      </c>
      <c r="F10" s="67">
        <v>3.0</v>
      </c>
      <c r="G10" s="55">
        <v>0.0</v>
      </c>
      <c r="H10" s="53">
        <v>10.0</v>
      </c>
      <c r="I10" s="67">
        <v>3.0</v>
      </c>
      <c r="J10" s="55">
        <v>0.0</v>
      </c>
      <c r="K10" s="53">
        <v>10.0</v>
      </c>
      <c r="L10" s="67">
        <v>3.0</v>
      </c>
      <c r="M10" s="55">
        <v>0.0</v>
      </c>
      <c r="N10" s="53">
        <v>10.0</v>
      </c>
      <c r="O10" s="67">
        <v>3.0</v>
      </c>
      <c r="P10" s="55">
        <v>0.0</v>
      </c>
      <c r="Q10" s="5"/>
      <c r="R10" s="39" t="str">
        <f>IFERROR(__xludf.DUMMYFUNCTION("LET(
  names, HSTACK(""Coins"", AB$4:AL$4),
  amounts, HSTACK(D10, AB10:AL10),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40">
        <f>IFERROR(__xludf.DUMMYFUNCTION("""COMPUTED_VALUE"""),1.0)</f>
        <v>1</v>
      </c>
      <c r="T10" s="41" t="str">
        <f>IFERROR(__xludf.DUMMYFUNCTION("""COMPUTED_VALUE"""),"")</f>
        <v/>
      </c>
      <c r="U10" s="85">
        <f>IFERROR(__xludf.DUMMYFUNCTION("""COMPUTED_VALUE"""),1.0)</f>
        <v>1</v>
      </c>
      <c r="V10" s="87" t="str">
        <f>IFERROR(__xludf.DUMMYFUNCTION("""COMPUTED_VALUE"""),"")</f>
        <v/>
      </c>
      <c r="W10" s="88">
        <f>IFERROR(__xludf.DUMMYFUNCTION("""COMPUTED_VALUE"""),20.0)</f>
        <v>20</v>
      </c>
      <c r="X10" s="5"/>
      <c r="Y10" s="43">
        <v>20.0</v>
      </c>
      <c r="Z10" s="44">
        <v>15.0</v>
      </c>
      <c r="AA10" s="5"/>
      <c r="AB10" s="56">
        <v>0.0</v>
      </c>
      <c r="AC10" s="48">
        <v>0.0</v>
      </c>
      <c r="AD10" s="57">
        <v>0.0</v>
      </c>
      <c r="AE10" s="57">
        <v>0.0</v>
      </c>
      <c r="AF10" s="57">
        <v>0.0</v>
      </c>
      <c r="AG10" s="57">
        <v>1.0</v>
      </c>
      <c r="AH10" s="89">
        <v>1.0</v>
      </c>
      <c r="AI10" s="48">
        <v>20.0</v>
      </c>
      <c r="AJ10" s="48">
        <v>0.0</v>
      </c>
      <c r="AK10" s="48">
        <v>0.0</v>
      </c>
      <c r="AL10" s="58">
        <v>0.0</v>
      </c>
      <c r="AM10" s="60">
        <f t="shared" si="1"/>
        <v>200.4</v>
      </c>
      <c r="AN10" s="5">
        <v>229.55</v>
      </c>
      <c r="AO10" s="41" t="s">
        <v>52</v>
      </c>
      <c r="AP10" s="15"/>
      <c r="AQ10" s="5">
        <f t="shared" si="2"/>
        <v>-29.15</v>
      </c>
    </row>
    <row r="11" ht="15.0" customHeight="1">
      <c r="A11" s="64">
        <v>7.0</v>
      </c>
      <c r="B11" s="53">
        <v>10.0</v>
      </c>
      <c r="C11" s="67">
        <v>3.0</v>
      </c>
      <c r="D11" s="55">
        <v>10.0</v>
      </c>
      <c r="E11" s="53">
        <v>10.0</v>
      </c>
      <c r="F11" s="67">
        <v>3.0</v>
      </c>
      <c r="G11" s="55">
        <v>10.0</v>
      </c>
      <c r="H11" s="53">
        <v>10.0</v>
      </c>
      <c r="I11" s="67">
        <v>3.0</v>
      </c>
      <c r="J11" s="55">
        <v>10.0</v>
      </c>
      <c r="K11" s="53">
        <v>10.0</v>
      </c>
      <c r="L11" s="67">
        <v>3.0</v>
      </c>
      <c r="M11" s="55">
        <v>10.0</v>
      </c>
      <c r="N11" s="53">
        <v>10.0</v>
      </c>
      <c r="O11" s="67">
        <v>3.0</v>
      </c>
      <c r="P11" s="55">
        <v>10.0</v>
      </c>
      <c r="Q11" s="5"/>
      <c r="R11" s="39" t="str">
        <f>IFERROR(__xludf.DUMMYFUNCTION("LET(
  names, HSTACK(""Coins"", AB$4:AL$4),
  amounts, HSTACK(D11, AB11:AL11),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40">
        <f>IFERROR(__xludf.DUMMYFUNCTION("""COMPUTED_VALUE"""),10.0)</f>
        <v>10</v>
      </c>
      <c r="T11" s="41" t="str">
        <f>IFERROR(__xludf.DUMMYFUNCTION("""COMPUTED_VALUE"""),"")</f>
        <v/>
      </c>
      <c r="U11" s="40">
        <f>IFERROR(__xludf.DUMMYFUNCTION("""COMPUTED_VALUE"""),20.0)</f>
        <v>20</v>
      </c>
      <c r="V11" s="41"/>
      <c r="W11" s="42"/>
      <c r="X11" s="5"/>
      <c r="Y11" s="43">
        <v>25.0</v>
      </c>
      <c r="Z11" s="44">
        <v>15.0</v>
      </c>
      <c r="AA11" s="5"/>
      <c r="AB11" s="56">
        <v>0.0</v>
      </c>
      <c r="AC11" s="48">
        <v>0.0</v>
      </c>
      <c r="AD11" s="48">
        <v>0.0</v>
      </c>
      <c r="AE11" s="57">
        <v>0.0</v>
      </c>
      <c r="AF11" s="48">
        <v>0.0</v>
      </c>
      <c r="AG11" s="48">
        <v>0.0</v>
      </c>
      <c r="AH11" s="48">
        <v>0.0</v>
      </c>
      <c r="AI11" s="48">
        <v>20.0</v>
      </c>
      <c r="AJ11" s="48">
        <v>0.0</v>
      </c>
      <c r="AK11" s="48">
        <v>0.0</v>
      </c>
      <c r="AL11" s="58">
        <v>0.0</v>
      </c>
      <c r="AM11" s="60">
        <f t="shared" si="1"/>
        <v>83.4</v>
      </c>
      <c r="AN11" s="5">
        <v>192.1</v>
      </c>
      <c r="AO11" s="41" t="s">
        <v>53</v>
      </c>
      <c r="AP11" s="15"/>
      <c r="AQ11" s="5">
        <f t="shared" si="2"/>
        <v>-108.7</v>
      </c>
    </row>
    <row r="12">
      <c r="A12" s="64">
        <v>8.0</v>
      </c>
      <c r="B12" s="53">
        <v>10.0</v>
      </c>
      <c r="C12" s="67">
        <v>3.0</v>
      </c>
      <c r="D12" s="55">
        <v>0.0</v>
      </c>
      <c r="E12" s="53">
        <v>10.0</v>
      </c>
      <c r="F12" s="67">
        <v>3.0</v>
      </c>
      <c r="G12" s="55">
        <v>0.0</v>
      </c>
      <c r="H12" s="53">
        <v>10.0</v>
      </c>
      <c r="I12" s="67">
        <v>3.0</v>
      </c>
      <c r="J12" s="55">
        <v>0.0</v>
      </c>
      <c r="K12" s="53">
        <v>10.0</v>
      </c>
      <c r="L12" s="67">
        <v>3.0</v>
      </c>
      <c r="M12" s="55">
        <v>0.0</v>
      </c>
      <c r="N12" s="53">
        <v>10.0</v>
      </c>
      <c r="O12" s="67">
        <v>3.0</v>
      </c>
      <c r="P12" s="55">
        <v>0.0</v>
      </c>
      <c r="Q12" s="5"/>
      <c r="R12" s="39" t="str">
        <f>IFERROR(__xludf.DUMMYFUNCTION("LET(
  names, HSTACK(""Coins"", AB$4:AL$4),
  amounts, HSTACK(D12, AB12:AL12),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40">
        <f>IFERROR(__xludf.DUMMYFUNCTION("""COMPUTED_VALUE"""),1.0)</f>
        <v>1</v>
      </c>
      <c r="T12" s="41" t="str">
        <f>IFERROR(__xludf.DUMMYFUNCTION("""COMPUTED_VALUE"""),"")</f>
        <v/>
      </c>
      <c r="U12" s="40">
        <f>IFERROR(__xludf.DUMMYFUNCTION("""COMPUTED_VALUE"""),30.0)</f>
        <v>30</v>
      </c>
      <c r="V12" s="41"/>
      <c r="W12" s="42"/>
      <c r="X12" s="5"/>
      <c r="Y12" s="43">
        <v>25.0</v>
      </c>
      <c r="Z12" s="44">
        <v>15.0</v>
      </c>
      <c r="AA12" s="5"/>
      <c r="AB12" s="56">
        <v>0.0</v>
      </c>
      <c r="AC12" s="48">
        <v>0.0</v>
      </c>
      <c r="AD12" s="57">
        <v>0.0</v>
      </c>
      <c r="AE12" s="57">
        <v>1.0</v>
      </c>
      <c r="AF12" s="57">
        <v>0.0</v>
      </c>
      <c r="AG12" s="48">
        <v>0.0</v>
      </c>
      <c r="AH12" s="48">
        <v>0.0</v>
      </c>
      <c r="AI12" s="48">
        <v>30.0</v>
      </c>
      <c r="AJ12" s="48">
        <v>0.0</v>
      </c>
      <c r="AK12" s="48">
        <v>0.0</v>
      </c>
      <c r="AL12" s="58">
        <v>0.0</v>
      </c>
      <c r="AM12" s="60">
        <f t="shared" si="1"/>
        <v>192.1</v>
      </c>
      <c r="AN12" s="5">
        <v>217.0</v>
      </c>
      <c r="AO12" s="41" t="s">
        <v>54</v>
      </c>
      <c r="AP12" s="15"/>
      <c r="AQ12" s="5">
        <f t="shared" si="2"/>
        <v>-24.9</v>
      </c>
    </row>
    <row r="13" ht="15.0" customHeight="1">
      <c r="A13" s="64">
        <v>9.0</v>
      </c>
      <c r="B13" s="53">
        <v>10.0</v>
      </c>
      <c r="C13" s="67">
        <v>3.0</v>
      </c>
      <c r="D13" s="55">
        <v>10.0</v>
      </c>
      <c r="E13" s="53">
        <v>10.0</v>
      </c>
      <c r="F13" s="67">
        <v>3.0</v>
      </c>
      <c r="G13" s="55">
        <v>10.0</v>
      </c>
      <c r="H13" s="53">
        <v>10.0</v>
      </c>
      <c r="I13" s="67">
        <v>3.0</v>
      </c>
      <c r="J13" s="55">
        <v>10.0</v>
      </c>
      <c r="K13" s="53">
        <v>10.0</v>
      </c>
      <c r="L13" s="67">
        <v>3.0</v>
      </c>
      <c r="M13" s="55">
        <v>10.0</v>
      </c>
      <c r="N13" s="53">
        <v>10.0</v>
      </c>
      <c r="O13" s="67">
        <v>3.0</v>
      </c>
      <c r="P13" s="55">
        <v>10.0</v>
      </c>
      <c r="Q13" s="5"/>
      <c r="R13" s="39" t="str">
        <f>IFERROR(__xludf.DUMMYFUNCTION("LET(
  names, HSTACK(""Coins"", AB$4:AL$4),
  amounts, HSTACK(D13, AB13:AL13),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40">
        <f>IFERROR(__xludf.DUMMYFUNCTION("""COMPUTED_VALUE"""),10.0)</f>
        <v>10</v>
      </c>
      <c r="T13" s="41" t="str">
        <f>IFERROR(__xludf.DUMMYFUNCTION("""COMPUTED_VALUE"""),"")</f>
        <v/>
      </c>
      <c r="U13" s="40">
        <f>IFERROR(__xludf.DUMMYFUNCTION("""COMPUTED_VALUE"""),60.0)</f>
        <v>60</v>
      </c>
      <c r="V13" s="41"/>
      <c r="W13" s="42"/>
      <c r="X13" s="5"/>
      <c r="Y13" s="43">
        <v>25.0</v>
      </c>
      <c r="Z13" s="44">
        <v>15.0</v>
      </c>
      <c r="AA13" s="5"/>
      <c r="AB13" s="56">
        <v>0.0</v>
      </c>
      <c r="AC13" s="48">
        <v>0.0</v>
      </c>
      <c r="AD13" s="48">
        <v>0.0</v>
      </c>
      <c r="AE13" s="48">
        <v>0.0</v>
      </c>
      <c r="AF13" s="48">
        <v>0.0</v>
      </c>
      <c r="AG13" s="57">
        <v>0.0</v>
      </c>
      <c r="AH13" s="48">
        <v>0.0</v>
      </c>
      <c r="AI13" s="48">
        <v>60.0</v>
      </c>
      <c r="AJ13" s="48">
        <v>0.0</v>
      </c>
      <c r="AK13" s="48">
        <v>0.0</v>
      </c>
      <c r="AL13" s="58">
        <v>0.0</v>
      </c>
      <c r="AM13" s="60">
        <f t="shared" si="1"/>
        <v>250.2</v>
      </c>
      <c r="AN13" s="5">
        <v>300.2</v>
      </c>
      <c r="AO13" s="41" t="s">
        <v>55</v>
      </c>
      <c r="AP13" s="15"/>
      <c r="AQ13" s="5">
        <f t="shared" si="2"/>
        <v>-50</v>
      </c>
    </row>
    <row r="14" ht="15.0" customHeight="1">
      <c r="A14" s="108">
        <v>10.0</v>
      </c>
      <c r="B14" s="76">
        <v>10.0</v>
      </c>
      <c r="C14" s="110">
        <v>4.0</v>
      </c>
      <c r="D14" s="78">
        <v>20.0</v>
      </c>
      <c r="E14" s="76">
        <v>10.0</v>
      </c>
      <c r="F14" s="110">
        <v>4.0</v>
      </c>
      <c r="G14" s="78">
        <v>20.0</v>
      </c>
      <c r="H14" s="76">
        <v>10.0</v>
      </c>
      <c r="I14" s="110">
        <v>4.0</v>
      </c>
      <c r="J14" s="78">
        <v>20.0</v>
      </c>
      <c r="K14" s="76">
        <v>10.0</v>
      </c>
      <c r="L14" s="110">
        <v>4.0</v>
      </c>
      <c r="M14" s="78">
        <v>20.0</v>
      </c>
      <c r="N14" s="76">
        <v>10.0</v>
      </c>
      <c r="O14" s="110">
        <v>4.0</v>
      </c>
      <c r="P14" s="78">
        <v>20.0</v>
      </c>
      <c r="Q14" s="5"/>
      <c r="R14" s="39" t="str">
        <f>IFERROR(__xludf.DUMMYFUNCTION("LET(
  names, HSTACK(""Coins"", AB$4:AL$4),
  amounts, HSTACK(D14, AB14:AL14),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40">
        <f>IFERROR(__xludf.DUMMYFUNCTION("""COMPUTED_VALUE"""),20.0)</f>
        <v>20</v>
      </c>
      <c r="T14" s="41" t="str">
        <f>IFERROR(__xludf.DUMMYFUNCTION("""COMPUTED_VALUE"""),"")</f>
        <v/>
      </c>
      <c r="U14" s="85">
        <f>IFERROR(__xludf.DUMMYFUNCTION("""COMPUTED_VALUE"""),1.0)</f>
        <v>1</v>
      </c>
      <c r="V14" s="87" t="str">
        <f>IFERROR(__xludf.DUMMYFUNCTION("""COMPUTED_VALUE"""),"")</f>
        <v/>
      </c>
      <c r="W14" s="88">
        <f>IFERROR(__xludf.DUMMYFUNCTION("""COMPUTED_VALUE"""),60.0)</f>
        <v>60</v>
      </c>
      <c r="X14" s="5"/>
      <c r="Y14" s="43">
        <v>30.0</v>
      </c>
      <c r="Z14" s="44">
        <v>20.0</v>
      </c>
      <c r="AA14" s="5"/>
      <c r="AB14" s="79">
        <v>0.0</v>
      </c>
      <c r="AC14" s="80">
        <v>0.0</v>
      </c>
      <c r="AD14" s="80">
        <v>0.0</v>
      </c>
      <c r="AE14" s="118">
        <v>1.0</v>
      </c>
      <c r="AF14" s="80">
        <v>0.0</v>
      </c>
      <c r="AG14" s="80">
        <v>0.0</v>
      </c>
      <c r="AH14" s="81">
        <v>0.0</v>
      </c>
      <c r="AI14" s="80">
        <v>60.0</v>
      </c>
      <c r="AJ14" s="80">
        <v>0.0</v>
      </c>
      <c r="AK14" s="80">
        <v>0.0</v>
      </c>
      <c r="AL14" s="82">
        <v>0.0</v>
      </c>
      <c r="AM14" s="60">
        <f t="shared" si="1"/>
        <v>317.2</v>
      </c>
      <c r="AN14" s="5">
        <v>117.0</v>
      </c>
      <c r="AO14" s="41" t="s">
        <v>56</v>
      </c>
      <c r="AP14" s="15"/>
      <c r="AQ14" s="5">
        <f t="shared" si="2"/>
        <v>200.2</v>
      </c>
    </row>
    <row r="15" ht="15.0" customHeight="1">
      <c r="A15" s="5"/>
      <c r="B15" s="5"/>
      <c r="C15" s="7"/>
      <c r="D15" s="5"/>
      <c r="E15" s="5"/>
      <c r="F15" s="7"/>
      <c r="G15" s="5"/>
      <c r="H15" s="5"/>
      <c r="I15" s="7"/>
      <c r="J15" s="5"/>
      <c r="K15" s="5"/>
      <c r="L15" s="7"/>
      <c r="M15" s="5"/>
      <c r="N15" s="5"/>
      <c r="O15" s="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87" t="s">
        <v>57</v>
      </c>
      <c r="AP15" s="15"/>
      <c r="AQ15" s="5"/>
    </row>
    <row r="16" ht="15.0" customHeight="1">
      <c r="A16" s="125" t="s">
        <v>93</v>
      </c>
      <c r="B16" s="84">
        <f>SUM(B5:B14)</f>
        <v>100</v>
      </c>
      <c r="C16" s="127"/>
      <c r="D16" s="84">
        <f t="shared" ref="D16:E16" si="3">SUM(D5:D14)</f>
        <v>60</v>
      </c>
      <c r="E16" s="84">
        <f t="shared" si="3"/>
        <v>100</v>
      </c>
      <c r="F16" s="127"/>
      <c r="G16" s="84">
        <f t="shared" ref="G16:H16" si="4">SUM(G5:G14)</f>
        <v>60</v>
      </c>
      <c r="H16" s="84">
        <f t="shared" si="4"/>
        <v>100</v>
      </c>
      <c r="I16" s="127"/>
      <c r="J16" s="84">
        <f t="shared" ref="J16:K16" si="5">SUM(J5:J14)</f>
        <v>60</v>
      </c>
      <c r="K16" s="84">
        <f t="shared" si="5"/>
        <v>100</v>
      </c>
      <c r="L16" s="127"/>
      <c r="M16" s="84">
        <f t="shared" ref="M16:N16" si="6">SUM(M5:M14)</f>
        <v>60</v>
      </c>
      <c r="N16" s="84">
        <f t="shared" si="6"/>
        <v>100</v>
      </c>
      <c r="O16" s="127"/>
      <c r="P16" s="84">
        <f>SUM(P5:P14)</f>
        <v>60</v>
      </c>
      <c r="Q16" s="5"/>
      <c r="R16" s="5"/>
      <c r="S16" s="5"/>
      <c r="T16" s="5"/>
      <c r="U16" s="5"/>
      <c r="V16" s="5"/>
      <c r="W16" s="5"/>
      <c r="X16" s="5"/>
      <c r="Y16" s="132">
        <f t="shared" ref="Y16:Z16" si="7">SUM(Y5:Y14)</f>
        <v>210</v>
      </c>
      <c r="Z16" s="132">
        <f t="shared" si="7"/>
        <v>130</v>
      </c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136" t="s">
        <v>58</v>
      </c>
      <c r="AP16" s="15"/>
      <c r="AQ16" s="5"/>
    </row>
    <row r="17" ht="15.0" customHeight="1">
      <c r="A17" s="125" t="s">
        <v>95</v>
      </c>
      <c r="B17" s="5"/>
      <c r="C17" s="137"/>
      <c r="D17" s="92">
        <f>D16/B16</f>
        <v>0.6</v>
      </c>
      <c r="E17" s="5"/>
      <c r="F17" s="137"/>
      <c r="G17" s="92">
        <f>G16/E16</f>
        <v>0.6</v>
      </c>
      <c r="H17" s="5"/>
      <c r="I17" s="137"/>
      <c r="J17" s="92">
        <f>J16/H16</f>
        <v>0.6</v>
      </c>
      <c r="K17" s="5"/>
      <c r="L17" s="137"/>
      <c r="M17" s="92">
        <f>M16/K16</f>
        <v>0.6</v>
      </c>
      <c r="N17" s="5"/>
      <c r="O17" s="137"/>
      <c r="P17" s="92">
        <f>P16/N16</f>
        <v>0.6</v>
      </c>
      <c r="Q17" s="5"/>
      <c r="R17" s="5"/>
      <c r="S17" s="5"/>
      <c r="T17" s="5"/>
      <c r="U17" s="5"/>
      <c r="V17" s="5"/>
      <c r="W17" s="5"/>
      <c r="X17" s="5"/>
      <c r="Y17" s="140">
        <f t="shared" ref="Y17:Z17" si="8">Y16/$N$16</f>
        <v>2.1</v>
      </c>
      <c r="Z17" s="140">
        <f t="shared" si="8"/>
        <v>1.3</v>
      </c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ht="15.0" customHeight="1">
      <c r="A18" s="5"/>
      <c r="B18" s="5"/>
      <c r="C18" s="7"/>
      <c r="D18" s="5"/>
      <c r="E18" s="5"/>
      <c r="F18" s="7"/>
      <c r="G18" s="5"/>
      <c r="H18" s="5"/>
      <c r="I18" s="7"/>
      <c r="J18" s="5"/>
      <c r="K18" s="5"/>
      <c r="L18" s="7"/>
      <c r="M18" s="5"/>
      <c r="N18" s="5"/>
      <c r="O18" s="7"/>
      <c r="P18" s="5"/>
      <c r="Q18" s="5"/>
      <c r="R18" s="5"/>
      <c r="S18" s="5"/>
      <c r="T18" s="5"/>
      <c r="U18" s="5"/>
      <c r="V18" s="5"/>
      <c r="W18" s="5"/>
      <c r="X18" s="5"/>
      <c r="Y18" s="141"/>
      <c r="Z18" s="141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</row>
    <row r="19" ht="15.0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142" t="str">
        <f t="shared" ref="Y19:Z19" si="9">Y16/saga_progression_old!$C$15</f>
        <v>#REF!</v>
      </c>
      <c r="Z19" s="142" t="str">
        <f t="shared" si="9"/>
        <v>#REF!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</row>
    <row r="20" ht="15.0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</row>
    <row r="28" ht="15.75" customHeight="1">
      <c r="A28" s="5"/>
      <c r="B28" s="5"/>
      <c r="C28" s="5"/>
      <c r="D28" s="136"/>
      <c r="E28" s="136"/>
      <c r="F28" s="5"/>
      <c r="G28" s="136"/>
      <c r="H28" s="136"/>
      <c r="I28" s="5"/>
      <c r="J28" s="136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</row>
    <row r="32" ht="15.75" customHeight="1">
      <c r="A32" s="5"/>
      <c r="B32" s="5"/>
      <c r="C32" s="5"/>
      <c r="D32" s="13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</row>
    <row r="34" ht="15.75" customHeight="1">
      <c r="A34" s="5"/>
      <c r="B34" s="5"/>
      <c r="C34" s="7"/>
      <c r="D34" s="136"/>
      <c r="E34" s="5"/>
      <c r="F34" s="7"/>
      <c r="G34" s="5"/>
      <c r="H34" s="5"/>
      <c r="I34" s="7"/>
      <c r="J34" s="5"/>
      <c r="K34" s="5"/>
      <c r="L34" s="7"/>
      <c r="M34" s="5"/>
      <c r="N34" s="5"/>
      <c r="O34" s="7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</row>
    <row r="35" ht="15.75" customHeight="1">
      <c r="A35" s="5"/>
      <c r="B35" s="5"/>
      <c r="C35" s="7"/>
      <c r="D35" s="136"/>
      <c r="E35" s="5"/>
      <c r="F35" s="7"/>
      <c r="G35" s="5"/>
      <c r="H35" s="5"/>
      <c r="I35" s="7"/>
      <c r="J35" s="5"/>
      <c r="K35" s="5"/>
      <c r="L35" s="7"/>
      <c r="M35" s="5"/>
      <c r="N35" s="5"/>
      <c r="O35" s="7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</row>
    <row r="36" ht="15.75" customHeight="1">
      <c r="A36" s="5"/>
      <c r="B36" s="5"/>
      <c r="C36" s="7"/>
      <c r="D36" s="5"/>
      <c r="E36" s="5"/>
      <c r="F36" s="7"/>
      <c r="G36" s="5"/>
      <c r="H36" s="5"/>
      <c r="I36" s="7"/>
      <c r="J36" s="5"/>
      <c r="K36" s="5"/>
      <c r="L36" s="7"/>
      <c r="M36" s="5"/>
      <c r="N36" s="5"/>
      <c r="O36" s="7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</row>
    <row r="37" ht="15.75" customHeight="1">
      <c r="A37" s="5"/>
      <c r="B37" s="5"/>
      <c r="C37" s="7"/>
      <c r="D37" s="136"/>
      <c r="E37" s="5"/>
      <c r="F37" s="7"/>
      <c r="G37" s="5"/>
      <c r="H37" s="5"/>
      <c r="I37" s="7"/>
      <c r="J37" s="5"/>
      <c r="K37" s="5"/>
      <c r="L37" s="7"/>
      <c r="M37" s="5"/>
      <c r="N37" s="5"/>
      <c r="O37" s="7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</row>
    <row r="38" ht="15.75" customHeight="1">
      <c r="A38" s="4"/>
      <c r="B38" s="4"/>
      <c r="C38" s="8"/>
      <c r="D38" s="4"/>
      <c r="E38" s="4"/>
      <c r="F38" s="8"/>
      <c r="G38" s="4"/>
      <c r="H38" s="4"/>
      <c r="I38" s="8"/>
      <c r="J38" s="4"/>
      <c r="K38" s="4"/>
      <c r="L38" s="8"/>
      <c r="M38" s="4"/>
      <c r="N38" s="4"/>
      <c r="O38" s="8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</row>
    <row r="39" ht="15.75" customHeight="1">
      <c r="A39" s="4"/>
      <c r="B39" s="4"/>
      <c r="C39" s="8"/>
      <c r="D39" s="4"/>
      <c r="E39" s="4"/>
      <c r="F39" s="8"/>
      <c r="G39" s="4"/>
      <c r="H39" s="4"/>
      <c r="I39" s="8"/>
      <c r="J39" s="4"/>
      <c r="K39" s="4"/>
      <c r="L39" s="8"/>
      <c r="M39" s="4"/>
      <c r="N39" s="4"/>
      <c r="O39" s="8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ht="15.75" customHeight="1">
      <c r="A40" s="4"/>
      <c r="B40" s="4"/>
      <c r="C40" s="8"/>
      <c r="D40" s="4"/>
      <c r="E40" s="4"/>
      <c r="F40" s="8"/>
      <c r="G40" s="4"/>
      <c r="H40" s="4"/>
      <c r="I40" s="8"/>
      <c r="J40" s="4"/>
      <c r="K40" s="4"/>
      <c r="L40" s="8"/>
      <c r="M40" s="4"/>
      <c r="N40" s="4"/>
      <c r="O40" s="8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ht="15.75" customHeight="1">
      <c r="A41" s="4"/>
      <c r="B41" s="4"/>
      <c r="C41" s="8"/>
      <c r="D41" s="4"/>
      <c r="E41" s="4"/>
      <c r="F41" s="8"/>
      <c r="G41" s="4"/>
      <c r="H41" s="4"/>
      <c r="I41" s="8"/>
      <c r="J41" s="4"/>
      <c r="K41" s="4"/>
      <c r="L41" s="8"/>
      <c r="M41" s="4"/>
      <c r="N41" s="4"/>
      <c r="O41" s="8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ht="15.75" customHeight="1">
      <c r="A42" s="4"/>
      <c r="B42" s="4"/>
      <c r="C42" s="8"/>
      <c r="D42" s="4"/>
      <c r="E42" s="4"/>
      <c r="F42" s="8"/>
      <c r="G42" s="4"/>
      <c r="H42" s="4"/>
      <c r="I42" s="8"/>
      <c r="J42" s="4"/>
      <c r="K42" s="4"/>
      <c r="L42" s="8"/>
      <c r="M42" s="4"/>
      <c r="N42" s="4"/>
      <c r="O42" s="8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ht="15.75" customHeight="1">
      <c r="A43" s="4"/>
      <c r="B43" s="4"/>
      <c r="C43" s="8"/>
      <c r="D43" s="4"/>
      <c r="E43" s="4"/>
      <c r="F43" s="8"/>
      <c r="G43" s="4"/>
      <c r="H43" s="4"/>
      <c r="I43" s="8"/>
      <c r="J43" s="4"/>
      <c r="K43" s="4"/>
      <c r="L43" s="8"/>
      <c r="M43" s="4"/>
      <c r="N43" s="4"/>
      <c r="O43" s="8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ht="15.75" customHeight="1">
      <c r="A44" s="4"/>
      <c r="B44" s="4"/>
      <c r="C44" s="8"/>
      <c r="D44" s="4"/>
      <c r="E44" s="4"/>
      <c r="F44" s="8"/>
      <c r="G44" s="4"/>
      <c r="H44" s="4"/>
      <c r="I44" s="8"/>
      <c r="J44" s="4"/>
      <c r="K44" s="4"/>
      <c r="L44" s="8"/>
      <c r="M44" s="4"/>
      <c r="N44" s="4"/>
      <c r="O44" s="8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ht="15.75" customHeight="1">
      <c r="A45" s="4"/>
      <c r="B45" s="4"/>
      <c r="C45" s="8"/>
      <c r="D45" s="4"/>
      <c r="E45" s="4"/>
      <c r="F45" s="8"/>
      <c r="G45" s="4"/>
      <c r="H45" s="4"/>
      <c r="I45" s="8"/>
      <c r="J45" s="4"/>
      <c r="K45" s="4"/>
      <c r="L45" s="8"/>
      <c r="M45" s="4"/>
      <c r="N45" s="4"/>
      <c r="O45" s="8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ht="15.75" customHeight="1">
      <c r="A46" s="4"/>
      <c r="B46" s="4"/>
      <c r="C46" s="8"/>
      <c r="D46" s="4"/>
      <c r="E46" s="4"/>
      <c r="F46" s="8"/>
      <c r="G46" s="4"/>
      <c r="H46" s="4"/>
      <c r="I46" s="8"/>
      <c r="J46" s="4"/>
      <c r="K46" s="4"/>
      <c r="L46" s="8"/>
      <c r="M46" s="4"/>
      <c r="N46" s="4"/>
      <c r="O46" s="8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ht="15.75" customHeight="1">
      <c r="A47" s="4"/>
      <c r="B47" s="4"/>
      <c r="C47" s="8"/>
      <c r="D47" s="4"/>
      <c r="E47" s="4"/>
      <c r="F47" s="8"/>
      <c r="G47" s="4"/>
      <c r="H47" s="4"/>
      <c r="I47" s="8"/>
      <c r="J47" s="4"/>
      <c r="K47" s="4"/>
      <c r="L47" s="8"/>
      <c r="M47" s="4"/>
      <c r="N47" s="4"/>
      <c r="O47" s="8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</row>
    <row r="48" ht="15.75" customHeight="1">
      <c r="A48" s="4"/>
      <c r="B48" s="4"/>
      <c r="C48" s="8"/>
      <c r="D48" s="4"/>
      <c r="E48" s="4"/>
      <c r="F48" s="8"/>
      <c r="G48" s="4"/>
      <c r="H48" s="4"/>
      <c r="I48" s="8"/>
      <c r="J48" s="4"/>
      <c r="K48" s="4"/>
      <c r="L48" s="8"/>
      <c r="M48" s="4"/>
      <c r="N48" s="4"/>
      <c r="O48" s="8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</row>
    <row r="49" ht="15.75" customHeight="1">
      <c r="A49" s="4"/>
      <c r="B49" s="4"/>
      <c r="C49" s="8"/>
      <c r="D49" s="4"/>
      <c r="E49" s="4"/>
      <c r="F49" s="8"/>
      <c r="G49" s="4"/>
      <c r="H49" s="4"/>
      <c r="I49" s="8"/>
      <c r="J49" s="4"/>
      <c r="K49" s="4"/>
      <c r="L49" s="8"/>
      <c r="M49" s="4"/>
      <c r="N49" s="4"/>
      <c r="O49" s="8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ht="15.75" customHeight="1">
      <c r="A50" s="4"/>
      <c r="B50" s="4"/>
      <c r="C50" s="8"/>
      <c r="D50" s="4"/>
      <c r="E50" s="4"/>
      <c r="F50" s="8"/>
      <c r="G50" s="4"/>
      <c r="H50" s="4"/>
      <c r="I50" s="8"/>
      <c r="J50" s="4"/>
      <c r="K50" s="4"/>
      <c r="L50" s="8"/>
      <c r="M50" s="4"/>
      <c r="N50" s="4"/>
      <c r="O50" s="8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ht="15.75" customHeight="1">
      <c r="A51" s="4"/>
      <c r="B51" s="4"/>
      <c r="C51" s="8"/>
      <c r="D51" s="4"/>
      <c r="E51" s="4"/>
      <c r="F51" s="8"/>
      <c r="G51" s="4"/>
      <c r="H51" s="4"/>
      <c r="I51" s="8"/>
      <c r="J51" s="4"/>
      <c r="K51" s="4"/>
      <c r="L51" s="8"/>
      <c r="M51" s="4"/>
      <c r="N51" s="4"/>
      <c r="O51" s="8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ht="15.75" customHeight="1">
      <c r="A52" s="4"/>
      <c r="B52" s="4"/>
      <c r="C52" s="8"/>
      <c r="D52" s="4"/>
      <c r="E52" s="4"/>
      <c r="F52" s="8"/>
      <c r="G52" s="4"/>
      <c r="H52" s="4"/>
      <c r="I52" s="8"/>
      <c r="J52" s="4"/>
      <c r="K52" s="4"/>
      <c r="L52" s="8"/>
      <c r="M52" s="4"/>
      <c r="N52" s="4"/>
      <c r="O52" s="8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</row>
    <row r="53" ht="15.75" customHeight="1">
      <c r="A53" s="4"/>
      <c r="B53" s="4"/>
      <c r="C53" s="8"/>
      <c r="D53" s="4"/>
      <c r="E53" s="4"/>
      <c r="F53" s="8"/>
      <c r="G53" s="4"/>
      <c r="H53" s="4"/>
      <c r="I53" s="8"/>
      <c r="J53" s="4"/>
      <c r="K53" s="4"/>
      <c r="L53" s="8"/>
      <c r="M53" s="4"/>
      <c r="N53" s="4"/>
      <c r="O53" s="8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</row>
    <row r="54" ht="15.75" customHeight="1">
      <c r="A54" s="4"/>
      <c r="B54" s="4"/>
      <c r="C54" s="8"/>
      <c r="D54" s="4"/>
      <c r="E54" s="4"/>
      <c r="F54" s="8"/>
      <c r="G54" s="4"/>
      <c r="H54" s="4"/>
      <c r="I54" s="8"/>
      <c r="J54" s="4"/>
      <c r="K54" s="4"/>
      <c r="L54" s="8"/>
      <c r="M54" s="4"/>
      <c r="N54" s="4"/>
      <c r="O54" s="8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</row>
    <row r="55" ht="15.75" customHeight="1">
      <c r="A55" s="4"/>
      <c r="B55" s="4"/>
      <c r="C55" s="8"/>
      <c r="D55" s="4"/>
      <c r="E55" s="4"/>
      <c r="F55" s="8"/>
      <c r="G55" s="4"/>
      <c r="H55" s="4"/>
      <c r="I55" s="8"/>
      <c r="J55" s="4"/>
      <c r="K55" s="4"/>
      <c r="L55" s="8"/>
      <c r="M55" s="4"/>
      <c r="N55" s="4"/>
      <c r="O55" s="8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</row>
    <row r="56" ht="15.75" customHeight="1">
      <c r="A56" s="4"/>
      <c r="B56" s="4"/>
      <c r="C56" s="8"/>
      <c r="D56" s="4"/>
      <c r="E56" s="4"/>
      <c r="F56" s="8"/>
      <c r="G56" s="4"/>
      <c r="H56" s="4"/>
      <c r="I56" s="8"/>
      <c r="J56" s="4"/>
      <c r="K56" s="4"/>
      <c r="L56" s="8"/>
      <c r="M56" s="4"/>
      <c r="N56" s="4"/>
      <c r="O56" s="8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</row>
    <row r="57" ht="15.75" customHeight="1">
      <c r="A57" s="4"/>
      <c r="B57" s="4"/>
      <c r="C57" s="8"/>
      <c r="D57" s="4"/>
      <c r="E57" s="4"/>
      <c r="F57" s="8"/>
      <c r="G57" s="4"/>
      <c r="H57" s="4"/>
      <c r="I57" s="8"/>
      <c r="J57" s="4"/>
      <c r="K57" s="4"/>
      <c r="L57" s="8"/>
      <c r="M57" s="4"/>
      <c r="N57" s="4"/>
      <c r="O57" s="8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ht="15.75" customHeight="1">
      <c r="A58" s="4"/>
      <c r="B58" s="4"/>
      <c r="C58" s="8"/>
      <c r="D58" s="4"/>
      <c r="E58" s="4"/>
      <c r="F58" s="8"/>
      <c r="G58" s="4"/>
      <c r="H58" s="4"/>
      <c r="I58" s="8"/>
      <c r="J58" s="4"/>
      <c r="K58" s="4"/>
      <c r="L58" s="8"/>
      <c r="M58" s="4"/>
      <c r="N58" s="4"/>
      <c r="O58" s="8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ht="15.75" customHeight="1">
      <c r="A59" s="4"/>
      <c r="B59" s="4"/>
      <c r="C59" s="8"/>
      <c r="D59" s="4"/>
      <c r="E59" s="4"/>
      <c r="F59" s="8"/>
      <c r="G59" s="4"/>
      <c r="H59" s="4"/>
      <c r="I59" s="8"/>
      <c r="J59" s="4"/>
      <c r="K59" s="4"/>
      <c r="L59" s="8"/>
      <c r="M59" s="4"/>
      <c r="N59" s="4"/>
      <c r="O59" s="8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ht="15.75" customHeight="1">
      <c r="A60" s="4"/>
      <c r="B60" s="4"/>
      <c r="C60" s="8"/>
      <c r="D60" s="4"/>
      <c r="E60" s="4"/>
      <c r="F60" s="8"/>
      <c r="G60" s="4"/>
      <c r="H60" s="4"/>
      <c r="I60" s="8"/>
      <c r="J60" s="4"/>
      <c r="K60" s="4"/>
      <c r="L60" s="8"/>
      <c r="M60" s="4"/>
      <c r="N60" s="4"/>
      <c r="O60" s="8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</row>
    <row r="61" ht="15.75" customHeight="1">
      <c r="A61" s="4"/>
      <c r="B61" s="4"/>
      <c r="C61" s="8"/>
      <c r="D61" s="4"/>
      <c r="E61" s="4"/>
      <c r="F61" s="8"/>
      <c r="G61" s="4"/>
      <c r="H61" s="4"/>
      <c r="I61" s="8"/>
      <c r="J61" s="4"/>
      <c r="K61" s="4"/>
      <c r="L61" s="8"/>
      <c r="M61" s="4"/>
      <c r="N61" s="4"/>
      <c r="O61" s="8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</row>
    <row r="62" ht="15.75" customHeight="1">
      <c r="A62" s="4"/>
      <c r="B62" s="4"/>
      <c r="C62" s="8"/>
      <c r="D62" s="4"/>
      <c r="E62" s="4"/>
      <c r="F62" s="8"/>
      <c r="G62" s="4"/>
      <c r="H62" s="4"/>
      <c r="I62" s="8"/>
      <c r="J62" s="4"/>
      <c r="K62" s="4"/>
      <c r="L62" s="8"/>
      <c r="M62" s="4"/>
      <c r="N62" s="4"/>
      <c r="O62" s="8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</row>
    <row r="63" ht="15.75" customHeight="1">
      <c r="A63" s="4"/>
      <c r="B63" s="4"/>
      <c r="C63" s="8"/>
      <c r="D63" s="4"/>
      <c r="E63" s="4"/>
      <c r="F63" s="8"/>
      <c r="G63" s="4"/>
      <c r="H63" s="4"/>
      <c r="I63" s="8"/>
      <c r="J63" s="4"/>
      <c r="K63" s="4"/>
      <c r="L63" s="8"/>
      <c r="M63" s="4"/>
      <c r="N63" s="4"/>
      <c r="O63" s="8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</row>
    <row r="64" ht="15.75" customHeight="1">
      <c r="A64" s="4"/>
      <c r="B64" s="4"/>
      <c r="C64" s="8"/>
      <c r="D64" s="4"/>
      <c r="E64" s="4"/>
      <c r="F64" s="8"/>
      <c r="G64" s="4"/>
      <c r="H64" s="4"/>
      <c r="I64" s="8"/>
      <c r="J64" s="4"/>
      <c r="K64" s="4"/>
      <c r="L64" s="8"/>
      <c r="M64" s="4"/>
      <c r="N64" s="4"/>
      <c r="O64" s="8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</row>
    <row r="65" ht="15.75" customHeight="1">
      <c r="A65" s="4"/>
      <c r="B65" s="4"/>
      <c r="C65" s="8"/>
      <c r="D65" s="4"/>
      <c r="E65" s="4"/>
      <c r="F65" s="8"/>
      <c r="G65" s="4"/>
      <c r="H65" s="4"/>
      <c r="I65" s="8"/>
      <c r="J65" s="4"/>
      <c r="K65" s="4"/>
      <c r="L65" s="8"/>
      <c r="M65" s="4"/>
      <c r="N65" s="4"/>
      <c r="O65" s="8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ht="15.75" customHeight="1">
      <c r="A66" s="4"/>
      <c r="B66" s="4"/>
      <c r="C66" s="8"/>
      <c r="D66" s="4"/>
      <c r="E66" s="4"/>
      <c r="F66" s="8"/>
      <c r="G66" s="4"/>
      <c r="H66" s="4"/>
      <c r="I66" s="8"/>
      <c r="J66" s="4"/>
      <c r="K66" s="4"/>
      <c r="L66" s="8"/>
      <c r="M66" s="4"/>
      <c r="N66" s="4"/>
      <c r="O66" s="8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ht="15.75" customHeight="1">
      <c r="A67" s="4"/>
      <c r="B67" s="4"/>
      <c r="C67" s="8"/>
      <c r="D67" s="4"/>
      <c r="E67" s="4"/>
      <c r="F67" s="8"/>
      <c r="G67" s="4"/>
      <c r="H67" s="4"/>
      <c r="I67" s="8"/>
      <c r="J67" s="4"/>
      <c r="K67" s="4"/>
      <c r="L67" s="8"/>
      <c r="M67" s="4"/>
      <c r="N67" s="4"/>
      <c r="O67" s="8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ht="15.75" customHeight="1">
      <c r="A68" s="4"/>
      <c r="B68" s="4"/>
      <c r="C68" s="8"/>
      <c r="D68" s="4"/>
      <c r="E68" s="4"/>
      <c r="F68" s="8"/>
      <c r="G68" s="4"/>
      <c r="H68" s="4"/>
      <c r="I68" s="8"/>
      <c r="J68" s="4"/>
      <c r="K68" s="4"/>
      <c r="L68" s="8"/>
      <c r="M68" s="4"/>
      <c r="N68" s="4"/>
      <c r="O68" s="8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</row>
    <row r="69" ht="15.75" customHeight="1">
      <c r="A69" s="4"/>
      <c r="B69" s="4"/>
      <c r="C69" s="8"/>
      <c r="D69" s="4"/>
      <c r="E69" s="4"/>
      <c r="F69" s="8"/>
      <c r="G69" s="4"/>
      <c r="H69" s="4"/>
      <c r="I69" s="8"/>
      <c r="J69" s="4"/>
      <c r="K69" s="4"/>
      <c r="L69" s="8"/>
      <c r="M69" s="4"/>
      <c r="N69" s="4"/>
      <c r="O69" s="8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</row>
    <row r="70" ht="15.75" customHeight="1">
      <c r="A70" s="4"/>
      <c r="B70" s="4"/>
      <c r="C70" s="8"/>
      <c r="D70" s="4"/>
      <c r="E70" s="4"/>
      <c r="F70" s="8"/>
      <c r="G70" s="4"/>
      <c r="H70" s="4"/>
      <c r="I70" s="8"/>
      <c r="J70" s="4"/>
      <c r="K70" s="4"/>
      <c r="L70" s="8"/>
      <c r="M70" s="4"/>
      <c r="N70" s="4"/>
      <c r="O70" s="8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</row>
    <row r="71" ht="15.75" customHeight="1">
      <c r="A71" s="4"/>
      <c r="B71" s="4"/>
      <c r="C71" s="8"/>
      <c r="D71" s="4"/>
      <c r="E71" s="4"/>
      <c r="F71" s="8"/>
      <c r="G71" s="4"/>
      <c r="H71" s="4"/>
      <c r="I71" s="8"/>
      <c r="J71" s="4"/>
      <c r="K71" s="4"/>
      <c r="L71" s="8"/>
      <c r="M71" s="4"/>
      <c r="N71" s="4"/>
      <c r="O71" s="8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</row>
    <row r="72" ht="15.75" customHeight="1">
      <c r="A72" s="4"/>
      <c r="B72" s="4"/>
      <c r="C72" s="8"/>
      <c r="D72" s="4"/>
      <c r="E72" s="4"/>
      <c r="F72" s="8"/>
      <c r="G72" s="4"/>
      <c r="H72" s="4"/>
      <c r="I72" s="8"/>
      <c r="J72" s="4"/>
      <c r="K72" s="4"/>
      <c r="L72" s="8"/>
      <c r="M72" s="4"/>
      <c r="N72" s="4"/>
      <c r="O72" s="8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</row>
    <row r="73" ht="15.75" customHeight="1">
      <c r="A73" s="4"/>
      <c r="B73" s="4"/>
      <c r="C73" s="8"/>
      <c r="D73" s="4"/>
      <c r="E73" s="4"/>
      <c r="F73" s="8"/>
      <c r="G73" s="4"/>
      <c r="H73" s="4"/>
      <c r="I73" s="8"/>
      <c r="J73" s="4"/>
      <c r="K73" s="4"/>
      <c r="L73" s="8"/>
      <c r="M73" s="4"/>
      <c r="N73" s="4"/>
      <c r="O73" s="8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</row>
    <row r="74" ht="15.75" customHeight="1">
      <c r="A74" s="4"/>
      <c r="B74" s="4"/>
      <c r="C74" s="8"/>
      <c r="D74" s="4"/>
      <c r="E74" s="4"/>
      <c r="F74" s="8"/>
      <c r="G74" s="4"/>
      <c r="H74" s="4"/>
      <c r="I74" s="8"/>
      <c r="J74" s="4"/>
      <c r="K74" s="4"/>
      <c r="L74" s="8"/>
      <c r="M74" s="4"/>
      <c r="N74" s="4"/>
      <c r="O74" s="8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</row>
    <row r="75" ht="15.75" customHeight="1">
      <c r="A75" s="4"/>
      <c r="B75" s="4"/>
      <c r="C75" s="8"/>
      <c r="D75" s="4"/>
      <c r="E75" s="4"/>
      <c r="F75" s="8"/>
      <c r="G75" s="4"/>
      <c r="H75" s="4"/>
      <c r="I75" s="8"/>
      <c r="J75" s="4"/>
      <c r="K75" s="4"/>
      <c r="L75" s="8"/>
      <c r="M75" s="4"/>
      <c r="N75" s="4"/>
      <c r="O75" s="8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ht="15.75" customHeight="1">
      <c r="A76" s="4"/>
      <c r="B76" s="4"/>
      <c r="C76" s="8"/>
      <c r="D76" s="4"/>
      <c r="E76" s="4"/>
      <c r="F76" s="8"/>
      <c r="G76" s="4"/>
      <c r="H76" s="4"/>
      <c r="I76" s="8"/>
      <c r="J76" s="4"/>
      <c r="K76" s="4"/>
      <c r="L76" s="8"/>
      <c r="M76" s="4"/>
      <c r="N76" s="4"/>
      <c r="O76" s="8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</row>
    <row r="77" ht="15.75" customHeight="1">
      <c r="A77" s="4"/>
      <c r="B77" s="4"/>
      <c r="C77" s="8"/>
      <c r="D77" s="4"/>
      <c r="E77" s="4"/>
      <c r="F77" s="8"/>
      <c r="G77" s="4"/>
      <c r="H77" s="4"/>
      <c r="I77" s="8"/>
      <c r="J77" s="4"/>
      <c r="K77" s="4"/>
      <c r="L77" s="8"/>
      <c r="M77" s="4"/>
      <c r="N77" s="4"/>
      <c r="O77" s="8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</row>
    <row r="78" ht="15.75" customHeight="1">
      <c r="A78" s="4"/>
      <c r="B78" s="4"/>
      <c r="C78" s="8"/>
      <c r="D78" s="4"/>
      <c r="E78" s="4"/>
      <c r="F78" s="8"/>
      <c r="G78" s="4"/>
      <c r="H78" s="4"/>
      <c r="I78" s="8"/>
      <c r="J78" s="4"/>
      <c r="K78" s="4"/>
      <c r="L78" s="8"/>
      <c r="M78" s="4"/>
      <c r="N78" s="4"/>
      <c r="O78" s="8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</row>
    <row r="79" ht="15.75" customHeight="1">
      <c r="A79" s="4"/>
      <c r="B79" s="4"/>
      <c r="C79" s="8"/>
      <c r="D79" s="4"/>
      <c r="E79" s="4"/>
      <c r="F79" s="8"/>
      <c r="G79" s="4"/>
      <c r="H79" s="4"/>
      <c r="I79" s="8"/>
      <c r="J79" s="4"/>
      <c r="K79" s="4"/>
      <c r="L79" s="8"/>
      <c r="M79" s="4"/>
      <c r="N79" s="4"/>
      <c r="O79" s="8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</row>
    <row r="80" ht="15.75" customHeight="1">
      <c r="A80" s="4"/>
      <c r="B80" s="4"/>
      <c r="C80" s="8"/>
      <c r="D80" s="4"/>
      <c r="E80" s="4"/>
      <c r="F80" s="8"/>
      <c r="G80" s="4"/>
      <c r="H80" s="4"/>
      <c r="I80" s="8"/>
      <c r="J80" s="4"/>
      <c r="K80" s="4"/>
      <c r="L80" s="8"/>
      <c r="M80" s="4"/>
      <c r="N80" s="4"/>
      <c r="O80" s="8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</row>
    <row r="81" ht="15.75" customHeight="1">
      <c r="A81" s="4"/>
      <c r="B81" s="4"/>
      <c r="C81" s="8"/>
      <c r="D81" s="4"/>
      <c r="E81" s="4"/>
      <c r="F81" s="8"/>
      <c r="G81" s="4"/>
      <c r="H81" s="4"/>
      <c r="I81" s="8"/>
      <c r="J81" s="4"/>
      <c r="K81" s="4"/>
      <c r="L81" s="8"/>
      <c r="M81" s="4"/>
      <c r="N81" s="4"/>
      <c r="O81" s="8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</row>
    <row r="82" ht="15.75" customHeight="1">
      <c r="A82" s="4"/>
      <c r="B82" s="4"/>
      <c r="C82" s="8"/>
      <c r="D82" s="4"/>
      <c r="E82" s="4"/>
      <c r="F82" s="8"/>
      <c r="G82" s="4"/>
      <c r="H82" s="4"/>
      <c r="I82" s="8"/>
      <c r="J82" s="4"/>
      <c r="K82" s="4"/>
      <c r="L82" s="8"/>
      <c r="M82" s="4"/>
      <c r="N82" s="4"/>
      <c r="O82" s="8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</row>
    <row r="83" ht="15.75" customHeight="1">
      <c r="A83" s="4"/>
      <c r="B83" s="4"/>
      <c r="C83" s="8"/>
      <c r="D83" s="4"/>
      <c r="E83" s="4"/>
      <c r="F83" s="8"/>
      <c r="G83" s="4"/>
      <c r="H83" s="4"/>
      <c r="I83" s="8"/>
      <c r="J83" s="4"/>
      <c r="K83" s="4"/>
      <c r="L83" s="8"/>
      <c r="M83" s="4"/>
      <c r="N83" s="4"/>
      <c r="O83" s="8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ht="15.75" customHeight="1">
      <c r="A84" s="4"/>
      <c r="B84" s="4"/>
      <c r="C84" s="8"/>
      <c r="D84" s="4"/>
      <c r="E84" s="4"/>
      <c r="F84" s="8"/>
      <c r="G84" s="4"/>
      <c r="H84" s="4"/>
      <c r="I84" s="8"/>
      <c r="J84" s="4"/>
      <c r="K84" s="4"/>
      <c r="L84" s="8"/>
      <c r="M84" s="4"/>
      <c r="N84" s="4"/>
      <c r="O84" s="8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</row>
    <row r="85" ht="15.75" customHeight="1">
      <c r="A85" s="4"/>
      <c r="B85" s="4"/>
      <c r="C85" s="8"/>
      <c r="D85" s="4"/>
      <c r="E85" s="4"/>
      <c r="F85" s="8"/>
      <c r="G85" s="4"/>
      <c r="H85" s="4"/>
      <c r="I85" s="8"/>
      <c r="J85" s="4"/>
      <c r="K85" s="4"/>
      <c r="L85" s="8"/>
      <c r="M85" s="4"/>
      <c r="N85" s="4"/>
      <c r="O85" s="8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</row>
    <row r="86" ht="15.75" customHeight="1">
      <c r="A86" s="4"/>
      <c r="B86" s="4"/>
      <c r="C86" s="8"/>
      <c r="D86" s="4"/>
      <c r="E86" s="4"/>
      <c r="F86" s="8"/>
      <c r="G86" s="4"/>
      <c r="H86" s="4"/>
      <c r="I86" s="8"/>
      <c r="J86" s="4"/>
      <c r="K86" s="4"/>
      <c r="L86" s="8"/>
      <c r="M86" s="4"/>
      <c r="N86" s="4"/>
      <c r="O86" s="8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</row>
    <row r="87" ht="15.75" customHeight="1">
      <c r="A87" s="4"/>
      <c r="B87" s="4"/>
      <c r="C87" s="8"/>
      <c r="D87" s="4"/>
      <c r="E87" s="4"/>
      <c r="F87" s="8"/>
      <c r="G87" s="4"/>
      <c r="H87" s="4"/>
      <c r="I87" s="8"/>
      <c r="J87" s="4"/>
      <c r="K87" s="4"/>
      <c r="L87" s="8"/>
      <c r="M87" s="4"/>
      <c r="N87" s="4"/>
      <c r="O87" s="8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</row>
    <row r="88" ht="15.75" customHeight="1">
      <c r="A88" s="4"/>
      <c r="B88" s="4"/>
      <c r="C88" s="8"/>
      <c r="D88" s="4"/>
      <c r="E88" s="4"/>
      <c r="F88" s="8"/>
      <c r="G88" s="4"/>
      <c r="H88" s="4"/>
      <c r="I88" s="8"/>
      <c r="J88" s="4"/>
      <c r="K88" s="4"/>
      <c r="L88" s="8"/>
      <c r="M88" s="4"/>
      <c r="N88" s="4"/>
      <c r="O88" s="8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</row>
    <row r="89" ht="15.75" customHeight="1">
      <c r="A89" s="4"/>
      <c r="B89" s="4"/>
      <c r="C89" s="8"/>
      <c r="D89" s="4"/>
      <c r="E89" s="4"/>
      <c r="F89" s="8"/>
      <c r="G89" s="4"/>
      <c r="H89" s="4"/>
      <c r="I89" s="8"/>
      <c r="J89" s="4"/>
      <c r="K89" s="4"/>
      <c r="L89" s="8"/>
      <c r="M89" s="4"/>
      <c r="N89" s="4"/>
      <c r="O89" s="8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</row>
    <row r="90" ht="15.75" customHeight="1">
      <c r="A90" s="4"/>
      <c r="B90" s="4"/>
      <c r="C90" s="8"/>
      <c r="D90" s="4"/>
      <c r="E90" s="4"/>
      <c r="F90" s="8"/>
      <c r="G90" s="4"/>
      <c r="H90" s="4"/>
      <c r="I90" s="8"/>
      <c r="J90" s="4"/>
      <c r="K90" s="4"/>
      <c r="L90" s="8"/>
      <c r="M90" s="4"/>
      <c r="N90" s="4"/>
      <c r="O90" s="8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</row>
    <row r="91" ht="15.75" customHeight="1">
      <c r="A91" s="4"/>
      <c r="B91" s="4"/>
      <c r="C91" s="8"/>
      <c r="D91" s="4"/>
      <c r="E91" s="4"/>
      <c r="F91" s="8"/>
      <c r="G91" s="4"/>
      <c r="H91" s="4"/>
      <c r="I91" s="8"/>
      <c r="J91" s="4"/>
      <c r="K91" s="4"/>
      <c r="L91" s="8"/>
      <c r="M91" s="4"/>
      <c r="N91" s="4"/>
      <c r="O91" s="8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ht="15.75" customHeight="1">
      <c r="A92" s="4"/>
      <c r="B92" s="4"/>
      <c r="C92" s="8"/>
      <c r="D92" s="4"/>
      <c r="E92" s="4"/>
      <c r="F92" s="8"/>
      <c r="G92" s="4"/>
      <c r="H92" s="4"/>
      <c r="I92" s="8"/>
      <c r="J92" s="4"/>
      <c r="K92" s="4"/>
      <c r="L92" s="8"/>
      <c r="M92" s="4"/>
      <c r="N92" s="4"/>
      <c r="O92" s="8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</row>
    <row r="93" ht="15.75" customHeight="1">
      <c r="A93" s="4"/>
      <c r="B93" s="4"/>
      <c r="C93" s="8"/>
      <c r="D93" s="4"/>
      <c r="E93" s="4"/>
      <c r="F93" s="8"/>
      <c r="G93" s="4"/>
      <c r="H93" s="4"/>
      <c r="I93" s="8"/>
      <c r="J93" s="4"/>
      <c r="K93" s="4"/>
      <c r="L93" s="8"/>
      <c r="M93" s="4"/>
      <c r="N93" s="4"/>
      <c r="O93" s="8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</row>
    <row r="94" ht="15.75" customHeight="1">
      <c r="A94" s="4"/>
      <c r="B94" s="4"/>
      <c r="C94" s="8"/>
      <c r="D94" s="4"/>
      <c r="E94" s="4"/>
      <c r="F94" s="8"/>
      <c r="G94" s="4"/>
      <c r="H94" s="4"/>
      <c r="I94" s="8"/>
      <c r="J94" s="4"/>
      <c r="K94" s="4"/>
      <c r="L94" s="8"/>
      <c r="M94" s="4"/>
      <c r="N94" s="4"/>
      <c r="O94" s="8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</row>
    <row r="95" ht="15.75" customHeight="1">
      <c r="A95" s="4"/>
      <c r="B95" s="4"/>
      <c r="C95" s="8"/>
      <c r="D95" s="4"/>
      <c r="E95" s="4"/>
      <c r="F95" s="8"/>
      <c r="G95" s="4"/>
      <c r="H95" s="4"/>
      <c r="I95" s="8"/>
      <c r="J95" s="4"/>
      <c r="K95" s="4"/>
      <c r="L95" s="8"/>
      <c r="M95" s="4"/>
      <c r="N95" s="4"/>
      <c r="O95" s="8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</row>
    <row r="96" ht="15.75" customHeight="1">
      <c r="A96" s="4"/>
      <c r="B96" s="4"/>
      <c r="C96" s="8"/>
      <c r="D96" s="4"/>
      <c r="E96" s="4"/>
      <c r="F96" s="8"/>
      <c r="G96" s="4"/>
      <c r="H96" s="4"/>
      <c r="I96" s="8"/>
      <c r="J96" s="4"/>
      <c r="K96" s="4"/>
      <c r="L96" s="8"/>
      <c r="M96" s="4"/>
      <c r="N96" s="4"/>
      <c r="O96" s="8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</row>
    <row r="97" ht="15.75" customHeight="1">
      <c r="A97" s="4"/>
      <c r="B97" s="4"/>
      <c r="C97" s="8"/>
      <c r="D97" s="4"/>
      <c r="E97" s="4"/>
      <c r="F97" s="8"/>
      <c r="G97" s="4"/>
      <c r="H97" s="4"/>
      <c r="I97" s="8"/>
      <c r="J97" s="4"/>
      <c r="K97" s="4"/>
      <c r="L97" s="8"/>
      <c r="M97" s="4"/>
      <c r="N97" s="4"/>
      <c r="O97" s="8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</row>
    <row r="98" ht="15.75" customHeight="1">
      <c r="A98" s="4"/>
      <c r="B98" s="4"/>
      <c r="C98" s="8"/>
      <c r="D98" s="4"/>
      <c r="E98" s="4"/>
      <c r="F98" s="8"/>
      <c r="G98" s="4"/>
      <c r="H98" s="4"/>
      <c r="I98" s="8"/>
      <c r="J98" s="4"/>
      <c r="K98" s="4"/>
      <c r="L98" s="8"/>
      <c r="M98" s="4"/>
      <c r="N98" s="4"/>
      <c r="O98" s="8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</row>
    <row r="99" ht="15.75" customHeight="1">
      <c r="A99" s="4"/>
      <c r="B99" s="4"/>
      <c r="C99" s="8"/>
      <c r="D99" s="4"/>
      <c r="E99" s="4"/>
      <c r="F99" s="8"/>
      <c r="G99" s="4"/>
      <c r="H99" s="4"/>
      <c r="I99" s="8"/>
      <c r="J99" s="4"/>
      <c r="K99" s="4"/>
      <c r="L99" s="8"/>
      <c r="M99" s="4"/>
      <c r="N99" s="4"/>
      <c r="O99" s="8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</row>
    <row r="100" ht="15.75" customHeight="1">
      <c r="A100" s="4"/>
      <c r="B100" s="4"/>
      <c r="C100" s="8"/>
      <c r="D100" s="4"/>
      <c r="E100" s="4"/>
      <c r="F100" s="8"/>
      <c r="G100" s="4"/>
      <c r="H100" s="4"/>
      <c r="I100" s="8"/>
      <c r="J100" s="4"/>
      <c r="K100" s="4"/>
      <c r="L100" s="8"/>
      <c r="M100" s="4"/>
      <c r="N100" s="4"/>
      <c r="O100" s="8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</row>
    <row r="101" ht="15.75" customHeight="1">
      <c r="A101" s="4"/>
      <c r="B101" s="4"/>
      <c r="C101" s="8"/>
      <c r="D101" s="4"/>
      <c r="E101" s="4"/>
      <c r="F101" s="8"/>
      <c r="G101" s="4"/>
      <c r="H101" s="4"/>
      <c r="I101" s="8"/>
      <c r="J101" s="4"/>
      <c r="K101" s="4"/>
      <c r="L101" s="8"/>
      <c r="M101" s="4"/>
      <c r="N101" s="4"/>
      <c r="O101" s="8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</row>
    <row r="102" ht="15.75" customHeight="1">
      <c r="A102" s="4"/>
      <c r="B102" s="4"/>
      <c r="C102" s="8"/>
      <c r="D102" s="4"/>
      <c r="E102" s="4"/>
      <c r="F102" s="8"/>
      <c r="G102" s="4"/>
      <c r="H102" s="4"/>
      <c r="I102" s="8"/>
      <c r="J102" s="4"/>
      <c r="K102" s="4"/>
      <c r="L102" s="8"/>
      <c r="M102" s="4"/>
      <c r="N102" s="4"/>
      <c r="O102" s="8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</row>
    <row r="103" ht="15.75" customHeight="1">
      <c r="A103" s="4"/>
      <c r="B103" s="4"/>
      <c r="C103" s="8"/>
      <c r="D103" s="4"/>
      <c r="E103" s="4"/>
      <c r="F103" s="8"/>
      <c r="G103" s="4"/>
      <c r="H103" s="4"/>
      <c r="I103" s="8"/>
      <c r="J103" s="4"/>
      <c r="K103" s="4"/>
      <c r="L103" s="8"/>
      <c r="M103" s="4"/>
      <c r="N103" s="4"/>
      <c r="O103" s="8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</row>
    <row r="104" ht="15.75" customHeight="1">
      <c r="A104" s="4"/>
      <c r="B104" s="4"/>
      <c r="C104" s="8"/>
      <c r="D104" s="4"/>
      <c r="E104" s="4"/>
      <c r="F104" s="8"/>
      <c r="G104" s="4"/>
      <c r="H104" s="4"/>
      <c r="I104" s="8"/>
      <c r="J104" s="4"/>
      <c r="K104" s="4"/>
      <c r="L104" s="8"/>
      <c r="M104" s="4"/>
      <c r="N104" s="4"/>
      <c r="O104" s="8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</row>
    <row r="105" ht="15.75" customHeight="1">
      <c r="A105" s="4"/>
      <c r="B105" s="4"/>
      <c r="C105" s="8"/>
      <c r="D105" s="4"/>
      <c r="E105" s="4"/>
      <c r="F105" s="8"/>
      <c r="G105" s="4"/>
      <c r="H105" s="4"/>
      <c r="I105" s="8"/>
      <c r="J105" s="4"/>
      <c r="K105" s="4"/>
      <c r="L105" s="8"/>
      <c r="M105" s="4"/>
      <c r="N105" s="4"/>
      <c r="O105" s="8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</row>
    <row r="106" ht="15.75" customHeight="1">
      <c r="A106" s="4"/>
      <c r="B106" s="4"/>
      <c r="C106" s="8"/>
      <c r="D106" s="4"/>
      <c r="E106" s="4"/>
      <c r="F106" s="8"/>
      <c r="G106" s="4"/>
      <c r="H106" s="4"/>
      <c r="I106" s="8"/>
      <c r="J106" s="4"/>
      <c r="K106" s="4"/>
      <c r="L106" s="8"/>
      <c r="M106" s="4"/>
      <c r="N106" s="4"/>
      <c r="O106" s="8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</row>
    <row r="107" ht="15.75" customHeight="1">
      <c r="A107" s="4"/>
      <c r="B107" s="4"/>
      <c r="C107" s="8"/>
      <c r="D107" s="4"/>
      <c r="E107" s="4"/>
      <c r="F107" s="8"/>
      <c r="G107" s="4"/>
      <c r="H107" s="4"/>
      <c r="I107" s="8"/>
      <c r="J107" s="4"/>
      <c r="K107" s="4"/>
      <c r="L107" s="8"/>
      <c r="M107" s="4"/>
      <c r="N107" s="4"/>
      <c r="O107" s="8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</row>
    <row r="108" ht="15.75" customHeight="1">
      <c r="A108" s="4"/>
      <c r="B108" s="4"/>
      <c r="C108" s="8"/>
      <c r="D108" s="4"/>
      <c r="E108" s="4"/>
      <c r="F108" s="8"/>
      <c r="G108" s="4"/>
      <c r="H108" s="4"/>
      <c r="I108" s="8"/>
      <c r="J108" s="4"/>
      <c r="K108" s="4"/>
      <c r="L108" s="8"/>
      <c r="M108" s="4"/>
      <c r="N108" s="4"/>
      <c r="O108" s="8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</row>
    <row r="109" ht="15.75" customHeight="1">
      <c r="A109" s="4"/>
      <c r="B109" s="4"/>
      <c r="C109" s="8"/>
      <c r="D109" s="4"/>
      <c r="E109" s="4"/>
      <c r="F109" s="8"/>
      <c r="G109" s="4"/>
      <c r="H109" s="4"/>
      <c r="I109" s="8"/>
      <c r="J109" s="4"/>
      <c r="K109" s="4"/>
      <c r="L109" s="8"/>
      <c r="M109" s="4"/>
      <c r="N109" s="4"/>
      <c r="O109" s="8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</row>
    <row r="110" ht="15.75" customHeight="1">
      <c r="A110" s="4"/>
      <c r="B110" s="4"/>
      <c r="C110" s="8"/>
      <c r="D110" s="4"/>
      <c r="E110" s="4"/>
      <c r="F110" s="8"/>
      <c r="G110" s="4"/>
      <c r="H110" s="4"/>
      <c r="I110" s="8"/>
      <c r="J110" s="4"/>
      <c r="K110" s="4"/>
      <c r="L110" s="8"/>
      <c r="M110" s="4"/>
      <c r="N110" s="4"/>
      <c r="O110" s="8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</row>
    <row r="111" ht="15.75" customHeight="1">
      <c r="A111" s="4"/>
      <c r="B111" s="4"/>
      <c r="C111" s="8"/>
      <c r="D111" s="4"/>
      <c r="E111" s="4"/>
      <c r="F111" s="8"/>
      <c r="G111" s="4"/>
      <c r="H111" s="4"/>
      <c r="I111" s="8"/>
      <c r="J111" s="4"/>
      <c r="K111" s="4"/>
      <c r="L111" s="8"/>
      <c r="M111" s="4"/>
      <c r="N111" s="4"/>
      <c r="O111" s="8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</row>
    <row r="112" ht="15.75" customHeight="1">
      <c r="A112" s="4"/>
      <c r="B112" s="4"/>
      <c r="C112" s="8"/>
      <c r="D112" s="4"/>
      <c r="E112" s="4"/>
      <c r="F112" s="8"/>
      <c r="G112" s="4"/>
      <c r="H112" s="4"/>
      <c r="I112" s="8"/>
      <c r="J112" s="4"/>
      <c r="K112" s="4"/>
      <c r="L112" s="8"/>
      <c r="M112" s="4"/>
      <c r="N112" s="4"/>
      <c r="O112" s="8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</row>
    <row r="113" ht="15.75" customHeight="1">
      <c r="A113" s="4"/>
      <c r="B113" s="4"/>
      <c r="C113" s="8"/>
      <c r="D113" s="4"/>
      <c r="E113" s="4"/>
      <c r="F113" s="8"/>
      <c r="G113" s="4"/>
      <c r="H113" s="4"/>
      <c r="I113" s="8"/>
      <c r="J113" s="4"/>
      <c r="K113" s="4"/>
      <c r="L113" s="8"/>
      <c r="M113" s="4"/>
      <c r="N113" s="4"/>
      <c r="O113" s="8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</row>
    <row r="114" ht="15.75" customHeight="1">
      <c r="A114" s="4"/>
      <c r="B114" s="4"/>
      <c r="C114" s="8"/>
      <c r="D114" s="4"/>
      <c r="E114" s="4"/>
      <c r="F114" s="8"/>
      <c r="G114" s="4"/>
      <c r="H114" s="4"/>
      <c r="I114" s="8"/>
      <c r="J114" s="4"/>
      <c r="K114" s="4"/>
      <c r="L114" s="8"/>
      <c r="M114" s="4"/>
      <c r="N114" s="4"/>
      <c r="O114" s="8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</row>
    <row r="115" ht="15.75" customHeight="1">
      <c r="A115" s="4"/>
      <c r="B115" s="4"/>
      <c r="C115" s="8"/>
      <c r="D115" s="4"/>
      <c r="E115" s="4"/>
      <c r="F115" s="8"/>
      <c r="G115" s="4"/>
      <c r="H115" s="4"/>
      <c r="I115" s="8"/>
      <c r="J115" s="4"/>
      <c r="K115" s="4"/>
      <c r="L115" s="8"/>
      <c r="M115" s="4"/>
      <c r="N115" s="4"/>
      <c r="O115" s="8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ht="15.75" customHeight="1">
      <c r="A116" s="4"/>
      <c r="B116" s="4"/>
      <c r="C116" s="8"/>
      <c r="D116" s="4"/>
      <c r="E116" s="4"/>
      <c r="F116" s="8"/>
      <c r="G116" s="4"/>
      <c r="H116" s="4"/>
      <c r="I116" s="8"/>
      <c r="J116" s="4"/>
      <c r="K116" s="4"/>
      <c r="L116" s="8"/>
      <c r="M116" s="4"/>
      <c r="N116" s="4"/>
      <c r="O116" s="8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ht="15.75" customHeight="1">
      <c r="A117" s="4"/>
      <c r="B117" s="4"/>
      <c r="C117" s="8"/>
      <c r="D117" s="4"/>
      <c r="E117" s="4"/>
      <c r="F117" s="8"/>
      <c r="G117" s="4"/>
      <c r="H117" s="4"/>
      <c r="I117" s="8"/>
      <c r="J117" s="4"/>
      <c r="K117" s="4"/>
      <c r="L117" s="8"/>
      <c r="M117" s="4"/>
      <c r="N117" s="4"/>
      <c r="O117" s="8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ht="15.75" customHeight="1">
      <c r="A118" s="4"/>
      <c r="B118" s="4"/>
      <c r="C118" s="8"/>
      <c r="D118" s="4"/>
      <c r="E118" s="4"/>
      <c r="F118" s="8"/>
      <c r="G118" s="4"/>
      <c r="H118" s="4"/>
      <c r="I118" s="8"/>
      <c r="J118" s="4"/>
      <c r="K118" s="4"/>
      <c r="L118" s="8"/>
      <c r="M118" s="4"/>
      <c r="N118" s="4"/>
      <c r="O118" s="8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ht="15.75" customHeight="1">
      <c r="A119" s="4"/>
      <c r="B119" s="4"/>
      <c r="C119" s="8"/>
      <c r="D119" s="4"/>
      <c r="E119" s="4"/>
      <c r="F119" s="8"/>
      <c r="G119" s="4"/>
      <c r="H119" s="4"/>
      <c r="I119" s="8"/>
      <c r="J119" s="4"/>
      <c r="K119" s="4"/>
      <c r="L119" s="8"/>
      <c r="M119" s="4"/>
      <c r="N119" s="4"/>
      <c r="O119" s="8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ht="15.75" customHeight="1">
      <c r="A120" s="4"/>
      <c r="B120" s="4"/>
      <c r="C120" s="8"/>
      <c r="D120" s="4"/>
      <c r="E120" s="4"/>
      <c r="F120" s="8"/>
      <c r="G120" s="4"/>
      <c r="H120" s="4"/>
      <c r="I120" s="8"/>
      <c r="J120" s="4"/>
      <c r="K120" s="4"/>
      <c r="L120" s="8"/>
      <c r="M120" s="4"/>
      <c r="N120" s="4"/>
      <c r="O120" s="8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ht="15.75" customHeight="1">
      <c r="A121" s="4"/>
      <c r="B121" s="4"/>
      <c r="C121" s="8"/>
      <c r="D121" s="4"/>
      <c r="E121" s="4"/>
      <c r="F121" s="8"/>
      <c r="G121" s="4"/>
      <c r="H121" s="4"/>
      <c r="I121" s="8"/>
      <c r="J121" s="4"/>
      <c r="K121" s="4"/>
      <c r="L121" s="8"/>
      <c r="M121" s="4"/>
      <c r="N121" s="4"/>
      <c r="O121" s="8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ht="15.75" customHeight="1">
      <c r="A122" s="4"/>
      <c r="B122" s="4"/>
      <c r="C122" s="8"/>
      <c r="D122" s="4"/>
      <c r="E122" s="4"/>
      <c r="F122" s="8"/>
      <c r="G122" s="4"/>
      <c r="H122" s="4"/>
      <c r="I122" s="8"/>
      <c r="J122" s="4"/>
      <c r="K122" s="4"/>
      <c r="L122" s="8"/>
      <c r="M122" s="4"/>
      <c r="N122" s="4"/>
      <c r="O122" s="8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ht="15.75" customHeight="1">
      <c r="A123" s="4"/>
      <c r="B123" s="4"/>
      <c r="C123" s="8"/>
      <c r="D123" s="4"/>
      <c r="E123" s="4"/>
      <c r="F123" s="8"/>
      <c r="G123" s="4"/>
      <c r="H123" s="4"/>
      <c r="I123" s="8"/>
      <c r="J123" s="4"/>
      <c r="K123" s="4"/>
      <c r="L123" s="8"/>
      <c r="M123" s="4"/>
      <c r="N123" s="4"/>
      <c r="O123" s="8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ht="15.75" customHeight="1">
      <c r="A124" s="4"/>
      <c r="B124" s="4"/>
      <c r="C124" s="8"/>
      <c r="D124" s="4"/>
      <c r="E124" s="4"/>
      <c r="F124" s="8"/>
      <c r="G124" s="4"/>
      <c r="H124" s="4"/>
      <c r="I124" s="8"/>
      <c r="J124" s="4"/>
      <c r="K124" s="4"/>
      <c r="L124" s="8"/>
      <c r="M124" s="4"/>
      <c r="N124" s="4"/>
      <c r="O124" s="8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ht="15.75" customHeight="1">
      <c r="A125" s="4"/>
      <c r="B125" s="4"/>
      <c r="C125" s="8"/>
      <c r="D125" s="4"/>
      <c r="E125" s="4"/>
      <c r="F125" s="8"/>
      <c r="G125" s="4"/>
      <c r="H125" s="4"/>
      <c r="I125" s="8"/>
      <c r="J125" s="4"/>
      <c r="K125" s="4"/>
      <c r="L125" s="8"/>
      <c r="M125" s="4"/>
      <c r="N125" s="4"/>
      <c r="O125" s="8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ht="15.75" customHeight="1">
      <c r="A126" s="4"/>
      <c r="B126" s="4"/>
      <c r="C126" s="8"/>
      <c r="D126" s="4"/>
      <c r="E126" s="4"/>
      <c r="F126" s="8"/>
      <c r="G126" s="4"/>
      <c r="H126" s="4"/>
      <c r="I126" s="8"/>
      <c r="J126" s="4"/>
      <c r="K126" s="4"/>
      <c r="L126" s="8"/>
      <c r="M126" s="4"/>
      <c r="N126" s="4"/>
      <c r="O126" s="8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ht="15.75" customHeight="1">
      <c r="A127" s="4"/>
      <c r="B127" s="4"/>
      <c r="C127" s="8"/>
      <c r="D127" s="4"/>
      <c r="E127" s="4"/>
      <c r="F127" s="8"/>
      <c r="G127" s="4"/>
      <c r="H127" s="4"/>
      <c r="I127" s="8"/>
      <c r="J127" s="4"/>
      <c r="K127" s="4"/>
      <c r="L127" s="8"/>
      <c r="M127" s="4"/>
      <c r="N127" s="4"/>
      <c r="O127" s="8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ht="15.75" customHeight="1">
      <c r="A128" s="4"/>
      <c r="B128" s="4"/>
      <c r="C128" s="8"/>
      <c r="D128" s="4"/>
      <c r="E128" s="4"/>
      <c r="F128" s="8"/>
      <c r="G128" s="4"/>
      <c r="H128" s="4"/>
      <c r="I128" s="8"/>
      <c r="J128" s="4"/>
      <c r="K128" s="4"/>
      <c r="L128" s="8"/>
      <c r="M128" s="4"/>
      <c r="N128" s="4"/>
      <c r="O128" s="8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ht="15.75" customHeight="1">
      <c r="A129" s="4"/>
      <c r="B129" s="4"/>
      <c r="C129" s="8"/>
      <c r="D129" s="4"/>
      <c r="E129" s="4"/>
      <c r="F129" s="8"/>
      <c r="G129" s="4"/>
      <c r="H129" s="4"/>
      <c r="I129" s="8"/>
      <c r="J129" s="4"/>
      <c r="K129" s="4"/>
      <c r="L129" s="8"/>
      <c r="M129" s="4"/>
      <c r="N129" s="4"/>
      <c r="O129" s="8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 ht="15.75" customHeight="1">
      <c r="A130" s="4"/>
      <c r="B130" s="4"/>
      <c r="C130" s="8"/>
      <c r="D130" s="4"/>
      <c r="E130" s="4"/>
      <c r="F130" s="8"/>
      <c r="G130" s="4"/>
      <c r="H130" s="4"/>
      <c r="I130" s="8"/>
      <c r="J130" s="4"/>
      <c r="K130" s="4"/>
      <c r="L130" s="8"/>
      <c r="M130" s="4"/>
      <c r="N130" s="4"/>
      <c r="O130" s="8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ht="15.75" customHeight="1">
      <c r="A131" s="4"/>
      <c r="B131" s="4"/>
      <c r="C131" s="8"/>
      <c r="D131" s="4"/>
      <c r="E131" s="4"/>
      <c r="F131" s="8"/>
      <c r="G131" s="4"/>
      <c r="H131" s="4"/>
      <c r="I131" s="8"/>
      <c r="J131" s="4"/>
      <c r="K131" s="4"/>
      <c r="L131" s="8"/>
      <c r="M131" s="4"/>
      <c r="N131" s="4"/>
      <c r="O131" s="8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ht="15.75" customHeight="1">
      <c r="A132" s="4"/>
      <c r="B132" s="4"/>
      <c r="C132" s="8"/>
      <c r="D132" s="4"/>
      <c r="E132" s="4"/>
      <c r="F132" s="8"/>
      <c r="G132" s="4"/>
      <c r="H132" s="4"/>
      <c r="I132" s="8"/>
      <c r="J132" s="4"/>
      <c r="K132" s="4"/>
      <c r="L132" s="8"/>
      <c r="M132" s="4"/>
      <c r="N132" s="4"/>
      <c r="O132" s="8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ht="15.75" customHeight="1">
      <c r="A133" s="4"/>
      <c r="B133" s="4"/>
      <c r="C133" s="8"/>
      <c r="D133" s="4"/>
      <c r="E133" s="4"/>
      <c r="F133" s="8"/>
      <c r="G133" s="4"/>
      <c r="H133" s="4"/>
      <c r="I133" s="8"/>
      <c r="J133" s="4"/>
      <c r="K133" s="4"/>
      <c r="L133" s="8"/>
      <c r="M133" s="4"/>
      <c r="N133" s="4"/>
      <c r="O133" s="8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ht="15.75" customHeight="1">
      <c r="A134" s="4"/>
      <c r="B134" s="4"/>
      <c r="C134" s="8"/>
      <c r="D134" s="4"/>
      <c r="E134" s="4"/>
      <c r="F134" s="8"/>
      <c r="G134" s="4"/>
      <c r="H134" s="4"/>
      <c r="I134" s="8"/>
      <c r="J134" s="4"/>
      <c r="K134" s="4"/>
      <c r="L134" s="8"/>
      <c r="M134" s="4"/>
      <c r="N134" s="4"/>
      <c r="O134" s="8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ht="15.75" customHeight="1">
      <c r="A135" s="4"/>
      <c r="B135" s="4"/>
      <c r="C135" s="8"/>
      <c r="D135" s="4"/>
      <c r="E135" s="4"/>
      <c r="F135" s="8"/>
      <c r="G135" s="4"/>
      <c r="H135" s="4"/>
      <c r="I135" s="8"/>
      <c r="J135" s="4"/>
      <c r="K135" s="4"/>
      <c r="L135" s="8"/>
      <c r="M135" s="4"/>
      <c r="N135" s="4"/>
      <c r="O135" s="8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</row>
    <row r="136" ht="15.75" customHeight="1">
      <c r="A136" s="4"/>
      <c r="B136" s="4"/>
      <c r="C136" s="8"/>
      <c r="D136" s="4"/>
      <c r="E136" s="4"/>
      <c r="F136" s="8"/>
      <c r="G136" s="4"/>
      <c r="H136" s="4"/>
      <c r="I136" s="8"/>
      <c r="J136" s="4"/>
      <c r="K136" s="4"/>
      <c r="L136" s="8"/>
      <c r="M136" s="4"/>
      <c r="N136" s="4"/>
      <c r="O136" s="8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 ht="15.75" customHeight="1">
      <c r="A137" s="4"/>
      <c r="B137" s="4"/>
      <c r="C137" s="8"/>
      <c r="D137" s="4"/>
      <c r="E137" s="4"/>
      <c r="F137" s="8"/>
      <c r="G137" s="4"/>
      <c r="H137" s="4"/>
      <c r="I137" s="8"/>
      <c r="J137" s="4"/>
      <c r="K137" s="4"/>
      <c r="L137" s="8"/>
      <c r="M137" s="4"/>
      <c r="N137" s="4"/>
      <c r="O137" s="8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</row>
    <row r="138" ht="15.75" customHeight="1">
      <c r="A138" s="4"/>
      <c r="B138" s="4"/>
      <c r="C138" s="8"/>
      <c r="D138" s="4"/>
      <c r="E138" s="4"/>
      <c r="F138" s="8"/>
      <c r="G138" s="4"/>
      <c r="H138" s="4"/>
      <c r="I138" s="8"/>
      <c r="J138" s="4"/>
      <c r="K138" s="4"/>
      <c r="L138" s="8"/>
      <c r="M138" s="4"/>
      <c r="N138" s="4"/>
      <c r="O138" s="8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</row>
    <row r="139" ht="15.75" customHeight="1">
      <c r="A139" s="4"/>
      <c r="B139" s="4"/>
      <c r="C139" s="8"/>
      <c r="D139" s="4"/>
      <c r="E139" s="4"/>
      <c r="F139" s="8"/>
      <c r="G139" s="4"/>
      <c r="H139" s="4"/>
      <c r="I139" s="8"/>
      <c r="J139" s="4"/>
      <c r="K139" s="4"/>
      <c r="L139" s="8"/>
      <c r="M139" s="4"/>
      <c r="N139" s="4"/>
      <c r="O139" s="8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ht="15.75" customHeight="1">
      <c r="A140" s="4"/>
      <c r="B140" s="4"/>
      <c r="C140" s="8"/>
      <c r="D140" s="4"/>
      <c r="E140" s="4"/>
      <c r="F140" s="8"/>
      <c r="G140" s="4"/>
      <c r="H140" s="4"/>
      <c r="I140" s="8"/>
      <c r="J140" s="4"/>
      <c r="K140" s="4"/>
      <c r="L140" s="8"/>
      <c r="M140" s="4"/>
      <c r="N140" s="4"/>
      <c r="O140" s="8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ht="15.75" customHeight="1">
      <c r="A141" s="4"/>
      <c r="B141" s="4"/>
      <c r="C141" s="8"/>
      <c r="D141" s="4"/>
      <c r="E141" s="4"/>
      <c r="F141" s="8"/>
      <c r="G141" s="4"/>
      <c r="H141" s="4"/>
      <c r="I141" s="8"/>
      <c r="J141" s="4"/>
      <c r="K141" s="4"/>
      <c r="L141" s="8"/>
      <c r="M141" s="4"/>
      <c r="N141" s="4"/>
      <c r="O141" s="8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</row>
    <row r="142" ht="15.75" customHeight="1">
      <c r="A142" s="4"/>
      <c r="B142" s="4"/>
      <c r="C142" s="8"/>
      <c r="D142" s="4"/>
      <c r="E142" s="4"/>
      <c r="F142" s="8"/>
      <c r="G142" s="4"/>
      <c r="H142" s="4"/>
      <c r="I142" s="8"/>
      <c r="J142" s="4"/>
      <c r="K142" s="4"/>
      <c r="L142" s="8"/>
      <c r="M142" s="4"/>
      <c r="N142" s="4"/>
      <c r="O142" s="8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</row>
    <row r="143" ht="15.75" customHeight="1">
      <c r="A143" s="4"/>
      <c r="B143" s="4"/>
      <c r="C143" s="8"/>
      <c r="D143" s="4"/>
      <c r="E143" s="4"/>
      <c r="F143" s="8"/>
      <c r="G143" s="4"/>
      <c r="H143" s="4"/>
      <c r="I143" s="8"/>
      <c r="J143" s="4"/>
      <c r="K143" s="4"/>
      <c r="L143" s="8"/>
      <c r="M143" s="4"/>
      <c r="N143" s="4"/>
      <c r="O143" s="8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</row>
    <row r="144" ht="15.75" customHeight="1">
      <c r="A144" s="4"/>
      <c r="B144" s="4"/>
      <c r="C144" s="8"/>
      <c r="D144" s="4"/>
      <c r="E144" s="4"/>
      <c r="F144" s="8"/>
      <c r="G144" s="4"/>
      <c r="H144" s="4"/>
      <c r="I144" s="8"/>
      <c r="J144" s="4"/>
      <c r="K144" s="4"/>
      <c r="L144" s="8"/>
      <c r="M144" s="4"/>
      <c r="N144" s="4"/>
      <c r="O144" s="8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</row>
    <row r="145" ht="15.75" customHeight="1">
      <c r="A145" s="4"/>
      <c r="B145" s="4"/>
      <c r="C145" s="8"/>
      <c r="D145" s="4"/>
      <c r="E145" s="4"/>
      <c r="F145" s="8"/>
      <c r="G145" s="4"/>
      <c r="H145" s="4"/>
      <c r="I145" s="8"/>
      <c r="J145" s="4"/>
      <c r="K145" s="4"/>
      <c r="L145" s="8"/>
      <c r="M145" s="4"/>
      <c r="N145" s="4"/>
      <c r="O145" s="8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</row>
    <row r="146" ht="15.75" customHeight="1">
      <c r="A146" s="4"/>
      <c r="B146" s="4"/>
      <c r="C146" s="8"/>
      <c r="D146" s="4"/>
      <c r="E146" s="4"/>
      <c r="F146" s="8"/>
      <c r="G146" s="4"/>
      <c r="H146" s="4"/>
      <c r="I146" s="8"/>
      <c r="J146" s="4"/>
      <c r="K146" s="4"/>
      <c r="L146" s="8"/>
      <c r="M146" s="4"/>
      <c r="N146" s="4"/>
      <c r="O146" s="8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</row>
    <row r="147" ht="15.75" customHeight="1">
      <c r="A147" s="4"/>
      <c r="B147" s="4"/>
      <c r="C147" s="8"/>
      <c r="D147" s="4"/>
      <c r="E147" s="4"/>
      <c r="F147" s="8"/>
      <c r="G147" s="4"/>
      <c r="H147" s="4"/>
      <c r="I147" s="8"/>
      <c r="J147" s="4"/>
      <c r="K147" s="4"/>
      <c r="L147" s="8"/>
      <c r="M147" s="4"/>
      <c r="N147" s="4"/>
      <c r="O147" s="8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</row>
    <row r="148" ht="15.75" customHeight="1">
      <c r="A148" s="4"/>
      <c r="B148" s="4"/>
      <c r="C148" s="8"/>
      <c r="D148" s="4"/>
      <c r="E148" s="4"/>
      <c r="F148" s="8"/>
      <c r="G148" s="4"/>
      <c r="H148" s="4"/>
      <c r="I148" s="8"/>
      <c r="J148" s="4"/>
      <c r="K148" s="4"/>
      <c r="L148" s="8"/>
      <c r="M148" s="4"/>
      <c r="N148" s="4"/>
      <c r="O148" s="8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</row>
    <row r="149" ht="15.75" customHeight="1">
      <c r="A149" s="4"/>
      <c r="B149" s="4"/>
      <c r="C149" s="8"/>
      <c r="D149" s="4"/>
      <c r="E149" s="4"/>
      <c r="F149" s="8"/>
      <c r="G149" s="4"/>
      <c r="H149" s="4"/>
      <c r="I149" s="8"/>
      <c r="J149" s="4"/>
      <c r="K149" s="4"/>
      <c r="L149" s="8"/>
      <c r="M149" s="4"/>
      <c r="N149" s="4"/>
      <c r="O149" s="8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</row>
    <row r="150" ht="15.75" customHeight="1">
      <c r="A150" s="4"/>
      <c r="B150" s="4"/>
      <c r="C150" s="8"/>
      <c r="D150" s="4"/>
      <c r="E150" s="4"/>
      <c r="F150" s="8"/>
      <c r="G150" s="4"/>
      <c r="H150" s="4"/>
      <c r="I150" s="8"/>
      <c r="J150" s="4"/>
      <c r="K150" s="4"/>
      <c r="L150" s="8"/>
      <c r="M150" s="4"/>
      <c r="N150" s="4"/>
      <c r="O150" s="8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</row>
    <row r="151" ht="15.75" customHeight="1">
      <c r="A151" s="4"/>
      <c r="B151" s="4"/>
      <c r="C151" s="8"/>
      <c r="D151" s="4"/>
      <c r="E151" s="4"/>
      <c r="F151" s="8"/>
      <c r="G151" s="4"/>
      <c r="H151" s="4"/>
      <c r="I151" s="8"/>
      <c r="J151" s="4"/>
      <c r="K151" s="4"/>
      <c r="L151" s="8"/>
      <c r="M151" s="4"/>
      <c r="N151" s="4"/>
      <c r="O151" s="8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</row>
    <row r="152" ht="15.75" customHeight="1">
      <c r="A152" s="4"/>
      <c r="B152" s="4"/>
      <c r="C152" s="8"/>
      <c r="D152" s="4"/>
      <c r="E152" s="4"/>
      <c r="F152" s="8"/>
      <c r="G152" s="4"/>
      <c r="H152" s="4"/>
      <c r="I152" s="8"/>
      <c r="J152" s="4"/>
      <c r="K152" s="4"/>
      <c r="L152" s="8"/>
      <c r="M152" s="4"/>
      <c r="N152" s="4"/>
      <c r="O152" s="8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</row>
    <row r="153" ht="15.75" customHeight="1">
      <c r="A153" s="4"/>
      <c r="B153" s="4"/>
      <c r="C153" s="8"/>
      <c r="D153" s="4"/>
      <c r="E153" s="4"/>
      <c r="F153" s="8"/>
      <c r="G153" s="4"/>
      <c r="H153" s="4"/>
      <c r="I153" s="8"/>
      <c r="J153" s="4"/>
      <c r="K153" s="4"/>
      <c r="L153" s="8"/>
      <c r="M153" s="4"/>
      <c r="N153" s="4"/>
      <c r="O153" s="8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</row>
    <row r="154" ht="15.75" customHeight="1">
      <c r="A154" s="4"/>
      <c r="B154" s="4"/>
      <c r="C154" s="8"/>
      <c r="D154" s="4"/>
      <c r="E154" s="4"/>
      <c r="F154" s="8"/>
      <c r="G154" s="4"/>
      <c r="H154" s="4"/>
      <c r="I154" s="8"/>
      <c r="J154" s="4"/>
      <c r="K154" s="4"/>
      <c r="L154" s="8"/>
      <c r="M154" s="4"/>
      <c r="N154" s="4"/>
      <c r="O154" s="8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</row>
    <row r="155" ht="15.75" customHeight="1">
      <c r="A155" s="4"/>
      <c r="B155" s="4"/>
      <c r="C155" s="8"/>
      <c r="D155" s="4"/>
      <c r="E155" s="4"/>
      <c r="F155" s="8"/>
      <c r="G155" s="4"/>
      <c r="H155" s="4"/>
      <c r="I155" s="8"/>
      <c r="J155" s="4"/>
      <c r="K155" s="4"/>
      <c r="L155" s="8"/>
      <c r="M155" s="4"/>
      <c r="N155" s="4"/>
      <c r="O155" s="8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</row>
    <row r="156" ht="15.75" customHeight="1">
      <c r="A156" s="4"/>
      <c r="B156" s="4"/>
      <c r="C156" s="8"/>
      <c r="D156" s="4"/>
      <c r="E156" s="4"/>
      <c r="F156" s="8"/>
      <c r="G156" s="4"/>
      <c r="H156" s="4"/>
      <c r="I156" s="8"/>
      <c r="J156" s="4"/>
      <c r="K156" s="4"/>
      <c r="L156" s="8"/>
      <c r="M156" s="4"/>
      <c r="N156" s="4"/>
      <c r="O156" s="8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</row>
    <row r="157" ht="15.75" customHeight="1">
      <c r="A157" s="4"/>
      <c r="B157" s="4"/>
      <c r="C157" s="8"/>
      <c r="D157" s="4"/>
      <c r="E157" s="4"/>
      <c r="F157" s="8"/>
      <c r="G157" s="4"/>
      <c r="H157" s="4"/>
      <c r="I157" s="8"/>
      <c r="J157" s="4"/>
      <c r="K157" s="4"/>
      <c r="L157" s="8"/>
      <c r="M157" s="4"/>
      <c r="N157" s="4"/>
      <c r="O157" s="8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</row>
    <row r="158" ht="15.75" customHeight="1">
      <c r="A158" s="4"/>
      <c r="B158" s="4"/>
      <c r="C158" s="8"/>
      <c r="D158" s="4"/>
      <c r="E158" s="4"/>
      <c r="F158" s="8"/>
      <c r="G158" s="4"/>
      <c r="H158" s="4"/>
      <c r="I158" s="8"/>
      <c r="J158" s="4"/>
      <c r="K158" s="4"/>
      <c r="L158" s="8"/>
      <c r="M158" s="4"/>
      <c r="N158" s="4"/>
      <c r="O158" s="8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</row>
    <row r="159" ht="15.75" customHeight="1">
      <c r="A159" s="4"/>
      <c r="B159" s="4"/>
      <c r="C159" s="8"/>
      <c r="D159" s="4"/>
      <c r="E159" s="4"/>
      <c r="F159" s="8"/>
      <c r="G159" s="4"/>
      <c r="H159" s="4"/>
      <c r="I159" s="8"/>
      <c r="J159" s="4"/>
      <c r="K159" s="4"/>
      <c r="L159" s="8"/>
      <c r="M159" s="4"/>
      <c r="N159" s="4"/>
      <c r="O159" s="8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</row>
    <row r="160" ht="15.75" customHeight="1">
      <c r="A160" s="4"/>
      <c r="B160" s="4"/>
      <c r="C160" s="8"/>
      <c r="D160" s="4"/>
      <c r="E160" s="4"/>
      <c r="F160" s="8"/>
      <c r="G160" s="4"/>
      <c r="H160" s="4"/>
      <c r="I160" s="8"/>
      <c r="J160" s="4"/>
      <c r="K160" s="4"/>
      <c r="L160" s="8"/>
      <c r="M160" s="4"/>
      <c r="N160" s="4"/>
      <c r="O160" s="8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</row>
    <row r="161" ht="15.75" customHeight="1">
      <c r="A161" s="4"/>
      <c r="B161" s="4"/>
      <c r="C161" s="8"/>
      <c r="D161" s="4"/>
      <c r="E161" s="4"/>
      <c r="F161" s="8"/>
      <c r="G161" s="4"/>
      <c r="H161" s="4"/>
      <c r="I161" s="8"/>
      <c r="J161" s="4"/>
      <c r="K161" s="4"/>
      <c r="L161" s="8"/>
      <c r="M161" s="4"/>
      <c r="N161" s="4"/>
      <c r="O161" s="8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</row>
    <row r="162" ht="15.75" customHeight="1">
      <c r="A162" s="4"/>
      <c r="B162" s="4"/>
      <c r="C162" s="8"/>
      <c r="D162" s="4"/>
      <c r="E162" s="4"/>
      <c r="F162" s="8"/>
      <c r="G162" s="4"/>
      <c r="H162" s="4"/>
      <c r="I162" s="8"/>
      <c r="J162" s="4"/>
      <c r="K162" s="4"/>
      <c r="L162" s="8"/>
      <c r="M162" s="4"/>
      <c r="N162" s="4"/>
      <c r="O162" s="8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</row>
    <row r="163" ht="15.75" customHeight="1">
      <c r="A163" s="4"/>
      <c r="B163" s="4"/>
      <c r="C163" s="8"/>
      <c r="D163" s="4"/>
      <c r="E163" s="4"/>
      <c r="F163" s="8"/>
      <c r="G163" s="4"/>
      <c r="H163" s="4"/>
      <c r="I163" s="8"/>
      <c r="J163" s="4"/>
      <c r="K163" s="4"/>
      <c r="L163" s="8"/>
      <c r="M163" s="4"/>
      <c r="N163" s="4"/>
      <c r="O163" s="8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</row>
    <row r="164" ht="15.75" customHeight="1">
      <c r="A164" s="4"/>
      <c r="B164" s="4"/>
      <c r="C164" s="8"/>
      <c r="D164" s="4"/>
      <c r="E164" s="4"/>
      <c r="F164" s="8"/>
      <c r="G164" s="4"/>
      <c r="H164" s="4"/>
      <c r="I164" s="8"/>
      <c r="J164" s="4"/>
      <c r="K164" s="4"/>
      <c r="L164" s="8"/>
      <c r="M164" s="4"/>
      <c r="N164" s="4"/>
      <c r="O164" s="8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</row>
    <row r="165" ht="15.75" customHeight="1">
      <c r="A165" s="4"/>
      <c r="B165" s="4"/>
      <c r="C165" s="8"/>
      <c r="D165" s="4"/>
      <c r="E165" s="4"/>
      <c r="F165" s="8"/>
      <c r="G165" s="4"/>
      <c r="H165" s="4"/>
      <c r="I165" s="8"/>
      <c r="J165" s="4"/>
      <c r="K165" s="4"/>
      <c r="L165" s="8"/>
      <c r="M165" s="4"/>
      <c r="N165" s="4"/>
      <c r="O165" s="8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</row>
    <row r="166" ht="15.75" customHeight="1">
      <c r="A166" s="4"/>
      <c r="B166" s="4"/>
      <c r="C166" s="8"/>
      <c r="D166" s="4"/>
      <c r="E166" s="4"/>
      <c r="F166" s="8"/>
      <c r="G166" s="4"/>
      <c r="H166" s="4"/>
      <c r="I166" s="8"/>
      <c r="J166" s="4"/>
      <c r="K166" s="4"/>
      <c r="L166" s="8"/>
      <c r="M166" s="4"/>
      <c r="N166" s="4"/>
      <c r="O166" s="8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</row>
    <row r="167" ht="15.75" customHeight="1">
      <c r="A167" s="4"/>
      <c r="B167" s="4"/>
      <c r="C167" s="8"/>
      <c r="D167" s="4"/>
      <c r="E167" s="4"/>
      <c r="F167" s="8"/>
      <c r="G167" s="4"/>
      <c r="H167" s="4"/>
      <c r="I167" s="8"/>
      <c r="J167" s="4"/>
      <c r="K167" s="4"/>
      <c r="L167" s="8"/>
      <c r="M167" s="4"/>
      <c r="N167" s="4"/>
      <c r="O167" s="8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</row>
    <row r="168" ht="15.75" customHeight="1">
      <c r="A168" s="4"/>
      <c r="B168" s="4"/>
      <c r="C168" s="8"/>
      <c r="D168" s="4"/>
      <c r="E168" s="4"/>
      <c r="F168" s="8"/>
      <c r="G168" s="4"/>
      <c r="H168" s="4"/>
      <c r="I168" s="8"/>
      <c r="J168" s="4"/>
      <c r="K168" s="4"/>
      <c r="L168" s="8"/>
      <c r="M168" s="4"/>
      <c r="N168" s="4"/>
      <c r="O168" s="8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</row>
    <row r="169" ht="15.75" customHeight="1">
      <c r="A169" s="4"/>
      <c r="B169" s="4"/>
      <c r="C169" s="8"/>
      <c r="D169" s="4"/>
      <c r="E169" s="4"/>
      <c r="F169" s="8"/>
      <c r="G169" s="4"/>
      <c r="H169" s="4"/>
      <c r="I169" s="8"/>
      <c r="J169" s="4"/>
      <c r="K169" s="4"/>
      <c r="L169" s="8"/>
      <c r="M169" s="4"/>
      <c r="N169" s="4"/>
      <c r="O169" s="8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</row>
    <row r="170" ht="15.75" customHeight="1">
      <c r="A170" s="4"/>
      <c r="B170" s="4"/>
      <c r="C170" s="8"/>
      <c r="D170" s="4"/>
      <c r="E170" s="4"/>
      <c r="F170" s="8"/>
      <c r="G170" s="4"/>
      <c r="H170" s="4"/>
      <c r="I170" s="8"/>
      <c r="J170" s="4"/>
      <c r="K170" s="4"/>
      <c r="L170" s="8"/>
      <c r="M170" s="4"/>
      <c r="N170" s="4"/>
      <c r="O170" s="8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</row>
    <row r="171" ht="15.75" customHeight="1">
      <c r="A171" s="4"/>
      <c r="B171" s="4"/>
      <c r="C171" s="8"/>
      <c r="D171" s="4"/>
      <c r="E171" s="4"/>
      <c r="F171" s="8"/>
      <c r="G171" s="4"/>
      <c r="H171" s="4"/>
      <c r="I171" s="8"/>
      <c r="J171" s="4"/>
      <c r="K171" s="4"/>
      <c r="L171" s="8"/>
      <c r="M171" s="4"/>
      <c r="N171" s="4"/>
      <c r="O171" s="8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</row>
    <row r="172" ht="15.75" customHeight="1">
      <c r="A172" s="4"/>
      <c r="B172" s="4"/>
      <c r="C172" s="8"/>
      <c r="D172" s="4"/>
      <c r="E172" s="4"/>
      <c r="F172" s="8"/>
      <c r="G172" s="4"/>
      <c r="H172" s="4"/>
      <c r="I172" s="8"/>
      <c r="J172" s="4"/>
      <c r="K172" s="4"/>
      <c r="L172" s="8"/>
      <c r="M172" s="4"/>
      <c r="N172" s="4"/>
      <c r="O172" s="8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</row>
    <row r="173" ht="15.75" customHeight="1">
      <c r="A173" s="4"/>
      <c r="B173" s="4"/>
      <c r="C173" s="8"/>
      <c r="D173" s="4"/>
      <c r="E173" s="4"/>
      <c r="F173" s="8"/>
      <c r="G173" s="4"/>
      <c r="H173" s="4"/>
      <c r="I173" s="8"/>
      <c r="J173" s="4"/>
      <c r="K173" s="4"/>
      <c r="L173" s="8"/>
      <c r="M173" s="4"/>
      <c r="N173" s="4"/>
      <c r="O173" s="8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</row>
    <row r="174" ht="15.75" customHeight="1">
      <c r="A174" s="4"/>
      <c r="B174" s="4"/>
      <c r="C174" s="8"/>
      <c r="D174" s="4"/>
      <c r="E174" s="4"/>
      <c r="F174" s="8"/>
      <c r="G174" s="4"/>
      <c r="H174" s="4"/>
      <c r="I174" s="8"/>
      <c r="J174" s="4"/>
      <c r="K174" s="4"/>
      <c r="L174" s="8"/>
      <c r="M174" s="4"/>
      <c r="N174" s="4"/>
      <c r="O174" s="8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</row>
    <row r="175" ht="15.75" customHeight="1">
      <c r="A175" s="4"/>
      <c r="B175" s="4"/>
      <c r="C175" s="8"/>
      <c r="D175" s="4"/>
      <c r="E175" s="4"/>
      <c r="F175" s="8"/>
      <c r="G175" s="4"/>
      <c r="H175" s="4"/>
      <c r="I175" s="8"/>
      <c r="J175" s="4"/>
      <c r="K175" s="4"/>
      <c r="L175" s="8"/>
      <c r="M175" s="4"/>
      <c r="N175" s="4"/>
      <c r="O175" s="8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</row>
    <row r="176" ht="15.75" customHeight="1">
      <c r="A176" s="4"/>
      <c r="B176" s="4"/>
      <c r="C176" s="8"/>
      <c r="D176" s="4"/>
      <c r="E176" s="4"/>
      <c r="F176" s="8"/>
      <c r="G176" s="4"/>
      <c r="H176" s="4"/>
      <c r="I176" s="8"/>
      <c r="J176" s="4"/>
      <c r="K176" s="4"/>
      <c r="L176" s="8"/>
      <c r="M176" s="4"/>
      <c r="N176" s="4"/>
      <c r="O176" s="8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</row>
    <row r="177" ht="15.75" customHeight="1">
      <c r="A177" s="4"/>
      <c r="B177" s="4"/>
      <c r="C177" s="8"/>
      <c r="D177" s="4"/>
      <c r="E177" s="4"/>
      <c r="F177" s="8"/>
      <c r="G177" s="4"/>
      <c r="H177" s="4"/>
      <c r="I177" s="8"/>
      <c r="J177" s="4"/>
      <c r="K177" s="4"/>
      <c r="L177" s="8"/>
      <c r="M177" s="4"/>
      <c r="N177" s="4"/>
      <c r="O177" s="8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</row>
    <row r="178" ht="15.75" customHeight="1">
      <c r="A178" s="4"/>
      <c r="B178" s="4"/>
      <c r="C178" s="8"/>
      <c r="D178" s="4"/>
      <c r="E178" s="4"/>
      <c r="F178" s="8"/>
      <c r="G178" s="4"/>
      <c r="H178" s="4"/>
      <c r="I178" s="8"/>
      <c r="J178" s="4"/>
      <c r="K178" s="4"/>
      <c r="L178" s="8"/>
      <c r="M178" s="4"/>
      <c r="N178" s="4"/>
      <c r="O178" s="8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</row>
    <row r="179" ht="15.75" customHeight="1">
      <c r="A179" s="4"/>
      <c r="B179" s="4"/>
      <c r="C179" s="8"/>
      <c r="D179" s="4"/>
      <c r="E179" s="4"/>
      <c r="F179" s="8"/>
      <c r="G179" s="4"/>
      <c r="H179" s="4"/>
      <c r="I179" s="8"/>
      <c r="J179" s="4"/>
      <c r="K179" s="4"/>
      <c r="L179" s="8"/>
      <c r="M179" s="4"/>
      <c r="N179" s="4"/>
      <c r="O179" s="8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</row>
    <row r="180" ht="15.75" customHeight="1">
      <c r="A180" s="4"/>
      <c r="B180" s="4"/>
      <c r="C180" s="8"/>
      <c r="D180" s="4"/>
      <c r="E180" s="4"/>
      <c r="F180" s="8"/>
      <c r="G180" s="4"/>
      <c r="H180" s="4"/>
      <c r="I180" s="8"/>
      <c r="J180" s="4"/>
      <c r="K180" s="4"/>
      <c r="L180" s="8"/>
      <c r="M180" s="4"/>
      <c r="N180" s="4"/>
      <c r="O180" s="8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</row>
    <row r="181" ht="15.75" customHeight="1">
      <c r="A181" s="4"/>
      <c r="B181" s="4"/>
      <c r="C181" s="8"/>
      <c r="D181" s="4"/>
      <c r="E181" s="4"/>
      <c r="F181" s="8"/>
      <c r="G181" s="4"/>
      <c r="H181" s="4"/>
      <c r="I181" s="8"/>
      <c r="J181" s="4"/>
      <c r="K181" s="4"/>
      <c r="L181" s="8"/>
      <c r="M181" s="4"/>
      <c r="N181" s="4"/>
      <c r="O181" s="8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</row>
    <row r="182" ht="15.75" customHeight="1">
      <c r="A182" s="4"/>
      <c r="B182" s="4"/>
      <c r="C182" s="8"/>
      <c r="D182" s="4"/>
      <c r="E182" s="4"/>
      <c r="F182" s="8"/>
      <c r="G182" s="4"/>
      <c r="H182" s="4"/>
      <c r="I182" s="8"/>
      <c r="J182" s="4"/>
      <c r="K182" s="4"/>
      <c r="L182" s="8"/>
      <c r="M182" s="4"/>
      <c r="N182" s="4"/>
      <c r="O182" s="8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</row>
    <row r="183" ht="15.75" customHeight="1">
      <c r="A183" s="4"/>
      <c r="B183" s="4"/>
      <c r="C183" s="8"/>
      <c r="D183" s="4"/>
      <c r="E183" s="4"/>
      <c r="F183" s="8"/>
      <c r="G183" s="4"/>
      <c r="H183" s="4"/>
      <c r="I183" s="8"/>
      <c r="J183" s="4"/>
      <c r="K183" s="4"/>
      <c r="L183" s="8"/>
      <c r="M183" s="4"/>
      <c r="N183" s="4"/>
      <c r="O183" s="8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</row>
    <row r="184" ht="15.75" customHeight="1">
      <c r="A184" s="4"/>
      <c r="B184" s="4"/>
      <c r="C184" s="8"/>
      <c r="D184" s="4"/>
      <c r="E184" s="4"/>
      <c r="F184" s="8"/>
      <c r="G184" s="4"/>
      <c r="H184" s="4"/>
      <c r="I184" s="8"/>
      <c r="J184" s="4"/>
      <c r="K184" s="4"/>
      <c r="L184" s="8"/>
      <c r="M184" s="4"/>
      <c r="N184" s="4"/>
      <c r="O184" s="8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</row>
    <row r="185" ht="15.75" customHeight="1">
      <c r="A185" s="4"/>
      <c r="B185" s="4"/>
      <c r="C185" s="8"/>
      <c r="D185" s="4"/>
      <c r="E185" s="4"/>
      <c r="F185" s="8"/>
      <c r="G185" s="4"/>
      <c r="H185" s="4"/>
      <c r="I185" s="8"/>
      <c r="J185" s="4"/>
      <c r="K185" s="4"/>
      <c r="L185" s="8"/>
      <c r="M185" s="4"/>
      <c r="N185" s="4"/>
      <c r="O185" s="8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</row>
    <row r="186" ht="15.75" customHeight="1">
      <c r="A186" s="4"/>
      <c r="B186" s="4"/>
      <c r="C186" s="8"/>
      <c r="D186" s="4"/>
      <c r="E186" s="4"/>
      <c r="F186" s="8"/>
      <c r="G186" s="4"/>
      <c r="H186" s="4"/>
      <c r="I186" s="8"/>
      <c r="J186" s="4"/>
      <c r="K186" s="4"/>
      <c r="L186" s="8"/>
      <c r="M186" s="4"/>
      <c r="N186" s="4"/>
      <c r="O186" s="8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</row>
    <row r="187" ht="15.75" customHeight="1">
      <c r="A187" s="4"/>
      <c r="B187" s="4"/>
      <c r="C187" s="8"/>
      <c r="D187" s="4"/>
      <c r="E187" s="4"/>
      <c r="F187" s="8"/>
      <c r="G187" s="4"/>
      <c r="H187" s="4"/>
      <c r="I187" s="8"/>
      <c r="J187" s="4"/>
      <c r="K187" s="4"/>
      <c r="L187" s="8"/>
      <c r="M187" s="4"/>
      <c r="N187" s="4"/>
      <c r="O187" s="8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</row>
    <row r="188" ht="15.75" customHeight="1">
      <c r="A188" s="4"/>
      <c r="B188" s="4"/>
      <c r="C188" s="8"/>
      <c r="D188" s="4"/>
      <c r="E188" s="4"/>
      <c r="F188" s="8"/>
      <c r="G188" s="4"/>
      <c r="H188" s="4"/>
      <c r="I188" s="8"/>
      <c r="J188" s="4"/>
      <c r="K188" s="4"/>
      <c r="L188" s="8"/>
      <c r="M188" s="4"/>
      <c r="N188" s="4"/>
      <c r="O188" s="8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</row>
    <row r="189" ht="15.75" customHeight="1">
      <c r="A189" s="4"/>
      <c r="B189" s="4"/>
      <c r="C189" s="8"/>
      <c r="D189" s="4"/>
      <c r="E189" s="4"/>
      <c r="F189" s="8"/>
      <c r="G189" s="4"/>
      <c r="H189" s="4"/>
      <c r="I189" s="8"/>
      <c r="J189" s="4"/>
      <c r="K189" s="4"/>
      <c r="L189" s="8"/>
      <c r="M189" s="4"/>
      <c r="N189" s="4"/>
      <c r="O189" s="8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</row>
    <row r="190" ht="15.75" customHeight="1">
      <c r="A190" s="4"/>
      <c r="B190" s="4"/>
      <c r="C190" s="8"/>
      <c r="D190" s="4"/>
      <c r="E190" s="4"/>
      <c r="F190" s="8"/>
      <c r="G190" s="4"/>
      <c r="H190" s="4"/>
      <c r="I190" s="8"/>
      <c r="J190" s="4"/>
      <c r="K190" s="4"/>
      <c r="L190" s="8"/>
      <c r="M190" s="4"/>
      <c r="N190" s="4"/>
      <c r="O190" s="8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</row>
    <row r="191" ht="15.75" customHeight="1">
      <c r="A191" s="4"/>
      <c r="B191" s="4"/>
      <c r="C191" s="8"/>
      <c r="D191" s="4"/>
      <c r="E191" s="4"/>
      <c r="F191" s="8"/>
      <c r="G191" s="4"/>
      <c r="H191" s="4"/>
      <c r="I191" s="8"/>
      <c r="J191" s="4"/>
      <c r="K191" s="4"/>
      <c r="L191" s="8"/>
      <c r="M191" s="4"/>
      <c r="N191" s="4"/>
      <c r="O191" s="8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</row>
    <row r="192" ht="15.75" customHeight="1">
      <c r="A192" s="4"/>
      <c r="B192" s="4"/>
      <c r="C192" s="8"/>
      <c r="D192" s="4"/>
      <c r="E192" s="4"/>
      <c r="F192" s="8"/>
      <c r="G192" s="4"/>
      <c r="H192" s="4"/>
      <c r="I192" s="8"/>
      <c r="J192" s="4"/>
      <c r="K192" s="4"/>
      <c r="L192" s="8"/>
      <c r="M192" s="4"/>
      <c r="N192" s="4"/>
      <c r="O192" s="8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</row>
    <row r="193" ht="15.75" customHeight="1">
      <c r="A193" s="4"/>
      <c r="B193" s="4"/>
      <c r="C193" s="8"/>
      <c r="D193" s="4"/>
      <c r="E193" s="4"/>
      <c r="F193" s="8"/>
      <c r="G193" s="4"/>
      <c r="H193" s="4"/>
      <c r="I193" s="8"/>
      <c r="J193" s="4"/>
      <c r="K193" s="4"/>
      <c r="L193" s="8"/>
      <c r="M193" s="4"/>
      <c r="N193" s="4"/>
      <c r="O193" s="8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</row>
    <row r="194" ht="15.75" customHeight="1">
      <c r="A194" s="4"/>
      <c r="B194" s="4"/>
      <c r="C194" s="8"/>
      <c r="D194" s="4"/>
      <c r="E194" s="4"/>
      <c r="F194" s="8"/>
      <c r="G194" s="4"/>
      <c r="H194" s="4"/>
      <c r="I194" s="8"/>
      <c r="J194" s="4"/>
      <c r="K194" s="4"/>
      <c r="L194" s="8"/>
      <c r="M194" s="4"/>
      <c r="N194" s="4"/>
      <c r="O194" s="8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</row>
    <row r="195" ht="15.75" customHeight="1">
      <c r="A195" s="4"/>
      <c r="B195" s="4"/>
      <c r="C195" s="8"/>
      <c r="D195" s="4"/>
      <c r="E195" s="4"/>
      <c r="F195" s="8"/>
      <c r="G195" s="4"/>
      <c r="H195" s="4"/>
      <c r="I195" s="8"/>
      <c r="J195" s="4"/>
      <c r="K195" s="4"/>
      <c r="L195" s="8"/>
      <c r="M195" s="4"/>
      <c r="N195" s="4"/>
      <c r="O195" s="8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</row>
    <row r="196" ht="15.75" customHeight="1">
      <c r="A196" s="4"/>
      <c r="B196" s="4"/>
      <c r="C196" s="8"/>
      <c r="D196" s="4"/>
      <c r="E196" s="4"/>
      <c r="F196" s="8"/>
      <c r="G196" s="4"/>
      <c r="H196" s="4"/>
      <c r="I196" s="8"/>
      <c r="J196" s="4"/>
      <c r="K196" s="4"/>
      <c r="L196" s="8"/>
      <c r="M196" s="4"/>
      <c r="N196" s="4"/>
      <c r="O196" s="8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</row>
    <row r="197" ht="15.75" customHeight="1">
      <c r="A197" s="4"/>
      <c r="B197" s="4"/>
      <c r="C197" s="8"/>
      <c r="D197" s="4"/>
      <c r="E197" s="4"/>
      <c r="F197" s="8"/>
      <c r="G197" s="4"/>
      <c r="H197" s="4"/>
      <c r="I197" s="8"/>
      <c r="J197" s="4"/>
      <c r="K197" s="4"/>
      <c r="L197" s="8"/>
      <c r="M197" s="4"/>
      <c r="N197" s="4"/>
      <c r="O197" s="8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</row>
    <row r="198" ht="15.75" customHeight="1">
      <c r="A198" s="4"/>
      <c r="B198" s="4"/>
      <c r="C198" s="8"/>
      <c r="D198" s="4"/>
      <c r="E198" s="4"/>
      <c r="F198" s="8"/>
      <c r="G198" s="4"/>
      <c r="H198" s="4"/>
      <c r="I198" s="8"/>
      <c r="J198" s="4"/>
      <c r="K198" s="4"/>
      <c r="L198" s="8"/>
      <c r="M198" s="4"/>
      <c r="N198" s="4"/>
      <c r="O198" s="8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</row>
    <row r="199" ht="15.75" customHeight="1">
      <c r="A199" s="4"/>
      <c r="B199" s="4"/>
      <c r="C199" s="8"/>
      <c r="D199" s="4"/>
      <c r="E199" s="4"/>
      <c r="F199" s="8"/>
      <c r="G199" s="4"/>
      <c r="H199" s="4"/>
      <c r="I199" s="8"/>
      <c r="J199" s="4"/>
      <c r="K199" s="4"/>
      <c r="L199" s="8"/>
      <c r="M199" s="4"/>
      <c r="N199" s="4"/>
      <c r="O199" s="8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</row>
    <row r="200" ht="15.75" customHeight="1">
      <c r="A200" s="4"/>
      <c r="B200" s="4"/>
      <c r="C200" s="8"/>
      <c r="D200" s="4"/>
      <c r="E200" s="4"/>
      <c r="F200" s="8"/>
      <c r="G200" s="4"/>
      <c r="H200" s="4"/>
      <c r="I200" s="8"/>
      <c r="J200" s="4"/>
      <c r="K200" s="4"/>
      <c r="L200" s="8"/>
      <c r="M200" s="4"/>
      <c r="N200" s="4"/>
      <c r="O200" s="8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</row>
    <row r="201" ht="15.75" customHeight="1">
      <c r="A201" s="4"/>
      <c r="B201" s="4"/>
      <c r="C201" s="8"/>
      <c r="D201" s="4"/>
      <c r="E201" s="4"/>
      <c r="F201" s="8"/>
      <c r="G201" s="4"/>
      <c r="H201" s="4"/>
      <c r="I201" s="8"/>
      <c r="J201" s="4"/>
      <c r="K201" s="4"/>
      <c r="L201" s="8"/>
      <c r="M201" s="4"/>
      <c r="N201" s="4"/>
      <c r="O201" s="8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</row>
    <row r="202" ht="15.75" customHeight="1">
      <c r="A202" s="4"/>
      <c r="B202" s="4"/>
      <c r="C202" s="8"/>
      <c r="D202" s="4"/>
      <c r="E202" s="4"/>
      <c r="F202" s="8"/>
      <c r="G202" s="4"/>
      <c r="H202" s="4"/>
      <c r="I202" s="8"/>
      <c r="J202" s="4"/>
      <c r="K202" s="4"/>
      <c r="L202" s="8"/>
      <c r="M202" s="4"/>
      <c r="N202" s="4"/>
      <c r="O202" s="8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</row>
    <row r="203" ht="15.75" customHeight="1">
      <c r="A203" s="4"/>
      <c r="B203" s="4"/>
      <c r="C203" s="8"/>
      <c r="D203" s="4"/>
      <c r="E203" s="4"/>
      <c r="F203" s="8"/>
      <c r="G203" s="4"/>
      <c r="H203" s="4"/>
      <c r="I203" s="8"/>
      <c r="J203" s="4"/>
      <c r="K203" s="4"/>
      <c r="L203" s="8"/>
      <c r="M203" s="4"/>
      <c r="N203" s="4"/>
      <c r="O203" s="8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</row>
    <row r="204" ht="15.75" customHeight="1">
      <c r="A204" s="4"/>
      <c r="B204" s="4"/>
      <c r="C204" s="8"/>
      <c r="D204" s="4"/>
      <c r="E204" s="4"/>
      <c r="F204" s="8"/>
      <c r="G204" s="4"/>
      <c r="H204" s="4"/>
      <c r="I204" s="8"/>
      <c r="J204" s="4"/>
      <c r="K204" s="4"/>
      <c r="L204" s="8"/>
      <c r="M204" s="4"/>
      <c r="N204" s="4"/>
      <c r="O204" s="8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</row>
    <row r="205" ht="15.75" customHeight="1">
      <c r="A205" s="4"/>
      <c r="B205" s="4"/>
      <c r="C205" s="8"/>
      <c r="D205" s="4"/>
      <c r="E205" s="4"/>
      <c r="F205" s="8"/>
      <c r="G205" s="4"/>
      <c r="H205" s="4"/>
      <c r="I205" s="8"/>
      <c r="J205" s="4"/>
      <c r="K205" s="4"/>
      <c r="L205" s="8"/>
      <c r="M205" s="4"/>
      <c r="N205" s="4"/>
      <c r="O205" s="8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</row>
    <row r="206" ht="15.75" customHeight="1">
      <c r="A206" s="4"/>
      <c r="B206" s="4"/>
      <c r="C206" s="8"/>
      <c r="D206" s="4"/>
      <c r="E206" s="4"/>
      <c r="F206" s="8"/>
      <c r="G206" s="4"/>
      <c r="H206" s="4"/>
      <c r="I206" s="8"/>
      <c r="J206" s="4"/>
      <c r="K206" s="4"/>
      <c r="L206" s="8"/>
      <c r="M206" s="4"/>
      <c r="N206" s="4"/>
      <c r="O206" s="8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</row>
    <row r="207" ht="15.75" customHeight="1">
      <c r="A207" s="4"/>
      <c r="B207" s="4"/>
      <c r="C207" s="8"/>
      <c r="D207" s="4"/>
      <c r="E207" s="4"/>
      <c r="F207" s="8"/>
      <c r="G207" s="4"/>
      <c r="H207" s="4"/>
      <c r="I207" s="8"/>
      <c r="J207" s="4"/>
      <c r="K207" s="4"/>
      <c r="L207" s="8"/>
      <c r="M207" s="4"/>
      <c r="N207" s="4"/>
      <c r="O207" s="8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</row>
    <row r="208" ht="15.75" customHeight="1">
      <c r="A208" s="4"/>
      <c r="B208" s="4"/>
      <c r="C208" s="8"/>
      <c r="D208" s="4"/>
      <c r="E208" s="4"/>
      <c r="F208" s="8"/>
      <c r="G208" s="4"/>
      <c r="H208" s="4"/>
      <c r="I208" s="8"/>
      <c r="J208" s="4"/>
      <c r="K208" s="4"/>
      <c r="L208" s="8"/>
      <c r="M208" s="4"/>
      <c r="N208" s="4"/>
      <c r="O208" s="8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</row>
    <row r="209" ht="15.75" customHeight="1">
      <c r="A209" s="4"/>
      <c r="B209" s="4"/>
      <c r="C209" s="8"/>
      <c r="D209" s="4"/>
      <c r="E209" s="4"/>
      <c r="F209" s="8"/>
      <c r="G209" s="4"/>
      <c r="H209" s="4"/>
      <c r="I209" s="8"/>
      <c r="J209" s="4"/>
      <c r="K209" s="4"/>
      <c r="L209" s="8"/>
      <c r="M209" s="4"/>
      <c r="N209" s="4"/>
      <c r="O209" s="8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</row>
    <row r="210" ht="15.75" customHeight="1">
      <c r="A210" s="4"/>
      <c r="B210" s="4"/>
      <c r="C210" s="8"/>
      <c r="D210" s="4"/>
      <c r="E210" s="4"/>
      <c r="F210" s="8"/>
      <c r="G210" s="4"/>
      <c r="H210" s="4"/>
      <c r="I210" s="8"/>
      <c r="J210" s="4"/>
      <c r="K210" s="4"/>
      <c r="L210" s="8"/>
      <c r="M210" s="4"/>
      <c r="N210" s="4"/>
      <c r="O210" s="8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</row>
    <row r="211" ht="15.75" customHeight="1">
      <c r="A211" s="4"/>
      <c r="B211" s="4"/>
      <c r="C211" s="8"/>
      <c r="D211" s="4"/>
      <c r="E211" s="4"/>
      <c r="F211" s="8"/>
      <c r="G211" s="4"/>
      <c r="H211" s="4"/>
      <c r="I211" s="8"/>
      <c r="J211" s="4"/>
      <c r="K211" s="4"/>
      <c r="L211" s="8"/>
      <c r="M211" s="4"/>
      <c r="N211" s="4"/>
      <c r="O211" s="8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</row>
    <row r="212" ht="15.75" customHeight="1">
      <c r="A212" s="4"/>
      <c r="B212" s="4"/>
      <c r="C212" s="8"/>
      <c r="D212" s="4"/>
      <c r="E212" s="4"/>
      <c r="F212" s="8"/>
      <c r="G212" s="4"/>
      <c r="H212" s="4"/>
      <c r="I212" s="8"/>
      <c r="J212" s="4"/>
      <c r="K212" s="4"/>
      <c r="L212" s="8"/>
      <c r="M212" s="4"/>
      <c r="N212" s="4"/>
      <c r="O212" s="8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</row>
    <row r="213" ht="15.75" customHeight="1">
      <c r="A213" s="4"/>
      <c r="B213" s="4"/>
      <c r="C213" s="8"/>
      <c r="D213" s="4"/>
      <c r="E213" s="4"/>
      <c r="F213" s="8"/>
      <c r="G213" s="4"/>
      <c r="H213" s="4"/>
      <c r="I213" s="8"/>
      <c r="J213" s="4"/>
      <c r="K213" s="4"/>
      <c r="L213" s="8"/>
      <c r="M213" s="4"/>
      <c r="N213" s="4"/>
      <c r="O213" s="8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</row>
    <row r="214" ht="15.75" customHeight="1">
      <c r="A214" s="4"/>
      <c r="B214" s="4"/>
      <c r="C214" s="8"/>
      <c r="D214" s="4"/>
      <c r="E214" s="4"/>
      <c r="F214" s="8"/>
      <c r="G214" s="4"/>
      <c r="H214" s="4"/>
      <c r="I214" s="8"/>
      <c r="J214" s="4"/>
      <c r="K214" s="4"/>
      <c r="L214" s="8"/>
      <c r="M214" s="4"/>
      <c r="N214" s="4"/>
      <c r="O214" s="8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</row>
    <row r="215" ht="15.75" customHeight="1">
      <c r="A215" s="4"/>
      <c r="B215" s="4"/>
      <c r="C215" s="8"/>
      <c r="D215" s="4"/>
      <c r="E215" s="4"/>
      <c r="F215" s="8"/>
      <c r="G215" s="4"/>
      <c r="H215" s="4"/>
      <c r="I215" s="8"/>
      <c r="J215" s="4"/>
      <c r="K215" s="4"/>
      <c r="L215" s="8"/>
      <c r="M215" s="4"/>
      <c r="N215" s="4"/>
      <c r="O215" s="8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</row>
    <row r="216" ht="15.75" customHeight="1">
      <c r="A216" s="4"/>
      <c r="B216" s="4"/>
      <c r="C216" s="8"/>
      <c r="D216" s="4"/>
      <c r="E216" s="4"/>
      <c r="F216" s="8"/>
      <c r="G216" s="4"/>
      <c r="H216" s="4"/>
      <c r="I216" s="8"/>
      <c r="J216" s="4"/>
      <c r="K216" s="4"/>
      <c r="L216" s="8"/>
      <c r="M216" s="4"/>
      <c r="N216" s="4"/>
      <c r="O216" s="8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</row>
    <row r="217" ht="15.75" customHeight="1">
      <c r="A217" s="4"/>
      <c r="B217" s="4"/>
      <c r="C217" s="8"/>
      <c r="D217" s="4"/>
      <c r="E217" s="4"/>
      <c r="F217" s="8"/>
      <c r="G217" s="4"/>
      <c r="H217" s="4"/>
      <c r="I217" s="8"/>
      <c r="J217" s="4"/>
      <c r="K217" s="4"/>
      <c r="L217" s="8"/>
      <c r="M217" s="4"/>
      <c r="N217" s="4"/>
      <c r="O217" s="8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</row>
    <row r="218" ht="15.75" customHeight="1">
      <c r="A218" s="4"/>
      <c r="B218" s="4"/>
      <c r="C218" s="8"/>
      <c r="D218" s="4"/>
      <c r="E218" s="4"/>
      <c r="F218" s="8"/>
      <c r="G218" s="4"/>
      <c r="H218" s="4"/>
      <c r="I218" s="8"/>
      <c r="J218" s="4"/>
      <c r="K218" s="4"/>
      <c r="L218" s="8"/>
      <c r="M218" s="4"/>
      <c r="N218" s="4"/>
      <c r="O218" s="8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</row>
    <row r="219" ht="15.75" customHeight="1">
      <c r="A219" s="4"/>
      <c r="B219" s="4"/>
      <c r="C219" s="8"/>
      <c r="D219" s="4"/>
      <c r="E219" s="4"/>
      <c r="F219" s="8"/>
      <c r="G219" s="4"/>
      <c r="H219" s="4"/>
      <c r="I219" s="8"/>
      <c r="J219" s="4"/>
      <c r="K219" s="4"/>
      <c r="L219" s="8"/>
      <c r="M219" s="4"/>
      <c r="N219" s="4"/>
      <c r="O219" s="8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</row>
    <row r="220" ht="15.75" customHeight="1">
      <c r="A220" s="4"/>
      <c r="B220" s="4"/>
      <c r="C220" s="8"/>
      <c r="D220" s="4"/>
      <c r="E220" s="4"/>
      <c r="F220" s="8"/>
      <c r="G220" s="4"/>
      <c r="H220" s="4"/>
      <c r="I220" s="8"/>
      <c r="J220" s="4"/>
      <c r="K220" s="4"/>
      <c r="L220" s="8"/>
      <c r="M220" s="4"/>
      <c r="N220" s="4"/>
      <c r="O220" s="8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</row>
    <row r="221" ht="15.75" customHeight="1">
      <c r="A221" s="4"/>
      <c r="B221" s="4"/>
      <c r="C221" s="8"/>
      <c r="D221" s="4"/>
      <c r="E221" s="4"/>
      <c r="F221" s="8"/>
      <c r="G221" s="4"/>
      <c r="H221" s="4"/>
      <c r="I221" s="8"/>
      <c r="J221" s="4"/>
      <c r="K221" s="4"/>
      <c r="L221" s="8"/>
      <c r="M221" s="4"/>
      <c r="N221" s="4"/>
      <c r="O221" s="8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</row>
    <row r="222" ht="15.75" customHeight="1">
      <c r="A222" s="4"/>
      <c r="B222" s="4"/>
      <c r="C222" s="8"/>
      <c r="D222" s="4"/>
      <c r="E222" s="4"/>
      <c r="F222" s="8"/>
      <c r="G222" s="4"/>
      <c r="H222" s="4"/>
      <c r="I222" s="8"/>
      <c r="J222" s="4"/>
      <c r="K222" s="4"/>
      <c r="L222" s="8"/>
      <c r="M222" s="4"/>
      <c r="N222" s="4"/>
      <c r="O222" s="8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</row>
    <row r="223" ht="15.75" customHeight="1">
      <c r="A223" s="4"/>
      <c r="B223" s="4"/>
      <c r="C223" s="8"/>
      <c r="D223" s="4"/>
      <c r="E223" s="4"/>
      <c r="F223" s="8"/>
      <c r="G223" s="4"/>
      <c r="H223" s="4"/>
      <c r="I223" s="8"/>
      <c r="J223" s="4"/>
      <c r="K223" s="4"/>
      <c r="L223" s="8"/>
      <c r="M223" s="4"/>
      <c r="N223" s="4"/>
      <c r="O223" s="8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</row>
    <row r="224" ht="15.75" customHeight="1">
      <c r="A224" s="4"/>
      <c r="B224" s="4"/>
      <c r="C224" s="8"/>
      <c r="D224" s="4"/>
      <c r="E224" s="4"/>
      <c r="F224" s="8"/>
      <c r="G224" s="4"/>
      <c r="H224" s="4"/>
      <c r="I224" s="8"/>
      <c r="J224" s="4"/>
      <c r="K224" s="4"/>
      <c r="L224" s="8"/>
      <c r="M224" s="4"/>
      <c r="N224" s="4"/>
      <c r="O224" s="8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</row>
    <row r="225" ht="15.75" customHeight="1">
      <c r="A225" s="4"/>
      <c r="B225" s="4"/>
      <c r="C225" s="8"/>
      <c r="D225" s="4"/>
      <c r="E225" s="4"/>
      <c r="F225" s="8"/>
      <c r="G225" s="4"/>
      <c r="H225" s="4"/>
      <c r="I225" s="8"/>
      <c r="J225" s="4"/>
      <c r="K225" s="4"/>
      <c r="L225" s="8"/>
      <c r="M225" s="4"/>
      <c r="N225" s="4"/>
      <c r="O225" s="8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</row>
    <row r="226" ht="15.75" customHeight="1">
      <c r="A226" s="4"/>
      <c r="B226" s="4"/>
      <c r="C226" s="8"/>
      <c r="D226" s="4"/>
      <c r="E226" s="4"/>
      <c r="F226" s="8"/>
      <c r="G226" s="4"/>
      <c r="H226" s="4"/>
      <c r="I226" s="8"/>
      <c r="J226" s="4"/>
      <c r="K226" s="4"/>
      <c r="L226" s="8"/>
      <c r="M226" s="4"/>
      <c r="N226" s="4"/>
      <c r="O226" s="8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</row>
    <row r="227" ht="15.75" customHeight="1">
      <c r="A227" s="4"/>
      <c r="B227" s="4"/>
      <c r="C227" s="8"/>
      <c r="D227" s="4"/>
      <c r="E227" s="4"/>
      <c r="F227" s="8"/>
      <c r="G227" s="4"/>
      <c r="H227" s="4"/>
      <c r="I227" s="8"/>
      <c r="J227" s="4"/>
      <c r="K227" s="4"/>
      <c r="L227" s="8"/>
      <c r="M227" s="4"/>
      <c r="N227" s="4"/>
      <c r="O227" s="8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</row>
    <row r="228" ht="15.75" customHeight="1">
      <c r="A228" s="4"/>
      <c r="B228" s="4"/>
      <c r="C228" s="8"/>
      <c r="D228" s="4"/>
      <c r="E228" s="4"/>
      <c r="F228" s="8"/>
      <c r="G228" s="4"/>
      <c r="H228" s="4"/>
      <c r="I228" s="8"/>
      <c r="J228" s="4"/>
      <c r="K228" s="4"/>
      <c r="L228" s="8"/>
      <c r="M228" s="4"/>
      <c r="N228" s="4"/>
      <c r="O228" s="8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</row>
    <row r="229" ht="15.75" customHeight="1">
      <c r="A229" s="4"/>
      <c r="B229" s="4"/>
      <c r="C229" s="8"/>
      <c r="D229" s="4"/>
      <c r="E229" s="4"/>
      <c r="F229" s="8"/>
      <c r="G229" s="4"/>
      <c r="H229" s="4"/>
      <c r="I229" s="8"/>
      <c r="J229" s="4"/>
      <c r="K229" s="4"/>
      <c r="L229" s="8"/>
      <c r="M229" s="4"/>
      <c r="N229" s="4"/>
      <c r="O229" s="8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</row>
    <row r="230" ht="15.75" customHeight="1">
      <c r="A230" s="4"/>
      <c r="B230" s="4"/>
      <c r="C230" s="8"/>
      <c r="D230" s="4"/>
      <c r="E230" s="4"/>
      <c r="F230" s="8"/>
      <c r="G230" s="4"/>
      <c r="H230" s="4"/>
      <c r="I230" s="8"/>
      <c r="J230" s="4"/>
      <c r="K230" s="4"/>
      <c r="L230" s="8"/>
      <c r="M230" s="4"/>
      <c r="N230" s="4"/>
      <c r="O230" s="8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</row>
    <row r="231" ht="15.75" customHeight="1">
      <c r="A231" s="4"/>
      <c r="B231" s="4"/>
      <c r="C231" s="8"/>
      <c r="D231" s="4"/>
      <c r="E231" s="4"/>
      <c r="F231" s="8"/>
      <c r="G231" s="4"/>
      <c r="H231" s="4"/>
      <c r="I231" s="8"/>
      <c r="J231" s="4"/>
      <c r="K231" s="4"/>
      <c r="L231" s="8"/>
      <c r="M231" s="4"/>
      <c r="N231" s="4"/>
      <c r="O231" s="8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</row>
    <row r="232" ht="15.75" customHeight="1">
      <c r="A232" s="4"/>
      <c r="B232" s="4"/>
      <c r="C232" s="8"/>
      <c r="D232" s="4"/>
      <c r="E232" s="4"/>
      <c r="F232" s="8"/>
      <c r="G232" s="4"/>
      <c r="H232" s="4"/>
      <c r="I232" s="8"/>
      <c r="J232" s="4"/>
      <c r="K232" s="4"/>
      <c r="L232" s="8"/>
      <c r="M232" s="4"/>
      <c r="N232" s="4"/>
      <c r="O232" s="8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</row>
    <row r="233" ht="15.75" customHeight="1">
      <c r="A233" s="4"/>
      <c r="B233" s="4"/>
      <c r="C233" s="8"/>
      <c r="D233" s="4"/>
      <c r="E233" s="4"/>
      <c r="F233" s="8"/>
      <c r="G233" s="4"/>
      <c r="H233" s="4"/>
      <c r="I233" s="8"/>
      <c r="J233" s="4"/>
      <c r="K233" s="4"/>
      <c r="L233" s="8"/>
      <c r="M233" s="4"/>
      <c r="N233" s="4"/>
      <c r="O233" s="8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</row>
    <row r="234" ht="15.75" customHeight="1">
      <c r="A234" s="4"/>
      <c r="B234" s="4"/>
      <c r="C234" s="8"/>
      <c r="D234" s="4"/>
      <c r="E234" s="4"/>
      <c r="F234" s="8"/>
      <c r="G234" s="4"/>
      <c r="H234" s="4"/>
      <c r="I234" s="8"/>
      <c r="J234" s="4"/>
      <c r="K234" s="4"/>
      <c r="L234" s="8"/>
      <c r="M234" s="4"/>
      <c r="N234" s="4"/>
      <c r="O234" s="8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</row>
    <row r="235" ht="15.75" customHeight="1">
      <c r="A235" s="4"/>
      <c r="B235" s="4"/>
      <c r="C235" s="8"/>
      <c r="D235" s="4"/>
      <c r="E235" s="4"/>
      <c r="F235" s="8"/>
      <c r="G235" s="4"/>
      <c r="H235" s="4"/>
      <c r="I235" s="8"/>
      <c r="J235" s="4"/>
      <c r="K235" s="4"/>
      <c r="L235" s="8"/>
      <c r="M235" s="4"/>
      <c r="N235" s="4"/>
      <c r="O235" s="8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</row>
    <row r="236" ht="15.75" customHeight="1">
      <c r="A236" s="4"/>
      <c r="B236" s="4"/>
      <c r="C236" s="8"/>
      <c r="D236" s="4"/>
      <c r="E236" s="4"/>
      <c r="F236" s="8"/>
      <c r="G236" s="4"/>
      <c r="H236" s="4"/>
      <c r="I236" s="8"/>
      <c r="J236" s="4"/>
      <c r="K236" s="4"/>
      <c r="L236" s="8"/>
      <c r="M236" s="4"/>
      <c r="N236" s="4"/>
      <c r="O236" s="8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</row>
    <row r="237" ht="15.75" customHeight="1">
      <c r="A237" s="4"/>
      <c r="B237" s="4"/>
      <c r="C237" s="8"/>
      <c r="D237" s="4"/>
      <c r="E237" s="4"/>
      <c r="F237" s="8"/>
      <c r="G237" s="4"/>
      <c r="H237" s="4"/>
      <c r="I237" s="8"/>
      <c r="J237" s="4"/>
      <c r="K237" s="4"/>
      <c r="L237" s="8"/>
      <c r="M237" s="4"/>
      <c r="N237" s="4"/>
      <c r="O237" s="8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</row>
    <row r="238" ht="15.75" customHeight="1">
      <c r="A238" s="4"/>
      <c r="B238" s="4"/>
      <c r="C238" s="8"/>
      <c r="D238" s="4"/>
      <c r="E238" s="4"/>
      <c r="F238" s="8"/>
      <c r="G238" s="4"/>
      <c r="H238" s="4"/>
      <c r="I238" s="8"/>
      <c r="J238" s="4"/>
      <c r="K238" s="4"/>
      <c r="L238" s="8"/>
      <c r="M238" s="4"/>
      <c r="N238" s="4"/>
      <c r="O238" s="8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</row>
    <row r="239" ht="15.75" customHeight="1">
      <c r="A239" s="4"/>
      <c r="B239" s="4"/>
      <c r="C239" s="8"/>
      <c r="D239" s="4"/>
      <c r="E239" s="4"/>
      <c r="F239" s="8"/>
      <c r="G239" s="4"/>
      <c r="H239" s="4"/>
      <c r="I239" s="8"/>
      <c r="J239" s="4"/>
      <c r="K239" s="4"/>
      <c r="L239" s="8"/>
      <c r="M239" s="4"/>
      <c r="N239" s="4"/>
      <c r="O239" s="8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</row>
    <row r="240" ht="15.75" customHeight="1">
      <c r="A240" s="4"/>
      <c r="B240" s="4"/>
      <c r="C240" s="8"/>
      <c r="D240" s="4"/>
      <c r="E240" s="4"/>
      <c r="F240" s="8"/>
      <c r="G240" s="4"/>
      <c r="H240" s="4"/>
      <c r="I240" s="8"/>
      <c r="J240" s="4"/>
      <c r="K240" s="4"/>
      <c r="L240" s="8"/>
      <c r="M240" s="4"/>
      <c r="N240" s="4"/>
      <c r="O240" s="8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</row>
    <row r="241" ht="15.75" customHeight="1">
      <c r="A241" s="4"/>
      <c r="B241" s="4"/>
      <c r="C241" s="8"/>
      <c r="D241" s="4"/>
      <c r="E241" s="4"/>
      <c r="F241" s="8"/>
      <c r="G241" s="4"/>
      <c r="H241" s="4"/>
      <c r="I241" s="8"/>
      <c r="J241" s="4"/>
      <c r="K241" s="4"/>
      <c r="L241" s="8"/>
      <c r="M241" s="4"/>
      <c r="N241" s="4"/>
      <c r="O241" s="8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</row>
    <row r="242" ht="15.75" customHeight="1">
      <c r="A242" s="4"/>
      <c r="B242" s="4"/>
      <c r="C242" s="8"/>
      <c r="D242" s="4"/>
      <c r="E242" s="4"/>
      <c r="F242" s="8"/>
      <c r="G242" s="4"/>
      <c r="H242" s="4"/>
      <c r="I242" s="8"/>
      <c r="J242" s="4"/>
      <c r="K242" s="4"/>
      <c r="L242" s="8"/>
      <c r="M242" s="4"/>
      <c r="N242" s="4"/>
      <c r="O242" s="8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</row>
    <row r="243" ht="15.75" customHeight="1">
      <c r="A243" s="4"/>
      <c r="B243" s="4"/>
      <c r="C243" s="8"/>
      <c r="D243" s="4"/>
      <c r="E243" s="4"/>
      <c r="F243" s="8"/>
      <c r="G243" s="4"/>
      <c r="H243" s="4"/>
      <c r="I243" s="8"/>
      <c r="J243" s="4"/>
      <c r="K243" s="4"/>
      <c r="L243" s="8"/>
      <c r="M243" s="4"/>
      <c r="N243" s="4"/>
      <c r="O243" s="8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</row>
    <row r="244" ht="15.75" customHeight="1">
      <c r="A244" s="4"/>
      <c r="B244" s="4"/>
      <c r="C244" s="8"/>
      <c r="D244" s="4"/>
      <c r="E244" s="4"/>
      <c r="F244" s="8"/>
      <c r="G244" s="4"/>
      <c r="H244" s="4"/>
      <c r="I244" s="8"/>
      <c r="J244" s="4"/>
      <c r="K244" s="4"/>
      <c r="L244" s="8"/>
      <c r="M244" s="4"/>
      <c r="N244" s="4"/>
      <c r="O244" s="8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</row>
    <row r="245" ht="15.75" customHeight="1">
      <c r="A245" s="4"/>
      <c r="B245" s="4"/>
      <c r="C245" s="8"/>
      <c r="D245" s="4"/>
      <c r="E245" s="4"/>
      <c r="F245" s="8"/>
      <c r="G245" s="4"/>
      <c r="H245" s="4"/>
      <c r="I245" s="8"/>
      <c r="J245" s="4"/>
      <c r="K245" s="4"/>
      <c r="L245" s="8"/>
      <c r="M245" s="4"/>
      <c r="N245" s="4"/>
      <c r="O245" s="8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</row>
    <row r="246" ht="15.75" customHeight="1">
      <c r="A246" s="4"/>
      <c r="B246" s="4"/>
      <c r="C246" s="8"/>
      <c r="D246" s="4"/>
      <c r="E246" s="4"/>
      <c r="F246" s="8"/>
      <c r="G246" s="4"/>
      <c r="H246" s="4"/>
      <c r="I246" s="8"/>
      <c r="J246" s="4"/>
      <c r="K246" s="4"/>
      <c r="L246" s="8"/>
      <c r="M246" s="4"/>
      <c r="N246" s="4"/>
      <c r="O246" s="8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</row>
    <row r="247" ht="15.75" customHeight="1">
      <c r="A247" s="4"/>
      <c r="B247" s="4"/>
      <c r="C247" s="8"/>
      <c r="D247" s="4"/>
      <c r="E247" s="4"/>
      <c r="F247" s="8"/>
      <c r="G247" s="4"/>
      <c r="H247" s="4"/>
      <c r="I247" s="8"/>
      <c r="J247" s="4"/>
      <c r="K247" s="4"/>
      <c r="L247" s="8"/>
      <c r="M247" s="4"/>
      <c r="N247" s="4"/>
      <c r="O247" s="8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</row>
    <row r="248" ht="15.75" customHeight="1">
      <c r="A248" s="4"/>
      <c r="B248" s="4"/>
      <c r="C248" s="8"/>
      <c r="D248" s="4"/>
      <c r="E248" s="4"/>
      <c r="F248" s="8"/>
      <c r="G248" s="4"/>
      <c r="H248" s="4"/>
      <c r="I248" s="8"/>
      <c r="J248" s="4"/>
      <c r="K248" s="4"/>
      <c r="L248" s="8"/>
      <c r="M248" s="4"/>
      <c r="N248" s="4"/>
      <c r="O248" s="8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</row>
    <row r="249" ht="15.75" customHeight="1">
      <c r="A249" s="4"/>
      <c r="B249" s="4"/>
      <c r="C249" s="8"/>
      <c r="D249" s="4"/>
      <c r="E249" s="4"/>
      <c r="F249" s="8"/>
      <c r="G249" s="4"/>
      <c r="H249" s="4"/>
      <c r="I249" s="8"/>
      <c r="J249" s="4"/>
      <c r="K249" s="4"/>
      <c r="L249" s="8"/>
      <c r="M249" s="4"/>
      <c r="N249" s="4"/>
      <c r="O249" s="8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</row>
    <row r="250" ht="15.75" customHeight="1">
      <c r="A250" s="4"/>
      <c r="B250" s="4"/>
      <c r="C250" s="8"/>
      <c r="D250" s="4"/>
      <c r="E250" s="4"/>
      <c r="F250" s="8"/>
      <c r="G250" s="4"/>
      <c r="H250" s="4"/>
      <c r="I250" s="8"/>
      <c r="J250" s="4"/>
      <c r="K250" s="4"/>
      <c r="L250" s="8"/>
      <c r="M250" s="4"/>
      <c r="N250" s="4"/>
      <c r="O250" s="8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</row>
    <row r="251" ht="15.75" customHeight="1">
      <c r="A251" s="4"/>
      <c r="B251" s="4"/>
      <c r="C251" s="8"/>
      <c r="D251" s="4"/>
      <c r="E251" s="4"/>
      <c r="F251" s="8"/>
      <c r="G251" s="4"/>
      <c r="H251" s="4"/>
      <c r="I251" s="8"/>
      <c r="J251" s="4"/>
      <c r="K251" s="4"/>
      <c r="L251" s="8"/>
      <c r="M251" s="4"/>
      <c r="N251" s="4"/>
      <c r="O251" s="8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</row>
    <row r="252" ht="15.75" customHeight="1">
      <c r="A252" s="4"/>
      <c r="B252" s="4"/>
      <c r="C252" s="8"/>
      <c r="D252" s="4"/>
      <c r="E252" s="4"/>
      <c r="F252" s="8"/>
      <c r="G252" s="4"/>
      <c r="H252" s="4"/>
      <c r="I252" s="8"/>
      <c r="J252" s="4"/>
      <c r="K252" s="4"/>
      <c r="L252" s="8"/>
      <c r="M252" s="4"/>
      <c r="N252" s="4"/>
      <c r="O252" s="8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</row>
    <row r="253" ht="15.75" customHeight="1">
      <c r="A253" s="4"/>
      <c r="B253" s="4"/>
      <c r="C253" s="8"/>
      <c r="D253" s="4"/>
      <c r="E253" s="4"/>
      <c r="F253" s="8"/>
      <c r="G253" s="4"/>
      <c r="H253" s="4"/>
      <c r="I253" s="8"/>
      <c r="J253" s="4"/>
      <c r="K253" s="4"/>
      <c r="L253" s="8"/>
      <c r="M253" s="4"/>
      <c r="N253" s="4"/>
      <c r="O253" s="8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</row>
    <row r="254" ht="15.75" customHeight="1">
      <c r="A254" s="4"/>
      <c r="B254" s="4"/>
      <c r="C254" s="8"/>
      <c r="D254" s="4"/>
      <c r="E254" s="4"/>
      <c r="F254" s="8"/>
      <c r="G254" s="4"/>
      <c r="H254" s="4"/>
      <c r="I254" s="8"/>
      <c r="J254" s="4"/>
      <c r="K254" s="4"/>
      <c r="L254" s="8"/>
      <c r="M254" s="4"/>
      <c r="N254" s="4"/>
      <c r="O254" s="8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</row>
    <row r="255" ht="15.75" customHeight="1">
      <c r="A255" s="4"/>
      <c r="B255" s="4"/>
      <c r="C255" s="8"/>
      <c r="D255" s="4"/>
      <c r="E255" s="4"/>
      <c r="F255" s="8"/>
      <c r="G255" s="4"/>
      <c r="H255" s="4"/>
      <c r="I255" s="8"/>
      <c r="J255" s="4"/>
      <c r="K255" s="4"/>
      <c r="L255" s="8"/>
      <c r="M255" s="4"/>
      <c r="N255" s="4"/>
      <c r="O255" s="8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</row>
    <row r="256" ht="15.75" customHeight="1">
      <c r="A256" s="4"/>
      <c r="B256" s="4"/>
      <c r="C256" s="8"/>
      <c r="D256" s="4"/>
      <c r="E256" s="4"/>
      <c r="F256" s="8"/>
      <c r="G256" s="4"/>
      <c r="H256" s="4"/>
      <c r="I256" s="8"/>
      <c r="J256" s="4"/>
      <c r="K256" s="4"/>
      <c r="L256" s="8"/>
      <c r="M256" s="4"/>
      <c r="N256" s="4"/>
      <c r="O256" s="8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</row>
    <row r="257" ht="15.75" customHeight="1">
      <c r="A257" s="4"/>
      <c r="B257" s="4"/>
      <c r="C257" s="8"/>
      <c r="D257" s="4"/>
      <c r="E257" s="4"/>
      <c r="F257" s="8"/>
      <c r="G257" s="4"/>
      <c r="H257" s="4"/>
      <c r="I257" s="8"/>
      <c r="J257" s="4"/>
      <c r="K257" s="4"/>
      <c r="L257" s="8"/>
      <c r="M257" s="4"/>
      <c r="N257" s="4"/>
      <c r="O257" s="8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</row>
    <row r="258" ht="15.75" customHeight="1">
      <c r="A258" s="4"/>
      <c r="B258" s="4"/>
      <c r="C258" s="8"/>
      <c r="D258" s="4"/>
      <c r="E258" s="4"/>
      <c r="F258" s="8"/>
      <c r="G258" s="4"/>
      <c r="H258" s="4"/>
      <c r="I258" s="8"/>
      <c r="J258" s="4"/>
      <c r="K258" s="4"/>
      <c r="L258" s="8"/>
      <c r="M258" s="4"/>
      <c r="N258" s="4"/>
      <c r="O258" s="8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</row>
    <row r="259" ht="15.75" customHeight="1">
      <c r="A259" s="4"/>
      <c r="B259" s="4"/>
      <c r="C259" s="8"/>
      <c r="D259" s="4"/>
      <c r="E259" s="4"/>
      <c r="F259" s="8"/>
      <c r="G259" s="4"/>
      <c r="H259" s="4"/>
      <c r="I259" s="8"/>
      <c r="J259" s="4"/>
      <c r="K259" s="4"/>
      <c r="L259" s="8"/>
      <c r="M259" s="4"/>
      <c r="N259" s="4"/>
      <c r="O259" s="8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</row>
    <row r="260" ht="15.75" customHeight="1">
      <c r="A260" s="4"/>
      <c r="B260" s="4"/>
      <c r="C260" s="8"/>
      <c r="D260" s="4"/>
      <c r="E260" s="4"/>
      <c r="F260" s="8"/>
      <c r="G260" s="4"/>
      <c r="H260" s="4"/>
      <c r="I260" s="8"/>
      <c r="J260" s="4"/>
      <c r="K260" s="4"/>
      <c r="L260" s="8"/>
      <c r="M260" s="4"/>
      <c r="N260" s="4"/>
      <c r="O260" s="8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</row>
    <row r="261" ht="15.75" customHeight="1">
      <c r="A261" s="4"/>
      <c r="B261" s="4"/>
      <c r="C261" s="8"/>
      <c r="D261" s="4"/>
      <c r="E261" s="4"/>
      <c r="F261" s="8"/>
      <c r="G261" s="4"/>
      <c r="H261" s="4"/>
      <c r="I261" s="8"/>
      <c r="J261" s="4"/>
      <c r="K261" s="4"/>
      <c r="L261" s="8"/>
      <c r="M261" s="4"/>
      <c r="N261" s="4"/>
      <c r="O261" s="8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</row>
    <row r="262" ht="15.75" customHeight="1">
      <c r="A262" s="4"/>
      <c r="B262" s="4"/>
      <c r="C262" s="8"/>
      <c r="D262" s="4"/>
      <c r="E262" s="4"/>
      <c r="F262" s="8"/>
      <c r="G262" s="4"/>
      <c r="H262" s="4"/>
      <c r="I262" s="8"/>
      <c r="J262" s="4"/>
      <c r="K262" s="4"/>
      <c r="L262" s="8"/>
      <c r="M262" s="4"/>
      <c r="N262" s="4"/>
      <c r="O262" s="8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</row>
    <row r="263" ht="15.75" customHeight="1">
      <c r="A263" s="4"/>
      <c r="B263" s="4"/>
      <c r="C263" s="8"/>
      <c r="D263" s="4"/>
      <c r="E263" s="4"/>
      <c r="F263" s="8"/>
      <c r="G263" s="4"/>
      <c r="H263" s="4"/>
      <c r="I263" s="8"/>
      <c r="J263" s="4"/>
      <c r="K263" s="4"/>
      <c r="L263" s="8"/>
      <c r="M263" s="4"/>
      <c r="N263" s="4"/>
      <c r="O263" s="8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</row>
    <row r="264" ht="15.75" customHeight="1">
      <c r="A264" s="4"/>
      <c r="B264" s="4"/>
      <c r="C264" s="8"/>
      <c r="D264" s="4"/>
      <c r="E264" s="4"/>
      <c r="F264" s="8"/>
      <c r="G264" s="4"/>
      <c r="H264" s="4"/>
      <c r="I264" s="8"/>
      <c r="J264" s="4"/>
      <c r="K264" s="4"/>
      <c r="L264" s="8"/>
      <c r="M264" s="4"/>
      <c r="N264" s="4"/>
      <c r="O264" s="8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</row>
    <row r="265" ht="15.75" customHeight="1">
      <c r="A265" s="4"/>
      <c r="B265" s="4"/>
      <c r="C265" s="8"/>
      <c r="D265" s="4"/>
      <c r="E265" s="4"/>
      <c r="F265" s="8"/>
      <c r="G265" s="4"/>
      <c r="H265" s="4"/>
      <c r="I265" s="8"/>
      <c r="J265" s="4"/>
      <c r="K265" s="4"/>
      <c r="L265" s="8"/>
      <c r="M265" s="4"/>
      <c r="N265" s="4"/>
      <c r="O265" s="8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</row>
    <row r="266" ht="15.75" customHeight="1">
      <c r="A266" s="4"/>
      <c r="B266" s="4"/>
      <c r="C266" s="8"/>
      <c r="D266" s="4"/>
      <c r="E266" s="4"/>
      <c r="F266" s="8"/>
      <c r="G266" s="4"/>
      <c r="H266" s="4"/>
      <c r="I266" s="8"/>
      <c r="J266" s="4"/>
      <c r="K266" s="4"/>
      <c r="L266" s="8"/>
      <c r="M266" s="4"/>
      <c r="N266" s="4"/>
      <c r="O266" s="8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</row>
    <row r="267" ht="15.75" customHeight="1">
      <c r="A267" s="4"/>
      <c r="B267" s="4"/>
      <c r="C267" s="8"/>
      <c r="D267" s="4"/>
      <c r="E267" s="4"/>
      <c r="F267" s="8"/>
      <c r="G267" s="4"/>
      <c r="H267" s="4"/>
      <c r="I267" s="8"/>
      <c r="J267" s="4"/>
      <c r="K267" s="4"/>
      <c r="L267" s="8"/>
      <c r="M267" s="4"/>
      <c r="N267" s="4"/>
      <c r="O267" s="8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</row>
    <row r="268" ht="15.75" customHeight="1">
      <c r="A268" s="4"/>
      <c r="B268" s="4"/>
      <c r="C268" s="8"/>
      <c r="D268" s="4"/>
      <c r="E268" s="4"/>
      <c r="F268" s="8"/>
      <c r="G268" s="4"/>
      <c r="H268" s="4"/>
      <c r="I268" s="8"/>
      <c r="J268" s="4"/>
      <c r="K268" s="4"/>
      <c r="L268" s="8"/>
      <c r="M268" s="4"/>
      <c r="N268" s="4"/>
      <c r="O268" s="8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</row>
    <row r="269" ht="15.75" customHeight="1">
      <c r="A269" s="4"/>
      <c r="B269" s="4"/>
      <c r="C269" s="8"/>
      <c r="D269" s="4"/>
      <c r="E269" s="4"/>
      <c r="F269" s="8"/>
      <c r="G269" s="4"/>
      <c r="H269" s="4"/>
      <c r="I269" s="8"/>
      <c r="J269" s="4"/>
      <c r="K269" s="4"/>
      <c r="L269" s="8"/>
      <c r="M269" s="4"/>
      <c r="N269" s="4"/>
      <c r="O269" s="8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</row>
    <row r="270" ht="15.75" customHeight="1">
      <c r="A270" s="4"/>
      <c r="B270" s="4"/>
      <c r="C270" s="8"/>
      <c r="D270" s="4"/>
      <c r="E270" s="4"/>
      <c r="F270" s="8"/>
      <c r="G270" s="4"/>
      <c r="H270" s="4"/>
      <c r="I270" s="8"/>
      <c r="J270" s="4"/>
      <c r="K270" s="4"/>
      <c r="L270" s="8"/>
      <c r="M270" s="4"/>
      <c r="N270" s="4"/>
      <c r="O270" s="8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</row>
    <row r="271" ht="15.75" customHeight="1">
      <c r="A271" s="4"/>
      <c r="B271" s="4"/>
      <c r="C271" s="8"/>
      <c r="D271" s="4"/>
      <c r="E271" s="4"/>
      <c r="F271" s="8"/>
      <c r="G271" s="4"/>
      <c r="H271" s="4"/>
      <c r="I271" s="8"/>
      <c r="J271" s="4"/>
      <c r="K271" s="4"/>
      <c r="L271" s="8"/>
      <c r="M271" s="4"/>
      <c r="N271" s="4"/>
      <c r="O271" s="8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</row>
    <row r="272" ht="15.75" customHeight="1">
      <c r="A272" s="4"/>
      <c r="B272" s="4"/>
      <c r="C272" s="8"/>
      <c r="D272" s="4"/>
      <c r="E272" s="4"/>
      <c r="F272" s="8"/>
      <c r="G272" s="4"/>
      <c r="H272" s="4"/>
      <c r="I272" s="8"/>
      <c r="J272" s="4"/>
      <c r="K272" s="4"/>
      <c r="L272" s="8"/>
      <c r="M272" s="4"/>
      <c r="N272" s="4"/>
      <c r="O272" s="8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</row>
    <row r="273" ht="15.75" customHeight="1">
      <c r="A273" s="4"/>
      <c r="B273" s="4"/>
      <c r="C273" s="8"/>
      <c r="D273" s="4"/>
      <c r="E273" s="4"/>
      <c r="F273" s="8"/>
      <c r="G273" s="4"/>
      <c r="H273" s="4"/>
      <c r="I273" s="8"/>
      <c r="J273" s="4"/>
      <c r="K273" s="4"/>
      <c r="L273" s="8"/>
      <c r="M273" s="4"/>
      <c r="N273" s="4"/>
      <c r="O273" s="8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</row>
    <row r="274" ht="15.75" customHeight="1">
      <c r="A274" s="4"/>
      <c r="B274" s="4"/>
      <c r="C274" s="8"/>
      <c r="D274" s="4"/>
      <c r="E274" s="4"/>
      <c r="F274" s="8"/>
      <c r="G274" s="4"/>
      <c r="H274" s="4"/>
      <c r="I274" s="8"/>
      <c r="J274" s="4"/>
      <c r="K274" s="4"/>
      <c r="L274" s="8"/>
      <c r="M274" s="4"/>
      <c r="N274" s="4"/>
      <c r="O274" s="8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</row>
    <row r="275" ht="15.75" customHeight="1">
      <c r="A275" s="4"/>
      <c r="B275" s="4"/>
      <c r="C275" s="8"/>
      <c r="D275" s="4"/>
      <c r="E275" s="4"/>
      <c r="F275" s="8"/>
      <c r="G275" s="4"/>
      <c r="H275" s="4"/>
      <c r="I275" s="8"/>
      <c r="J275" s="4"/>
      <c r="K275" s="4"/>
      <c r="L275" s="8"/>
      <c r="M275" s="4"/>
      <c r="N275" s="4"/>
      <c r="O275" s="8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</row>
    <row r="276" ht="15.75" customHeight="1">
      <c r="A276" s="4"/>
      <c r="B276" s="4"/>
      <c r="C276" s="8"/>
      <c r="D276" s="4"/>
      <c r="E276" s="4"/>
      <c r="F276" s="8"/>
      <c r="G276" s="4"/>
      <c r="H276" s="4"/>
      <c r="I276" s="8"/>
      <c r="J276" s="4"/>
      <c r="K276" s="4"/>
      <c r="L276" s="8"/>
      <c r="M276" s="4"/>
      <c r="N276" s="4"/>
      <c r="O276" s="8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</row>
    <row r="277" ht="15.75" customHeight="1">
      <c r="A277" s="4"/>
      <c r="B277" s="4"/>
      <c r="C277" s="8"/>
      <c r="D277" s="4"/>
      <c r="E277" s="4"/>
      <c r="F277" s="8"/>
      <c r="G277" s="4"/>
      <c r="H277" s="4"/>
      <c r="I277" s="8"/>
      <c r="J277" s="4"/>
      <c r="K277" s="4"/>
      <c r="L277" s="8"/>
      <c r="M277" s="4"/>
      <c r="N277" s="4"/>
      <c r="O277" s="8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</row>
    <row r="278" ht="15.75" customHeight="1">
      <c r="A278" s="4"/>
      <c r="B278" s="4"/>
      <c r="C278" s="8"/>
      <c r="D278" s="4"/>
      <c r="E278" s="4"/>
      <c r="F278" s="8"/>
      <c r="G278" s="4"/>
      <c r="H278" s="4"/>
      <c r="I278" s="8"/>
      <c r="J278" s="4"/>
      <c r="K278" s="4"/>
      <c r="L278" s="8"/>
      <c r="M278" s="4"/>
      <c r="N278" s="4"/>
      <c r="O278" s="8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</row>
    <row r="279" ht="15.75" customHeight="1">
      <c r="A279" s="4"/>
      <c r="B279" s="4"/>
      <c r="C279" s="8"/>
      <c r="D279" s="4"/>
      <c r="E279" s="4"/>
      <c r="F279" s="8"/>
      <c r="G279" s="4"/>
      <c r="H279" s="4"/>
      <c r="I279" s="8"/>
      <c r="J279" s="4"/>
      <c r="K279" s="4"/>
      <c r="L279" s="8"/>
      <c r="M279" s="4"/>
      <c r="N279" s="4"/>
      <c r="O279" s="8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</row>
    <row r="280" ht="15.75" customHeight="1">
      <c r="A280" s="4"/>
      <c r="B280" s="4"/>
      <c r="C280" s="8"/>
      <c r="D280" s="4"/>
      <c r="E280" s="4"/>
      <c r="F280" s="8"/>
      <c r="G280" s="4"/>
      <c r="H280" s="4"/>
      <c r="I280" s="8"/>
      <c r="J280" s="4"/>
      <c r="K280" s="4"/>
      <c r="L280" s="8"/>
      <c r="M280" s="4"/>
      <c r="N280" s="4"/>
      <c r="O280" s="8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</row>
    <row r="281" ht="15.75" customHeight="1">
      <c r="A281" s="4"/>
      <c r="B281" s="4"/>
      <c r="C281" s="8"/>
      <c r="D281" s="4"/>
      <c r="E281" s="4"/>
      <c r="F281" s="8"/>
      <c r="G281" s="4"/>
      <c r="H281" s="4"/>
      <c r="I281" s="8"/>
      <c r="J281" s="4"/>
      <c r="K281" s="4"/>
      <c r="L281" s="8"/>
      <c r="M281" s="4"/>
      <c r="N281" s="4"/>
      <c r="O281" s="8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</row>
    <row r="282" ht="15.75" customHeight="1">
      <c r="A282" s="4"/>
      <c r="B282" s="4"/>
      <c r="C282" s="8"/>
      <c r="D282" s="4"/>
      <c r="E282" s="4"/>
      <c r="F282" s="8"/>
      <c r="G282" s="4"/>
      <c r="H282" s="4"/>
      <c r="I282" s="8"/>
      <c r="J282" s="4"/>
      <c r="K282" s="4"/>
      <c r="L282" s="8"/>
      <c r="M282" s="4"/>
      <c r="N282" s="4"/>
      <c r="O282" s="8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</row>
    <row r="283" ht="15.75" customHeight="1">
      <c r="A283" s="4"/>
      <c r="B283" s="4"/>
      <c r="C283" s="8"/>
      <c r="D283" s="4"/>
      <c r="E283" s="4"/>
      <c r="F283" s="8"/>
      <c r="G283" s="4"/>
      <c r="H283" s="4"/>
      <c r="I283" s="8"/>
      <c r="J283" s="4"/>
      <c r="K283" s="4"/>
      <c r="L283" s="8"/>
      <c r="M283" s="4"/>
      <c r="N283" s="4"/>
      <c r="O283" s="8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</row>
    <row r="284" ht="15.75" customHeight="1">
      <c r="A284" s="4"/>
      <c r="B284" s="4"/>
      <c r="C284" s="8"/>
      <c r="D284" s="4"/>
      <c r="E284" s="4"/>
      <c r="F284" s="8"/>
      <c r="G284" s="4"/>
      <c r="H284" s="4"/>
      <c r="I284" s="8"/>
      <c r="J284" s="4"/>
      <c r="K284" s="4"/>
      <c r="L284" s="8"/>
      <c r="M284" s="4"/>
      <c r="N284" s="4"/>
      <c r="O284" s="8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</row>
    <row r="285" ht="15.75" customHeight="1">
      <c r="A285" s="4"/>
      <c r="B285" s="4"/>
      <c r="C285" s="8"/>
      <c r="D285" s="4"/>
      <c r="E285" s="4"/>
      <c r="F285" s="8"/>
      <c r="G285" s="4"/>
      <c r="H285" s="4"/>
      <c r="I285" s="8"/>
      <c r="J285" s="4"/>
      <c r="K285" s="4"/>
      <c r="L285" s="8"/>
      <c r="M285" s="4"/>
      <c r="N285" s="4"/>
      <c r="O285" s="8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</row>
    <row r="286" ht="15.75" customHeight="1">
      <c r="A286" s="4"/>
      <c r="B286" s="4"/>
      <c r="C286" s="8"/>
      <c r="D286" s="4"/>
      <c r="E286" s="4"/>
      <c r="F286" s="8"/>
      <c r="G286" s="4"/>
      <c r="H286" s="4"/>
      <c r="I286" s="8"/>
      <c r="J286" s="4"/>
      <c r="K286" s="4"/>
      <c r="L286" s="8"/>
      <c r="M286" s="4"/>
      <c r="N286" s="4"/>
      <c r="O286" s="8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</row>
    <row r="287" ht="15.75" customHeight="1">
      <c r="A287" s="4"/>
      <c r="B287" s="4"/>
      <c r="C287" s="8"/>
      <c r="D287" s="4"/>
      <c r="E287" s="4"/>
      <c r="F287" s="8"/>
      <c r="G287" s="4"/>
      <c r="H287" s="4"/>
      <c r="I287" s="8"/>
      <c r="J287" s="4"/>
      <c r="K287" s="4"/>
      <c r="L287" s="8"/>
      <c r="M287" s="4"/>
      <c r="N287" s="4"/>
      <c r="O287" s="8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</row>
    <row r="288" ht="15.75" customHeight="1">
      <c r="A288" s="4"/>
      <c r="B288" s="4"/>
      <c r="C288" s="8"/>
      <c r="D288" s="4"/>
      <c r="E288" s="4"/>
      <c r="F288" s="8"/>
      <c r="G288" s="4"/>
      <c r="H288" s="4"/>
      <c r="I288" s="8"/>
      <c r="J288" s="4"/>
      <c r="K288" s="4"/>
      <c r="L288" s="8"/>
      <c r="M288" s="4"/>
      <c r="N288" s="4"/>
      <c r="O288" s="8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</row>
    <row r="289" ht="15.75" customHeight="1">
      <c r="A289" s="4"/>
      <c r="B289" s="4"/>
      <c r="C289" s="8"/>
      <c r="D289" s="4"/>
      <c r="E289" s="4"/>
      <c r="F289" s="8"/>
      <c r="G289" s="4"/>
      <c r="H289" s="4"/>
      <c r="I289" s="8"/>
      <c r="J289" s="4"/>
      <c r="K289" s="4"/>
      <c r="L289" s="8"/>
      <c r="M289" s="4"/>
      <c r="N289" s="4"/>
      <c r="O289" s="8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</row>
    <row r="290" ht="15.75" customHeight="1">
      <c r="A290" s="4"/>
      <c r="B290" s="4"/>
      <c r="C290" s="8"/>
      <c r="D290" s="4"/>
      <c r="E290" s="4"/>
      <c r="F290" s="8"/>
      <c r="G290" s="4"/>
      <c r="H290" s="4"/>
      <c r="I290" s="8"/>
      <c r="J290" s="4"/>
      <c r="K290" s="4"/>
      <c r="L290" s="8"/>
      <c r="M290" s="4"/>
      <c r="N290" s="4"/>
      <c r="O290" s="8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</row>
    <row r="291" ht="15.75" customHeight="1">
      <c r="A291" s="4"/>
      <c r="B291" s="4"/>
      <c r="C291" s="8"/>
      <c r="D291" s="4"/>
      <c r="E291" s="4"/>
      <c r="F291" s="8"/>
      <c r="G291" s="4"/>
      <c r="H291" s="4"/>
      <c r="I291" s="8"/>
      <c r="J291" s="4"/>
      <c r="K291" s="4"/>
      <c r="L291" s="8"/>
      <c r="M291" s="4"/>
      <c r="N291" s="4"/>
      <c r="O291" s="8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</row>
    <row r="292" ht="15.75" customHeight="1">
      <c r="A292" s="4"/>
      <c r="B292" s="4"/>
      <c r="C292" s="8"/>
      <c r="D292" s="4"/>
      <c r="E292" s="4"/>
      <c r="F292" s="8"/>
      <c r="G292" s="4"/>
      <c r="H292" s="4"/>
      <c r="I292" s="8"/>
      <c r="J292" s="4"/>
      <c r="K292" s="4"/>
      <c r="L292" s="8"/>
      <c r="M292" s="4"/>
      <c r="N292" s="4"/>
      <c r="O292" s="8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</row>
    <row r="293" ht="15.75" customHeight="1">
      <c r="A293" s="4"/>
      <c r="B293" s="4"/>
      <c r="C293" s="8"/>
      <c r="D293" s="4"/>
      <c r="E293" s="4"/>
      <c r="F293" s="8"/>
      <c r="G293" s="4"/>
      <c r="H293" s="4"/>
      <c r="I293" s="8"/>
      <c r="J293" s="4"/>
      <c r="K293" s="4"/>
      <c r="L293" s="8"/>
      <c r="M293" s="4"/>
      <c r="N293" s="4"/>
      <c r="O293" s="8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</row>
    <row r="294" ht="15.75" customHeight="1">
      <c r="A294" s="4"/>
      <c r="B294" s="4"/>
      <c r="C294" s="8"/>
      <c r="D294" s="4"/>
      <c r="E294" s="4"/>
      <c r="F294" s="8"/>
      <c r="G294" s="4"/>
      <c r="H294" s="4"/>
      <c r="I294" s="8"/>
      <c r="J294" s="4"/>
      <c r="K294" s="4"/>
      <c r="L294" s="8"/>
      <c r="M294" s="4"/>
      <c r="N294" s="4"/>
      <c r="O294" s="8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</row>
    <row r="295" ht="15.75" customHeight="1">
      <c r="A295" s="4"/>
      <c r="B295" s="4"/>
      <c r="C295" s="8"/>
      <c r="D295" s="4"/>
      <c r="E295" s="4"/>
      <c r="F295" s="8"/>
      <c r="G295" s="4"/>
      <c r="H295" s="4"/>
      <c r="I295" s="8"/>
      <c r="J295" s="4"/>
      <c r="K295" s="4"/>
      <c r="L295" s="8"/>
      <c r="M295" s="4"/>
      <c r="N295" s="4"/>
      <c r="O295" s="8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</row>
    <row r="296" ht="15.75" customHeight="1">
      <c r="A296" s="4"/>
      <c r="B296" s="4"/>
      <c r="C296" s="8"/>
      <c r="D296" s="4"/>
      <c r="E296" s="4"/>
      <c r="F296" s="8"/>
      <c r="G296" s="4"/>
      <c r="H296" s="4"/>
      <c r="I296" s="8"/>
      <c r="J296" s="4"/>
      <c r="K296" s="4"/>
      <c r="L296" s="8"/>
      <c r="M296" s="4"/>
      <c r="N296" s="4"/>
      <c r="O296" s="8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</row>
    <row r="297" ht="15.75" customHeight="1">
      <c r="A297" s="4"/>
      <c r="B297" s="4"/>
      <c r="C297" s="8"/>
      <c r="D297" s="4"/>
      <c r="E297" s="4"/>
      <c r="F297" s="8"/>
      <c r="G297" s="4"/>
      <c r="H297" s="4"/>
      <c r="I297" s="8"/>
      <c r="J297" s="4"/>
      <c r="K297" s="4"/>
      <c r="L297" s="8"/>
      <c r="M297" s="4"/>
      <c r="N297" s="4"/>
      <c r="O297" s="8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</row>
    <row r="298" ht="15.75" customHeight="1">
      <c r="A298" s="4"/>
      <c r="B298" s="4"/>
      <c r="C298" s="8"/>
      <c r="D298" s="4"/>
      <c r="E298" s="4"/>
      <c r="F298" s="8"/>
      <c r="G298" s="4"/>
      <c r="H298" s="4"/>
      <c r="I298" s="8"/>
      <c r="J298" s="4"/>
      <c r="K298" s="4"/>
      <c r="L298" s="8"/>
      <c r="M298" s="4"/>
      <c r="N298" s="4"/>
      <c r="O298" s="8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</row>
    <row r="299" ht="15.75" customHeight="1">
      <c r="A299" s="4"/>
      <c r="B299" s="4"/>
      <c r="C299" s="8"/>
      <c r="D299" s="4"/>
      <c r="E299" s="4"/>
      <c r="F299" s="8"/>
      <c r="G299" s="4"/>
      <c r="H299" s="4"/>
      <c r="I299" s="8"/>
      <c r="J299" s="4"/>
      <c r="K299" s="4"/>
      <c r="L299" s="8"/>
      <c r="M299" s="4"/>
      <c r="N299" s="4"/>
      <c r="O299" s="8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</row>
    <row r="300" ht="15.75" customHeight="1">
      <c r="A300" s="4"/>
      <c r="B300" s="4"/>
      <c r="C300" s="8"/>
      <c r="D300" s="4"/>
      <c r="E300" s="4"/>
      <c r="F300" s="8"/>
      <c r="G300" s="4"/>
      <c r="H300" s="4"/>
      <c r="I300" s="8"/>
      <c r="J300" s="4"/>
      <c r="K300" s="4"/>
      <c r="L300" s="8"/>
      <c r="M300" s="4"/>
      <c r="N300" s="4"/>
      <c r="O300" s="8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</row>
    <row r="301" ht="15.75" customHeight="1">
      <c r="A301" s="4"/>
      <c r="B301" s="4"/>
      <c r="C301" s="8"/>
      <c r="D301" s="4"/>
      <c r="E301" s="4"/>
      <c r="F301" s="8"/>
      <c r="G301" s="4"/>
      <c r="H301" s="4"/>
      <c r="I301" s="8"/>
      <c r="J301" s="4"/>
      <c r="K301" s="4"/>
      <c r="L301" s="8"/>
      <c r="M301" s="4"/>
      <c r="N301" s="4"/>
      <c r="O301" s="8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</row>
    <row r="302" ht="15.75" customHeight="1">
      <c r="A302" s="4"/>
      <c r="B302" s="4"/>
      <c r="C302" s="8"/>
      <c r="D302" s="4"/>
      <c r="E302" s="4"/>
      <c r="F302" s="8"/>
      <c r="G302" s="4"/>
      <c r="H302" s="4"/>
      <c r="I302" s="8"/>
      <c r="J302" s="4"/>
      <c r="K302" s="4"/>
      <c r="L302" s="8"/>
      <c r="M302" s="4"/>
      <c r="N302" s="4"/>
      <c r="O302" s="8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</row>
    <row r="303" ht="15.75" customHeight="1">
      <c r="A303" s="4"/>
      <c r="B303" s="4"/>
      <c r="C303" s="8"/>
      <c r="D303" s="4"/>
      <c r="E303" s="4"/>
      <c r="F303" s="8"/>
      <c r="G303" s="4"/>
      <c r="H303" s="4"/>
      <c r="I303" s="8"/>
      <c r="J303" s="4"/>
      <c r="K303" s="4"/>
      <c r="L303" s="8"/>
      <c r="M303" s="4"/>
      <c r="N303" s="4"/>
      <c r="O303" s="8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</row>
    <row r="304" ht="15.75" customHeight="1">
      <c r="A304" s="4"/>
      <c r="B304" s="4"/>
      <c r="C304" s="8"/>
      <c r="D304" s="4"/>
      <c r="E304" s="4"/>
      <c r="F304" s="8"/>
      <c r="G304" s="4"/>
      <c r="H304" s="4"/>
      <c r="I304" s="8"/>
      <c r="J304" s="4"/>
      <c r="K304" s="4"/>
      <c r="L304" s="8"/>
      <c r="M304" s="4"/>
      <c r="N304" s="4"/>
      <c r="O304" s="8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</row>
    <row r="305" ht="15.75" customHeight="1">
      <c r="A305" s="4"/>
      <c r="B305" s="4"/>
      <c r="C305" s="8"/>
      <c r="D305" s="4"/>
      <c r="E305" s="4"/>
      <c r="F305" s="8"/>
      <c r="G305" s="4"/>
      <c r="H305" s="4"/>
      <c r="I305" s="8"/>
      <c r="J305" s="4"/>
      <c r="K305" s="4"/>
      <c r="L305" s="8"/>
      <c r="M305" s="4"/>
      <c r="N305" s="4"/>
      <c r="O305" s="8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</row>
    <row r="306" ht="15.75" customHeight="1">
      <c r="A306" s="4"/>
      <c r="B306" s="4"/>
      <c r="C306" s="8"/>
      <c r="D306" s="4"/>
      <c r="E306" s="4"/>
      <c r="F306" s="8"/>
      <c r="G306" s="4"/>
      <c r="H306" s="4"/>
      <c r="I306" s="8"/>
      <c r="J306" s="4"/>
      <c r="K306" s="4"/>
      <c r="L306" s="8"/>
      <c r="M306" s="4"/>
      <c r="N306" s="4"/>
      <c r="O306" s="8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</row>
    <row r="307" ht="15.75" customHeight="1">
      <c r="A307" s="4"/>
      <c r="B307" s="4"/>
      <c r="C307" s="8"/>
      <c r="D307" s="4"/>
      <c r="E307" s="4"/>
      <c r="F307" s="8"/>
      <c r="G307" s="4"/>
      <c r="H307" s="4"/>
      <c r="I307" s="8"/>
      <c r="J307" s="4"/>
      <c r="K307" s="4"/>
      <c r="L307" s="8"/>
      <c r="M307" s="4"/>
      <c r="N307" s="4"/>
      <c r="O307" s="8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</row>
    <row r="308" ht="15.75" customHeight="1">
      <c r="A308" s="4"/>
      <c r="B308" s="4"/>
      <c r="C308" s="8"/>
      <c r="D308" s="4"/>
      <c r="E308" s="4"/>
      <c r="F308" s="8"/>
      <c r="G308" s="4"/>
      <c r="H308" s="4"/>
      <c r="I308" s="8"/>
      <c r="J308" s="4"/>
      <c r="K308" s="4"/>
      <c r="L308" s="8"/>
      <c r="M308" s="4"/>
      <c r="N308" s="4"/>
      <c r="O308" s="8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</row>
    <row r="309" ht="15.75" customHeight="1">
      <c r="A309" s="4"/>
      <c r="B309" s="4"/>
      <c r="C309" s="8"/>
      <c r="D309" s="4"/>
      <c r="E309" s="4"/>
      <c r="F309" s="8"/>
      <c r="G309" s="4"/>
      <c r="H309" s="4"/>
      <c r="I309" s="8"/>
      <c r="J309" s="4"/>
      <c r="K309" s="4"/>
      <c r="L309" s="8"/>
      <c r="M309" s="4"/>
      <c r="N309" s="4"/>
      <c r="O309" s="8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</row>
    <row r="310" ht="15.75" customHeight="1">
      <c r="A310" s="4"/>
      <c r="B310" s="4"/>
      <c r="C310" s="8"/>
      <c r="D310" s="4"/>
      <c r="E310" s="4"/>
      <c r="F310" s="8"/>
      <c r="G310" s="4"/>
      <c r="H310" s="4"/>
      <c r="I310" s="8"/>
      <c r="J310" s="4"/>
      <c r="K310" s="4"/>
      <c r="L310" s="8"/>
      <c r="M310" s="4"/>
      <c r="N310" s="4"/>
      <c r="O310" s="8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</row>
    <row r="311" ht="15.75" customHeight="1">
      <c r="A311" s="4"/>
      <c r="B311" s="4"/>
      <c r="C311" s="8"/>
      <c r="D311" s="4"/>
      <c r="E311" s="4"/>
      <c r="F311" s="8"/>
      <c r="G311" s="4"/>
      <c r="H311" s="4"/>
      <c r="I311" s="8"/>
      <c r="J311" s="4"/>
      <c r="K311" s="4"/>
      <c r="L311" s="8"/>
      <c r="M311" s="4"/>
      <c r="N311" s="4"/>
      <c r="O311" s="8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</row>
    <row r="312" ht="15.75" customHeight="1">
      <c r="A312" s="4"/>
      <c r="B312" s="4"/>
      <c r="C312" s="8"/>
      <c r="D312" s="4"/>
      <c r="E312" s="4"/>
      <c r="F312" s="8"/>
      <c r="G312" s="4"/>
      <c r="H312" s="4"/>
      <c r="I312" s="8"/>
      <c r="J312" s="4"/>
      <c r="K312" s="4"/>
      <c r="L312" s="8"/>
      <c r="M312" s="4"/>
      <c r="N312" s="4"/>
      <c r="O312" s="8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</row>
    <row r="313" ht="15.75" customHeight="1">
      <c r="A313" s="4"/>
      <c r="B313" s="4"/>
      <c r="C313" s="8"/>
      <c r="D313" s="4"/>
      <c r="E313" s="4"/>
      <c r="F313" s="8"/>
      <c r="G313" s="4"/>
      <c r="H313" s="4"/>
      <c r="I313" s="8"/>
      <c r="J313" s="4"/>
      <c r="K313" s="4"/>
      <c r="L313" s="8"/>
      <c r="M313" s="4"/>
      <c r="N313" s="4"/>
      <c r="O313" s="8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</row>
    <row r="314" ht="15.75" customHeight="1">
      <c r="A314" s="4"/>
      <c r="B314" s="4"/>
      <c r="C314" s="8"/>
      <c r="D314" s="4"/>
      <c r="E314" s="4"/>
      <c r="F314" s="8"/>
      <c r="G314" s="4"/>
      <c r="H314" s="4"/>
      <c r="I314" s="8"/>
      <c r="J314" s="4"/>
      <c r="K314" s="4"/>
      <c r="L314" s="8"/>
      <c r="M314" s="4"/>
      <c r="N314" s="4"/>
      <c r="O314" s="8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</row>
    <row r="315" ht="15.75" customHeight="1">
      <c r="A315" s="4"/>
      <c r="B315" s="4"/>
      <c r="C315" s="8"/>
      <c r="D315" s="4"/>
      <c r="E315" s="4"/>
      <c r="F315" s="8"/>
      <c r="G315" s="4"/>
      <c r="H315" s="4"/>
      <c r="I315" s="8"/>
      <c r="J315" s="4"/>
      <c r="K315" s="4"/>
      <c r="L315" s="8"/>
      <c r="M315" s="4"/>
      <c r="N315" s="4"/>
      <c r="O315" s="8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</row>
    <row r="316" ht="15.75" customHeight="1">
      <c r="A316" s="4"/>
      <c r="B316" s="4"/>
      <c r="C316" s="8"/>
      <c r="D316" s="4"/>
      <c r="E316" s="4"/>
      <c r="F316" s="8"/>
      <c r="G316" s="4"/>
      <c r="H316" s="4"/>
      <c r="I316" s="8"/>
      <c r="J316" s="4"/>
      <c r="K316" s="4"/>
      <c r="L316" s="8"/>
      <c r="M316" s="4"/>
      <c r="N316" s="4"/>
      <c r="O316" s="8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</row>
    <row r="317" ht="15.75" customHeight="1">
      <c r="A317" s="4"/>
      <c r="B317" s="4"/>
      <c r="C317" s="8"/>
      <c r="D317" s="4"/>
      <c r="E317" s="4"/>
      <c r="F317" s="8"/>
      <c r="G317" s="4"/>
      <c r="H317" s="4"/>
      <c r="I317" s="8"/>
      <c r="J317" s="4"/>
      <c r="K317" s="4"/>
      <c r="L317" s="8"/>
      <c r="M317" s="4"/>
      <c r="N317" s="4"/>
      <c r="O317" s="8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</row>
    <row r="318" ht="15.75" customHeight="1">
      <c r="A318" s="4"/>
      <c r="B318" s="4"/>
      <c r="C318" s="8"/>
      <c r="D318" s="4"/>
      <c r="E318" s="4"/>
      <c r="F318" s="8"/>
      <c r="G318" s="4"/>
      <c r="H318" s="4"/>
      <c r="I318" s="8"/>
      <c r="J318" s="4"/>
      <c r="K318" s="4"/>
      <c r="L318" s="8"/>
      <c r="M318" s="4"/>
      <c r="N318" s="4"/>
      <c r="O318" s="8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</row>
    <row r="319" ht="15.75" customHeight="1">
      <c r="A319" s="4"/>
      <c r="B319" s="4"/>
      <c r="C319" s="8"/>
      <c r="D319" s="4"/>
      <c r="E319" s="4"/>
      <c r="F319" s="8"/>
      <c r="G319" s="4"/>
      <c r="H319" s="4"/>
      <c r="I319" s="8"/>
      <c r="J319" s="4"/>
      <c r="K319" s="4"/>
      <c r="L319" s="8"/>
      <c r="M319" s="4"/>
      <c r="N319" s="4"/>
      <c r="O319" s="8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</row>
    <row r="320" ht="15.75" customHeight="1">
      <c r="A320" s="4"/>
      <c r="B320" s="4"/>
      <c r="C320" s="8"/>
      <c r="D320" s="4"/>
      <c r="E320" s="4"/>
      <c r="F320" s="8"/>
      <c r="G320" s="4"/>
      <c r="H320" s="4"/>
      <c r="I320" s="8"/>
      <c r="J320" s="4"/>
      <c r="K320" s="4"/>
      <c r="L320" s="8"/>
      <c r="M320" s="4"/>
      <c r="N320" s="4"/>
      <c r="O320" s="8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</row>
    <row r="321" ht="15.75" customHeight="1">
      <c r="A321" s="4"/>
      <c r="B321" s="4"/>
      <c r="C321" s="8"/>
      <c r="D321" s="4"/>
      <c r="E321" s="4"/>
      <c r="F321" s="8"/>
      <c r="G321" s="4"/>
      <c r="H321" s="4"/>
      <c r="I321" s="8"/>
      <c r="J321" s="4"/>
      <c r="K321" s="4"/>
      <c r="L321" s="8"/>
      <c r="M321" s="4"/>
      <c r="N321" s="4"/>
      <c r="O321" s="8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</row>
    <row r="322" ht="15.75" customHeight="1">
      <c r="A322" s="4"/>
      <c r="B322" s="4"/>
      <c r="C322" s="8"/>
      <c r="D322" s="4"/>
      <c r="E322" s="4"/>
      <c r="F322" s="8"/>
      <c r="G322" s="4"/>
      <c r="H322" s="4"/>
      <c r="I322" s="8"/>
      <c r="J322" s="4"/>
      <c r="K322" s="4"/>
      <c r="L322" s="8"/>
      <c r="M322" s="4"/>
      <c r="N322" s="4"/>
      <c r="O322" s="8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</row>
    <row r="323" ht="15.75" customHeight="1">
      <c r="A323" s="4"/>
      <c r="B323" s="4"/>
      <c r="C323" s="8"/>
      <c r="D323" s="4"/>
      <c r="E323" s="4"/>
      <c r="F323" s="8"/>
      <c r="G323" s="4"/>
      <c r="H323" s="4"/>
      <c r="I323" s="8"/>
      <c r="J323" s="4"/>
      <c r="K323" s="4"/>
      <c r="L323" s="8"/>
      <c r="M323" s="4"/>
      <c r="N323" s="4"/>
      <c r="O323" s="8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</row>
    <row r="324" ht="15.75" customHeight="1">
      <c r="A324" s="4"/>
      <c r="B324" s="4"/>
      <c r="C324" s="8"/>
      <c r="D324" s="4"/>
      <c r="E324" s="4"/>
      <c r="F324" s="8"/>
      <c r="G324" s="4"/>
      <c r="H324" s="4"/>
      <c r="I324" s="8"/>
      <c r="J324" s="4"/>
      <c r="K324" s="4"/>
      <c r="L324" s="8"/>
      <c r="M324" s="4"/>
      <c r="N324" s="4"/>
      <c r="O324" s="8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</row>
    <row r="325" ht="15.75" customHeight="1">
      <c r="A325" s="4"/>
      <c r="B325" s="4"/>
      <c r="C325" s="8"/>
      <c r="D325" s="4"/>
      <c r="E325" s="4"/>
      <c r="F325" s="8"/>
      <c r="G325" s="4"/>
      <c r="H325" s="4"/>
      <c r="I325" s="8"/>
      <c r="J325" s="4"/>
      <c r="K325" s="4"/>
      <c r="L325" s="8"/>
      <c r="M325" s="4"/>
      <c r="N325" s="4"/>
      <c r="O325" s="8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</row>
    <row r="326" ht="15.75" customHeight="1">
      <c r="A326" s="4"/>
      <c r="B326" s="4"/>
      <c r="C326" s="8"/>
      <c r="D326" s="4"/>
      <c r="E326" s="4"/>
      <c r="F326" s="8"/>
      <c r="G326" s="4"/>
      <c r="H326" s="4"/>
      <c r="I326" s="8"/>
      <c r="J326" s="4"/>
      <c r="K326" s="4"/>
      <c r="L326" s="8"/>
      <c r="M326" s="4"/>
      <c r="N326" s="4"/>
      <c r="O326" s="8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</row>
    <row r="327" ht="15.75" customHeight="1">
      <c r="A327" s="4"/>
      <c r="B327" s="4"/>
      <c r="C327" s="8"/>
      <c r="D327" s="4"/>
      <c r="E327" s="4"/>
      <c r="F327" s="8"/>
      <c r="G327" s="4"/>
      <c r="H327" s="4"/>
      <c r="I327" s="8"/>
      <c r="J327" s="4"/>
      <c r="K327" s="4"/>
      <c r="L327" s="8"/>
      <c r="M327" s="4"/>
      <c r="N327" s="4"/>
      <c r="O327" s="8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</row>
    <row r="328" ht="15.75" customHeight="1">
      <c r="A328" s="4"/>
      <c r="B328" s="4"/>
      <c r="C328" s="8"/>
      <c r="D328" s="4"/>
      <c r="E328" s="4"/>
      <c r="F328" s="8"/>
      <c r="G328" s="4"/>
      <c r="H328" s="4"/>
      <c r="I328" s="8"/>
      <c r="J328" s="4"/>
      <c r="K328" s="4"/>
      <c r="L328" s="8"/>
      <c r="M328" s="4"/>
      <c r="N328" s="4"/>
      <c r="O328" s="8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</row>
    <row r="329" ht="15.75" customHeight="1">
      <c r="A329" s="4"/>
      <c r="B329" s="4"/>
      <c r="C329" s="8"/>
      <c r="D329" s="4"/>
      <c r="E329" s="4"/>
      <c r="F329" s="8"/>
      <c r="G329" s="4"/>
      <c r="H329" s="4"/>
      <c r="I329" s="8"/>
      <c r="J329" s="4"/>
      <c r="K329" s="4"/>
      <c r="L329" s="8"/>
      <c r="M329" s="4"/>
      <c r="N329" s="4"/>
      <c r="O329" s="8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</row>
    <row r="330" ht="15.75" customHeight="1">
      <c r="A330" s="4"/>
      <c r="B330" s="4"/>
      <c r="C330" s="8"/>
      <c r="D330" s="4"/>
      <c r="E330" s="4"/>
      <c r="F330" s="8"/>
      <c r="G330" s="4"/>
      <c r="H330" s="4"/>
      <c r="I330" s="8"/>
      <c r="J330" s="4"/>
      <c r="K330" s="4"/>
      <c r="L330" s="8"/>
      <c r="M330" s="4"/>
      <c r="N330" s="4"/>
      <c r="O330" s="8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</row>
    <row r="331" ht="15.75" customHeight="1">
      <c r="A331" s="4"/>
      <c r="B331" s="4"/>
      <c r="C331" s="8"/>
      <c r="D331" s="4"/>
      <c r="E331" s="4"/>
      <c r="F331" s="8"/>
      <c r="G331" s="4"/>
      <c r="H331" s="4"/>
      <c r="I331" s="8"/>
      <c r="J331" s="4"/>
      <c r="K331" s="4"/>
      <c r="L331" s="8"/>
      <c r="M331" s="4"/>
      <c r="N331" s="4"/>
      <c r="O331" s="8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</row>
    <row r="332" ht="15.75" customHeight="1">
      <c r="A332" s="4"/>
      <c r="B332" s="4"/>
      <c r="C332" s="8"/>
      <c r="D332" s="4"/>
      <c r="E332" s="4"/>
      <c r="F332" s="8"/>
      <c r="G332" s="4"/>
      <c r="H332" s="4"/>
      <c r="I332" s="8"/>
      <c r="J332" s="4"/>
      <c r="K332" s="4"/>
      <c r="L332" s="8"/>
      <c r="M332" s="4"/>
      <c r="N332" s="4"/>
      <c r="O332" s="8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</row>
    <row r="333" ht="15.75" customHeight="1">
      <c r="A333" s="4"/>
      <c r="B333" s="4"/>
      <c r="C333" s="8"/>
      <c r="D333" s="4"/>
      <c r="E333" s="4"/>
      <c r="F333" s="8"/>
      <c r="G333" s="4"/>
      <c r="H333" s="4"/>
      <c r="I333" s="8"/>
      <c r="J333" s="4"/>
      <c r="K333" s="4"/>
      <c r="L333" s="8"/>
      <c r="M333" s="4"/>
      <c r="N333" s="4"/>
      <c r="O333" s="8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</row>
    <row r="334" ht="15.75" customHeight="1">
      <c r="A334" s="4"/>
      <c r="B334" s="4"/>
      <c r="C334" s="8"/>
      <c r="D334" s="4"/>
      <c r="E334" s="4"/>
      <c r="F334" s="8"/>
      <c r="G334" s="4"/>
      <c r="H334" s="4"/>
      <c r="I334" s="8"/>
      <c r="J334" s="4"/>
      <c r="K334" s="4"/>
      <c r="L334" s="8"/>
      <c r="M334" s="4"/>
      <c r="N334" s="4"/>
      <c r="O334" s="8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</row>
    <row r="335" ht="15.75" customHeight="1">
      <c r="A335" s="4"/>
      <c r="B335" s="4"/>
      <c r="C335" s="8"/>
      <c r="D335" s="4"/>
      <c r="E335" s="4"/>
      <c r="F335" s="8"/>
      <c r="G335" s="4"/>
      <c r="H335" s="4"/>
      <c r="I335" s="8"/>
      <c r="J335" s="4"/>
      <c r="K335" s="4"/>
      <c r="L335" s="8"/>
      <c r="M335" s="4"/>
      <c r="N335" s="4"/>
      <c r="O335" s="8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</row>
    <row r="336" ht="15.75" customHeight="1">
      <c r="A336" s="4"/>
      <c r="B336" s="4"/>
      <c r="C336" s="8"/>
      <c r="D336" s="4"/>
      <c r="E336" s="4"/>
      <c r="F336" s="8"/>
      <c r="G336" s="4"/>
      <c r="H336" s="4"/>
      <c r="I336" s="8"/>
      <c r="J336" s="4"/>
      <c r="K336" s="4"/>
      <c r="L336" s="8"/>
      <c r="M336" s="4"/>
      <c r="N336" s="4"/>
      <c r="O336" s="8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</row>
    <row r="337" ht="15.75" customHeight="1">
      <c r="A337" s="4"/>
      <c r="B337" s="4"/>
      <c r="C337" s="8"/>
      <c r="D337" s="4"/>
      <c r="E337" s="4"/>
      <c r="F337" s="8"/>
      <c r="G337" s="4"/>
      <c r="H337" s="4"/>
      <c r="I337" s="8"/>
      <c r="J337" s="4"/>
      <c r="K337" s="4"/>
      <c r="L337" s="8"/>
      <c r="M337" s="4"/>
      <c r="N337" s="4"/>
      <c r="O337" s="8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</row>
    <row r="338" ht="15.75" customHeight="1">
      <c r="A338" s="4"/>
      <c r="B338" s="4"/>
      <c r="C338" s="8"/>
      <c r="D338" s="4"/>
      <c r="E338" s="4"/>
      <c r="F338" s="8"/>
      <c r="G338" s="4"/>
      <c r="H338" s="4"/>
      <c r="I338" s="8"/>
      <c r="J338" s="4"/>
      <c r="K338" s="4"/>
      <c r="L338" s="8"/>
      <c r="M338" s="4"/>
      <c r="N338" s="4"/>
      <c r="O338" s="8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</row>
    <row r="339" ht="15.75" customHeight="1">
      <c r="A339" s="4"/>
      <c r="B339" s="4"/>
      <c r="C339" s="8"/>
      <c r="D339" s="4"/>
      <c r="E339" s="4"/>
      <c r="F339" s="8"/>
      <c r="G339" s="4"/>
      <c r="H339" s="4"/>
      <c r="I339" s="8"/>
      <c r="J339" s="4"/>
      <c r="K339" s="4"/>
      <c r="L339" s="8"/>
      <c r="M339" s="4"/>
      <c r="N339" s="4"/>
      <c r="O339" s="8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</row>
    <row r="340" ht="15.75" customHeight="1">
      <c r="A340" s="4"/>
      <c r="B340" s="4"/>
      <c r="C340" s="8"/>
      <c r="D340" s="4"/>
      <c r="E340" s="4"/>
      <c r="F340" s="8"/>
      <c r="G340" s="4"/>
      <c r="H340" s="4"/>
      <c r="I340" s="8"/>
      <c r="J340" s="4"/>
      <c r="K340" s="4"/>
      <c r="L340" s="8"/>
      <c r="M340" s="4"/>
      <c r="N340" s="4"/>
      <c r="O340" s="8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</row>
    <row r="341" ht="15.75" customHeight="1">
      <c r="A341" s="4"/>
      <c r="B341" s="4"/>
      <c r="C341" s="8"/>
      <c r="D341" s="4"/>
      <c r="E341" s="4"/>
      <c r="F341" s="8"/>
      <c r="G341" s="4"/>
      <c r="H341" s="4"/>
      <c r="I341" s="8"/>
      <c r="J341" s="4"/>
      <c r="K341" s="4"/>
      <c r="L341" s="8"/>
      <c r="M341" s="4"/>
      <c r="N341" s="4"/>
      <c r="O341" s="8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</row>
    <row r="342" ht="15.75" customHeight="1">
      <c r="A342" s="4"/>
      <c r="B342" s="4"/>
      <c r="C342" s="8"/>
      <c r="D342" s="4"/>
      <c r="E342" s="4"/>
      <c r="F342" s="8"/>
      <c r="G342" s="4"/>
      <c r="H342" s="4"/>
      <c r="I342" s="8"/>
      <c r="J342" s="4"/>
      <c r="K342" s="4"/>
      <c r="L342" s="8"/>
      <c r="M342" s="4"/>
      <c r="N342" s="4"/>
      <c r="O342" s="8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</row>
    <row r="343" ht="15.75" customHeight="1">
      <c r="A343" s="4"/>
      <c r="B343" s="4"/>
      <c r="C343" s="8"/>
      <c r="D343" s="4"/>
      <c r="E343" s="4"/>
      <c r="F343" s="8"/>
      <c r="G343" s="4"/>
      <c r="H343" s="4"/>
      <c r="I343" s="8"/>
      <c r="J343" s="4"/>
      <c r="K343" s="4"/>
      <c r="L343" s="8"/>
      <c r="M343" s="4"/>
      <c r="N343" s="4"/>
      <c r="O343" s="8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</row>
    <row r="344" ht="15.75" customHeight="1">
      <c r="A344" s="4"/>
      <c r="B344" s="4"/>
      <c r="C344" s="8"/>
      <c r="D344" s="4"/>
      <c r="E344" s="4"/>
      <c r="F344" s="8"/>
      <c r="G344" s="4"/>
      <c r="H344" s="4"/>
      <c r="I344" s="8"/>
      <c r="J344" s="4"/>
      <c r="K344" s="4"/>
      <c r="L344" s="8"/>
      <c r="M344" s="4"/>
      <c r="N344" s="4"/>
      <c r="O344" s="8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</row>
    <row r="345" ht="15.75" customHeight="1">
      <c r="A345" s="4"/>
      <c r="B345" s="4"/>
      <c r="C345" s="8"/>
      <c r="D345" s="4"/>
      <c r="E345" s="4"/>
      <c r="F345" s="8"/>
      <c r="G345" s="4"/>
      <c r="H345" s="4"/>
      <c r="I345" s="8"/>
      <c r="J345" s="4"/>
      <c r="K345" s="4"/>
      <c r="L345" s="8"/>
      <c r="M345" s="4"/>
      <c r="N345" s="4"/>
      <c r="O345" s="8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</row>
    <row r="346" ht="15.75" customHeight="1">
      <c r="A346" s="4"/>
      <c r="B346" s="4"/>
      <c r="C346" s="8"/>
      <c r="D346" s="4"/>
      <c r="E346" s="4"/>
      <c r="F346" s="8"/>
      <c r="G346" s="4"/>
      <c r="H346" s="4"/>
      <c r="I346" s="8"/>
      <c r="J346" s="4"/>
      <c r="K346" s="4"/>
      <c r="L346" s="8"/>
      <c r="M346" s="4"/>
      <c r="N346" s="4"/>
      <c r="O346" s="8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</row>
    <row r="347" ht="15.75" customHeight="1">
      <c r="A347" s="4"/>
      <c r="B347" s="4"/>
      <c r="C347" s="8"/>
      <c r="D347" s="4"/>
      <c r="E347" s="4"/>
      <c r="F347" s="8"/>
      <c r="G347" s="4"/>
      <c r="H347" s="4"/>
      <c r="I347" s="8"/>
      <c r="J347" s="4"/>
      <c r="K347" s="4"/>
      <c r="L347" s="8"/>
      <c r="M347" s="4"/>
      <c r="N347" s="4"/>
      <c r="O347" s="8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</row>
    <row r="348" ht="15.75" customHeight="1">
      <c r="A348" s="4"/>
      <c r="B348" s="4"/>
      <c r="C348" s="8"/>
      <c r="D348" s="4"/>
      <c r="E348" s="4"/>
      <c r="F348" s="8"/>
      <c r="G348" s="4"/>
      <c r="H348" s="4"/>
      <c r="I348" s="8"/>
      <c r="J348" s="4"/>
      <c r="K348" s="4"/>
      <c r="L348" s="8"/>
      <c r="M348" s="4"/>
      <c r="N348" s="4"/>
      <c r="O348" s="8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</row>
    <row r="349" ht="15.75" customHeight="1">
      <c r="A349" s="4"/>
      <c r="B349" s="4"/>
      <c r="C349" s="8"/>
      <c r="D349" s="4"/>
      <c r="E349" s="4"/>
      <c r="F349" s="8"/>
      <c r="G349" s="4"/>
      <c r="H349" s="4"/>
      <c r="I349" s="8"/>
      <c r="J349" s="4"/>
      <c r="K349" s="4"/>
      <c r="L349" s="8"/>
      <c r="M349" s="4"/>
      <c r="N349" s="4"/>
      <c r="O349" s="8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</row>
    <row r="350" ht="15.75" customHeight="1">
      <c r="A350" s="4"/>
      <c r="B350" s="4"/>
      <c r="C350" s="8"/>
      <c r="D350" s="4"/>
      <c r="E350" s="4"/>
      <c r="F350" s="8"/>
      <c r="G350" s="4"/>
      <c r="H350" s="4"/>
      <c r="I350" s="8"/>
      <c r="J350" s="4"/>
      <c r="K350" s="4"/>
      <c r="L350" s="8"/>
      <c r="M350" s="4"/>
      <c r="N350" s="4"/>
      <c r="O350" s="8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</row>
    <row r="351" ht="15.75" customHeight="1">
      <c r="A351" s="4"/>
      <c r="B351" s="4"/>
      <c r="C351" s="8"/>
      <c r="D351" s="4"/>
      <c r="E351" s="4"/>
      <c r="F351" s="8"/>
      <c r="G351" s="4"/>
      <c r="H351" s="4"/>
      <c r="I351" s="8"/>
      <c r="J351" s="4"/>
      <c r="K351" s="4"/>
      <c r="L351" s="8"/>
      <c r="M351" s="4"/>
      <c r="N351" s="4"/>
      <c r="O351" s="8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</row>
    <row r="352" ht="15.75" customHeight="1">
      <c r="A352" s="4"/>
      <c r="B352" s="4"/>
      <c r="C352" s="8"/>
      <c r="D352" s="4"/>
      <c r="E352" s="4"/>
      <c r="F352" s="8"/>
      <c r="G352" s="4"/>
      <c r="H352" s="4"/>
      <c r="I352" s="8"/>
      <c r="J352" s="4"/>
      <c r="K352" s="4"/>
      <c r="L352" s="8"/>
      <c r="M352" s="4"/>
      <c r="N352" s="4"/>
      <c r="O352" s="8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</row>
    <row r="353" ht="15.75" customHeight="1">
      <c r="A353" s="4"/>
      <c r="B353" s="4"/>
      <c r="C353" s="8"/>
      <c r="D353" s="4"/>
      <c r="E353" s="4"/>
      <c r="F353" s="8"/>
      <c r="G353" s="4"/>
      <c r="H353" s="4"/>
      <c r="I353" s="8"/>
      <c r="J353" s="4"/>
      <c r="K353" s="4"/>
      <c r="L353" s="8"/>
      <c r="M353" s="4"/>
      <c r="N353" s="4"/>
      <c r="O353" s="8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</row>
    <row r="354" ht="15.75" customHeight="1">
      <c r="A354" s="4"/>
      <c r="B354" s="4"/>
      <c r="C354" s="8"/>
      <c r="D354" s="4"/>
      <c r="E354" s="4"/>
      <c r="F354" s="8"/>
      <c r="G354" s="4"/>
      <c r="H354" s="4"/>
      <c r="I354" s="8"/>
      <c r="J354" s="4"/>
      <c r="K354" s="4"/>
      <c r="L354" s="8"/>
      <c r="M354" s="4"/>
      <c r="N354" s="4"/>
      <c r="O354" s="8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</row>
    <row r="355" ht="15.75" customHeight="1">
      <c r="A355" s="4"/>
      <c r="B355" s="4"/>
      <c r="C355" s="8"/>
      <c r="D355" s="4"/>
      <c r="E355" s="4"/>
      <c r="F355" s="8"/>
      <c r="G355" s="4"/>
      <c r="H355" s="4"/>
      <c r="I355" s="8"/>
      <c r="J355" s="4"/>
      <c r="K355" s="4"/>
      <c r="L355" s="8"/>
      <c r="M355" s="4"/>
      <c r="N355" s="4"/>
      <c r="O355" s="8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</row>
    <row r="356" ht="15.75" customHeight="1">
      <c r="A356" s="4"/>
      <c r="B356" s="4"/>
      <c r="C356" s="8"/>
      <c r="D356" s="4"/>
      <c r="E356" s="4"/>
      <c r="F356" s="8"/>
      <c r="G356" s="4"/>
      <c r="H356" s="4"/>
      <c r="I356" s="8"/>
      <c r="J356" s="4"/>
      <c r="K356" s="4"/>
      <c r="L356" s="8"/>
      <c r="M356" s="4"/>
      <c r="N356" s="4"/>
      <c r="O356" s="8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</row>
    <row r="357" ht="15.75" customHeight="1">
      <c r="A357" s="4"/>
      <c r="B357" s="4"/>
      <c r="C357" s="8"/>
      <c r="D357" s="4"/>
      <c r="E357" s="4"/>
      <c r="F357" s="8"/>
      <c r="G357" s="4"/>
      <c r="H357" s="4"/>
      <c r="I357" s="8"/>
      <c r="J357" s="4"/>
      <c r="K357" s="4"/>
      <c r="L357" s="8"/>
      <c r="M357" s="4"/>
      <c r="N357" s="4"/>
      <c r="O357" s="8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</row>
    <row r="358" ht="15.75" customHeight="1">
      <c r="A358" s="4"/>
      <c r="B358" s="4"/>
      <c r="C358" s="8"/>
      <c r="D358" s="4"/>
      <c r="E358" s="4"/>
      <c r="F358" s="8"/>
      <c r="G358" s="4"/>
      <c r="H358" s="4"/>
      <c r="I358" s="8"/>
      <c r="J358" s="4"/>
      <c r="K358" s="4"/>
      <c r="L358" s="8"/>
      <c r="M358" s="4"/>
      <c r="N358" s="4"/>
      <c r="O358" s="8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</row>
    <row r="359" ht="15.75" customHeight="1">
      <c r="A359" s="4"/>
      <c r="B359" s="4"/>
      <c r="C359" s="8"/>
      <c r="D359" s="4"/>
      <c r="E359" s="4"/>
      <c r="F359" s="8"/>
      <c r="G359" s="4"/>
      <c r="H359" s="4"/>
      <c r="I359" s="8"/>
      <c r="J359" s="4"/>
      <c r="K359" s="4"/>
      <c r="L359" s="8"/>
      <c r="M359" s="4"/>
      <c r="N359" s="4"/>
      <c r="O359" s="8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</row>
    <row r="360" ht="15.75" customHeight="1">
      <c r="A360" s="4"/>
      <c r="B360" s="4"/>
      <c r="C360" s="8"/>
      <c r="D360" s="4"/>
      <c r="E360" s="4"/>
      <c r="F360" s="8"/>
      <c r="G360" s="4"/>
      <c r="H360" s="4"/>
      <c r="I360" s="8"/>
      <c r="J360" s="4"/>
      <c r="K360" s="4"/>
      <c r="L360" s="8"/>
      <c r="M360" s="4"/>
      <c r="N360" s="4"/>
      <c r="O360" s="8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</row>
    <row r="361" ht="15.75" customHeight="1">
      <c r="A361" s="4"/>
      <c r="B361" s="4"/>
      <c r="C361" s="8"/>
      <c r="D361" s="4"/>
      <c r="E361" s="4"/>
      <c r="F361" s="8"/>
      <c r="G361" s="4"/>
      <c r="H361" s="4"/>
      <c r="I361" s="8"/>
      <c r="J361" s="4"/>
      <c r="K361" s="4"/>
      <c r="L361" s="8"/>
      <c r="M361" s="4"/>
      <c r="N361" s="4"/>
      <c r="O361" s="8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</row>
    <row r="362" ht="15.75" customHeight="1">
      <c r="A362" s="4"/>
      <c r="B362" s="4"/>
      <c r="C362" s="8"/>
      <c r="D362" s="4"/>
      <c r="E362" s="4"/>
      <c r="F362" s="8"/>
      <c r="G362" s="4"/>
      <c r="H362" s="4"/>
      <c r="I362" s="8"/>
      <c r="J362" s="4"/>
      <c r="K362" s="4"/>
      <c r="L362" s="8"/>
      <c r="M362" s="4"/>
      <c r="N362" s="4"/>
      <c r="O362" s="8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</row>
    <row r="363" ht="15.75" customHeight="1">
      <c r="A363" s="4"/>
      <c r="B363" s="4"/>
      <c r="C363" s="8"/>
      <c r="D363" s="4"/>
      <c r="E363" s="4"/>
      <c r="F363" s="8"/>
      <c r="G363" s="4"/>
      <c r="H363" s="4"/>
      <c r="I363" s="8"/>
      <c r="J363" s="4"/>
      <c r="K363" s="4"/>
      <c r="L363" s="8"/>
      <c r="M363" s="4"/>
      <c r="N363" s="4"/>
      <c r="O363" s="8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</row>
    <row r="364" ht="15.75" customHeight="1">
      <c r="A364" s="4"/>
      <c r="B364" s="4"/>
      <c r="C364" s="8"/>
      <c r="D364" s="4"/>
      <c r="E364" s="4"/>
      <c r="F364" s="8"/>
      <c r="G364" s="4"/>
      <c r="H364" s="4"/>
      <c r="I364" s="8"/>
      <c r="J364" s="4"/>
      <c r="K364" s="4"/>
      <c r="L364" s="8"/>
      <c r="M364" s="4"/>
      <c r="N364" s="4"/>
      <c r="O364" s="8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</row>
    <row r="365" ht="15.75" customHeight="1">
      <c r="A365" s="4"/>
      <c r="B365" s="4"/>
      <c r="C365" s="8"/>
      <c r="D365" s="4"/>
      <c r="E365" s="4"/>
      <c r="F365" s="8"/>
      <c r="G365" s="4"/>
      <c r="H365" s="4"/>
      <c r="I365" s="8"/>
      <c r="J365" s="4"/>
      <c r="K365" s="4"/>
      <c r="L365" s="8"/>
      <c r="M365" s="4"/>
      <c r="N365" s="4"/>
      <c r="O365" s="8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</row>
    <row r="366" ht="15.75" customHeight="1">
      <c r="A366" s="4"/>
      <c r="B366" s="4"/>
      <c r="C366" s="8"/>
      <c r="D366" s="4"/>
      <c r="E366" s="4"/>
      <c r="F366" s="8"/>
      <c r="G366" s="4"/>
      <c r="H366" s="4"/>
      <c r="I366" s="8"/>
      <c r="J366" s="4"/>
      <c r="K366" s="4"/>
      <c r="L366" s="8"/>
      <c r="M366" s="4"/>
      <c r="N366" s="4"/>
      <c r="O366" s="8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</row>
    <row r="367" ht="15.75" customHeight="1">
      <c r="A367" s="4"/>
      <c r="B367" s="4"/>
      <c r="C367" s="8"/>
      <c r="D367" s="4"/>
      <c r="E367" s="4"/>
      <c r="F367" s="8"/>
      <c r="G367" s="4"/>
      <c r="H367" s="4"/>
      <c r="I367" s="8"/>
      <c r="J367" s="4"/>
      <c r="K367" s="4"/>
      <c r="L367" s="8"/>
      <c r="M367" s="4"/>
      <c r="N367" s="4"/>
      <c r="O367" s="8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</row>
    <row r="368" ht="15.75" customHeight="1">
      <c r="A368" s="4"/>
      <c r="B368" s="4"/>
      <c r="C368" s="8"/>
      <c r="D368" s="4"/>
      <c r="E368" s="4"/>
      <c r="F368" s="8"/>
      <c r="G368" s="4"/>
      <c r="H368" s="4"/>
      <c r="I368" s="8"/>
      <c r="J368" s="4"/>
      <c r="K368" s="4"/>
      <c r="L368" s="8"/>
      <c r="M368" s="4"/>
      <c r="N368" s="4"/>
      <c r="O368" s="8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</row>
    <row r="369" ht="15.75" customHeight="1">
      <c r="A369" s="4"/>
      <c r="B369" s="4"/>
      <c r="C369" s="8"/>
      <c r="D369" s="4"/>
      <c r="E369" s="4"/>
      <c r="F369" s="8"/>
      <c r="G369" s="4"/>
      <c r="H369" s="4"/>
      <c r="I369" s="8"/>
      <c r="J369" s="4"/>
      <c r="K369" s="4"/>
      <c r="L369" s="8"/>
      <c r="M369" s="4"/>
      <c r="N369" s="4"/>
      <c r="O369" s="8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</row>
    <row r="370" ht="15.75" customHeight="1">
      <c r="A370" s="4"/>
      <c r="B370" s="4"/>
      <c r="C370" s="8"/>
      <c r="D370" s="4"/>
      <c r="E370" s="4"/>
      <c r="F370" s="8"/>
      <c r="G370" s="4"/>
      <c r="H370" s="4"/>
      <c r="I370" s="8"/>
      <c r="J370" s="4"/>
      <c r="K370" s="4"/>
      <c r="L370" s="8"/>
      <c r="M370" s="4"/>
      <c r="N370" s="4"/>
      <c r="O370" s="8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</row>
    <row r="371" ht="15.75" customHeight="1">
      <c r="A371" s="4"/>
      <c r="B371" s="4"/>
      <c r="C371" s="8"/>
      <c r="D371" s="4"/>
      <c r="E371" s="4"/>
      <c r="F371" s="8"/>
      <c r="G371" s="4"/>
      <c r="H371" s="4"/>
      <c r="I371" s="8"/>
      <c r="J371" s="4"/>
      <c r="K371" s="4"/>
      <c r="L371" s="8"/>
      <c r="M371" s="4"/>
      <c r="N371" s="4"/>
      <c r="O371" s="8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</row>
    <row r="372" ht="15.75" customHeight="1">
      <c r="A372" s="4"/>
      <c r="B372" s="4"/>
      <c r="C372" s="8"/>
      <c r="D372" s="4"/>
      <c r="E372" s="4"/>
      <c r="F372" s="8"/>
      <c r="G372" s="4"/>
      <c r="H372" s="4"/>
      <c r="I372" s="8"/>
      <c r="J372" s="4"/>
      <c r="K372" s="4"/>
      <c r="L372" s="8"/>
      <c r="M372" s="4"/>
      <c r="N372" s="4"/>
      <c r="O372" s="8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</row>
    <row r="373" ht="15.75" customHeight="1">
      <c r="A373" s="4"/>
      <c r="B373" s="4"/>
      <c r="C373" s="8"/>
      <c r="D373" s="4"/>
      <c r="E373" s="4"/>
      <c r="F373" s="8"/>
      <c r="G373" s="4"/>
      <c r="H373" s="4"/>
      <c r="I373" s="8"/>
      <c r="J373" s="4"/>
      <c r="K373" s="4"/>
      <c r="L373" s="8"/>
      <c r="M373" s="4"/>
      <c r="N373" s="4"/>
      <c r="O373" s="8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</row>
    <row r="374" ht="15.75" customHeight="1">
      <c r="A374" s="4"/>
      <c r="B374" s="4"/>
      <c r="C374" s="8"/>
      <c r="D374" s="4"/>
      <c r="E374" s="4"/>
      <c r="F374" s="8"/>
      <c r="G374" s="4"/>
      <c r="H374" s="4"/>
      <c r="I374" s="8"/>
      <c r="J374" s="4"/>
      <c r="K374" s="4"/>
      <c r="L374" s="8"/>
      <c r="M374" s="4"/>
      <c r="N374" s="4"/>
      <c r="O374" s="8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</row>
    <row r="375" ht="15.75" customHeight="1">
      <c r="A375" s="4"/>
      <c r="B375" s="4"/>
      <c r="C375" s="8"/>
      <c r="D375" s="4"/>
      <c r="E375" s="4"/>
      <c r="F375" s="8"/>
      <c r="G375" s="4"/>
      <c r="H375" s="4"/>
      <c r="I375" s="8"/>
      <c r="J375" s="4"/>
      <c r="K375" s="4"/>
      <c r="L375" s="8"/>
      <c r="M375" s="4"/>
      <c r="N375" s="4"/>
      <c r="O375" s="8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</row>
    <row r="376" ht="15.75" customHeight="1">
      <c r="A376" s="4"/>
      <c r="B376" s="4"/>
      <c r="C376" s="8"/>
      <c r="D376" s="4"/>
      <c r="E376" s="4"/>
      <c r="F376" s="8"/>
      <c r="G376" s="4"/>
      <c r="H376" s="4"/>
      <c r="I376" s="8"/>
      <c r="J376" s="4"/>
      <c r="K376" s="4"/>
      <c r="L376" s="8"/>
      <c r="M376" s="4"/>
      <c r="N376" s="4"/>
      <c r="O376" s="8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</row>
    <row r="377" ht="15.75" customHeight="1">
      <c r="A377" s="4"/>
      <c r="B377" s="4"/>
      <c r="C377" s="8"/>
      <c r="D377" s="4"/>
      <c r="E377" s="4"/>
      <c r="F377" s="8"/>
      <c r="G377" s="4"/>
      <c r="H377" s="4"/>
      <c r="I377" s="8"/>
      <c r="J377" s="4"/>
      <c r="K377" s="4"/>
      <c r="L377" s="8"/>
      <c r="M377" s="4"/>
      <c r="N377" s="4"/>
      <c r="O377" s="8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</row>
    <row r="378" ht="15.75" customHeight="1">
      <c r="A378" s="4"/>
      <c r="B378" s="4"/>
      <c r="C378" s="8"/>
      <c r="D378" s="4"/>
      <c r="E378" s="4"/>
      <c r="F378" s="8"/>
      <c r="G378" s="4"/>
      <c r="H378" s="4"/>
      <c r="I378" s="8"/>
      <c r="J378" s="4"/>
      <c r="K378" s="4"/>
      <c r="L378" s="8"/>
      <c r="M378" s="4"/>
      <c r="N378" s="4"/>
      <c r="O378" s="8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</row>
    <row r="379" ht="15.75" customHeight="1">
      <c r="A379" s="4"/>
      <c r="B379" s="4"/>
      <c r="C379" s="8"/>
      <c r="D379" s="4"/>
      <c r="E379" s="4"/>
      <c r="F379" s="8"/>
      <c r="G379" s="4"/>
      <c r="H379" s="4"/>
      <c r="I379" s="8"/>
      <c r="J379" s="4"/>
      <c r="K379" s="4"/>
      <c r="L379" s="8"/>
      <c r="M379" s="4"/>
      <c r="N379" s="4"/>
      <c r="O379" s="8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</row>
    <row r="380" ht="15.75" customHeight="1">
      <c r="A380" s="4"/>
      <c r="B380" s="4"/>
      <c r="C380" s="8"/>
      <c r="D380" s="4"/>
      <c r="E380" s="4"/>
      <c r="F380" s="8"/>
      <c r="G380" s="4"/>
      <c r="H380" s="4"/>
      <c r="I380" s="8"/>
      <c r="J380" s="4"/>
      <c r="K380" s="4"/>
      <c r="L380" s="8"/>
      <c r="M380" s="4"/>
      <c r="N380" s="4"/>
      <c r="O380" s="8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</row>
    <row r="381" ht="15.75" customHeight="1">
      <c r="A381" s="4"/>
      <c r="B381" s="4"/>
      <c r="C381" s="8"/>
      <c r="D381" s="4"/>
      <c r="E381" s="4"/>
      <c r="F381" s="8"/>
      <c r="G381" s="4"/>
      <c r="H381" s="4"/>
      <c r="I381" s="8"/>
      <c r="J381" s="4"/>
      <c r="K381" s="4"/>
      <c r="L381" s="8"/>
      <c r="M381" s="4"/>
      <c r="N381" s="4"/>
      <c r="O381" s="8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</row>
    <row r="382" ht="15.75" customHeight="1">
      <c r="A382" s="4"/>
      <c r="B382" s="4"/>
      <c r="C382" s="8"/>
      <c r="D382" s="4"/>
      <c r="E382" s="4"/>
      <c r="F382" s="8"/>
      <c r="G382" s="4"/>
      <c r="H382" s="4"/>
      <c r="I382" s="8"/>
      <c r="J382" s="4"/>
      <c r="K382" s="4"/>
      <c r="L382" s="8"/>
      <c r="M382" s="4"/>
      <c r="N382" s="4"/>
      <c r="O382" s="8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</row>
    <row r="383" ht="15.75" customHeight="1">
      <c r="A383" s="4"/>
      <c r="B383" s="4"/>
      <c r="C383" s="8"/>
      <c r="D383" s="4"/>
      <c r="E383" s="4"/>
      <c r="F383" s="8"/>
      <c r="G383" s="4"/>
      <c r="H383" s="4"/>
      <c r="I383" s="8"/>
      <c r="J383" s="4"/>
      <c r="K383" s="4"/>
      <c r="L383" s="8"/>
      <c r="M383" s="4"/>
      <c r="N383" s="4"/>
      <c r="O383" s="8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</row>
    <row r="384" ht="15.75" customHeight="1">
      <c r="A384" s="4"/>
      <c r="B384" s="4"/>
      <c r="C384" s="8"/>
      <c r="D384" s="4"/>
      <c r="E384" s="4"/>
      <c r="F384" s="8"/>
      <c r="G384" s="4"/>
      <c r="H384" s="4"/>
      <c r="I384" s="8"/>
      <c r="J384" s="4"/>
      <c r="K384" s="4"/>
      <c r="L384" s="8"/>
      <c r="M384" s="4"/>
      <c r="N384" s="4"/>
      <c r="O384" s="8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</row>
    <row r="385" ht="15.75" customHeight="1">
      <c r="A385" s="4"/>
      <c r="B385" s="4"/>
      <c r="C385" s="8"/>
      <c r="D385" s="4"/>
      <c r="E385" s="4"/>
      <c r="F385" s="8"/>
      <c r="G385" s="4"/>
      <c r="H385" s="4"/>
      <c r="I385" s="8"/>
      <c r="J385" s="4"/>
      <c r="K385" s="4"/>
      <c r="L385" s="8"/>
      <c r="M385" s="4"/>
      <c r="N385" s="4"/>
      <c r="O385" s="8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</row>
    <row r="386" ht="15.75" customHeight="1">
      <c r="A386" s="4"/>
      <c r="B386" s="4"/>
      <c r="C386" s="8"/>
      <c r="D386" s="4"/>
      <c r="E386" s="4"/>
      <c r="F386" s="8"/>
      <c r="G386" s="4"/>
      <c r="H386" s="4"/>
      <c r="I386" s="8"/>
      <c r="J386" s="4"/>
      <c r="K386" s="4"/>
      <c r="L386" s="8"/>
      <c r="M386" s="4"/>
      <c r="N386" s="4"/>
      <c r="O386" s="8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</row>
    <row r="387" ht="15.75" customHeight="1">
      <c r="A387" s="4"/>
      <c r="B387" s="4"/>
      <c r="C387" s="8"/>
      <c r="D387" s="4"/>
      <c r="E387" s="4"/>
      <c r="F387" s="8"/>
      <c r="G387" s="4"/>
      <c r="H387" s="4"/>
      <c r="I387" s="8"/>
      <c r="J387" s="4"/>
      <c r="K387" s="4"/>
      <c r="L387" s="8"/>
      <c r="M387" s="4"/>
      <c r="N387" s="4"/>
      <c r="O387" s="8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</row>
    <row r="388" ht="15.75" customHeight="1">
      <c r="A388" s="4"/>
      <c r="B388" s="4"/>
      <c r="C388" s="8"/>
      <c r="D388" s="4"/>
      <c r="E388" s="4"/>
      <c r="F388" s="8"/>
      <c r="G388" s="4"/>
      <c r="H388" s="4"/>
      <c r="I388" s="8"/>
      <c r="J388" s="4"/>
      <c r="K388" s="4"/>
      <c r="L388" s="8"/>
      <c r="M388" s="4"/>
      <c r="N388" s="4"/>
      <c r="O388" s="8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</row>
    <row r="389" ht="15.75" customHeight="1">
      <c r="A389" s="4"/>
      <c r="B389" s="4"/>
      <c r="C389" s="8"/>
      <c r="D389" s="4"/>
      <c r="E389" s="4"/>
      <c r="F389" s="8"/>
      <c r="G389" s="4"/>
      <c r="H389" s="4"/>
      <c r="I389" s="8"/>
      <c r="J389" s="4"/>
      <c r="K389" s="4"/>
      <c r="L389" s="8"/>
      <c r="M389" s="4"/>
      <c r="N389" s="4"/>
      <c r="O389" s="8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</row>
    <row r="390" ht="15.75" customHeight="1">
      <c r="A390" s="4"/>
      <c r="B390" s="4"/>
      <c r="C390" s="8"/>
      <c r="D390" s="4"/>
      <c r="E390" s="4"/>
      <c r="F390" s="8"/>
      <c r="G390" s="4"/>
      <c r="H390" s="4"/>
      <c r="I390" s="8"/>
      <c r="J390" s="4"/>
      <c r="K390" s="4"/>
      <c r="L390" s="8"/>
      <c r="M390" s="4"/>
      <c r="N390" s="4"/>
      <c r="O390" s="8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</row>
    <row r="391" ht="15.75" customHeight="1">
      <c r="A391" s="4"/>
      <c r="B391" s="4"/>
      <c r="C391" s="8"/>
      <c r="D391" s="4"/>
      <c r="E391" s="4"/>
      <c r="F391" s="8"/>
      <c r="G391" s="4"/>
      <c r="H391" s="4"/>
      <c r="I391" s="8"/>
      <c r="J391" s="4"/>
      <c r="K391" s="4"/>
      <c r="L391" s="8"/>
      <c r="M391" s="4"/>
      <c r="N391" s="4"/>
      <c r="O391" s="8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</row>
    <row r="392" ht="15.75" customHeight="1">
      <c r="A392" s="4"/>
      <c r="B392" s="4"/>
      <c r="C392" s="8"/>
      <c r="D392" s="4"/>
      <c r="E392" s="4"/>
      <c r="F392" s="8"/>
      <c r="G392" s="4"/>
      <c r="H392" s="4"/>
      <c r="I392" s="8"/>
      <c r="J392" s="4"/>
      <c r="K392" s="4"/>
      <c r="L392" s="8"/>
      <c r="M392" s="4"/>
      <c r="N392" s="4"/>
      <c r="O392" s="8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</row>
    <row r="393" ht="15.75" customHeight="1">
      <c r="A393" s="4"/>
      <c r="B393" s="4"/>
      <c r="C393" s="8"/>
      <c r="D393" s="4"/>
      <c r="E393" s="4"/>
      <c r="F393" s="8"/>
      <c r="G393" s="4"/>
      <c r="H393" s="4"/>
      <c r="I393" s="8"/>
      <c r="J393" s="4"/>
      <c r="K393" s="4"/>
      <c r="L393" s="8"/>
      <c r="M393" s="4"/>
      <c r="N393" s="4"/>
      <c r="O393" s="8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</row>
    <row r="394" ht="15.75" customHeight="1">
      <c r="A394" s="4"/>
      <c r="B394" s="4"/>
      <c r="C394" s="8"/>
      <c r="D394" s="4"/>
      <c r="E394" s="4"/>
      <c r="F394" s="8"/>
      <c r="G394" s="4"/>
      <c r="H394" s="4"/>
      <c r="I394" s="8"/>
      <c r="J394" s="4"/>
      <c r="K394" s="4"/>
      <c r="L394" s="8"/>
      <c r="M394" s="4"/>
      <c r="N394" s="4"/>
      <c r="O394" s="8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</row>
    <row r="395" ht="15.75" customHeight="1">
      <c r="A395" s="4"/>
      <c r="B395" s="4"/>
      <c r="C395" s="8"/>
      <c r="D395" s="4"/>
      <c r="E395" s="4"/>
      <c r="F395" s="8"/>
      <c r="G395" s="4"/>
      <c r="H395" s="4"/>
      <c r="I395" s="8"/>
      <c r="J395" s="4"/>
      <c r="K395" s="4"/>
      <c r="L395" s="8"/>
      <c r="M395" s="4"/>
      <c r="N395" s="4"/>
      <c r="O395" s="8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</row>
    <row r="396" ht="15.75" customHeight="1">
      <c r="A396" s="4"/>
      <c r="B396" s="4"/>
      <c r="C396" s="8"/>
      <c r="D396" s="4"/>
      <c r="E396" s="4"/>
      <c r="F396" s="8"/>
      <c r="G396" s="4"/>
      <c r="H396" s="4"/>
      <c r="I396" s="8"/>
      <c r="J396" s="4"/>
      <c r="K396" s="4"/>
      <c r="L396" s="8"/>
      <c r="M396" s="4"/>
      <c r="N396" s="4"/>
      <c r="O396" s="8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</row>
    <row r="397" ht="15.75" customHeight="1">
      <c r="A397" s="4"/>
      <c r="B397" s="4"/>
      <c r="C397" s="8"/>
      <c r="D397" s="4"/>
      <c r="E397" s="4"/>
      <c r="F397" s="8"/>
      <c r="G397" s="4"/>
      <c r="H397" s="4"/>
      <c r="I397" s="8"/>
      <c r="J397" s="4"/>
      <c r="K397" s="4"/>
      <c r="L397" s="8"/>
      <c r="M397" s="4"/>
      <c r="N397" s="4"/>
      <c r="O397" s="8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</row>
    <row r="398" ht="15.75" customHeight="1">
      <c r="A398" s="4"/>
      <c r="B398" s="4"/>
      <c r="C398" s="8"/>
      <c r="D398" s="4"/>
      <c r="E398" s="4"/>
      <c r="F398" s="8"/>
      <c r="G398" s="4"/>
      <c r="H398" s="4"/>
      <c r="I398" s="8"/>
      <c r="J398" s="4"/>
      <c r="K398" s="4"/>
      <c r="L398" s="8"/>
      <c r="M398" s="4"/>
      <c r="N398" s="4"/>
      <c r="O398" s="8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</row>
    <row r="399" ht="15.75" customHeight="1">
      <c r="A399" s="4"/>
      <c r="B399" s="4"/>
      <c r="C399" s="8"/>
      <c r="D399" s="4"/>
      <c r="E399" s="4"/>
      <c r="F399" s="8"/>
      <c r="G399" s="4"/>
      <c r="H399" s="4"/>
      <c r="I399" s="8"/>
      <c r="J399" s="4"/>
      <c r="K399" s="4"/>
      <c r="L399" s="8"/>
      <c r="M399" s="4"/>
      <c r="N399" s="4"/>
      <c r="O399" s="8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</row>
    <row r="400" ht="15.75" customHeight="1">
      <c r="A400" s="4"/>
      <c r="B400" s="4"/>
      <c r="C400" s="8"/>
      <c r="D400" s="4"/>
      <c r="E400" s="4"/>
      <c r="F400" s="8"/>
      <c r="G400" s="4"/>
      <c r="H400" s="4"/>
      <c r="I400" s="8"/>
      <c r="J400" s="4"/>
      <c r="K400" s="4"/>
      <c r="L400" s="8"/>
      <c r="M400" s="4"/>
      <c r="N400" s="4"/>
      <c r="O400" s="8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</row>
    <row r="401" ht="15.75" customHeight="1">
      <c r="A401" s="4"/>
      <c r="B401" s="4"/>
      <c r="C401" s="8"/>
      <c r="D401" s="4"/>
      <c r="E401" s="4"/>
      <c r="F401" s="8"/>
      <c r="G401" s="4"/>
      <c r="H401" s="4"/>
      <c r="I401" s="8"/>
      <c r="J401" s="4"/>
      <c r="K401" s="4"/>
      <c r="L401" s="8"/>
      <c r="M401" s="4"/>
      <c r="N401" s="4"/>
      <c r="O401" s="8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</row>
    <row r="402" ht="15.75" customHeight="1">
      <c r="A402" s="4"/>
      <c r="B402" s="4"/>
      <c r="C402" s="8"/>
      <c r="D402" s="4"/>
      <c r="E402" s="4"/>
      <c r="F402" s="8"/>
      <c r="G402" s="4"/>
      <c r="H402" s="4"/>
      <c r="I402" s="8"/>
      <c r="J402" s="4"/>
      <c r="K402" s="4"/>
      <c r="L402" s="8"/>
      <c r="M402" s="4"/>
      <c r="N402" s="4"/>
      <c r="O402" s="8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</row>
    <row r="403" ht="15.75" customHeight="1">
      <c r="A403" s="4"/>
      <c r="B403" s="4"/>
      <c r="C403" s="8"/>
      <c r="D403" s="4"/>
      <c r="E403" s="4"/>
      <c r="F403" s="8"/>
      <c r="G403" s="4"/>
      <c r="H403" s="4"/>
      <c r="I403" s="8"/>
      <c r="J403" s="4"/>
      <c r="K403" s="4"/>
      <c r="L403" s="8"/>
      <c r="M403" s="4"/>
      <c r="N403" s="4"/>
      <c r="O403" s="8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</row>
    <row r="404" ht="15.75" customHeight="1">
      <c r="A404" s="4"/>
      <c r="B404" s="4"/>
      <c r="C404" s="8"/>
      <c r="D404" s="4"/>
      <c r="E404" s="4"/>
      <c r="F404" s="8"/>
      <c r="G404" s="4"/>
      <c r="H404" s="4"/>
      <c r="I404" s="8"/>
      <c r="J404" s="4"/>
      <c r="K404" s="4"/>
      <c r="L404" s="8"/>
      <c r="M404" s="4"/>
      <c r="N404" s="4"/>
      <c r="O404" s="8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</row>
    <row r="405" ht="15.75" customHeight="1">
      <c r="A405" s="4"/>
      <c r="B405" s="4"/>
      <c r="C405" s="8"/>
      <c r="D405" s="4"/>
      <c r="E405" s="4"/>
      <c r="F405" s="8"/>
      <c r="G405" s="4"/>
      <c r="H405" s="4"/>
      <c r="I405" s="8"/>
      <c r="J405" s="4"/>
      <c r="K405" s="4"/>
      <c r="L405" s="8"/>
      <c r="M405" s="4"/>
      <c r="N405" s="4"/>
      <c r="O405" s="8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</row>
    <row r="406" ht="15.75" customHeight="1">
      <c r="A406" s="4"/>
      <c r="B406" s="4"/>
      <c r="C406" s="8"/>
      <c r="D406" s="4"/>
      <c r="E406" s="4"/>
      <c r="F406" s="8"/>
      <c r="G406" s="4"/>
      <c r="H406" s="4"/>
      <c r="I406" s="8"/>
      <c r="J406" s="4"/>
      <c r="K406" s="4"/>
      <c r="L406" s="8"/>
      <c r="M406" s="4"/>
      <c r="N406" s="4"/>
      <c r="O406" s="8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</row>
    <row r="407" ht="15.75" customHeight="1">
      <c r="A407" s="4"/>
      <c r="B407" s="4"/>
      <c r="C407" s="8"/>
      <c r="D407" s="4"/>
      <c r="E407" s="4"/>
      <c r="F407" s="8"/>
      <c r="G407" s="4"/>
      <c r="H407" s="4"/>
      <c r="I407" s="8"/>
      <c r="J407" s="4"/>
      <c r="K407" s="4"/>
      <c r="L407" s="8"/>
      <c r="M407" s="4"/>
      <c r="N407" s="4"/>
      <c r="O407" s="8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</row>
    <row r="408" ht="15.75" customHeight="1">
      <c r="A408" s="4"/>
      <c r="B408" s="4"/>
      <c r="C408" s="8"/>
      <c r="D408" s="4"/>
      <c r="E408" s="4"/>
      <c r="F408" s="8"/>
      <c r="G408" s="4"/>
      <c r="H408" s="4"/>
      <c r="I408" s="8"/>
      <c r="J408" s="4"/>
      <c r="K408" s="4"/>
      <c r="L408" s="8"/>
      <c r="M408" s="4"/>
      <c r="N408" s="4"/>
      <c r="O408" s="8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</row>
    <row r="409" ht="15.75" customHeight="1">
      <c r="A409" s="4"/>
      <c r="B409" s="4"/>
      <c r="C409" s="8"/>
      <c r="D409" s="4"/>
      <c r="E409" s="4"/>
      <c r="F409" s="8"/>
      <c r="G409" s="4"/>
      <c r="H409" s="4"/>
      <c r="I409" s="8"/>
      <c r="J409" s="4"/>
      <c r="K409" s="4"/>
      <c r="L409" s="8"/>
      <c r="M409" s="4"/>
      <c r="N409" s="4"/>
      <c r="O409" s="8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</row>
    <row r="410" ht="15.75" customHeight="1">
      <c r="A410" s="4"/>
      <c r="B410" s="4"/>
      <c r="C410" s="8"/>
      <c r="D410" s="4"/>
      <c r="E410" s="4"/>
      <c r="F410" s="8"/>
      <c r="G410" s="4"/>
      <c r="H410" s="4"/>
      <c r="I410" s="8"/>
      <c r="J410" s="4"/>
      <c r="K410" s="4"/>
      <c r="L410" s="8"/>
      <c r="M410" s="4"/>
      <c r="N410" s="4"/>
      <c r="O410" s="8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</row>
    <row r="411" ht="15.75" customHeight="1">
      <c r="A411" s="4"/>
      <c r="B411" s="4"/>
      <c r="C411" s="8"/>
      <c r="D411" s="4"/>
      <c r="E411" s="4"/>
      <c r="F411" s="8"/>
      <c r="G411" s="4"/>
      <c r="H411" s="4"/>
      <c r="I411" s="8"/>
      <c r="J411" s="4"/>
      <c r="K411" s="4"/>
      <c r="L411" s="8"/>
      <c r="M411" s="4"/>
      <c r="N411" s="4"/>
      <c r="O411" s="8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</row>
    <row r="412" ht="15.75" customHeight="1">
      <c r="A412" s="4"/>
      <c r="B412" s="4"/>
      <c r="C412" s="8"/>
      <c r="D412" s="4"/>
      <c r="E412" s="4"/>
      <c r="F412" s="8"/>
      <c r="G412" s="4"/>
      <c r="H412" s="4"/>
      <c r="I412" s="8"/>
      <c r="J412" s="4"/>
      <c r="K412" s="4"/>
      <c r="L412" s="8"/>
      <c r="M412" s="4"/>
      <c r="N412" s="4"/>
      <c r="O412" s="8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</row>
    <row r="413" ht="15.75" customHeight="1">
      <c r="A413" s="4"/>
      <c r="B413" s="4"/>
      <c r="C413" s="8"/>
      <c r="D413" s="4"/>
      <c r="E413" s="4"/>
      <c r="F413" s="8"/>
      <c r="G413" s="4"/>
      <c r="H413" s="4"/>
      <c r="I413" s="8"/>
      <c r="J413" s="4"/>
      <c r="K413" s="4"/>
      <c r="L413" s="8"/>
      <c r="M413" s="4"/>
      <c r="N413" s="4"/>
      <c r="O413" s="8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</row>
    <row r="414" ht="15.75" customHeight="1">
      <c r="A414" s="4"/>
      <c r="B414" s="4"/>
      <c r="C414" s="8"/>
      <c r="D414" s="4"/>
      <c r="E414" s="4"/>
      <c r="F414" s="8"/>
      <c r="G414" s="4"/>
      <c r="H414" s="4"/>
      <c r="I414" s="8"/>
      <c r="J414" s="4"/>
      <c r="K414" s="4"/>
      <c r="L414" s="8"/>
      <c r="M414" s="4"/>
      <c r="N414" s="4"/>
      <c r="O414" s="8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</row>
    <row r="415" ht="15.75" customHeight="1">
      <c r="A415" s="4"/>
      <c r="B415" s="4"/>
      <c r="C415" s="8"/>
      <c r="D415" s="4"/>
      <c r="E415" s="4"/>
      <c r="F415" s="8"/>
      <c r="G415" s="4"/>
      <c r="H415" s="4"/>
      <c r="I415" s="8"/>
      <c r="J415" s="4"/>
      <c r="K415" s="4"/>
      <c r="L415" s="8"/>
      <c r="M415" s="4"/>
      <c r="N415" s="4"/>
      <c r="O415" s="8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</row>
    <row r="416" ht="15.75" customHeight="1">
      <c r="A416" s="4"/>
      <c r="B416" s="4"/>
      <c r="C416" s="8"/>
      <c r="D416" s="4"/>
      <c r="E416" s="4"/>
      <c r="F416" s="8"/>
      <c r="G416" s="4"/>
      <c r="H416" s="4"/>
      <c r="I416" s="8"/>
      <c r="J416" s="4"/>
      <c r="K416" s="4"/>
      <c r="L416" s="8"/>
      <c r="M416" s="4"/>
      <c r="N416" s="4"/>
      <c r="O416" s="8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</row>
    <row r="417" ht="15.75" customHeight="1">
      <c r="A417" s="4"/>
      <c r="B417" s="4"/>
      <c r="C417" s="8"/>
      <c r="D417" s="4"/>
      <c r="E417" s="4"/>
      <c r="F417" s="8"/>
      <c r="G417" s="4"/>
      <c r="H417" s="4"/>
      <c r="I417" s="8"/>
      <c r="J417" s="4"/>
      <c r="K417" s="4"/>
      <c r="L417" s="8"/>
      <c r="M417" s="4"/>
      <c r="N417" s="4"/>
      <c r="O417" s="8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</row>
    <row r="418" ht="15.75" customHeight="1">
      <c r="A418" s="4"/>
      <c r="B418" s="4"/>
      <c r="C418" s="8"/>
      <c r="D418" s="4"/>
      <c r="E418" s="4"/>
      <c r="F418" s="8"/>
      <c r="G418" s="4"/>
      <c r="H418" s="4"/>
      <c r="I418" s="8"/>
      <c r="J418" s="4"/>
      <c r="K418" s="4"/>
      <c r="L418" s="8"/>
      <c r="M418" s="4"/>
      <c r="N418" s="4"/>
      <c r="O418" s="8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</row>
    <row r="419" ht="15.75" customHeight="1">
      <c r="A419" s="4"/>
      <c r="B419" s="4"/>
      <c r="C419" s="8"/>
      <c r="D419" s="4"/>
      <c r="E419" s="4"/>
      <c r="F419" s="8"/>
      <c r="G419" s="4"/>
      <c r="H419" s="4"/>
      <c r="I419" s="8"/>
      <c r="J419" s="4"/>
      <c r="K419" s="4"/>
      <c r="L419" s="8"/>
      <c r="M419" s="4"/>
      <c r="N419" s="4"/>
      <c r="O419" s="8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</row>
    <row r="420" ht="15.75" customHeight="1">
      <c r="A420" s="4"/>
      <c r="B420" s="4"/>
      <c r="C420" s="8"/>
      <c r="D420" s="4"/>
      <c r="E420" s="4"/>
      <c r="F420" s="8"/>
      <c r="G420" s="4"/>
      <c r="H420" s="4"/>
      <c r="I420" s="8"/>
      <c r="J420" s="4"/>
      <c r="K420" s="4"/>
      <c r="L420" s="8"/>
      <c r="M420" s="4"/>
      <c r="N420" s="4"/>
      <c r="O420" s="8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</row>
    <row r="421" ht="15.75" customHeight="1">
      <c r="A421" s="4"/>
      <c r="B421" s="4"/>
      <c r="C421" s="8"/>
      <c r="D421" s="4"/>
      <c r="E421" s="4"/>
      <c r="F421" s="8"/>
      <c r="G421" s="4"/>
      <c r="H421" s="4"/>
      <c r="I421" s="8"/>
      <c r="J421" s="4"/>
      <c r="K421" s="4"/>
      <c r="L421" s="8"/>
      <c r="M421" s="4"/>
      <c r="N421" s="4"/>
      <c r="O421" s="8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</row>
    <row r="422" ht="15.75" customHeight="1">
      <c r="A422" s="4"/>
      <c r="B422" s="4"/>
      <c r="C422" s="8"/>
      <c r="D422" s="4"/>
      <c r="E422" s="4"/>
      <c r="F422" s="8"/>
      <c r="G422" s="4"/>
      <c r="H422" s="4"/>
      <c r="I422" s="8"/>
      <c r="J422" s="4"/>
      <c r="K422" s="4"/>
      <c r="L422" s="8"/>
      <c r="M422" s="4"/>
      <c r="N422" s="4"/>
      <c r="O422" s="8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</row>
    <row r="423" ht="15.75" customHeight="1">
      <c r="A423" s="4"/>
      <c r="B423" s="4"/>
      <c r="C423" s="8"/>
      <c r="D423" s="4"/>
      <c r="E423" s="4"/>
      <c r="F423" s="8"/>
      <c r="G423" s="4"/>
      <c r="H423" s="4"/>
      <c r="I423" s="8"/>
      <c r="J423" s="4"/>
      <c r="K423" s="4"/>
      <c r="L423" s="8"/>
      <c r="M423" s="4"/>
      <c r="N423" s="4"/>
      <c r="O423" s="8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</row>
    <row r="424" ht="15.75" customHeight="1">
      <c r="A424" s="4"/>
      <c r="B424" s="4"/>
      <c r="C424" s="8"/>
      <c r="D424" s="4"/>
      <c r="E424" s="4"/>
      <c r="F424" s="8"/>
      <c r="G424" s="4"/>
      <c r="H424" s="4"/>
      <c r="I424" s="8"/>
      <c r="J424" s="4"/>
      <c r="K424" s="4"/>
      <c r="L424" s="8"/>
      <c r="M424" s="4"/>
      <c r="N424" s="4"/>
      <c r="O424" s="8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</row>
    <row r="425" ht="15.75" customHeight="1">
      <c r="A425" s="4"/>
      <c r="B425" s="4"/>
      <c r="C425" s="8"/>
      <c r="D425" s="4"/>
      <c r="E425" s="4"/>
      <c r="F425" s="8"/>
      <c r="G425" s="4"/>
      <c r="H425" s="4"/>
      <c r="I425" s="8"/>
      <c r="J425" s="4"/>
      <c r="K425" s="4"/>
      <c r="L425" s="8"/>
      <c r="M425" s="4"/>
      <c r="N425" s="4"/>
      <c r="O425" s="8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</row>
    <row r="426" ht="15.75" customHeight="1">
      <c r="A426" s="4"/>
      <c r="B426" s="4"/>
      <c r="C426" s="8"/>
      <c r="D426" s="4"/>
      <c r="E426" s="4"/>
      <c r="F426" s="8"/>
      <c r="G426" s="4"/>
      <c r="H426" s="4"/>
      <c r="I426" s="8"/>
      <c r="J426" s="4"/>
      <c r="K426" s="4"/>
      <c r="L426" s="8"/>
      <c r="M426" s="4"/>
      <c r="N426" s="4"/>
      <c r="O426" s="8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</row>
    <row r="427" ht="15.75" customHeight="1">
      <c r="A427" s="4"/>
      <c r="B427" s="4"/>
      <c r="C427" s="8"/>
      <c r="D427" s="4"/>
      <c r="E427" s="4"/>
      <c r="F427" s="8"/>
      <c r="G427" s="4"/>
      <c r="H427" s="4"/>
      <c r="I427" s="8"/>
      <c r="J427" s="4"/>
      <c r="K427" s="4"/>
      <c r="L427" s="8"/>
      <c r="M427" s="4"/>
      <c r="N427" s="4"/>
      <c r="O427" s="8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</row>
    <row r="428" ht="15.75" customHeight="1">
      <c r="A428" s="4"/>
      <c r="B428" s="4"/>
      <c r="C428" s="8"/>
      <c r="D428" s="4"/>
      <c r="E428" s="4"/>
      <c r="F428" s="8"/>
      <c r="G428" s="4"/>
      <c r="H428" s="4"/>
      <c r="I428" s="8"/>
      <c r="J428" s="4"/>
      <c r="K428" s="4"/>
      <c r="L428" s="8"/>
      <c r="M428" s="4"/>
      <c r="N428" s="4"/>
      <c r="O428" s="8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</row>
    <row r="429" ht="15.75" customHeight="1">
      <c r="A429" s="4"/>
      <c r="B429" s="4"/>
      <c r="C429" s="8"/>
      <c r="D429" s="4"/>
      <c r="E429" s="4"/>
      <c r="F429" s="8"/>
      <c r="G429" s="4"/>
      <c r="H429" s="4"/>
      <c r="I429" s="8"/>
      <c r="J429" s="4"/>
      <c r="K429" s="4"/>
      <c r="L429" s="8"/>
      <c r="M429" s="4"/>
      <c r="N429" s="4"/>
      <c r="O429" s="8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</row>
    <row r="430" ht="15.75" customHeight="1">
      <c r="A430" s="4"/>
      <c r="B430" s="4"/>
      <c r="C430" s="8"/>
      <c r="D430" s="4"/>
      <c r="E430" s="4"/>
      <c r="F430" s="8"/>
      <c r="G430" s="4"/>
      <c r="H430" s="4"/>
      <c r="I430" s="8"/>
      <c r="J430" s="4"/>
      <c r="K430" s="4"/>
      <c r="L430" s="8"/>
      <c r="M430" s="4"/>
      <c r="N430" s="4"/>
      <c r="O430" s="8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</row>
    <row r="431" ht="15.75" customHeight="1">
      <c r="A431" s="4"/>
      <c r="B431" s="4"/>
      <c r="C431" s="8"/>
      <c r="D431" s="4"/>
      <c r="E431" s="4"/>
      <c r="F431" s="8"/>
      <c r="G431" s="4"/>
      <c r="H431" s="4"/>
      <c r="I431" s="8"/>
      <c r="J431" s="4"/>
      <c r="K431" s="4"/>
      <c r="L431" s="8"/>
      <c r="M431" s="4"/>
      <c r="N431" s="4"/>
      <c r="O431" s="8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</row>
    <row r="432" ht="15.75" customHeight="1">
      <c r="A432" s="4"/>
      <c r="B432" s="4"/>
      <c r="C432" s="8"/>
      <c r="D432" s="4"/>
      <c r="E432" s="4"/>
      <c r="F432" s="8"/>
      <c r="G432" s="4"/>
      <c r="H432" s="4"/>
      <c r="I432" s="8"/>
      <c r="J432" s="4"/>
      <c r="K432" s="4"/>
      <c r="L432" s="8"/>
      <c r="M432" s="4"/>
      <c r="N432" s="4"/>
      <c r="O432" s="8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</row>
    <row r="433" ht="15.75" customHeight="1">
      <c r="A433" s="4"/>
      <c r="B433" s="4"/>
      <c r="C433" s="8"/>
      <c r="D433" s="4"/>
      <c r="E433" s="4"/>
      <c r="F433" s="8"/>
      <c r="G433" s="4"/>
      <c r="H433" s="4"/>
      <c r="I433" s="8"/>
      <c r="J433" s="4"/>
      <c r="K433" s="4"/>
      <c r="L433" s="8"/>
      <c r="M433" s="4"/>
      <c r="N433" s="4"/>
      <c r="O433" s="8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</row>
    <row r="434" ht="15.75" customHeight="1">
      <c r="A434" s="4"/>
      <c r="B434" s="4"/>
      <c r="C434" s="8"/>
      <c r="D434" s="4"/>
      <c r="E434" s="4"/>
      <c r="F434" s="8"/>
      <c r="G434" s="4"/>
      <c r="H434" s="4"/>
      <c r="I434" s="8"/>
      <c r="J434" s="4"/>
      <c r="K434" s="4"/>
      <c r="L434" s="8"/>
      <c r="M434" s="4"/>
      <c r="N434" s="4"/>
      <c r="O434" s="8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</row>
    <row r="435" ht="15.75" customHeight="1">
      <c r="A435" s="4"/>
      <c r="B435" s="4"/>
      <c r="C435" s="8"/>
      <c r="D435" s="4"/>
      <c r="E435" s="4"/>
      <c r="F435" s="8"/>
      <c r="G435" s="4"/>
      <c r="H435" s="4"/>
      <c r="I435" s="8"/>
      <c r="J435" s="4"/>
      <c r="K435" s="4"/>
      <c r="L435" s="8"/>
      <c r="M435" s="4"/>
      <c r="N435" s="4"/>
      <c r="O435" s="8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</row>
    <row r="436" ht="15.75" customHeight="1">
      <c r="A436" s="4"/>
      <c r="B436" s="4"/>
      <c r="C436" s="8"/>
      <c r="D436" s="4"/>
      <c r="E436" s="4"/>
      <c r="F436" s="8"/>
      <c r="G436" s="4"/>
      <c r="H436" s="4"/>
      <c r="I436" s="8"/>
      <c r="J436" s="4"/>
      <c r="K436" s="4"/>
      <c r="L436" s="8"/>
      <c r="M436" s="4"/>
      <c r="N436" s="4"/>
      <c r="O436" s="8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</row>
    <row r="437" ht="15.75" customHeight="1">
      <c r="A437" s="4"/>
      <c r="B437" s="4"/>
      <c r="C437" s="8"/>
      <c r="D437" s="4"/>
      <c r="E437" s="4"/>
      <c r="F437" s="8"/>
      <c r="G437" s="4"/>
      <c r="H437" s="4"/>
      <c r="I437" s="8"/>
      <c r="J437" s="4"/>
      <c r="K437" s="4"/>
      <c r="L437" s="8"/>
      <c r="M437" s="4"/>
      <c r="N437" s="4"/>
      <c r="O437" s="8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</row>
    <row r="438" ht="15.75" customHeight="1">
      <c r="A438" s="4"/>
      <c r="B438" s="4"/>
      <c r="C438" s="8"/>
      <c r="D438" s="4"/>
      <c r="E438" s="4"/>
      <c r="F438" s="8"/>
      <c r="G438" s="4"/>
      <c r="H438" s="4"/>
      <c r="I438" s="8"/>
      <c r="J438" s="4"/>
      <c r="K438" s="4"/>
      <c r="L438" s="8"/>
      <c r="M438" s="4"/>
      <c r="N438" s="4"/>
      <c r="O438" s="8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</row>
    <row r="439" ht="15.75" customHeight="1">
      <c r="A439" s="4"/>
      <c r="B439" s="4"/>
      <c r="C439" s="8"/>
      <c r="D439" s="4"/>
      <c r="E439" s="4"/>
      <c r="F439" s="8"/>
      <c r="G439" s="4"/>
      <c r="H439" s="4"/>
      <c r="I439" s="8"/>
      <c r="J439" s="4"/>
      <c r="K439" s="4"/>
      <c r="L439" s="8"/>
      <c r="M439" s="4"/>
      <c r="N439" s="4"/>
      <c r="O439" s="8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</row>
    <row r="440" ht="15.75" customHeight="1">
      <c r="A440" s="4"/>
      <c r="B440" s="4"/>
      <c r="C440" s="8"/>
      <c r="D440" s="4"/>
      <c r="E440" s="4"/>
      <c r="F440" s="8"/>
      <c r="G440" s="4"/>
      <c r="H440" s="4"/>
      <c r="I440" s="8"/>
      <c r="J440" s="4"/>
      <c r="K440" s="4"/>
      <c r="L440" s="8"/>
      <c r="M440" s="4"/>
      <c r="N440" s="4"/>
      <c r="O440" s="8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</row>
    <row r="441" ht="15.75" customHeight="1">
      <c r="A441" s="4"/>
      <c r="B441" s="4"/>
      <c r="C441" s="8"/>
      <c r="D441" s="4"/>
      <c r="E441" s="4"/>
      <c r="F441" s="8"/>
      <c r="G441" s="4"/>
      <c r="H441" s="4"/>
      <c r="I441" s="8"/>
      <c r="J441" s="4"/>
      <c r="K441" s="4"/>
      <c r="L441" s="8"/>
      <c r="M441" s="4"/>
      <c r="N441" s="4"/>
      <c r="O441" s="8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</row>
    <row r="442" ht="15.75" customHeight="1">
      <c r="A442" s="4"/>
      <c r="B442" s="4"/>
      <c r="C442" s="8"/>
      <c r="D442" s="4"/>
      <c r="E442" s="4"/>
      <c r="F442" s="8"/>
      <c r="G442" s="4"/>
      <c r="H442" s="4"/>
      <c r="I442" s="8"/>
      <c r="J442" s="4"/>
      <c r="K442" s="4"/>
      <c r="L442" s="8"/>
      <c r="M442" s="4"/>
      <c r="N442" s="4"/>
      <c r="O442" s="8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</row>
    <row r="443" ht="15.75" customHeight="1">
      <c r="A443" s="4"/>
      <c r="B443" s="4"/>
      <c r="C443" s="8"/>
      <c r="D443" s="4"/>
      <c r="E443" s="4"/>
      <c r="F443" s="8"/>
      <c r="G443" s="4"/>
      <c r="H443" s="4"/>
      <c r="I443" s="8"/>
      <c r="J443" s="4"/>
      <c r="K443" s="4"/>
      <c r="L443" s="8"/>
      <c r="M443" s="4"/>
      <c r="N443" s="4"/>
      <c r="O443" s="8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</row>
    <row r="444" ht="15.75" customHeight="1">
      <c r="A444" s="4"/>
      <c r="B444" s="4"/>
      <c r="C444" s="8"/>
      <c r="D444" s="4"/>
      <c r="E444" s="4"/>
      <c r="F444" s="8"/>
      <c r="G444" s="4"/>
      <c r="H444" s="4"/>
      <c r="I444" s="8"/>
      <c r="J444" s="4"/>
      <c r="K444" s="4"/>
      <c r="L444" s="8"/>
      <c r="M444" s="4"/>
      <c r="N444" s="4"/>
      <c r="O444" s="8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</row>
    <row r="445" ht="15.75" customHeight="1">
      <c r="A445" s="4"/>
      <c r="B445" s="4"/>
      <c r="C445" s="8"/>
      <c r="D445" s="4"/>
      <c r="E445" s="4"/>
      <c r="F445" s="8"/>
      <c r="G445" s="4"/>
      <c r="H445" s="4"/>
      <c r="I445" s="8"/>
      <c r="J445" s="4"/>
      <c r="K445" s="4"/>
      <c r="L445" s="8"/>
      <c r="M445" s="4"/>
      <c r="N445" s="4"/>
      <c r="O445" s="8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</row>
    <row r="446" ht="15.75" customHeight="1">
      <c r="A446" s="4"/>
      <c r="B446" s="4"/>
      <c r="C446" s="8"/>
      <c r="D446" s="4"/>
      <c r="E446" s="4"/>
      <c r="F446" s="8"/>
      <c r="G446" s="4"/>
      <c r="H446" s="4"/>
      <c r="I446" s="8"/>
      <c r="J446" s="4"/>
      <c r="K446" s="4"/>
      <c r="L446" s="8"/>
      <c r="M446" s="4"/>
      <c r="N446" s="4"/>
      <c r="O446" s="8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</row>
    <row r="447" ht="15.75" customHeight="1">
      <c r="A447" s="4"/>
      <c r="B447" s="4"/>
      <c r="C447" s="8"/>
      <c r="D447" s="4"/>
      <c r="E447" s="4"/>
      <c r="F447" s="8"/>
      <c r="G447" s="4"/>
      <c r="H447" s="4"/>
      <c r="I447" s="8"/>
      <c r="J447" s="4"/>
      <c r="K447" s="4"/>
      <c r="L447" s="8"/>
      <c r="M447" s="4"/>
      <c r="N447" s="4"/>
      <c r="O447" s="8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</row>
    <row r="448" ht="15.75" customHeight="1">
      <c r="A448" s="4"/>
      <c r="B448" s="4"/>
      <c r="C448" s="8"/>
      <c r="D448" s="4"/>
      <c r="E448" s="4"/>
      <c r="F448" s="8"/>
      <c r="G448" s="4"/>
      <c r="H448" s="4"/>
      <c r="I448" s="8"/>
      <c r="J448" s="4"/>
      <c r="K448" s="4"/>
      <c r="L448" s="8"/>
      <c r="M448" s="4"/>
      <c r="N448" s="4"/>
      <c r="O448" s="8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</row>
    <row r="449" ht="15.75" customHeight="1">
      <c r="A449" s="4"/>
      <c r="B449" s="4"/>
      <c r="C449" s="8"/>
      <c r="D449" s="4"/>
      <c r="E449" s="4"/>
      <c r="F449" s="8"/>
      <c r="G449" s="4"/>
      <c r="H449" s="4"/>
      <c r="I449" s="8"/>
      <c r="J449" s="4"/>
      <c r="K449" s="4"/>
      <c r="L449" s="8"/>
      <c r="M449" s="4"/>
      <c r="N449" s="4"/>
      <c r="O449" s="8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</row>
    <row r="450" ht="15.75" customHeight="1">
      <c r="A450" s="4"/>
      <c r="B450" s="4"/>
      <c r="C450" s="8"/>
      <c r="D450" s="4"/>
      <c r="E450" s="4"/>
      <c r="F450" s="8"/>
      <c r="G450" s="4"/>
      <c r="H450" s="4"/>
      <c r="I450" s="8"/>
      <c r="J450" s="4"/>
      <c r="K450" s="4"/>
      <c r="L450" s="8"/>
      <c r="M450" s="4"/>
      <c r="N450" s="4"/>
      <c r="O450" s="8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</row>
    <row r="451" ht="15.75" customHeight="1">
      <c r="A451" s="4"/>
      <c r="B451" s="4"/>
      <c r="C451" s="8"/>
      <c r="D451" s="4"/>
      <c r="E451" s="4"/>
      <c r="F451" s="8"/>
      <c r="G451" s="4"/>
      <c r="H451" s="4"/>
      <c r="I451" s="8"/>
      <c r="J451" s="4"/>
      <c r="K451" s="4"/>
      <c r="L451" s="8"/>
      <c r="M451" s="4"/>
      <c r="N451" s="4"/>
      <c r="O451" s="8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</row>
    <row r="452" ht="15.75" customHeight="1">
      <c r="A452" s="4"/>
      <c r="B452" s="4"/>
      <c r="C452" s="8"/>
      <c r="D452" s="4"/>
      <c r="E452" s="4"/>
      <c r="F452" s="8"/>
      <c r="G452" s="4"/>
      <c r="H452" s="4"/>
      <c r="I452" s="8"/>
      <c r="J452" s="4"/>
      <c r="K452" s="4"/>
      <c r="L452" s="8"/>
      <c r="M452" s="4"/>
      <c r="N452" s="4"/>
      <c r="O452" s="8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</row>
    <row r="453" ht="15.75" customHeight="1">
      <c r="A453" s="4"/>
      <c r="B453" s="4"/>
      <c r="C453" s="8"/>
      <c r="D453" s="4"/>
      <c r="E453" s="4"/>
      <c r="F453" s="8"/>
      <c r="G453" s="4"/>
      <c r="H453" s="4"/>
      <c r="I453" s="8"/>
      <c r="J453" s="4"/>
      <c r="K453" s="4"/>
      <c r="L453" s="8"/>
      <c r="M453" s="4"/>
      <c r="N453" s="4"/>
      <c r="O453" s="8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</row>
    <row r="454" ht="15.75" customHeight="1">
      <c r="A454" s="4"/>
      <c r="B454" s="4"/>
      <c r="C454" s="8"/>
      <c r="D454" s="4"/>
      <c r="E454" s="4"/>
      <c r="F454" s="8"/>
      <c r="G454" s="4"/>
      <c r="H454" s="4"/>
      <c r="I454" s="8"/>
      <c r="J454" s="4"/>
      <c r="K454" s="4"/>
      <c r="L454" s="8"/>
      <c r="M454" s="4"/>
      <c r="N454" s="4"/>
      <c r="O454" s="8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</row>
    <row r="455" ht="15.75" customHeight="1">
      <c r="A455" s="4"/>
      <c r="B455" s="4"/>
      <c r="C455" s="8"/>
      <c r="D455" s="4"/>
      <c r="E455" s="4"/>
      <c r="F455" s="8"/>
      <c r="G455" s="4"/>
      <c r="H455" s="4"/>
      <c r="I455" s="8"/>
      <c r="J455" s="4"/>
      <c r="K455" s="4"/>
      <c r="L455" s="8"/>
      <c r="M455" s="4"/>
      <c r="N455" s="4"/>
      <c r="O455" s="8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</row>
    <row r="456" ht="15.75" customHeight="1">
      <c r="A456" s="4"/>
      <c r="B456" s="4"/>
      <c r="C456" s="8"/>
      <c r="D456" s="4"/>
      <c r="E456" s="4"/>
      <c r="F456" s="8"/>
      <c r="G456" s="4"/>
      <c r="H456" s="4"/>
      <c r="I456" s="8"/>
      <c r="J456" s="4"/>
      <c r="K456" s="4"/>
      <c r="L456" s="8"/>
      <c r="M456" s="4"/>
      <c r="N456" s="4"/>
      <c r="O456" s="8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</row>
    <row r="457" ht="15.75" customHeight="1">
      <c r="A457" s="4"/>
      <c r="B457" s="4"/>
      <c r="C457" s="8"/>
      <c r="D457" s="4"/>
      <c r="E457" s="4"/>
      <c r="F457" s="8"/>
      <c r="G457" s="4"/>
      <c r="H457" s="4"/>
      <c r="I457" s="8"/>
      <c r="J457" s="4"/>
      <c r="K457" s="4"/>
      <c r="L457" s="8"/>
      <c r="M457" s="4"/>
      <c r="N457" s="4"/>
      <c r="O457" s="8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</row>
    <row r="458" ht="15.75" customHeight="1">
      <c r="A458" s="4"/>
      <c r="B458" s="4"/>
      <c r="C458" s="8"/>
      <c r="D458" s="4"/>
      <c r="E458" s="4"/>
      <c r="F458" s="8"/>
      <c r="G458" s="4"/>
      <c r="H458" s="4"/>
      <c r="I458" s="8"/>
      <c r="J458" s="4"/>
      <c r="K458" s="4"/>
      <c r="L458" s="8"/>
      <c r="M458" s="4"/>
      <c r="N458" s="4"/>
      <c r="O458" s="8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</row>
    <row r="459" ht="15.75" customHeight="1">
      <c r="A459" s="4"/>
      <c r="B459" s="4"/>
      <c r="C459" s="8"/>
      <c r="D459" s="4"/>
      <c r="E459" s="4"/>
      <c r="F459" s="8"/>
      <c r="G459" s="4"/>
      <c r="H459" s="4"/>
      <c r="I459" s="8"/>
      <c r="J459" s="4"/>
      <c r="K459" s="4"/>
      <c r="L459" s="8"/>
      <c r="M459" s="4"/>
      <c r="N459" s="4"/>
      <c r="O459" s="8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</row>
    <row r="460" ht="15.75" customHeight="1">
      <c r="A460" s="4"/>
      <c r="B460" s="4"/>
      <c r="C460" s="8"/>
      <c r="D460" s="4"/>
      <c r="E460" s="4"/>
      <c r="F460" s="8"/>
      <c r="G460" s="4"/>
      <c r="H460" s="4"/>
      <c r="I460" s="8"/>
      <c r="J460" s="4"/>
      <c r="K460" s="4"/>
      <c r="L460" s="8"/>
      <c r="M460" s="4"/>
      <c r="N460" s="4"/>
      <c r="O460" s="8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</row>
    <row r="461" ht="15.75" customHeight="1">
      <c r="A461" s="4"/>
      <c r="B461" s="4"/>
      <c r="C461" s="8"/>
      <c r="D461" s="4"/>
      <c r="E461" s="4"/>
      <c r="F461" s="8"/>
      <c r="G461" s="4"/>
      <c r="H461" s="4"/>
      <c r="I461" s="8"/>
      <c r="J461" s="4"/>
      <c r="K461" s="4"/>
      <c r="L461" s="8"/>
      <c r="M461" s="4"/>
      <c r="N461" s="4"/>
      <c r="O461" s="8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</row>
    <row r="462" ht="15.75" customHeight="1">
      <c r="A462" s="4"/>
      <c r="B462" s="4"/>
      <c r="C462" s="8"/>
      <c r="D462" s="4"/>
      <c r="E462" s="4"/>
      <c r="F462" s="8"/>
      <c r="G462" s="4"/>
      <c r="H462" s="4"/>
      <c r="I462" s="8"/>
      <c r="J462" s="4"/>
      <c r="K462" s="4"/>
      <c r="L462" s="8"/>
      <c r="M462" s="4"/>
      <c r="N462" s="4"/>
      <c r="O462" s="8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</row>
    <row r="463" ht="15.75" customHeight="1">
      <c r="A463" s="4"/>
      <c r="B463" s="4"/>
      <c r="C463" s="8"/>
      <c r="D463" s="4"/>
      <c r="E463" s="4"/>
      <c r="F463" s="8"/>
      <c r="G463" s="4"/>
      <c r="H463" s="4"/>
      <c r="I463" s="8"/>
      <c r="J463" s="4"/>
      <c r="K463" s="4"/>
      <c r="L463" s="8"/>
      <c r="M463" s="4"/>
      <c r="N463" s="4"/>
      <c r="O463" s="8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</row>
    <row r="464" ht="15.75" customHeight="1">
      <c r="A464" s="4"/>
      <c r="B464" s="4"/>
      <c r="C464" s="8"/>
      <c r="D464" s="4"/>
      <c r="E464" s="4"/>
      <c r="F464" s="8"/>
      <c r="G464" s="4"/>
      <c r="H464" s="4"/>
      <c r="I464" s="8"/>
      <c r="J464" s="4"/>
      <c r="K464" s="4"/>
      <c r="L464" s="8"/>
      <c r="M464" s="4"/>
      <c r="N464" s="4"/>
      <c r="O464" s="8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</row>
    <row r="465" ht="15.75" customHeight="1">
      <c r="A465" s="4"/>
      <c r="B465" s="4"/>
      <c r="C465" s="8"/>
      <c r="D465" s="4"/>
      <c r="E465" s="4"/>
      <c r="F465" s="8"/>
      <c r="G465" s="4"/>
      <c r="H465" s="4"/>
      <c r="I465" s="8"/>
      <c r="J465" s="4"/>
      <c r="K465" s="4"/>
      <c r="L465" s="8"/>
      <c r="M465" s="4"/>
      <c r="N465" s="4"/>
      <c r="O465" s="8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</row>
    <row r="466" ht="15.75" customHeight="1">
      <c r="A466" s="4"/>
      <c r="B466" s="4"/>
      <c r="C466" s="8"/>
      <c r="D466" s="4"/>
      <c r="E466" s="4"/>
      <c r="F466" s="8"/>
      <c r="G466" s="4"/>
      <c r="H466" s="4"/>
      <c r="I466" s="8"/>
      <c r="J466" s="4"/>
      <c r="K466" s="4"/>
      <c r="L466" s="8"/>
      <c r="M466" s="4"/>
      <c r="N466" s="4"/>
      <c r="O466" s="8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</row>
    <row r="467" ht="15.75" customHeight="1">
      <c r="A467" s="4"/>
      <c r="B467" s="4"/>
      <c r="C467" s="8"/>
      <c r="D467" s="4"/>
      <c r="E467" s="4"/>
      <c r="F467" s="8"/>
      <c r="G467" s="4"/>
      <c r="H467" s="4"/>
      <c r="I467" s="8"/>
      <c r="J467" s="4"/>
      <c r="K467" s="4"/>
      <c r="L467" s="8"/>
      <c r="M467" s="4"/>
      <c r="N467" s="4"/>
      <c r="O467" s="8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</row>
    <row r="468" ht="15.75" customHeight="1">
      <c r="A468" s="4"/>
      <c r="B468" s="4"/>
      <c r="C468" s="8"/>
      <c r="D468" s="4"/>
      <c r="E468" s="4"/>
      <c r="F468" s="8"/>
      <c r="G468" s="4"/>
      <c r="H468" s="4"/>
      <c r="I468" s="8"/>
      <c r="J468" s="4"/>
      <c r="K468" s="4"/>
      <c r="L468" s="8"/>
      <c r="M468" s="4"/>
      <c r="N468" s="4"/>
      <c r="O468" s="8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</row>
    <row r="469" ht="15.75" customHeight="1">
      <c r="A469" s="4"/>
      <c r="B469" s="4"/>
      <c r="C469" s="8"/>
      <c r="D469" s="4"/>
      <c r="E469" s="4"/>
      <c r="F469" s="8"/>
      <c r="G469" s="4"/>
      <c r="H469" s="4"/>
      <c r="I469" s="8"/>
      <c r="J469" s="4"/>
      <c r="K469" s="4"/>
      <c r="L469" s="8"/>
      <c r="M469" s="4"/>
      <c r="N469" s="4"/>
      <c r="O469" s="8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</row>
    <row r="470" ht="15.75" customHeight="1">
      <c r="A470" s="4"/>
      <c r="B470" s="4"/>
      <c r="C470" s="8"/>
      <c r="D470" s="4"/>
      <c r="E470" s="4"/>
      <c r="F470" s="8"/>
      <c r="G470" s="4"/>
      <c r="H470" s="4"/>
      <c r="I470" s="8"/>
      <c r="J470" s="4"/>
      <c r="K470" s="4"/>
      <c r="L470" s="8"/>
      <c r="M470" s="4"/>
      <c r="N470" s="4"/>
      <c r="O470" s="8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</row>
    <row r="471" ht="15.75" customHeight="1">
      <c r="A471" s="4"/>
      <c r="B471" s="4"/>
      <c r="C471" s="8"/>
      <c r="D471" s="4"/>
      <c r="E471" s="4"/>
      <c r="F471" s="8"/>
      <c r="G471" s="4"/>
      <c r="H471" s="4"/>
      <c r="I471" s="8"/>
      <c r="J471" s="4"/>
      <c r="K471" s="4"/>
      <c r="L471" s="8"/>
      <c r="M471" s="4"/>
      <c r="N471" s="4"/>
      <c r="O471" s="8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</row>
    <row r="472" ht="15.75" customHeight="1">
      <c r="A472" s="4"/>
      <c r="B472" s="4"/>
      <c r="C472" s="8"/>
      <c r="D472" s="4"/>
      <c r="E472" s="4"/>
      <c r="F472" s="8"/>
      <c r="G472" s="4"/>
      <c r="H472" s="4"/>
      <c r="I472" s="8"/>
      <c r="J472" s="4"/>
      <c r="K472" s="4"/>
      <c r="L472" s="8"/>
      <c r="M472" s="4"/>
      <c r="N472" s="4"/>
      <c r="O472" s="8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</row>
    <row r="473" ht="15.75" customHeight="1">
      <c r="A473" s="4"/>
      <c r="B473" s="4"/>
      <c r="C473" s="8"/>
      <c r="D473" s="4"/>
      <c r="E473" s="4"/>
      <c r="F473" s="8"/>
      <c r="G473" s="4"/>
      <c r="H473" s="4"/>
      <c r="I473" s="8"/>
      <c r="J473" s="4"/>
      <c r="K473" s="4"/>
      <c r="L473" s="8"/>
      <c r="M473" s="4"/>
      <c r="N473" s="4"/>
      <c r="O473" s="8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</row>
    <row r="474" ht="15.75" customHeight="1">
      <c r="A474" s="4"/>
      <c r="B474" s="4"/>
      <c r="C474" s="8"/>
      <c r="D474" s="4"/>
      <c r="E474" s="4"/>
      <c r="F474" s="8"/>
      <c r="G474" s="4"/>
      <c r="H474" s="4"/>
      <c r="I474" s="8"/>
      <c r="J474" s="4"/>
      <c r="K474" s="4"/>
      <c r="L474" s="8"/>
      <c r="M474" s="4"/>
      <c r="N474" s="4"/>
      <c r="O474" s="8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</row>
    <row r="475" ht="15.75" customHeight="1">
      <c r="A475" s="4"/>
      <c r="B475" s="4"/>
      <c r="C475" s="8"/>
      <c r="D475" s="4"/>
      <c r="E475" s="4"/>
      <c r="F475" s="8"/>
      <c r="G475" s="4"/>
      <c r="H475" s="4"/>
      <c r="I475" s="8"/>
      <c r="J475" s="4"/>
      <c r="K475" s="4"/>
      <c r="L475" s="8"/>
      <c r="M475" s="4"/>
      <c r="N475" s="4"/>
      <c r="O475" s="8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</row>
    <row r="476" ht="15.75" customHeight="1">
      <c r="A476" s="4"/>
      <c r="B476" s="4"/>
      <c r="C476" s="8"/>
      <c r="D476" s="4"/>
      <c r="E476" s="4"/>
      <c r="F476" s="8"/>
      <c r="G476" s="4"/>
      <c r="H476" s="4"/>
      <c r="I476" s="8"/>
      <c r="J476" s="4"/>
      <c r="K476" s="4"/>
      <c r="L476" s="8"/>
      <c r="M476" s="4"/>
      <c r="N476" s="4"/>
      <c r="O476" s="8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</row>
    <row r="477" ht="15.75" customHeight="1">
      <c r="A477" s="4"/>
      <c r="B477" s="4"/>
      <c r="C477" s="8"/>
      <c r="D477" s="4"/>
      <c r="E477" s="4"/>
      <c r="F477" s="8"/>
      <c r="G477" s="4"/>
      <c r="H477" s="4"/>
      <c r="I477" s="8"/>
      <c r="J477" s="4"/>
      <c r="K477" s="4"/>
      <c r="L477" s="8"/>
      <c r="M477" s="4"/>
      <c r="N477" s="4"/>
      <c r="O477" s="8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</row>
    <row r="478" ht="15.75" customHeight="1">
      <c r="A478" s="4"/>
      <c r="B478" s="4"/>
      <c r="C478" s="8"/>
      <c r="D478" s="4"/>
      <c r="E478" s="4"/>
      <c r="F478" s="8"/>
      <c r="G478" s="4"/>
      <c r="H478" s="4"/>
      <c r="I478" s="8"/>
      <c r="J478" s="4"/>
      <c r="K478" s="4"/>
      <c r="L478" s="8"/>
      <c r="M478" s="4"/>
      <c r="N478" s="4"/>
      <c r="O478" s="8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</row>
    <row r="479" ht="15.75" customHeight="1">
      <c r="A479" s="4"/>
      <c r="B479" s="4"/>
      <c r="C479" s="8"/>
      <c r="D479" s="4"/>
      <c r="E479" s="4"/>
      <c r="F479" s="8"/>
      <c r="G479" s="4"/>
      <c r="H479" s="4"/>
      <c r="I479" s="8"/>
      <c r="J479" s="4"/>
      <c r="K479" s="4"/>
      <c r="L479" s="8"/>
      <c r="M479" s="4"/>
      <c r="N479" s="4"/>
      <c r="O479" s="8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</row>
    <row r="480" ht="15.75" customHeight="1">
      <c r="A480" s="4"/>
      <c r="B480" s="4"/>
      <c r="C480" s="8"/>
      <c r="D480" s="4"/>
      <c r="E480" s="4"/>
      <c r="F480" s="8"/>
      <c r="G480" s="4"/>
      <c r="H480" s="4"/>
      <c r="I480" s="8"/>
      <c r="J480" s="4"/>
      <c r="K480" s="4"/>
      <c r="L480" s="8"/>
      <c r="M480" s="4"/>
      <c r="N480" s="4"/>
      <c r="O480" s="8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</row>
    <row r="481" ht="15.75" customHeight="1">
      <c r="A481" s="4"/>
      <c r="B481" s="4"/>
      <c r="C481" s="8"/>
      <c r="D481" s="4"/>
      <c r="E481" s="4"/>
      <c r="F481" s="8"/>
      <c r="G481" s="4"/>
      <c r="H481" s="4"/>
      <c r="I481" s="8"/>
      <c r="J481" s="4"/>
      <c r="K481" s="4"/>
      <c r="L481" s="8"/>
      <c r="M481" s="4"/>
      <c r="N481" s="4"/>
      <c r="O481" s="8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</row>
    <row r="482" ht="15.75" customHeight="1">
      <c r="A482" s="4"/>
      <c r="B482" s="4"/>
      <c r="C482" s="8"/>
      <c r="D482" s="4"/>
      <c r="E482" s="4"/>
      <c r="F482" s="8"/>
      <c r="G482" s="4"/>
      <c r="H482" s="4"/>
      <c r="I482" s="8"/>
      <c r="J482" s="4"/>
      <c r="K482" s="4"/>
      <c r="L482" s="8"/>
      <c r="M482" s="4"/>
      <c r="N482" s="4"/>
      <c r="O482" s="8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</row>
    <row r="483" ht="15.75" customHeight="1">
      <c r="A483" s="4"/>
      <c r="B483" s="4"/>
      <c r="C483" s="8"/>
      <c r="D483" s="4"/>
      <c r="E483" s="4"/>
      <c r="F483" s="8"/>
      <c r="G483" s="4"/>
      <c r="H483" s="4"/>
      <c r="I483" s="8"/>
      <c r="J483" s="4"/>
      <c r="K483" s="4"/>
      <c r="L483" s="8"/>
      <c r="M483" s="4"/>
      <c r="N483" s="4"/>
      <c r="O483" s="8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</row>
    <row r="484" ht="15.75" customHeight="1">
      <c r="A484" s="4"/>
      <c r="B484" s="4"/>
      <c r="C484" s="8"/>
      <c r="D484" s="4"/>
      <c r="E484" s="4"/>
      <c r="F484" s="8"/>
      <c r="G484" s="4"/>
      <c r="H484" s="4"/>
      <c r="I484" s="8"/>
      <c r="J484" s="4"/>
      <c r="K484" s="4"/>
      <c r="L484" s="8"/>
      <c r="M484" s="4"/>
      <c r="N484" s="4"/>
      <c r="O484" s="8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</row>
    <row r="485" ht="15.75" customHeight="1">
      <c r="A485" s="4"/>
      <c r="B485" s="4"/>
      <c r="C485" s="8"/>
      <c r="D485" s="4"/>
      <c r="E485" s="4"/>
      <c r="F485" s="8"/>
      <c r="G485" s="4"/>
      <c r="H485" s="4"/>
      <c r="I485" s="8"/>
      <c r="J485" s="4"/>
      <c r="K485" s="4"/>
      <c r="L485" s="8"/>
      <c r="M485" s="4"/>
      <c r="N485" s="4"/>
      <c r="O485" s="8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</row>
    <row r="486" ht="15.75" customHeight="1">
      <c r="A486" s="4"/>
      <c r="B486" s="4"/>
      <c r="C486" s="8"/>
      <c r="D486" s="4"/>
      <c r="E486" s="4"/>
      <c r="F486" s="8"/>
      <c r="G486" s="4"/>
      <c r="H486" s="4"/>
      <c r="I486" s="8"/>
      <c r="J486" s="4"/>
      <c r="K486" s="4"/>
      <c r="L486" s="8"/>
      <c r="M486" s="4"/>
      <c r="N486" s="4"/>
      <c r="O486" s="8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</row>
    <row r="487" ht="15.75" customHeight="1">
      <c r="A487" s="4"/>
      <c r="B487" s="4"/>
      <c r="C487" s="8"/>
      <c r="D487" s="4"/>
      <c r="E487" s="4"/>
      <c r="F487" s="8"/>
      <c r="G487" s="4"/>
      <c r="H487" s="4"/>
      <c r="I487" s="8"/>
      <c r="J487" s="4"/>
      <c r="K487" s="4"/>
      <c r="L487" s="8"/>
      <c r="M487" s="4"/>
      <c r="N487" s="4"/>
      <c r="O487" s="8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</row>
    <row r="488" ht="15.75" customHeight="1">
      <c r="A488" s="4"/>
      <c r="B488" s="4"/>
      <c r="C488" s="8"/>
      <c r="D488" s="4"/>
      <c r="E488" s="4"/>
      <c r="F488" s="8"/>
      <c r="G488" s="4"/>
      <c r="H488" s="4"/>
      <c r="I488" s="8"/>
      <c r="J488" s="4"/>
      <c r="K488" s="4"/>
      <c r="L488" s="8"/>
      <c r="M488" s="4"/>
      <c r="N488" s="4"/>
      <c r="O488" s="8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</row>
    <row r="489" ht="15.75" customHeight="1">
      <c r="A489" s="4"/>
      <c r="B489" s="4"/>
      <c r="C489" s="8"/>
      <c r="D489" s="4"/>
      <c r="E489" s="4"/>
      <c r="F489" s="8"/>
      <c r="G489" s="4"/>
      <c r="H489" s="4"/>
      <c r="I489" s="8"/>
      <c r="J489" s="4"/>
      <c r="K489" s="4"/>
      <c r="L489" s="8"/>
      <c r="M489" s="4"/>
      <c r="N489" s="4"/>
      <c r="O489" s="8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</row>
    <row r="490" ht="15.75" customHeight="1">
      <c r="A490" s="4"/>
      <c r="B490" s="4"/>
      <c r="C490" s="8"/>
      <c r="D490" s="4"/>
      <c r="E490" s="4"/>
      <c r="F490" s="8"/>
      <c r="G490" s="4"/>
      <c r="H490" s="4"/>
      <c r="I490" s="8"/>
      <c r="J490" s="4"/>
      <c r="K490" s="4"/>
      <c r="L490" s="8"/>
      <c r="M490" s="4"/>
      <c r="N490" s="4"/>
      <c r="O490" s="8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</row>
    <row r="491" ht="15.75" customHeight="1">
      <c r="A491" s="4"/>
      <c r="B491" s="4"/>
      <c r="C491" s="8"/>
      <c r="D491" s="4"/>
      <c r="E491" s="4"/>
      <c r="F491" s="8"/>
      <c r="G491" s="4"/>
      <c r="H491" s="4"/>
      <c r="I491" s="8"/>
      <c r="J491" s="4"/>
      <c r="K491" s="4"/>
      <c r="L491" s="8"/>
      <c r="M491" s="4"/>
      <c r="N491" s="4"/>
      <c r="O491" s="8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</row>
    <row r="492" ht="15.75" customHeight="1">
      <c r="A492" s="4"/>
      <c r="B492" s="4"/>
      <c r="C492" s="8"/>
      <c r="D492" s="4"/>
      <c r="E492" s="4"/>
      <c r="F492" s="8"/>
      <c r="G492" s="4"/>
      <c r="H492" s="4"/>
      <c r="I492" s="8"/>
      <c r="J492" s="4"/>
      <c r="K492" s="4"/>
      <c r="L492" s="8"/>
      <c r="M492" s="4"/>
      <c r="N492" s="4"/>
      <c r="O492" s="8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</row>
    <row r="493" ht="15.75" customHeight="1">
      <c r="A493" s="4"/>
      <c r="B493" s="4"/>
      <c r="C493" s="8"/>
      <c r="D493" s="4"/>
      <c r="E493" s="4"/>
      <c r="F493" s="8"/>
      <c r="G493" s="4"/>
      <c r="H493" s="4"/>
      <c r="I493" s="8"/>
      <c r="J493" s="4"/>
      <c r="K493" s="4"/>
      <c r="L493" s="8"/>
      <c r="M493" s="4"/>
      <c r="N493" s="4"/>
      <c r="O493" s="8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</row>
    <row r="494" ht="15.75" customHeight="1">
      <c r="A494" s="4"/>
      <c r="B494" s="4"/>
      <c r="C494" s="8"/>
      <c r="D494" s="4"/>
      <c r="E494" s="4"/>
      <c r="F494" s="8"/>
      <c r="G494" s="4"/>
      <c r="H494" s="4"/>
      <c r="I494" s="8"/>
      <c r="J494" s="4"/>
      <c r="K494" s="4"/>
      <c r="L494" s="8"/>
      <c r="M494" s="4"/>
      <c r="N494" s="4"/>
      <c r="O494" s="8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</row>
    <row r="495" ht="15.75" customHeight="1">
      <c r="A495" s="4"/>
      <c r="B495" s="4"/>
      <c r="C495" s="8"/>
      <c r="D495" s="4"/>
      <c r="E495" s="4"/>
      <c r="F495" s="8"/>
      <c r="G495" s="4"/>
      <c r="H495" s="4"/>
      <c r="I495" s="8"/>
      <c r="J495" s="4"/>
      <c r="K495" s="4"/>
      <c r="L495" s="8"/>
      <c r="M495" s="4"/>
      <c r="N495" s="4"/>
      <c r="O495" s="8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</row>
    <row r="496" ht="15.75" customHeight="1">
      <c r="A496" s="4"/>
      <c r="B496" s="4"/>
      <c r="C496" s="8"/>
      <c r="D496" s="4"/>
      <c r="E496" s="4"/>
      <c r="F496" s="8"/>
      <c r="G496" s="4"/>
      <c r="H496" s="4"/>
      <c r="I496" s="8"/>
      <c r="J496" s="4"/>
      <c r="K496" s="4"/>
      <c r="L496" s="8"/>
      <c r="M496" s="4"/>
      <c r="N496" s="4"/>
      <c r="O496" s="8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</row>
    <row r="497" ht="15.75" customHeight="1">
      <c r="A497" s="4"/>
      <c r="B497" s="4"/>
      <c r="C497" s="8"/>
      <c r="D497" s="4"/>
      <c r="E497" s="4"/>
      <c r="F497" s="8"/>
      <c r="G497" s="4"/>
      <c r="H497" s="4"/>
      <c r="I497" s="8"/>
      <c r="J497" s="4"/>
      <c r="K497" s="4"/>
      <c r="L497" s="8"/>
      <c r="M497" s="4"/>
      <c r="N497" s="4"/>
      <c r="O497" s="8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</row>
    <row r="498" ht="15.75" customHeight="1">
      <c r="A498" s="4"/>
      <c r="B498" s="4"/>
      <c r="C498" s="8"/>
      <c r="D498" s="4"/>
      <c r="E498" s="4"/>
      <c r="F498" s="8"/>
      <c r="G498" s="4"/>
      <c r="H498" s="4"/>
      <c r="I498" s="8"/>
      <c r="J498" s="4"/>
      <c r="K498" s="4"/>
      <c r="L498" s="8"/>
      <c r="M498" s="4"/>
      <c r="N498" s="4"/>
      <c r="O498" s="8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</row>
    <row r="499" ht="15.75" customHeight="1">
      <c r="A499" s="4"/>
      <c r="B499" s="4"/>
      <c r="C499" s="8"/>
      <c r="D499" s="4"/>
      <c r="E499" s="4"/>
      <c r="F499" s="8"/>
      <c r="G499" s="4"/>
      <c r="H499" s="4"/>
      <c r="I499" s="8"/>
      <c r="J499" s="4"/>
      <c r="K499" s="4"/>
      <c r="L499" s="8"/>
      <c r="M499" s="4"/>
      <c r="N499" s="4"/>
      <c r="O499" s="8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</row>
    <row r="500" ht="15.75" customHeight="1">
      <c r="A500" s="4"/>
      <c r="B500" s="4"/>
      <c r="C500" s="8"/>
      <c r="D500" s="4"/>
      <c r="E500" s="4"/>
      <c r="F500" s="8"/>
      <c r="G500" s="4"/>
      <c r="H500" s="4"/>
      <c r="I500" s="8"/>
      <c r="J500" s="4"/>
      <c r="K500" s="4"/>
      <c r="L500" s="8"/>
      <c r="M500" s="4"/>
      <c r="N500" s="4"/>
      <c r="O500" s="8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</row>
    <row r="501" ht="15.75" customHeight="1">
      <c r="A501" s="4"/>
      <c r="B501" s="4"/>
      <c r="C501" s="8"/>
      <c r="D501" s="4"/>
      <c r="E501" s="4"/>
      <c r="F501" s="8"/>
      <c r="G501" s="4"/>
      <c r="H501" s="4"/>
      <c r="I501" s="8"/>
      <c r="J501" s="4"/>
      <c r="K501" s="4"/>
      <c r="L501" s="8"/>
      <c r="M501" s="4"/>
      <c r="N501" s="4"/>
      <c r="O501" s="8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</row>
    <row r="502" ht="15.75" customHeight="1">
      <c r="A502" s="4"/>
      <c r="B502" s="4"/>
      <c r="C502" s="8"/>
      <c r="D502" s="4"/>
      <c r="E502" s="4"/>
      <c r="F502" s="8"/>
      <c r="G502" s="4"/>
      <c r="H502" s="4"/>
      <c r="I502" s="8"/>
      <c r="J502" s="4"/>
      <c r="K502" s="4"/>
      <c r="L502" s="8"/>
      <c r="M502" s="4"/>
      <c r="N502" s="4"/>
      <c r="O502" s="8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</row>
    <row r="503" ht="15.75" customHeight="1">
      <c r="A503" s="4"/>
      <c r="B503" s="4"/>
      <c r="C503" s="8"/>
      <c r="D503" s="4"/>
      <c r="E503" s="4"/>
      <c r="F503" s="8"/>
      <c r="G503" s="4"/>
      <c r="H503" s="4"/>
      <c r="I503" s="8"/>
      <c r="J503" s="4"/>
      <c r="K503" s="4"/>
      <c r="L503" s="8"/>
      <c r="M503" s="4"/>
      <c r="N503" s="4"/>
      <c r="O503" s="8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</row>
    <row r="504" ht="15.75" customHeight="1">
      <c r="A504" s="4"/>
      <c r="B504" s="4"/>
      <c r="C504" s="8"/>
      <c r="D504" s="4"/>
      <c r="E504" s="4"/>
      <c r="F504" s="8"/>
      <c r="G504" s="4"/>
      <c r="H504" s="4"/>
      <c r="I504" s="8"/>
      <c r="J504" s="4"/>
      <c r="K504" s="4"/>
      <c r="L504" s="8"/>
      <c r="M504" s="4"/>
      <c r="N504" s="4"/>
      <c r="O504" s="8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</row>
    <row r="505" ht="15.75" customHeight="1">
      <c r="A505" s="4"/>
      <c r="B505" s="4"/>
      <c r="C505" s="8"/>
      <c r="D505" s="4"/>
      <c r="E505" s="4"/>
      <c r="F505" s="8"/>
      <c r="G505" s="4"/>
      <c r="H505" s="4"/>
      <c r="I505" s="8"/>
      <c r="J505" s="4"/>
      <c r="K505" s="4"/>
      <c r="L505" s="8"/>
      <c r="M505" s="4"/>
      <c r="N505" s="4"/>
      <c r="O505" s="8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</row>
    <row r="506" ht="15.75" customHeight="1">
      <c r="A506" s="4"/>
      <c r="B506" s="4"/>
      <c r="C506" s="8"/>
      <c r="D506" s="4"/>
      <c r="E506" s="4"/>
      <c r="F506" s="8"/>
      <c r="G506" s="4"/>
      <c r="H506" s="4"/>
      <c r="I506" s="8"/>
      <c r="J506" s="4"/>
      <c r="K506" s="4"/>
      <c r="L506" s="8"/>
      <c r="M506" s="4"/>
      <c r="N506" s="4"/>
      <c r="O506" s="8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</row>
    <row r="507" ht="15.75" customHeight="1">
      <c r="A507" s="4"/>
      <c r="B507" s="4"/>
      <c r="C507" s="8"/>
      <c r="D507" s="4"/>
      <c r="E507" s="4"/>
      <c r="F507" s="8"/>
      <c r="G507" s="4"/>
      <c r="H507" s="4"/>
      <c r="I507" s="8"/>
      <c r="J507" s="4"/>
      <c r="K507" s="4"/>
      <c r="L507" s="8"/>
      <c r="M507" s="4"/>
      <c r="N507" s="4"/>
      <c r="O507" s="8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</row>
    <row r="508" ht="15.75" customHeight="1">
      <c r="A508" s="4"/>
      <c r="B508" s="4"/>
      <c r="C508" s="8"/>
      <c r="D508" s="4"/>
      <c r="E508" s="4"/>
      <c r="F508" s="8"/>
      <c r="G508" s="4"/>
      <c r="H508" s="4"/>
      <c r="I508" s="8"/>
      <c r="J508" s="4"/>
      <c r="K508" s="4"/>
      <c r="L508" s="8"/>
      <c r="M508" s="4"/>
      <c r="N508" s="4"/>
      <c r="O508" s="8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</row>
    <row r="509" ht="15.75" customHeight="1">
      <c r="A509" s="4"/>
      <c r="B509" s="4"/>
      <c r="C509" s="8"/>
      <c r="D509" s="4"/>
      <c r="E509" s="4"/>
      <c r="F509" s="8"/>
      <c r="G509" s="4"/>
      <c r="H509" s="4"/>
      <c r="I509" s="8"/>
      <c r="J509" s="4"/>
      <c r="K509" s="4"/>
      <c r="L509" s="8"/>
      <c r="M509" s="4"/>
      <c r="N509" s="4"/>
      <c r="O509" s="8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</row>
    <row r="510" ht="15.75" customHeight="1">
      <c r="A510" s="4"/>
      <c r="B510" s="4"/>
      <c r="C510" s="8"/>
      <c r="D510" s="4"/>
      <c r="E510" s="4"/>
      <c r="F510" s="8"/>
      <c r="G510" s="4"/>
      <c r="H510" s="4"/>
      <c r="I510" s="8"/>
      <c r="J510" s="4"/>
      <c r="K510" s="4"/>
      <c r="L510" s="8"/>
      <c r="M510" s="4"/>
      <c r="N510" s="4"/>
      <c r="O510" s="8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</row>
    <row r="511" ht="15.75" customHeight="1">
      <c r="A511" s="4"/>
      <c r="B511" s="4"/>
      <c r="C511" s="8"/>
      <c r="D511" s="4"/>
      <c r="E511" s="4"/>
      <c r="F511" s="8"/>
      <c r="G511" s="4"/>
      <c r="H511" s="4"/>
      <c r="I511" s="8"/>
      <c r="J511" s="4"/>
      <c r="K511" s="4"/>
      <c r="L511" s="8"/>
      <c r="M511" s="4"/>
      <c r="N511" s="4"/>
      <c r="O511" s="8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</row>
    <row r="512" ht="15.75" customHeight="1">
      <c r="A512" s="4"/>
      <c r="B512" s="4"/>
      <c r="C512" s="8"/>
      <c r="D512" s="4"/>
      <c r="E512" s="4"/>
      <c r="F512" s="8"/>
      <c r="G512" s="4"/>
      <c r="H512" s="4"/>
      <c r="I512" s="8"/>
      <c r="J512" s="4"/>
      <c r="K512" s="4"/>
      <c r="L512" s="8"/>
      <c r="M512" s="4"/>
      <c r="N512" s="4"/>
      <c r="O512" s="8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</row>
    <row r="513" ht="15.75" customHeight="1">
      <c r="A513" s="4"/>
      <c r="B513" s="4"/>
      <c r="C513" s="8"/>
      <c r="D513" s="4"/>
      <c r="E513" s="4"/>
      <c r="F513" s="8"/>
      <c r="G513" s="4"/>
      <c r="H513" s="4"/>
      <c r="I513" s="8"/>
      <c r="J513" s="4"/>
      <c r="K513" s="4"/>
      <c r="L513" s="8"/>
      <c r="M513" s="4"/>
      <c r="N513" s="4"/>
      <c r="O513" s="8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</row>
    <row r="514" ht="15.75" customHeight="1">
      <c r="A514" s="4"/>
      <c r="B514" s="4"/>
      <c r="C514" s="8"/>
      <c r="D514" s="4"/>
      <c r="E514" s="4"/>
      <c r="F514" s="8"/>
      <c r="G514" s="4"/>
      <c r="H514" s="4"/>
      <c r="I514" s="8"/>
      <c r="J514" s="4"/>
      <c r="K514" s="4"/>
      <c r="L514" s="8"/>
      <c r="M514" s="4"/>
      <c r="N514" s="4"/>
      <c r="O514" s="8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</row>
    <row r="515" ht="15.75" customHeight="1">
      <c r="A515" s="4"/>
      <c r="B515" s="4"/>
      <c r="C515" s="8"/>
      <c r="D515" s="4"/>
      <c r="E515" s="4"/>
      <c r="F515" s="8"/>
      <c r="G515" s="4"/>
      <c r="H515" s="4"/>
      <c r="I515" s="8"/>
      <c r="J515" s="4"/>
      <c r="K515" s="4"/>
      <c r="L515" s="8"/>
      <c r="M515" s="4"/>
      <c r="N515" s="4"/>
      <c r="O515" s="8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</row>
    <row r="516" ht="15.75" customHeight="1">
      <c r="A516" s="4"/>
      <c r="B516" s="4"/>
      <c r="C516" s="8"/>
      <c r="D516" s="4"/>
      <c r="E516" s="4"/>
      <c r="F516" s="8"/>
      <c r="G516" s="4"/>
      <c r="H516" s="4"/>
      <c r="I516" s="8"/>
      <c r="J516" s="4"/>
      <c r="K516" s="4"/>
      <c r="L516" s="8"/>
      <c r="M516" s="4"/>
      <c r="N516" s="4"/>
      <c r="O516" s="8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</row>
    <row r="517" ht="15.75" customHeight="1">
      <c r="A517" s="4"/>
      <c r="B517" s="4"/>
      <c r="C517" s="8"/>
      <c r="D517" s="4"/>
      <c r="E517" s="4"/>
      <c r="F517" s="8"/>
      <c r="G517" s="4"/>
      <c r="H517" s="4"/>
      <c r="I517" s="8"/>
      <c r="J517" s="4"/>
      <c r="K517" s="4"/>
      <c r="L517" s="8"/>
      <c r="M517" s="4"/>
      <c r="N517" s="4"/>
      <c r="O517" s="8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</row>
    <row r="518" ht="15.75" customHeight="1">
      <c r="A518" s="4"/>
      <c r="B518" s="4"/>
      <c r="C518" s="8"/>
      <c r="D518" s="4"/>
      <c r="E518" s="4"/>
      <c r="F518" s="8"/>
      <c r="G518" s="4"/>
      <c r="H518" s="4"/>
      <c r="I518" s="8"/>
      <c r="J518" s="4"/>
      <c r="K518" s="4"/>
      <c r="L518" s="8"/>
      <c r="M518" s="4"/>
      <c r="N518" s="4"/>
      <c r="O518" s="8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</row>
    <row r="519" ht="15.75" customHeight="1">
      <c r="A519" s="4"/>
      <c r="B519" s="4"/>
      <c r="C519" s="8"/>
      <c r="D519" s="4"/>
      <c r="E519" s="4"/>
      <c r="F519" s="8"/>
      <c r="G519" s="4"/>
      <c r="H519" s="4"/>
      <c r="I519" s="8"/>
      <c r="J519" s="4"/>
      <c r="K519" s="4"/>
      <c r="L519" s="8"/>
      <c r="M519" s="4"/>
      <c r="N519" s="4"/>
      <c r="O519" s="8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</row>
    <row r="520" ht="15.75" customHeight="1">
      <c r="A520" s="4"/>
      <c r="B520" s="4"/>
      <c r="C520" s="8"/>
      <c r="D520" s="4"/>
      <c r="E520" s="4"/>
      <c r="F520" s="8"/>
      <c r="G520" s="4"/>
      <c r="H520" s="4"/>
      <c r="I520" s="8"/>
      <c r="J520" s="4"/>
      <c r="K520" s="4"/>
      <c r="L520" s="8"/>
      <c r="M520" s="4"/>
      <c r="N520" s="4"/>
      <c r="O520" s="8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</row>
    <row r="521" ht="15.75" customHeight="1">
      <c r="A521" s="4"/>
      <c r="B521" s="4"/>
      <c r="C521" s="8"/>
      <c r="D521" s="4"/>
      <c r="E521" s="4"/>
      <c r="F521" s="8"/>
      <c r="G521" s="4"/>
      <c r="H521" s="4"/>
      <c r="I521" s="8"/>
      <c r="J521" s="4"/>
      <c r="K521" s="4"/>
      <c r="L521" s="8"/>
      <c r="M521" s="4"/>
      <c r="N521" s="4"/>
      <c r="O521" s="8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</row>
    <row r="522" ht="15.75" customHeight="1">
      <c r="A522" s="4"/>
      <c r="B522" s="4"/>
      <c r="C522" s="8"/>
      <c r="D522" s="4"/>
      <c r="E522" s="4"/>
      <c r="F522" s="8"/>
      <c r="G522" s="4"/>
      <c r="H522" s="4"/>
      <c r="I522" s="8"/>
      <c r="J522" s="4"/>
      <c r="K522" s="4"/>
      <c r="L522" s="8"/>
      <c r="M522" s="4"/>
      <c r="N522" s="4"/>
      <c r="O522" s="8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</row>
    <row r="523" ht="15.75" customHeight="1">
      <c r="A523" s="4"/>
      <c r="B523" s="4"/>
      <c r="C523" s="8"/>
      <c r="D523" s="4"/>
      <c r="E523" s="4"/>
      <c r="F523" s="8"/>
      <c r="G523" s="4"/>
      <c r="H523" s="4"/>
      <c r="I523" s="8"/>
      <c r="J523" s="4"/>
      <c r="K523" s="4"/>
      <c r="L523" s="8"/>
      <c r="M523" s="4"/>
      <c r="N523" s="4"/>
      <c r="O523" s="8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</row>
    <row r="524" ht="15.75" customHeight="1">
      <c r="A524" s="4"/>
      <c r="B524" s="4"/>
      <c r="C524" s="8"/>
      <c r="D524" s="4"/>
      <c r="E524" s="4"/>
      <c r="F524" s="8"/>
      <c r="G524" s="4"/>
      <c r="H524" s="4"/>
      <c r="I524" s="8"/>
      <c r="J524" s="4"/>
      <c r="K524" s="4"/>
      <c r="L524" s="8"/>
      <c r="M524" s="4"/>
      <c r="N524" s="4"/>
      <c r="O524" s="8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</row>
    <row r="525" ht="15.75" customHeight="1">
      <c r="A525" s="4"/>
      <c r="B525" s="4"/>
      <c r="C525" s="8"/>
      <c r="D525" s="4"/>
      <c r="E525" s="4"/>
      <c r="F525" s="8"/>
      <c r="G525" s="4"/>
      <c r="H525" s="4"/>
      <c r="I525" s="8"/>
      <c r="J525" s="4"/>
      <c r="K525" s="4"/>
      <c r="L525" s="8"/>
      <c r="M525" s="4"/>
      <c r="N525" s="4"/>
      <c r="O525" s="8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</row>
    <row r="526" ht="15.75" customHeight="1">
      <c r="A526" s="4"/>
      <c r="B526" s="4"/>
      <c r="C526" s="8"/>
      <c r="D526" s="4"/>
      <c r="E526" s="4"/>
      <c r="F526" s="8"/>
      <c r="G526" s="4"/>
      <c r="H526" s="4"/>
      <c r="I526" s="8"/>
      <c r="J526" s="4"/>
      <c r="K526" s="4"/>
      <c r="L526" s="8"/>
      <c r="M526" s="4"/>
      <c r="N526" s="4"/>
      <c r="O526" s="8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</row>
    <row r="527" ht="15.75" customHeight="1">
      <c r="A527" s="4"/>
      <c r="B527" s="4"/>
      <c r="C527" s="8"/>
      <c r="D527" s="4"/>
      <c r="E527" s="4"/>
      <c r="F527" s="8"/>
      <c r="G527" s="4"/>
      <c r="H527" s="4"/>
      <c r="I527" s="8"/>
      <c r="J527" s="4"/>
      <c r="K527" s="4"/>
      <c r="L527" s="8"/>
      <c r="M527" s="4"/>
      <c r="N527" s="4"/>
      <c r="O527" s="8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</row>
    <row r="528" ht="15.75" customHeight="1">
      <c r="A528" s="4"/>
      <c r="B528" s="4"/>
      <c r="C528" s="8"/>
      <c r="D528" s="4"/>
      <c r="E528" s="4"/>
      <c r="F528" s="8"/>
      <c r="G528" s="4"/>
      <c r="H528" s="4"/>
      <c r="I528" s="8"/>
      <c r="J528" s="4"/>
      <c r="K528" s="4"/>
      <c r="L528" s="8"/>
      <c r="M528" s="4"/>
      <c r="N528" s="4"/>
      <c r="O528" s="8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</row>
    <row r="529" ht="15.75" customHeight="1">
      <c r="A529" s="4"/>
      <c r="B529" s="4"/>
      <c r="C529" s="8"/>
      <c r="D529" s="4"/>
      <c r="E529" s="4"/>
      <c r="F529" s="8"/>
      <c r="G529" s="4"/>
      <c r="H529" s="4"/>
      <c r="I529" s="8"/>
      <c r="J529" s="4"/>
      <c r="K529" s="4"/>
      <c r="L529" s="8"/>
      <c r="M529" s="4"/>
      <c r="N529" s="4"/>
      <c r="O529" s="8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</row>
    <row r="530" ht="15.75" customHeight="1">
      <c r="A530" s="4"/>
      <c r="B530" s="4"/>
      <c r="C530" s="8"/>
      <c r="D530" s="4"/>
      <c r="E530" s="4"/>
      <c r="F530" s="8"/>
      <c r="G530" s="4"/>
      <c r="H530" s="4"/>
      <c r="I530" s="8"/>
      <c r="J530" s="4"/>
      <c r="K530" s="4"/>
      <c r="L530" s="8"/>
      <c r="M530" s="4"/>
      <c r="N530" s="4"/>
      <c r="O530" s="8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</row>
    <row r="531" ht="15.75" customHeight="1">
      <c r="A531" s="4"/>
      <c r="B531" s="4"/>
      <c r="C531" s="8"/>
      <c r="D531" s="4"/>
      <c r="E531" s="4"/>
      <c r="F531" s="8"/>
      <c r="G531" s="4"/>
      <c r="H531" s="4"/>
      <c r="I531" s="8"/>
      <c r="J531" s="4"/>
      <c r="K531" s="4"/>
      <c r="L531" s="8"/>
      <c r="M531" s="4"/>
      <c r="N531" s="4"/>
      <c r="O531" s="8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</row>
    <row r="532" ht="15.75" customHeight="1">
      <c r="A532" s="4"/>
      <c r="B532" s="4"/>
      <c r="C532" s="8"/>
      <c r="D532" s="4"/>
      <c r="E532" s="4"/>
      <c r="F532" s="8"/>
      <c r="G532" s="4"/>
      <c r="H532" s="4"/>
      <c r="I532" s="8"/>
      <c r="J532" s="4"/>
      <c r="K532" s="4"/>
      <c r="L532" s="8"/>
      <c r="M532" s="4"/>
      <c r="N532" s="4"/>
      <c r="O532" s="8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</row>
    <row r="533" ht="15.75" customHeight="1">
      <c r="A533" s="4"/>
      <c r="B533" s="4"/>
      <c r="C533" s="8"/>
      <c r="D533" s="4"/>
      <c r="E533" s="4"/>
      <c r="F533" s="8"/>
      <c r="G533" s="4"/>
      <c r="H533" s="4"/>
      <c r="I533" s="8"/>
      <c r="J533" s="4"/>
      <c r="K533" s="4"/>
      <c r="L533" s="8"/>
      <c r="M533" s="4"/>
      <c r="N533" s="4"/>
      <c r="O533" s="8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</row>
    <row r="534" ht="15.75" customHeight="1">
      <c r="A534" s="4"/>
      <c r="B534" s="4"/>
      <c r="C534" s="8"/>
      <c r="D534" s="4"/>
      <c r="E534" s="4"/>
      <c r="F534" s="8"/>
      <c r="G534" s="4"/>
      <c r="H534" s="4"/>
      <c r="I534" s="8"/>
      <c r="J534" s="4"/>
      <c r="K534" s="4"/>
      <c r="L534" s="8"/>
      <c r="M534" s="4"/>
      <c r="N534" s="4"/>
      <c r="O534" s="8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</row>
    <row r="535" ht="15.75" customHeight="1">
      <c r="A535" s="4"/>
      <c r="B535" s="4"/>
      <c r="C535" s="8"/>
      <c r="D535" s="4"/>
      <c r="E535" s="4"/>
      <c r="F535" s="8"/>
      <c r="G535" s="4"/>
      <c r="H535" s="4"/>
      <c r="I535" s="8"/>
      <c r="J535" s="4"/>
      <c r="K535" s="4"/>
      <c r="L535" s="8"/>
      <c r="M535" s="4"/>
      <c r="N535" s="4"/>
      <c r="O535" s="8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</row>
    <row r="536" ht="15.75" customHeight="1">
      <c r="A536" s="4"/>
      <c r="B536" s="4"/>
      <c r="C536" s="8"/>
      <c r="D536" s="4"/>
      <c r="E536" s="4"/>
      <c r="F536" s="8"/>
      <c r="G536" s="4"/>
      <c r="H536" s="4"/>
      <c r="I536" s="8"/>
      <c r="J536" s="4"/>
      <c r="K536" s="4"/>
      <c r="L536" s="8"/>
      <c r="M536" s="4"/>
      <c r="N536" s="4"/>
      <c r="O536" s="8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</row>
    <row r="537" ht="15.75" customHeight="1">
      <c r="A537" s="4"/>
      <c r="B537" s="4"/>
      <c r="C537" s="8"/>
      <c r="D537" s="4"/>
      <c r="E537" s="4"/>
      <c r="F537" s="8"/>
      <c r="G537" s="4"/>
      <c r="H537" s="4"/>
      <c r="I537" s="8"/>
      <c r="J537" s="4"/>
      <c r="K537" s="4"/>
      <c r="L537" s="8"/>
      <c r="M537" s="4"/>
      <c r="N537" s="4"/>
      <c r="O537" s="8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</row>
    <row r="538" ht="15.75" customHeight="1">
      <c r="A538" s="4"/>
      <c r="B538" s="4"/>
      <c r="C538" s="8"/>
      <c r="D538" s="4"/>
      <c r="E538" s="4"/>
      <c r="F538" s="8"/>
      <c r="G538" s="4"/>
      <c r="H538" s="4"/>
      <c r="I538" s="8"/>
      <c r="J538" s="4"/>
      <c r="K538" s="4"/>
      <c r="L538" s="8"/>
      <c r="M538" s="4"/>
      <c r="N538" s="4"/>
      <c r="O538" s="8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</row>
    <row r="539" ht="15.75" customHeight="1">
      <c r="A539" s="4"/>
      <c r="B539" s="4"/>
      <c r="C539" s="8"/>
      <c r="D539" s="4"/>
      <c r="E539" s="4"/>
      <c r="F539" s="8"/>
      <c r="G539" s="4"/>
      <c r="H539" s="4"/>
      <c r="I539" s="8"/>
      <c r="J539" s="4"/>
      <c r="K539" s="4"/>
      <c r="L539" s="8"/>
      <c r="M539" s="4"/>
      <c r="N539" s="4"/>
      <c r="O539" s="8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</row>
    <row r="540" ht="15.75" customHeight="1">
      <c r="A540" s="4"/>
      <c r="B540" s="4"/>
      <c r="C540" s="8"/>
      <c r="D540" s="4"/>
      <c r="E540" s="4"/>
      <c r="F540" s="8"/>
      <c r="G540" s="4"/>
      <c r="H540" s="4"/>
      <c r="I540" s="8"/>
      <c r="J540" s="4"/>
      <c r="K540" s="4"/>
      <c r="L540" s="8"/>
      <c r="M540" s="4"/>
      <c r="N540" s="4"/>
      <c r="O540" s="8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</row>
    <row r="541" ht="15.75" customHeight="1">
      <c r="A541" s="4"/>
      <c r="B541" s="4"/>
      <c r="C541" s="8"/>
      <c r="D541" s="4"/>
      <c r="E541" s="4"/>
      <c r="F541" s="8"/>
      <c r="G541" s="4"/>
      <c r="H541" s="4"/>
      <c r="I541" s="8"/>
      <c r="J541" s="4"/>
      <c r="K541" s="4"/>
      <c r="L541" s="8"/>
      <c r="M541" s="4"/>
      <c r="N541" s="4"/>
      <c r="O541" s="8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</row>
    <row r="542" ht="15.75" customHeight="1">
      <c r="A542" s="4"/>
      <c r="B542" s="4"/>
      <c r="C542" s="8"/>
      <c r="D542" s="4"/>
      <c r="E542" s="4"/>
      <c r="F542" s="8"/>
      <c r="G542" s="4"/>
      <c r="H542" s="4"/>
      <c r="I542" s="8"/>
      <c r="J542" s="4"/>
      <c r="K542" s="4"/>
      <c r="L542" s="8"/>
      <c r="M542" s="4"/>
      <c r="N542" s="4"/>
      <c r="O542" s="8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</row>
    <row r="543" ht="15.75" customHeight="1">
      <c r="A543" s="4"/>
      <c r="B543" s="4"/>
      <c r="C543" s="8"/>
      <c r="D543" s="4"/>
      <c r="E543" s="4"/>
      <c r="F543" s="8"/>
      <c r="G543" s="4"/>
      <c r="H543" s="4"/>
      <c r="I543" s="8"/>
      <c r="J543" s="4"/>
      <c r="K543" s="4"/>
      <c r="L543" s="8"/>
      <c r="M543" s="4"/>
      <c r="N543" s="4"/>
      <c r="O543" s="8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</row>
    <row r="544" ht="15.75" customHeight="1">
      <c r="A544" s="4"/>
      <c r="B544" s="4"/>
      <c r="C544" s="8"/>
      <c r="D544" s="4"/>
      <c r="E544" s="4"/>
      <c r="F544" s="8"/>
      <c r="G544" s="4"/>
      <c r="H544" s="4"/>
      <c r="I544" s="8"/>
      <c r="J544" s="4"/>
      <c r="K544" s="4"/>
      <c r="L544" s="8"/>
      <c r="M544" s="4"/>
      <c r="N544" s="4"/>
      <c r="O544" s="8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</row>
    <row r="545" ht="15.75" customHeight="1">
      <c r="A545" s="4"/>
      <c r="B545" s="4"/>
      <c r="C545" s="8"/>
      <c r="D545" s="4"/>
      <c r="E545" s="4"/>
      <c r="F545" s="8"/>
      <c r="G545" s="4"/>
      <c r="H545" s="4"/>
      <c r="I545" s="8"/>
      <c r="J545" s="4"/>
      <c r="K545" s="4"/>
      <c r="L545" s="8"/>
      <c r="M545" s="4"/>
      <c r="N545" s="4"/>
      <c r="O545" s="8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</row>
    <row r="546" ht="15.75" customHeight="1">
      <c r="A546" s="4"/>
      <c r="B546" s="4"/>
      <c r="C546" s="8"/>
      <c r="D546" s="4"/>
      <c r="E546" s="4"/>
      <c r="F546" s="8"/>
      <c r="G546" s="4"/>
      <c r="H546" s="4"/>
      <c r="I546" s="8"/>
      <c r="J546" s="4"/>
      <c r="K546" s="4"/>
      <c r="L546" s="8"/>
      <c r="M546" s="4"/>
      <c r="N546" s="4"/>
      <c r="O546" s="8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</row>
    <row r="547" ht="15.75" customHeight="1">
      <c r="A547" s="4"/>
      <c r="B547" s="4"/>
      <c r="C547" s="8"/>
      <c r="D547" s="4"/>
      <c r="E547" s="4"/>
      <c r="F547" s="8"/>
      <c r="G547" s="4"/>
      <c r="H547" s="4"/>
      <c r="I547" s="8"/>
      <c r="J547" s="4"/>
      <c r="K547" s="4"/>
      <c r="L547" s="8"/>
      <c r="M547" s="4"/>
      <c r="N547" s="4"/>
      <c r="O547" s="8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</row>
    <row r="548" ht="15.75" customHeight="1">
      <c r="A548" s="4"/>
      <c r="B548" s="4"/>
      <c r="C548" s="8"/>
      <c r="D548" s="4"/>
      <c r="E548" s="4"/>
      <c r="F548" s="8"/>
      <c r="G548" s="4"/>
      <c r="H548" s="4"/>
      <c r="I548" s="8"/>
      <c r="J548" s="4"/>
      <c r="K548" s="4"/>
      <c r="L548" s="8"/>
      <c r="M548" s="4"/>
      <c r="N548" s="4"/>
      <c r="O548" s="8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</row>
    <row r="549" ht="15.75" customHeight="1">
      <c r="A549" s="4"/>
      <c r="B549" s="4"/>
      <c r="C549" s="8"/>
      <c r="D549" s="4"/>
      <c r="E549" s="4"/>
      <c r="F549" s="8"/>
      <c r="G549" s="4"/>
      <c r="H549" s="4"/>
      <c r="I549" s="8"/>
      <c r="J549" s="4"/>
      <c r="K549" s="4"/>
      <c r="L549" s="8"/>
      <c r="M549" s="4"/>
      <c r="N549" s="4"/>
      <c r="O549" s="8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</row>
    <row r="550" ht="15.75" customHeight="1">
      <c r="A550" s="4"/>
      <c r="B550" s="4"/>
      <c r="C550" s="8"/>
      <c r="D550" s="4"/>
      <c r="E550" s="4"/>
      <c r="F550" s="8"/>
      <c r="G550" s="4"/>
      <c r="H550" s="4"/>
      <c r="I550" s="8"/>
      <c r="J550" s="4"/>
      <c r="K550" s="4"/>
      <c r="L550" s="8"/>
      <c r="M550" s="4"/>
      <c r="N550" s="4"/>
      <c r="O550" s="8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</row>
    <row r="551" ht="15.75" customHeight="1">
      <c r="A551" s="4"/>
      <c r="B551" s="4"/>
      <c r="C551" s="8"/>
      <c r="D551" s="4"/>
      <c r="E551" s="4"/>
      <c r="F551" s="8"/>
      <c r="G551" s="4"/>
      <c r="H551" s="4"/>
      <c r="I551" s="8"/>
      <c r="J551" s="4"/>
      <c r="K551" s="4"/>
      <c r="L551" s="8"/>
      <c r="M551" s="4"/>
      <c r="N551" s="4"/>
      <c r="O551" s="8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</row>
    <row r="552" ht="15.75" customHeight="1">
      <c r="A552" s="4"/>
      <c r="B552" s="4"/>
      <c r="C552" s="8"/>
      <c r="D552" s="4"/>
      <c r="E552" s="4"/>
      <c r="F552" s="8"/>
      <c r="G552" s="4"/>
      <c r="H552" s="4"/>
      <c r="I552" s="8"/>
      <c r="J552" s="4"/>
      <c r="K552" s="4"/>
      <c r="L552" s="8"/>
      <c r="M552" s="4"/>
      <c r="N552" s="4"/>
      <c r="O552" s="8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</row>
    <row r="553" ht="15.75" customHeight="1">
      <c r="A553" s="4"/>
      <c r="B553" s="4"/>
      <c r="C553" s="8"/>
      <c r="D553" s="4"/>
      <c r="E553" s="4"/>
      <c r="F553" s="8"/>
      <c r="G553" s="4"/>
      <c r="H553" s="4"/>
      <c r="I553" s="8"/>
      <c r="J553" s="4"/>
      <c r="K553" s="4"/>
      <c r="L553" s="8"/>
      <c r="M553" s="4"/>
      <c r="N553" s="4"/>
      <c r="O553" s="8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</row>
    <row r="554" ht="15.75" customHeight="1">
      <c r="A554" s="4"/>
      <c r="B554" s="4"/>
      <c r="C554" s="8"/>
      <c r="D554" s="4"/>
      <c r="E554" s="4"/>
      <c r="F554" s="8"/>
      <c r="G554" s="4"/>
      <c r="H554" s="4"/>
      <c r="I554" s="8"/>
      <c r="J554" s="4"/>
      <c r="K554" s="4"/>
      <c r="L554" s="8"/>
      <c r="M554" s="4"/>
      <c r="N554" s="4"/>
      <c r="O554" s="8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</row>
    <row r="555" ht="15.75" customHeight="1">
      <c r="A555" s="4"/>
      <c r="B555" s="4"/>
      <c r="C555" s="8"/>
      <c r="D555" s="4"/>
      <c r="E555" s="4"/>
      <c r="F555" s="8"/>
      <c r="G555" s="4"/>
      <c r="H555" s="4"/>
      <c r="I555" s="8"/>
      <c r="J555" s="4"/>
      <c r="K555" s="4"/>
      <c r="L555" s="8"/>
      <c r="M555" s="4"/>
      <c r="N555" s="4"/>
      <c r="O555" s="8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</row>
    <row r="556" ht="15.75" customHeight="1">
      <c r="A556" s="4"/>
      <c r="B556" s="4"/>
      <c r="C556" s="8"/>
      <c r="D556" s="4"/>
      <c r="E556" s="4"/>
      <c r="F556" s="8"/>
      <c r="G556" s="4"/>
      <c r="H556" s="4"/>
      <c r="I556" s="8"/>
      <c r="J556" s="4"/>
      <c r="K556" s="4"/>
      <c r="L556" s="8"/>
      <c r="M556" s="4"/>
      <c r="N556" s="4"/>
      <c r="O556" s="8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</row>
    <row r="557" ht="15.75" customHeight="1">
      <c r="A557" s="4"/>
      <c r="B557" s="4"/>
      <c r="C557" s="8"/>
      <c r="D557" s="4"/>
      <c r="E557" s="4"/>
      <c r="F557" s="8"/>
      <c r="G557" s="4"/>
      <c r="H557" s="4"/>
      <c r="I557" s="8"/>
      <c r="J557" s="4"/>
      <c r="K557" s="4"/>
      <c r="L557" s="8"/>
      <c r="M557" s="4"/>
      <c r="N557" s="4"/>
      <c r="O557" s="8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</row>
    <row r="558" ht="15.75" customHeight="1">
      <c r="A558" s="4"/>
      <c r="B558" s="4"/>
      <c r="C558" s="8"/>
      <c r="D558" s="4"/>
      <c r="E558" s="4"/>
      <c r="F558" s="8"/>
      <c r="G558" s="4"/>
      <c r="H558" s="4"/>
      <c r="I558" s="8"/>
      <c r="J558" s="4"/>
      <c r="K558" s="4"/>
      <c r="L558" s="8"/>
      <c r="M558" s="4"/>
      <c r="N558" s="4"/>
      <c r="O558" s="8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</row>
    <row r="559" ht="15.75" customHeight="1">
      <c r="A559" s="4"/>
      <c r="B559" s="4"/>
      <c r="C559" s="8"/>
      <c r="D559" s="4"/>
      <c r="E559" s="4"/>
      <c r="F559" s="8"/>
      <c r="G559" s="4"/>
      <c r="H559" s="4"/>
      <c r="I559" s="8"/>
      <c r="J559" s="4"/>
      <c r="K559" s="4"/>
      <c r="L559" s="8"/>
      <c r="M559" s="4"/>
      <c r="N559" s="4"/>
      <c r="O559" s="8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</row>
    <row r="560" ht="15.75" customHeight="1">
      <c r="A560" s="4"/>
      <c r="B560" s="4"/>
      <c r="C560" s="8"/>
      <c r="D560" s="4"/>
      <c r="E560" s="4"/>
      <c r="F560" s="8"/>
      <c r="G560" s="4"/>
      <c r="H560" s="4"/>
      <c r="I560" s="8"/>
      <c r="J560" s="4"/>
      <c r="K560" s="4"/>
      <c r="L560" s="8"/>
      <c r="M560" s="4"/>
      <c r="N560" s="4"/>
      <c r="O560" s="8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</row>
    <row r="561" ht="15.75" customHeight="1">
      <c r="A561" s="4"/>
      <c r="B561" s="4"/>
      <c r="C561" s="8"/>
      <c r="D561" s="4"/>
      <c r="E561" s="4"/>
      <c r="F561" s="8"/>
      <c r="G561" s="4"/>
      <c r="H561" s="4"/>
      <c r="I561" s="8"/>
      <c r="J561" s="4"/>
      <c r="K561" s="4"/>
      <c r="L561" s="8"/>
      <c r="M561" s="4"/>
      <c r="N561" s="4"/>
      <c r="O561" s="8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</row>
    <row r="562" ht="15.75" customHeight="1">
      <c r="A562" s="4"/>
      <c r="B562" s="4"/>
      <c r="C562" s="8"/>
      <c r="D562" s="4"/>
      <c r="E562" s="4"/>
      <c r="F562" s="8"/>
      <c r="G562" s="4"/>
      <c r="H562" s="4"/>
      <c r="I562" s="8"/>
      <c r="J562" s="4"/>
      <c r="K562" s="4"/>
      <c r="L562" s="8"/>
      <c r="M562" s="4"/>
      <c r="N562" s="4"/>
      <c r="O562" s="8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</row>
    <row r="563" ht="15.75" customHeight="1">
      <c r="A563" s="4"/>
      <c r="B563" s="4"/>
      <c r="C563" s="8"/>
      <c r="D563" s="4"/>
      <c r="E563" s="4"/>
      <c r="F563" s="8"/>
      <c r="G563" s="4"/>
      <c r="H563" s="4"/>
      <c r="I563" s="8"/>
      <c r="J563" s="4"/>
      <c r="K563" s="4"/>
      <c r="L563" s="8"/>
      <c r="M563" s="4"/>
      <c r="N563" s="4"/>
      <c r="O563" s="8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</row>
    <row r="564" ht="15.75" customHeight="1">
      <c r="A564" s="4"/>
      <c r="B564" s="4"/>
      <c r="C564" s="8"/>
      <c r="D564" s="4"/>
      <c r="E564" s="4"/>
      <c r="F564" s="8"/>
      <c r="G564" s="4"/>
      <c r="H564" s="4"/>
      <c r="I564" s="8"/>
      <c r="J564" s="4"/>
      <c r="K564" s="4"/>
      <c r="L564" s="8"/>
      <c r="M564" s="4"/>
      <c r="N564" s="4"/>
      <c r="O564" s="8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</row>
    <row r="565" ht="15.75" customHeight="1">
      <c r="A565" s="4"/>
      <c r="B565" s="4"/>
      <c r="C565" s="8"/>
      <c r="D565" s="4"/>
      <c r="E565" s="4"/>
      <c r="F565" s="8"/>
      <c r="G565" s="4"/>
      <c r="H565" s="4"/>
      <c r="I565" s="8"/>
      <c r="J565" s="4"/>
      <c r="K565" s="4"/>
      <c r="L565" s="8"/>
      <c r="M565" s="4"/>
      <c r="N565" s="4"/>
      <c r="O565" s="8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</row>
    <row r="566" ht="15.75" customHeight="1">
      <c r="A566" s="4"/>
      <c r="B566" s="4"/>
      <c r="C566" s="8"/>
      <c r="D566" s="4"/>
      <c r="E566" s="4"/>
      <c r="F566" s="8"/>
      <c r="G566" s="4"/>
      <c r="H566" s="4"/>
      <c r="I566" s="8"/>
      <c r="J566" s="4"/>
      <c r="K566" s="4"/>
      <c r="L566" s="8"/>
      <c r="M566" s="4"/>
      <c r="N566" s="4"/>
      <c r="O566" s="8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</row>
    <row r="567" ht="15.75" customHeight="1">
      <c r="A567" s="4"/>
      <c r="B567" s="4"/>
      <c r="C567" s="8"/>
      <c r="D567" s="4"/>
      <c r="E567" s="4"/>
      <c r="F567" s="8"/>
      <c r="G567" s="4"/>
      <c r="H567" s="4"/>
      <c r="I567" s="8"/>
      <c r="J567" s="4"/>
      <c r="K567" s="4"/>
      <c r="L567" s="8"/>
      <c r="M567" s="4"/>
      <c r="N567" s="4"/>
      <c r="O567" s="8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</row>
    <row r="568" ht="15.75" customHeight="1">
      <c r="A568" s="4"/>
      <c r="B568" s="4"/>
      <c r="C568" s="8"/>
      <c r="D568" s="4"/>
      <c r="E568" s="4"/>
      <c r="F568" s="8"/>
      <c r="G568" s="4"/>
      <c r="H568" s="4"/>
      <c r="I568" s="8"/>
      <c r="J568" s="4"/>
      <c r="K568" s="4"/>
      <c r="L568" s="8"/>
      <c r="M568" s="4"/>
      <c r="N568" s="4"/>
      <c r="O568" s="8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</row>
    <row r="569" ht="15.75" customHeight="1">
      <c r="A569" s="4"/>
      <c r="B569" s="4"/>
      <c r="C569" s="8"/>
      <c r="D569" s="4"/>
      <c r="E569" s="4"/>
      <c r="F569" s="8"/>
      <c r="G569" s="4"/>
      <c r="H569" s="4"/>
      <c r="I569" s="8"/>
      <c r="J569" s="4"/>
      <c r="K569" s="4"/>
      <c r="L569" s="8"/>
      <c r="M569" s="4"/>
      <c r="N569" s="4"/>
      <c r="O569" s="8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</row>
    <row r="570" ht="15.75" customHeight="1">
      <c r="A570" s="4"/>
      <c r="B570" s="4"/>
      <c r="C570" s="8"/>
      <c r="D570" s="4"/>
      <c r="E570" s="4"/>
      <c r="F570" s="8"/>
      <c r="G570" s="4"/>
      <c r="H570" s="4"/>
      <c r="I570" s="8"/>
      <c r="J570" s="4"/>
      <c r="K570" s="4"/>
      <c r="L570" s="8"/>
      <c r="M570" s="4"/>
      <c r="N570" s="4"/>
      <c r="O570" s="8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</row>
    <row r="571" ht="15.75" customHeight="1">
      <c r="A571" s="4"/>
      <c r="B571" s="4"/>
      <c r="C571" s="8"/>
      <c r="D571" s="4"/>
      <c r="E571" s="4"/>
      <c r="F571" s="8"/>
      <c r="G571" s="4"/>
      <c r="H571" s="4"/>
      <c r="I571" s="8"/>
      <c r="J571" s="4"/>
      <c r="K571" s="4"/>
      <c r="L571" s="8"/>
      <c r="M571" s="4"/>
      <c r="N571" s="4"/>
      <c r="O571" s="8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</row>
    <row r="572" ht="15.75" customHeight="1">
      <c r="A572" s="4"/>
      <c r="B572" s="4"/>
      <c r="C572" s="8"/>
      <c r="D572" s="4"/>
      <c r="E572" s="4"/>
      <c r="F572" s="8"/>
      <c r="G572" s="4"/>
      <c r="H572" s="4"/>
      <c r="I572" s="8"/>
      <c r="J572" s="4"/>
      <c r="K572" s="4"/>
      <c r="L572" s="8"/>
      <c r="M572" s="4"/>
      <c r="N572" s="4"/>
      <c r="O572" s="8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</row>
    <row r="573" ht="15.75" customHeight="1">
      <c r="A573" s="4"/>
      <c r="B573" s="4"/>
      <c r="C573" s="8"/>
      <c r="D573" s="4"/>
      <c r="E573" s="4"/>
      <c r="F573" s="8"/>
      <c r="G573" s="4"/>
      <c r="H573" s="4"/>
      <c r="I573" s="8"/>
      <c r="J573" s="4"/>
      <c r="K573" s="4"/>
      <c r="L573" s="8"/>
      <c r="M573" s="4"/>
      <c r="N573" s="4"/>
      <c r="O573" s="8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</row>
    <row r="574" ht="15.75" customHeight="1">
      <c r="A574" s="4"/>
      <c r="B574" s="4"/>
      <c r="C574" s="8"/>
      <c r="D574" s="4"/>
      <c r="E574" s="4"/>
      <c r="F574" s="8"/>
      <c r="G574" s="4"/>
      <c r="H574" s="4"/>
      <c r="I574" s="8"/>
      <c r="J574" s="4"/>
      <c r="K574" s="4"/>
      <c r="L574" s="8"/>
      <c r="M574" s="4"/>
      <c r="N574" s="4"/>
      <c r="O574" s="8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</row>
    <row r="575" ht="15.75" customHeight="1">
      <c r="A575" s="4"/>
      <c r="B575" s="4"/>
      <c r="C575" s="8"/>
      <c r="D575" s="4"/>
      <c r="E575" s="4"/>
      <c r="F575" s="8"/>
      <c r="G575" s="4"/>
      <c r="H575" s="4"/>
      <c r="I575" s="8"/>
      <c r="J575" s="4"/>
      <c r="K575" s="4"/>
      <c r="L575" s="8"/>
      <c r="M575" s="4"/>
      <c r="N575" s="4"/>
      <c r="O575" s="8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</row>
    <row r="576" ht="15.75" customHeight="1">
      <c r="A576" s="4"/>
      <c r="B576" s="4"/>
      <c r="C576" s="8"/>
      <c r="D576" s="4"/>
      <c r="E576" s="4"/>
      <c r="F576" s="8"/>
      <c r="G576" s="4"/>
      <c r="H576" s="4"/>
      <c r="I576" s="8"/>
      <c r="J576" s="4"/>
      <c r="K576" s="4"/>
      <c r="L576" s="8"/>
      <c r="M576" s="4"/>
      <c r="N576" s="4"/>
      <c r="O576" s="8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</row>
    <row r="577" ht="15.75" customHeight="1">
      <c r="A577" s="4"/>
      <c r="B577" s="4"/>
      <c r="C577" s="8"/>
      <c r="D577" s="4"/>
      <c r="E577" s="4"/>
      <c r="F577" s="8"/>
      <c r="G577" s="4"/>
      <c r="H577" s="4"/>
      <c r="I577" s="8"/>
      <c r="J577" s="4"/>
      <c r="K577" s="4"/>
      <c r="L577" s="8"/>
      <c r="M577" s="4"/>
      <c r="N577" s="4"/>
      <c r="O577" s="8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</row>
    <row r="578" ht="15.75" customHeight="1">
      <c r="A578" s="4"/>
      <c r="B578" s="4"/>
      <c r="C578" s="8"/>
      <c r="D578" s="4"/>
      <c r="E578" s="4"/>
      <c r="F578" s="8"/>
      <c r="G578" s="4"/>
      <c r="H578" s="4"/>
      <c r="I578" s="8"/>
      <c r="J578" s="4"/>
      <c r="K578" s="4"/>
      <c r="L578" s="8"/>
      <c r="M578" s="4"/>
      <c r="N578" s="4"/>
      <c r="O578" s="8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</row>
    <row r="579" ht="15.75" customHeight="1">
      <c r="A579" s="4"/>
      <c r="B579" s="4"/>
      <c r="C579" s="8"/>
      <c r="D579" s="4"/>
      <c r="E579" s="4"/>
      <c r="F579" s="8"/>
      <c r="G579" s="4"/>
      <c r="H579" s="4"/>
      <c r="I579" s="8"/>
      <c r="J579" s="4"/>
      <c r="K579" s="4"/>
      <c r="L579" s="8"/>
      <c r="M579" s="4"/>
      <c r="N579" s="4"/>
      <c r="O579" s="8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</row>
    <row r="580" ht="15.75" customHeight="1">
      <c r="A580" s="4"/>
      <c r="B580" s="4"/>
      <c r="C580" s="8"/>
      <c r="D580" s="4"/>
      <c r="E580" s="4"/>
      <c r="F580" s="8"/>
      <c r="G580" s="4"/>
      <c r="H580" s="4"/>
      <c r="I580" s="8"/>
      <c r="J580" s="4"/>
      <c r="K580" s="4"/>
      <c r="L580" s="8"/>
      <c r="M580" s="4"/>
      <c r="N580" s="4"/>
      <c r="O580" s="8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</row>
    <row r="581" ht="15.75" customHeight="1">
      <c r="A581" s="4"/>
      <c r="B581" s="4"/>
      <c r="C581" s="8"/>
      <c r="D581" s="4"/>
      <c r="E581" s="4"/>
      <c r="F581" s="8"/>
      <c r="G581" s="4"/>
      <c r="H581" s="4"/>
      <c r="I581" s="8"/>
      <c r="J581" s="4"/>
      <c r="K581" s="4"/>
      <c r="L581" s="8"/>
      <c r="M581" s="4"/>
      <c r="N581" s="4"/>
      <c r="O581" s="8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</row>
    <row r="582" ht="15.75" customHeight="1">
      <c r="A582" s="4"/>
      <c r="B582" s="4"/>
      <c r="C582" s="8"/>
      <c r="D582" s="4"/>
      <c r="E582" s="4"/>
      <c r="F582" s="8"/>
      <c r="G582" s="4"/>
      <c r="H582" s="4"/>
      <c r="I582" s="8"/>
      <c r="J582" s="4"/>
      <c r="K582" s="4"/>
      <c r="L582" s="8"/>
      <c r="M582" s="4"/>
      <c r="N582" s="4"/>
      <c r="O582" s="8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</row>
    <row r="583" ht="15.75" customHeight="1">
      <c r="A583" s="4"/>
      <c r="B583" s="4"/>
      <c r="C583" s="8"/>
      <c r="D583" s="4"/>
      <c r="E583" s="4"/>
      <c r="F583" s="8"/>
      <c r="G583" s="4"/>
      <c r="H583" s="4"/>
      <c r="I583" s="8"/>
      <c r="J583" s="4"/>
      <c r="K583" s="4"/>
      <c r="L583" s="8"/>
      <c r="M583" s="4"/>
      <c r="N583" s="4"/>
      <c r="O583" s="8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</row>
    <row r="584" ht="15.75" customHeight="1">
      <c r="A584" s="4"/>
      <c r="B584" s="4"/>
      <c r="C584" s="8"/>
      <c r="D584" s="4"/>
      <c r="E584" s="4"/>
      <c r="F584" s="8"/>
      <c r="G584" s="4"/>
      <c r="H584" s="4"/>
      <c r="I584" s="8"/>
      <c r="J584" s="4"/>
      <c r="K584" s="4"/>
      <c r="L584" s="8"/>
      <c r="M584" s="4"/>
      <c r="N584" s="4"/>
      <c r="O584" s="8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</row>
    <row r="585" ht="15.75" customHeight="1">
      <c r="A585" s="4"/>
      <c r="B585" s="4"/>
      <c r="C585" s="8"/>
      <c r="D585" s="4"/>
      <c r="E585" s="4"/>
      <c r="F585" s="8"/>
      <c r="G585" s="4"/>
      <c r="H585" s="4"/>
      <c r="I585" s="8"/>
      <c r="J585" s="4"/>
      <c r="K585" s="4"/>
      <c r="L585" s="8"/>
      <c r="M585" s="4"/>
      <c r="N585" s="4"/>
      <c r="O585" s="8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</row>
    <row r="586" ht="15.75" customHeight="1">
      <c r="A586" s="4"/>
      <c r="B586" s="4"/>
      <c r="C586" s="8"/>
      <c r="D586" s="4"/>
      <c r="E586" s="4"/>
      <c r="F586" s="8"/>
      <c r="G586" s="4"/>
      <c r="H586" s="4"/>
      <c r="I586" s="8"/>
      <c r="J586" s="4"/>
      <c r="K586" s="4"/>
      <c r="L586" s="8"/>
      <c r="M586" s="4"/>
      <c r="N586" s="4"/>
      <c r="O586" s="8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</row>
    <row r="587" ht="15.75" customHeight="1">
      <c r="A587" s="4"/>
      <c r="B587" s="4"/>
      <c r="C587" s="8"/>
      <c r="D587" s="4"/>
      <c r="E587" s="4"/>
      <c r="F587" s="8"/>
      <c r="G587" s="4"/>
      <c r="H587" s="4"/>
      <c r="I587" s="8"/>
      <c r="J587" s="4"/>
      <c r="K587" s="4"/>
      <c r="L587" s="8"/>
      <c r="M587" s="4"/>
      <c r="N587" s="4"/>
      <c r="O587" s="8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</row>
    <row r="588" ht="15.75" customHeight="1">
      <c r="A588" s="4"/>
      <c r="B588" s="4"/>
      <c r="C588" s="8"/>
      <c r="D588" s="4"/>
      <c r="E588" s="4"/>
      <c r="F588" s="8"/>
      <c r="G588" s="4"/>
      <c r="H588" s="4"/>
      <c r="I588" s="8"/>
      <c r="J588" s="4"/>
      <c r="K588" s="4"/>
      <c r="L588" s="8"/>
      <c r="M588" s="4"/>
      <c r="N588" s="4"/>
      <c r="O588" s="8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</row>
    <row r="589" ht="15.75" customHeight="1">
      <c r="A589" s="4"/>
      <c r="B589" s="4"/>
      <c r="C589" s="8"/>
      <c r="D589" s="4"/>
      <c r="E589" s="4"/>
      <c r="F589" s="8"/>
      <c r="G589" s="4"/>
      <c r="H589" s="4"/>
      <c r="I589" s="8"/>
      <c r="J589" s="4"/>
      <c r="K589" s="4"/>
      <c r="L589" s="8"/>
      <c r="M589" s="4"/>
      <c r="N589" s="4"/>
      <c r="O589" s="8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</row>
    <row r="590" ht="15.75" customHeight="1">
      <c r="A590" s="4"/>
      <c r="B590" s="4"/>
      <c r="C590" s="8"/>
      <c r="D590" s="4"/>
      <c r="E590" s="4"/>
      <c r="F590" s="8"/>
      <c r="G590" s="4"/>
      <c r="H590" s="4"/>
      <c r="I590" s="8"/>
      <c r="J590" s="4"/>
      <c r="K590" s="4"/>
      <c r="L590" s="8"/>
      <c r="M590" s="4"/>
      <c r="N590" s="4"/>
      <c r="O590" s="8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</row>
    <row r="591" ht="15.75" customHeight="1">
      <c r="A591" s="4"/>
      <c r="B591" s="4"/>
      <c r="C591" s="8"/>
      <c r="D591" s="4"/>
      <c r="E591" s="4"/>
      <c r="F591" s="8"/>
      <c r="G591" s="4"/>
      <c r="H591" s="4"/>
      <c r="I591" s="8"/>
      <c r="J591" s="4"/>
      <c r="K591" s="4"/>
      <c r="L591" s="8"/>
      <c r="M591" s="4"/>
      <c r="N591" s="4"/>
      <c r="O591" s="8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</row>
    <row r="592" ht="15.75" customHeight="1">
      <c r="A592" s="4"/>
      <c r="B592" s="4"/>
      <c r="C592" s="8"/>
      <c r="D592" s="4"/>
      <c r="E592" s="4"/>
      <c r="F592" s="8"/>
      <c r="G592" s="4"/>
      <c r="H592" s="4"/>
      <c r="I592" s="8"/>
      <c r="J592" s="4"/>
      <c r="K592" s="4"/>
      <c r="L592" s="8"/>
      <c r="M592" s="4"/>
      <c r="N592" s="4"/>
      <c r="O592" s="8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</row>
    <row r="593" ht="15.75" customHeight="1">
      <c r="A593" s="4"/>
      <c r="B593" s="4"/>
      <c r="C593" s="8"/>
      <c r="D593" s="4"/>
      <c r="E593" s="4"/>
      <c r="F593" s="8"/>
      <c r="G593" s="4"/>
      <c r="H593" s="4"/>
      <c r="I593" s="8"/>
      <c r="J593" s="4"/>
      <c r="K593" s="4"/>
      <c r="L593" s="8"/>
      <c r="M593" s="4"/>
      <c r="N593" s="4"/>
      <c r="O593" s="8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</row>
    <row r="594" ht="15.75" customHeight="1">
      <c r="A594" s="4"/>
      <c r="B594" s="4"/>
      <c r="C594" s="8"/>
      <c r="D594" s="4"/>
      <c r="E594" s="4"/>
      <c r="F594" s="8"/>
      <c r="G594" s="4"/>
      <c r="H594" s="4"/>
      <c r="I594" s="8"/>
      <c r="J594" s="4"/>
      <c r="K594" s="4"/>
      <c r="L594" s="8"/>
      <c r="M594" s="4"/>
      <c r="N594" s="4"/>
      <c r="O594" s="8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</row>
    <row r="595" ht="15.75" customHeight="1">
      <c r="A595" s="4"/>
      <c r="B595" s="4"/>
      <c r="C595" s="8"/>
      <c r="D595" s="4"/>
      <c r="E595" s="4"/>
      <c r="F595" s="8"/>
      <c r="G595" s="4"/>
      <c r="H595" s="4"/>
      <c r="I595" s="8"/>
      <c r="J595" s="4"/>
      <c r="K595" s="4"/>
      <c r="L595" s="8"/>
      <c r="M595" s="4"/>
      <c r="N595" s="4"/>
      <c r="O595" s="8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</row>
    <row r="596" ht="15.75" customHeight="1">
      <c r="A596" s="4"/>
      <c r="B596" s="4"/>
      <c r="C596" s="8"/>
      <c r="D596" s="4"/>
      <c r="E596" s="4"/>
      <c r="F596" s="8"/>
      <c r="G596" s="4"/>
      <c r="H596" s="4"/>
      <c r="I596" s="8"/>
      <c r="J596" s="4"/>
      <c r="K596" s="4"/>
      <c r="L596" s="8"/>
      <c r="M596" s="4"/>
      <c r="N596" s="4"/>
      <c r="O596" s="8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</row>
    <row r="597" ht="15.75" customHeight="1">
      <c r="A597" s="4"/>
      <c r="B597" s="4"/>
      <c r="C597" s="8"/>
      <c r="D597" s="4"/>
      <c r="E597" s="4"/>
      <c r="F597" s="8"/>
      <c r="G597" s="4"/>
      <c r="H597" s="4"/>
      <c r="I597" s="8"/>
      <c r="J597" s="4"/>
      <c r="K597" s="4"/>
      <c r="L597" s="8"/>
      <c r="M597" s="4"/>
      <c r="N597" s="4"/>
      <c r="O597" s="8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</row>
    <row r="598" ht="15.75" customHeight="1">
      <c r="A598" s="4"/>
      <c r="B598" s="4"/>
      <c r="C598" s="8"/>
      <c r="D598" s="4"/>
      <c r="E598" s="4"/>
      <c r="F598" s="8"/>
      <c r="G598" s="4"/>
      <c r="H598" s="4"/>
      <c r="I598" s="8"/>
      <c r="J598" s="4"/>
      <c r="K598" s="4"/>
      <c r="L598" s="8"/>
      <c r="M598" s="4"/>
      <c r="N598" s="4"/>
      <c r="O598" s="8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</row>
    <row r="599" ht="15.75" customHeight="1">
      <c r="A599" s="4"/>
      <c r="B599" s="4"/>
      <c r="C599" s="8"/>
      <c r="D599" s="4"/>
      <c r="E599" s="4"/>
      <c r="F599" s="8"/>
      <c r="G599" s="4"/>
      <c r="H599" s="4"/>
      <c r="I599" s="8"/>
      <c r="J599" s="4"/>
      <c r="K599" s="4"/>
      <c r="L599" s="8"/>
      <c r="M599" s="4"/>
      <c r="N599" s="4"/>
      <c r="O599" s="8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</row>
    <row r="600" ht="15.75" customHeight="1">
      <c r="A600" s="4"/>
      <c r="B600" s="4"/>
      <c r="C600" s="8"/>
      <c r="D600" s="4"/>
      <c r="E600" s="4"/>
      <c r="F600" s="8"/>
      <c r="G600" s="4"/>
      <c r="H600" s="4"/>
      <c r="I600" s="8"/>
      <c r="J600" s="4"/>
      <c r="K600" s="4"/>
      <c r="L600" s="8"/>
      <c r="M600" s="4"/>
      <c r="N600" s="4"/>
      <c r="O600" s="8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</row>
    <row r="601" ht="15.75" customHeight="1">
      <c r="A601" s="4"/>
      <c r="B601" s="4"/>
      <c r="C601" s="8"/>
      <c r="D601" s="4"/>
      <c r="E601" s="4"/>
      <c r="F601" s="8"/>
      <c r="G601" s="4"/>
      <c r="H601" s="4"/>
      <c r="I601" s="8"/>
      <c r="J601" s="4"/>
      <c r="K601" s="4"/>
      <c r="L601" s="8"/>
      <c r="M601" s="4"/>
      <c r="N601" s="4"/>
      <c r="O601" s="8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</row>
    <row r="602" ht="15.75" customHeight="1">
      <c r="A602" s="4"/>
      <c r="B602" s="4"/>
      <c r="C602" s="8"/>
      <c r="D602" s="4"/>
      <c r="E602" s="4"/>
      <c r="F602" s="8"/>
      <c r="G602" s="4"/>
      <c r="H602" s="4"/>
      <c r="I602" s="8"/>
      <c r="J602" s="4"/>
      <c r="K602" s="4"/>
      <c r="L602" s="8"/>
      <c r="M602" s="4"/>
      <c r="N602" s="4"/>
      <c r="O602" s="8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</row>
    <row r="603" ht="15.75" customHeight="1">
      <c r="A603" s="4"/>
      <c r="B603" s="4"/>
      <c r="C603" s="8"/>
      <c r="D603" s="4"/>
      <c r="E603" s="4"/>
      <c r="F603" s="8"/>
      <c r="G603" s="4"/>
      <c r="H603" s="4"/>
      <c r="I603" s="8"/>
      <c r="J603" s="4"/>
      <c r="K603" s="4"/>
      <c r="L603" s="8"/>
      <c r="M603" s="4"/>
      <c r="N603" s="4"/>
      <c r="O603" s="8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</row>
    <row r="604" ht="15.75" customHeight="1">
      <c r="A604" s="4"/>
      <c r="B604" s="4"/>
      <c r="C604" s="8"/>
      <c r="D604" s="4"/>
      <c r="E604" s="4"/>
      <c r="F604" s="8"/>
      <c r="G604" s="4"/>
      <c r="H604" s="4"/>
      <c r="I604" s="8"/>
      <c r="J604" s="4"/>
      <c r="K604" s="4"/>
      <c r="L604" s="8"/>
      <c r="M604" s="4"/>
      <c r="N604" s="4"/>
      <c r="O604" s="8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</row>
    <row r="605" ht="15.75" customHeight="1">
      <c r="A605" s="4"/>
      <c r="B605" s="4"/>
      <c r="C605" s="8"/>
      <c r="D605" s="4"/>
      <c r="E605" s="4"/>
      <c r="F605" s="8"/>
      <c r="G605" s="4"/>
      <c r="H605" s="4"/>
      <c r="I605" s="8"/>
      <c r="J605" s="4"/>
      <c r="K605" s="4"/>
      <c r="L605" s="8"/>
      <c r="M605" s="4"/>
      <c r="N605" s="4"/>
      <c r="O605" s="8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</row>
    <row r="606" ht="15.75" customHeight="1">
      <c r="A606" s="4"/>
      <c r="B606" s="4"/>
      <c r="C606" s="8"/>
      <c r="D606" s="4"/>
      <c r="E606" s="4"/>
      <c r="F606" s="8"/>
      <c r="G606" s="4"/>
      <c r="H606" s="4"/>
      <c r="I606" s="8"/>
      <c r="J606" s="4"/>
      <c r="K606" s="4"/>
      <c r="L606" s="8"/>
      <c r="M606" s="4"/>
      <c r="N606" s="4"/>
      <c r="O606" s="8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</row>
    <row r="607" ht="15.75" customHeight="1">
      <c r="A607" s="4"/>
      <c r="B607" s="4"/>
      <c r="C607" s="8"/>
      <c r="D607" s="4"/>
      <c r="E607" s="4"/>
      <c r="F607" s="8"/>
      <c r="G607" s="4"/>
      <c r="H607" s="4"/>
      <c r="I607" s="8"/>
      <c r="J607" s="4"/>
      <c r="K607" s="4"/>
      <c r="L607" s="8"/>
      <c r="M607" s="4"/>
      <c r="N607" s="4"/>
      <c r="O607" s="8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</row>
    <row r="608" ht="15.75" customHeight="1">
      <c r="A608" s="4"/>
      <c r="B608" s="4"/>
      <c r="C608" s="8"/>
      <c r="D608" s="4"/>
      <c r="E608" s="4"/>
      <c r="F608" s="8"/>
      <c r="G608" s="4"/>
      <c r="H608" s="4"/>
      <c r="I608" s="8"/>
      <c r="J608" s="4"/>
      <c r="K608" s="4"/>
      <c r="L608" s="8"/>
      <c r="M608" s="4"/>
      <c r="N608" s="4"/>
      <c r="O608" s="8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</row>
    <row r="609" ht="15.75" customHeight="1">
      <c r="A609" s="4"/>
      <c r="B609" s="4"/>
      <c r="C609" s="8"/>
      <c r="D609" s="4"/>
      <c r="E609" s="4"/>
      <c r="F609" s="8"/>
      <c r="G609" s="4"/>
      <c r="H609" s="4"/>
      <c r="I609" s="8"/>
      <c r="J609" s="4"/>
      <c r="K609" s="4"/>
      <c r="L609" s="8"/>
      <c r="M609" s="4"/>
      <c r="N609" s="4"/>
      <c r="O609" s="8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</row>
    <row r="610" ht="15.75" customHeight="1">
      <c r="A610" s="4"/>
      <c r="B610" s="4"/>
      <c r="C610" s="8"/>
      <c r="D610" s="4"/>
      <c r="E610" s="4"/>
      <c r="F610" s="8"/>
      <c r="G610" s="4"/>
      <c r="H610" s="4"/>
      <c r="I610" s="8"/>
      <c r="J610" s="4"/>
      <c r="K610" s="4"/>
      <c r="L610" s="8"/>
      <c r="M610" s="4"/>
      <c r="N610" s="4"/>
      <c r="O610" s="8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</row>
    <row r="611" ht="15.75" customHeight="1">
      <c r="A611" s="4"/>
      <c r="B611" s="4"/>
      <c r="C611" s="8"/>
      <c r="D611" s="4"/>
      <c r="E611" s="4"/>
      <c r="F611" s="8"/>
      <c r="G611" s="4"/>
      <c r="H611" s="4"/>
      <c r="I611" s="8"/>
      <c r="J611" s="4"/>
      <c r="K611" s="4"/>
      <c r="L611" s="8"/>
      <c r="M611" s="4"/>
      <c r="N611" s="4"/>
      <c r="O611" s="8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</row>
    <row r="612" ht="15.75" customHeight="1">
      <c r="A612" s="4"/>
      <c r="B612" s="4"/>
      <c r="C612" s="8"/>
      <c r="D612" s="4"/>
      <c r="E612" s="4"/>
      <c r="F612" s="8"/>
      <c r="G612" s="4"/>
      <c r="H612" s="4"/>
      <c r="I612" s="8"/>
      <c r="J612" s="4"/>
      <c r="K612" s="4"/>
      <c r="L612" s="8"/>
      <c r="M612" s="4"/>
      <c r="N612" s="4"/>
      <c r="O612" s="8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</row>
    <row r="613" ht="15.75" customHeight="1">
      <c r="A613" s="4"/>
      <c r="B613" s="4"/>
      <c r="C613" s="8"/>
      <c r="D613" s="4"/>
      <c r="E613" s="4"/>
      <c r="F613" s="8"/>
      <c r="G613" s="4"/>
      <c r="H613" s="4"/>
      <c r="I613" s="8"/>
      <c r="J613" s="4"/>
      <c r="K613" s="4"/>
      <c r="L613" s="8"/>
      <c r="M613" s="4"/>
      <c r="N613" s="4"/>
      <c r="O613" s="8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</row>
    <row r="614" ht="15.75" customHeight="1">
      <c r="A614" s="4"/>
      <c r="B614" s="4"/>
      <c r="C614" s="8"/>
      <c r="D614" s="4"/>
      <c r="E614" s="4"/>
      <c r="F614" s="8"/>
      <c r="G614" s="4"/>
      <c r="H614" s="4"/>
      <c r="I614" s="8"/>
      <c r="J614" s="4"/>
      <c r="K614" s="4"/>
      <c r="L614" s="8"/>
      <c r="M614" s="4"/>
      <c r="N614" s="4"/>
      <c r="O614" s="8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</row>
    <row r="615" ht="15.75" customHeight="1">
      <c r="A615" s="4"/>
      <c r="B615" s="4"/>
      <c r="C615" s="8"/>
      <c r="D615" s="4"/>
      <c r="E615" s="4"/>
      <c r="F615" s="8"/>
      <c r="G615" s="4"/>
      <c r="H615" s="4"/>
      <c r="I615" s="8"/>
      <c r="J615" s="4"/>
      <c r="K615" s="4"/>
      <c r="L615" s="8"/>
      <c r="M615" s="4"/>
      <c r="N615" s="4"/>
      <c r="O615" s="8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</row>
    <row r="616" ht="15.75" customHeight="1">
      <c r="A616" s="4"/>
      <c r="B616" s="4"/>
      <c r="C616" s="8"/>
      <c r="D616" s="4"/>
      <c r="E616" s="4"/>
      <c r="F616" s="8"/>
      <c r="G616" s="4"/>
      <c r="H616" s="4"/>
      <c r="I616" s="8"/>
      <c r="J616" s="4"/>
      <c r="K616" s="4"/>
      <c r="L616" s="8"/>
      <c r="M616" s="4"/>
      <c r="N616" s="4"/>
      <c r="O616" s="8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</row>
    <row r="617" ht="15.75" customHeight="1">
      <c r="A617" s="4"/>
      <c r="B617" s="4"/>
      <c r="C617" s="8"/>
      <c r="D617" s="4"/>
      <c r="E617" s="4"/>
      <c r="F617" s="8"/>
      <c r="G617" s="4"/>
      <c r="H617" s="4"/>
      <c r="I617" s="8"/>
      <c r="J617" s="4"/>
      <c r="K617" s="4"/>
      <c r="L617" s="8"/>
      <c r="M617" s="4"/>
      <c r="N617" s="4"/>
      <c r="O617" s="8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</row>
    <row r="618" ht="15.75" customHeight="1">
      <c r="A618" s="4"/>
      <c r="B618" s="4"/>
      <c r="C618" s="8"/>
      <c r="D618" s="4"/>
      <c r="E618" s="4"/>
      <c r="F618" s="8"/>
      <c r="G618" s="4"/>
      <c r="H618" s="4"/>
      <c r="I618" s="8"/>
      <c r="J618" s="4"/>
      <c r="K618" s="4"/>
      <c r="L618" s="8"/>
      <c r="M618" s="4"/>
      <c r="N618" s="4"/>
      <c r="O618" s="8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</row>
    <row r="619" ht="15.75" customHeight="1">
      <c r="A619" s="4"/>
      <c r="B619" s="4"/>
      <c r="C619" s="8"/>
      <c r="D619" s="4"/>
      <c r="E619" s="4"/>
      <c r="F619" s="8"/>
      <c r="G619" s="4"/>
      <c r="H619" s="4"/>
      <c r="I619" s="8"/>
      <c r="J619" s="4"/>
      <c r="K619" s="4"/>
      <c r="L619" s="8"/>
      <c r="M619" s="4"/>
      <c r="N619" s="4"/>
      <c r="O619" s="8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</row>
    <row r="620" ht="15.75" customHeight="1">
      <c r="A620" s="4"/>
      <c r="B620" s="4"/>
      <c r="C620" s="8"/>
      <c r="D620" s="4"/>
      <c r="E620" s="4"/>
      <c r="F620" s="8"/>
      <c r="G620" s="4"/>
      <c r="H620" s="4"/>
      <c r="I620" s="8"/>
      <c r="J620" s="4"/>
      <c r="K620" s="4"/>
      <c r="L620" s="8"/>
      <c r="M620" s="4"/>
      <c r="N620" s="4"/>
      <c r="O620" s="8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</row>
    <row r="621" ht="15.75" customHeight="1">
      <c r="A621" s="4"/>
      <c r="B621" s="4"/>
      <c r="C621" s="8"/>
      <c r="D621" s="4"/>
      <c r="E621" s="4"/>
      <c r="F621" s="8"/>
      <c r="G621" s="4"/>
      <c r="H621" s="4"/>
      <c r="I621" s="8"/>
      <c r="J621" s="4"/>
      <c r="K621" s="4"/>
      <c r="L621" s="8"/>
      <c r="M621" s="4"/>
      <c r="N621" s="4"/>
      <c r="O621" s="8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</row>
    <row r="622" ht="15.75" customHeight="1">
      <c r="A622" s="4"/>
      <c r="B622" s="4"/>
      <c r="C622" s="8"/>
      <c r="D622" s="4"/>
      <c r="E622" s="4"/>
      <c r="F622" s="8"/>
      <c r="G622" s="4"/>
      <c r="H622" s="4"/>
      <c r="I622" s="8"/>
      <c r="J622" s="4"/>
      <c r="K622" s="4"/>
      <c r="L622" s="8"/>
      <c r="M622" s="4"/>
      <c r="N622" s="4"/>
      <c r="O622" s="8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</row>
    <row r="623" ht="15.75" customHeight="1">
      <c r="A623" s="4"/>
      <c r="B623" s="4"/>
      <c r="C623" s="8"/>
      <c r="D623" s="4"/>
      <c r="E623" s="4"/>
      <c r="F623" s="8"/>
      <c r="G623" s="4"/>
      <c r="H623" s="4"/>
      <c r="I623" s="8"/>
      <c r="J623" s="4"/>
      <c r="K623" s="4"/>
      <c r="L623" s="8"/>
      <c r="M623" s="4"/>
      <c r="N623" s="4"/>
      <c r="O623" s="8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</row>
    <row r="624" ht="15.75" customHeight="1">
      <c r="A624" s="4"/>
      <c r="B624" s="4"/>
      <c r="C624" s="8"/>
      <c r="D624" s="4"/>
      <c r="E624" s="4"/>
      <c r="F624" s="8"/>
      <c r="G624" s="4"/>
      <c r="H624" s="4"/>
      <c r="I624" s="8"/>
      <c r="J624" s="4"/>
      <c r="K624" s="4"/>
      <c r="L624" s="8"/>
      <c r="M624" s="4"/>
      <c r="N624" s="4"/>
      <c r="O624" s="8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</row>
    <row r="625" ht="15.75" customHeight="1">
      <c r="A625" s="4"/>
      <c r="B625" s="4"/>
      <c r="C625" s="8"/>
      <c r="D625" s="4"/>
      <c r="E625" s="4"/>
      <c r="F625" s="8"/>
      <c r="G625" s="4"/>
      <c r="H625" s="4"/>
      <c r="I625" s="8"/>
      <c r="J625" s="4"/>
      <c r="K625" s="4"/>
      <c r="L625" s="8"/>
      <c r="M625" s="4"/>
      <c r="N625" s="4"/>
      <c r="O625" s="8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</row>
    <row r="626" ht="15.75" customHeight="1">
      <c r="A626" s="4"/>
      <c r="B626" s="4"/>
      <c r="C626" s="8"/>
      <c r="D626" s="4"/>
      <c r="E626" s="4"/>
      <c r="F626" s="8"/>
      <c r="G626" s="4"/>
      <c r="H626" s="4"/>
      <c r="I626" s="8"/>
      <c r="J626" s="4"/>
      <c r="K626" s="4"/>
      <c r="L626" s="8"/>
      <c r="M626" s="4"/>
      <c r="N626" s="4"/>
      <c r="O626" s="8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</row>
    <row r="627" ht="15.75" customHeight="1">
      <c r="A627" s="4"/>
      <c r="B627" s="4"/>
      <c r="C627" s="8"/>
      <c r="D627" s="4"/>
      <c r="E627" s="4"/>
      <c r="F627" s="8"/>
      <c r="G627" s="4"/>
      <c r="H627" s="4"/>
      <c r="I627" s="8"/>
      <c r="J627" s="4"/>
      <c r="K627" s="4"/>
      <c r="L627" s="8"/>
      <c r="M627" s="4"/>
      <c r="N627" s="4"/>
      <c r="O627" s="8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</row>
    <row r="628" ht="15.75" customHeight="1">
      <c r="A628" s="4"/>
      <c r="B628" s="4"/>
      <c r="C628" s="8"/>
      <c r="D628" s="4"/>
      <c r="E628" s="4"/>
      <c r="F628" s="8"/>
      <c r="G628" s="4"/>
      <c r="H628" s="4"/>
      <c r="I628" s="8"/>
      <c r="J628" s="4"/>
      <c r="K628" s="4"/>
      <c r="L628" s="8"/>
      <c r="M628" s="4"/>
      <c r="N628" s="4"/>
      <c r="O628" s="8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</row>
    <row r="629" ht="15.75" customHeight="1">
      <c r="A629" s="4"/>
      <c r="B629" s="4"/>
      <c r="C629" s="8"/>
      <c r="D629" s="4"/>
      <c r="E629" s="4"/>
      <c r="F629" s="8"/>
      <c r="G629" s="4"/>
      <c r="H629" s="4"/>
      <c r="I629" s="8"/>
      <c r="J629" s="4"/>
      <c r="K629" s="4"/>
      <c r="L629" s="8"/>
      <c r="M629" s="4"/>
      <c r="N629" s="4"/>
      <c r="O629" s="8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</row>
    <row r="630" ht="15.75" customHeight="1">
      <c r="A630" s="4"/>
      <c r="B630" s="4"/>
      <c r="C630" s="8"/>
      <c r="D630" s="4"/>
      <c r="E630" s="4"/>
      <c r="F630" s="8"/>
      <c r="G630" s="4"/>
      <c r="H630" s="4"/>
      <c r="I630" s="8"/>
      <c r="J630" s="4"/>
      <c r="K630" s="4"/>
      <c r="L630" s="8"/>
      <c r="M630" s="4"/>
      <c r="N630" s="4"/>
      <c r="O630" s="8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</row>
    <row r="631" ht="15.75" customHeight="1">
      <c r="A631" s="4"/>
      <c r="B631" s="4"/>
      <c r="C631" s="8"/>
      <c r="D631" s="4"/>
      <c r="E631" s="4"/>
      <c r="F631" s="8"/>
      <c r="G631" s="4"/>
      <c r="H631" s="4"/>
      <c r="I631" s="8"/>
      <c r="J631" s="4"/>
      <c r="K631" s="4"/>
      <c r="L631" s="8"/>
      <c r="M631" s="4"/>
      <c r="N631" s="4"/>
      <c r="O631" s="8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</row>
    <row r="632" ht="15.75" customHeight="1">
      <c r="A632" s="4"/>
      <c r="B632" s="4"/>
      <c r="C632" s="8"/>
      <c r="D632" s="4"/>
      <c r="E632" s="4"/>
      <c r="F632" s="8"/>
      <c r="G632" s="4"/>
      <c r="H632" s="4"/>
      <c r="I632" s="8"/>
      <c r="J632" s="4"/>
      <c r="K632" s="4"/>
      <c r="L632" s="8"/>
      <c r="M632" s="4"/>
      <c r="N632" s="4"/>
      <c r="O632" s="8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</row>
    <row r="633" ht="15.75" customHeight="1">
      <c r="A633" s="4"/>
      <c r="B633" s="4"/>
      <c r="C633" s="8"/>
      <c r="D633" s="4"/>
      <c r="E633" s="4"/>
      <c r="F633" s="8"/>
      <c r="G633" s="4"/>
      <c r="H633" s="4"/>
      <c r="I633" s="8"/>
      <c r="J633" s="4"/>
      <c r="K633" s="4"/>
      <c r="L633" s="8"/>
      <c r="M633" s="4"/>
      <c r="N633" s="4"/>
      <c r="O633" s="8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</row>
    <row r="634" ht="15.75" customHeight="1">
      <c r="A634" s="4"/>
      <c r="B634" s="4"/>
      <c r="C634" s="8"/>
      <c r="D634" s="4"/>
      <c r="E634" s="4"/>
      <c r="F634" s="8"/>
      <c r="G634" s="4"/>
      <c r="H634" s="4"/>
      <c r="I634" s="8"/>
      <c r="J634" s="4"/>
      <c r="K634" s="4"/>
      <c r="L634" s="8"/>
      <c r="M634" s="4"/>
      <c r="N634" s="4"/>
      <c r="O634" s="8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</row>
    <row r="635" ht="15.75" customHeight="1">
      <c r="A635" s="4"/>
      <c r="B635" s="4"/>
      <c r="C635" s="8"/>
      <c r="D635" s="4"/>
      <c r="E635" s="4"/>
      <c r="F635" s="8"/>
      <c r="G635" s="4"/>
      <c r="H635" s="4"/>
      <c r="I635" s="8"/>
      <c r="J635" s="4"/>
      <c r="K635" s="4"/>
      <c r="L635" s="8"/>
      <c r="M635" s="4"/>
      <c r="N635" s="4"/>
      <c r="O635" s="8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</row>
    <row r="636" ht="15.75" customHeight="1">
      <c r="A636" s="4"/>
      <c r="B636" s="4"/>
      <c r="C636" s="8"/>
      <c r="D636" s="4"/>
      <c r="E636" s="4"/>
      <c r="F636" s="8"/>
      <c r="G636" s="4"/>
      <c r="H636" s="4"/>
      <c r="I636" s="8"/>
      <c r="J636" s="4"/>
      <c r="K636" s="4"/>
      <c r="L636" s="8"/>
      <c r="M636" s="4"/>
      <c r="N636" s="4"/>
      <c r="O636" s="8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</row>
    <row r="637" ht="15.75" customHeight="1">
      <c r="A637" s="4"/>
      <c r="B637" s="4"/>
      <c r="C637" s="8"/>
      <c r="D637" s="4"/>
      <c r="E637" s="4"/>
      <c r="F637" s="8"/>
      <c r="G637" s="4"/>
      <c r="H637" s="4"/>
      <c r="I637" s="8"/>
      <c r="J637" s="4"/>
      <c r="K637" s="4"/>
      <c r="L637" s="8"/>
      <c r="M637" s="4"/>
      <c r="N637" s="4"/>
      <c r="O637" s="8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</row>
    <row r="638" ht="15.75" customHeight="1">
      <c r="A638" s="4"/>
      <c r="B638" s="4"/>
      <c r="C638" s="8"/>
      <c r="D638" s="4"/>
      <c r="E638" s="4"/>
      <c r="F638" s="8"/>
      <c r="G638" s="4"/>
      <c r="H638" s="4"/>
      <c r="I638" s="8"/>
      <c r="J638" s="4"/>
      <c r="K638" s="4"/>
      <c r="L638" s="8"/>
      <c r="M638" s="4"/>
      <c r="N638" s="4"/>
      <c r="O638" s="8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</row>
    <row r="639" ht="15.75" customHeight="1">
      <c r="A639" s="4"/>
      <c r="B639" s="4"/>
      <c r="C639" s="8"/>
      <c r="D639" s="4"/>
      <c r="E639" s="4"/>
      <c r="F639" s="8"/>
      <c r="G639" s="4"/>
      <c r="H639" s="4"/>
      <c r="I639" s="8"/>
      <c r="J639" s="4"/>
      <c r="K639" s="4"/>
      <c r="L639" s="8"/>
      <c r="M639" s="4"/>
      <c r="N639" s="4"/>
      <c r="O639" s="8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</row>
    <row r="640" ht="15.75" customHeight="1">
      <c r="A640" s="4"/>
      <c r="B640" s="4"/>
      <c r="C640" s="8"/>
      <c r="D640" s="4"/>
      <c r="E640" s="4"/>
      <c r="F640" s="8"/>
      <c r="G640" s="4"/>
      <c r="H640" s="4"/>
      <c r="I640" s="8"/>
      <c r="J640" s="4"/>
      <c r="K640" s="4"/>
      <c r="L640" s="8"/>
      <c r="M640" s="4"/>
      <c r="N640" s="4"/>
      <c r="O640" s="8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</row>
    <row r="641" ht="15.75" customHeight="1">
      <c r="A641" s="4"/>
      <c r="B641" s="4"/>
      <c r="C641" s="8"/>
      <c r="D641" s="4"/>
      <c r="E641" s="4"/>
      <c r="F641" s="8"/>
      <c r="G641" s="4"/>
      <c r="H641" s="4"/>
      <c r="I641" s="8"/>
      <c r="J641" s="4"/>
      <c r="K641" s="4"/>
      <c r="L641" s="8"/>
      <c r="M641" s="4"/>
      <c r="N641" s="4"/>
      <c r="O641" s="8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</row>
    <row r="642" ht="15.75" customHeight="1">
      <c r="A642" s="4"/>
      <c r="B642" s="4"/>
      <c r="C642" s="8"/>
      <c r="D642" s="4"/>
      <c r="E642" s="4"/>
      <c r="F642" s="8"/>
      <c r="G642" s="4"/>
      <c r="H642" s="4"/>
      <c r="I642" s="8"/>
      <c r="J642" s="4"/>
      <c r="K642" s="4"/>
      <c r="L642" s="8"/>
      <c r="M642" s="4"/>
      <c r="N642" s="4"/>
      <c r="O642" s="8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</row>
    <row r="643" ht="15.75" customHeight="1">
      <c r="A643" s="4"/>
      <c r="B643" s="4"/>
      <c r="C643" s="8"/>
      <c r="D643" s="4"/>
      <c r="E643" s="4"/>
      <c r="F643" s="8"/>
      <c r="G643" s="4"/>
      <c r="H643" s="4"/>
      <c r="I643" s="8"/>
      <c r="J643" s="4"/>
      <c r="K643" s="4"/>
      <c r="L643" s="8"/>
      <c r="M643" s="4"/>
      <c r="N643" s="4"/>
      <c r="O643" s="8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</row>
    <row r="644" ht="15.75" customHeight="1">
      <c r="A644" s="4"/>
      <c r="B644" s="4"/>
      <c r="C644" s="8"/>
      <c r="D644" s="4"/>
      <c r="E644" s="4"/>
      <c r="F644" s="8"/>
      <c r="G644" s="4"/>
      <c r="H644" s="4"/>
      <c r="I644" s="8"/>
      <c r="J644" s="4"/>
      <c r="K644" s="4"/>
      <c r="L644" s="8"/>
      <c r="M644" s="4"/>
      <c r="N644" s="4"/>
      <c r="O644" s="8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</row>
    <row r="645" ht="15.75" customHeight="1">
      <c r="A645" s="4"/>
      <c r="B645" s="4"/>
      <c r="C645" s="8"/>
      <c r="D645" s="4"/>
      <c r="E645" s="4"/>
      <c r="F645" s="8"/>
      <c r="G645" s="4"/>
      <c r="H645" s="4"/>
      <c r="I645" s="8"/>
      <c r="J645" s="4"/>
      <c r="K645" s="4"/>
      <c r="L645" s="8"/>
      <c r="M645" s="4"/>
      <c r="N645" s="4"/>
      <c r="O645" s="8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</row>
    <row r="646" ht="15.75" customHeight="1">
      <c r="A646" s="4"/>
      <c r="B646" s="4"/>
      <c r="C646" s="8"/>
      <c r="D646" s="4"/>
      <c r="E646" s="4"/>
      <c r="F646" s="8"/>
      <c r="G646" s="4"/>
      <c r="H646" s="4"/>
      <c r="I646" s="8"/>
      <c r="J646" s="4"/>
      <c r="K646" s="4"/>
      <c r="L646" s="8"/>
      <c r="M646" s="4"/>
      <c r="N646" s="4"/>
      <c r="O646" s="8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</row>
    <row r="647" ht="15.75" customHeight="1">
      <c r="A647" s="4"/>
      <c r="B647" s="4"/>
      <c r="C647" s="8"/>
      <c r="D647" s="4"/>
      <c r="E647" s="4"/>
      <c r="F647" s="8"/>
      <c r="G647" s="4"/>
      <c r="H647" s="4"/>
      <c r="I647" s="8"/>
      <c r="J647" s="4"/>
      <c r="K647" s="4"/>
      <c r="L647" s="8"/>
      <c r="M647" s="4"/>
      <c r="N647" s="4"/>
      <c r="O647" s="8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</row>
    <row r="648" ht="15.75" customHeight="1">
      <c r="A648" s="4"/>
      <c r="B648" s="4"/>
      <c r="C648" s="8"/>
      <c r="D648" s="4"/>
      <c r="E648" s="4"/>
      <c r="F648" s="8"/>
      <c r="G648" s="4"/>
      <c r="H648" s="4"/>
      <c r="I648" s="8"/>
      <c r="J648" s="4"/>
      <c r="K648" s="4"/>
      <c r="L648" s="8"/>
      <c r="M648" s="4"/>
      <c r="N648" s="4"/>
      <c r="O648" s="8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</row>
    <row r="649" ht="15.75" customHeight="1">
      <c r="A649" s="4"/>
      <c r="B649" s="4"/>
      <c r="C649" s="8"/>
      <c r="D649" s="4"/>
      <c r="E649" s="4"/>
      <c r="F649" s="8"/>
      <c r="G649" s="4"/>
      <c r="H649" s="4"/>
      <c r="I649" s="8"/>
      <c r="J649" s="4"/>
      <c r="K649" s="4"/>
      <c r="L649" s="8"/>
      <c r="M649" s="4"/>
      <c r="N649" s="4"/>
      <c r="O649" s="8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</row>
    <row r="650" ht="15.75" customHeight="1">
      <c r="A650" s="4"/>
      <c r="B650" s="4"/>
      <c r="C650" s="8"/>
      <c r="D650" s="4"/>
      <c r="E650" s="4"/>
      <c r="F650" s="8"/>
      <c r="G650" s="4"/>
      <c r="H650" s="4"/>
      <c r="I650" s="8"/>
      <c r="J650" s="4"/>
      <c r="K650" s="4"/>
      <c r="L650" s="8"/>
      <c r="M650" s="4"/>
      <c r="N650" s="4"/>
      <c r="O650" s="8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</row>
    <row r="651" ht="15.75" customHeight="1">
      <c r="A651" s="4"/>
      <c r="B651" s="4"/>
      <c r="C651" s="8"/>
      <c r="D651" s="4"/>
      <c r="E651" s="4"/>
      <c r="F651" s="8"/>
      <c r="G651" s="4"/>
      <c r="H651" s="4"/>
      <c r="I651" s="8"/>
      <c r="J651" s="4"/>
      <c r="K651" s="4"/>
      <c r="L651" s="8"/>
      <c r="M651" s="4"/>
      <c r="N651" s="4"/>
      <c r="O651" s="8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</row>
    <row r="652" ht="15.75" customHeight="1">
      <c r="A652" s="4"/>
      <c r="B652" s="4"/>
      <c r="C652" s="8"/>
      <c r="D652" s="4"/>
      <c r="E652" s="4"/>
      <c r="F652" s="8"/>
      <c r="G652" s="4"/>
      <c r="H652" s="4"/>
      <c r="I652" s="8"/>
      <c r="J652" s="4"/>
      <c r="K652" s="4"/>
      <c r="L652" s="8"/>
      <c r="M652" s="4"/>
      <c r="N652" s="4"/>
      <c r="O652" s="8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</row>
    <row r="653" ht="15.75" customHeight="1">
      <c r="A653" s="4"/>
      <c r="B653" s="4"/>
      <c r="C653" s="8"/>
      <c r="D653" s="4"/>
      <c r="E653" s="4"/>
      <c r="F653" s="8"/>
      <c r="G653" s="4"/>
      <c r="H653" s="4"/>
      <c r="I653" s="8"/>
      <c r="J653" s="4"/>
      <c r="K653" s="4"/>
      <c r="L653" s="8"/>
      <c r="M653" s="4"/>
      <c r="N653" s="4"/>
      <c r="O653" s="8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</row>
    <row r="654" ht="15.75" customHeight="1">
      <c r="A654" s="4"/>
      <c r="B654" s="4"/>
      <c r="C654" s="8"/>
      <c r="D654" s="4"/>
      <c r="E654" s="4"/>
      <c r="F654" s="8"/>
      <c r="G654" s="4"/>
      <c r="H654" s="4"/>
      <c r="I654" s="8"/>
      <c r="J654" s="4"/>
      <c r="K654" s="4"/>
      <c r="L654" s="8"/>
      <c r="M654" s="4"/>
      <c r="N654" s="4"/>
      <c r="O654" s="8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</row>
    <row r="655" ht="15.75" customHeight="1">
      <c r="A655" s="4"/>
      <c r="B655" s="4"/>
      <c r="C655" s="8"/>
      <c r="D655" s="4"/>
      <c r="E655" s="4"/>
      <c r="F655" s="8"/>
      <c r="G655" s="4"/>
      <c r="H655" s="4"/>
      <c r="I655" s="8"/>
      <c r="J655" s="4"/>
      <c r="K655" s="4"/>
      <c r="L655" s="8"/>
      <c r="M655" s="4"/>
      <c r="N655" s="4"/>
      <c r="O655" s="8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</row>
    <row r="656" ht="15.75" customHeight="1">
      <c r="A656" s="4"/>
      <c r="B656" s="4"/>
      <c r="C656" s="8"/>
      <c r="D656" s="4"/>
      <c r="E656" s="4"/>
      <c r="F656" s="8"/>
      <c r="G656" s="4"/>
      <c r="H656" s="4"/>
      <c r="I656" s="8"/>
      <c r="J656" s="4"/>
      <c r="K656" s="4"/>
      <c r="L656" s="8"/>
      <c r="M656" s="4"/>
      <c r="N656" s="4"/>
      <c r="O656" s="8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</row>
    <row r="657" ht="15.75" customHeight="1">
      <c r="A657" s="4"/>
      <c r="B657" s="4"/>
      <c r="C657" s="8"/>
      <c r="D657" s="4"/>
      <c r="E657" s="4"/>
      <c r="F657" s="8"/>
      <c r="G657" s="4"/>
      <c r="H657" s="4"/>
      <c r="I657" s="8"/>
      <c r="J657" s="4"/>
      <c r="K657" s="4"/>
      <c r="L657" s="8"/>
      <c r="M657" s="4"/>
      <c r="N657" s="4"/>
      <c r="O657" s="8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</row>
    <row r="658" ht="15.75" customHeight="1">
      <c r="A658" s="4"/>
      <c r="B658" s="4"/>
      <c r="C658" s="8"/>
      <c r="D658" s="4"/>
      <c r="E658" s="4"/>
      <c r="F658" s="8"/>
      <c r="G658" s="4"/>
      <c r="H658" s="4"/>
      <c r="I658" s="8"/>
      <c r="J658" s="4"/>
      <c r="K658" s="4"/>
      <c r="L658" s="8"/>
      <c r="M658" s="4"/>
      <c r="N658" s="4"/>
      <c r="O658" s="8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</row>
    <row r="659" ht="15.75" customHeight="1">
      <c r="A659" s="4"/>
      <c r="B659" s="4"/>
      <c r="C659" s="8"/>
      <c r="D659" s="4"/>
      <c r="E659" s="4"/>
      <c r="F659" s="8"/>
      <c r="G659" s="4"/>
      <c r="H659" s="4"/>
      <c r="I659" s="8"/>
      <c r="J659" s="4"/>
      <c r="K659" s="4"/>
      <c r="L659" s="8"/>
      <c r="M659" s="4"/>
      <c r="N659" s="4"/>
      <c r="O659" s="8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</row>
    <row r="660" ht="15.75" customHeight="1">
      <c r="A660" s="4"/>
      <c r="B660" s="4"/>
      <c r="C660" s="8"/>
      <c r="D660" s="4"/>
      <c r="E660" s="4"/>
      <c r="F660" s="8"/>
      <c r="G660" s="4"/>
      <c r="H660" s="4"/>
      <c r="I660" s="8"/>
      <c r="J660" s="4"/>
      <c r="K660" s="4"/>
      <c r="L660" s="8"/>
      <c r="M660" s="4"/>
      <c r="N660" s="4"/>
      <c r="O660" s="8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</row>
    <row r="661" ht="15.75" customHeight="1">
      <c r="A661" s="4"/>
      <c r="B661" s="4"/>
      <c r="C661" s="8"/>
      <c r="D661" s="4"/>
      <c r="E661" s="4"/>
      <c r="F661" s="8"/>
      <c r="G661" s="4"/>
      <c r="H661" s="4"/>
      <c r="I661" s="8"/>
      <c r="J661" s="4"/>
      <c r="K661" s="4"/>
      <c r="L661" s="8"/>
      <c r="M661" s="4"/>
      <c r="N661" s="4"/>
      <c r="O661" s="8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</row>
    <row r="662" ht="15.75" customHeight="1">
      <c r="A662" s="4"/>
      <c r="B662" s="4"/>
      <c r="C662" s="8"/>
      <c r="D662" s="4"/>
      <c r="E662" s="4"/>
      <c r="F662" s="8"/>
      <c r="G662" s="4"/>
      <c r="H662" s="4"/>
      <c r="I662" s="8"/>
      <c r="J662" s="4"/>
      <c r="K662" s="4"/>
      <c r="L662" s="8"/>
      <c r="M662" s="4"/>
      <c r="N662" s="4"/>
      <c r="O662" s="8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</row>
    <row r="663" ht="15.75" customHeight="1">
      <c r="A663" s="4"/>
      <c r="B663" s="4"/>
      <c r="C663" s="8"/>
      <c r="D663" s="4"/>
      <c r="E663" s="4"/>
      <c r="F663" s="8"/>
      <c r="G663" s="4"/>
      <c r="H663" s="4"/>
      <c r="I663" s="8"/>
      <c r="J663" s="4"/>
      <c r="K663" s="4"/>
      <c r="L663" s="8"/>
      <c r="M663" s="4"/>
      <c r="N663" s="4"/>
      <c r="O663" s="8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</row>
    <row r="664" ht="15.75" customHeight="1">
      <c r="A664" s="4"/>
      <c r="B664" s="4"/>
      <c r="C664" s="8"/>
      <c r="D664" s="4"/>
      <c r="E664" s="4"/>
      <c r="F664" s="8"/>
      <c r="G664" s="4"/>
      <c r="H664" s="4"/>
      <c r="I664" s="8"/>
      <c r="J664" s="4"/>
      <c r="K664" s="4"/>
      <c r="L664" s="8"/>
      <c r="M664" s="4"/>
      <c r="N664" s="4"/>
      <c r="O664" s="8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</row>
    <row r="665" ht="15.75" customHeight="1">
      <c r="A665" s="4"/>
      <c r="B665" s="4"/>
      <c r="C665" s="8"/>
      <c r="D665" s="4"/>
      <c r="E665" s="4"/>
      <c r="F665" s="8"/>
      <c r="G665" s="4"/>
      <c r="H665" s="4"/>
      <c r="I665" s="8"/>
      <c r="J665" s="4"/>
      <c r="K665" s="4"/>
      <c r="L665" s="8"/>
      <c r="M665" s="4"/>
      <c r="N665" s="4"/>
      <c r="O665" s="8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</row>
    <row r="666" ht="15.75" customHeight="1">
      <c r="A666" s="4"/>
      <c r="B666" s="4"/>
      <c r="C666" s="8"/>
      <c r="D666" s="4"/>
      <c r="E666" s="4"/>
      <c r="F666" s="8"/>
      <c r="G666" s="4"/>
      <c r="H666" s="4"/>
      <c r="I666" s="8"/>
      <c r="J666" s="4"/>
      <c r="K666" s="4"/>
      <c r="L666" s="8"/>
      <c r="M666" s="4"/>
      <c r="N666" s="4"/>
      <c r="O666" s="8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</row>
    <row r="667" ht="15.75" customHeight="1">
      <c r="A667" s="4"/>
      <c r="B667" s="4"/>
      <c r="C667" s="8"/>
      <c r="D667" s="4"/>
      <c r="E667" s="4"/>
      <c r="F667" s="8"/>
      <c r="G667" s="4"/>
      <c r="H667" s="4"/>
      <c r="I667" s="8"/>
      <c r="J667" s="4"/>
      <c r="K667" s="4"/>
      <c r="L667" s="8"/>
      <c r="M667" s="4"/>
      <c r="N667" s="4"/>
      <c r="O667" s="8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</row>
    <row r="668" ht="15.75" customHeight="1">
      <c r="A668" s="4"/>
      <c r="B668" s="4"/>
      <c r="C668" s="8"/>
      <c r="D668" s="4"/>
      <c r="E668" s="4"/>
      <c r="F668" s="8"/>
      <c r="G668" s="4"/>
      <c r="H668" s="4"/>
      <c r="I668" s="8"/>
      <c r="J668" s="4"/>
      <c r="K668" s="4"/>
      <c r="L668" s="8"/>
      <c r="M668" s="4"/>
      <c r="N668" s="4"/>
      <c r="O668" s="8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</row>
    <row r="669" ht="15.75" customHeight="1">
      <c r="A669" s="4"/>
      <c r="B669" s="4"/>
      <c r="C669" s="8"/>
      <c r="D669" s="4"/>
      <c r="E669" s="4"/>
      <c r="F669" s="8"/>
      <c r="G669" s="4"/>
      <c r="H669" s="4"/>
      <c r="I669" s="8"/>
      <c r="J669" s="4"/>
      <c r="K669" s="4"/>
      <c r="L669" s="8"/>
      <c r="M669" s="4"/>
      <c r="N669" s="4"/>
      <c r="O669" s="8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</row>
    <row r="670" ht="15.75" customHeight="1">
      <c r="A670" s="4"/>
      <c r="B670" s="4"/>
      <c r="C670" s="8"/>
      <c r="D670" s="4"/>
      <c r="E670" s="4"/>
      <c r="F670" s="8"/>
      <c r="G670" s="4"/>
      <c r="H670" s="4"/>
      <c r="I670" s="8"/>
      <c r="J670" s="4"/>
      <c r="K670" s="4"/>
      <c r="L670" s="8"/>
      <c r="M670" s="4"/>
      <c r="N670" s="4"/>
      <c r="O670" s="8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</row>
    <row r="671" ht="15.75" customHeight="1">
      <c r="A671" s="4"/>
      <c r="B671" s="4"/>
      <c r="C671" s="8"/>
      <c r="D671" s="4"/>
      <c r="E671" s="4"/>
      <c r="F671" s="8"/>
      <c r="G671" s="4"/>
      <c r="H671" s="4"/>
      <c r="I671" s="8"/>
      <c r="J671" s="4"/>
      <c r="K671" s="4"/>
      <c r="L671" s="8"/>
      <c r="M671" s="4"/>
      <c r="N671" s="4"/>
      <c r="O671" s="8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</row>
    <row r="672" ht="15.75" customHeight="1">
      <c r="A672" s="4"/>
      <c r="B672" s="4"/>
      <c r="C672" s="8"/>
      <c r="D672" s="4"/>
      <c r="E672" s="4"/>
      <c r="F672" s="8"/>
      <c r="G672" s="4"/>
      <c r="H672" s="4"/>
      <c r="I672" s="8"/>
      <c r="J672" s="4"/>
      <c r="K672" s="4"/>
      <c r="L672" s="8"/>
      <c r="M672" s="4"/>
      <c r="N672" s="4"/>
      <c r="O672" s="8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</row>
    <row r="673" ht="15.75" customHeight="1">
      <c r="A673" s="4"/>
      <c r="B673" s="4"/>
      <c r="C673" s="8"/>
      <c r="D673" s="4"/>
      <c r="E673" s="4"/>
      <c r="F673" s="8"/>
      <c r="G673" s="4"/>
      <c r="H673" s="4"/>
      <c r="I673" s="8"/>
      <c r="J673" s="4"/>
      <c r="K673" s="4"/>
      <c r="L673" s="8"/>
      <c r="M673" s="4"/>
      <c r="N673" s="4"/>
      <c r="O673" s="8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</row>
    <row r="674" ht="15.75" customHeight="1">
      <c r="A674" s="4"/>
      <c r="B674" s="4"/>
      <c r="C674" s="8"/>
      <c r="D674" s="4"/>
      <c r="E674" s="4"/>
      <c r="F674" s="8"/>
      <c r="G674" s="4"/>
      <c r="H674" s="4"/>
      <c r="I674" s="8"/>
      <c r="J674" s="4"/>
      <c r="K674" s="4"/>
      <c r="L674" s="8"/>
      <c r="M674" s="4"/>
      <c r="N674" s="4"/>
      <c r="O674" s="8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</row>
    <row r="675" ht="15.75" customHeight="1">
      <c r="A675" s="4"/>
      <c r="B675" s="4"/>
      <c r="C675" s="8"/>
      <c r="D675" s="4"/>
      <c r="E675" s="4"/>
      <c r="F675" s="8"/>
      <c r="G675" s="4"/>
      <c r="H675" s="4"/>
      <c r="I675" s="8"/>
      <c r="J675" s="4"/>
      <c r="K675" s="4"/>
      <c r="L675" s="8"/>
      <c r="M675" s="4"/>
      <c r="N675" s="4"/>
      <c r="O675" s="8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</row>
    <row r="676" ht="15.75" customHeight="1">
      <c r="A676" s="4"/>
      <c r="B676" s="4"/>
      <c r="C676" s="8"/>
      <c r="D676" s="4"/>
      <c r="E676" s="4"/>
      <c r="F676" s="8"/>
      <c r="G676" s="4"/>
      <c r="H676" s="4"/>
      <c r="I676" s="8"/>
      <c r="J676" s="4"/>
      <c r="K676" s="4"/>
      <c r="L676" s="8"/>
      <c r="M676" s="4"/>
      <c r="N676" s="4"/>
      <c r="O676" s="8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</row>
    <row r="677" ht="15.75" customHeight="1">
      <c r="A677" s="4"/>
      <c r="B677" s="4"/>
      <c r="C677" s="8"/>
      <c r="D677" s="4"/>
      <c r="E677" s="4"/>
      <c r="F677" s="8"/>
      <c r="G677" s="4"/>
      <c r="H677" s="4"/>
      <c r="I677" s="8"/>
      <c r="J677" s="4"/>
      <c r="K677" s="4"/>
      <c r="L677" s="8"/>
      <c r="M677" s="4"/>
      <c r="N677" s="4"/>
      <c r="O677" s="8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</row>
    <row r="678" ht="15.75" customHeight="1">
      <c r="A678" s="4"/>
      <c r="B678" s="4"/>
      <c r="C678" s="8"/>
      <c r="D678" s="4"/>
      <c r="E678" s="4"/>
      <c r="F678" s="8"/>
      <c r="G678" s="4"/>
      <c r="H678" s="4"/>
      <c r="I678" s="8"/>
      <c r="J678" s="4"/>
      <c r="K678" s="4"/>
      <c r="L678" s="8"/>
      <c r="M678" s="4"/>
      <c r="N678" s="4"/>
      <c r="O678" s="8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</row>
    <row r="679" ht="15.75" customHeight="1">
      <c r="A679" s="4"/>
      <c r="B679" s="4"/>
      <c r="C679" s="8"/>
      <c r="D679" s="4"/>
      <c r="E679" s="4"/>
      <c r="F679" s="8"/>
      <c r="G679" s="4"/>
      <c r="H679" s="4"/>
      <c r="I679" s="8"/>
      <c r="J679" s="4"/>
      <c r="K679" s="4"/>
      <c r="L679" s="8"/>
      <c r="M679" s="4"/>
      <c r="N679" s="4"/>
      <c r="O679" s="8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</row>
    <row r="680" ht="15.75" customHeight="1">
      <c r="A680" s="4"/>
      <c r="B680" s="4"/>
      <c r="C680" s="8"/>
      <c r="D680" s="4"/>
      <c r="E680" s="4"/>
      <c r="F680" s="8"/>
      <c r="G680" s="4"/>
      <c r="H680" s="4"/>
      <c r="I680" s="8"/>
      <c r="J680" s="4"/>
      <c r="K680" s="4"/>
      <c r="L680" s="8"/>
      <c r="M680" s="4"/>
      <c r="N680" s="4"/>
      <c r="O680" s="8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</row>
    <row r="681" ht="15.75" customHeight="1">
      <c r="A681" s="4"/>
      <c r="B681" s="4"/>
      <c r="C681" s="8"/>
      <c r="D681" s="4"/>
      <c r="E681" s="4"/>
      <c r="F681" s="8"/>
      <c r="G681" s="4"/>
      <c r="H681" s="4"/>
      <c r="I681" s="8"/>
      <c r="J681" s="4"/>
      <c r="K681" s="4"/>
      <c r="L681" s="8"/>
      <c r="M681" s="4"/>
      <c r="N681" s="4"/>
      <c r="O681" s="8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</row>
    <row r="682" ht="15.75" customHeight="1">
      <c r="A682" s="4"/>
      <c r="B682" s="4"/>
      <c r="C682" s="8"/>
      <c r="D682" s="4"/>
      <c r="E682" s="4"/>
      <c r="F682" s="8"/>
      <c r="G682" s="4"/>
      <c r="H682" s="4"/>
      <c r="I682" s="8"/>
      <c r="J682" s="4"/>
      <c r="K682" s="4"/>
      <c r="L682" s="8"/>
      <c r="M682" s="4"/>
      <c r="N682" s="4"/>
      <c r="O682" s="8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</row>
    <row r="683" ht="15.75" customHeight="1">
      <c r="A683" s="4"/>
      <c r="B683" s="4"/>
      <c r="C683" s="8"/>
      <c r="D683" s="4"/>
      <c r="E683" s="4"/>
      <c r="F683" s="8"/>
      <c r="G683" s="4"/>
      <c r="H683" s="4"/>
      <c r="I683" s="8"/>
      <c r="J683" s="4"/>
      <c r="K683" s="4"/>
      <c r="L683" s="8"/>
      <c r="M683" s="4"/>
      <c r="N683" s="4"/>
      <c r="O683" s="8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</row>
    <row r="684" ht="15.75" customHeight="1">
      <c r="A684" s="4"/>
      <c r="B684" s="4"/>
      <c r="C684" s="8"/>
      <c r="D684" s="4"/>
      <c r="E684" s="4"/>
      <c r="F684" s="8"/>
      <c r="G684" s="4"/>
      <c r="H684" s="4"/>
      <c r="I684" s="8"/>
      <c r="J684" s="4"/>
      <c r="K684" s="4"/>
      <c r="L684" s="8"/>
      <c r="M684" s="4"/>
      <c r="N684" s="4"/>
      <c r="O684" s="8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</row>
    <row r="685" ht="15.75" customHeight="1">
      <c r="A685" s="4"/>
      <c r="B685" s="4"/>
      <c r="C685" s="8"/>
      <c r="D685" s="4"/>
      <c r="E685" s="4"/>
      <c r="F685" s="8"/>
      <c r="G685" s="4"/>
      <c r="H685" s="4"/>
      <c r="I685" s="8"/>
      <c r="J685" s="4"/>
      <c r="K685" s="4"/>
      <c r="L685" s="8"/>
      <c r="M685" s="4"/>
      <c r="N685" s="4"/>
      <c r="O685" s="8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</row>
    <row r="686" ht="15.75" customHeight="1">
      <c r="A686" s="4"/>
      <c r="B686" s="4"/>
      <c r="C686" s="8"/>
      <c r="D686" s="4"/>
      <c r="E686" s="4"/>
      <c r="F686" s="8"/>
      <c r="G686" s="4"/>
      <c r="H686" s="4"/>
      <c r="I686" s="8"/>
      <c r="J686" s="4"/>
      <c r="K686" s="4"/>
      <c r="L686" s="8"/>
      <c r="M686" s="4"/>
      <c r="N686" s="4"/>
      <c r="O686" s="8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</row>
    <row r="687" ht="15.75" customHeight="1">
      <c r="A687" s="4"/>
      <c r="B687" s="4"/>
      <c r="C687" s="8"/>
      <c r="D687" s="4"/>
      <c r="E687" s="4"/>
      <c r="F687" s="8"/>
      <c r="G687" s="4"/>
      <c r="H687" s="4"/>
      <c r="I687" s="8"/>
      <c r="J687" s="4"/>
      <c r="K687" s="4"/>
      <c r="L687" s="8"/>
      <c r="M687" s="4"/>
      <c r="N687" s="4"/>
      <c r="O687" s="8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</row>
    <row r="688" ht="15.75" customHeight="1">
      <c r="A688" s="4"/>
      <c r="B688" s="4"/>
      <c r="C688" s="8"/>
      <c r="D688" s="4"/>
      <c r="E688" s="4"/>
      <c r="F688" s="8"/>
      <c r="G688" s="4"/>
      <c r="H688" s="4"/>
      <c r="I688" s="8"/>
      <c r="J688" s="4"/>
      <c r="K688" s="4"/>
      <c r="L688" s="8"/>
      <c r="M688" s="4"/>
      <c r="N688" s="4"/>
      <c r="O688" s="8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</row>
    <row r="689" ht="15.75" customHeight="1">
      <c r="A689" s="4"/>
      <c r="B689" s="4"/>
      <c r="C689" s="8"/>
      <c r="D689" s="4"/>
      <c r="E689" s="4"/>
      <c r="F689" s="8"/>
      <c r="G689" s="4"/>
      <c r="H689" s="4"/>
      <c r="I689" s="8"/>
      <c r="J689" s="4"/>
      <c r="K689" s="4"/>
      <c r="L689" s="8"/>
      <c r="M689" s="4"/>
      <c r="N689" s="4"/>
      <c r="O689" s="8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</row>
    <row r="690" ht="15.75" customHeight="1">
      <c r="A690" s="4"/>
      <c r="B690" s="4"/>
      <c r="C690" s="8"/>
      <c r="D690" s="4"/>
      <c r="E690" s="4"/>
      <c r="F690" s="8"/>
      <c r="G690" s="4"/>
      <c r="H690" s="4"/>
      <c r="I690" s="8"/>
      <c r="J690" s="4"/>
      <c r="K690" s="4"/>
      <c r="L690" s="8"/>
      <c r="M690" s="4"/>
      <c r="N690" s="4"/>
      <c r="O690" s="8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</row>
    <row r="691" ht="15.75" customHeight="1">
      <c r="A691" s="4"/>
      <c r="B691" s="4"/>
      <c r="C691" s="8"/>
      <c r="D691" s="4"/>
      <c r="E691" s="4"/>
      <c r="F691" s="8"/>
      <c r="G691" s="4"/>
      <c r="H691" s="4"/>
      <c r="I691" s="8"/>
      <c r="J691" s="4"/>
      <c r="K691" s="4"/>
      <c r="L691" s="8"/>
      <c r="M691" s="4"/>
      <c r="N691" s="4"/>
      <c r="O691" s="8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</row>
    <row r="692" ht="15.75" customHeight="1">
      <c r="A692" s="4"/>
      <c r="B692" s="4"/>
      <c r="C692" s="8"/>
      <c r="D692" s="4"/>
      <c r="E692" s="4"/>
      <c r="F692" s="8"/>
      <c r="G692" s="4"/>
      <c r="H692" s="4"/>
      <c r="I692" s="8"/>
      <c r="J692" s="4"/>
      <c r="K692" s="4"/>
      <c r="L692" s="8"/>
      <c r="M692" s="4"/>
      <c r="N692" s="4"/>
      <c r="O692" s="8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</row>
    <row r="693" ht="15.75" customHeight="1">
      <c r="A693" s="4"/>
      <c r="B693" s="4"/>
      <c r="C693" s="8"/>
      <c r="D693" s="4"/>
      <c r="E693" s="4"/>
      <c r="F693" s="8"/>
      <c r="G693" s="4"/>
      <c r="H693" s="4"/>
      <c r="I693" s="8"/>
      <c r="J693" s="4"/>
      <c r="K693" s="4"/>
      <c r="L693" s="8"/>
      <c r="M693" s="4"/>
      <c r="N693" s="4"/>
      <c r="O693" s="8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</row>
    <row r="694" ht="15.75" customHeight="1">
      <c r="A694" s="4"/>
      <c r="B694" s="4"/>
      <c r="C694" s="8"/>
      <c r="D694" s="4"/>
      <c r="E694" s="4"/>
      <c r="F694" s="8"/>
      <c r="G694" s="4"/>
      <c r="H694" s="4"/>
      <c r="I694" s="8"/>
      <c r="J694" s="4"/>
      <c r="K694" s="4"/>
      <c r="L694" s="8"/>
      <c r="M694" s="4"/>
      <c r="N694" s="4"/>
      <c r="O694" s="8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</row>
    <row r="695" ht="15.75" customHeight="1">
      <c r="A695" s="4"/>
      <c r="B695" s="4"/>
      <c r="C695" s="8"/>
      <c r="D695" s="4"/>
      <c r="E695" s="4"/>
      <c r="F695" s="8"/>
      <c r="G695" s="4"/>
      <c r="H695" s="4"/>
      <c r="I695" s="8"/>
      <c r="J695" s="4"/>
      <c r="K695" s="4"/>
      <c r="L695" s="8"/>
      <c r="M695" s="4"/>
      <c r="N695" s="4"/>
      <c r="O695" s="8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</row>
    <row r="696" ht="15.75" customHeight="1">
      <c r="A696" s="4"/>
      <c r="B696" s="4"/>
      <c r="C696" s="8"/>
      <c r="D696" s="4"/>
      <c r="E696" s="4"/>
      <c r="F696" s="8"/>
      <c r="G696" s="4"/>
      <c r="H696" s="4"/>
      <c r="I696" s="8"/>
      <c r="J696" s="4"/>
      <c r="K696" s="4"/>
      <c r="L696" s="8"/>
      <c r="M696" s="4"/>
      <c r="N696" s="4"/>
      <c r="O696" s="8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</row>
    <row r="697" ht="15.75" customHeight="1">
      <c r="A697" s="4"/>
      <c r="B697" s="4"/>
      <c r="C697" s="8"/>
      <c r="D697" s="4"/>
      <c r="E697" s="4"/>
      <c r="F697" s="8"/>
      <c r="G697" s="4"/>
      <c r="H697" s="4"/>
      <c r="I697" s="8"/>
      <c r="J697" s="4"/>
      <c r="K697" s="4"/>
      <c r="L697" s="8"/>
      <c r="M697" s="4"/>
      <c r="N697" s="4"/>
      <c r="O697" s="8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</row>
    <row r="698" ht="15.75" customHeight="1">
      <c r="A698" s="4"/>
      <c r="B698" s="4"/>
      <c r="C698" s="8"/>
      <c r="D698" s="4"/>
      <c r="E698" s="4"/>
      <c r="F698" s="8"/>
      <c r="G698" s="4"/>
      <c r="H698" s="4"/>
      <c r="I698" s="8"/>
      <c r="J698" s="4"/>
      <c r="K698" s="4"/>
      <c r="L698" s="8"/>
      <c r="M698" s="4"/>
      <c r="N698" s="4"/>
      <c r="O698" s="8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</row>
    <row r="699" ht="15.75" customHeight="1">
      <c r="A699" s="4"/>
      <c r="B699" s="4"/>
      <c r="C699" s="8"/>
      <c r="D699" s="4"/>
      <c r="E699" s="4"/>
      <c r="F699" s="8"/>
      <c r="G699" s="4"/>
      <c r="H699" s="4"/>
      <c r="I699" s="8"/>
      <c r="J699" s="4"/>
      <c r="K699" s="4"/>
      <c r="L699" s="8"/>
      <c r="M699" s="4"/>
      <c r="N699" s="4"/>
      <c r="O699" s="8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</row>
    <row r="700" ht="15.75" customHeight="1">
      <c r="A700" s="4"/>
      <c r="B700" s="4"/>
      <c r="C700" s="8"/>
      <c r="D700" s="4"/>
      <c r="E700" s="4"/>
      <c r="F700" s="8"/>
      <c r="G700" s="4"/>
      <c r="H700" s="4"/>
      <c r="I700" s="8"/>
      <c r="J700" s="4"/>
      <c r="K700" s="4"/>
      <c r="L700" s="8"/>
      <c r="M700" s="4"/>
      <c r="N700" s="4"/>
      <c r="O700" s="8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</row>
    <row r="701" ht="15.75" customHeight="1">
      <c r="A701" s="4"/>
      <c r="B701" s="4"/>
      <c r="C701" s="8"/>
      <c r="D701" s="4"/>
      <c r="E701" s="4"/>
      <c r="F701" s="8"/>
      <c r="G701" s="4"/>
      <c r="H701" s="4"/>
      <c r="I701" s="8"/>
      <c r="J701" s="4"/>
      <c r="K701" s="4"/>
      <c r="L701" s="8"/>
      <c r="M701" s="4"/>
      <c r="N701" s="4"/>
      <c r="O701" s="8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</row>
    <row r="702" ht="15.75" customHeight="1">
      <c r="A702" s="4"/>
      <c r="B702" s="4"/>
      <c r="C702" s="8"/>
      <c r="D702" s="4"/>
      <c r="E702" s="4"/>
      <c r="F702" s="8"/>
      <c r="G702" s="4"/>
      <c r="H702" s="4"/>
      <c r="I702" s="8"/>
      <c r="J702" s="4"/>
      <c r="K702" s="4"/>
      <c r="L702" s="8"/>
      <c r="M702" s="4"/>
      <c r="N702" s="4"/>
      <c r="O702" s="8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</row>
    <row r="703" ht="15.75" customHeight="1">
      <c r="A703" s="4"/>
      <c r="B703" s="4"/>
      <c r="C703" s="8"/>
      <c r="D703" s="4"/>
      <c r="E703" s="4"/>
      <c r="F703" s="8"/>
      <c r="G703" s="4"/>
      <c r="H703" s="4"/>
      <c r="I703" s="8"/>
      <c r="J703" s="4"/>
      <c r="K703" s="4"/>
      <c r="L703" s="8"/>
      <c r="M703" s="4"/>
      <c r="N703" s="4"/>
      <c r="O703" s="8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</row>
    <row r="704" ht="15.75" customHeight="1">
      <c r="A704" s="4"/>
      <c r="B704" s="4"/>
      <c r="C704" s="8"/>
      <c r="D704" s="4"/>
      <c r="E704" s="4"/>
      <c r="F704" s="8"/>
      <c r="G704" s="4"/>
      <c r="H704" s="4"/>
      <c r="I704" s="8"/>
      <c r="J704" s="4"/>
      <c r="K704" s="4"/>
      <c r="L704" s="8"/>
      <c r="M704" s="4"/>
      <c r="N704" s="4"/>
      <c r="O704" s="8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</row>
    <row r="705" ht="15.75" customHeight="1">
      <c r="A705" s="4"/>
      <c r="B705" s="4"/>
      <c r="C705" s="8"/>
      <c r="D705" s="4"/>
      <c r="E705" s="4"/>
      <c r="F705" s="8"/>
      <c r="G705" s="4"/>
      <c r="H705" s="4"/>
      <c r="I705" s="8"/>
      <c r="J705" s="4"/>
      <c r="K705" s="4"/>
      <c r="L705" s="8"/>
      <c r="M705" s="4"/>
      <c r="N705" s="4"/>
      <c r="O705" s="8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</row>
    <row r="706" ht="15.75" customHeight="1">
      <c r="A706" s="4"/>
      <c r="B706" s="4"/>
      <c r="C706" s="8"/>
      <c r="D706" s="4"/>
      <c r="E706" s="4"/>
      <c r="F706" s="8"/>
      <c r="G706" s="4"/>
      <c r="H706" s="4"/>
      <c r="I706" s="8"/>
      <c r="J706" s="4"/>
      <c r="K706" s="4"/>
      <c r="L706" s="8"/>
      <c r="M706" s="4"/>
      <c r="N706" s="4"/>
      <c r="O706" s="8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</row>
    <row r="707" ht="15.75" customHeight="1">
      <c r="A707" s="4"/>
      <c r="B707" s="4"/>
      <c r="C707" s="8"/>
      <c r="D707" s="4"/>
      <c r="E707" s="4"/>
      <c r="F707" s="8"/>
      <c r="G707" s="4"/>
      <c r="H707" s="4"/>
      <c r="I707" s="8"/>
      <c r="J707" s="4"/>
      <c r="K707" s="4"/>
      <c r="L707" s="8"/>
      <c r="M707" s="4"/>
      <c r="N707" s="4"/>
      <c r="O707" s="8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</row>
    <row r="708" ht="15.75" customHeight="1">
      <c r="A708" s="4"/>
      <c r="B708" s="4"/>
      <c r="C708" s="8"/>
      <c r="D708" s="4"/>
      <c r="E708" s="4"/>
      <c r="F708" s="8"/>
      <c r="G708" s="4"/>
      <c r="H708" s="4"/>
      <c r="I708" s="8"/>
      <c r="J708" s="4"/>
      <c r="K708" s="4"/>
      <c r="L708" s="8"/>
      <c r="M708" s="4"/>
      <c r="N708" s="4"/>
      <c r="O708" s="8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</row>
    <row r="709" ht="15.75" customHeight="1">
      <c r="A709" s="4"/>
      <c r="B709" s="4"/>
      <c r="C709" s="8"/>
      <c r="D709" s="4"/>
      <c r="E709" s="4"/>
      <c r="F709" s="8"/>
      <c r="G709" s="4"/>
      <c r="H709" s="4"/>
      <c r="I709" s="8"/>
      <c r="J709" s="4"/>
      <c r="K709" s="4"/>
      <c r="L709" s="8"/>
      <c r="M709" s="4"/>
      <c r="N709" s="4"/>
      <c r="O709" s="8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</row>
    <row r="710" ht="15.75" customHeight="1">
      <c r="A710" s="4"/>
      <c r="B710" s="4"/>
      <c r="C710" s="8"/>
      <c r="D710" s="4"/>
      <c r="E710" s="4"/>
      <c r="F710" s="8"/>
      <c r="G710" s="4"/>
      <c r="H710" s="4"/>
      <c r="I710" s="8"/>
      <c r="J710" s="4"/>
      <c r="K710" s="4"/>
      <c r="L710" s="8"/>
      <c r="M710" s="4"/>
      <c r="N710" s="4"/>
      <c r="O710" s="8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</row>
    <row r="711" ht="15.75" customHeight="1">
      <c r="A711" s="4"/>
      <c r="B711" s="4"/>
      <c r="C711" s="8"/>
      <c r="D711" s="4"/>
      <c r="E711" s="4"/>
      <c r="F711" s="8"/>
      <c r="G711" s="4"/>
      <c r="H711" s="4"/>
      <c r="I711" s="8"/>
      <c r="J711" s="4"/>
      <c r="K711" s="4"/>
      <c r="L711" s="8"/>
      <c r="M711" s="4"/>
      <c r="N711" s="4"/>
      <c r="O711" s="8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</row>
    <row r="712" ht="15.75" customHeight="1">
      <c r="A712" s="4"/>
      <c r="B712" s="4"/>
      <c r="C712" s="8"/>
      <c r="D712" s="4"/>
      <c r="E712" s="4"/>
      <c r="F712" s="8"/>
      <c r="G712" s="4"/>
      <c r="H712" s="4"/>
      <c r="I712" s="8"/>
      <c r="J712" s="4"/>
      <c r="K712" s="4"/>
      <c r="L712" s="8"/>
      <c r="M712" s="4"/>
      <c r="N712" s="4"/>
      <c r="O712" s="8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</row>
    <row r="713" ht="15.75" customHeight="1">
      <c r="A713" s="4"/>
      <c r="B713" s="4"/>
      <c r="C713" s="8"/>
      <c r="D713" s="4"/>
      <c r="E713" s="4"/>
      <c r="F713" s="8"/>
      <c r="G713" s="4"/>
      <c r="H713" s="4"/>
      <c r="I713" s="8"/>
      <c r="J713" s="4"/>
      <c r="K713" s="4"/>
      <c r="L713" s="8"/>
      <c r="M713" s="4"/>
      <c r="N713" s="4"/>
      <c r="O713" s="8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</row>
    <row r="714" ht="15.75" customHeight="1">
      <c r="A714" s="4"/>
      <c r="B714" s="4"/>
      <c r="C714" s="8"/>
      <c r="D714" s="4"/>
      <c r="E714" s="4"/>
      <c r="F714" s="8"/>
      <c r="G714" s="4"/>
      <c r="H714" s="4"/>
      <c r="I714" s="8"/>
      <c r="J714" s="4"/>
      <c r="K714" s="4"/>
      <c r="L714" s="8"/>
      <c r="M714" s="4"/>
      <c r="N714" s="4"/>
      <c r="O714" s="8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</row>
    <row r="715" ht="15.75" customHeight="1">
      <c r="A715" s="4"/>
      <c r="B715" s="4"/>
      <c r="C715" s="8"/>
      <c r="D715" s="4"/>
      <c r="E715" s="4"/>
      <c r="F715" s="8"/>
      <c r="G715" s="4"/>
      <c r="H715" s="4"/>
      <c r="I715" s="8"/>
      <c r="J715" s="4"/>
      <c r="K715" s="4"/>
      <c r="L715" s="8"/>
      <c r="M715" s="4"/>
      <c r="N715" s="4"/>
      <c r="O715" s="8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</row>
    <row r="716" ht="15.75" customHeight="1">
      <c r="A716" s="4"/>
      <c r="B716" s="4"/>
      <c r="C716" s="8"/>
      <c r="D716" s="4"/>
      <c r="E716" s="4"/>
      <c r="F716" s="8"/>
      <c r="G716" s="4"/>
      <c r="H716" s="4"/>
      <c r="I716" s="8"/>
      <c r="J716" s="4"/>
      <c r="K716" s="4"/>
      <c r="L716" s="8"/>
      <c r="M716" s="4"/>
      <c r="N716" s="4"/>
      <c r="O716" s="8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</row>
    <row r="717" ht="15.75" customHeight="1">
      <c r="A717" s="4"/>
      <c r="B717" s="4"/>
      <c r="C717" s="8"/>
      <c r="D717" s="4"/>
      <c r="E717" s="4"/>
      <c r="F717" s="8"/>
      <c r="G717" s="4"/>
      <c r="H717" s="4"/>
      <c r="I717" s="8"/>
      <c r="J717" s="4"/>
      <c r="K717" s="4"/>
      <c r="L717" s="8"/>
      <c r="M717" s="4"/>
      <c r="N717" s="4"/>
      <c r="O717" s="8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</row>
    <row r="718" ht="15.75" customHeight="1">
      <c r="A718" s="4"/>
      <c r="B718" s="4"/>
      <c r="C718" s="8"/>
      <c r="D718" s="4"/>
      <c r="E718" s="4"/>
      <c r="F718" s="8"/>
      <c r="G718" s="4"/>
      <c r="H718" s="4"/>
      <c r="I718" s="8"/>
      <c r="J718" s="4"/>
      <c r="K718" s="4"/>
      <c r="L718" s="8"/>
      <c r="M718" s="4"/>
      <c r="N718" s="4"/>
      <c r="O718" s="8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</row>
    <row r="719" ht="15.75" customHeight="1">
      <c r="A719" s="4"/>
      <c r="B719" s="4"/>
      <c r="C719" s="8"/>
      <c r="D719" s="4"/>
      <c r="E719" s="4"/>
      <c r="F719" s="8"/>
      <c r="G719" s="4"/>
      <c r="H719" s="4"/>
      <c r="I719" s="8"/>
      <c r="J719" s="4"/>
      <c r="K719" s="4"/>
      <c r="L719" s="8"/>
      <c r="M719" s="4"/>
      <c r="N719" s="4"/>
      <c r="O719" s="8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</row>
    <row r="720" ht="15.75" customHeight="1">
      <c r="A720" s="4"/>
      <c r="B720" s="4"/>
      <c r="C720" s="8"/>
      <c r="D720" s="4"/>
      <c r="E720" s="4"/>
      <c r="F720" s="8"/>
      <c r="G720" s="4"/>
      <c r="H720" s="4"/>
      <c r="I720" s="8"/>
      <c r="J720" s="4"/>
      <c r="K720" s="4"/>
      <c r="L720" s="8"/>
      <c r="M720" s="4"/>
      <c r="N720" s="4"/>
      <c r="O720" s="8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</row>
    <row r="721" ht="15.75" customHeight="1">
      <c r="A721" s="4"/>
      <c r="B721" s="4"/>
      <c r="C721" s="8"/>
      <c r="D721" s="4"/>
      <c r="E721" s="4"/>
      <c r="F721" s="8"/>
      <c r="G721" s="4"/>
      <c r="H721" s="4"/>
      <c r="I721" s="8"/>
      <c r="J721" s="4"/>
      <c r="K721" s="4"/>
      <c r="L721" s="8"/>
      <c r="M721" s="4"/>
      <c r="N721" s="4"/>
      <c r="O721" s="8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</row>
    <row r="722" ht="15.75" customHeight="1">
      <c r="A722" s="4"/>
      <c r="B722" s="4"/>
      <c r="C722" s="8"/>
      <c r="D722" s="4"/>
      <c r="E722" s="4"/>
      <c r="F722" s="8"/>
      <c r="G722" s="4"/>
      <c r="H722" s="4"/>
      <c r="I722" s="8"/>
      <c r="J722" s="4"/>
      <c r="K722" s="4"/>
      <c r="L722" s="8"/>
      <c r="M722" s="4"/>
      <c r="N722" s="4"/>
      <c r="O722" s="8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</row>
    <row r="723" ht="15.75" customHeight="1">
      <c r="A723" s="4"/>
      <c r="B723" s="4"/>
      <c r="C723" s="8"/>
      <c r="D723" s="4"/>
      <c r="E723" s="4"/>
      <c r="F723" s="8"/>
      <c r="G723" s="4"/>
      <c r="H723" s="4"/>
      <c r="I723" s="8"/>
      <c r="J723" s="4"/>
      <c r="K723" s="4"/>
      <c r="L723" s="8"/>
      <c r="M723" s="4"/>
      <c r="N723" s="4"/>
      <c r="O723" s="8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</row>
    <row r="724" ht="15.75" customHeight="1">
      <c r="A724" s="4"/>
      <c r="B724" s="4"/>
      <c r="C724" s="8"/>
      <c r="D724" s="4"/>
      <c r="E724" s="4"/>
      <c r="F724" s="8"/>
      <c r="G724" s="4"/>
      <c r="H724" s="4"/>
      <c r="I724" s="8"/>
      <c r="J724" s="4"/>
      <c r="K724" s="4"/>
      <c r="L724" s="8"/>
      <c r="M724" s="4"/>
      <c r="N724" s="4"/>
      <c r="O724" s="8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</row>
    <row r="725" ht="15.75" customHeight="1">
      <c r="A725" s="4"/>
      <c r="B725" s="4"/>
      <c r="C725" s="8"/>
      <c r="D725" s="4"/>
      <c r="E725" s="4"/>
      <c r="F725" s="8"/>
      <c r="G725" s="4"/>
      <c r="H725" s="4"/>
      <c r="I725" s="8"/>
      <c r="J725" s="4"/>
      <c r="K725" s="4"/>
      <c r="L725" s="8"/>
      <c r="M725" s="4"/>
      <c r="N725" s="4"/>
      <c r="O725" s="8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</row>
    <row r="726" ht="15.75" customHeight="1">
      <c r="A726" s="4"/>
      <c r="B726" s="4"/>
      <c r="C726" s="8"/>
      <c r="D726" s="4"/>
      <c r="E726" s="4"/>
      <c r="F726" s="8"/>
      <c r="G726" s="4"/>
      <c r="H726" s="4"/>
      <c r="I726" s="8"/>
      <c r="J726" s="4"/>
      <c r="K726" s="4"/>
      <c r="L726" s="8"/>
      <c r="M726" s="4"/>
      <c r="N726" s="4"/>
      <c r="O726" s="8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</row>
    <row r="727" ht="15.75" customHeight="1">
      <c r="A727" s="4"/>
      <c r="B727" s="4"/>
      <c r="C727" s="8"/>
      <c r="D727" s="4"/>
      <c r="E727" s="4"/>
      <c r="F727" s="8"/>
      <c r="G727" s="4"/>
      <c r="H727" s="4"/>
      <c r="I727" s="8"/>
      <c r="J727" s="4"/>
      <c r="K727" s="4"/>
      <c r="L727" s="8"/>
      <c r="M727" s="4"/>
      <c r="N727" s="4"/>
      <c r="O727" s="8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</row>
    <row r="728" ht="15.75" customHeight="1">
      <c r="A728" s="4"/>
      <c r="B728" s="4"/>
      <c r="C728" s="8"/>
      <c r="D728" s="4"/>
      <c r="E728" s="4"/>
      <c r="F728" s="8"/>
      <c r="G728" s="4"/>
      <c r="H728" s="4"/>
      <c r="I728" s="8"/>
      <c r="J728" s="4"/>
      <c r="K728" s="4"/>
      <c r="L728" s="8"/>
      <c r="M728" s="4"/>
      <c r="N728" s="4"/>
      <c r="O728" s="8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</row>
    <row r="729" ht="15.75" customHeight="1">
      <c r="A729" s="4"/>
      <c r="B729" s="4"/>
      <c r="C729" s="8"/>
      <c r="D729" s="4"/>
      <c r="E729" s="4"/>
      <c r="F729" s="8"/>
      <c r="G729" s="4"/>
      <c r="H729" s="4"/>
      <c r="I729" s="8"/>
      <c r="J729" s="4"/>
      <c r="K729" s="4"/>
      <c r="L729" s="8"/>
      <c r="M729" s="4"/>
      <c r="N729" s="4"/>
      <c r="O729" s="8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</row>
    <row r="730" ht="15.75" customHeight="1">
      <c r="A730" s="4"/>
      <c r="B730" s="4"/>
      <c r="C730" s="8"/>
      <c r="D730" s="4"/>
      <c r="E730" s="4"/>
      <c r="F730" s="8"/>
      <c r="G730" s="4"/>
      <c r="H730" s="4"/>
      <c r="I730" s="8"/>
      <c r="J730" s="4"/>
      <c r="K730" s="4"/>
      <c r="L730" s="8"/>
      <c r="M730" s="4"/>
      <c r="N730" s="4"/>
      <c r="O730" s="8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</row>
    <row r="731" ht="15.75" customHeight="1">
      <c r="A731" s="4"/>
      <c r="B731" s="4"/>
      <c r="C731" s="8"/>
      <c r="D731" s="4"/>
      <c r="E731" s="4"/>
      <c r="F731" s="8"/>
      <c r="G731" s="4"/>
      <c r="H731" s="4"/>
      <c r="I731" s="8"/>
      <c r="J731" s="4"/>
      <c r="K731" s="4"/>
      <c r="L731" s="8"/>
      <c r="M731" s="4"/>
      <c r="N731" s="4"/>
      <c r="O731" s="8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</row>
    <row r="732" ht="15.75" customHeight="1">
      <c r="A732" s="4"/>
      <c r="B732" s="4"/>
      <c r="C732" s="8"/>
      <c r="D732" s="4"/>
      <c r="E732" s="4"/>
      <c r="F732" s="8"/>
      <c r="G732" s="4"/>
      <c r="H732" s="4"/>
      <c r="I732" s="8"/>
      <c r="J732" s="4"/>
      <c r="K732" s="4"/>
      <c r="L732" s="8"/>
      <c r="M732" s="4"/>
      <c r="N732" s="4"/>
      <c r="O732" s="8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</row>
    <row r="733" ht="15.75" customHeight="1">
      <c r="A733" s="4"/>
      <c r="B733" s="4"/>
      <c r="C733" s="8"/>
      <c r="D733" s="4"/>
      <c r="E733" s="4"/>
      <c r="F733" s="8"/>
      <c r="G733" s="4"/>
      <c r="H733" s="4"/>
      <c r="I733" s="8"/>
      <c r="J733" s="4"/>
      <c r="K733" s="4"/>
      <c r="L733" s="8"/>
      <c r="M733" s="4"/>
      <c r="N733" s="4"/>
      <c r="O733" s="8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</row>
    <row r="734" ht="15.75" customHeight="1">
      <c r="A734" s="4"/>
      <c r="B734" s="4"/>
      <c r="C734" s="8"/>
      <c r="D734" s="4"/>
      <c r="E734" s="4"/>
      <c r="F734" s="8"/>
      <c r="G734" s="4"/>
      <c r="H734" s="4"/>
      <c r="I734" s="8"/>
      <c r="J734" s="4"/>
      <c r="K734" s="4"/>
      <c r="L734" s="8"/>
      <c r="M734" s="4"/>
      <c r="N734" s="4"/>
      <c r="O734" s="8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</row>
    <row r="735" ht="15.75" customHeight="1">
      <c r="A735" s="4"/>
      <c r="B735" s="4"/>
      <c r="C735" s="8"/>
      <c r="D735" s="4"/>
      <c r="E735" s="4"/>
      <c r="F735" s="8"/>
      <c r="G735" s="4"/>
      <c r="H735" s="4"/>
      <c r="I735" s="8"/>
      <c r="J735" s="4"/>
      <c r="K735" s="4"/>
      <c r="L735" s="8"/>
      <c r="M735" s="4"/>
      <c r="N735" s="4"/>
      <c r="O735" s="8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</row>
    <row r="736" ht="15.75" customHeight="1">
      <c r="A736" s="4"/>
      <c r="B736" s="4"/>
      <c r="C736" s="8"/>
      <c r="D736" s="4"/>
      <c r="E736" s="4"/>
      <c r="F736" s="8"/>
      <c r="G736" s="4"/>
      <c r="H736" s="4"/>
      <c r="I736" s="8"/>
      <c r="J736" s="4"/>
      <c r="K736" s="4"/>
      <c r="L736" s="8"/>
      <c r="M736" s="4"/>
      <c r="N736" s="4"/>
      <c r="O736" s="8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</row>
    <row r="737" ht="15.75" customHeight="1">
      <c r="A737" s="4"/>
      <c r="B737" s="4"/>
      <c r="C737" s="8"/>
      <c r="D737" s="4"/>
      <c r="E737" s="4"/>
      <c r="F737" s="8"/>
      <c r="G737" s="4"/>
      <c r="H737" s="4"/>
      <c r="I737" s="8"/>
      <c r="J737" s="4"/>
      <c r="K737" s="4"/>
      <c r="L737" s="8"/>
      <c r="M737" s="4"/>
      <c r="N737" s="4"/>
      <c r="O737" s="8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</row>
    <row r="738" ht="15.75" customHeight="1">
      <c r="A738" s="4"/>
      <c r="B738" s="4"/>
      <c r="C738" s="8"/>
      <c r="D738" s="4"/>
      <c r="E738" s="4"/>
      <c r="F738" s="8"/>
      <c r="G738" s="4"/>
      <c r="H738" s="4"/>
      <c r="I738" s="8"/>
      <c r="J738" s="4"/>
      <c r="K738" s="4"/>
      <c r="L738" s="8"/>
      <c r="M738" s="4"/>
      <c r="N738" s="4"/>
      <c r="O738" s="8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</row>
    <row r="739" ht="15.75" customHeight="1">
      <c r="A739" s="4"/>
      <c r="B739" s="4"/>
      <c r="C739" s="8"/>
      <c r="D739" s="4"/>
      <c r="E739" s="4"/>
      <c r="F739" s="8"/>
      <c r="G739" s="4"/>
      <c r="H739" s="4"/>
      <c r="I739" s="8"/>
      <c r="J739" s="4"/>
      <c r="K739" s="4"/>
      <c r="L739" s="8"/>
      <c r="M739" s="4"/>
      <c r="N739" s="4"/>
      <c r="O739" s="8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</row>
    <row r="740" ht="15.75" customHeight="1">
      <c r="A740" s="4"/>
      <c r="B740" s="4"/>
      <c r="C740" s="8"/>
      <c r="D740" s="4"/>
      <c r="E740" s="4"/>
      <c r="F740" s="8"/>
      <c r="G740" s="4"/>
      <c r="H740" s="4"/>
      <c r="I740" s="8"/>
      <c r="J740" s="4"/>
      <c r="K740" s="4"/>
      <c r="L740" s="8"/>
      <c r="M740" s="4"/>
      <c r="N740" s="4"/>
      <c r="O740" s="8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</row>
    <row r="741" ht="15.75" customHeight="1">
      <c r="A741" s="4"/>
      <c r="B741" s="4"/>
      <c r="C741" s="8"/>
      <c r="D741" s="4"/>
      <c r="E741" s="4"/>
      <c r="F741" s="8"/>
      <c r="G741" s="4"/>
      <c r="H741" s="4"/>
      <c r="I741" s="8"/>
      <c r="J741" s="4"/>
      <c r="K741" s="4"/>
      <c r="L741" s="8"/>
      <c r="M741" s="4"/>
      <c r="N741" s="4"/>
      <c r="O741" s="8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</row>
    <row r="742" ht="15.75" customHeight="1">
      <c r="A742" s="4"/>
      <c r="B742" s="4"/>
      <c r="C742" s="8"/>
      <c r="D742" s="4"/>
      <c r="E742" s="4"/>
      <c r="F742" s="8"/>
      <c r="G742" s="4"/>
      <c r="H742" s="4"/>
      <c r="I742" s="8"/>
      <c r="J742" s="4"/>
      <c r="K742" s="4"/>
      <c r="L742" s="8"/>
      <c r="M742" s="4"/>
      <c r="N742" s="4"/>
      <c r="O742" s="8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</row>
    <row r="743" ht="15.75" customHeight="1">
      <c r="A743" s="4"/>
      <c r="B743" s="4"/>
      <c r="C743" s="8"/>
      <c r="D743" s="4"/>
      <c r="E743" s="4"/>
      <c r="F743" s="8"/>
      <c r="G743" s="4"/>
      <c r="H743" s="4"/>
      <c r="I743" s="8"/>
      <c r="J743" s="4"/>
      <c r="K743" s="4"/>
      <c r="L743" s="8"/>
      <c r="M743" s="4"/>
      <c r="N743" s="4"/>
      <c r="O743" s="8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</row>
    <row r="744" ht="15.75" customHeight="1">
      <c r="A744" s="4"/>
      <c r="B744" s="4"/>
      <c r="C744" s="8"/>
      <c r="D744" s="4"/>
      <c r="E744" s="4"/>
      <c r="F744" s="8"/>
      <c r="G744" s="4"/>
      <c r="H744" s="4"/>
      <c r="I744" s="8"/>
      <c r="J744" s="4"/>
      <c r="K744" s="4"/>
      <c r="L744" s="8"/>
      <c r="M744" s="4"/>
      <c r="N744" s="4"/>
      <c r="O744" s="8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</row>
    <row r="745" ht="15.75" customHeight="1">
      <c r="A745" s="4"/>
      <c r="B745" s="4"/>
      <c r="C745" s="8"/>
      <c r="D745" s="4"/>
      <c r="E745" s="4"/>
      <c r="F745" s="8"/>
      <c r="G745" s="4"/>
      <c r="H745" s="4"/>
      <c r="I745" s="8"/>
      <c r="J745" s="4"/>
      <c r="K745" s="4"/>
      <c r="L745" s="8"/>
      <c r="M745" s="4"/>
      <c r="N745" s="4"/>
      <c r="O745" s="8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</row>
    <row r="746" ht="15.75" customHeight="1">
      <c r="A746" s="4"/>
      <c r="B746" s="4"/>
      <c r="C746" s="8"/>
      <c r="D746" s="4"/>
      <c r="E746" s="4"/>
      <c r="F746" s="8"/>
      <c r="G746" s="4"/>
      <c r="H746" s="4"/>
      <c r="I746" s="8"/>
      <c r="J746" s="4"/>
      <c r="K746" s="4"/>
      <c r="L746" s="8"/>
      <c r="M746" s="4"/>
      <c r="N746" s="4"/>
      <c r="O746" s="8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</row>
    <row r="747" ht="15.75" customHeight="1">
      <c r="A747" s="4"/>
      <c r="B747" s="4"/>
      <c r="C747" s="8"/>
      <c r="D747" s="4"/>
      <c r="E747" s="4"/>
      <c r="F747" s="8"/>
      <c r="G747" s="4"/>
      <c r="H747" s="4"/>
      <c r="I747" s="8"/>
      <c r="J747" s="4"/>
      <c r="K747" s="4"/>
      <c r="L747" s="8"/>
      <c r="M747" s="4"/>
      <c r="N747" s="4"/>
      <c r="O747" s="8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</row>
    <row r="748" ht="15.75" customHeight="1">
      <c r="A748" s="4"/>
      <c r="B748" s="4"/>
      <c r="C748" s="8"/>
      <c r="D748" s="4"/>
      <c r="E748" s="4"/>
      <c r="F748" s="8"/>
      <c r="G748" s="4"/>
      <c r="H748" s="4"/>
      <c r="I748" s="8"/>
      <c r="J748" s="4"/>
      <c r="K748" s="4"/>
      <c r="L748" s="8"/>
      <c r="M748" s="4"/>
      <c r="N748" s="4"/>
      <c r="O748" s="8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</row>
    <row r="749" ht="15.75" customHeight="1">
      <c r="A749" s="4"/>
      <c r="B749" s="4"/>
      <c r="C749" s="8"/>
      <c r="D749" s="4"/>
      <c r="E749" s="4"/>
      <c r="F749" s="8"/>
      <c r="G749" s="4"/>
      <c r="H749" s="4"/>
      <c r="I749" s="8"/>
      <c r="J749" s="4"/>
      <c r="K749" s="4"/>
      <c r="L749" s="8"/>
      <c r="M749" s="4"/>
      <c r="N749" s="4"/>
      <c r="O749" s="8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</row>
    <row r="750" ht="15.75" customHeight="1">
      <c r="A750" s="4"/>
      <c r="B750" s="4"/>
      <c r="C750" s="8"/>
      <c r="D750" s="4"/>
      <c r="E750" s="4"/>
      <c r="F750" s="8"/>
      <c r="G750" s="4"/>
      <c r="H750" s="4"/>
      <c r="I750" s="8"/>
      <c r="J750" s="4"/>
      <c r="K750" s="4"/>
      <c r="L750" s="8"/>
      <c r="M750" s="4"/>
      <c r="N750" s="4"/>
      <c r="O750" s="8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</row>
    <row r="751" ht="15.75" customHeight="1">
      <c r="A751" s="4"/>
      <c r="B751" s="4"/>
      <c r="C751" s="8"/>
      <c r="D751" s="4"/>
      <c r="E751" s="4"/>
      <c r="F751" s="8"/>
      <c r="G751" s="4"/>
      <c r="H751" s="4"/>
      <c r="I751" s="8"/>
      <c r="J751" s="4"/>
      <c r="K751" s="4"/>
      <c r="L751" s="8"/>
      <c r="M751" s="4"/>
      <c r="N751" s="4"/>
      <c r="O751" s="8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</row>
    <row r="752" ht="15.75" customHeight="1">
      <c r="A752" s="4"/>
      <c r="B752" s="4"/>
      <c r="C752" s="8"/>
      <c r="D752" s="4"/>
      <c r="E752" s="4"/>
      <c r="F752" s="8"/>
      <c r="G752" s="4"/>
      <c r="H752" s="4"/>
      <c r="I752" s="8"/>
      <c r="J752" s="4"/>
      <c r="K752" s="4"/>
      <c r="L752" s="8"/>
      <c r="M752" s="4"/>
      <c r="N752" s="4"/>
      <c r="O752" s="8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</row>
    <row r="753" ht="15.75" customHeight="1">
      <c r="A753" s="4"/>
      <c r="B753" s="4"/>
      <c r="C753" s="8"/>
      <c r="D753" s="4"/>
      <c r="E753" s="4"/>
      <c r="F753" s="8"/>
      <c r="G753" s="4"/>
      <c r="H753" s="4"/>
      <c r="I753" s="8"/>
      <c r="J753" s="4"/>
      <c r="K753" s="4"/>
      <c r="L753" s="8"/>
      <c r="M753" s="4"/>
      <c r="N753" s="4"/>
      <c r="O753" s="8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</row>
    <row r="754" ht="15.75" customHeight="1">
      <c r="A754" s="4"/>
      <c r="B754" s="4"/>
      <c r="C754" s="8"/>
      <c r="D754" s="4"/>
      <c r="E754" s="4"/>
      <c r="F754" s="8"/>
      <c r="G754" s="4"/>
      <c r="H754" s="4"/>
      <c r="I754" s="8"/>
      <c r="J754" s="4"/>
      <c r="K754" s="4"/>
      <c r="L754" s="8"/>
      <c r="M754" s="4"/>
      <c r="N754" s="4"/>
      <c r="O754" s="8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</row>
    <row r="755" ht="15.75" customHeight="1">
      <c r="A755" s="4"/>
      <c r="B755" s="4"/>
      <c r="C755" s="8"/>
      <c r="D755" s="4"/>
      <c r="E755" s="4"/>
      <c r="F755" s="8"/>
      <c r="G755" s="4"/>
      <c r="H755" s="4"/>
      <c r="I755" s="8"/>
      <c r="J755" s="4"/>
      <c r="K755" s="4"/>
      <c r="L755" s="8"/>
      <c r="M755" s="4"/>
      <c r="N755" s="4"/>
      <c r="O755" s="8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</row>
    <row r="756" ht="15.75" customHeight="1">
      <c r="A756" s="4"/>
      <c r="B756" s="4"/>
      <c r="C756" s="8"/>
      <c r="D756" s="4"/>
      <c r="E756" s="4"/>
      <c r="F756" s="8"/>
      <c r="G756" s="4"/>
      <c r="H756" s="4"/>
      <c r="I756" s="8"/>
      <c r="J756" s="4"/>
      <c r="K756" s="4"/>
      <c r="L756" s="8"/>
      <c r="M756" s="4"/>
      <c r="N756" s="4"/>
      <c r="O756" s="8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</row>
    <row r="757" ht="15.75" customHeight="1">
      <c r="A757" s="4"/>
      <c r="B757" s="4"/>
      <c r="C757" s="8"/>
      <c r="D757" s="4"/>
      <c r="E757" s="4"/>
      <c r="F757" s="8"/>
      <c r="G757" s="4"/>
      <c r="H757" s="4"/>
      <c r="I757" s="8"/>
      <c r="J757" s="4"/>
      <c r="K757" s="4"/>
      <c r="L757" s="8"/>
      <c r="M757" s="4"/>
      <c r="N757" s="4"/>
      <c r="O757" s="8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</row>
    <row r="758" ht="15.75" customHeight="1">
      <c r="A758" s="4"/>
      <c r="B758" s="4"/>
      <c r="C758" s="8"/>
      <c r="D758" s="4"/>
      <c r="E758" s="4"/>
      <c r="F758" s="8"/>
      <c r="G758" s="4"/>
      <c r="H758" s="4"/>
      <c r="I758" s="8"/>
      <c r="J758" s="4"/>
      <c r="K758" s="4"/>
      <c r="L758" s="8"/>
      <c r="M758" s="4"/>
      <c r="N758" s="4"/>
      <c r="O758" s="8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</row>
    <row r="759" ht="15.75" customHeight="1">
      <c r="A759" s="4"/>
      <c r="B759" s="4"/>
      <c r="C759" s="8"/>
      <c r="D759" s="4"/>
      <c r="E759" s="4"/>
      <c r="F759" s="8"/>
      <c r="G759" s="4"/>
      <c r="H759" s="4"/>
      <c r="I759" s="8"/>
      <c r="J759" s="4"/>
      <c r="K759" s="4"/>
      <c r="L759" s="8"/>
      <c r="M759" s="4"/>
      <c r="N759" s="4"/>
      <c r="O759" s="8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</row>
    <row r="760" ht="15.75" customHeight="1">
      <c r="A760" s="4"/>
      <c r="B760" s="4"/>
      <c r="C760" s="8"/>
      <c r="D760" s="4"/>
      <c r="E760" s="4"/>
      <c r="F760" s="8"/>
      <c r="G760" s="4"/>
      <c r="H760" s="4"/>
      <c r="I760" s="8"/>
      <c r="J760" s="4"/>
      <c r="K760" s="4"/>
      <c r="L760" s="8"/>
      <c r="M760" s="4"/>
      <c r="N760" s="4"/>
      <c r="O760" s="8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</row>
    <row r="761" ht="15.75" customHeight="1">
      <c r="A761" s="4"/>
      <c r="B761" s="4"/>
      <c r="C761" s="8"/>
      <c r="D761" s="4"/>
      <c r="E761" s="4"/>
      <c r="F761" s="8"/>
      <c r="G761" s="4"/>
      <c r="H761" s="4"/>
      <c r="I761" s="8"/>
      <c r="J761" s="4"/>
      <c r="K761" s="4"/>
      <c r="L761" s="8"/>
      <c r="M761" s="4"/>
      <c r="N761" s="4"/>
      <c r="O761" s="8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</row>
    <row r="762" ht="15.75" customHeight="1">
      <c r="A762" s="4"/>
      <c r="B762" s="4"/>
      <c r="C762" s="8"/>
      <c r="D762" s="4"/>
      <c r="E762" s="4"/>
      <c r="F762" s="8"/>
      <c r="G762" s="4"/>
      <c r="H762" s="4"/>
      <c r="I762" s="8"/>
      <c r="J762" s="4"/>
      <c r="K762" s="4"/>
      <c r="L762" s="8"/>
      <c r="M762" s="4"/>
      <c r="N762" s="4"/>
      <c r="O762" s="8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</row>
    <row r="763" ht="15.75" customHeight="1">
      <c r="A763" s="4"/>
      <c r="B763" s="4"/>
      <c r="C763" s="8"/>
      <c r="D763" s="4"/>
      <c r="E763" s="4"/>
      <c r="F763" s="8"/>
      <c r="G763" s="4"/>
      <c r="H763" s="4"/>
      <c r="I763" s="8"/>
      <c r="J763" s="4"/>
      <c r="K763" s="4"/>
      <c r="L763" s="8"/>
      <c r="M763" s="4"/>
      <c r="N763" s="4"/>
      <c r="O763" s="8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</row>
    <row r="764" ht="15.75" customHeight="1">
      <c r="A764" s="4"/>
      <c r="B764" s="4"/>
      <c r="C764" s="8"/>
      <c r="D764" s="4"/>
      <c r="E764" s="4"/>
      <c r="F764" s="8"/>
      <c r="G764" s="4"/>
      <c r="H764" s="4"/>
      <c r="I764" s="8"/>
      <c r="J764" s="4"/>
      <c r="K764" s="4"/>
      <c r="L764" s="8"/>
      <c r="M764" s="4"/>
      <c r="N764" s="4"/>
      <c r="O764" s="8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</row>
    <row r="765" ht="15.75" customHeight="1">
      <c r="A765" s="4"/>
      <c r="B765" s="4"/>
      <c r="C765" s="8"/>
      <c r="D765" s="4"/>
      <c r="E765" s="4"/>
      <c r="F765" s="8"/>
      <c r="G765" s="4"/>
      <c r="H765" s="4"/>
      <c r="I765" s="8"/>
      <c r="J765" s="4"/>
      <c r="K765" s="4"/>
      <c r="L765" s="8"/>
      <c r="M765" s="4"/>
      <c r="N765" s="4"/>
      <c r="O765" s="8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</row>
    <row r="766" ht="15.75" customHeight="1">
      <c r="A766" s="4"/>
      <c r="B766" s="4"/>
      <c r="C766" s="8"/>
      <c r="D766" s="4"/>
      <c r="E766" s="4"/>
      <c r="F766" s="8"/>
      <c r="G766" s="4"/>
      <c r="H766" s="4"/>
      <c r="I766" s="8"/>
      <c r="J766" s="4"/>
      <c r="K766" s="4"/>
      <c r="L766" s="8"/>
      <c r="M766" s="4"/>
      <c r="N766" s="4"/>
      <c r="O766" s="8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</row>
    <row r="767" ht="15.75" customHeight="1">
      <c r="A767" s="4"/>
      <c r="B767" s="4"/>
      <c r="C767" s="8"/>
      <c r="D767" s="4"/>
      <c r="E767" s="4"/>
      <c r="F767" s="8"/>
      <c r="G767" s="4"/>
      <c r="H767" s="4"/>
      <c r="I767" s="8"/>
      <c r="J767" s="4"/>
      <c r="K767" s="4"/>
      <c r="L767" s="8"/>
      <c r="M767" s="4"/>
      <c r="N767" s="4"/>
      <c r="O767" s="8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</row>
    <row r="768" ht="15.75" customHeight="1">
      <c r="A768" s="4"/>
      <c r="B768" s="4"/>
      <c r="C768" s="8"/>
      <c r="D768" s="4"/>
      <c r="E768" s="4"/>
      <c r="F768" s="8"/>
      <c r="G768" s="4"/>
      <c r="H768" s="4"/>
      <c r="I768" s="8"/>
      <c r="J768" s="4"/>
      <c r="K768" s="4"/>
      <c r="L768" s="8"/>
      <c r="M768" s="4"/>
      <c r="N768" s="4"/>
      <c r="O768" s="8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</row>
    <row r="769" ht="15.75" customHeight="1">
      <c r="A769" s="4"/>
      <c r="B769" s="4"/>
      <c r="C769" s="8"/>
      <c r="D769" s="4"/>
      <c r="E769" s="4"/>
      <c r="F769" s="8"/>
      <c r="G769" s="4"/>
      <c r="H769" s="4"/>
      <c r="I769" s="8"/>
      <c r="J769" s="4"/>
      <c r="K769" s="4"/>
      <c r="L769" s="8"/>
      <c r="M769" s="4"/>
      <c r="N769" s="4"/>
      <c r="O769" s="8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</row>
    <row r="770" ht="15.75" customHeight="1">
      <c r="A770" s="4"/>
      <c r="B770" s="4"/>
      <c r="C770" s="8"/>
      <c r="D770" s="4"/>
      <c r="E770" s="4"/>
      <c r="F770" s="8"/>
      <c r="G770" s="4"/>
      <c r="H770" s="4"/>
      <c r="I770" s="8"/>
      <c r="J770" s="4"/>
      <c r="K770" s="4"/>
      <c r="L770" s="8"/>
      <c r="M770" s="4"/>
      <c r="N770" s="4"/>
      <c r="O770" s="8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</row>
    <row r="771" ht="15.75" customHeight="1">
      <c r="A771" s="4"/>
      <c r="B771" s="4"/>
      <c r="C771" s="8"/>
      <c r="D771" s="4"/>
      <c r="E771" s="4"/>
      <c r="F771" s="8"/>
      <c r="G771" s="4"/>
      <c r="H771" s="4"/>
      <c r="I771" s="8"/>
      <c r="J771" s="4"/>
      <c r="K771" s="4"/>
      <c r="L771" s="8"/>
      <c r="M771" s="4"/>
      <c r="N771" s="4"/>
      <c r="O771" s="8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</row>
    <row r="772" ht="15.75" customHeight="1">
      <c r="A772" s="4"/>
      <c r="B772" s="4"/>
      <c r="C772" s="8"/>
      <c r="D772" s="4"/>
      <c r="E772" s="4"/>
      <c r="F772" s="8"/>
      <c r="G772" s="4"/>
      <c r="H772" s="4"/>
      <c r="I772" s="8"/>
      <c r="J772" s="4"/>
      <c r="K772" s="4"/>
      <c r="L772" s="8"/>
      <c r="M772" s="4"/>
      <c r="N772" s="4"/>
      <c r="O772" s="8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</row>
    <row r="773" ht="15.75" customHeight="1">
      <c r="A773" s="4"/>
      <c r="B773" s="4"/>
      <c r="C773" s="8"/>
      <c r="D773" s="4"/>
      <c r="E773" s="4"/>
      <c r="F773" s="8"/>
      <c r="G773" s="4"/>
      <c r="H773" s="4"/>
      <c r="I773" s="8"/>
      <c r="J773" s="4"/>
      <c r="K773" s="4"/>
      <c r="L773" s="8"/>
      <c r="M773" s="4"/>
      <c r="N773" s="4"/>
      <c r="O773" s="8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</row>
    <row r="774" ht="15.75" customHeight="1">
      <c r="A774" s="4"/>
      <c r="B774" s="4"/>
      <c r="C774" s="8"/>
      <c r="D774" s="4"/>
      <c r="E774" s="4"/>
      <c r="F774" s="8"/>
      <c r="G774" s="4"/>
      <c r="H774" s="4"/>
      <c r="I774" s="8"/>
      <c r="J774" s="4"/>
      <c r="K774" s="4"/>
      <c r="L774" s="8"/>
      <c r="M774" s="4"/>
      <c r="N774" s="4"/>
      <c r="O774" s="8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</row>
    <row r="775" ht="15.75" customHeight="1">
      <c r="A775" s="4"/>
      <c r="B775" s="4"/>
      <c r="C775" s="8"/>
      <c r="D775" s="4"/>
      <c r="E775" s="4"/>
      <c r="F775" s="8"/>
      <c r="G775" s="4"/>
      <c r="H775" s="4"/>
      <c r="I775" s="8"/>
      <c r="J775" s="4"/>
      <c r="K775" s="4"/>
      <c r="L775" s="8"/>
      <c r="M775" s="4"/>
      <c r="N775" s="4"/>
      <c r="O775" s="8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</row>
    <row r="776" ht="15.75" customHeight="1">
      <c r="A776" s="4"/>
      <c r="B776" s="4"/>
      <c r="C776" s="8"/>
      <c r="D776" s="4"/>
      <c r="E776" s="4"/>
      <c r="F776" s="8"/>
      <c r="G776" s="4"/>
      <c r="H776" s="4"/>
      <c r="I776" s="8"/>
      <c r="J776" s="4"/>
      <c r="K776" s="4"/>
      <c r="L776" s="8"/>
      <c r="M776" s="4"/>
      <c r="N776" s="4"/>
      <c r="O776" s="8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</row>
    <row r="777" ht="15.75" customHeight="1">
      <c r="A777" s="4"/>
      <c r="B777" s="4"/>
      <c r="C777" s="8"/>
      <c r="D777" s="4"/>
      <c r="E777" s="4"/>
      <c r="F777" s="8"/>
      <c r="G777" s="4"/>
      <c r="H777" s="4"/>
      <c r="I777" s="8"/>
      <c r="J777" s="4"/>
      <c r="K777" s="4"/>
      <c r="L777" s="8"/>
      <c r="M777" s="4"/>
      <c r="N777" s="4"/>
      <c r="O777" s="8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</row>
    <row r="778" ht="15.75" customHeight="1">
      <c r="A778" s="4"/>
      <c r="B778" s="4"/>
      <c r="C778" s="8"/>
      <c r="D778" s="4"/>
      <c r="E778" s="4"/>
      <c r="F778" s="8"/>
      <c r="G778" s="4"/>
      <c r="H778" s="4"/>
      <c r="I778" s="8"/>
      <c r="J778" s="4"/>
      <c r="K778" s="4"/>
      <c r="L778" s="8"/>
      <c r="M778" s="4"/>
      <c r="N778" s="4"/>
      <c r="O778" s="8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</row>
    <row r="779" ht="15.75" customHeight="1">
      <c r="A779" s="4"/>
      <c r="B779" s="4"/>
      <c r="C779" s="8"/>
      <c r="D779" s="4"/>
      <c r="E779" s="4"/>
      <c r="F779" s="8"/>
      <c r="G779" s="4"/>
      <c r="H779" s="4"/>
      <c r="I779" s="8"/>
      <c r="J779" s="4"/>
      <c r="K779" s="4"/>
      <c r="L779" s="8"/>
      <c r="M779" s="4"/>
      <c r="N779" s="4"/>
      <c r="O779" s="8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</row>
    <row r="780" ht="15.75" customHeight="1">
      <c r="A780" s="4"/>
      <c r="B780" s="4"/>
      <c r="C780" s="8"/>
      <c r="D780" s="4"/>
      <c r="E780" s="4"/>
      <c r="F780" s="8"/>
      <c r="G780" s="4"/>
      <c r="H780" s="4"/>
      <c r="I780" s="8"/>
      <c r="J780" s="4"/>
      <c r="K780" s="4"/>
      <c r="L780" s="8"/>
      <c r="M780" s="4"/>
      <c r="N780" s="4"/>
      <c r="O780" s="8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</row>
    <row r="781" ht="15.75" customHeight="1">
      <c r="A781" s="4"/>
      <c r="B781" s="4"/>
      <c r="C781" s="8"/>
      <c r="D781" s="4"/>
      <c r="E781" s="4"/>
      <c r="F781" s="8"/>
      <c r="G781" s="4"/>
      <c r="H781" s="4"/>
      <c r="I781" s="8"/>
      <c r="J781" s="4"/>
      <c r="K781" s="4"/>
      <c r="L781" s="8"/>
      <c r="M781" s="4"/>
      <c r="N781" s="4"/>
      <c r="O781" s="8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</row>
    <row r="782" ht="15.75" customHeight="1">
      <c r="A782" s="4"/>
      <c r="B782" s="4"/>
      <c r="C782" s="8"/>
      <c r="D782" s="4"/>
      <c r="E782" s="4"/>
      <c r="F782" s="8"/>
      <c r="G782" s="4"/>
      <c r="H782" s="4"/>
      <c r="I782" s="8"/>
      <c r="J782" s="4"/>
      <c r="K782" s="4"/>
      <c r="L782" s="8"/>
      <c r="M782" s="4"/>
      <c r="N782" s="4"/>
      <c r="O782" s="8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</row>
    <row r="783" ht="15.75" customHeight="1">
      <c r="A783" s="4"/>
      <c r="B783" s="4"/>
      <c r="C783" s="8"/>
      <c r="D783" s="4"/>
      <c r="E783" s="4"/>
      <c r="F783" s="8"/>
      <c r="G783" s="4"/>
      <c r="H783" s="4"/>
      <c r="I783" s="8"/>
      <c r="J783" s="4"/>
      <c r="K783" s="4"/>
      <c r="L783" s="8"/>
      <c r="M783" s="4"/>
      <c r="N783" s="4"/>
      <c r="O783" s="8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</row>
    <row r="784" ht="15.75" customHeight="1">
      <c r="A784" s="4"/>
      <c r="B784" s="4"/>
      <c r="C784" s="8"/>
      <c r="D784" s="4"/>
      <c r="E784" s="4"/>
      <c r="F784" s="8"/>
      <c r="G784" s="4"/>
      <c r="H784" s="4"/>
      <c r="I784" s="8"/>
      <c r="J784" s="4"/>
      <c r="K784" s="4"/>
      <c r="L784" s="8"/>
      <c r="M784" s="4"/>
      <c r="N784" s="4"/>
      <c r="O784" s="8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</row>
    <row r="785" ht="15.75" customHeight="1">
      <c r="A785" s="4"/>
      <c r="B785" s="4"/>
      <c r="C785" s="8"/>
      <c r="D785" s="4"/>
      <c r="E785" s="4"/>
      <c r="F785" s="8"/>
      <c r="G785" s="4"/>
      <c r="H785" s="4"/>
      <c r="I785" s="8"/>
      <c r="J785" s="4"/>
      <c r="K785" s="4"/>
      <c r="L785" s="8"/>
      <c r="M785" s="4"/>
      <c r="N785" s="4"/>
      <c r="O785" s="8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</row>
    <row r="786" ht="15.75" customHeight="1">
      <c r="A786" s="4"/>
      <c r="B786" s="4"/>
      <c r="C786" s="8"/>
      <c r="D786" s="4"/>
      <c r="E786" s="4"/>
      <c r="F786" s="8"/>
      <c r="G786" s="4"/>
      <c r="H786" s="4"/>
      <c r="I786" s="8"/>
      <c r="J786" s="4"/>
      <c r="K786" s="4"/>
      <c r="L786" s="8"/>
      <c r="M786" s="4"/>
      <c r="N786" s="4"/>
      <c r="O786" s="8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</row>
    <row r="787" ht="15.75" customHeight="1">
      <c r="A787" s="4"/>
      <c r="B787" s="4"/>
      <c r="C787" s="8"/>
      <c r="D787" s="4"/>
      <c r="E787" s="4"/>
      <c r="F787" s="8"/>
      <c r="G787" s="4"/>
      <c r="H787" s="4"/>
      <c r="I787" s="8"/>
      <c r="J787" s="4"/>
      <c r="K787" s="4"/>
      <c r="L787" s="8"/>
      <c r="M787" s="4"/>
      <c r="N787" s="4"/>
      <c r="O787" s="8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</row>
    <row r="788" ht="15.75" customHeight="1">
      <c r="A788" s="4"/>
      <c r="B788" s="4"/>
      <c r="C788" s="8"/>
      <c r="D788" s="4"/>
      <c r="E788" s="4"/>
      <c r="F788" s="8"/>
      <c r="G788" s="4"/>
      <c r="H788" s="4"/>
      <c r="I788" s="8"/>
      <c r="J788" s="4"/>
      <c r="K788" s="4"/>
      <c r="L788" s="8"/>
      <c r="M788" s="4"/>
      <c r="N788" s="4"/>
      <c r="O788" s="8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</row>
    <row r="789" ht="15.75" customHeight="1">
      <c r="A789" s="4"/>
      <c r="B789" s="4"/>
      <c r="C789" s="8"/>
      <c r="D789" s="4"/>
      <c r="E789" s="4"/>
      <c r="F789" s="8"/>
      <c r="G789" s="4"/>
      <c r="H789" s="4"/>
      <c r="I789" s="8"/>
      <c r="J789" s="4"/>
      <c r="K789" s="4"/>
      <c r="L789" s="8"/>
      <c r="M789" s="4"/>
      <c r="N789" s="4"/>
      <c r="O789" s="8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</row>
    <row r="790" ht="15.75" customHeight="1">
      <c r="A790" s="4"/>
      <c r="B790" s="4"/>
      <c r="C790" s="8"/>
      <c r="D790" s="4"/>
      <c r="E790" s="4"/>
      <c r="F790" s="8"/>
      <c r="G790" s="4"/>
      <c r="H790" s="4"/>
      <c r="I790" s="8"/>
      <c r="J790" s="4"/>
      <c r="K790" s="4"/>
      <c r="L790" s="8"/>
      <c r="M790" s="4"/>
      <c r="N790" s="4"/>
      <c r="O790" s="8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</row>
    <row r="791" ht="15.75" customHeight="1">
      <c r="A791" s="4"/>
      <c r="B791" s="4"/>
      <c r="C791" s="8"/>
      <c r="D791" s="4"/>
      <c r="E791" s="4"/>
      <c r="F791" s="8"/>
      <c r="G791" s="4"/>
      <c r="H791" s="4"/>
      <c r="I791" s="8"/>
      <c r="J791" s="4"/>
      <c r="K791" s="4"/>
      <c r="L791" s="8"/>
      <c r="M791" s="4"/>
      <c r="N791" s="4"/>
      <c r="O791" s="8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</row>
    <row r="792" ht="15.75" customHeight="1">
      <c r="A792" s="4"/>
      <c r="B792" s="4"/>
      <c r="C792" s="8"/>
      <c r="D792" s="4"/>
      <c r="E792" s="4"/>
      <c r="F792" s="8"/>
      <c r="G792" s="4"/>
      <c r="H792" s="4"/>
      <c r="I792" s="8"/>
      <c r="J792" s="4"/>
      <c r="K792" s="4"/>
      <c r="L792" s="8"/>
      <c r="M792" s="4"/>
      <c r="N792" s="4"/>
      <c r="O792" s="8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</row>
    <row r="793" ht="15.75" customHeight="1">
      <c r="A793" s="4"/>
      <c r="B793" s="4"/>
      <c r="C793" s="8"/>
      <c r="D793" s="4"/>
      <c r="E793" s="4"/>
      <c r="F793" s="8"/>
      <c r="G793" s="4"/>
      <c r="H793" s="4"/>
      <c r="I793" s="8"/>
      <c r="J793" s="4"/>
      <c r="K793" s="4"/>
      <c r="L793" s="8"/>
      <c r="M793" s="4"/>
      <c r="N793" s="4"/>
      <c r="O793" s="8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</row>
    <row r="794" ht="15.75" customHeight="1">
      <c r="A794" s="4"/>
      <c r="B794" s="4"/>
      <c r="C794" s="8"/>
      <c r="D794" s="4"/>
      <c r="E794" s="4"/>
      <c r="F794" s="8"/>
      <c r="G794" s="4"/>
      <c r="H794" s="4"/>
      <c r="I794" s="8"/>
      <c r="J794" s="4"/>
      <c r="K794" s="4"/>
      <c r="L794" s="8"/>
      <c r="M794" s="4"/>
      <c r="N794" s="4"/>
      <c r="O794" s="8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</row>
    <row r="795" ht="15.75" customHeight="1">
      <c r="A795" s="4"/>
      <c r="B795" s="4"/>
      <c r="C795" s="8"/>
      <c r="D795" s="4"/>
      <c r="E795" s="4"/>
      <c r="F795" s="8"/>
      <c r="G795" s="4"/>
      <c r="H795" s="4"/>
      <c r="I795" s="8"/>
      <c r="J795" s="4"/>
      <c r="K795" s="4"/>
      <c r="L795" s="8"/>
      <c r="M795" s="4"/>
      <c r="N795" s="4"/>
      <c r="O795" s="8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</row>
    <row r="796" ht="15.75" customHeight="1">
      <c r="A796" s="4"/>
      <c r="B796" s="4"/>
      <c r="C796" s="8"/>
      <c r="D796" s="4"/>
      <c r="E796" s="4"/>
      <c r="F796" s="8"/>
      <c r="G796" s="4"/>
      <c r="H796" s="4"/>
      <c r="I796" s="8"/>
      <c r="J796" s="4"/>
      <c r="K796" s="4"/>
      <c r="L796" s="8"/>
      <c r="M796" s="4"/>
      <c r="N796" s="4"/>
      <c r="O796" s="8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</row>
    <row r="797" ht="15.75" customHeight="1">
      <c r="A797" s="4"/>
      <c r="B797" s="4"/>
      <c r="C797" s="8"/>
      <c r="D797" s="4"/>
      <c r="E797" s="4"/>
      <c r="F797" s="8"/>
      <c r="G797" s="4"/>
      <c r="H797" s="4"/>
      <c r="I797" s="8"/>
      <c r="J797" s="4"/>
      <c r="K797" s="4"/>
      <c r="L797" s="8"/>
      <c r="M797" s="4"/>
      <c r="N797" s="4"/>
      <c r="O797" s="8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</row>
    <row r="798" ht="15.75" customHeight="1">
      <c r="A798" s="4"/>
      <c r="B798" s="4"/>
      <c r="C798" s="8"/>
      <c r="D798" s="4"/>
      <c r="E798" s="4"/>
      <c r="F798" s="8"/>
      <c r="G798" s="4"/>
      <c r="H798" s="4"/>
      <c r="I798" s="8"/>
      <c r="J798" s="4"/>
      <c r="K798" s="4"/>
      <c r="L798" s="8"/>
      <c r="M798" s="4"/>
      <c r="N798" s="4"/>
      <c r="O798" s="8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</row>
    <row r="799" ht="15.75" customHeight="1">
      <c r="A799" s="4"/>
      <c r="B799" s="4"/>
      <c r="C799" s="8"/>
      <c r="D799" s="4"/>
      <c r="E799" s="4"/>
      <c r="F799" s="8"/>
      <c r="G799" s="4"/>
      <c r="H799" s="4"/>
      <c r="I799" s="8"/>
      <c r="J799" s="4"/>
      <c r="K799" s="4"/>
      <c r="L799" s="8"/>
      <c r="M799" s="4"/>
      <c r="N799" s="4"/>
      <c r="O799" s="8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</row>
    <row r="800" ht="15.75" customHeight="1">
      <c r="A800" s="4"/>
      <c r="B800" s="4"/>
      <c r="C800" s="8"/>
      <c r="D800" s="4"/>
      <c r="E800" s="4"/>
      <c r="F800" s="8"/>
      <c r="G800" s="4"/>
      <c r="H800" s="4"/>
      <c r="I800" s="8"/>
      <c r="J800" s="4"/>
      <c r="K800" s="4"/>
      <c r="L800" s="8"/>
      <c r="M800" s="4"/>
      <c r="N800" s="4"/>
      <c r="O800" s="8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</row>
    <row r="801" ht="15.75" customHeight="1">
      <c r="A801" s="4"/>
      <c r="B801" s="4"/>
      <c r="C801" s="8"/>
      <c r="D801" s="4"/>
      <c r="E801" s="4"/>
      <c r="F801" s="8"/>
      <c r="G801" s="4"/>
      <c r="H801" s="4"/>
      <c r="I801" s="8"/>
      <c r="J801" s="4"/>
      <c r="K801" s="4"/>
      <c r="L801" s="8"/>
      <c r="M801" s="4"/>
      <c r="N801" s="4"/>
      <c r="O801" s="8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</row>
    <row r="802" ht="15.75" customHeight="1">
      <c r="A802" s="4"/>
      <c r="B802" s="4"/>
      <c r="C802" s="8"/>
      <c r="D802" s="4"/>
      <c r="E802" s="4"/>
      <c r="F802" s="8"/>
      <c r="G802" s="4"/>
      <c r="H802" s="4"/>
      <c r="I802" s="8"/>
      <c r="J802" s="4"/>
      <c r="K802" s="4"/>
      <c r="L802" s="8"/>
      <c r="M802" s="4"/>
      <c r="N802" s="4"/>
      <c r="O802" s="8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</row>
    <row r="803" ht="15.75" customHeight="1">
      <c r="A803" s="4"/>
      <c r="B803" s="4"/>
      <c r="C803" s="8"/>
      <c r="D803" s="4"/>
      <c r="E803" s="4"/>
      <c r="F803" s="8"/>
      <c r="G803" s="4"/>
      <c r="H803" s="4"/>
      <c r="I803" s="8"/>
      <c r="J803" s="4"/>
      <c r="K803" s="4"/>
      <c r="L803" s="8"/>
      <c r="M803" s="4"/>
      <c r="N803" s="4"/>
      <c r="O803" s="8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</row>
    <row r="804" ht="15.75" customHeight="1">
      <c r="A804" s="4"/>
      <c r="B804" s="4"/>
      <c r="C804" s="8"/>
      <c r="D804" s="4"/>
      <c r="E804" s="4"/>
      <c r="F804" s="8"/>
      <c r="G804" s="4"/>
      <c r="H804" s="4"/>
      <c r="I804" s="8"/>
      <c r="J804" s="4"/>
      <c r="K804" s="4"/>
      <c r="L804" s="8"/>
      <c r="M804" s="4"/>
      <c r="N804" s="4"/>
      <c r="O804" s="8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</row>
    <row r="805" ht="15.75" customHeight="1">
      <c r="A805" s="4"/>
      <c r="B805" s="4"/>
      <c r="C805" s="8"/>
      <c r="D805" s="4"/>
      <c r="E805" s="4"/>
      <c r="F805" s="8"/>
      <c r="G805" s="4"/>
      <c r="H805" s="4"/>
      <c r="I805" s="8"/>
      <c r="J805" s="4"/>
      <c r="K805" s="4"/>
      <c r="L805" s="8"/>
      <c r="M805" s="4"/>
      <c r="N805" s="4"/>
      <c r="O805" s="8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</row>
    <row r="806" ht="15.75" customHeight="1">
      <c r="A806" s="4"/>
      <c r="B806" s="4"/>
      <c r="C806" s="8"/>
      <c r="D806" s="4"/>
      <c r="E806" s="4"/>
      <c r="F806" s="8"/>
      <c r="G806" s="4"/>
      <c r="H806" s="4"/>
      <c r="I806" s="8"/>
      <c r="J806" s="4"/>
      <c r="K806" s="4"/>
      <c r="L806" s="8"/>
      <c r="M806" s="4"/>
      <c r="N806" s="4"/>
      <c r="O806" s="8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</row>
    <row r="807" ht="15.75" customHeight="1">
      <c r="A807" s="4"/>
      <c r="B807" s="4"/>
      <c r="C807" s="8"/>
      <c r="D807" s="4"/>
      <c r="E807" s="4"/>
      <c r="F807" s="8"/>
      <c r="G807" s="4"/>
      <c r="H807" s="4"/>
      <c r="I807" s="8"/>
      <c r="J807" s="4"/>
      <c r="K807" s="4"/>
      <c r="L807" s="8"/>
      <c r="M807" s="4"/>
      <c r="N807" s="4"/>
      <c r="O807" s="8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</row>
    <row r="808" ht="15.75" customHeight="1">
      <c r="A808" s="4"/>
      <c r="B808" s="4"/>
      <c r="C808" s="8"/>
      <c r="D808" s="4"/>
      <c r="E808" s="4"/>
      <c r="F808" s="8"/>
      <c r="G808" s="4"/>
      <c r="H808" s="4"/>
      <c r="I808" s="8"/>
      <c r="J808" s="4"/>
      <c r="K808" s="4"/>
      <c r="L808" s="8"/>
      <c r="M808" s="4"/>
      <c r="N808" s="4"/>
      <c r="O808" s="8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</row>
    <row r="809" ht="15.75" customHeight="1">
      <c r="A809" s="4"/>
      <c r="B809" s="4"/>
      <c r="C809" s="8"/>
      <c r="D809" s="4"/>
      <c r="E809" s="4"/>
      <c r="F809" s="8"/>
      <c r="G809" s="4"/>
      <c r="H809" s="4"/>
      <c r="I809" s="8"/>
      <c r="J809" s="4"/>
      <c r="K809" s="4"/>
      <c r="L809" s="8"/>
      <c r="M809" s="4"/>
      <c r="N809" s="4"/>
      <c r="O809" s="8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</row>
    <row r="810" ht="15.75" customHeight="1">
      <c r="A810" s="4"/>
      <c r="B810" s="4"/>
      <c r="C810" s="8"/>
      <c r="D810" s="4"/>
      <c r="E810" s="4"/>
      <c r="F810" s="8"/>
      <c r="G810" s="4"/>
      <c r="H810" s="4"/>
      <c r="I810" s="8"/>
      <c r="J810" s="4"/>
      <c r="K810" s="4"/>
      <c r="L810" s="8"/>
      <c r="M810" s="4"/>
      <c r="N810" s="4"/>
      <c r="O810" s="8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</row>
    <row r="811" ht="15.75" customHeight="1">
      <c r="A811" s="4"/>
      <c r="B811" s="4"/>
      <c r="C811" s="8"/>
      <c r="D811" s="4"/>
      <c r="E811" s="4"/>
      <c r="F811" s="8"/>
      <c r="G811" s="4"/>
      <c r="H811" s="4"/>
      <c r="I811" s="8"/>
      <c r="J811" s="4"/>
      <c r="K811" s="4"/>
      <c r="L811" s="8"/>
      <c r="M811" s="4"/>
      <c r="N811" s="4"/>
      <c r="O811" s="8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</row>
    <row r="812" ht="15.75" customHeight="1">
      <c r="A812" s="4"/>
      <c r="B812" s="4"/>
      <c r="C812" s="8"/>
      <c r="D812" s="4"/>
      <c r="E812" s="4"/>
      <c r="F812" s="8"/>
      <c r="G812" s="4"/>
      <c r="H812" s="4"/>
      <c r="I812" s="8"/>
      <c r="J812" s="4"/>
      <c r="K812" s="4"/>
      <c r="L812" s="8"/>
      <c r="M812" s="4"/>
      <c r="N812" s="4"/>
      <c r="O812" s="8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</row>
    <row r="813" ht="15.75" customHeight="1">
      <c r="A813" s="4"/>
      <c r="B813" s="4"/>
      <c r="C813" s="8"/>
      <c r="D813" s="4"/>
      <c r="E813" s="4"/>
      <c r="F813" s="8"/>
      <c r="G813" s="4"/>
      <c r="H813" s="4"/>
      <c r="I813" s="8"/>
      <c r="J813" s="4"/>
      <c r="K813" s="4"/>
      <c r="L813" s="8"/>
      <c r="M813" s="4"/>
      <c r="N813" s="4"/>
      <c r="O813" s="8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</row>
    <row r="814" ht="15.75" customHeight="1">
      <c r="A814" s="4"/>
      <c r="B814" s="4"/>
      <c r="C814" s="8"/>
      <c r="D814" s="4"/>
      <c r="E814" s="4"/>
      <c r="F814" s="8"/>
      <c r="G814" s="4"/>
      <c r="H814" s="4"/>
      <c r="I814" s="8"/>
      <c r="J814" s="4"/>
      <c r="K814" s="4"/>
      <c r="L814" s="8"/>
      <c r="M814" s="4"/>
      <c r="N814" s="4"/>
      <c r="O814" s="8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</row>
    <row r="815" ht="15.75" customHeight="1">
      <c r="A815" s="4"/>
      <c r="B815" s="4"/>
      <c r="C815" s="8"/>
      <c r="D815" s="4"/>
      <c r="E815" s="4"/>
      <c r="F815" s="8"/>
      <c r="G815" s="4"/>
      <c r="H815" s="4"/>
      <c r="I815" s="8"/>
      <c r="J815" s="4"/>
      <c r="K815" s="4"/>
      <c r="L815" s="8"/>
      <c r="M815" s="4"/>
      <c r="N815" s="4"/>
      <c r="O815" s="8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</row>
    <row r="816" ht="15.75" customHeight="1">
      <c r="A816" s="4"/>
      <c r="B816" s="4"/>
      <c r="C816" s="8"/>
      <c r="D816" s="4"/>
      <c r="E816" s="4"/>
      <c r="F816" s="8"/>
      <c r="G816" s="4"/>
      <c r="H816" s="4"/>
      <c r="I816" s="8"/>
      <c r="J816" s="4"/>
      <c r="K816" s="4"/>
      <c r="L816" s="8"/>
      <c r="M816" s="4"/>
      <c r="N816" s="4"/>
      <c r="O816" s="8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</row>
    <row r="817" ht="15.75" customHeight="1">
      <c r="A817" s="4"/>
      <c r="B817" s="4"/>
      <c r="C817" s="8"/>
      <c r="D817" s="4"/>
      <c r="E817" s="4"/>
      <c r="F817" s="8"/>
      <c r="G817" s="4"/>
      <c r="H817" s="4"/>
      <c r="I817" s="8"/>
      <c r="J817" s="4"/>
      <c r="K817" s="4"/>
      <c r="L817" s="8"/>
      <c r="M817" s="4"/>
      <c r="N817" s="4"/>
      <c r="O817" s="8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</row>
    <row r="818" ht="15.75" customHeight="1">
      <c r="A818" s="4"/>
      <c r="B818" s="4"/>
      <c r="C818" s="8"/>
      <c r="D818" s="4"/>
      <c r="E818" s="4"/>
      <c r="F818" s="8"/>
      <c r="G818" s="4"/>
      <c r="H818" s="4"/>
      <c r="I818" s="8"/>
      <c r="J818" s="4"/>
      <c r="K818" s="4"/>
      <c r="L818" s="8"/>
      <c r="M818" s="4"/>
      <c r="N818" s="4"/>
      <c r="O818" s="8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</row>
    <row r="819" ht="15.75" customHeight="1">
      <c r="A819" s="4"/>
      <c r="B819" s="4"/>
      <c r="C819" s="8"/>
      <c r="D819" s="4"/>
      <c r="E819" s="4"/>
      <c r="F819" s="8"/>
      <c r="G819" s="4"/>
      <c r="H819" s="4"/>
      <c r="I819" s="8"/>
      <c r="J819" s="4"/>
      <c r="K819" s="4"/>
      <c r="L819" s="8"/>
      <c r="M819" s="4"/>
      <c r="N819" s="4"/>
      <c r="O819" s="8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</row>
    <row r="820" ht="15.75" customHeight="1">
      <c r="A820" s="4"/>
      <c r="B820" s="4"/>
      <c r="C820" s="8"/>
      <c r="D820" s="4"/>
      <c r="E820" s="4"/>
      <c r="F820" s="8"/>
      <c r="G820" s="4"/>
      <c r="H820" s="4"/>
      <c r="I820" s="8"/>
      <c r="J820" s="4"/>
      <c r="K820" s="4"/>
      <c r="L820" s="8"/>
      <c r="M820" s="4"/>
      <c r="N820" s="4"/>
      <c r="O820" s="8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</row>
    <row r="821" ht="15.75" customHeight="1">
      <c r="A821" s="4"/>
      <c r="B821" s="4"/>
      <c r="C821" s="8"/>
      <c r="D821" s="4"/>
      <c r="E821" s="4"/>
      <c r="F821" s="8"/>
      <c r="G821" s="4"/>
      <c r="H821" s="4"/>
      <c r="I821" s="8"/>
      <c r="J821" s="4"/>
      <c r="K821" s="4"/>
      <c r="L821" s="8"/>
      <c r="M821" s="4"/>
      <c r="N821" s="4"/>
      <c r="O821" s="8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</row>
    <row r="822" ht="15.75" customHeight="1">
      <c r="A822" s="4"/>
      <c r="B822" s="4"/>
      <c r="C822" s="8"/>
      <c r="D822" s="4"/>
      <c r="E822" s="4"/>
      <c r="F822" s="8"/>
      <c r="G822" s="4"/>
      <c r="H822" s="4"/>
      <c r="I822" s="8"/>
      <c r="J822" s="4"/>
      <c r="K822" s="4"/>
      <c r="L822" s="8"/>
      <c r="M822" s="4"/>
      <c r="N822" s="4"/>
      <c r="O822" s="8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</row>
    <row r="823" ht="15.75" customHeight="1">
      <c r="A823" s="4"/>
      <c r="B823" s="4"/>
      <c r="C823" s="8"/>
      <c r="D823" s="4"/>
      <c r="E823" s="4"/>
      <c r="F823" s="8"/>
      <c r="G823" s="4"/>
      <c r="H823" s="4"/>
      <c r="I823" s="8"/>
      <c r="J823" s="4"/>
      <c r="K823" s="4"/>
      <c r="L823" s="8"/>
      <c r="M823" s="4"/>
      <c r="N823" s="4"/>
      <c r="O823" s="8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</row>
    <row r="824" ht="15.75" customHeight="1">
      <c r="A824" s="4"/>
      <c r="B824" s="4"/>
      <c r="C824" s="8"/>
      <c r="D824" s="4"/>
      <c r="E824" s="4"/>
      <c r="F824" s="8"/>
      <c r="G824" s="4"/>
      <c r="H824" s="4"/>
      <c r="I824" s="8"/>
      <c r="J824" s="4"/>
      <c r="K824" s="4"/>
      <c r="L824" s="8"/>
      <c r="M824" s="4"/>
      <c r="N824" s="4"/>
      <c r="O824" s="8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</row>
    <row r="825" ht="15.75" customHeight="1">
      <c r="A825" s="4"/>
      <c r="B825" s="4"/>
      <c r="C825" s="8"/>
      <c r="D825" s="4"/>
      <c r="E825" s="4"/>
      <c r="F825" s="8"/>
      <c r="G825" s="4"/>
      <c r="H825" s="4"/>
      <c r="I825" s="8"/>
      <c r="J825" s="4"/>
      <c r="K825" s="4"/>
      <c r="L825" s="8"/>
      <c r="M825" s="4"/>
      <c r="N825" s="4"/>
      <c r="O825" s="8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</row>
    <row r="826" ht="15.75" customHeight="1">
      <c r="A826" s="4"/>
      <c r="B826" s="4"/>
      <c r="C826" s="8"/>
      <c r="D826" s="4"/>
      <c r="E826" s="4"/>
      <c r="F826" s="8"/>
      <c r="G826" s="4"/>
      <c r="H826" s="4"/>
      <c r="I826" s="8"/>
      <c r="J826" s="4"/>
      <c r="K826" s="4"/>
      <c r="L826" s="8"/>
      <c r="M826" s="4"/>
      <c r="N826" s="4"/>
      <c r="O826" s="8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</row>
    <row r="827" ht="15.75" customHeight="1">
      <c r="A827" s="4"/>
      <c r="B827" s="4"/>
      <c r="C827" s="8"/>
      <c r="D827" s="4"/>
      <c r="E827" s="4"/>
      <c r="F827" s="8"/>
      <c r="G827" s="4"/>
      <c r="H827" s="4"/>
      <c r="I827" s="8"/>
      <c r="J827" s="4"/>
      <c r="K827" s="4"/>
      <c r="L827" s="8"/>
      <c r="M827" s="4"/>
      <c r="N827" s="4"/>
      <c r="O827" s="8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</row>
    <row r="828" ht="15.75" customHeight="1">
      <c r="A828" s="4"/>
      <c r="B828" s="4"/>
      <c r="C828" s="8"/>
      <c r="D828" s="4"/>
      <c r="E828" s="4"/>
      <c r="F828" s="8"/>
      <c r="G828" s="4"/>
      <c r="H828" s="4"/>
      <c r="I828" s="8"/>
      <c r="J828" s="4"/>
      <c r="K828" s="4"/>
      <c r="L828" s="8"/>
      <c r="M828" s="4"/>
      <c r="N828" s="4"/>
      <c r="O828" s="8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</row>
    <row r="829" ht="15.75" customHeight="1">
      <c r="A829" s="4"/>
      <c r="B829" s="4"/>
      <c r="C829" s="8"/>
      <c r="D829" s="4"/>
      <c r="E829" s="4"/>
      <c r="F829" s="8"/>
      <c r="G829" s="4"/>
      <c r="H829" s="4"/>
      <c r="I829" s="8"/>
      <c r="J829" s="4"/>
      <c r="K829" s="4"/>
      <c r="L829" s="8"/>
      <c r="M829" s="4"/>
      <c r="N829" s="4"/>
      <c r="O829" s="8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</row>
    <row r="830" ht="15.75" customHeight="1">
      <c r="A830" s="4"/>
      <c r="B830" s="4"/>
      <c r="C830" s="8"/>
      <c r="D830" s="4"/>
      <c r="E830" s="4"/>
      <c r="F830" s="8"/>
      <c r="G830" s="4"/>
      <c r="H830" s="4"/>
      <c r="I830" s="8"/>
      <c r="J830" s="4"/>
      <c r="K830" s="4"/>
      <c r="L830" s="8"/>
      <c r="M830" s="4"/>
      <c r="N830" s="4"/>
      <c r="O830" s="8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</row>
    <row r="831" ht="15.75" customHeight="1">
      <c r="A831" s="4"/>
      <c r="B831" s="4"/>
      <c r="C831" s="8"/>
      <c r="D831" s="4"/>
      <c r="E831" s="4"/>
      <c r="F831" s="8"/>
      <c r="G831" s="4"/>
      <c r="H831" s="4"/>
      <c r="I831" s="8"/>
      <c r="J831" s="4"/>
      <c r="K831" s="4"/>
      <c r="L831" s="8"/>
      <c r="M831" s="4"/>
      <c r="N831" s="4"/>
      <c r="O831" s="8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</row>
    <row r="832" ht="15.75" customHeight="1">
      <c r="A832" s="4"/>
      <c r="B832" s="4"/>
      <c r="C832" s="8"/>
      <c r="D832" s="4"/>
      <c r="E832" s="4"/>
      <c r="F832" s="8"/>
      <c r="G832" s="4"/>
      <c r="H832" s="4"/>
      <c r="I832" s="8"/>
      <c r="J832" s="4"/>
      <c r="K832" s="4"/>
      <c r="L832" s="8"/>
      <c r="M832" s="4"/>
      <c r="N832" s="4"/>
      <c r="O832" s="8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</row>
    <row r="833" ht="15.75" customHeight="1">
      <c r="A833" s="4"/>
      <c r="B833" s="4"/>
      <c r="C833" s="8"/>
      <c r="D833" s="4"/>
      <c r="E833" s="4"/>
      <c r="F833" s="8"/>
      <c r="G833" s="4"/>
      <c r="H833" s="4"/>
      <c r="I833" s="8"/>
      <c r="J833" s="4"/>
      <c r="K833" s="4"/>
      <c r="L833" s="8"/>
      <c r="M833" s="4"/>
      <c r="N833" s="4"/>
      <c r="O833" s="8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</row>
    <row r="834" ht="15.75" customHeight="1">
      <c r="A834" s="4"/>
      <c r="B834" s="4"/>
      <c r="C834" s="8"/>
      <c r="D834" s="4"/>
      <c r="E834" s="4"/>
      <c r="F834" s="8"/>
      <c r="G834" s="4"/>
      <c r="H834" s="4"/>
      <c r="I834" s="8"/>
      <c r="J834" s="4"/>
      <c r="K834" s="4"/>
      <c r="L834" s="8"/>
      <c r="M834" s="4"/>
      <c r="N834" s="4"/>
      <c r="O834" s="8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</row>
    <row r="835" ht="15.75" customHeight="1">
      <c r="A835" s="4"/>
      <c r="B835" s="4"/>
      <c r="C835" s="8"/>
      <c r="D835" s="4"/>
      <c r="E835" s="4"/>
      <c r="F835" s="8"/>
      <c r="G835" s="4"/>
      <c r="H835" s="4"/>
      <c r="I835" s="8"/>
      <c r="J835" s="4"/>
      <c r="K835" s="4"/>
      <c r="L835" s="8"/>
      <c r="M835" s="4"/>
      <c r="N835" s="4"/>
      <c r="O835" s="8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</row>
    <row r="836" ht="15.75" customHeight="1">
      <c r="A836" s="4"/>
      <c r="B836" s="4"/>
      <c r="C836" s="8"/>
      <c r="D836" s="4"/>
      <c r="E836" s="4"/>
      <c r="F836" s="8"/>
      <c r="G836" s="4"/>
      <c r="H836" s="4"/>
      <c r="I836" s="8"/>
      <c r="J836" s="4"/>
      <c r="K836" s="4"/>
      <c r="L836" s="8"/>
      <c r="M836" s="4"/>
      <c r="N836" s="4"/>
      <c r="O836" s="8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</row>
    <row r="837" ht="15.75" customHeight="1">
      <c r="A837" s="4"/>
      <c r="B837" s="4"/>
      <c r="C837" s="8"/>
      <c r="D837" s="4"/>
      <c r="E837" s="4"/>
      <c r="F837" s="8"/>
      <c r="G837" s="4"/>
      <c r="H837" s="4"/>
      <c r="I837" s="8"/>
      <c r="J837" s="4"/>
      <c r="K837" s="4"/>
      <c r="L837" s="8"/>
      <c r="M837" s="4"/>
      <c r="N837" s="4"/>
      <c r="O837" s="8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</row>
    <row r="838" ht="15.75" customHeight="1">
      <c r="A838" s="4"/>
      <c r="B838" s="4"/>
      <c r="C838" s="8"/>
      <c r="D838" s="4"/>
      <c r="E838" s="4"/>
      <c r="F838" s="8"/>
      <c r="G838" s="4"/>
      <c r="H838" s="4"/>
      <c r="I838" s="8"/>
      <c r="J838" s="4"/>
      <c r="K838" s="4"/>
      <c r="L838" s="8"/>
      <c r="M838" s="4"/>
      <c r="N838" s="4"/>
      <c r="O838" s="8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</row>
    <row r="839" ht="15.75" customHeight="1">
      <c r="A839" s="4"/>
      <c r="B839" s="4"/>
      <c r="C839" s="8"/>
      <c r="D839" s="4"/>
      <c r="E839" s="4"/>
      <c r="F839" s="8"/>
      <c r="G839" s="4"/>
      <c r="H839" s="4"/>
      <c r="I839" s="8"/>
      <c r="J839" s="4"/>
      <c r="K839" s="4"/>
      <c r="L839" s="8"/>
      <c r="M839" s="4"/>
      <c r="N839" s="4"/>
      <c r="O839" s="8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</row>
    <row r="840" ht="15.75" customHeight="1">
      <c r="A840" s="4"/>
      <c r="B840" s="4"/>
      <c r="C840" s="8"/>
      <c r="D840" s="4"/>
      <c r="E840" s="4"/>
      <c r="F840" s="8"/>
      <c r="G840" s="4"/>
      <c r="H840" s="4"/>
      <c r="I840" s="8"/>
      <c r="J840" s="4"/>
      <c r="K840" s="4"/>
      <c r="L840" s="8"/>
      <c r="M840" s="4"/>
      <c r="N840" s="4"/>
      <c r="O840" s="8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</row>
    <row r="841" ht="15.75" customHeight="1">
      <c r="A841" s="4"/>
      <c r="B841" s="4"/>
      <c r="C841" s="8"/>
      <c r="D841" s="4"/>
      <c r="E841" s="4"/>
      <c r="F841" s="8"/>
      <c r="G841" s="4"/>
      <c r="H841" s="4"/>
      <c r="I841" s="8"/>
      <c r="J841" s="4"/>
      <c r="K841" s="4"/>
      <c r="L841" s="8"/>
      <c r="M841" s="4"/>
      <c r="N841" s="4"/>
      <c r="O841" s="8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</row>
    <row r="842" ht="15.75" customHeight="1">
      <c r="A842" s="4"/>
      <c r="B842" s="4"/>
      <c r="C842" s="8"/>
      <c r="D842" s="4"/>
      <c r="E842" s="4"/>
      <c r="F842" s="8"/>
      <c r="G842" s="4"/>
      <c r="H842" s="4"/>
      <c r="I842" s="8"/>
      <c r="J842" s="4"/>
      <c r="K842" s="4"/>
      <c r="L842" s="8"/>
      <c r="M842" s="4"/>
      <c r="N842" s="4"/>
      <c r="O842" s="8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</row>
    <row r="843" ht="15.75" customHeight="1">
      <c r="A843" s="4"/>
      <c r="B843" s="4"/>
      <c r="C843" s="8"/>
      <c r="D843" s="4"/>
      <c r="E843" s="4"/>
      <c r="F843" s="8"/>
      <c r="G843" s="4"/>
      <c r="H843" s="4"/>
      <c r="I843" s="8"/>
      <c r="J843" s="4"/>
      <c r="K843" s="4"/>
      <c r="L843" s="8"/>
      <c r="M843" s="4"/>
      <c r="N843" s="4"/>
      <c r="O843" s="8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</row>
    <row r="844" ht="15.75" customHeight="1">
      <c r="A844" s="4"/>
      <c r="B844" s="4"/>
      <c r="C844" s="8"/>
      <c r="D844" s="4"/>
      <c r="E844" s="4"/>
      <c r="F844" s="8"/>
      <c r="G844" s="4"/>
      <c r="H844" s="4"/>
      <c r="I844" s="8"/>
      <c r="J844" s="4"/>
      <c r="K844" s="4"/>
      <c r="L844" s="8"/>
      <c r="M844" s="4"/>
      <c r="N844" s="4"/>
      <c r="O844" s="8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</row>
    <row r="845" ht="15.75" customHeight="1">
      <c r="A845" s="4"/>
      <c r="B845" s="4"/>
      <c r="C845" s="8"/>
      <c r="D845" s="4"/>
      <c r="E845" s="4"/>
      <c r="F845" s="8"/>
      <c r="G845" s="4"/>
      <c r="H845" s="4"/>
      <c r="I845" s="8"/>
      <c r="J845" s="4"/>
      <c r="K845" s="4"/>
      <c r="L845" s="8"/>
      <c r="M845" s="4"/>
      <c r="N845" s="4"/>
      <c r="O845" s="8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</row>
    <row r="846" ht="15.75" customHeight="1">
      <c r="A846" s="4"/>
      <c r="B846" s="4"/>
      <c r="C846" s="8"/>
      <c r="D846" s="4"/>
      <c r="E846" s="4"/>
      <c r="F846" s="8"/>
      <c r="G846" s="4"/>
      <c r="H846" s="4"/>
      <c r="I846" s="8"/>
      <c r="J846" s="4"/>
      <c r="K846" s="4"/>
      <c r="L846" s="8"/>
      <c r="M846" s="4"/>
      <c r="N846" s="4"/>
      <c r="O846" s="8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</row>
    <row r="847" ht="15.75" customHeight="1">
      <c r="A847" s="4"/>
      <c r="B847" s="4"/>
      <c r="C847" s="8"/>
      <c r="D847" s="4"/>
      <c r="E847" s="4"/>
      <c r="F847" s="8"/>
      <c r="G847" s="4"/>
      <c r="H847" s="4"/>
      <c r="I847" s="8"/>
      <c r="J847" s="4"/>
      <c r="K847" s="4"/>
      <c r="L847" s="8"/>
      <c r="M847" s="4"/>
      <c r="N847" s="4"/>
      <c r="O847" s="8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</row>
    <row r="848" ht="15.75" customHeight="1">
      <c r="A848" s="4"/>
      <c r="B848" s="4"/>
      <c r="C848" s="8"/>
      <c r="D848" s="4"/>
      <c r="E848" s="4"/>
      <c r="F848" s="8"/>
      <c r="G848" s="4"/>
      <c r="H848" s="4"/>
      <c r="I848" s="8"/>
      <c r="J848" s="4"/>
      <c r="K848" s="4"/>
      <c r="L848" s="8"/>
      <c r="M848" s="4"/>
      <c r="N848" s="4"/>
      <c r="O848" s="8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</row>
    <row r="849" ht="15.75" customHeight="1">
      <c r="A849" s="4"/>
      <c r="B849" s="4"/>
      <c r="C849" s="8"/>
      <c r="D849" s="4"/>
      <c r="E849" s="4"/>
      <c r="F849" s="8"/>
      <c r="G849" s="4"/>
      <c r="H849" s="4"/>
      <c r="I849" s="8"/>
      <c r="J849" s="4"/>
      <c r="K849" s="4"/>
      <c r="L849" s="8"/>
      <c r="M849" s="4"/>
      <c r="N849" s="4"/>
      <c r="O849" s="8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</row>
    <row r="850" ht="15.75" customHeight="1">
      <c r="A850" s="4"/>
      <c r="B850" s="4"/>
      <c r="C850" s="8"/>
      <c r="D850" s="4"/>
      <c r="E850" s="4"/>
      <c r="F850" s="8"/>
      <c r="G850" s="4"/>
      <c r="H850" s="4"/>
      <c r="I850" s="8"/>
      <c r="J850" s="4"/>
      <c r="K850" s="4"/>
      <c r="L850" s="8"/>
      <c r="M850" s="4"/>
      <c r="N850" s="4"/>
      <c r="O850" s="8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</row>
    <row r="851" ht="15.75" customHeight="1">
      <c r="A851" s="4"/>
      <c r="B851" s="4"/>
      <c r="C851" s="8"/>
      <c r="D851" s="4"/>
      <c r="E851" s="4"/>
      <c r="F851" s="8"/>
      <c r="G851" s="4"/>
      <c r="H851" s="4"/>
      <c r="I851" s="8"/>
      <c r="J851" s="4"/>
      <c r="K851" s="4"/>
      <c r="L851" s="8"/>
      <c r="M851" s="4"/>
      <c r="N851" s="4"/>
      <c r="O851" s="8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</row>
    <row r="852" ht="15.75" customHeight="1">
      <c r="A852" s="4"/>
      <c r="B852" s="4"/>
      <c r="C852" s="8"/>
      <c r="D852" s="4"/>
      <c r="E852" s="4"/>
      <c r="F852" s="8"/>
      <c r="G852" s="4"/>
      <c r="H852" s="4"/>
      <c r="I852" s="8"/>
      <c r="J852" s="4"/>
      <c r="K852" s="4"/>
      <c r="L852" s="8"/>
      <c r="M852" s="4"/>
      <c r="N852" s="4"/>
      <c r="O852" s="8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</row>
    <row r="853" ht="15.75" customHeight="1">
      <c r="A853" s="4"/>
      <c r="B853" s="4"/>
      <c r="C853" s="8"/>
      <c r="D853" s="4"/>
      <c r="E853" s="4"/>
      <c r="F853" s="8"/>
      <c r="G853" s="4"/>
      <c r="H853" s="4"/>
      <c r="I853" s="8"/>
      <c r="J853" s="4"/>
      <c r="K853" s="4"/>
      <c r="L853" s="8"/>
      <c r="M853" s="4"/>
      <c r="N853" s="4"/>
      <c r="O853" s="8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</row>
    <row r="854" ht="15.75" customHeight="1">
      <c r="A854" s="4"/>
      <c r="B854" s="4"/>
      <c r="C854" s="8"/>
      <c r="D854" s="4"/>
      <c r="E854" s="4"/>
      <c r="F854" s="8"/>
      <c r="G854" s="4"/>
      <c r="H854" s="4"/>
      <c r="I854" s="8"/>
      <c r="J854" s="4"/>
      <c r="K854" s="4"/>
      <c r="L854" s="8"/>
      <c r="M854" s="4"/>
      <c r="N854" s="4"/>
      <c r="O854" s="8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</row>
    <row r="855" ht="15.75" customHeight="1">
      <c r="A855" s="4"/>
      <c r="B855" s="4"/>
      <c r="C855" s="8"/>
      <c r="D855" s="4"/>
      <c r="E855" s="4"/>
      <c r="F855" s="8"/>
      <c r="G855" s="4"/>
      <c r="H855" s="4"/>
      <c r="I855" s="8"/>
      <c r="J855" s="4"/>
      <c r="K855" s="4"/>
      <c r="L855" s="8"/>
      <c r="M855" s="4"/>
      <c r="N855" s="4"/>
      <c r="O855" s="8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</row>
    <row r="856" ht="15.75" customHeight="1">
      <c r="A856" s="4"/>
      <c r="B856" s="4"/>
      <c r="C856" s="8"/>
      <c r="D856" s="4"/>
      <c r="E856" s="4"/>
      <c r="F856" s="8"/>
      <c r="G856" s="4"/>
      <c r="H856" s="4"/>
      <c r="I856" s="8"/>
      <c r="J856" s="4"/>
      <c r="K856" s="4"/>
      <c r="L856" s="8"/>
      <c r="M856" s="4"/>
      <c r="N856" s="4"/>
      <c r="O856" s="8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</row>
    <row r="857" ht="15.75" customHeight="1">
      <c r="A857" s="4"/>
      <c r="B857" s="4"/>
      <c r="C857" s="8"/>
      <c r="D857" s="4"/>
      <c r="E857" s="4"/>
      <c r="F857" s="8"/>
      <c r="G857" s="4"/>
      <c r="H857" s="4"/>
      <c r="I857" s="8"/>
      <c r="J857" s="4"/>
      <c r="K857" s="4"/>
      <c r="L857" s="8"/>
      <c r="M857" s="4"/>
      <c r="N857" s="4"/>
      <c r="O857" s="8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</row>
    <row r="858" ht="15.75" customHeight="1">
      <c r="A858" s="4"/>
      <c r="B858" s="4"/>
      <c r="C858" s="8"/>
      <c r="D858" s="4"/>
      <c r="E858" s="4"/>
      <c r="F858" s="8"/>
      <c r="G858" s="4"/>
      <c r="H858" s="4"/>
      <c r="I858" s="8"/>
      <c r="J858" s="4"/>
      <c r="K858" s="4"/>
      <c r="L858" s="8"/>
      <c r="M858" s="4"/>
      <c r="N858" s="4"/>
      <c r="O858" s="8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</row>
    <row r="859" ht="15.75" customHeight="1">
      <c r="A859" s="4"/>
      <c r="B859" s="4"/>
      <c r="C859" s="8"/>
      <c r="D859" s="4"/>
      <c r="E859" s="4"/>
      <c r="F859" s="8"/>
      <c r="G859" s="4"/>
      <c r="H859" s="4"/>
      <c r="I859" s="8"/>
      <c r="J859" s="4"/>
      <c r="K859" s="4"/>
      <c r="L859" s="8"/>
      <c r="M859" s="4"/>
      <c r="N859" s="4"/>
      <c r="O859" s="8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</row>
    <row r="860" ht="15.75" customHeight="1">
      <c r="A860" s="4"/>
      <c r="B860" s="4"/>
      <c r="C860" s="8"/>
      <c r="D860" s="4"/>
      <c r="E860" s="4"/>
      <c r="F860" s="8"/>
      <c r="G860" s="4"/>
      <c r="H860" s="4"/>
      <c r="I860" s="8"/>
      <c r="J860" s="4"/>
      <c r="K860" s="4"/>
      <c r="L860" s="8"/>
      <c r="M860" s="4"/>
      <c r="N860" s="4"/>
      <c r="O860" s="8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</row>
    <row r="861" ht="15.75" customHeight="1">
      <c r="A861" s="4"/>
      <c r="B861" s="4"/>
      <c r="C861" s="8"/>
      <c r="D861" s="4"/>
      <c r="E861" s="4"/>
      <c r="F861" s="8"/>
      <c r="G861" s="4"/>
      <c r="H861" s="4"/>
      <c r="I861" s="8"/>
      <c r="J861" s="4"/>
      <c r="K861" s="4"/>
      <c r="L861" s="8"/>
      <c r="M861" s="4"/>
      <c r="N861" s="4"/>
      <c r="O861" s="8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</row>
    <row r="862" ht="15.75" customHeight="1">
      <c r="A862" s="4"/>
      <c r="B862" s="4"/>
      <c r="C862" s="8"/>
      <c r="D862" s="4"/>
      <c r="E862" s="4"/>
      <c r="F862" s="8"/>
      <c r="G862" s="4"/>
      <c r="H862" s="4"/>
      <c r="I862" s="8"/>
      <c r="J862" s="4"/>
      <c r="K862" s="4"/>
      <c r="L862" s="8"/>
      <c r="M862" s="4"/>
      <c r="N862" s="4"/>
      <c r="O862" s="8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</row>
    <row r="863" ht="15.75" customHeight="1">
      <c r="A863" s="4"/>
      <c r="B863" s="4"/>
      <c r="C863" s="8"/>
      <c r="D863" s="4"/>
      <c r="E863" s="4"/>
      <c r="F863" s="8"/>
      <c r="G863" s="4"/>
      <c r="H863" s="4"/>
      <c r="I863" s="8"/>
      <c r="J863" s="4"/>
      <c r="K863" s="4"/>
      <c r="L863" s="8"/>
      <c r="M863" s="4"/>
      <c r="N863" s="4"/>
      <c r="O863" s="8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</row>
    <row r="864" ht="15.75" customHeight="1">
      <c r="A864" s="4"/>
      <c r="B864" s="4"/>
      <c r="C864" s="8"/>
      <c r="D864" s="4"/>
      <c r="E864" s="4"/>
      <c r="F864" s="8"/>
      <c r="G864" s="4"/>
      <c r="H864" s="4"/>
      <c r="I864" s="8"/>
      <c r="J864" s="4"/>
      <c r="K864" s="4"/>
      <c r="L864" s="8"/>
      <c r="M864" s="4"/>
      <c r="N864" s="4"/>
      <c r="O864" s="8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</row>
    <row r="865" ht="15.75" customHeight="1">
      <c r="A865" s="4"/>
      <c r="B865" s="4"/>
      <c r="C865" s="8"/>
      <c r="D865" s="4"/>
      <c r="E865" s="4"/>
      <c r="F865" s="8"/>
      <c r="G865" s="4"/>
      <c r="H865" s="4"/>
      <c r="I865" s="8"/>
      <c r="J865" s="4"/>
      <c r="K865" s="4"/>
      <c r="L865" s="8"/>
      <c r="M865" s="4"/>
      <c r="N865" s="4"/>
      <c r="O865" s="8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</row>
    <row r="866" ht="15.75" customHeight="1">
      <c r="A866" s="4"/>
      <c r="B866" s="4"/>
      <c r="C866" s="8"/>
      <c r="D866" s="4"/>
      <c r="E866" s="4"/>
      <c r="F866" s="8"/>
      <c r="G866" s="4"/>
      <c r="H866" s="4"/>
      <c r="I866" s="8"/>
      <c r="J866" s="4"/>
      <c r="K866" s="4"/>
      <c r="L866" s="8"/>
      <c r="M866" s="4"/>
      <c r="N866" s="4"/>
      <c r="O866" s="8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</row>
    <row r="867" ht="15.75" customHeight="1">
      <c r="A867" s="4"/>
      <c r="B867" s="4"/>
      <c r="C867" s="8"/>
      <c r="D867" s="4"/>
      <c r="E867" s="4"/>
      <c r="F867" s="8"/>
      <c r="G867" s="4"/>
      <c r="H867" s="4"/>
      <c r="I867" s="8"/>
      <c r="J867" s="4"/>
      <c r="K867" s="4"/>
      <c r="L867" s="8"/>
      <c r="M867" s="4"/>
      <c r="N867" s="4"/>
      <c r="O867" s="8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</row>
    <row r="868" ht="15.75" customHeight="1">
      <c r="A868" s="4"/>
      <c r="B868" s="4"/>
      <c r="C868" s="8"/>
      <c r="D868" s="4"/>
      <c r="E868" s="4"/>
      <c r="F868" s="8"/>
      <c r="G868" s="4"/>
      <c r="H868" s="4"/>
      <c r="I868" s="8"/>
      <c r="J868" s="4"/>
      <c r="K868" s="4"/>
      <c r="L868" s="8"/>
      <c r="M868" s="4"/>
      <c r="N868" s="4"/>
      <c r="O868" s="8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</row>
    <row r="869" ht="15.75" customHeight="1">
      <c r="A869" s="4"/>
      <c r="B869" s="4"/>
      <c r="C869" s="8"/>
      <c r="D869" s="4"/>
      <c r="E869" s="4"/>
      <c r="F869" s="8"/>
      <c r="G869" s="4"/>
      <c r="H869" s="4"/>
      <c r="I869" s="8"/>
      <c r="J869" s="4"/>
      <c r="K869" s="4"/>
      <c r="L869" s="8"/>
      <c r="M869" s="4"/>
      <c r="N869" s="4"/>
      <c r="O869" s="8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</row>
    <row r="870" ht="15.75" customHeight="1">
      <c r="A870" s="4"/>
      <c r="B870" s="4"/>
      <c r="C870" s="8"/>
      <c r="D870" s="4"/>
      <c r="E870" s="4"/>
      <c r="F870" s="8"/>
      <c r="G870" s="4"/>
      <c r="H870" s="4"/>
      <c r="I870" s="8"/>
      <c r="J870" s="4"/>
      <c r="K870" s="4"/>
      <c r="L870" s="8"/>
      <c r="M870" s="4"/>
      <c r="N870" s="4"/>
      <c r="O870" s="8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</row>
    <row r="871" ht="15.75" customHeight="1">
      <c r="A871" s="4"/>
      <c r="B871" s="4"/>
      <c r="C871" s="8"/>
      <c r="D871" s="4"/>
      <c r="E871" s="4"/>
      <c r="F871" s="8"/>
      <c r="G871" s="4"/>
      <c r="H871" s="4"/>
      <c r="I871" s="8"/>
      <c r="J871" s="4"/>
      <c r="K871" s="4"/>
      <c r="L871" s="8"/>
      <c r="M871" s="4"/>
      <c r="N871" s="4"/>
      <c r="O871" s="8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</row>
    <row r="872" ht="15.75" customHeight="1">
      <c r="A872" s="4"/>
      <c r="B872" s="4"/>
      <c r="C872" s="8"/>
      <c r="D872" s="4"/>
      <c r="E872" s="4"/>
      <c r="F872" s="8"/>
      <c r="G872" s="4"/>
      <c r="H872" s="4"/>
      <c r="I872" s="8"/>
      <c r="J872" s="4"/>
      <c r="K872" s="4"/>
      <c r="L872" s="8"/>
      <c r="M872" s="4"/>
      <c r="N872" s="4"/>
      <c r="O872" s="8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</row>
    <row r="873" ht="15.75" customHeight="1">
      <c r="A873" s="4"/>
      <c r="B873" s="4"/>
      <c r="C873" s="8"/>
      <c r="D873" s="4"/>
      <c r="E873" s="4"/>
      <c r="F873" s="8"/>
      <c r="G873" s="4"/>
      <c r="H873" s="4"/>
      <c r="I873" s="8"/>
      <c r="J873" s="4"/>
      <c r="K873" s="4"/>
      <c r="L873" s="8"/>
      <c r="M873" s="4"/>
      <c r="N873" s="4"/>
      <c r="O873" s="8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</row>
    <row r="874" ht="15.75" customHeight="1">
      <c r="A874" s="4"/>
      <c r="B874" s="4"/>
      <c r="C874" s="8"/>
      <c r="D874" s="4"/>
      <c r="E874" s="4"/>
      <c r="F874" s="8"/>
      <c r="G874" s="4"/>
      <c r="H874" s="4"/>
      <c r="I874" s="8"/>
      <c r="J874" s="4"/>
      <c r="K874" s="4"/>
      <c r="L874" s="8"/>
      <c r="M874" s="4"/>
      <c r="N874" s="4"/>
      <c r="O874" s="8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</row>
    <row r="875" ht="15.75" customHeight="1">
      <c r="A875" s="4"/>
      <c r="B875" s="4"/>
      <c r="C875" s="8"/>
      <c r="D875" s="4"/>
      <c r="E875" s="4"/>
      <c r="F875" s="8"/>
      <c r="G875" s="4"/>
      <c r="H875" s="4"/>
      <c r="I875" s="8"/>
      <c r="J875" s="4"/>
      <c r="K875" s="4"/>
      <c r="L875" s="8"/>
      <c r="M875" s="4"/>
      <c r="N875" s="4"/>
      <c r="O875" s="8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</row>
    <row r="876" ht="15.75" customHeight="1">
      <c r="A876" s="4"/>
      <c r="B876" s="4"/>
      <c r="C876" s="8"/>
      <c r="D876" s="4"/>
      <c r="E876" s="4"/>
      <c r="F876" s="8"/>
      <c r="G876" s="4"/>
      <c r="H876" s="4"/>
      <c r="I876" s="8"/>
      <c r="J876" s="4"/>
      <c r="K876" s="4"/>
      <c r="L876" s="8"/>
      <c r="M876" s="4"/>
      <c r="N876" s="4"/>
      <c r="O876" s="8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</row>
    <row r="877" ht="15.75" customHeight="1">
      <c r="A877" s="4"/>
      <c r="B877" s="4"/>
      <c r="C877" s="8"/>
      <c r="D877" s="4"/>
      <c r="E877" s="4"/>
      <c r="F877" s="8"/>
      <c r="G877" s="4"/>
      <c r="H877" s="4"/>
      <c r="I877" s="8"/>
      <c r="J877" s="4"/>
      <c r="K877" s="4"/>
      <c r="L877" s="8"/>
      <c r="M877" s="4"/>
      <c r="N877" s="4"/>
      <c r="O877" s="8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</row>
    <row r="878" ht="15.75" customHeight="1">
      <c r="A878" s="4"/>
      <c r="B878" s="4"/>
      <c r="C878" s="8"/>
      <c r="D878" s="4"/>
      <c r="E878" s="4"/>
      <c r="F878" s="8"/>
      <c r="G878" s="4"/>
      <c r="H878" s="4"/>
      <c r="I878" s="8"/>
      <c r="J878" s="4"/>
      <c r="K878" s="4"/>
      <c r="L878" s="8"/>
      <c r="M878" s="4"/>
      <c r="N878" s="4"/>
      <c r="O878" s="8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</row>
    <row r="879" ht="15.75" customHeight="1">
      <c r="A879" s="4"/>
      <c r="B879" s="4"/>
      <c r="C879" s="8"/>
      <c r="D879" s="4"/>
      <c r="E879" s="4"/>
      <c r="F879" s="8"/>
      <c r="G879" s="4"/>
      <c r="H879" s="4"/>
      <c r="I879" s="8"/>
      <c r="J879" s="4"/>
      <c r="K879" s="4"/>
      <c r="L879" s="8"/>
      <c r="M879" s="4"/>
      <c r="N879" s="4"/>
      <c r="O879" s="8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</row>
    <row r="880" ht="15.75" customHeight="1">
      <c r="A880" s="4"/>
      <c r="B880" s="4"/>
      <c r="C880" s="8"/>
      <c r="D880" s="4"/>
      <c r="E880" s="4"/>
      <c r="F880" s="8"/>
      <c r="G880" s="4"/>
      <c r="H880" s="4"/>
      <c r="I880" s="8"/>
      <c r="J880" s="4"/>
      <c r="K880" s="4"/>
      <c r="L880" s="8"/>
      <c r="M880" s="4"/>
      <c r="N880" s="4"/>
      <c r="O880" s="8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</row>
    <row r="881" ht="15.75" customHeight="1">
      <c r="A881" s="4"/>
      <c r="B881" s="4"/>
      <c r="C881" s="8"/>
      <c r="D881" s="4"/>
      <c r="E881" s="4"/>
      <c r="F881" s="8"/>
      <c r="G881" s="4"/>
      <c r="H881" s="4"/>
      <c r="I881" s="8"/>
      <c r="J881" s="4"/>
      <c r="K881" s="4"/>
      <c r="L881" s="8"/>
      <c r="M881" s="4"/>
      <c r="N881" s="4"/>
      <c r="O881" s="8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</row>
    <row r="882" ht="15.75" customHeight="1">
      <c r="A882" s="4"/>
      <c r="B882" s="4"/>
      <c r="C882" s="8"/>
      <c r="D882" s="4"/>
      <c r="E882" s="4"/>
      <c r="F882" s="8"/>
      <c r="G882" s="4"/>
      <c r="H882" s="4"/>
      <c r="I882" s="8"/>
      <c r="J882" s="4"/>
      <c r="K882" s="4"/>
      <c r="L882" s="8"/>
      <c r="M882" s="4"/>
      <c r="N882" s="4"/>
      <c r="O882" s="8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</row>
    <row r="883" ht="15.75" customHeight="1">
      <c r="A883" s="4"/>
      <c r="B883" s="4"/>
      <c r="C883" s="8"/>
      <c r="D883" s="4"/>
      <c r="E883" s="4"/>
      <c r="F883" s="8"/>
      <c r="G883" s="4"/>
      <c r="H883" s="4"/>
      <c r="I883" s="8"/>
      <c r="J883" s="4"/>
      <c r="K883" s="4"/>
      <c r="L883" s="8"/>
      <c r="M883" s="4"/>
      <c r="N883" s="4"/>
      <c r="O883" s="8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</row>
    <row r="884" ht="15.75" customHeight="1">
      <c r="A884" s="4"/>
      <c r="B884" s="4"/>
      <c r="C884" s="8"/>
      <c r="D884" s="4"/>
      <c r="E884" s="4"/>
      <c r="F884" s="8"/>
      <c r="G884" s="4"/>
      <c r="H884" s="4"/>
      <c r="I884" s="8"/>
      <c r="J884" s="4"/>
      <c r="K884" s="4"/>
      <c r="L884" s="8"/>
      <c r="M884" s="4"/>
      <c r="N884" s="4"/>
      <c r="O884" s="8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</row>
    <row r="885" ht="15.75" customHeight="1">
      <c r="A885" s="4"/>
      <c r="B885" s="4"/>
      <c r="C885" s="8"/>
      <c r="D885" s="4"/>
      <c r="E885" s="4"/>
      <c r="F885" s="8"/>
      <c r="G885" s="4"/>
      <c r="H885" s="4"/>
      <c r="I885" s="8"/>
      <c r="J885" s="4"/>
      <c r="K885" s="4"/>
      <c r="L885" s="8"/>
      <c r="M885" s="4"/>
      <c r="N885" s="4"/>
      <c r="O885" s="8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</row>
    <row r="886" ht="15.75" customHeight="1">
      <c r="A886" s="4"/>
      <c r="B886" s="4"/>
      <c r="C886" s="8"/>
      <c r="D886" s="4"/>
      <c r="E886" s="4"/>
      <c r="F886" s="8"/>
      <c r="G886" s="4"/>
      <c r="H886" s="4"/>
      <c r="I886" s="8"/>
      <c r="J886" s="4"/>
      <c r="K886" s="4"/>
      <c r="L886" s="8"/>
      <c r="M886" s="4"/>
      <c r="N886" s="4"/>
      <c r="O886" s="8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</row>
    <row r="887" ht="15.75" customHeight="1">
      <c r="A887" s="4"/>
      <c r="B887" s="4"/>
      <c r="C887" s="8"/>
      <c r="D887" s="4"/>
      <c r="E887" s="4"/>
      <c r="F887" s="8"/>
      <c r="G887" s="4"/>
      <c r="H887" s="4"/>
      <c r="I887" s="8"/>
      <c r="J887" s="4"/>
      <c r="K887" s="4"/>
      <c r="L887" s="8"/>
      <c r="M887" s="4"/>
      <c r="N887" s="4"/>
      <c r="O887" s="8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</row>
    <row r="888" ht="15.75" customHeight="1">
      <c r="A888" s="4"/>
      <c r="B888" s="4"/>
      <c r="C888" s="8"/>
      <c r="D888" s="4"/>
      <c r="E888" s="4"/>
      <c r="F888" s="8"/>
      <c r="G888" s="4"/>
      <c r="H888" s="4"/>
      <c r="I888" s="8"/>
      <c r="J888" s="4"/>
      <c r="K888" s="4"/>
      <c r="L888" s="8"/>
      <c r="M888" s="4"/>
      <c r="N888" s="4"/>
      <c r="O888" s="8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</row>
    <row r="889" ht="15.75" customHeight="1">
      <c r="A889" s="4"/>
      <c r="B889" s="4"/>
      <c r="C889" s="8"/>
      <c r="D889" s="4"/>
      <c r="E889" s="4"/>
      <c r="F889" s="8"/>
      <c r="G889" s="4"/>
      <c r="H889" s="4"/>
      <c r="I889" s="8"/>
      <c r="J889" s="4"/>
      <c r="K889" s="4"/>
      <c r="L889" s="8"/>
      <c r="M889" s="4"/>
      <c r="N889" s="4"/>
      <c r="O889" s="8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</row>
    <row r="890" ht="15.75" customHeight="1">
      <c r="A890" s="4"/>
      <c r="B890" s="4"/>
      <c r="C890" s="8"/>
      <c r="D890" s="4"/>
      <c r="E890" s="4"/>
      <c r="F890" s="8"/>
      <c r="G890" s="4"/>
      <c r="H890" s="4"/>
      <c r="I890" s="8"/>
      <c r="J890" s="4"/>
      <c r="K890" s="4"/>
      <c r="L890" s="8"/>
      <c r="M890" s="4"/>
      <c r="N890" s="4"/>
      <c r="O890" s="8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</row>
    <row r="891" ht="15.75" customHeight="1">
      <c r="A891" s="4"/>
      <c r="B891" s="4"/>
      <c r="C891" s="8"/>
      <c r="D891" s="4"/>
      <c r="E891" s="4"/>
      <c r="F891" s="8"/>
      <c r="G891" s="4"/>
      <c r="H891" s="4"/>
      <c r="I891" s="8"/>
      <c r="J891" s="4"/>
      <c r="K891" s="4"/>
      <c r="L891" s="8"/>
      <c r="M891" s="4"/>
      <c r="N891" s="4"/>
      <c r="O891" s="8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</row>
    <row r="892" ht="15.75" customHeight="1">
      <c r="A892" s="4"/>
      <c r="B892" s="4"/>
      <c r="C892" s="8"/>
      <c r="D892" s="4"/>
      <c r="E892" s="4"/>
      <c r="F892" s="8"/>
      <c r="G892" s="4"/>
      <c r="H892" s="4"/>
      <c r="I892" s="8"/>
      <c r="J892" s="4"/>
      <c r="K892" s="4"/>
      <c r="L892" s="8"/>
      <c r="M892" s="4"/>
      <c r="N892" s="4"/>
      <c r="O892" s="8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</row>
    <row r="893" ht="15.75" customHeight="1">
      <c r="A893" s="4"/>
      <c r="B893" s="4"/>
      <c r="C893" s="8"/>
      <c r="D893" s="4"/>
      <c r="E893" s="4"/>
      <c r="F893" s="8"/>
      <c r="G893" s="4"/>
      <c r="H893" s="4"/>
      <c r="I893" s="8"/>
      <c r="J893" s="4"/>
      <c r="K893" s="4"/>
      <c r="L893" s="8"/>
      <c r="M893" s="4"/>
      <c r="N893" s="4"/>
      <c r="O893" s="8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</row>
    <row r="894" ht="15.75" customHeight="1">
      <c r="A894" s="4"/>
      <c r="B894" s="4"/>
      <c r="C894" s="8"/>
      <c r="D894" s="4"/>
      <c r="E894" s="4"/>
      <c r="F894" s="8"/>
      <c r="G894" s="4"/>
      <c r="H894" s="4"/>
      <c r="I894" s="8"/>
      <c r="J894" s="4"/>
      <c r="K894" s="4"/>
      <c r="L894" s="8"/>
      <c r="M894" s="4"/>
      <c r="N894" s="4"/>
      <c r="O894" s="8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</row>
    <row r="895" ht="15.75" customHeight="1">
      <c r="A895" s="4"/>
      <c r="B895" s="4"/>
      <c r="C895" s="8"/>
      <c r="D895" s="4"/>
      <c r="E895" s="4"/>
      <c r="F895" s="8"/>
      <c r="G895" s="4"/>
      <c r="H895" s="4"/>
      <c r="I895" s="8"/>
      <c r="J895" s="4"/>
      <c r="K895" s="4"/>
      <c r="L895" s="8"/>
      <c r="M895" s="4"/>
      <c r="N895" s="4"/>
      <c r="O895" s="8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</row>
    <row r="896" ht="15.75" customHeight="1">
      <c r="A896" s="4"/>
      <c r="B896" s="4"/>
      <c r="C896" s="8"/>
      <c r="D896" s="4"/>
      <c r="E896" s="4"/>
      <c r="F896" s="8"/>
      <c r="G896" s="4"/>
      <c r="H896" s="4"/>
      <c r="I896" s="8"/>
      <c r="J896" s="4"/>
      <c r="K896" s="4"/>
      <c r="L896" s="8"/>
      <c r="M896" s="4"/>
      <c r="N896" s="4"/>
      <c r="O896" s="8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</row>
    <row r="897" ht="15.75" customHeight="1">
      <c r="A897" s="4"/>
      <c r="B897" s="4"/>
      <c r="C897" s="8"/>
      <c r="D897" s="4"/>
      <c r="E897" s="4"/>
      <c r="F897" s="8"/>
      <c r="G897" s="4"/>
      <c r="H897" s="4"/>
      <c r="I897" s="8"/>
      <c r="J897" s="4"/>
      <c r="K897" s="4"/>
      <c r="L897" s="8"/>
      <c r="M897" s="4"/>
      <c r="N897" s="4"/>
      <c r="O897" s="8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</row>
    <row r="898" ht="15.75" customHeight="1">
      <c r="A898" s="4"/>
      <c r="B898" s="4"/>
      <c r="C898" s="8"/>
      <c r="D898" s="4"/>
      <c r="E898" s="4"/>
      <c r="F898" s="8"/>
      <c r="G898" s="4"/>
      <c r="H898" s="4"/>
      <c r="I898" s="8"/>
      <c r="J898" s="4"/>
      <c r="K898" s="4"/>
      <c r="L898" s="8"/>
      <c r="M898" s="4"/>
      <c r="N898" s="4"/>
      <c r="O898" s="8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</row>
    <row r="899" ht="15.75" customHeight="1">
      <c r="A899" s="4"/>
      <c r="B899" s="4"/>
      <c r="C899" s="8"/>
      <c r="D899" s="4"/>
      <c r="E899" s="4"/>
      <c r="F899" s="8"/>
      <c r="G899" s="4"/>
      <c r="H899" s="4"/>
      <c r="I899" s="8"/>
      <c r="J899" s="4"/>
      <c r="K899" s="4"/>
      <c r="L899" s="8"/>
      <c r="M899" s="4"/>
      <c r="N899" s="4"/>
      <c r="O899" s="8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</row>
    <row r="900" ht="15.75" customHeight="1">
      <c r="A900" s="4"/>
      <c r="B900" s="4"/>
      <c r="C900" s="8"/>
      <c r="D900" s="4"/>
      <c r="E900" s="4"/>
      <c r="F900" s="8"/>
      <c r="G900" s="4"/>
      <c r="H900" s="4"/>
      <c r="I900" s="8"/>
      <c r="J900" s="4"/>
      <c r="K900" s="4"/>
      <c r="L900" s="8"/>
      <c r="M900" s="4"/>
      <c r="N900" s="4"/>
      <c r="O900" s="8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</row>
    <row r="901" ht="15.75" customHeight="1">
      <c r="A901" s="4"/>
      <c r="B901" s="4"/>
      <c r="C901" s="8"/>
      <c r="D901" s="4"/>
      <c r="E901" s="4"/>
      <c r="F901" s="8"/>
      <c r="G901" s="4"/>
      <c r="H901" s="4"/>
      <c r="I901" s="8"/>
      <c r="J901" s="4"/>
      <c r="K901" s="4"/>
      <c r="L901" s="8"/>
      <c r="M901" s="4"/>
      <c r="N901" s="4"/>
      <c r="O901" s="8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</row>
    <row r="902" ht="15.75" customHeight="1">
      <c r="A902" s="4"/>
      <c r="B902" s="4"/>
      <c r="C902" s="8"/>
      <c r="D902" s="4"/>
      <c r="E902" s="4"/>
      <c r="F902" s="8"/>
      <c r="G902" s="4"/>
      <c r="H902" s="4"/>
      <c r="I902" s="8"/>
      <c r="J902" s="4"/>
      <c r="K902" s="4"/>
      <c r="L902" s="8"/>
      <c r="M902" s="4"/>
      <c r="N902" s="4"/>
      <c r="O902" s="8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</row>
    <row r="903" ht="15.75" customHeight="1">
      <c r="A903" s="4"/>
      <c r="B903" s="4"/>
      <c r="C903" s="8"/>
      <c r="D903" s="4"/>
      <c r="E903" s="4"/>
      <c r="F903" s="8"/>
      <c r="G903" s="4"/>
      <c r="H903" s="4"/>
      <c r="I903" s="8"/>
      <c r="J903" s="4"/>
      <c r="K903" s="4"/>
      <c r="L903" s="8"/>
      <c r="M903" s="4"/>
      <c r="N903" s="4"/>
      <c r="O903" s="8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</row>
    <row r="904" ht="15.75" customHeight="1">
      <c r="A904" s="4"/>
      <c r="B904" s="4"/>
      <c r="C904" s="8"/>
      <c r="D904" s="4"/>
      <c r="E904" s="4"/>
      <c r="F904" s="8"/>
      <c r="G904" s="4"/>
      <c r="H904" s="4"/>
      <c r="I904" s="8"/>
      <c r="J904" s="4"/>
      <c r="K904" s="4"/>
      <c r="L904" s="8"/>
      <c r="M904" s="4"/>
      <c r="N904" s="4"/>
      <c r="O904" s="8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</row>
    <row r="905" ht="15.75" customHeight="1">
      <c r="A905" s="4"/>
      <c r="B905" s="4"/>
      <c r="C905" s="8"/>
      <c r="D905" s="4"/>
      <c r="E905" s="4"/>
      <c r="F905" s="8"/>
      <c r="G905" s="4"/>
      <c r="H905" s="4"/>
      <c r="I905" s="8"/>
      <c r="J905" s="4"/>
      <c r="K905" s="4"/>
      <c r="L905" s="8"/>
      <c r="M905" s="4"/>
      <c r="N905" s="4"/>
      <c r="O905" s="8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</row>
    <row r="906" ht="15.75" customHeight="1">
      <c r="A906" s="4"/>
      <c r="B906" s="4"/>
      <c r="C906" s="8"/>
      <c r="D906" s="4"/>
      <c r="E906" s="4"/>
      <c r="F906" s="8"/>
      <c r="G906" s="4"/>
      <c r="H906" s="4"/>
      <c r="I906" s="8"/>
      <c r="J906" s="4"/>
      <c r="K906" s="4"/>
      <c r="L906" s="8"/>
      <c r="M906" s="4"/>
      <c r="N906" s="4"/>
      <c r="O906" s="8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</row>
    <row r="907" ht="15.75" customHeight="1">
      <c r="A907" s="4"/>
      <c r="B907" s="4"/>
      <c r="C907" s="8"/>
      <c r="D907" s="4"/>
      <c r="E907" s="4"/>
      <c r="F907" s="8"/>
      <c r="G907" s="4"/>
      <c r="H907" s="4"/>
      <c r="I907" s="8"/>
      <c r="J907" s="4"/>
      <c r="K907" s="4"/>
      <c r="L907" s="8"/>
      <c r="M907" s="4"/>
      <c r="N907" s="4"/>
      <c r="O907" s="8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</row>
    <row r="908" ht="15.75" customHeight="1">
      <c r="A908" s="4"/>
      <c r="B908" s="4"/>
      <c r="C908" s="8"/>
      <c r="D908" s="4"/>
      <c r="E908" s="4"/>
      <c r="F908" s="8"/>
      <c r="G908" s="4"/>
      <c r="H908" s="4"/>
      <c r="I908" s="8"/>
      <c r="J908" s="4"/>
      <c r="K908" s="4"/>
      <c r="L908" s="8"/>
      <c r="M908" s="4"/>
      <c r="N908" s="4"/>
      <c r="O908" s="8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</row>
    <row r="909" ht="15.75" customHeight="1">
      <c r="A909" s="4"/>
      <c r="B909" s="4"/>
      <c r="C909" s="8"/>
      <c r="D909" s="4"/>
      <c r="E909" s="4"/>
      <c r="F909" s="8"/>
      <c r="G909" s="4"/>
      <c r="H909" s="4"/>
      <c r="I909" s="8"/>
      <c r="J909" s="4"/>
      <c r="K909" s="4"/>
      <c r="L909" s="8"/>
      <c r="M909" s="4"/>
      <c r="N909" s="4"/>
      <c r="O909" s="8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</row>
    <row r="910" ht="15.75" customHeight="1">
      <c r="A910" s="4"/>
      <c r="B910" s="4"/>
      <c r="C910" s="8"/>
      <c r="D910" s="4"/>
      <c r="E910" s="4"/>
      <c r="F910" s="8"/>
      <c r="G910" s="4"/>
      <c r="H910" s="4"/>
      <c r="I910" s="8"/>
      <c r="J910" s="4"/>
      <c r="K910" s="4"/>
      <c r="L910" s="8"/>
      <c r="M910" s="4"/>
      <c r="N910" s="4"/>
      <c r="O910" s="8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</row>
    <row r="911" ht="15.75" customHeight="1">
      <c r="A911" s="4"/>
      <c r="B911" s="4"/>
      <c r="C911" s="8"/>
      <c r="D911" s="4"/>
      <c r="E911" s="4"/>
      <c r="F911" s="8"/>
      <c r="G911" s="4"/>
      <c r="H911" s="4"/>
      <c r="I911" s="8"/>
      <c r="J911" s="4"/>
      <c r="K911" s="4"/>
      <c r="L911" s="8"/>
      <c r="M911" s="4"/>
      <c r="N911" s="4"/>
      <c r="O911" s="8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</row>
    <row r="912" ht="15.75" customHeight="1">
      <c r="A912" s="4"/>
      <c r="B912" s="4"/>
      <c r="C912" s="8"/>
      <c r="D912" s="4"/>
      <c r="E912" s="4"/>
      <c r="F912" s="8"/>
      <c r="G912" s="4"/>
      <c r="H912" s="4"/>
      <c r="I912" s="8"/>
      <c r="J912" s="4"/>
      <c r="K912" s="4"/>
      <c r="L912" s="8"/>
      <c r="M912" s="4"/>
      <c r="N912" s="4"/>
      <c r="O912" s="8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</row>
    <row r="913" ht="15.75" customHeight="1">
      <c r="A913" s="4"/>
      <c r="B913" s="4"/>
      <c r="C913" s="8"/>
      <c r="D913" s="4"/>
      <c r="E913" s="4"/>
      <c r="F913" s="8"/>
      <c r="G913" s="4"/>
      <c r="H913" s="4"/>
      <c r="I913" s="8"/>
      <c r="J913" s="4"/>
      <c r="K913" s="4"/>
      <c r="L913" s="8"/>
      <c r="M913" s="4"/>
      <c r="N913" s="4"/>
      <c r="O913" s="8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</row>
    <row r="914" ht="15.75" customHeight="1">
      <c r="A914" s="4"/>
      <c r="B914" s="4"/>
      <c r="C914" s="8"/>
      <c r="D914" s="4"/>
      <c r="E914" s="4"/>
      <c r="F914" s="8"/>
      <c r="G914" s="4"/>
      <c r="H914" s="4"/>
      <c r="I914" s="8"/>
      <c r="J914" s="4"/>
      <c r="K914" s="4"/>
      <c r="L914" s="8"/>
      <c r="M914" s="4"/>
      <c r="N914" s="4"/>
      <c r="O914" s="8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</row>
    <row r="915" ht="15.75" customHeight="1">
      <c r="A915" s="4"/>
      <c r="B915" s="4"/>
      <c r="C915" s="8"/>
      <c r="D915" s="4"/>
      <c r="E915" s="4"/>
      <c r="F915" s="8"/>
      <c r="G915" s="4"/>
      <c r="H915" s="4"/>
      <c r="I915" s="8"/>
      <c r="J915" s="4"/>
      <c r="K915" s="4"/>
      <c r="L915" s="8"/>
      <c r="M915" s="4"/>
      <c r="N915" s="4"/>
      <c r="O915" s="8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</row>
    <row r="916" ht="15.75" customHeight="1">
      <c r="A916" s="4"/>
      <c r="B916" s="4"/>
      <c r="C916" s="8"/>
      <c r="D916" s="4"/>
      <c r="E916" s="4"/>
      <c r="F916" s="8"/>
      <c r="G916" s="4"/>
      <c r="H916" s="4"/>
      <c r="I916" s="8"/>
      <c r="J916" s="4"/>
      <c r="K916" s="4"/>
      <c r="L916" s="8"/>
      <c r="M916" s="4"/>
      <c r="N916" s="4"/>
      <c r="O916" s="8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</row>
    <row r="917" ht="15.75" customHeight="1">
      <c r="A917" s="4"/>
      <c r="B917" s="4"/>
      <c r="C917" s="8"/>
      <c r="D917" s="4"/>
      <c r="E917" s="4"/>
      <c r="F917" s="8"/>
      <c r="G917" s="4"/>
      <c r="H917" s="4"/>
      <c r="I917" s="8"/>
      <c r="J917" s="4"/>
      <c r="K917" s="4"/>
      <c r="L917" s="8"/>
      <c r="M917" s="4"/>
      <c r="N917" s="4"/>
      <c r="O917" s="8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</row>
    <row r="918" ht="15.75" customHeight="1">
      <c r="A918" s="4"/>
      <c r="B918" s="4"/>
      <c r="C918" s="8"/>
      <c r="D918" s="4"/>
      <c r="E918" s="4"/>
      <c r="F918" s="8"/>
      <c r="G918" s="4"/>
      <c r="H918" s="4"/>
      <c r="I918" s="8"/>
      <c r="J918" s="4"/>
      <c r="K918" s="4"/>
      <c r="L918" s="8"/>
      <c r="M918" s="4"/>
      <c r="N918" s="4"/>
      <c r="O918" s="8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</row>
    <row r="919" ht="15.75" customHeight="1">
      <c r="A919" s="4"/>
      <c r="B919" s="4"/>
      <c r="C919" s="8"/>
      <c r="D919" s="4"/>
      <c r="E919" s="4"/>
      <c r="F919" s="8"/>
      <c r="G919" s="4"/>
      <c r="H919" s="4"/>
      <c r="I919" s="8"/>
      <c r="J919" s="4"/>
      <c r="K919" s="4"/>
      <c r="L919" s="8"/>
      <c r="M919" s="4"/>
      <c r="N919" s="4"/>
      <c r="O919" s="8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</row>
    <row r="920" ht="15.75" customHeight="1">
      <c r="A920" s="4"/>
      <c r="B920" s="4"/>
      <c r="C920" s="8"/>
      <c r="D920" s="4"/>
      <c r="E920" s="4"/>
      <c r="F920" s="8"/>
      <c r="G920" s="4"/>
      <c r="H920" s="4"/>
      <c r="I920" s="8"/>
      <c r="J920" s="4"/>
      <c r="K920" s="4"/>
      <c r="L920" s="8"/>
      <c r="M920" s="4"/>
      <c r="N920" s="4"/>
      <c r="O920" s="8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</row>
    <row r="921" ht="15.75" customHeight="1">
      <c r="A921" s="4"/>
      <c r="B921" s="4"/>
      <c r="C921" s="8"/>
      <c r="D921" s="4"/>
      <c r="E921" s="4"/>
      <c r="F921" s="8"/>
      <c r="G921" s="4"/>
      <c r="H921" s="4"/>
      <c r="I921" s="8"/>
      <c r="J921" s="4"/>
      <c r="K921" s="4"/>
      <c r="L921" s="8"/>
      <c r="M921" s="4"/>
      <c r="N921" s="4"/>
      <c r="O921" s="8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</row>
    <row r="922" ht="15.75" customHeight="1">
      <c r="A922" s="4"/>
      <c r="B922" s="4"/>
      <c r="C922" s="8"/>
      <c r="D922" s="4"/>
      <c r="E922" s="4"/>
      <c r="F922" s="8"/>
      <c r="G922" s="4"/>
      <c r="H922" s="4"/>
      <c r="I922" s="8"/>
      <c r="J922" s="4"/>
      <c r="K922" s="4"/>
      <c r="L922" s="8"/>
      <c r="M922" s="4"/>
      <c r="N922" s="4"/>
      <c r="O922" s="8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</row>
    <row r="923" ht="15.75" customHeight="1">
      <c r="A923" s="4"/>
      <c r="B923" s="4"/>
      <c r="C923" s="8"/>
      <c r="D923" s="4"/>
      <c r="E923" s="4"/>
      <c r="F923" s="8"/>
      <c r="G923" s="4"/>
      <c r="H923" s="4"/>
      <c r="I923" s="8"/>
      <c r="J923" s="4"/>
      <c r="K923" s="4"/>
      <c r="L923" s="8"/>
      <c r="M923" s="4"/>
      <c r="N923" s="4"/>
      <c r="O923" s="8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</row>
    <row r="924" ht="15.75" customHeight="1">
      <c r="A924" s="4"/>
      <c r="B924" s="4"/>
      <c r="C924" s="8"/>
      <c r="D924" s="4"/>
      <c r="E924" s="4"/>
      <c r="F924" s="8"/>
      <c r="G924" s="4"/>
      <c r="H924" s="4"/>
      <c r="I924" s="8"/>
      <c r="J924" s="4"/>
      <c r="K924" s="4"/>
      <c r="L924" s="8"/>
      <c r="M924" s="4"/>
      <c r="N924" s="4"/>
      <c r="O924" s="8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</row>
    <row r="925" ht="15.75" customHeight="1">
      <c r="A925" s="4"/>
      <c r="B925" s="4"/>
      <c r="C925" s="8"/>
      <c r="D925" s="4"/>
      <c r="E925" s="4"/>
      <c r="F925" s="8"/>
      <c r="G925" s="4"/>
      <c r="H925" s="4"/>
      <c r="I925" s="8"/>
      <c r="J925" s="4"/>
      <c r="K925" s="4"/>
      <c r="L925" s="8"/>
      <c r="M925" s="4"/>
      <c r="N925" s="4"/>
      <c r="O925" s="8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</row>
    <row r="926" ht="15.75" customHeight="1">
      <c r="A926" s="4"/>
      <c r="B926" s="4"/>
      <c r="C926" s="8"/>
      <c r="D926" s="4"/>
      <c r="E926" s="4"/>
      <c r="F926" s="8"/>
      <c r="G926" s="4"/>
      <c r="H926" s="4"/>
      <c r="I926" s="8"/>
      <c r="J926" s="4"/>
      <c r="K926" s="4"/>
      <c r="L926" s="8"/>
      <c r="M926" s="4"/>
      <c r="N926" s="4"/>
      <c r="O926" s="8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</row>
    <row r="927" ht="15.75" customHeight="1">
      <c r="A927" s="4"/>
      <c r="B927" s="4"/>
      <c r="C927" s="8"/>
      <c r="D927" s="4"/>
      <c r="E927" s="4"/>
      <c r="F927" s="8"/>
      <c r="G927" s="4"/>
      <c r="H927" s="4"/>
      <c r="I927" s="8"/>
      <c r="J927" s="4"/>
      <c r="K927" s="4"/>
      <c r="L927" s="8"/>
      <c r="M927" s="4"/>
      <c r="N927" s="4"/>
      <c r="O927" s="8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</row>
    <row r="928" ht="15.75" customHeight="1">
      <c r="A928" s="4"/>
      <c r="B928" s="4"/>
      <c r="C928" s="8"/>
      <c r="D928" s="4"/>
      <c r="E928" s="4"/>
      <c r="F928" s="8"/>
      <c r="G928" s="4"/>
      <c r="H928" s="4"/>
      <c r="I928" s="8"/>
      <c r="J928" s="4"/>
      <c r="K928" s="4"/>
      <c r="L928" s="8"/>
      <c r="M928" s="4"/>
      <c r="N928" s="4"/>
      <c r="O928" s="8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</row>
    <row r="929" ht="15.75" customHeight="1">
      <c r="A929" s="4"/>
      <c r="B929" s="4"/>
      <c r="C929" s="8"/>
      <c r="D929" s="4"/>
      <c r="E929" s="4"/>
      <c r="F929" s="8"/>
      <c r="G929" s="4"/>
      <c r="H929" s="4"/>
      <c r="I929" s="8"/>
      <c r="J929" s="4"/>
      <c r="K929" s="4"/>
      <c r="L929" s="8"/>
      <c r="M929" s="4"/>
      <c r="N929" s="4"/>
      <c r="O929" s="8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</row>
    <row r="930" ht="15.75" customHeight="1">
      <c r="A930" s="4"/>
      <c r="B930" s="4"/>
      <c r="C930" s="8"/>
      <c r="D930" s="4"/>
      <c r="E930" s="4"/>
      <c r="F930" s="8"/>
      <c r="G930" s="4"/>
      <c r="H930" s="4"/>
      <c r="I930" s="8"/>
      <c r="J930" s="4"/>
      <c r="K930" s="4"/>
      <c r="L930" s="8"/>
      <c r="M930" s="4"/>
      <c r="N930" s="4"/>
      <c r="O930" s="8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</row>
    <row r="931" ht="15.75" customHeight="1">
      <c r="A931" s="4"/>
      <c r="B931" s="4"/>
      <c r="C931" s="8"/>
      <c r="D931" s="4"/>
      <c r="E931" s="4"/>
      <c r="F931" s="8"/>
      <c r="G931" s="4"/>
      <c r="H931" s="4"/>
      <c r="I931" s="8"/>
      <c r="J931" s="4"/>
      <c r="K931" s="4"/>
      <c r="L931" s="8"/>
      <c r="M931" s="4"/>
      <c r="N931" s="4"/>
      <c r="O931" s="8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</row>
    <row r="932" ht="15.75" customHeight="1">
      <c r="A932" s="4"/>
      <c r="B932" s="4"/>
      <c r="C932" s="8"/>
      <c r="D932" s="4"/>
      <c r="E932" s="4"/>
      <c r="F932" s="8"/>
      <c r="G932" s="4"/>
      <c r="H932" s="4"/>
      <c r="I932" s="8"/>
      <c r="J932" s="4"/>
      <c r="K932" s="4"/>
      <c r="L932" s="8"/>
      <c r="M932" s="4"/>
      <c r="N932" s="4"/>
      <c r="O932" s="8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</row>
    <row r="933" ht="15.75" customHeight="1">
      <c r="A933" s="4"/>
      <c r="B933" s="4"/>
      <c r="C933" s="8"/>
      <c r="D933" s="4"/>
      <c r="E933" s="4"/>
      <c r="F933" s="8"/>
      <c r="G933" s="4"/>
      <c r="H933" s="4"/>
      <c r="I933" s="8"/>
      <c r="J933" s="4"/>
      <c r="K933" s="4"/>
      <c r="L933" s="8"/>
      <c r="M933" s="4"/>
      <c r="N933" s="4"/>
      <c r="O933" s="8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</row>
    <row r="934" ht="15.75" customHeight="1">
      <c r="A934" s="4"/>
      <c r="B934" s="4"/>
      <c r="C934" s="8"/>
      <c r="D934" s="4"/>
      <c r="E934" s="4"/>
      <c r="F934" s="8"/>
      <c r="G934" s="4"/>
      <c r="H934" s="4"/>
      <c r="I934" s="8"/>
      <c r="J934" s="4"/>
      <c r="K934" s="4"/>
      <c r="L934" s="8"/>
      <c r="M934" s="4"/>
      <c r="N934" s="4"/>
      <c r="O934" s="8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</row>
    <row r="935" ht="15.75" customHeight="1">
      <c r="A935" s="4"/>
      <c r="B935" s="4"/>
      <c r="C935" s="8"/>
      <c r="D935" s="4"/>
      <c r="E935" s="4"/>
      <c r="F935" s="8"/>
      <c r="G935" s="4"/>
      <c r="H935" s="4"/>
      <c r="I935" s="8"/>
      <c r="J935" s="4"/>
      <c r="K935" s="4"/>
      <c r="L935" s="8"/>
      <c r="M935" s="4"/>
      <c r="N935" s="4"/>
      <c r="O935" s="8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</row>
    <row r="936" ht="15.75" customHeight="1">
      <c r="A936" s="4"/>
      <c r="B936" s="4"/>
      <c r="C936" s="8"/>
      <c r="D936" s="4"/>
      <c r="E936" s="4"/>
      <c r="F936" s="8"/>
      <c r="G936" s="4"/>
      <c r="H936" s="4"/>
      <c r="I936" s="8"/>
      <c r="J936" s="4"/>
      <c r="K936" s="4"/>
      <c r="L936" s="8"/>
      <c r="M936" s="4"/>
      <c r="N936" s="4"/>
      <c r="O936" s="8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</row>
    <row r="937" ht="15.75" customHeight="1">
      <c r="A937" s="4"/>
      <c r="B937" s="4"/>
      <c r="C937" s="8"/>
      <c r="D937" s="4"/>
      <c r="E937" s="4"/>
      <c r="F937" s="8"/>
      <c r="G937" s="4"/>
      <c r="H937" s="4"/>
      <c r="I937" s="8"/>
      <c r="J937" s="4"/>
      <c r="K937" s="4"/>
      <c r="L937" s="8"/>
      <c r="M937" s="4"/>
      <c r="N937" s="4"/>
      <c r="O937" s="8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</row>
    <row r="938" ht="15.75" customHeight="1">
      <c r="A938" s="4"/>
      <c r="B938" s="4"/>
      <c r="C938" s="8"/>
      <c r="D938" s="4"/>
      <c r="E938" s="4"/>
      <c r="F938" s="8"/>
      <c r="G938" s="4"/>
      <c r="H938" s="4"/>
      <c r="I938" s="8"/>
      <c r="J938" s="4"/>
      <c r="K938" s="4"/>
      <c r="L938" s="8"/>
      <c r="M938" s="4"/>
      <c r="N938" s="4"/>
      <c r="O938" s="8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</row>
    <row r="939" ht="15.75" customHeight="1">
      <c r="A939" s="4"/>
      <c r="B939" s="4"/>
      <c r="C939" s="8"/>
      <c r="D939" s="4"/>
      <c r="E939" s="4"/>
      <c r="F939" s="8"/>
      <c r="G939" s="4"/>
      <c r="H939" s="4"/>
      <c r="I939" s="8"/>
      <c r="J939" s="4"/>
      <c r="K939" s="4"/>
      <c r="L939" s="8"/>
      <c r="M939" s="4"/>
      <c r="N939" s="4"/>
      <c r="O939" s="8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</row>
    <row r="940" ht="15.75" customHeight="1">
      <c r="A940" s="4"/>
      <c r="B940" s="4"/>
      <c r="C940" s="8"/>
      <c r="D940" s="4"/>
      <c r="E940" s="4"/>
      <c r="F940" s="8"/>
      <c r="G940" s="4"/>
      <c r="H940" s="4"/>
      <c r="I940" s="8"/>
      <c r="J940" s="4"/>
      <c r="K940" s="4"/>
      <c r="L940" s="8"/>
      <c r="M940" s="4"/>
      <c r="N940" s="4"/>
      <c r="O940" s="8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</row>
    <row r="941" ht="15.75" customHeight="1">
      <c r="A941" s="4"/>
      <c r="B941" s="4"/>
      <c r="C941" s="8"/>
      <c r="D941" s="4"/>
      <c r="E941" s="4"/>
      <c r="F941" s="8"/>
      <c r="G941" s="4"/>
      <c r="H941" s="4"/>
      <c r="I941" s="8"/>
      <c r="J941" s="4"/>
      <c r="K941" s="4"/>
      <c r="L941" s="8"/>
      <c r="M941" s="4"/>
      <c r="N941" s="4"/>
      <c r="O941" s="8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</row>
    <row r="942" ht="15.75" customHeight="1">
      <c r="A942" s="4"/>
      <c r="B942" s="4"/>
      <c r="C942" s="8"/>
      <c r="D942" s="4"/>
      <c r="E942" s="4"/>
      <c r="F942" s="8"/>
      <c r="G942" s="4"/>
      <c r="H942" s="4"/>
      <c r="I942" s="8"/>
      <c r="J942" s="4"/>
      <c r="K942" s="4"/>
      <c r="L942" s="8"/>
      <c r="M942" s="4"/>
      <c r="N942" s="4"/>
      <c r="O942" s="8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</row>
    <row r="943" ht="15.75" customHeight="1">
      <c r="A943" s="4"/>
      <c r="B943" s="4"/>
      <c r="C943" s="8"/>
      <c r="D943" s="4"/>
      <c r="E943" s="4"/>
      <c r="F943" s="8"/>
      <c r="G943" s="4"/>
      <c r="H943" s="4"/>
      <c r="I943" s="8"/>
      <c r="J943" s="4"/>
      <c r="K943" s="4"/>
      <c r="L943" s="8"/>
      <c r="M943" s="4"/>
      <c r="N943" s="4"/>
      <c r="O943" s="8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</row>
    <row r="944" ht="15.75" customHeight="1">
      <c r="A944" s="4"/>
      <c r="B944" s="4"/>
      <c r="C944" s="8"/>
      <c r="D944" s="4"/>
      <c r="E944" s="4"/>
      <c r="F944" s="8"/>
      <c r="G944" s="4"/>
      <c r="H944" s="4"/>
      <c r="I944" s="8"/>
      <c r="J944" s="4"/>
      <c r="K944" s="4"/>
      <c r="L944" s="8"/>
      <c r="M944" s="4"/>
      <c r="N944" s="4"/>
      <c r="O944" s="8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</row>
    <row r="945" ht="15.75" customHeight="1">
      <c r="A945" s="4"/>
      <c r="B945" s="4"/>
      <c r="C945" s="8"/>
      <c r="D945" s="4"/>
      <c r="E945" s="4"/>
      <c r="F945" s="8"/>
      <c r="G945" s="4"/>
      <c r="H945" s="4"/>
      <c r="I945" s="8"/>
      <c r="J945" s="4"/>
      <c r="K945" s="4"/>
      <c r="L945" s="8"/>
      <c r="M945" s="4"/>
      <c r="N945" s="4"/>
      <c r="O945" s="8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</row>
    <row r="946" ht="15.75" customHeight="1">
      <c r="A946" s="4"/>
      <c r="B946" s="4"/>
      <c r="C946" s="8"/>
      <c r="D946" s="4"/>
      <c r="E946" s="4"/>
      <c r="F946" s="8"/>
      <c r="G946" s="4"/>
      <c r="H946" s="4"/>
      <c r="I946" s="8"/>
      <c r="J946" s="4"/>
      <c r="K946" s="4"/>
      <c r="L946" s="8"/>
      <c r="M946" s="4"/>
      <c r="N946" s="4"/>
      <c r="O946" s="8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</row>
    <row r="947" ht="15.75" customHeight="1">
      <c r="A947" s="4"/>
      <c r="B947" s="4"/>
      <c r="C947" s="8"/>
      <c r="D947" s="4"/>
      <c r="E947" s="4"/>
      <c r="F947" s="8"/>
      <c r="G947" s="4"/>
      <c r="H947" s="4"/>
      <c r="I947" s="8"/>
      <c r="J947" s="4"/>
      <c r="K947" s="4"/>
      <c r="L947" s="8"/>
      <c r="M947" s="4"/>
      <c r="N947" s="4"/>
      <c r="O947" s="8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</row>
    <row r="948" ht="15.75" customHeight="1">
      <c r="A948" s="4"/>
      <c r="B948" s="4"/>
      <c r="C948" s="8"/>
      <c r="D948" s="4"/>
      <c r="E948" s="4"/>
      <c r="F948" s="8"/>
      <c r="G948" s="4"/>
      <c r="H948" s="4"/>
      <c r="I948" s="8"/>
      <c r="J948" s="4"/>
      <c r="K948" s="4"/>
      <c r="L948" s="8"/>
      <c r="M948" s="4"/>
      <c r="N948" s="4"/>
      <c r="O948" s="8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</row>
    <row r="949" ht="15.75" customHeight="1">
      <c r="A949" s="4"/>
      <c r="B949" s="4"/>
      <c r="C949" s="8"/>
      <c r="D949" s="4"/>
      <c r="E949" s="4"/>
      <c r="F949" s="8"/>
      <c r="G949" s="4"/>
      <c r="H949" s="4"/>
      <c r="I949" s="8"/>
      <c r="J949" s="4"/>
      <c r="K949" s="4"/>
      <c r="L949" s="8"/>
      <c r="M949" s="4"/>
      <c r="N949" s="4"/>
      <c r="O949" s="8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</row>
    <row r="950" ht="15.75" customHeight="1">
      <c r="A950" s="4"/>
      <c r="B950" s="4"/>
      <c r="C950" s="8"/>
      <c r="D950" s="4"/>
      <c r="E950" s="4"/>
      <c r="F950" s="8"/>
      <c r="G950" s="4"/>
      <c r="H950" s="4"/>
      <c r="I950" s="8"/>
      <c r="J950" s="4"/>
      <c r="K950" s="4"/>
      <c r="L950" s="8"/>
      <c r="M950" s="4"/>
      <c r="N950" s="4"/>
      <c r="O950" s="8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</row>
    <row r="951" ht="15.75" customHeight="1">
      <c r="A951" s="4"/>
      <c r="B951" s="4"/>
      <c r="C951" s="8"/>
      <c r="D951" s="4"/>
      <c r="E951" s="4"/>
      <c r="F951" s="8"/>
      <c r="G951" s="4"/>
      <c r="H951" s="4"/>
      <c r="I951" s="8"/>
      <c r="J951" s="4"/>
      <c r="K951" s="4"/>
      <c r="L951" s="8"/>
      <c r="M951" s="4"/>
      <c r="N951" s="4"/>
      <c r="O951" s="8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</row>
    <row r="952" ht="15.75" customHeight="1">
      <c r="A952" s="4"/>
      <c r="B952" s="4"/>
      <c r="C952" s="8"/>
      <c r="D952" s="4"/>
      <c r="E952" s="4"/>
      <c r="F952" s="8"/>
      <c r="G952" s="4"/>
      <c r="H952" s="4"/>
      <c r="I952" s="8"/>
      <c r="J952" s="4"/>
      <c r="K952" s="4"/>
      <c r="L952" s="8"/>
      <c r="M952" s="4"/>
      <c r="N952" s="4"/>
      <c r="O952" s="8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</row>
    <row r="953" ht="15.75" customHeight="1">
      <c r="A953" s="4"/>
      <c r="B953" s="4"/>
      <c r="C953" s="8"/>
      <c r="D953" s="4"/>
      <c r="E953" s="4"/>
      <c r="F953" s="8"/>
      <c r="G953" s="4"/>
      <c r="H953" s="4"/>
      <c r="I953" s="8"/>
      <c r="J953" s="4"/>
      <c r="K953" s="4"/>
      <c r="L953" s="8"/>
      <c r="M953" s="4"/>
      <c r="N953" s="4"/>
      <c r="O953" s="8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</row>
    <row r="954" ht="15.75" customHeight="1">
      <c r="A954" s="4"/>
      <c r="B954" s="4"/>
      <c r="C954" s="8"/>
      <c r="D954" s="4"/>
      <c r="E954" s="4"/>
      <c r="F954" s="8"/>
      <c r="G954" s="4"/>
      <c r="H954" s="4"/>
      <c r="I954" s="8"/>
      <c r="J954" s="4"/>
      <c r="K954" s="4"/>
      <c r="L954" s="8"/>
      <c r="M954" s="4"/>
      <c r="N954" s="4"/>
      <c r="O954" s="8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</row>
    <row r="955" ht="15.75" customHeight="1">
      <c r="A955" s="4"/>
      <c r="B955" s="4"/>
      <c r="C955" s="8"/>
      <c r="D955" s="4"/>
      <c r="E955" s="4"/>
      <c r="F955" s="8"/>
      <c r="G955" s="4"/>
      <c r="H955" s="4"/>
      <c r="I955" s="8"/>
      <c r="J955" s="4"/>
      <c r="K955" s="4"/>
      <c r="L955" s="8"/>
      <c r="M955" s="4"/>
      <c r="N955" s="4"/>
      <c r="O955" s="8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</row>
    <row r="956" ht="15.75" customHeight="1">
      <c r="A956" s="4"/>
      <c r="B956" s="4"/>
      <c r="C956" s="8"/>
      <c r="D956" s="4"/>
      <c r="E956" s="4"/>
      <c r="F956" s="8"/>
      <c r="G956" s="4"/>
      <c r="H956" s="4"/>
      <c r="I956" s="8"/>
      <c r="J956" s="4"/>
      <c r="K956" s="4"/>
      <c r="L956" s="8"/>
      <c r="M956" s="4"/>
      <c r="N956" s="4"/>
      <c r="O956" s="8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</row>
    <row r="957" ht="15.75" customHeight="1">
      <c r="A957" s="4"/>
      <c r="B957" s="4"/>
      <c r="C957" s="8"/>
      <c r="D957" s="4"/>
      <c r="E957" s="4"/>
      <c r="F957" s="8"/>
      <c r="G957" s="4"/>
      <c r="H957" s="4"/>
      <c r="I957" s="8"/>
      <c r="J957" s="4"/>
      <c r="K957" s="4"/>
      <c r="L957" s="8"/>
      <c r="M957" s="4"/>
      <c r="N957" s="4"/>
      <c r="O957" s="8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</row>
    <row r="958" ht="15.75" customHeight="1">
      <c r="A958" s="4"/>
      <c r="B958" s="4"/>
      <c r="C958" s="8"/>
      <c r="D958" s="4"/>
      <c r="E958" s="4"/>
      <c r="F958" s="8"/>
      <c r="G958" s="4"/>
      <c r="H958" s="4"/>
      <c r="I958" s="8"/>
      <c r="J958" s="4"/>
      <c r="K958" s="4"/>
      <c r="L958" s="8"/>
      <c r="M958" s="4"/>
      <c r="N958" s="4"/>
      <c r="O958" s="8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</row>
    <row r="959" ht="15.75" customHeight="1">
      <c r="A959" s="4"/>
      <c r="B959" s="4"/>
      <c r="C959" s="8"/>
      <c r="D959" s="4"/>
      <c r="E959" s="4"/>
      <c r="F959" s="8"/>
      <c r="G959" s="4"/>
      <c r="H959" s="4"/>
      <c r="I959" s="8"/>
      <c r="J959" s="4"/>
      <c r="K959" s="4"/>
      <c r="L959" s="8"/>
      <c r="M959" s="4"/>
      <c r="N959" s="4"/>
      <c r="O959" s="8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</row>
    <row r="960" ht="15.75" customHeight="1">
      <c r="A960" s="4"/>
      <c r="B960" s="4"/>
      <c r="C960" s="8"/>
      <c r="D960" s="4"/>
      <c r="E960" s="4"/>
      <c r="F960" s="8"/>
      <c r="G960" s="4"/>
      <c r="H960" s="4"/>
      <c r="I960" s="8"/>
      <c r="J960" s="4"/>
      <c r="K960" s="4"/>
      <c r="L960" s="8"/>
      <c r="M960" s="4"/>
      <c r="N960" s="4"/>
      <c r="O960" s="8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</row>
    <row r="961" ht="15.75" customHeight="1">
      <c r="A961" s="4"/>
      <c r="B961" s="4"/>
      <c r="C961" s="8"/>
      <c r="D961" s="4"/>
      <c r="E961" s="4"/>
      <c r="F961" s="8"/>
      <c r="G961" s="4"/>
      <c r="H961" s="4"/>
      <c r="I961" s="8"/>
      <c r="J961" s="4"/>
      <c r="K961" s="4"/>
      <c r="L961" s="8"/>
      <c r="M961" s="4"/>
      <c r="N961" s="4"/>
      <c r="O961" s="8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</row>
    <row r="962" ht="15.75" customHeight="1">
      <c r="A962" s="4"/>
      <c r="B962" s="4"/>
      <c r="C962" s="8"/>
      <c r="D962" s="4"/>
      <c r="E962" s="4"/>
      <c r="F962" s="8"/>
      <c r="G962" s="4"/>
      <c r="H962" s="4"/>
      <c r="I962" s="8"/>
      <c r="J962" s="4"/>
      <c r="K962" s="4"/>
      <c r="L962" s="8"/>
      <c r="M962" s="4"/>
      <c r="N962" s="4"/>
      <c r="O962" s="8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</row>
    <row r="963" ht="15.75" customHeight="1">
      <c r="A963" s="4"/>
      <c r="B963" s="4"/>
      <c r="C963" s="8"/>
      <c r="D963" s="4"/>
      <c r="E963" s="4"/>
      <c r="F963" s="8"/>
      <c r="G963" s="4"/>
      <c r="H963" s="4"/>
      <c r="I963" s="8"/>
      <c r="J963" s="4"/>
      <c r="K963" s="4"/>
      <c r="L963" s="8"/>
      <c r="M963" s="4"/>
      <c r="N963" s="4"/>
      <c r="O963" s="8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</row>
    <row r="964" ht="15.75" customHeight="1">
      <c r="A964" s="4"/>
      <c r="B964" s="4"/>
      <c r="C964" s="8"/>
      <c r="D964" s="4"/>
      <c r="E964" s="4"/>
      <c r="F964" s="8"/>
      <c r="G964" s="4"/>
      <c r="H964" s="4"/>
      <c r="I964" s="8"/>
      <c r="J964" s="4"/>
      <c r="K964" s="4"/>
      <c r="L964" s="8"/>
      <c r="M964" s="4"/>
      <c r="N964" s="4"/>
      <c r="O964" s="8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</row>
    <row r="965" ht="15.75" customHeight="1">
      <c r="A965" s="4"/>
      <c r="B965" s="4"/>
      <c r="C965" s="8"/>
      <c r="D965" s="4"/>
      <c r="E965" s="4"/>
      <c r="F965" s="8"/>
      <c r="G965" s="4"/>
      <c r="H965" s="4"/>
      <c r="I965" s="8"/>
      <c r="J965" s="4"/>
      <c r="K965" s="4"/>
      <c r="L965" s="8"/>
      <c r="M965" s="4"/>
      <c r="N965" s="4"/>
      <c r="O965" s="8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</row>
    <row r="966" ht="15.75" customHeight="1">
      <c r="A966" s="4"/>
      <c r="B966" s="4"/>
      <c r="C966" s="8"/>
      <c r="D966" s="4"/>
      <c r="E966" s="4"/>
      <c r="F966" s="8"/>
      <c r="G966" s="4"/>
      <c r="H966" s="4"/>
      <c r="I966" s="8"/>
      <c r="J966" s="4"/>
      <c r="K966" s="4"/>
      <c r="L966" s="8"/>
      <c r="M966" s="4"/>
      <c r="N966" s="4"/>
      <c r="O966" s="8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</row>
    <row r="967" ht="15.75" customHeight="1">
      <c r="A967" s="4"/>
      <c r="B967" s="4"/>
      <c r="C967" s="8"/>
      <c r="D967" s="4"/>
      <c r="E967" s="4"/>
      <c r="F967" s="8"/>
      <c r="G967" s="4"/>
      <c r="H967" s="4"/>
      <c r="I967" s="8"/>
      <c r="J967" s="4"/>
      <c r="K967" s="4"/>
      <c r="L967" s="8"/>
      <c r="M967" s="4"/>
      <c r="N967" s="4"/>
      <c r="O967" s="8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</row>
    <row r="968" ht="15.75" customHeight="1">
      <c r="A968" s="4"/>
      <c r="B968" s="4"/>
      <c r="C968" s="8"/>
      <c r="D968" s="4"/>
      <c r="E968" s="4"/>
      <c r="F968" s="8"/>
      <c r="G968" s="4"/>
      <c r="H968" s="4"/>
      <c r="I968" s="8"/>
      <c r="J968" s="4"/>
      <c r="K968" s="4"/>
      <c r="L968" s="8"/>
      <c r="M968" s="4"/>
      <c r="N968" s="4"/>
      <c r="O968" s="8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</row>
    <row r="969" ht="15.75" customHeight="1">
      <c r="A969" s="4"/>
      <c r="B969" s="4"/>
      <c r="C969" s="8"/>
      <c r="D969" s="4"/>
      <c r="E969" s="4"/>
      <c r="F969" s="8"/>
      <c r="G969" s="4"/>
      <c r="H969" s="4"/>
      <c r="I969" s="8"/>
      <c r="J969" s="4"/>
      <c r="K969" s="4"/>
      <c r="L969" s="8"/>
      <c r="M969" s="4"/>
      <c r="N969" s="4"/>
      <c r="O969" s="8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</row>
    <row r="970" ht="15.75" customHeight="1">
      <c r="A970" s="4"/>
      <c r="B970" s="4"/>
      <c r="C970" s="8"/>
      <c r="D970" s="4"/>
      <c r="E970" s="4"/>
      <c r="F970" s="8"/>
      <c r="G970" s="4"/>
      <c r="H970" s="4"/>
      <c r="I970" s="8"/>
      <c r="J970" s="4"/>
      <c r="K970" s="4"/>
      <c r="L970" s="8"/>
      <c r="M970" s="4"/>
      <c r="N970" s="4"/>
      <c r="O970" s="8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</row>
    <row r="971" ht="15.75" customHeight="1">
      <c r="A971" s="4"/>
      <c r="B971" s="4"/>
      <c r="C971" s="8"/>
      <c r="D971" s="4"/>
      <c r="E971" s="4"/>
      <c r="F971" s="8"/>
      <c r="G971" s="4"/>
      <c r="H971" s="4"/>
      <c r="I971" s="8"/>
      <c r="J971" s="4"/>
      <c r="K971" s="4"/>
      <c r="L971" s="8"/>
      <c r="M971" s="4"/>
      <c r="N971" s="4"/>
      <c r="O971" s="8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</row>
    <row r="972" ht="15.75" customHeight="1">
      <c r="A972" s="4"/>
      <c r="B972" s="4"/>
      <c r="C972" s="8"/>
      <c r="D972" s="4"/>
      <c r="E972" s="4"/>
      <c r="F972" s="8"/>
      <c r="G972" s="4"/>
      <c r="H972" s="4"/>
      <c r="I972" s="8"/>
      <c r="J972" s="4"/>
      <c r="K972" s="4"/>
      <c r="L972" s="8"/>
      <c r="M972" s="4"/>
      <c r="N972" s="4"/>
      <c r="O972" s="8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</row>
    <row r="973" ht="15.75" customHeight="1">
      <c r="A973" s="4"/>
      <c r="B973" s="4"/>
      <c r="C973" s="8"/>
      <c r="D973" s="4"/>
      <c r="E973" s="4"/>
      <c r="F973" s="8"/>
      <c r="G973" s="4"/>
      <c r="H973" s="4"/>
      <c r="I973" s="8"/>
      <c r="J973" s="4"/>
      <c r="K973" s="4"/>
      <c r="L973" s="8"/>
      <c r="M973" s="4"/>
      <c r="N973" s="4"/>
      <c r="O973" s="8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</row>
    <row r="974" ht="15.75" customHeight="1">
      <c r="A974" s="4"/>
      <c r="B974" s="4"/>
      <c r="C974" s="8"/>
      <c r="D974" s="4"/>
      <c r="E974" s="4"/>
      <c r="F974" s="8"/>
      <c r="G974" s="4"/>
      <c r="H974" s="4"/>
      <c r="I974" s="8"/>
      <c r="J974" s="4"/>
      <c r="K974" s="4"/>
      <c r="L974" s="8"/>
      <c r="M974" s="4"/>
      <c r="N974" s="4"/>
      <c r="O974" s="8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</row>
    <row r="975" ht="15.75" customHeight="1">
      <c r="A975" s="4"/>
      <c r="B975" s="4"/>
      <c r="C975" s="8"/>
      <c r="D975" s="4"/>
      <c r="E975" s="4"/>
      <c r="F975" s="8"/>
      <c r="G975" s="4"/>
      <c r="H975" s="4"/>
      <c r="I975" s="8"/>
      <c r="J975" s="4"/>
      <c r="K975" s="4"/>
      <c r="L975" s="8"/>
      <c r="M975" s="4"/>
      <c r="N975" s="4"/>
      <c r="O975" s="8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</row>
    <row r="976" ht="15.75" customHeight="1">
      <c r="A976" s="4"/>
      <c r="B976" s="4"/>
      <c r="C976" s="8"/>
      <c r="D976" s="4"/>
      <c r="E976" s="4"/>
      <c r="F976" s="8"/>
      <c r="G976" s="4"/>
      <c r="H976" s="4"/>
      <c r="I976" s="8"/>
      <c r="J976" s="4"/>
      <c r="K976" s="4"/>
      <c r="L976" s="8"/>
      <c r="M976" s="4"/>
      <c r="N976" s="4"/>
      <c r="O976" s="8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</row>
    <row r="977" ht="15.75" customHeight="1">
      <c r="A977" s="4"/>
      <c r="B977" s="4"/>
      <c r="C977" s="8"/>
      <c r="D977" s="4"/>
      <c r="E977" s="4"/>
      <c r="F977" s="8"/>
      <c r="G977" s="4"/>
      <c r="H977" s="4"/>
      <c r="I977" s="8"/>
      <c r="J977" s="4"/>
      <c r="K977" s="4"/>
      <c r="L977" s="8"/>
      <c r="M977" s="4"/>
      <c r="N977" s="4"/>
      <c r="O977" s="8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</row>
    <row r="978" ht="15.75" customHeight="1">
      <c r="A978" s="4"/>
      <c r="B978" s="4"/>
      <c r="C978" s="8"/>
      <c r="D978" s="4"/>
      <c r="E978" s="4"/>
      <c r="F978" s="8"/>
      <c r="G978" s="4"/>
      <c r="H978" s="4"/>
      <c r="I978" s="8"/>
      <c r="J978" s="4"/>
      <c r="K978" s="4"/>
      <c r="L978" s="8"/>
      <c r="M978" s="4"/>
      <c r="N978" s="4"/>
      <c r="O978" s="8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</row>
    <row r="979" ht="15.75" customHeight="1">
      <c r="A979" s="4"/>
      <c r="B979" s="4"/>
      <c r="C979" s="8"/>
      <c r="D979" s="4"/>
      <c r="E979" s="4"/>
      <c r="F979" s="8"/>
      <c r="G979" s="4"/>
      <c r="H979" s="4"/>
      <c r="I979" s="8"/>
      <c r="J979" s="4"/>
      <c r="K979" s="4"/>
      <c r="L979" s="8"/>
      <c r="M979" s="4"/>
      <c r="N979" s="4"/>
      <c r="O979" s="8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</row>
    <row r="980" ht="15.75" customHeight="1">
      <c r="A980" s="4"/>
      <c r="B980" s="4"/>
      <c r="C980" s="8"/>
      <c r="D980" s="4"/>
      <c r="E980" s="4"/>
      <c r="F980" s="8"/>
      <c r="G980" s="4"/>
      <c r="H980" s="4"/>
      <c r="I980" s="8"/>
      <c r="J980" s="4"/>
      <c r="K980" s="4"/>
      <c r="L980" s="8"/>
      <c r="M980" s="4"/>
      <c r="N980" s="4"/>
      <c r="O980" s="8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</row>
    <row r="981" ht="15.75" customHeight="1">
      <c r="A981" s="4"/>
      <c r="B981" s="4"/>
      <c r="C981" s="8"/>
      <c r="D981" s="4"/>
      <c r="E981" s="4"/>
      <c r="F981" s="8"/>
      <c r="G981" s="4"/>
      <c r="H981" s="4"/>
      <c r="I981" s="8"/>
      <c r="J981" s="4"/>
      <c r="K981" s="4"/>
      <c r="L981" s="8"/>
      <c r="M981" s="4"/>
      <c r="N981" s="4"/>
      <c r="O981" s="8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</row>
    <row r="982" ht="15.75" customHeight="1">
      <c r="A982" s="4"/>
      <c r="B982" s="4"/>
      <c r="C982" s="8"/>
      <c r="D982" s="4"/>
      <c r="E982" s="4"/>
      <c r="F982" s="8"/>
      <c r="G982" s="4"/>
      <c r="H982" s="4"/>
      <c r="I982" s="8"/>
      <c r="J982" s="4"/>
      <c r="K982" s="4"/>
      <c r="L982" s="8"/>
      <c r="M982" s="4"/>
      <c r="N982" s="4"/>
      <c r="O982" s="8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</row>
    <row r="983" ht="15.75" customHeight="1">
      <c r="A983" s="4"/>
      <c r="B983" s="4"/>
      <c r="C983" s="8"/>
      <c r="D983" s="4"/>
      <c r="E983" s="4"/>
      <c r="F983" s="8"/>
      <c r="G983" s="4"/>
      <c r="H983" s="4"/>
      <c r="I983" s="8"/>
      <c r="J983" s="4"/>
      <c r="K983" s="4"/>
      <c r="L983" s="8"/>
      <c r="M983" s="4"/>
      <c r="N983" s="4"/>
      <c r="O983" s="8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</row>
    <row r="984" ht="15.75" customHeight="1">
      <c r="A984" s="4"/>
      <c r="B984" s="4"/>
      <c r="C984" s="8"/>
      <c r="D984" s="4"/>
      <c r="E984" s="4"/>
      <c r="F984" s="8"/>
      <c r="G984" s="4"/>
      <c r="H984" s="4"/>
      <c r="I984" s="8"/>
      <c r="J984" s="4"/>
      <c r="K984" s="4"/>
      <c r="L984" s="8"/>
      <c r="M984" s="4"/>
      <c r="N984" s="4"/>
      <c r="O984" s="8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</row>
    <row r="985" ht="15.75" customHeight="1">
      <c r="A985" s="4"/>
      <c r="B985" s="4"/>
      <c r="C985" s="8"/>
      <c r="D985" s="4"/>
      <c r="E985" s="4"/>
      <c r="F985" s="8"/>
      <c r="G985" s="4"/>
      <c r="H985" s="4"/>
      <c r="I985" s="8"/>
      <c r="J985" s="4"/>
      <c r="K985" s="4"/>
      <c r="L985" s="8"/>
      <c r="M985" s="4"/>
      <c r="N985" s="4"/>
      <c r="O985" s="8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</row>
    <row r="986" ht="15.75" customHeight="1">
      <c r="A986" s="4"/>
      <c r="B986" s="4"/>
      <c r="C986" s="8"/>
      <c r="D986" s="4"/>
      <c r="E986" s="4"/>
      <c r="F986" s="8"/>
      <c r="G986" s="4"/>
      <c r="H986" s="4"/>
      <c r="I986" s="8"/>
      <c r="J986" s="4"/>
      <c r="K986" s="4"/>
      <c r="L986" s="8"/>
      <c r="M986" s="4"/>
      <c r="N986" s="4"/>
      <c r="O986" s="8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</row>
    <row r="987" ht="15.75" customHeight="1">
      <c r="A987" s="4"/>
      <c r="B987" s="4"/>
      <c r="C987" s="8"/>
      <c r="D987" s="4"/>
      <c r="E987" s="4"/>
      <c r="F987" s="8"/>
      <c r="G987" s="4"/>
      <c r="H987" s="4"/>
      <c r="I987" s="8"/>
      <c r="J987" s="4"/>
      <c r="K987" s="4"/>
      <c r="L987" s="8"/>
      <c r="M987" s="4"/>
      <c r="N987" s="4"/>
      <c r="O987" s="8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</row>
    <row r="988" ht="15.75" customHeight="1">
      <c r="A988" s="4"/>
      <c r="B988" s="4"/>
      <c r="C988" s="8"/>
      <c r="D988" s="4"/>
      <c r="E988" s="4"/>
      <c r="F988" s="8"/>
      <c r="G988" s="4"/>
      <c r="H988" s="4"/>
      <c r="I988" s="8"/>
      <c r="J988" s="4"/>
      <c r="K988" s="4"/>
      <c r="L988" s="8"/>
      <c r="M988" s="4"/>
      <c r="N988" s="4"/>
      <c r="O988" s="8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</row>
    <row r="989" ht="15.75" customHeight="1">
      <c r="A989" s="4"/>
      <c r="B989" s="4"/>
      <c r="C989" s="8"/>
      <c r="D989" s="4"/>
      <c r="E989" s="4"/>
      <c r="F989" s="8"/>
      <c r="G989" s="4"/>
      <c r="H989" s="4"/>
      <c r="I989" s="8"/>
      <c r="J989" s="4"/>
      <c r="K989" s="4"/>
      <c r="L989" s="8"/>
      <c r="M989" s="4"/>
      <c r="N989" s="4"/>
      <c r="O989" s="8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</row>
    <row r="990" ht="15.75" customHeight="1">
      <c r="A990" s="4"/>
      <c r="B990" s="4"/>
      <c r="C990" s="8"/>
      <c r="D990" s="4"/>
      <c r="E990" s="4"/>
      <c r="F990" s="8"/>
      <c r="G990" s="4"/>
      <c r="H990" s="4"/>
      <c r="I990" s="8"/>
      <c r="J990" s="4"/>
      <c r="K990" s="4"/>
      <c r="L990" s="8"/>
      <c r="M990" s="4"/>
      <c r="N990" s="4"/>
      <c r="O990" s="8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</row>
    <row r="991" ht="15.75" customHeight="1">
      <c r="A991" s="4"/>
      <c r="B991" s="4"/>
      <c r="C991" s="8"/>
      <c r="D991" s="4"/>
      <c r="E991" s="4"/>
      <c r="F991" s="8"/>
      <c r="G991" s="4"/>
      <c r="H991" s="4"/>
      <c r="I991" s="8"/>
      <c r="J991" s="4"/>
      <c r="K991" s="4"/>
      <c r="L991" s="8"/>
      <c r="M991" s="4"/>
      <c r="N991" s="4"/>
      <c r="O991" s="8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</row>
    <row r="992" ht="15.75" customHeight="1">
      <c r="A992" s="4"/>
      <c r="B992" s="4"/>
      <c r="C992" s="8"/>
      <c r="D992" s="4"/>
      <c r="E992" s="4"/>
      <c r="F992" s="8"/>
      <c r="G992" s="4"/>
      <c r="H992" s="4"/>
      <c r="I992" s="8"/>
      <c r="J992" s="4"/>
      <c r="K992" s="4"/>
      <c r="L992" s="8"/>
      <c r="M992" s="4"/>
      <c r="N992" s="4"/>
      <c r="O992" s="8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</row>
    <row r="993" ht="15.75" customHeight="1">
      <c r="A993" s="4"/>
      <c r="B993" s="4"/>
      <c r="C993" s="8"/>
      <c r="D993" s="4"/>
      <c r="E993" s="4"/>
      <c r="F993" s="8"/>
      <c r="G993" s="4"/>
      <c r="H993" s="4"/>
      <c r="I993" s="8"/>
      <c r="J993" s="4"/>
      <c r="K993" s="4"/>
      <c r="L993" s="8"/>
      <c r="M993" s="4"/>
      <c r="N993" s="4"/>
      <c r="O993" s="8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</row>
    <row r="994" ht="15.75" customHeight="1">
      <c r="A994" s="4"/>
      <c r="B994" s="4"/>
      <c r="C994" s="8"/>
      <c r="D994" s="4"/>
      <c r="E994" s="4"/>
      <c r="F994" s="8"/>
      <c r="G994" s="4"/>
      <c r="H994" s="4"/>
      <c r="I994" s="8"/>
      <c r="J994" s="4"/>
      <c r="K994" s="4"/>
      <c r="L994" s="8"/>
      <c r="M994" s="4"/>
      <c r="N994" s="4"/>
      <c r="O994" s="8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</row>
    <row r="995" ht="15.75" customHeight="1">
      <c r="A995" s="4"/>
      <c r="B995" s="4"/>
      <c r="C995" s="8"/>
      <c r="D995" s="4"/>
      <c r="E995" s="4"/>
      <c r="F995" s="8"/>
      <c r="G995" s="4"/>
      <c r="H995" s="4"/>
      <c r="I995" s="8"/>
      <c r="J995" s="4"/>
      <c r="K995" s="4"/>
      <c r="L995" s="8"/>
      <c r="M995" s="4"/>
      <c r="N995" s="4"/>
      <c r="O995" s="8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</row>
    <row r="996" ht="15.75" customHeight="1">
      <c r="A996" s="4"/>
      <c r="B996" s="4"/>
      <c r="C996" s="8"/>
      <c r="D996" s="4"/>
      <c r="E996" s="4"/>
      <c r="F996" s="8"/>
      <c r="G996" s="4"/>
      <c r="H996" s="4"/>
      <c r="I996" s="8"/>
      <c r="J996" s="4"/>
      <c r="K996" s="4"/>
      <c r="L996" s="8"/>
      <c r="M996" s="4"/>
      <c r="N996" s="4"/>
      <c r="O996" s="8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</row>
    <row r="997" ht="15.75" customHeight="1">
      <c r="A997" s="4"/>
      <c r="B997" s="4"/>
      <c r="C997" s="8"/>
      <c r="D997" s="4"/>
      <c r="E997" s="4"/>
      <c r="F997" s="8"/>
      <c r="G997" s="4"/>
      <c r="H997" s="4"/>
      <c r="I997" s="8"/>
      <c r="J997" s="4"/>
      <c r="K997" s="4"/>
      <c r="L997" s="8"/>
      <c r="M997" s="4"/>
      <c r="N997" s="4"/>
      <c r="O997" s="8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</row>
    <row r="998" ht="15.75" customHeight="1">
      <c r="A998" s="4"/>
      <c r="B998" s="4"/>
      <c r="C998" s="8"/>
      <c r="D998" s="4"/>
      <c r="E998" s="4"/>
      <c r="F998" s="8"/>
      <c r="G998" s="4"/>
      <c r="H998" s="4"/>
      <c r="I998" s="8"/>
      <c r="J998" s="4"/>
      <c r="K998" s="4"/>
      <c r="L998" s="8"/>
      <c r="M998" s="4"/>
      <c r="N998" s="4"/>
      <c r="O998" s="8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</row>
    <row r="999" ht="15.75" customHeight="1">
      <c r="A999" s="4"/>
      <c r="B999" s="4"/>
      <c r="C999" s="8"/>
      <c r="D999" s="4"/>
      <c r="E999" s="4"/>
      <c r="F999" s="8"/>
      <c r="G999" s="4"/>
      <c r="H999" s="4"/>
      <c r="I999" s="8"/>
      <c r="J999" s="4"/>
      <c r="K999" s="4"/>
      <c r="L999" s="8"/>
      <c r="M999" s="4"/>
      <c r="N999" s="4"/>
      <c r="O999" s="8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</row>
    <row r="1000" ht="15.75" customHeight="1">
      <c r="A1000" s="4"/>
      <c r="B1000" s="4"/>
      <c r="C1000" s="8"/>
      <c r="D1000" s="4"/>
      <c r="E1000" s="4"/>
      <c r="F1000" s="8"/>
      <c r="G1000" s="4"/>
      <c r="H1000" s="4"/>
      <c r="I1000" s="8"/>
      <c r="J1000" s="4"/>
      <c r="K1000" s="4"/>
      <c r="L1000" s="8"/>
      <c r="M1000" s="4"/>
      <c r="N1000" s="4"/>
      <c r="O1000" s="8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</row>
  </sheetData>
  <mergeCells count="1">
    <mergeCell ref="R4:W4"/>
  </mergeCells>
  <conditionalFormatting sqref="C5:D14 F5:G14 I5:J14 L5:M14 O5:P14 AB5:AL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3.13"/>
    <col customWidth="1" min="3" max="3" width="7.63"/>
    <col customWidth="1" min="4" max="4" width="4.13"/>
    <col customWidth="1" min="5" max="10" width="3.75"/>
    <col customWidth="1" min="11" max="11" width="4.5"/>
    <col customWidth="1" min="12" max="12" width="7.63"/>
    <col customWidth="1" min="13" max="24" width="7.25"/>
    <col hidden="1" min="28" max="29" width="12.63"/>
  </cols>
  <sheetData>
    <row r="1" ht="17.25" customHeight="1">
      <c r="A1" s="2" t="s">
        <v>94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16" t="s">
        <v>28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ht="15.0" customHeight="1">
      <c r="A3" s="19" t="s">
        <v>96</v>
      </c>
      <c r="B3" s="19" t="s">
        <v>34</v>
      </c>
      <c r="C3" s="4"/>
      <c r="D3" s="4"/>
      <c r="E3" s="93" t="s">
        <v>39</v>
      </c>
      <c r="K3" s="4"/>
      <c r="L3" s="94" t="s">
        <v>97</v>
      </c>
      <c r="M3" s="95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4"/>
      <c r="Z3" s="4"/>
      <c r="AA3" s="4"/>
      <c r="AB3" s="19" t="s">
        <v>60</v>
      </c>
      <c r="AC3" s="19" t="s">
        <v>61</v>
      </c>
      <c r="AD3" s="4"/>
      <c r="AE3" s="4"/>
      <c r="AF3" s="4"/>
    </row>
    <row r="4" ht="15.0" customHeight="1">
      <c r="A4" s="97">
        <v>1.0</v>
      </c>
      <c r="B4" s="100">
        <f>average(M5,M16,M26,M35,M45)</f>
        <v>10</v>
      </c>
      <c r="C4" s="4"/>
      <c r="D4" s="4"/>
      <c r="G4" s="59"/>
      <c r="H4" s="101"/>
      <c r="I4" s="59"/>
      <c r="J4" s="101"/>
      <c r="K4" s="4"/>
      <c r="L4" s="103" t="s">
        <v>96</v>
      </c>
      <c r="M4" s="103" t="s">
        <v>99</v>
      </c>
      <c r="N4" s="103" t="s">
        <v>46</v>
      </c>
      <c r="O4" s="103" t="s">
        <v>47</v>
      </c>
      <c r="P4" s="103" t="s">
        <v>48</v>
      </c>
      <c r="Q4" s="103" t="s">
        <v>50</v>
      </c>
      <c r="R4" s="103" t="s">
        <v>52</v>
      </c>
      <c r="S4" s="103" t="s">
        <v>53</v>
      </c>
      <c r="T4" s="103" t="s">
        <v>54</v>
      </c>
      <c r="U4" s="103" t="s">
        <v>55</v>
      </c>
      <c r="V4" s="103" t="s">
        <v>56</v>
      </c>
      <c r="W4" s="103" t="s">
        <v>57</v>
      </c>
      <c r="X4" s="103" t="s">
        <v>58</v>
      </c>
      <c r="Y4" s="4"/>
      <c r="Z4" s="4"/>
      <c r="AA4" s="4"/>
      <c r="AB4" s="16" t="s">
        <v>76</v>
      </c>
      <c r="AC4" s="16"/>
      <c r="AD4" s="4"/>
      <c r="AE4" s="4"/>
      <c r="AF4" s="4"/>
    </row>
    <row r="5" ht="15.0" customHeight="1">
      <c r="A5" s="105">
        <v>2.0</v>
      </c>
      <c r="B5" s="107">
        <v>0.0</v>
      </c>
      <c r="C5" s="4"/>
      <c r="D5" s="4"/>
      <c r="E5" s="59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101">
        <f>IFERROR(__xludf.DUMMYFUNCTION("""COMPUTED_VALUE"""),10.0)</f>
        <v>10</v>
      </c>
      <c r="G5" s="59"/>
      <c r="H5" s="101"/>
      <c r="I5" s="59"/>
      <c r="J5" s="101"/>
      <c r="K5" s="4"/>
      <c r="L5" s="115">
        <v>1.0</v>
      </c>
      <c r="M5" s="116">
        <v>10.0</v>
      </c>
      <c r="N5" s="117">
        <v>0.0</v>
      </c>
      <c r="O5" s="117">
        <v>0.0</v>
      </c>
      <c r="P5" s="117">
        <v>0.0</v>
      </c>
      <c r="Q5" s="117">
        <v>0.0</v>
      </c>
      <c r="R5" s="117">
        <v>0.0</v>
      </c>
      <c r="S5" s="117">
        <v>0.0</v>
      </c>
      <c r="T5" s="117">
        <v>0.0</v>
      </c>
      <c r="U5" s="117">
        <v>0.0</v>
      </c>
      <c r="V5" s="117">
        <v>0.0</v>
      </c>
      <c r="W5" s="117">
        <v>0.0</v>
      </c>
      <c r="X5" s="117">
        <v>0.0</v>
      </c>
      <c r="Y5" s="4"/>
      <c r="Z5" s="4"/>
      <c r="AA5" s="4"/>
      <c r="AB5" s="4" t="s">
        <v>46</v>
      </c>
      <c r="AC5" s="4"/>
      <c r="AD5" s="4"/>
      <c r="AE5" s="4"/>
      <c r="AF5" s="4"/>
    </row>
    <row r="6" ht="15.0" customHeight="1">
      <c r="A6" s="105">
        <v>3.0</v>
      </c>
      <c r="B6" s="107">
        <v>0.0</v>
      </c>
      <c r="C6" s="4"/>
      <c r="D6" s="4"/>
      <c r="E6" s="59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101">
        <f>IFERROR(__xludf.DUMMYFUNCTION("""COMPUTED_VALUE"""),15.0)</f>
        <v>15</v>
      </c>
      <c r="G6" s="59"/>
      <c r="H6" s="101"/>
      <c r="I6" s="59"/>
      <c r="J6" s="101"/>
      <c r="K6" s="4"/>
      <c r="L6" s="115">
        <v>2.0</v>
      </c>
      <c r="M6" s="117">
        <v>0.0</v>
      </c>
      <c r="N6" s="117">
        <v>0.0</v>
      </c>
      <c r="O6" s="117">
        <v>0.0</v>
      </c>
      <c r="P6" s="117">
        <v>0.0</v>
      </c>
      <c r="Q6" s="117">
        <v>0.0</v>
      </c>
      <c r="R6" s="117">
        <v>0.0</v>
      </c>
      <c r="S6" s="117">
        <v>0.0</v>
      </c>
      <c r="T6" s="117">
        <v>0.0</v>
      </c>
      <c r="U6" s="116">
        <v>15.0</v>
      </c>
      <c r="V6" s="117">
        <v>0.0</v>
      </c>
      <c r="W6" s="117">
        <v>0.0</v>
      </c>
      <c r="X6" s="117">
        <v>0.0</v>
      </c>
      <c r="Y6" s="4"/>
      <c r="Z6" s="4"/>
      <c r="AA6" s="4"/>
      <c r="AB6" s="4" t="s">
        <v>47</v>
      </c>
      <c r="AC6" s="16"/>
      <c r="AD6" s="4"/>
      <c r="AE6" s="4"/>
      <c r="AF6" s="4"/>
    </row>
    <row r="7" ht="15.0" customHeight="1">
      <c r="A7" s="105">
        <v>4.0</v>
      </c>
      <c r="B7" s="107">
        <f>mround(average(M8,M18,M28), 1)</f>
        <v>10</v>
      </c>
      <c r="C7" s="4"/>
      <c r="D7" s="4"/>
      <c r="E7" s="59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01">
        <f>IFERROR(__xludf.DUMMYFUNCTION("""COMPUTED_VALUE"""),1.0)</f>
        <v>1</v>
      </c>
      <c r="G7" s="59"/>
      <c r="H7" s="101"/>
      <c r="I7" s="59"/>
      <c r="J7" s="101"/>
      <c r="K7" s="4"/>
      <c r="L7" s="115">
        <v>3.0</v>
      </c>
      <c r="M7" s="117">
        <v>0.0</v>
      </c>
      <c r="N7" s="117">
        <v>0.0</v>
      </c>
      <c r="O7" s="117">
        <v>0.0</v>
      </c>
      <c r="P7" s="117">
        <v>0.0</v>
      </c>
      <c r="Q7" s="117">
        <v>0.0</v>
      </c>
      <c r="R7" s="116">
        <v>1.0</v>
      </c>
      <c r="S7" s="117">
        <v>0.0</v>
      </c>
      <c r="T7" s="117">
        <v>0.0</v>
      </c>
      <c r="U7" s="117">
        <v>0.0</v>
      </c>
      <c r="V7" s="117">
        <v>0.0</v>
      </c>
      <c r="W7" s="117">
        <v>0.0</v>
      </c>
      <c r="X7" s="117">
        <v>0.0</v>
      </c>
      <c r="Y7" s="4"/>
      <c r="Z7" s="4"/>
      <c r="AA7" s="4"/>
      <c r="AB7" s="4" t="s">
        <v>48</v>
      </c>
      <c r="AC7" s="16"/>
      <c r="AD7" s="4"/>
      <c r="AE7" s="4"/>
      <c r="AF7" s="4"/>
    </row>
    <row r="8" ht="15.0" customHeight="1">
      <c r="A8" s="105">
        <v>5.0</v>
      </c>
      <c r="B8" s="107">
        <v>0.0</v>
      </c>
      <c r="C8" s="4"/>
      <c r="D8" s="4"/>
      <c r="E8" s="59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101">
        <f>IFERROR(__xludf.DUMMYFUNCTION("""COMPUTED_VALUE"""),10.0)</f>
        <v>10</v>
      </c>
      <c r="G8" s="59"/>
      <c r="H8" s="101"/>
      <c r="I8" s="59"/>
      <c r="J8" s="101"/>
      <c r="K8" s="4"/>
      <c r="L8" s="115">
        <v>4.0</v>
      </c>
      <c r="M8" s="116">
        <v>10.0</v>
      </c>
      <c r="N8" s="117">
        <v>0.0</v>
      </c>
      <c r="O8" s="117">
        <v>0.0</v>
      </c>
      <c r="P8" s="117">
        <v>0.0</v>
      </c>
      <c r="Q8" s="117">
        <v>0.0</v>
      </c>
      <c r="R8" s="117">
        <v>0.0</v>
      </c>
      <c r="S8" s="117">
        <v>0.0</v>
      </c>
      <c r="T8" s="117">
        <v>0.0</v>
      </c>
      <c r="U8" s="117">
        <v>0.0</v>
      </c>
      <c r="V8" s="117">
        <v>0.0</v>
      </c>
      <c r="W8" s="117">
        <v>0.0</v>
      </c>
      <c r="X8" s="117">
        <v>0.0</v>
      </c>
      <c r="Y8" s="4"/>
      <c r="Z8" s="4"/>
      <c r="AA8" s="4"/>
      <c r="AB8" s="4" t="s">
        <v>50</v>
      </c>
      <c r="AC8" s="16"/>
      <c r="AD8" s="4"/>
      <c r="AE8" s="4"/>
      <c r="AF8" s="4"/>
    </row>
    <row r="9" ht="15.0" customHeight="1">
      <c r="A9" s="105">
        <v>6.0</v>
      </c>
      <c r="B9" s="107">
        <f>mround(AVERAGE(M10, M20, M30, M50),1)</f>
        <v>10</v>
      </c>
      <c r="C9" s="4"/>
      <c r="D9" s="4"/>
      <c r="E9" s="59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01">
        <f>IFERROR(__xludf.DUMMYFUNCTION("""COMPUTED_VALUE"""),1.0)</f>
        <v>1</v>
      </c>
      <c r="G9" s="59"/>
      <c r="H9" s="101"/>
      <c r="I9" s="59"/>
      <c r="J9" s="101"/>
      <c r="K9" s="4"/>
      <c r="L9" s="115">
        <v>5.0</v>
      </c>
      <c r="M9" s="117">
        <v>0.0</v>
      </c>
      <c r="N9" s="117">
        <v>0.0</v>
      </c>
      <c r="O9" s="117">
        <v>0.0</v>
      </c>
      <c r="P9" s="117">
        <v>0.0</v>
      </c>
      <c r="Q9" s="117">
        <v>0.0</v>
      </c>
      <c r="R9" s="117">
        <v>0.0</v>
      </c>
      <c r="S9" s="116">
        <v>1.0</v>
      </c>
      <c r="T9" s="117">
        <v>0.0</v>
      </c>
      <c r="U9" s="117">
        <v>0.0</v>
      </c>
      <c r="V9" s="117">
        <v>0.0</v>
      </c>
      <c r="W9" s="117">
        <v>0.0</v>
      </c>
      <c r="X9" s="117">
        <v>0.0</v>
      </c>
      <c r="Y9" s="4"/>
      <c r="Z9" s="4"/>
      <c r="AA9" s="4"/>
      <c r="AB9" s="4" t="s">
        <v>52</v>
      </c>
      <c r="AC9" s="16"/>
      <c r="AD9" s="4"/>
      <c r="AE9" s="4"/>
      <c r="AF9" s="4"/>
    </row>
    <row r="10" ht="15.0" customHeight="1">
      <c r="A10" s="138">
        <v>7.0</v>
      </c>
      <c r="B10" s="139">
        <v>100.0</v>
      </c>
      <c r="C10" s="4"/>
      <c r="D10" s="4"/>
      <c r="E10" s="59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101">
        <f>IFERROR(__xludf.DUMMYFUNCTION("""COMPUTED_VALUE"""),10.0)</f>
        <v>10</v>
      </c>
      <c r="G10" s="59"/>
      <c r="H10" s="101"/>
      <c r="I10" s="59"/>
      <c r="J10" s="101"/>
      <c r="K10" s="4"/>
      <c r="L10" s="115">
        <v>6.0</v>
      </c>
      <c r="M10" s="116">
        <v>10.0</v>
      </c>
      <c r="N10" s="117">
        <v>0.0</v>
      </c>
      <c r="O10" s="117">
        <v>0.0</v>
      </c>
      <c r="P10" s="117">
        <v>0.0</v>
      </c>
      <c r="Q10" s="117">
        <v>0.0</v>
      </c>
      <c r="R10" s="117">
        <v>0.0</v>
      </c>
      <c r="S10" s="117">
        <v>0.0</v>
      </c>
      <c r="T10" s="117">
        <v>0.0</v>
      </c>
      <c r="U10" s="117">
        <v>0.0</v>
      </c>
      <c r="V10" s="117">
        <v>0.0</v>
      </c>
      <c r="W10" s="117">
        <v>0.0</v>
      </c>
      <c r="X10" s="117">
        <v>0.0</v>
      </c>
      <c r="Y10" s="4"/>
      <c r="Z10" s="4"/>
      <c r="AA10" s="4"/>
      <c r="AB10" s="4" t="s">
        <v>53</v>
      </c>
      <c r="AC10" s="16"/>
      <c r="AD10" s="4"/>
      <c r="AE10" s="4"/>
      <c r="AF10" s="4"/>
    </row>
    <row r="11">
      <c r="A11" s="4"/>
      <c r="B11" s="4"/>
      <c r="C11" s="4"/>
      <c r="D11" s="4"/>
      <c r="E11" s="59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101">
        <f>IFERROR(__xludf.DUMMYFUNCTION("""COMPUTED_VALUE"""),100.0)</f>
        <v>100</v>
      </c>
      <c r="G11" s="59" t="str">
        <f>IFERROR(__xludf.DUMMYFUNCTION("""COMPUTED_VALUE"""),"")</f>
        <v/>
      </c>
      <c r="H11" s="101">
        <f>IFERROR(__xludf.DUMMYFUNCTION("""COMPUTED_VALUE"""),120.0)</f>
        <v>120</v>
      </c>
      <c r="I11" s="59" t="str">
        <f>IFERROR(__xludf.DUMMYFUNCTION("""COMPUTED_VALUE"""),"")</f>
        <v/>
      </c>
      <c r="J11" s="101">
        <f>IFERROR(__xludf.DUMMYFUNCTION("""COMPUTED_VALUE"""),60.0)</f>
        <v>60</v>
      </c>
      <c r="K11" s="4"/>
      <c r="L11" s="115">
        <v>7.0</v>
      </c>
      <c r="M11" s="116">
        <v>100.0</v>
      </c>
      <c r="N11" s="117">
        <v>0.0</v>
      </c>
      <c r="O11" s="117">
        <v>0.0</v>
      </c>
      <c r="P11" s="117">
        <v>0.0</v>
      </c>
      <c r="Q11" s="117">
        <v>0.0</v>
      </c>
      <c r="R11" s="117">
        <v>0.0</v>
      </c>
      <c r="S11" s="117">
        <v>0.0</v>
      </c>
      <c r="T11" s="117">
        <v>0.0</v>
      </c>
      <c r="U11" s="116">
        <v>120.0</v>
      </c>
      <c r="V11" s="116">
        <v>60.0</v>
      </c>
      <c r="W11" s="117">
        <v>0.0</v>
      </c>
      <c r="X11" s="117">
        <v>0.0</v>
      </c>
      <c r="Y11" s="4"/>
      <c r="Z11" s="4"/>
      <c r="AA11" s="4"/>
      <c r="AB11" s="4" t="s">
        <v>54</v>
      </c>
      <c r="AC11" s="16"/>
      <c r="AD11" s="4"/>
      <c r="AE11" s="4"/>
      <c r="AF11" s="4"/>
    </row>
    <row r="12" ht="15.0" customHeight="1">
      <c r="A12" s="83" t="s">
        <v>93</v>
      </c>
      <c r="B12" s="84">
        <f>SUM(B4:B10)</f>
        <v>130</v>
      </c>
      <c r="C12" s="4"/>
      <c r="D12" s="4"/>
      <c r="E12" s="59"/>
      <c r="F12" s="101"/>
      <c r="G12" s="59"/>
      <c r="H12" s="101"/>
      <c r="I12" s="59"/>
      <c r="J12" s="101"/>
      <c r="K12" s="4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4"/>
      <c r="Z12" s="4"/>
      <c r="AA12" s="4"/>
      <c r="AB12" s="4" t="s">
        <v>55</v>
      </c>
      <c r="AC12" s="16"/>
      <c r="AD12" s="4"/>
      <c r="AE12" s="4"/>
      <c r="AF12" s="4"/>
    </row>
    <row r="13" ht="15.0" customHeight="1">
      <c r="A13" s="83" t="s">
        <v>100</v>
      </c>
      <c r="B13" s="92">
        <f>B12/7</f>
        <v>18.57142857</v>
      </c>
      <c r="C13" s="4"/>
      <c r="D13" s="4"/>
      <c r="E13" s="59"/>
      <c r="F13" s="101"/>
      <c r="G13" s="59"/>
      <c r="H13" s="101"/>
      <c r="I13" s="59"/>
      <c r="J13" s="101"/>
      <c r="K13" s="4"/>
      <c r="L13" s="94" t="s">
        <v>101</v>
      </c>
      <c r="M13" s="95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4"/>
      <c r="Z13" s="4"/>
      <c r="AA13" s="4"/>
      <c r="AB13" s="4" t="s">
        <v>56</v>
      </c>
      <c r="AC13" s="16"/>
      <c r="AD13" s="4"/>
      <c r="AE13" s="4"/>
      <c r="AF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103" t="s">
        <v>96</v>
      </c>
      <c r="M14" s="103" t="s">
        <v>99</v>
      </c>
      <c r="N14" s="103" t="s">
        <v>46</v>
      </c>
      <c r="O14" s="103" t="s">
        <v>47</v>
      </c>
      <c r="P14" s="103" t="s">
        <v>48</v>
      </c>
      <c r="Q14" s="103" t="s">
        <v>50</v>
      </c>
      <c r="R14" s="103" t="s">
        <v>52</v>
      </c>
      <c r="S14" s="103" t="s">
        <v>53</v>
      </c>
      <c r="T14" s="103" t="s">
        <v>54</v>
      </c>
      <c r="U14" s="103" t="s">
        <v>55</v>
      </c>
      <c r="V14" s="103" t="s">
        <v>56</v>
      </c>
      <c r="W14" s="103" t="s">
        <v>57</v>
      </c>
      <c r="X14" s="103" t="s">
        <v>58</v>
      </c>
      <c r="Y14" s="4"/>
      <c r="Z14" s="4"/>
      <c r="AA14" s="4"/>
      <c r="AB14" s="4" t="s">
        <v>57</v>
      </c>
      <c r="AC14" s="16"/>
      <c r="AD14" s="4"/>
      <c r="AE14" s="4"/>
      <c r="AF14" s="4"/>
    </row>
    <row r="15">
      <c r="A15" s="4"/>
      <c r="B15" s="4"/>
      <c r="C15" s="4"/>
      <c r="D15" s="4"/>
      <c r="E15" s="59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101">
        <f>IFERROR(__xludf.DUMMYFUNCTION("""COMPUTED_VALUE"""),20.0)</f>
        <v>20</v>
      </c>
      <c r="G15" s="59"/>
      <c r="H15" s="101"/>
      <c r="I15" s="59"/>
      <c r="J15" s="101"/>
      <c r="K15" s="4"/>
      <c r="L15" s="115">
        <v>1.0</v>
      </c>
      <c r="M15" s="117">
        <v>0.0</v>
      </c>
      <c r="N15" s="117">
        <v>0.0</v>
      </c>
      <c r="O15" s="117">
        <v>0.0</v>
      </c>
      <c r="P15" s="117">
        <v>0.0</v>
      </c>
      <c r="Q15" s="117">
        <v>0.0</v>
      </c>
      <c r="R15" s="117">
        <v>0.0</v>
      </c>
      <c r="S15" s="117">
        <v>0.0</v>
      </c>
      <c r="T15" s="117">
        <v>0.0</v>
      </c>
      <c r="U15" s="116">
        <v>20.0</v>
      </c>
      <c r="V15" s="117">
        <v>0.0</v>
      </c>
      <c r="W15" s="117">
        <v>0.0</v>
      </c>
      <c r="X15" s="117">
        <v>0.0</v>
      </c>
      <c r="Y15" s="4"/>
      <c r="Z15" s="4"/>
      <c r="AA15" s="4"/>
      <c r="AB15" s="4" t="s">
        <v>58</v>
      </c>
      <c r="AC15" s="16"/>
      <c r="AD15" s="4"/>
      <c r="AE15" s="4"/>
      <c r="AF15" s="4"/>
    </row>
    <row r="16">
      <c r="A16" s="4"/>
      <c r="B16" s="4"/>
      <c r="C16" s="4"/>
      <c r="D16" s="4"/>
      <c r="E16" s="59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101">
        <f>IFERROR(__xludf.DUMMYFUNCTION("""COMPUTED_VALUE"""),10.0)</f>
        <v>10</v>
      </c>
      <c r="G16" s="59"/>
      <c r="H16" s="101"/>
      <c r="I16" s="59"/>
      <c r="J16" s="101"/>
      <c r="K16" s="4"/>
      <c r="L16" s="115">
        <v>2.0</v>
      </c>
      <c r="M16" s="116">
        <v>10.0</v>
      </c>
      <c r="N16" s="117">
        <v>0.0</v>
      </c>
      <c r="O16" s="117">
        <v>0.0</v>
      </c>
      <c r="P16" s="117">
        <v>0.0</v>
      </c>
      <c r="Q16" s="117">
        <v>0.0</v>
      </c>
      <c r="R16" s="117">
        <v>0.0</v>
      </c>
      <c r="S16" s="117">
        <v>0.0</v>
      </c>
      <c r="T16" s="117">
        <v>0.0</v>
      </c>
      <c r="U16" s="117">
        <v>0.0</v>
      </c>
      <c r="V16" s="117">
        <v>0.0</v>
      </c>
      <c r="W16" s="117">
        <v>0.0</v>
      </c>
      <c r="X16" s="117">
        <v>0.0</v>
      </c>
      <c r="Y16" s="4"/>
      <c r="Z16" s="4"/>
      <c r="AA16" s="4"/>
      <c r="AB16" s="4"/>
      <c r="AC16" s="4"/>
      <c r="AD16" s="4"/>
      <c r="AE16" s="4"/>
      <c r="AF16" s="4"/>
    </row>
    <row r="17">
      <c r="A17" s="4"/>
      <c r="B17" s="4"/>
      <c r="C17" s="4"/>
      <c r="D17" s="4"/>
      <c r="E17" s="59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101">
        <f>IFERROR(__xludf.DUMMYFUNCTION("""COMPUTED_VALUE"""),1.0)</f>
        <v>1</v>
      </c>
      <c r="G17" s="59"/>
      <c r="H17" s="101"/>
      <c r="I17" s="59"/>
      <c r="J17" s="101"/>
      <c r="K17" s="4"/>
      <c r="L17" s="115">
        <v>3.0</v>
      </c>
      <c r="M17" s="117">
        <v>0.0</v>
      </c>
      <c r="N17" s="117">
        <v>0.0</v>
      </c>
      <c r="O17" s="117">
        <v>0.0</v>
      </c>
      <c r="P17" s="117">
        <v>0.0</v>
      </c>
      <c r="Q17" s="117">
        <v>0.0</v>
      </c>
      <c r="R17" s="116">
        <v>1.0</v>
      </c>
      <c r="S17" s="117">
        <v>0.0</v>
      </c>
      <c r="T17" s="117">
        <v>0.0</v>
      </c>
      <c r="U17" s="117">
        <v>0.0</v>
      </c>
      <c r="V17" s="117">
        <v>0.0</v>
      </c>
      <c r="W17" s="117">
        <v>0.0</v>
      </c>
      <c r="X17" s="117">
        <v>0.0</v>
      </c>
      <c r="Y17" s="4"/>
      <c r="Z17" s="4"/>
      <c r="AA17" s="4"/>
      <c r="AB17" s="4"/>
      <c r="AC17" s="4"/>
      <c r="AD17" s="4"/>
      <c r="AE17" s="4"/>
      <c r="AF17" s="4"/>
    </row>
    <row r="18">
      <c r="A18" s="4"/>
      <c r="B18" s="4"/>
      <c r="C18" s="4"/>
      <c r="D18" s="4"/>
      <c r="E18" s="59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101">
        <f>IFERROR(__xludf.DUMMYFUNCTION("""COMPUTED_VALUE"""),10.0)</f>
        <v>10</v>
      </c>
      <c r="G18" s="59"/>
      <c r="H18" s="101"/>
      <c r="I18" s="59"/>
      <c r="J18" s="101"/>
      <c r="K18" s="4"/>
      <c r="L18" s="115">
        <v>4.0</v>
      </c>
      <c r="M18" s="116">
        <v>10.0</v>
      </c>
      <c r="N18" s="117">
        <v>0.0</v>
      </c>
      <c r="O18" s="117">
        <v>0.0</v>
      </c>
      <c r="P18" s="117">
        <v>0.0</v>
      </c>
      <c r="Q18" s="117">
        <v>0.0</v>
      </c>
      <c r="R18" s="117">
        <v>0.0</v>
      </c>
      <c r="S18" s="117">
        <v>0.0</v>
      </c>
      <c r="T18" s="117">
        <v>0.0</v>
      </c>
      <c r="U18" s="117">
        <v>0.0</v>
      </c>
      <c r="V18" s="117">
        <v>0.0</v>
      </c>
      <c r="W18" s="117">
        <v>0.0</v>
      </c>
      <c r="X18" s="117">
        <v>0.0</v>
      </c>
      <c r="Y18" s="4"/>
      <c r="Z18" s="4"/>
      <c r="AA18" s="4"/>
      <c r="AB18" s="4"/>
      <c r="AC18" s="4"/>
      <c r="AD18" s="4"/>
      <c r="AE18" s="4"/>
      <c r="AF18" s="4"/>
    </row>
    <row r="19">
      <c r="A19" s="4"/>
      <c r="B19" s="4"/>
      <c r="C19" s="4"/>
      <c r="D19" s="4"/>
      <c r="E19" s="59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101">
        <f>IFERROR(__xludf.DUMMYFUNCTION("""COMPUTED_VALUE"""),1.0)</f>
        <v>1</v>
      </c>
      <c r="G19" s="59"/>
      <c r="H19" s="101"/>
      <c r="I19" s="59"/>
      <c r="J19" s="101"/>
      <c r="K19" s="4"/>
      <c r="L19" s="115">
        <v>5.0</v>
      </c>
      <c r="M19" s="117">
        <v>0.0</v>
      </c>
      <c r="N19" s="117">
        <v>0.0</v>
      </c>
      <c r="O19" s="117">
        <v>0.0</v>
      </c>
      <c r="P19" s="117">
        <v>0.0</v>
      </c>
      <c r="Q19" s="117">
        <v>0.0</v>
      </c>
      <c r="R19" s="117">
        <v>0.0</v>
      </c>
      <c r="S19" s="116">
        <v>1.0</v>
      </c>
      <c r="T19" s="117">
        <v>0.0</v>
      </c>
      <c r="U19" s="117">
        <v>0.0</v>
      </c>
      <c r="V19" s="117">
        <v>0.0</v>
      </c>
      <c r="W19" s="117">
        <v>0.0</v>
      </c>
      <c r="X19" s="117">
        <v>0.0</v>
      </c>
      <c r="Y19" s="4"/>
      <c r="Z19" s="4"/>
      <c r="AA19" s="4"/>
      <c r="AB19" s="4"/>
      <c r="AC19" s="4"/>
      <c r="AD19" s="4"/>
      <c r="AE19" s="4"/>
      <c r="AF19" s="4"/>
    </row>
    <row r="20">
      <c r="A20" s="4"/>
      <c r="B20" s="4"/>
      <c r="C20" s="4"/>
      <c r="D20" s="4"/>
      <c r="E20" s="59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101">
        <f>IFERROR(__xludf.DUMMYFUNCTION("""COMPUTED_VALUE"""),10.0)</f>
        <v>10</v>
      </c>
      <c r="G20" s="59"/>
      <c r="H20" s="101"/>
      <c r="I20" s="59"/>
      <c r="J20" s="101"/>
      <c r="K20" s="4"/>
      <c r="L20" s="115">
        <v>6.0</v>
      </c>
      <c r="M20" s="116">
        <v>10.0</v>
      </c>
      <c r="N20" s="117">
        <v>0.0</v>
      </c>
      <c r="O20" s="117">
        <v>0.0</v>
      </c>
      <c r="P20" s="117">
        <v>0.0</v>
      </c>
      <c r="Q20" s="117">
        <v>0.0</v>
      </c>
      <c r="R20" s="117">
        <v>0.0</v>
      </c>
      <c r="S20" s="117">
        <v>0.0</v>
      </c>
      <c r="T20" s="117">
        <v>0.0</v>
      </c>
      <c r="U20" s="117">
        <v>0.0</v>
      </c>
      <c r="V20" s="117">
        <v>0.0</v>
      </c>
      <c r="W20" s="117">
        <v>0.0</v>
      </c>
      <c r="X20" s="117">
        <v>0.0</v>
      </c>
      <c r="Y20" s="4"/>
      <c r="Z20" s="4"/>
      <c r="AA20" s="4"/>
      <c r="AB20" s="4"/>
      <c r="AC20" s="4"/>
      <c r="AD20" s="4"/>
      <c r="AE20" s="4"/>
      <c r="AF20" s="4"/>
    </row>
    <row r="21" ht="15.75" customHeight="1">
      <c r="A21" s="4"/>
      <c r="B21" s="4"/>
      <c r="C21" s="4"/>
      <c r="D21" s="4"/>
      <c r="E21" s="59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101">
        <f>IFERROR(__xludf.DUMMYFUNCTION("""COMPUTED_VALUE"""),100.0)</f>
        <v>100</v>
      </c>
      <c r="G21" s="59" t="str">
        <f>IFERROR(__xludf.DUMMYFUNCTION("""COMPUTED_VALUE"""),"")</f>
        <v/>
      </c>
      <c r="H21" s="101">
        <f>IFERROR(__xludf.DUMMYFUNCTION("""COMPUTED_VALUE"""),120.0)</f>
        <v>120</v>
      </c>
      <c r="I21" s="59" t="str">
        <f>IFERROR(__xludf.DUMMYFUNCTION("""COMPUTED_VALUE"""),"")</f>
        <v/>
      </c>
      <c r="J21" s="101">
        <f>IFERROR(__xludf.DUMMYFUNCTION("""COMPUTED_VALUE"""),60.0)</f>
        <v>60</v>
      </c>
      <c r="K21" s="4"/>
      <c r="L21" s="115">
        <v>7.0</v>
      </c>
      <c r="M21" s="116">
        <v>100.0</v>
      </c>
      <c r="N21" s="117">
        <v>0.0</v>
      </c>
      <c r="O21" s="117">
        <v>0.0</v>
      </c>
      <c r="P21" s="117">
        <v>0.0</v>
      </c>
      <c r="Q21" s="117">
        <v>0.0</v>
      </c>
      <c r="R21" s="117">
        <v>0.0</v>
      </c>
      <c r="S21" s="117">
        <v>0.0</v>
      </c>
      <c r="T21" s="117">
        <v>0.0</v>
      </c>
      <c r="U21" s="116">
        <v>120.0</v>
      </c>
      <c r="V21" s="117">
        <v>0.0</v>
      </c>
      <c r="W21" s="116">
        <v>60.0</v>
      </c>
      <c r="X21" s="117">
        <v>0.0</v>
      </c>
      <c r="Y21" s="4"/>
      <c r="Z21" s="4"/>
      <c r="AA21" s="4"/>
      <c r="AB21" s="4"/>
      <c r="AC21" s="4"/>
      <c r="AD21" s="4"/>
      <c r="AE21" s="4"/>
      <c r="AF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4"/>
      <c r="Z22" s="4"/>
      <c r="AA22" s="4"/>
      <c r="AB22" s="4"/>
      <c r="AC22" s="4"/>
      <c r="AD22" s="4"/>
      <c r="AE22" s="4"/>
      <c r="AF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94" t="s">
        <v>103</v>
      </c>
      <c r="M23" s="95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4"/>
      <c r="Z23" s="4"/>
      <c r="AA23" s="4"/>
      <c r="AB23" s="4"/>
      <c r="AC23" s="4"/>
      <c r="AD23" s="4"/>
      <c r="AE23" s="4"/>
      <c r="AF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103" t="s">
        <v>96</v>
      </c>
      <c r="M24" s="103" t="s">
        <v>99</v>
      </c>
      <c r="N24" s="103" t="s">
        <v>46</v>
      </c>
      <c r="O24" s="103" t="s">
        <v>47</v>
      </c>
      <c r="P24" s="103" t="s">
        <v>48</v>
      </c>
      <c r="Q24" s="103" t="s">
        <v>50</v>
      </c>
      <c r="R24" s="103" t="s">
        <v>52</v>
      </c>
      <c r="S24" s="103" t="s">
        <v>53</v>
      </c>
      <c r="T24" s="103" t="s">
        <v>54</v>
      </c>
      <c r="U24" s="103" t="s">
        <v>55</v>
      </c>
      <c r="V24" s="103" t="s">
        <v>56</v>
      </c>
      <c r="W24" s="103" t="s">
        <v>57</v>
      </c>
      <c r="X24" s="103" t="s">
        <v>58</v>
      </c>
      <c r="Y24" s="4"/>
      <c r="Z24" s="4"/>
      <c r="AA24" s="4"/>
      <c r="AB24" s="4"/>
      <c r="AC24" s="4"/>
      <c r="AD24" s="4"/>
      <c r="AE24" s="4"/>
      <c r="AF24" s="4"/>
    </row>
    <row r="25" ht="15.75" customHeight="1">
      <c r="A25" s="4"/>
      <c r="B25" s="4"/>
      <c r="C25" s="4"/>
      <c r="D25" s="4"/>
      <c r="E25" s="59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101">
        <f>IFERROR(__xludf.DUMMYFUNCTION("""COMPUTED_VALUE"""),15.0)</f>
        <v>15</v>
      </c>
      <c r="G25" s="59"/>
      <c r="H25" s="101"/>
      <c r="I25" s="59"/>
      <c r="J25" s="101"/>
      <c r="K25" s="4"/>
      <c r="L25" s="115">
        <v>1.0</v>
      </c>
      <c r="M25" s="117">
        <v>0.0</v>
      </c>
      <c r="N25" s="117">
        <v>0.0</v>
      </c>
      <c r="O25" s="117">
        <v>0.0</v>
      </c>
      <c r="P25" s="117">
        <v>0.0</v>
      </c>
      <c r="Q25" s="117">
        <v>0.0</v>
      </c>
      <c r="R25" s="117">
        <v>0.0</v>
      </c>
      <c r="S25" s="117">
        <v>0.0</v>
      </c>
      <c r="T25" s="117">
        <v>0.0</v>
      </c>
      <c r="U25" s="116">
        <v>15.0</v>
      </c>
      <c r="V25" s="117">
        <v>0.0</v>
      </c>
      <c r="W25" s="117">
        <v>0.0</v>
      </c>
      <c r="X25" s="117">
        <v>0.0</v>
      </c>
      <c r="Y25" s="4"/>
      <c r="Z25" s="4"/>
      <c r="AA25" s="4"/>
      <c r="AB25" s="4"/>
      <c r="AC25" s="4"/>
      <c r="AD25" s="4"/>
      <c r="AE25" s="4"/>
      <c r="AF25" s="4"/>
    </row>
    <row r="26" ht="15.75" customHeight="1">
      <c r="A26" s="4"/>
      <c r="B26" s="4"/>
      <c r="C26" s="4"/>
      <c r="D26" s="4"/>
      <c r="E26" s="59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101">
        <f>IFERROR(__xludf.DUMMYFUNCTION("""COMPUTED_VALUE"""),10.0)</f>
        <v>10</v>
      </c>
      <c r="G26" s="59"/>
      <c r="H26" s="101"/>
      <c r="I26" s="59"/>
      <c r="J26" s="101"/>
      <c r="K26" s="4"/>
      <c r="L26" s="115">
        <v>2.0</v>
      </c>
      <c r="M26" s="116">
        <v>10.0</v>
      </c>
      <c r="N26" s="117">
        <v>0.0</v>
      </c>
      <c r="O26" s="117">
        <v>0.0</v>
      </c>
      <c r="P26" s="117">
        <v>0.0</v>
      </c>
      <c r="Q26" s="117">
        <v>0.0</v>
      </c>
      <c r="R26" s="117">
        <v>0.0</v>
      </c>
      <c r="S26" s="117">
        <v>0.0</v>
      </c>
      <c r="T26" s="117">
        <v>0.0</v>
      </c>
      <c r="U26" s="117">
        <v>0.0</v>
      </c>
      <c r="V26" s="117">
        <v>0.0</v>
      </c>
      <c r="W26" s="117">
        <v>0.0</v>
      </c>
      <c r="X26" s="117">
        <v>0.0</v>
      </c>
      <c r="Y26" s="4"/>
      <c r="Z26" s="4"/>
      <c r="AA26" s="4"/>
      <c r="AB26" s="4"/>
      <c r="AC26" s="4"/>
      <c r="AD26" s="4"/>
      <c r="AE26" s="4"/>
      <c r="AF26" s="4"/>
    </row>
    <row r="27" ht="15.75" customHeight="1">
      <c r="A27" s="4"/>
      <c r="B27" s="4"/>
      <c r="C27" s="4"/>
      <c r="D27" s="4"/>
      <c r="E27" s="59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101">
        <f>IFERROR(__xludf.DUMMYFUNCTION("""COMPUTED_VALUE"""),1.0)</f>
        <v>1</v>
      </c>
      <c r="G27" s="59"/>
      <c r="H27" s="101"/>
      <c r="I27" s="59"/>
      <c r="J27" s="101"/>
      <c r="K27" s="4"/>
      <c r="L27" s="115">
        <v>3.0</v>
      </c>
      <c r="M27" s="117">
        <v>0.0</v>
      </c>
      <c r="N27" s="117">
        <v>0.0</v>
      </c>
      <c r="O27" s="117">
        <v>0.0</v>
      </c>
      <c r="P27" s="117">
        <v>0.0</v>
      </c>
      <c r="Q27" s="117">
        <v>0.0</v>
      </c>
      <c r="R27" s="116">
        <v>1.0</v>
      </c>
      <c r="S27" s="117">
        <v>0.0</v>
      </c>
      <c r="T27" s="117">
        <v>0.0</v>
      </c>
      <c r="U27" s="117">
        <v>0.0</v>
      </c>
      <c r="V27" s="117">
        <v>0.0</v>
      </c>
      <c r="W27" s="117">
        <v>0.0</v>
      </c>
      <c r="X27" s="117">
        <v>0.0</v>
      </c>
      <c r="Y27" s="4"/>
      <c r="Z27" s="4"/>
      <c r="AA27" s="4"/>
      <c r="AB27" s="4"/>
      <c r="AC27" s="4"/>
      <c r="AD27" s="4"/>
      <c r="AE27" s="4"/>
      <c r="AF27" s="4"/>
    </row>
    <row r="28" ht="15.75" customHeight="1">
      <c r="A28" s="4"/>
      <c r="B28" s="4"/>
      <c r="C28" s="4"/>
      <c r="D28" s="4"/>
      <c r="E28" s="59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101">
        <f>IFERROR(__xludf.DUMMYFUNCTION("""COMPUTED_VALUE"""),10.0)</f>
        <v>10</v>
      </c>
      <c r="G28" s="59"/>
      <c r="H28" s="101"/>
      <c r="I28" s="59"/>
      <c r="J28" s="101"/>
      <c r="K28" s="4"/>
      <c r="L28" s="115">
        <v>4.0</v>
      </c>
      <c r="M28" s="116">
        <v>10.0</v>
      </c>
      <c r="N28" s="117">
        <v>0.0</v>
      </c>
      <c r="O28" s="117">
        <v>0.0</v>
      </c>
      <c r="P28" s="117">
        <v>0.0</v>
      </c>
      <c r="Q28" s="117">
        <v>0.0</v>
      </c>
      <c r="R28" s="117">
        <v>0.0</v>
      </c>
      <c r="S28" s="117">
        <v>0.0</v>
      </c>
      <c r="T28" s="117">
        <v>0.0</v>
      </c>
      <c r="U28" s="117">
        <v>0.0</v>
      </c>
      <c r="V28" s="117">
        <v>0.0</v>
      </c>
      <c r="W28" s="117">
        <v>0.0</v>
      </c>
      <c r="X28" s="117">
        <v>0.0</v>
      </c>
      <c r="Y28" s="4"/>
      <c r="Z28" s="4"/>
      <c r="AA28" s="4"/>
      <c r="AB28" s="4"/>
      <c r="AC28" s="4"/>
      <c r="AD28" s="4"/>
      <c r="AE28" s="4"/>
      <c r="AF28" s="4"/>
    </row>
    <row r="29" ht="15.75" customHeight="1">
      <c r="A29" s="4"/>
      <c r="B29" s="4"/>
      <c r="C29" s="4"/>
      <c r="D29" s="4"/>
      <c r="E29" s="59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101">
        <f>IFERROR(__xludf.DUMMYFUNCTION("""COMPUTED_VALUE"""),1.0)</f>
        <v>1</v>
      </c>
      <c r="G29" s="59"/>
      <c r="H29" s="101"/>
      <c r="I29" s="59"/>
      <c r="J29" s="101"/>
      <c r="K29" s="4"/>
      <c r="L29" s="115">
        <v>5.0</v>
      </c>
      <c r="M29" s="117">
        <v>0.0</v>
      </c>
      <c r="N29" s="117">
        <v>0.0</v>
      </c>
      <c r="O29" s="117">
        <v>0.0</v>
      </c>
      <c r="P29" s="117">
        <v>0.0</v>
      </c>
      <c r="Q29" s="117">
        <v>0.0</v>
      </c>
      <c r="R29" s="117">
        <v>0.0</v>
      </c>
      <c r="S29" s="116">
        <v>1.0</v>
      </c>
      <c r="T29" s="117">
        <v>0.0</v>
      </c>
      <c r="U29" s="117">
        <v>0.0</v>
      </c>
      <c r="V29" s="117">
        <v>0.0</v>
      </c>
      <c r="W29" s="117">
        <v>0.0</v>
      </c>
      <c r="X29" s="117">
        <v>0.0</v>
      </c>
      <c r="Y29" s="4"/>
      <c r="Z29" s="4"/>
      <c r="AA29" s="4"/>
      <c r="AB29" s="4"/>
      <c r="AC29" s="4"/>
      <c r="AD29" s="4"/>
      <c r="AE29" s="4"/>
      <c r="AF29" s="4"/>
    </row>
    <row r="30" ht="15.75" customHeight="1">
      <c r="A30" s="4"/>
      <c r="B30" s="4"/>
      <c r="C30" s="4"/>
      <c r="D30" s="4"/>
      <c r="E30" s="59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101">
        <f>IFERROR(__xludf.DUMMYFUNCTION("""COMPUTED_VALUE"""),10.0)</f>
        <v>10</v>
      </c>
      <c r="G30" s="59"/>
      <c r="H30" s="101"/>
      <c r="I30" s="59"/>
      <c r="J30" s="101"/>
      <c r="K30" s="4"/>
      <c r="L30" s="115">
        <v>6.0</v>
      </c>
      <c r="M30" s="116">
        <v>10.0</v>
      </c>
      <c r="N30" s="117">
        <v>0.0</v>
      </c>
      <c r="O30" s="117">
        <v>0.0</v>
      </c>
      <c r="P30" s="117">
        <v>0.0</v>
      </c>
      <c r="Q30" s="117">
        <v>0.0</v>
      </c>
      <c r="R30" s="117">
        <v>0.0</v>
      </c>
      <c r="S30" s="117">
        <v>0.0</v>
      </c>
      <c r="T30" s="117">
        <v>0.0</v>
      </c>
      <c r="U30" s="117">
        <v>0.0</v>
      </c>
      <c r="V30" s="117">
        <v>0.0</v>
      </c>
      <c r="W30" s="117">
        <v>0.0</v>
      </c>
      <c r="X30" s="117">
        <v>0.0</v>
      </c>
      <c r="Y30" s="4"/>
      <c r="Z30" s="4"/>
      <c r="AA30" s="4"/>
      <c r="AB30" s="4"/>
      <c r="AC30" s="4"/>
      <c r="AD30" s="4"/>
      <c r="AE30" s="4"/>
      <c r="AF30" s="4"/>
    </row>
    <row r="31" ht="15.75" customHeight="1">
      <c r="A31" s="4"/>
      <c r="B31" s="4"/>
      <c r="C31" s="4"/>
      <c r="D31" s="4"/>
      <c r="E31" s="59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101">
        <f>IFERROR(__xludf.DUMMYFUNCTION("""COMPUTED_VALUE"""),100.0)</f>
        <v>100</v>
      </c>
      <c r="G31" s="59" t="str">
        <f>IFERROR(__xludf.DUMMYFUNCTION("""COMPUTED_VALUE"""),"")</f>
        <v/>
      </c>
      <c r="H31" s="101">
        <f>IFERROR(__xludf.DUMMYFUNCTION("""COMPUTED_VALUE"""),120.0)</f>
        <v>120</v>
      </c>
      <c r="I31" s="59" t="str">
        <f>IFERROR(__xludf.DUMMYFUNCTION("""COMPUTED_VALUE"""),"")</f>
        <v/>
      </c>
      <c r="J31" s="101">
        <f>IFERROR(__xludf.DUMMYFUNCTION("""COMPUTED_VALUE"""),30.0)</f>
        <v>30</v>
      </c>
      <c r="K31" s="4"/>
      <c r="L31" s="115">
        <v>7.0</v>
      </c>
      <c r="M31" s="116">
        <v>100.0</v>
      </c>
      <c r="N31" s="117">
        <v>0.0</v>
      </c>
      <c r="O31" s="117">
        <v>0.0</v>
      </c>
      <c r="P31" s="117">
        <v>0.0</v>
      </c>
      <c r="Q31" s="117">
        <v>0.0</v>
      </c>
      <c r="R31" s="117">
        <v>0.0</v>
      </c>
      <c r="S31" s="117">
        <v>0.0</v>
      </c>
      <c r="T31" s="117">
        <v>0.0</v>
      </c>
      <c r="U31" s="116">
        <v>120.0</v>
      </c>
      <c r="V31" s="117">
        <v>0.0</v>
      </c>
      <c r="W31" s="117">
        <v>0.0</v>
      </c>
      <c r="X31" s="116">
        <v>30.0</v>
      </c>
      <c r="Y31" s="4"/>
      <c r="Z31" s="4"/>
      <c r="AA31" s="4"/>
      <c r="AB31" s="4"/>
      <c r="AC31" s="4"/>
      <c r="AD31" s="4"/>
      <c r="AE31" s="4"/>
      <c r="AF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4"/>
      <c r="Z32" s="4"/>
      <c r="AA32" s="4"/>
      <c r="AB32" s="4"/>
      <c r="AC32" s="4"/>
      <c r="AD32" s="4"/>
      <c r="AE32" s="4"/>
      <c r="AF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94" t="s">
        <v>104</v>
      </c>
      <c r="M33" s="95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4"/>
      <c r="Z33" s="4"/>
      <c r="AA33" s="4"/>
      <c r="AB33" s="4"/>
      <c r="AC33" s="4"/>
      <c r="AD33" s="4"/>
      <c r="AE33" s="4"/>
      <c r="AF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103" t="s">
        <v>96</v>
      </c>
      <c r="M34" s="103" t="s">
        <v>99</v>
      </c>
      <c r="N34" s="103" t="s">
        <v>46</v>
      </c>
      <c r="O34" s="103" t="s">
        <v>47</v>
      </c>
      <c r="P34" s="103" t="s">
        <v>48</v>
      </c>
      <c r="Q34" s="103" t="s">
        <v>50</v>
      </c>
      <c r="R34" s="103" t="s">
        <v>52</v>
      </c>
      <c r="S34" s="103" t="s">
        <v>53</v>
      </c>
      <c r="T34" s="103" t="s">
        <v>54</v>
      </c>
      <c r="U34" s="103" t="s">
        <v>55</v>
      </c>
      <c r="V34" s="103" t="s">
        <v>56</v>
      </c>
      <c r="W34" s="103" t="s">
        <v>57</v>
      </c>
      <c r="X34" s="103" t="s">
        <v>58</v>
      </c>
      <c r="Y34" s="4"/>
      <c r="Z34" s="4"/>
      <c r="AA34" s="4"/>
      <c r="AB34" s="4"/>
      <c r="AC34" s="4"/>
      <c r="AD34" s="4"/>
      <c r="AE34" s="4"/>
      <c r="AF34" s="4"/>
    </row>
    <row r="35" ht="15.75" customHeight="1">
      <c r="A35" s="4"/>
      <c r="B35" s="4"/>
      <c r="C35" s="4"/>
      <c r="D35" s="4"/>
      <c r="E35" s="59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101">
        <f>IFERROR(__xludf.DUMMYFUNCTION("""COMPUTED_VALUE"""),10.0)</f>
        <v>10</v>
      </c>
      <c r="G35" s="59"/>
      <c r="H35" s="101"/>
      <c r="I35" s="59"/>
      <c r="J35" s="101"/>
      <c r="K35" s="4"/>
      <c r="L35" s="115">
        <v>1.0</v>
      </c>
      <c r="M35" s="116">
        <v>10.0</v>
      </c>
      <c r="N35" s="117">
        <v>0.0</v>
      </c>
      <c r="O35" s="117">
        <v>0.0</v>
      </c>
      <c r="P35" s="117">
        <v>0.0</v>
      </c>
      <c r="Q35" s="117">
        <v>0.0</v>
      </c>
      <c r="R35" s="117">
        <v>0.0</v>
      </c>
      <c r="S35" s="117">
        <v>0.0</v>
      </c>
      <c r="T35" s="117">
        <v>0.0</v>
      </c>
      <c r="U35" s="117">
        <v>0.0</v>
      </c>
      <c r="V35" s="117">
        <v>0.0</v>
      </c>
      <c r="W35" s="117">
        <v>0.0</v>
      </c>
      <c r="X35" s="117">
        <v>0.0</v>
      </c>
      <c r="Y35" s="4"/>
      <c r="Z35" s="4"/>
      <c r="AA35" s="4"/>
      <c r="AB35" s="4"/>
      <c r="AC35" s="4"/>
      <c r="AD35" s="4"/>
      <c r="AE35" s="4"/>
      <c r="AF35" s="4"/>
    </row>
    <row r="36" ht="15.75" customHeight="1">
      <c r="A36" s="4"/>
      <c r="B36" s="4"/>
      <c r="C36" s="4"/>
      <c r="D36" s="4"/>
      <c r="E36" s="59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101">
        <f>IFERROR(__xludf.DUMMYFUNCTION("""COMPUTED_VALUE"""),30.0)</f>
        <v>30</v>
      </c>
      <c r="G36" s="59"/>
      <c r="H36" s="101"/>
      <c r="I36" s="59"/>
      <c r="J36" s="101"/>
      <c r="K36" s="4"/>
      <c r="L36" s="115">
        <v>2.0</v>
      </c>
      <c r="M36" s="117">
        <v>0.0</v>
      </c>
      <c r="N36" s="117">
        <v>0.0</v>
      </c>
      <c r="O36" s="117">
        <v>0.0</v>
      </c>
      <c r="P36" s="117">
        <v>0.0</v>
      </c>
      <c r="Q36" s="117">
        <v>0.0</v>
      </c>
      <c r="R36" s="117">
        <v>0.0</v>
      </c>
      <c r="S36" s="117">
        <v>0.0</v>
      </c>
      <c r="T36" s="117">
        <v>0.0</v>
      </c>
      <c r="U36" s="116">
        <v>30.0</v>
      </c>
      <c r="V36" s="117">
        <v>0.0</v>
      </c>
      <c r="W36" s="117">
        <v>0.0</v>
      </c>
      <c r="X36" s="117">
        <v>0.0</v>
      </c>
      <c r="Y36" s="4"/>
      <c r="Z36" s="4"/>
      <c r="AA36" s="4"/>
      <c r="AB36" s="4"/>
      <c r="AC36" s="4"/>
      <c r="AD36" s="4"/>
      <c r="AE36" s="4"/>
      <c r="AF36" s="4"/>
    </row>
    <row r="37" ht="15.75" customHeight="1">
      <c r="A37" s="4"/>
      <c r="B37" s="4"/>
      <c r="C37" s="4"/>
      <c r="D37" s="4"/>
      <c r="E37" s="59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101">
        <f>IFERROR(__xludf.DUMMYFUNCTION("""COMPUTED_VALUE"""),1.0)</f>
        <v>1</v>
      </c>
      <c r="G37" s="59"/>
      <c r="H37" s="101"/>
      <c r="I37" s="59"/>
      <c r="J37" s="101"/>
      <c r="K37" s="4"/>
      <c r="L37" s="115">
        <v>3.0</v>
      </c>
      <c r="M37" s="117">
        <v>0.0</v>
      </c>
      <c r="N37" s="117">
        <v>0.0</v>
      </c>
      <c r="O37" s="117">
        <v>0.0</v>
      </c>
      <c r="P37" s="117">
        <v>0.0</v>
      </c>
      <c r="Q37" s="117">
        <v>0.0</v>
      </c>
      <c r="R37" s="117">
        <v>0.0</v>
      </c>
      <c r="S37" s="116">
        <v>1.0</v>
      </c>
      <c r="T37" s="117">
        <v>0.0</v>
      </c>
      <c r="U37" s="117">
        <v>0.0</v>
      </c>
      <c r="V37" s="117">
        <v>0.0</v>
      </c>
      <c r="W37" s="117">
        <v>0.0</v>
      </c>
      <c r="X37" s="117">
        <v>0.0</v>
      </c>
      <c r="Y37" s="4"/>
      <c r="Z37" s="4"/>
      <c r="AA37" s="4"/>
      <c r="AB37" s="4"/>
      <c r="AC37" s="4"/>
      <c r="AD37" s="4"/>
      <c r="AE37" s="4"/>
      <c r="AF37" s="4"/>
    </row>
    <row r="38" ht="15.75" customHeight="1">
      <c r="A38" s="4"/>
      <c r="B38" s="4"/>
      <c r="C38" s="4"/>
      <c r="D38" s="4"/>
      <c r="E38" s="59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101">
        <f>IFERROR(__xludf.DUMMYFUNCTION("""COMPUTED_VALUE"""),1.0)</f>
        <v>1</v>
      </c>
      <c r="G38" s="59"/>
      <c r="H38" s="101"/>
      <c r="I38" s="59"/>
      <c r="J38" s="101"/>
      <c r="K38" s="4"/>
      <c r="L38" s="115">
        <v>4.0</v>
      </c>
      <c r="M38" s="117">
        <v>0.0</v>
      </c>
      <c r="N38" s="117">
        <v>0.0</v>
      </c>
      <c r="O38" s="117">
        <v>0.0</v>
      </c>
      <c r="P38" s="117">
        <v>0.0</v>
      </c>
      <c r="Q38" s="117">
        <v>0.0</v>
      </c>
      <c r="R38" s="116">
        <v>1.0</v>
      </c>
      <c r="S38" s="117">
        <v>0.0</v>
      </c>
      <c r="T38" s="117">
        <v>0.0</v>
      </c>
      <c r="U38" s="117">
        <v>0.0</v>
      </c>
      <c r="V38" s="117">
        <v>0.0</v>
      </c>
      <c r="W38" s="117">
        <v>0.0</v>
      </c>
      <c r="X38" s="117">
        <v>0.0</v>
      </c>
      <c r="Y38" s="4"/>
      <c r="Z38" s="4"/>
      <c r="AA38" s="4"/>
      <c r="AB38" s="4"/>
      <c r="AC38" s="4"/>
      <c r="AD38" s="4"/>
      <c r="AE38" s="4"/>
      <c r="AF38" s="4"/>
    </row>
    <row r="39" ht="15.75" customHeight="1">
      <c r="A39" s="4"/>
      <c r="B39" s="4"/>
      <c r="C39" s="4"/>
      <c r="D39" s="4"/>
      <c r="E39" s="59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101">
        <f>IFERROR(__xludf.DUMMYFUNCTION("""COMPUTED_VALUE"""),10.0)</f>
        <v>10</v>
      </c>
      <c r="G39" s="59"/>
      <c r="H39" s="101"/>
      <c r="I39" s="59"/>
      <c r="J39" s="101"/>
      <c r="K39" s="4"/>
      <c r="L39" s="115">
        <v>5.0</v>
      </c>
      <c r="M39" s="116">
        <v>10.0</v>
      </c>
      <c r="N39" s="117">
        <v>0.0</v>
      </c>
      <c r="O39" s="117">
        <v>0.0</v>
      </c>
      <c r="P39" s="117">
        <v>0.0</v>
      </c>
      <c r="Q39" s="117">
        <v>0.0</v>
      </c>
      <c r="R39" s="117">
        <v>0.0</v>
      </c>
      <c r="S39" s="117">
        <v>0.0</v>
      </c>
      <c r="T39" s="117">
        <v>0.0</v>
      </c>
      <c r="U39" s="117">
        <v>0.0</v>
      </c>
      <c r="V39" s="117">
        <v>0.0</v>
      </c>
      <c r="W39" s="117">
        <v>0.0</v>
      </c>
      <c r="X39" s="117">
        <v>0.0</v>
      </c>
      <c r="Y39" s="4"/>
      <c r="Z39" s="4"/>
      <c r="AA39" s="4"/>
      <c r="AB39" s="4"/>
      <c r="AC39" s="4"/>
      <c r="AD39" s="4"/>
      <c r="AE39" s="4"/>
      <c r="AF39" s="4"/>
    </row>
    <row r="40" ht="15.75" customHeight="1">
      <c r="A40" s="4"/>
      <c r="B40" s="4"/>
      <c r="C40" s="4"/>
      <c r="D40" s="4"/>
      <c r="E40" s="59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101">
        <f>IFERROR(__xludf.DUMMYFUNCTION("""COMPUTED_VALUE"""),1.0)</f>
        <v>1</v>
      </c>
      <c r="G40" s="59"/>
      <c r="H40" s="101"/>
      <c r="I40" s="59"/>
      <c r="J40" s="101"/>
      <c r="K40" s="4"/>
      <c r="L40" s="115">
        <v>6.0</v>
      </c>
      <c r="M40" s="117">
        <v>0.0</v>
      </c>
      <c r="N40" s="117">
        <v>0.0</v>
      </c>
      <c r="O40" s="117">
        <v>0.0</v>
      </c>
      <c r="P40" s="117">
        <v>0.0</v>
      </c>
      <c r="Q40" s="117">
        <v>0.0</v>
      </c>
      <c r="R40" s="116">
        <v>1.0</v>
      </c>
      <c r="S40" s="117">
        <v>0.0</v>
      </c>
      <c r="T40" s="117">
        <v>0.0</v>
      </c>
      <c r="U40" s="117">
        <v>0.0</v>
      </c>
      <c r="V40" s="117">
        <v>0.0</v>
      </c>
      <c r="W40" s="117">
        <v>0.0</v>
      </c>
      <c r="X40" s="117">
        <v>0.0</v>
      </c>
      <c r="Y40" s="4"/>
      <c r="Z40" s="4"/>
      <c r="AA40" s="4"/>
      <c r="AB40" s="4"/>
      <c r="AC40" s="4"/>
      <c r="AD40" s="4"/>
      <c r="AE40" s="4"/>
      <c r="AF40" s="4"/>
    </row>
    <row r="41" ht="15.75" customHeight="1">
      <c r="A41" s="4"/>
      <c r="B41" s="4"/>
      <c r="C41" s="4"/>
      <c r="D41" s="4"/>
      <c r="E41" s="59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101">
        <f>IFERROR(__xludf.DUMMYFUNCTION("""COMPUTED_VALUE"""),100.0)</f>
        <v>100</v>
      </c>
      <c r="G41" s="59" t="str">
        <f>IFERROR(__xludf.DUMMYFUNCTION("""COMPUTED_VALUE"""),"")</f>
        <v/>
      </c>
      <c r="H41" s="101">
        <f>IFERROR(__xludf.DUMMYFUNCTION("""COMPUTED_VALUE"""),1.0)</f>
        <v>1</v>
      </c>
      <c r="I41" s="59" t="str">
        <f>IFERROR(__xludf.DUMMYFUNCTION("""COMPUTED_VALUE"""),"")</f>
        <v/>
      </c>
      <c r="J41" s="101">
        <f>IFERROR(__xludf.DUMMYFUNCTION("""COMPUTED_VALUE"""),120.0)</f>
        <v>120</v>
      </c>
      <c r="K41" s="4"/>
      <c r="L41" s="115">
        <v>7.0</v>
      </c>
      <c r="M41" s="116">
        <v>100.0</v>
      </c>
      <c r="N41" s="117">
        <v>0.0</v>
      </c>
      <c r="O41" s="117">
        <v>0.0</v>
      </c>
      <c r="P41" s="117">
        <v>0.0</v>
      </c>
      <c r="Q41" s="117">
        <v>0.0</v>
      </c>
      <c r="R41" s="117">
        <v>0.0</v>
      </c>
      <c r="S41" s="117">
        <v>0.0</v>
      </c>
      <c r="T41" s="116">
        <v>1.0</v>
      </c>
      <c r="U41" s="116">
        <v>120.0</v>
      </c>
      <c r="V41" s="117">
        <v>0.0</v>
      </c>
      <c r="W41" s="117">
        <v>0.0</v>
      </c>
      <c r="X41" s="117">
        <v>0.0</v>
      </c>
      <c r="Y41" s="4"/>
      <c r="Z41" s="4"/>
      <c r="AA41" s="4"/>
      <c r="AB41" s="4"/>
      <c r="AC41" s="4"/>
      <c r="AD41" s="4"/>
      <c r="AE41" s="4"/>
      <c r="AF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4"/>
      <c r="Z42" s="4"/>
      <c r="AA42" s="4"/>
      <c r="AB42" s="4"/>
      <c r="AC42" s="4"/>
      <c r="AD42" s="4"/>
      <c r="AE42" s="4"/>
      <c r="AF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94" t="s">
        <v>105</v>
      </c>
      <c r="M43" s="95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4"/>
      <c r="Z43" s="4"/>
      <c r="AA43" s="4"/>
      <c r="AB43" s="4"/>
      <c r="AC43" s="4"/>
      <c r="AD43" s="4"/>
      <c r="AE43" s="4"/>
      <c r="AF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103" t="s">
        <v>96</v>
      </c>
      <c r="M44" s="103" t="s">
        <v>99</v>
      </c>
      <c r="N44" s="103" t="s">
        <v>46</v>
      </c>
      <c r="O44" s="103" t="s">
        <v>47</v>
      </c>
      <c r="P44" s="103" t="s">
        <v>48</v>
      </c>
      <c r="Q44" s="103" t="s">
        <v>50</v>
      </c>
      <c r="R44" s="103" t="s">
        <v>52</v>
      </c>
      <c r="S44" s="103" t="s">
        <v>53</v>
      </c>
      <c r="T44" s="103" t="s">
        <v>54</v>
      </c>
      <c r="U44" s="103" t="s">
        <v>55</v>
      </c>
      <c r="V44" s="103" t="s">
        <v>56</v>
      </c>
      <c r="W44" s="103" t="s">
        <v>57</v>
      </c>
      <c r="X44" s="103" t="s">
        <v>58</v>
      </c>
      <c r="Y44" s="4"/>
      <c r="Z44" s="4"/>
      <c r="AA44" s="4"/>
      <c r="AB44" s="4"/>
      <c r="AC44" s="4"/>
      <c r="AD44" s="4"/>
      <c r="AE44" s="4"/>
      <c r="AF44" s="4"/>
    </row>
    <row r="45" ht="15.75" customHeight="1">
      <c r="A45" s="4"/>
      <c r="B45" s="4"/>
      <c r="C45" s="4"/>
      <c r="D45" s="4"/>
      <c r="E45" s="59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101">
        <f>IFERROR(__xludf.DUMMYFUNCTION("""COMPUTED_VALUE"""),10.0)</f>
        <v>10</v>
      </c>
      <c r="G45" s="59"/>
      <c r="H45" s="101"/>
      <c r="I45" s="59"/>
      <c r="J45" s="101"/>
      <c r="K45" s="4"/>
      <c r="L45" s="115">
        <v>1.0</v>
      </c>
      <c r="M45" s="116">
        <v>10.0</v>
      </c>
      <c r="N45" s="117">
        <v>0.0</v>
      </c>
      <c r="O45" s="117">
        <v>0.0</v>
      </c>
      <c r="P45" s="117">
        <v>0.0</v>
      </c>
      <c r="Q45" s="117">
        <v>0.0</v>
      </c>
      <c r="R45" s="117">
        <v>0.0</v>
      </c>
      <c r="S45" s="117">
        <v>0.0</v>
      </c>
      <c r="T45" s="117">
        <v>0.0</v>
      </c>
      <c r="U45" s="117">
        <v>0.0</v>
      </c>
      <c r="V45" s="117">
        <v>0.0</v>
      </c>
      <c r="W45" s="117">
        <v>0.0</v>
      </c>
      <c r="X45" s="117">
        <v>0.0</v>
      </c>
      <c r="Y45" s="4"/>
      <c r="Z45" s="4"/>
      <c r="AA45" s="4"/>
      <c r="AB45" s="4"/>
      <c r="AC45" s="4"/>
      <c r="AD45" s="4"/>
      <c r="AE45" s="4"/>
      <c r="AF45" s="4"/>
    </row>
    <row r="46" ht="15.75" customHeight="1">
      <c r="A46" s="4"/>
      <c r="B46" s="4"/>
      <c r="C46" s="4"/>
      <c r="D46" s="4"/>
      <c r="E46" s="59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101">
        <f>IFERROR(__xludf.DUMMYFUNCTION("""COMPUTED_VALUE"""),15.0)</f>
        <v>15</v>
      </c>
      <c r="G46" s="59"/>
      <c r="H46" s="101"/>
      <c r="I46" s="59"/>
      <c r="J46" s="101"/>
      <c r="K46" s="4"/>
      <c r="L46" s="115">
        <v>2.0</v>
      </c>
      <c r="M46" s="117">
        <v>0.0</v>
      </c>
      <c r="N46" s="117">
        <v>0.0</v>
      </c>
      <c r="O46" s="117">
        <v>0.0</v>
      </c>
      <c r="P46" s="117">
        <v>0.0</v>
      </c>
      <c r="Q46" s="117">
        <v>0.0</v>
      </c>
      <c r="R46" s="117">
        <v>0.0</v>
      </c>
      <c r="S46" s="117">
        <v>0.0</v>
      </c>
      <c r="T46" s="117">
        <v>0.0</v>
      </c>
      <c r="U46" s="116">
        <v>15.0</v>
      </c>
      <c r="V46" s="117">
        <v>0.0</v>
      </c>
      <c r="W46" s="117">
        <v>0.0</v>
      </c>
      <c r="X46" s="117">
        <v>0.0</v>
      </c>
      <c r="Y46" s="4"/>
      <c r="Z46" s="4"/>
      <c r="AA46" s="4"/>
      <c r="AB46" s="4"/>
      <c r="AC46" s="4"/>
      <c r="AD46" s="4"/>
      <c r="AE46" s="4"/>
      <c r="AF46" s="4"/>
    </row>
    <row r="47" ht="15.75" customHeight="1">
      <c r="A47" s="4"/>
      <c r="B47" s="4"/>
      <c r="C47" s="4"/>
      <c r="D47" s="4"/>
      <c r="E47" s="59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101">
        <f>IFERROR(__xludf.DUMMYFUNCTION("""COMPUTED_VALUE"""),1.0)</f>
        <v>1</v>
      </c>
      <c r="G47" s="59"/>
      <c r="H47" s="101"/>
      <c r="I47" s="59"/>
      <c r="J47" s="101"/>
      <c r="K47" s="4"/>
      <c r="L47" s="115">
        <v>3.0</v>
      </c>
      <c r="M47" s="117">
        <v>0.0</v>
      </c>
      <c r="N47" s="117">
        <v>0.0</v>
      </c>
      <c r="O47" s="117">
        <v>0.0</v>
      </c>
      <c r="P47" s="117">
        <v>0.0</v>
      </c>
      <c r="Q47" s="117">
        <v>0.0</v>
      </c>
      <c r="R47" s="116">
        <v>1.0</v>
      </c>
      <c r="S47" s="117">
        <v>0.0</v>
      </c>
      <c r="T47" s="117">
        <v>0.0</v>
      </c>
      <c r="U47" s="117">
        <v>0.0</v>
      </c>
      <c r="V47" s="117">
        <v>0.0</v>
      </c>
      <c r="W47" s="117">
        <v>0.0</v>
      </c>
      <c r="X47" s="117">
        <v>0.0</v>
      </c>
      <c r="Y47" s="4"/>
      <c r="Z47" s="4"/>
      <c r="AA47" s="4"/>
      <c r="AB47" s="4"/>
      <c r="AC47" s="4"/>
      <c r="AD47" s="4"/>
      <c r="AE47" s="4"/>
      <c r="AF47" s="4"/>
    </row>
    <row r="48" ht="15.75" customHeight="1">
      <c r="A48" s="4"/>
      <c r="B48" s="4"/>
      <c r="C48" s="4"/>
      <c r="D48" s="4"/>
      <c r="E48" s="59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101">
        <f>IFERROR(__xludf.DUMMYFUNCTION("""COMPUTED_VALUE"""),1.0)</f>
        <v>1</v>
      </c>
      <c r="G48" s="59"/>
      <c r="H48" s="101"/>
      <c r="I48" s="59"/>
      <c r="J48" s="101"/>
      <c r="K48" s="4"/>
      <c r="L48" s="115">
        <v>4.0</v>
      </c>
      <c r="M48" s="117">
        <v>0.0</v>
      </c>
      <c r="N48" s="117">
        <v>0.0</v>
      </c>
      <c r="O48" s="117">
        <v>0.0</v>
      </c>
      <c r="P48" s="117">
        <v>0.0</v>
      </c>
      <c r="Q48" s="117">
        <v>0.0</v>
      </c>
      <c r="R48" s="117">
        <v>0.0</v>
      </c>
      <c r="S48" s="116">
        <v>1.0</v>
      </c>
      <c r="T48" s="117">
        <v>0.0</v>
      </c>
      <c r="U48" s="117">
        <v>0.0</v>
      </c>
      <c r="V48" s="117">
        <v>0.0</v>
      </c>
      <c r="W48" s="117">
        <v>0.0</v>
      </c>
      <c r="X48" s="117">
        <v>0.0</v>
      </c>
      <c r="Y48" s="4"/>
      <c r="Z48" s="4"/>
      <c r="AA48" s="4"/>
      <c r="AB48" s="4"/>
      <c r="AC48" s="4"/>
      <c r="AD48" s="4"/>
      <c r="AE48" s="4"/>
      <c r="AF48" s="4"/>
    </row>
    <row r="49" ht="15.75" customHeight="1">
      <c r="A49" s="4"/>
      <c r="B49" s="4"/>
      <c r="C49" s="4"/>
      <c r="D49" s="4"/>
      <c r="E49" s="59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101">
        <f>IFERROR(__xludf.DUMMYFUNCTION("""COMPUTED_VALUE"""),60.0)</f>
        <v>60</v>
      </c>
      <c r="G49" s="59"/>
      <c r="H49" s="101"/>
      <c r="I49" s="59"/>
      <c r="J49" s="101"/>
      <c r="K49" s="4"/>
      <c r="L49" s="115">
        <v>5.0</v>
      </c>
      <c r="M49" s="117">
        <v>0.0</v>
      </c>
      <c r="N49" s="117">
        <v>0.0</v>
      </c>
      <c r="O49" s="117">
        <v>0.0</v>
      </c>
      <c r="P49" s="117">
        <v>0.0</v>
      </c>
      <c r="Q49" s="117">
        <v>0.0</v>
      </c>
      <c r="R49" s="117">
        <v>0.0</v>
      </c>
      <c r="S49" s="117">
        <v>0.0</v>
      </c>
      <c r="T49" s="117">
        <v>0.0</v>
      </c>
      <c r="U49" s="116">
        <v>60.0</v>
      </c>
      <c r="V49" s="117">
        <v>0.0</v>
      </c>
      <c r="W49" s="117">
        <v>0.0</v>
      </c>
      <c r="X49" s="117">
        <v>0.0</v>
      </c>
      <c r="Y49" s="4"/>
      <c r="Z49" s="4"/>
      <c r="AA49" s="4"/>
      <c r="AB49" s="4"/>
      <c r="AC49" s="4"/>
      <c r="AD49" s="4"/>
      <c r="AE49" s="4"/>
      <c r="AF49" s="4"/>
    </row>
    <row r="50" ht="15.75" customHeight="1">
      <c r="A50" s="4"/>
      <c r="B50" s="4"/>
      <c r="C50" s="4"/>
      <c r="D50" s="4"/>
      <c r="E50" s="59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101">
        <f>IFERROR(__xludf.DUMMYFUNCTION("""COMPUTED_VALUE"""),10.0)</f>
        <v>10</v>
      </c>
      <c r="G50" s="59"/>
      <c r="H50" s="101"/>
      <c r="I50" s="59"/>
      <c r="J50" s="101"/>
      <c r="K50" s="4"/>
      <c r="L50" s="115">
        <v>6.0</v>
      </c>
      <c r="M50" s="116">
        <v>10.0</v>
      </c>
      <c r="N50" s="117">
        <v>0.0</v>
      </c>
      <c r="O50" s="117">
        <v>0.0</v>
      </c>
      <c r="P50" s="117">
        <v>0.0</v>
      </c>
      <c r="Q50" s="117">
        <v>0.0</v>
      </c>
      <c r="R50" s="117">
        <v>0.0</v>
      </c>
      <c r="S50" s="117">
        <v>0.0</v>
      </c>
      <c r="T50" s="117">
        <v>0.0</v>
      </c>
      <c r="U50" s="117">
        <v>0.0</v>
      </c>
      <c r="V50" s="117">
        <v>0.0</v>
      </c>
      <c r="W50" s="117">
        <v>0.0</v>
      </c>
      <c r="X50" s="117">
        <v>0.0</v>
      </c>
      <c r="Y50" s="4"/>
      <c r="Z50" s="4"/>
      <c r="AA50" s="4"/>
      <c r="AB50" s="4"/>
      <c r="AC50" s="4"/>
      <c r="AD50" s="4"/>
      <c r="AE50" s="4"/>
      <c r="AF50" s="4"/>
    </row>
    <row r="51" ht="15.75" customHeight="1">
      <c r="A51" s="4"/>
      <c r="B51" s="4"/>
      <c r="C51" s="4"/>
      <c r="D51" s="4"/>
      <c r="E51" s="59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101">
        <f>IFERROR(__xludf.DUMMYFUNCTION("""COMPUTED_VALUE"""),100.0)</f>
        <v>100</v>
      </c>
      <c r="G51" s="59" t="str">
        <f>IFERROR(__xludf.DUMMYFUNCTION("""COMPUTED_VALUE"""),"")</f>
        <v/>
      </c>
      <c r="H51" s="101">
        <f>IFERROR(__xludf.DUMMYFUNCTION("""COMPUTED_VALUE"""),1.0)</f>
        <v>1</v>
      </c>
      <c r="I51" s="59" t="str">
        <f>IFERROR(__xludf.DUMMYFUNCTION("""COMPUTED_VALUE"""),"")</f>
        <v/>
      </c>
      <c r="J51" s="101">
        <f>IFERROR(__xludf.DUMMYFUNCTION("""COMPUTED_VALUE"""),120.0)</f>
        <v>120</v>
      </c>
      <c r="K51" s="4"/>
      <c r="L51" s="115">
        <v>7.0</v>
      </c>
      <c r="M51" s="116">
        <v>100.0</v>
      </c>
      <c r="N51" s="117">
        <v>0.0</v>
      </c>
      <c r="O51" s="117">
        <v>0.0</v>
      </c>
      <c r="P51" s="117">
        <v>0.0</v>
      </c>
      <c r="Q51" s="117">
        <v>0.0</v>
      </c>
      <c r="R51" s="116">
        <v>1.0</v>
      </c>
      <c r="S51" s="117">
        <v>0.0</v>
      </c>
      <c r="T51" s="117">
        <v>0.0</v>
      </c>
      <c r="U51" s="116">
        <v>120.0</v>
      </c>
      <c r="V51" s="117">
        <v>0.0</v>
      </c>
      <c r="W51" s="117">
        <v>0.0</v>
      </c>
      <c r="X51" s="117">
        <v>0.0</v>
      </c>
      <c r="Y51" s="4"/>
      <c r="Z51" s="4"/>
      <c r="AA51" s="4"/>
      <c r="AB51" s="4"/>
      <c r="AC51" s="4"/>
      <c r="AD51" s="4"/>
      <c r="AE51" s="4"/>
      <c r="AF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</sheetData>
  <mergeCells count="1">
    <mergeCell ref="E3:J3"/>
  </mergeCells>
  <conditionalFormatting sqref="M4:X51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13"/>
    <col customWidth="1" min="3" max="3" width="7.63"/>
    <col customWidth="1" min="4" max="4" width="3.75"/>
    <col customWidth="1" min="5" max="10" width="3.38"/>
    <col customWidth="1" min="11" max="11" width="4.25"/>
    <col customWidth="1" min="12" max="12" width="7.63"/>
    <col customWidth="1" min="13" max="20" width="7.25"/>
    <col customWidth="1" min="21" max="24" width="11.25"/>
    <col customWidth="1" min="27" max="27" width="12.88"/>
    <col hidden="1" min="28" max="29" width="12.63"/>
  </cols>
  <sheetData>
    <row r="1" ht="17.25" customHeight="1">
      <c r="A1" s="99" t="s">
        <v>98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4"/>
      <c r="AE1" s="24"/>
      <c r="AF1" s="24"/>
    </row>
    <row r="2" ht="15.0" customHeight="1">
      <c r="A2" s="104"/>
      <c r="B2" s="21"/>
      <c r="C2" s="21"/>
      <c r="D2" s="21"/>
      <c r="E2" s="21"/>
      <c r="F2" s="21"/>
      <c r="G2" s="21"/>
      <c r="H2" s="21"/>
      <c r="I2" s="21"/>
      <c r="J2" s="21"/>
      <c r="K2" s="21"/>
      <c r="L2" s="106" t="s">
        <v>28</v>
      </c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4"/>
      <c r="AE2" s="24"/>
      <c r="AF2" s="24"/>
    </row>
    <row r="3" ht="15.0" customHeight="1">
      <c r="A3" s="109" t="s">
        <v>96</v>
      </c>
      <c r="B3" s="109" t="s">
        <v>34</v>
      </c>
      <c r="C3" s="21"/>
      <c r="D3" s="21"/>
      <c r="E3" s="111" t="s">
        <v>39</v>
      </c>
      <c r="K3" s="21"/>
      <c r="L3" s="113" t="s">
        <v>97</v>
      </c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21"/>
      <c r="Z3" s="21"/>
      <c r="AA3" s="21"/>
      <c r="AB3" s="109" t="s">
        <v>60</v>
      </c>
      <c r="AC3" s="109" t="s">
        <v>61</v>
      </c>
      <c r="AD3" s="24"/>
      <c r="AE3" s="24"/>
      <c r="AF3" s="24"/>
    </row>
    <row r="4" ht="26.25" customHeight="1">
      <c r="A4" s="31">
        <v>1.0</v>
      </c>
      <c r="B4" s="119">
        <f>average(M5,M16,M26,M35,M45)</f>
        <v>10</v>
      </c>
      <c r="C4" s="21"/>
      <c r="D4" s="21"/>
      <c r="E4" s="120"/>
      <c r="F4" s="120"/>
      <c r="G4" s="121"/>
      <c r="H4" s="122"/>
      <c r="I4" s="121"/>
      <c r="J4" s="122"/>
      <c r="K4" s="21"/>
      <c r="L4" s="123" t="s">
        <v>96</v>
      </c>
      <c r="M4" s="123" t="s">
        <v>99</v>
      </c>
      <c r="N4" s="123" t="s">
        <v>46</v>
      </c>
      <c r="O4" s="123" t="s">
        <v>47</v>
      </c>
      <c r="P4" s="123" t="s">
        <v>48</v>
      </c>
      <c r="Q4" s="123" t="s">
        <v>50</v>
      </c>
      <c r="R4" s="123" t="s">
        <v>52</v>
      </c>
      <c r="S4" s="123" t="s">
        <v>53</v>
      </c>
      <c r="T4" s="123" t="s">
        <v>54</v>
      </c>
      <c r="U4" s="123" t="s">
        <v>55</v>
      </c>
      <c r="V4" s="123" t="s">
        <v>56</v>
      </c>
      <c r="W4" s="123" t="s">
        <v>57</v>
      </c>
      <c r="X4" s="123" t="s">
        <v>58</v>
      </c>
      <c r="Y4" s="106">
        <v>1.0</v>
      </c>
      <c r="Z4" s="21"/>
      <c r="AA4" s="21"/>
      <c r="AB4" s="124" t="s">
        <v>76</v>
      </c>
      <c r="AC4" s="124"/>
      <c r="AD4" s="24"/>
      <c r="AE4" s="24"/>
      <c r="AF4" s="24"/>
    </row>
    <row r="5" ht="15.0" customHeight="1">
      <c r="A5" s="64">
        <v>2.0</v>
      </c>
      <c r="B5" s="126">
        <v>0.0</v>
      </c>
      <c r="C5" s="21"/>
      <c r="D5" s="21"/>
      <c r="E5" s="121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128">
        <f>IFERROR(__xludf.DUMMYFUNCTION("""COMPUTED_VALUE"""),10.0)</f>
        <v>10</v>
      </c>
      <c r="G5" s="121"/>
      <c r="H5" s="122"/>
      <c r="I5" s="121"/>
      <c r="J5" s="122"/>
      <c r="K5" s="21"/>
      <c r="L5" s="129">
        <v>1.0</v>
      </c>
      <c r="M5" s="130">
        <v>10.0</v>
      </c>
      <c r="N5" s="131">
        <v>0.0</v>
      </c>
      <c r="O5" s="131">
        <v>0.0</v>
      </c>
      <c r="P5" s="131">
        <v>0.0</v>
      </c>
      <c r="Q5" s="131">
        <v>0.0</v>
      </c>
      <c r="R5" s="131">
        <v>0.0</v>
      </c>
      <c r="S5" s="131">
        <v>0.0</v>
      </c>
      <c r="T5" s="131">
        <v>0.0</v>
      </c>
      <c r="U5" s="131">
        <v>0.0</v>
      </c>
      <c r="V5" s="131">
        <v>0.0</v>
      </c>
      <c r="W5" s="131">
        <v>0.0</v>
      </c>
      <c r="X5" s="131">
        <v>0.0</v>
      </c>
      <c r="Y5" s="124"/>
      <c r="Z5" s="21"/>
      <c r="AA5" s="21"/>
      <c r="AB5" s="21" t="s">
        <v>46</v>
      </c>
      <c r="AC5" s="21"/>
      <c r="AD5" s="24"/>
      <c r="AE5" s="24"/>
      <c r="AF5" s="24"/>
    </row>
    <row r="6" ht="15.0" customHeight="1">
      <c r="A6" s="64">
        <v>3.0</v>
      </c>
      <c r="B6" s="126">
        <v>0.0</v>
      </c>
      <c r="C6" s="21"/>
      <c r="D6" s="21"/>
      <c r="E6" s="121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122">
        <f>IFERROR(__xludf.DUMMYFUNCTION("""COMPUTED_VALUE"""),15.0)</f>
        <v>15</v>
      </c>
      <c r="G6" s="121"/>
      <c r="H6" s="122"/>
      <c r="I6" s="121"/>
      <c r="J6" s="122"/>
      <c r="K6" s="21"/>
      <c r="L6" s="129">
        <v>2.0</v>
      </c>
      <c r="M6" s="131">
        <v>0.0</v>
      </c>
      <c r="N6" s="131">
        <v>0.0</v>
      </c>
      <c r="O6" s="131">
        <v>0.0</v>
      </c>
      <c r="P6" s="131">
        <v>0.0</v>
      </c>
      <c r="Q6" s="131">
        <v>0.0</v>
      </c>
      <c r="R6" s="131">
        <v>0.0</v>
      </c>
      <c r="S6" s="131">
        <v>0.0</v>
      </c>
      <c r="T6" s="131">
        <v>0.0</v>
      </c>
      <c r="U6" s="134">
        <v>15.0</v>
      </c>
      <c r="V6" s="131">
        <v>0.0</v>
      </c>
      <c r="W6" s="131">
        <v>0.0</v>
      </c>
      <c r="X6" s="131">
        <v>0.0</v>
      </c>
      <c r="Y6" s="21"/>
      <c r="Z6" s="21"/>
      <c r="AA6" s="21"/>
      <c r="AB6" s="21" t="s">
        <v>47</v>
      </c>
      <c r="AC6" s="124"/>
      <c r="AD6" s="24"/>
      <c r="AE6" s="24"/>
      <c r="AF6" s="24"/>
    </row>
    <row r="7" ht="15.0" customHeight="1">
      <c r="A7" s="64">
        <v>4.0</v>
      </c>
      <c r="B7" s="126">
        <f>mround(average(M8,M18,M28), 1)</f>
        <v>10</v>
      </c>
      <c r="C7" s="21"/>
      <c r="D7" s="21"/>
      <c r="E7" s="121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22">
        <f>IFERROR(__xludf.DUMMYFUNCTION("""COMPUTED_VALUE"""),1.0)</f>
        <v>1</v>
      </c>
      <c r="G7" s="121"/>
      <c r="H7" s="122"/>
      <c r="I7" s="121"/>
      <c r="J7" s="122"/>
      <c r="K7" s="21"/>
      <c r="L7" s="129">
        <v>3.0</v>
      </c>
      <c r="M7" s="131">
        <v>0.0</v>
      </c>
      <c r="N7" s="131">
        <v>0.0</v>
      </c>
      <c r="O7" s="131">
        <v>0.0</v>
      </c>
      <c r="P7" s="131">
        <v>0.0</v>
      </c>
      <c r="Q7" s="131">
        <v>0.0</v>
      </c>
      <c r="R7" s="134">
        <v>1.0</v>
      </c>
      <c r="S7" s="131">
        <v>0.0</v>
      </c>
      <c r="T7" s="131">
        <v>0.0</v>
      </c>
      <c r="U7" s="131">
        <v>0.0</v>
      </c>
      <c r="V7" s="131">
        <v>0.0</v>
      </c>
      <c r="W7" s="131">
        <v>0.0</v>
      </c>
      <c r="X7" s="131">
        <v>0.0</v>
      </c>
      <c r="Y7" s="21"/>
      <c r="Z7" s="21"/>
      <c r="AA7" s="21"/>
      <c r="AB7" s="21" t="s">
        <v>48</v>
      </c>
      <c r="AC7" s="124"/>
      <c r="AD7" s="24"/>
      <c r="AE7" s="24"/>
      <c r="AF7" s="24"/>
    </row>
    <row r="8" ht="15.0" customHeight="1">
      <c r="A8" s="64">
        <v>5.0</v>
      </c>
      <c r="B8" s="126">
        <v>0.0</v>
      </c>
      <c r="C8" s="21"/>
      <c r="D8" s="21"/>
      <c r="E8" s="121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128">
        <f>IFERROR(__xludf.DUMMYFUNCTION("""COMPUTED_VALUE"""),10.0)</f>
        <v>10</v>
      </c>
      <c r="G8" s="121"/>
      <c r="H8" s="122"/>
      <c r="I8" s="121"/>
      <c r="J8" s="122"/>
      <c r="K8" s="21"/>
      <c r="L8" s="129">
        <v>4.0</v>
      </c>
      <c r="M8" s="130">
        <v>10.0</v>
      </c>
      <c r="N8" s="131">
        <v>0.0</v>
      </c>
      <c r="O8" s="131">
        <v>0.0</v>
      </c>
      <c r="P8" s="131">
        <v>0.0</v>
      </c>
      <c r="Q8" s="131">
        <v>0.0</v>
      </c>
      <c r="R8" s="131">
        <v>0.0</v>
      </c>
      <c r="S8" s="131">
        <v>0.0</v>
      </c>
      <c r="T8" s="131">
        <v>0.0</v>
      </c>
      <c r="U8" s="131">
        <v>0.0</v>
      </c>
      <c r="V8" s="131">
        <v>0.0</v>
      </c>
      <c r="W8" s="131">
        <v>0.0</v>
      </c>
      <c r="X8" s="131">
        <v>0.0</v>
      </c>
      <c r="Y8" s="21"/>
      <c r="Z8" s="21"/>
      <c r="AA8" s="21"/>
      <c r="AB8" s="21" t="s">
        <v>50</v>
      </c>
      <c r="AC8" s="124"/>
      <c r="AD8" s="24"/>
      <c r="AE8" s="24"/>
      <c r="AF8" s="24"/>
    </row>
    <row r="9" ht="15.0" customHeight="1">
      <c r="A9" s="64">
        <v>6.0</v>
      </c>
      <c r="B9" s="126">
        <f>mround(AVERAGE(M10, M20, M30, M50),1)</f>
        <v>10</v>
      </c>
      <c r="C9" s="21"/>
      <c r="D9" s="21"/>
      <c r="E9" s="121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22">
        <f>IFERROR(__xludf.DUMMYFUNCTION("""COMPUTED_VALUE"""),1.0)</f>
        <v>1</v>
      </c>
      <c r="G9" s="121"/>
      <c r="H9" s="122"/>
      <c r="I9" s="121"/>
      <c r="J9" s="122"/>
      <c r="K9" s="21"/>
      <c r="L9" s="129">
        <v>5.0</v>
      </c>
      <c r="M9" s="131">
        <v>0.0</v>
      </c>
      <c r="N9" s="131">
        <v>0.0</v>
      </c>
      <c r="O9" s="131">
        <v>0.0</v>
      </c>
      <c r="P9" s="131">
        <v>0.0</v>
      </c>
      <c r="Q9" s="131">
        <v>0.0</v>
      </c>
      <c r="R9" s="131">
        <v>0.0</v>
      </c>
      <c r="S9" s="134">
        <v>1.0</v>
      </c>
      <c r="T9" s="131">
        <v>0.0</v>
      </c>
      <c r="U9" s="131">
        <v>0.0</v>
      </c>
      <c r="V9" s="131">
        <v>0.0</v>
      </c>
      <c r="W9" s="131">
        <v>0.0</v>
      </c>
      <c r="X9" s="131">
        <v>0.0</v>
      </c>
      <c r="Y9" s="21"/>
      <c r="Z9" s="21"/>
      <c r="AA9" s="21"/>
      <c r="AB9" s="21" t="s">
        <v>52</v>
      </c>
      <c r="AC9" s="124"/>
      <c r="AD9" s="24"/>
      <c r="AE9" s="24"/>
      <c r="AF9" s="24"/>
    </row>
    <row r="10" ht="15.0" customHeight="1">
      <c r="A10" s="108">
        <v>7.0</v>
      </c>
      <c r="B10" s="143">
        <v>100.0</v>
      </c>
      <c r="C10" s="21"/>
      <c r="D10" s="21"/>
      <c r="E10" s="121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128">
        <f>IFERROR(__xludf.DUMMYFUNCTION("""COMPUTED_VALUE"""),10.0)</f>
        <v>10</v>
      </c>
      <c r="G10" s="121"/>
      <c r="H10" s="122"/>
      <c r="I10" s="121"/>
      <c r="J10" s="122"/>
      <c r="K10" s="21"/>
      <c r="L10" s="129">
        <v>6.0</v>
      </c>
      <c r="M10" s="130">
        <v>10.0</v>
      </c>
      <c r="N10" s="131">
        <v>0.0</v>
      </c>
      <c r="O10" s="131">
        <v>0.0</v>
      </c>
      <c r="P10" s="131">
        <v>0.0</v>
      </c>
      <c r="Q10" s="131">
        <v>0.0</v>
      </c>
      <c r="R10" s="131">
        <v>0.0</v>
      </c>
      <c r="S10" s="131">
        <v>0.0</v>
      </c>
      <c r="T10" s="131">
        <v>0.0</v>
      </c>
      <c r="U10" s="131">
        <v>0.0</v>
      </c>
      <c r="V10" s="131">
        <v>0.0</v>
      </c>
      <c r="W10" s="131">
        <v>0.0</v>
      </c>
      <c r="X10" s="131">
        <v>0.0</v>
      </c>
      <c r="Y10" s="21"/>
      <c r="Z10" s="21"/>
      <c r="AA10" s="21"/>
      <c r="AB10" s="21" t="s">
        <v>53</v>
      </c>
      <c r="AC10" s="124"/>
      <c r="AD10" s="24"/>
      <c r="AE10" s="24"/>
      <c r="AF10" s="24"/>
    </row>
    <row r="11">
      <c r="A11" s="21"/>
      <c r="B11" s="21"/>
      <c r="C11" s="21"/>
      <c r="D11" s="21"/>
      <c r="E11" s="121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122">
        <f>IFERROR(__xludf.DUMMYFUNCTION("""COMPUTED_VALUE"""),100.0)</f>
        <v>100</v>
      </c>
      <c r="G11" s="121" t="str">
        <f>IFERROR(__xludf.DUMMYFUNCTION("""COMPUTED_VALUE"""),"")</f>
        <v/>
      </c>
      <c r="H11" s="122">
        <f>IFERROR(__xludf.DUMMYFUNCTION("""COMPUTED_VALUE"""),120.0)</f>
        <v>120</v>
      </c>
      <c r="I11" s="121" t="str">
        <f>IFERROR(__xludf.DUMMYFUNCTION("""COMPUTED_VALUE"""),"")</f>
        <v/>
      </c>
      <c r="J11" s="122">
        <f>IFERROR(__xludf.DUMMYFUNCTION("""COMPUTED_VALUE"""),60.0)</f>
        <v>60</v>
      </c>
      <c r="K11" s="21"/>
      <c r="L11" s="129">
        <v>7.0</v>
      </c>
      <c r="M11" s="134">
        <v>100.0</v>
      </c>
      <c r="N11" s="131">
        <v>0.0</v>
      </c>
      <c r="O11" s="131">
        <v>0.0</v>
      </c>
      <c r="P11" s="131">
        <v>0.0</v>
      </c>
      <c r="Q11" s="131">
        <v>0.0</v>
      </c>
      <c r="R11" s="131">
        <v>0.0</v>
      </c>
      <c r="S11" s="131">
        <v>0.0</v>
      </c>
      <c r="T11" s="131">
        <v>0.0</v>
      </c>
      <c r="U11" s="134">
        <v>120.0</v>
      </c>
      <c r="V11" s="134">
        <v>60.0</v>
      </c>
      <c r="W11" s="131">
        <v>0.0</v>
      </c>
      <c r="X11" s="131">
        <v>0.0</v>
      </c>
      <c r="Y11" s="21"/>
      <c r="Z11" s="21"/>
      <c r="AA11" s="21"/>
      <c r="AB11" s="21" t="s">
        <v>54</v>
      </c>
      <c r="AC11" s="124"/>
      <c r="AD11" s="24"/>
      <c r="AE11" s="24"/>
      <c r="AF11" s="24"/>
    </row>
    <row r="12" ht="15.0" customHeight="1">
      <c r="A12" s="125" t="s">
        <v>93</v>
      </c>
      <c r="B12" s="84">
        <f>SUM(B4:B10)</f>
        <v>130</v>
      </c>
      <c r="C12" s="21"/>
      <c r="D12" s="21"/>
      <c r="E12" s="121"/>
      <c r="F12" s="122"/>
      <c r="G12" s="121"/>
      <c r="H12" s="122"/>
      <c r="I12" s="121"/>
      <c r="J12" s="122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 t="s">
        <v>55</v>
      </c>
      <c r="AC12" s="124"/>
      <c r="AD12" s="24"/>
      <c r="AE12" s="24"/>
      <c r="AF12" s="24"/>
    </row>
    <row r="13" ht="15.0" customHeight="1">
      <c r="A13" s="125" t="s">
        <v>100</v>
      </c>
      <c r="B13" s="92">
        <f>B12/7</f>
        <v>18.57142857</v>
      </c>
      <c r="C13" s="21"/>
      <c r="D13" s="21"/>
      <c r="E13" s="121"/>
      <c r="F13" s="122"/>
      <c r="G13" s="121"/>
      <c r="H13" s="122"/>
      <c r="I13" s="121"/>
      <c r="J13" s="122"/>
      <c r="K13" s="21"/>
      <c r="L13" s="113" t="s">
        <v>101</v>
      </c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21"/>
      <c r="Z13" s="21"/>
      <c r="AA13" s="21"/>
      <c r="AB13" s="21" t="s">
        <v>56</v>
      </c>
      <c r="AC13" s="124"/>
      <c r="AD13" s="24"/>
      <c r="AE13" s="24"/>
      <c r="AF13" s="24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123" t="s">
        <v>96</v>
      </c>
      <c r="M14" s="123" t="s">
        <v>99</v>
      </c>
      <c r="N14" s="123" t="s">
        <v>46</v>
      </c>
      <c r="O14" s="123" t="s">
        <v>47</v>
      </c>
      <c r="P14" s="123" t="s">
        <v>48</v>
      </c>
      <c r="Q14" s="123" t="s">
        <v>50</v>
      </c>
      <c r="R14" s="123" t="s">
        <v>52</v>
      </c>
      <c r="S14" s="123" t="s">
        <v>53</v>
      </c>
      <c r="T14" s="123" t="s">
        <v>54</v>
      </c>
      <c r="U14" s="123" t="s">
        <v>55</v>
      </c>
      <c r="V14" s="123" t="s">
        <v>56</v>
      </c>
      <c r="W14" s="123" t="s">
        <v>57</v>
      </c>
      <c r="X14" s="123" t="s">
        <v>58</v>
      </c>
      <c r="Y14" s="21"/>
      <c r="Z14" s="21"/>
      <c r="AA14" s="21"/>
      <c r="AB14" s="21" t="s">
        <v>57</v>
      </c>
      <c r="AC14" s="124"/>
      <c r="AD14" s="24"/>
      <c r="AE14" s="24"/>
      <c r="AF14" s="24"/>
    </row>
    <row r="15" ht="15.0" customHeight="1">
      <c r="A15" s="144" t="s">
        <v>102</v>
      </c>
      <c r="B15" s="145">
        <f>B12/c_day!B12</f>
        <v>1</v>
      </c>
      <c r="C15" s="21"/>
      <c r="D15" s="21"/>
      <c r="E15" s="121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122">
        <f>IFERROR(__xludf.DUMMYFUNCTION("""COMPUTED_VALUE"""),20.0)</f>
        <v>20</v>
      </c>
      <c r="G15" s="121"/>
      <c r="H15" s="122"/>
      <c r="I15" s="121"/>
      <c r="J15" s="122"/>
      <c r="K15" s="21"/>
      <c r="L15" s="129">
        <v>1.0</v>
      </c>
      <c r="M15" s="131">
        <v>0.0</v>
      </c>
      <c r="N15" s="131">
        <v>0.0</v>
      </c>
      <c r="O15" s="131">
        <v>0.0</v>
      </c>
      <c r="P15" s="131">
        <v>0.0</v>
      </c>
      <c r="Q15" s="131">
        <v>0.0</v>
      </c>
      <c r="R15" s="131">
        <v>0.0</v>
      </c>
      <c r="S15" s="131">
        <v>0.0</v>
      </c>
      <c r="T15" s="131">
        <v>0.0</v>
      </c>
      <c r="U15" s="134">
        <v>20.0</v>
      </c>
      <c r="V15" s="131">
        <v>0.0</v>
      </c>
      <c r="W15" s="131">
        <v>0.0</v>
      </c>
      <c r="X15" s="131">
        <v>0.0</v>
      </c>
      <c r="Y15" s="21"/>
      <c r="Z15" s="21"/>
      <c r="AA15" s="21"/>
      <c r="AB15" s="21" t="s">
        <v>58</v>
      </c>
      <c r="AC15" s="124"/>
      <c r="AD15" s="24"/>
      <c r="AE15" s="24"/>
      <c r="AF15" s="24"/>
    </row>
    <row r="16">
      <c r="A16" s="21"/>
      <c r="B16" s="21"/>
      <c r="C16" s="21"/>
      <c r="D16" s="21"/>
      <c r="E16" s="121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128">
        <f>IFERROR(__xludf.DUMMYFUNCTION("""COMPUTED_VALUE"""),10.0)</f>
        <v>10</v>
      </c>
      <c r="G16" s="121"/>
      <c r="H16" s="122"/>
      <c r="I16" s="121"/>
      <c r="J16" s="122"/>
      <c r="K16" s="21"/>
      <c r="L16" s="129">
        <v>2.0</v>
      </c>
      <c r="M16" s="130">
        <v>10.0</v>
      </c>
      <c r="N16" s="131">
        <v>0.0</v>
      </c>
      <c r="O16" s="131">
        <v>0.0</v>
      </c>
      <c r="P16" s="131">
        <v>0.0</v>
      </c>
      <c r="Q16" s="131">
        <v>0.0</v>
      </c>
      <c r="R16" s="131">
        <v>0.0</v>
      </c>
      <c r="S16" s="131">
        <v>0.0</v>
      </c>
      <c r="T16" s="131">
        <v>0.0</v>
      </c>
      <c r="U16" s="131">
        <v>0.0</v>
      </c>
      <c r="V16" s="131">
        <v>0.0</v>
      </c>
      <c r="W16" s="131">
        <v>0.0</v>
      </c>
      <c r="X16" s="131">
        <v>0.0</v>
      </c>
      <c r="Y16" s="21"/>
      <c r="Z16" s="21"/>
      <c r="AA16" s="21"/>
      <c r="AB16" s="21"/>
      <c r="AC16" s="21"/>
      <c r="AD16" s="24"/>
      <c r="AE16" s="24"/>
      <c r="AF16" s="24"/>
    </row>
    <row r="17">
      <c r="A17" s="21"/>
      <c r="B17" s="21"/>
      <c r="C17" s="21"/>
      <c r="D17" s="21"/>
      <c r="E17" s="121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122">
        <f>IFERROR(__xludf.DUMMYFUNCTION("""COMPUTED_VALUE"""),1.0)</f>
        <v>1</v>
      </c>
      <c r="G17" s="121"/>
      <c r="H17" s="122"/>
      <c r="I17" s="121"/>
      <c r="J17" s="122"/>
      <c r="K17" s="21"/>
      <c r="L17" s="129">
        <v>3.0</v>
      </c>
      <c r="M17" s="131">
        <v>0.0</v>
      </c>
      <c r="N17" s="131">
        <v>0.0</v>
      </c>
      <c r="O17" s="131">
        <v>0.0</v>
      </c>
      <c r="P17" s="131">
        <v>0.0</v>
      </c>
      <c r="Q17" s="131">
        <v>0.0</v>
      </c>
      <c r="R17" s="134">
        <v>1.0</v>
      </c>
      <c r="S17" s="131">
        <v>0.0</v>
      </c>
      <c r="T17" s="131">
        <v>0.0</v>
      </c>
      <c r="U17" s="131">
        <v>0.0</v>
      </c>
      <c r="V17" s="131">
        <v>0.0</v>
      </c>
      <c r="W17" s="131">
        <v>0.0</v>
      </c>
      <c r="X17" s="131">
        <v>0.0</v>
      </c>
      <c r="Y17" s="106">
        <v>1.0</v>
      </c>
      <c r="Z17" s="21"/>
      <c r="AA17" s="21"/>
      <c r="AB17" s="21"/>
      <c r="AC17" s="21"/>
      <c r="AD17" s="24"/>
      <c r="AE17" s="24"/>
      <c r="AF17" s="24"/>
    </row>
    <row r="18">
      <c r="A18" s="21"/>
      <c r="B18" s="21"/>
      <c r="C18" s="21"/>
      <c r="D18" s="21"/>
      <c r="E18" s="121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128">
        <f>IFERROR(__xludf.DUMMYFUNCTION("""COMPUTED_VALUE"""),10.0)</f>
        <v>10</v>
      </c>
      <c r="G18" s="121"/>
      <c r="H18" s="122"/>
      <c r="I18" s="121"/>
      <c r="J18" s="122"/>
      <c r="K18" s="21"/>
      <c r="L18" s="129">
        <v>4.0</v>
      </c>
      <c r="M18" s="130">
        <v>10.0</v>
      </c>
      <c r="N18" s="131">
        <v>0.0</v>
      </c>
      <c r="O18" s="131">
        <v>0.0</v>
      </c>
      <c r="P18" s="131">
        <v>0.0</v>
      </c>
      <c r="Q18" s="131">
        <v>0.0</v>
      </c>
      <c r="R18" s="131">
        <v>0.0</v>
      </c>
      <c r="S18" s="131">
        <v>0.0</v>
      </c>
      <c r="T18" s="131">
        <v>0.0</v>
      </c>
      <c r="U18" s="131">
        <v>0.0</v>
      </c>
      <c r="V18" s="131">
        <v>0.0</v>
      </c>
      <c r="W18" s="131">
        <v>0.0</v>
      </c>
      <c r="X18" s="131">
        <v>0.0</v>
      </c>
      <c r="Y18" s="21"/>
      <c r="Z18" s="21"/>
      <c r="AA18" s="21"/>
      <c r="AB18" s="21"/>
      <c r="AC18" s="21"/>
      <c r="AD18" s="24"/>
      <c r="AE18" s="24"/>
      <c r="AF18" s="24"/>
    </row>
    <row r="19">
      <c r="A19" s="21"/>
      <c r="B19" s="21"/>
      <c r="C19" s="21"/>
      <c r="D19" s="21"/>
      <c r="E19" s="121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122">
        <f>IFERROR(__xludf.DUMMYFUNCTION("""COMPUTED_VALUE"""),1.0)</f>
        <v>1</v>
      </c>
      <c r="G19" s="121"/>
      <c r="H19" s="122"/>
      <c r="I19" s="121"/>
      <c r="J19" s="122"/>
      <c r="K19" s="21"/>
      <c r="L19" s="129">
        <v>5.0</v>
      </c>
      <c r="M19" s="131">
        <v>0.0</v>
      </c>
      <c r="N19" s="131">
        <v>0.0</v>
      </c>
      <c r="O19" s="131">
        <v>0.0</v>
      </c>
      <c r="P19" s="131">
        <v>0.0</v>
      </c>
      <c r="Q19" s="131">
        <v>0.0</v>
      </c>
      <c r="R19" s="131">
        <v>0.0</v>
      </c>
      <c r="S19" s="134">
        <v>1.0</v>
      </c>
      <c r="T19" s="131">
        <v>0.0</v>
      </c>
      <c r="U19" s="131">
        <v>0.0</v>
      </c>
      <c r="V19" s="131">
        <v>0.0</v>
      </c>
      <c r="W19" s="131">
        <v>0.0</v>
      </c>
      <c r="X19" s="131">
        <v>0.0</v>
      </c>
      <c r="Y19" s="21"/>
      <c r="Z19" s="21"/>
      <c r="AA19" s="21"/>
      <c r="AB19" s="21"/>
      <c r="AC19" s="21"/>
      <c r="AD19" s="24"/>
      <c r="AE19" s="24"/>
      <c r="AF19" s="24"/>
    </row>
    <row r="20">
      <c r="A20" s="21"/>
      <c r="B20" s="21"/>
      <c r="C20" s="21"/>
      <c r="D20" s="21"/>
      <c r="E20" s="121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128">
        <f>IFERROR(__xludf.DUMMYFUNCTION("""COMPUTED_VALUE"""),10.0)</f>
        <v>10</v>
      </c>
      <c r="G20" s="121"/>
      <c r="H20" s="122"/>
      <c r="I20" s="121"/>
      <c r="J20" s="122"/>
      <c r="K20" s="21"/>
      <c r="L20" s="129">
        <v>6.0</v>
      </c>
      <c r="M20" s="130">
        <v>10.0</v>
      </c>
      <c r="N20" s="131">
        <v>0.0</v>
      </c>
      <c r="O20" s="131">
        <v>0.0</v>
      </c>
      <c r="P20" s="131">
        <v>0.0</v>
      </c>
      <c r="Q20" s="131">
        <v>0.0</v>
      </c>
      <c r="R20" s="131">
        <v>0.0</v>
      </c>
      <c r="S20" s="131">
        <v>0.0</v>
      </c>
      <c r="T20" s="131">
        <v>0.0</v>
      </c>
      <c r="U20" s="131">
        <v>0.0</v>
      </c>
      <c r="V20" s="131">
        <v>0.0</v>
      </c>
      <c r="W20" s="131">
        <v>0.0</v>
      </c>
      <c r="X20" s="131">
        <v>0.0</v>
      </c>
      <c r="Y20" s="21"/>
      <c r="Z20" s="21"/>
      <c r="AA20" s="21"/>
      <c r="AB20" s="21"/>
      <c r="AC20" s="21"/>
      <c r="AD20" s="24"/>
      <c r="AE20" s="24"/>
      <c r="AF20" s="24"/>
    </row>
    <row r="21" ht="15.75" customHeight="1">
      <c r="A21" s="21"/>
      <c r="B21" s="21"/>
      <c r="C21" s="21"/>
      <c r="D21" s="21"/>
      <c r="E21" s="121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122">
        <f>IFERROR(__xludf.DUMMYFUNCTION("""COMPUTED_VALUE"""),100.0)</f>
        <v>100</v>
      </c>
      <c r="G21" s="121" t="str">
        <f>IFERROR(__xludf.DUMMYFUNCTION("""COMPUTED_VALUE"""),"")</f>
        <v/>
      </c>
      <c r="H21" s="122">
        <f>IFERROR(__xludf.DUMMYFUNCTION("""COMPUTED_VALUE"""),120.0)</f>
        <v>120</v>
      </c>
      <c r="I21" s="121" t="str">
        <f>IFERROR(__xludf.DUMMYFUNCTION("""COMPUTED_VALUE"""),"")</f>
        <v/>
      </c>
      <c r="J21" s="122">
        <f>IFERROR(__xludf.DUMMYFUNCTION("""COMPUTED_VALUE"""),60.0)</f>
        <v>60</v>
      </c>
      <c r="K21" s="21"/>
      <c r="L21" s="129">
        <v>7.0</v>
      </c>
      <c r="M21" s="134">
        <v>100.0</v>
      </c>
      <c r="N21" s="131">
        <v>0.0</v>
      </c>
      <c r="O21" s="131">
        <v>0.0</v>
      </c>
      <c r="P21" s="131">
        <v>0.0</v>
      </c>
      <c r="Q21" s="131">
        <v>0.0</v>
      </c>
      <c r="R21" s="131">
        <v>0.0</v>
      </c>
      <c r="S21" s="131">
        <v>0.0</v>
      </c>
      <c r="T21" s="131">
        <v>0.0</v>
      </c>
      <c r="U21" s="134">
        <v>120.0</v>
      </c>
      <c r="V21" s="131">
        <v>0.0</v>
      </c>
      <c r="W21" s="134">
        <v>60.0</v>
      </c>
      <c r="X21" s="131">
        <v>0.0</v>
      </c>
      <c r="Y21" s="21"/>
      <c r="Z21" s="21"/>
      <c r="AA21" s="21"/>
      <c r="AB21" s="21"/>
      <c r="AC21" s="21"/>
      <c r="AD21" s="24"/>
      <c r="AE21" s="24"/>
      <c r="AF21" s="24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4"/>
      <c r="AE22" s="24"/>
      <c r="AF22" s="24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13" t="s">
        <v>103</v>
      </c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21"/>
      <c r="Z23" s="21"/>
      <c r="AA23" s="21"/>
      <c r="AB23" s="21"/>
      <c r="AC23" s="21"/>
      <c r="AD23" s="24"/>
      <c r="AE23" s="24"/>
      <c r="AF23" s="24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123" t="s">
        <v>96</v>
      </c>
      <c r="M24" s="123" t="s">
        <v>99</v>
      </c>
      <c r="N24" s="123" t="s">
        <v>46</v>
      </c>
      <c r="O24" s="123" t="s">
        <v>47</v>
      </c>
      <c r="P24" s="123" t="s">
        <v>48</v>
      </c>
      <c r="Q24" s="123" t="s">
        <v>50</v>
      </c>
      <c r="R24" s="123" t="s">
        <v>52</v>
      </c>
      <c r="S24" s="123" t="s">
        <v>53</v>
      </c>
      <c r="T24" s="123" t="s">
        <v>54</v>
      </c>
      <c r="U24" s="123" t="s">
        <v>55</v>
      </c>
      <c r="V24" s="123" t="s">
        <v>56</v>
      </c>
      <c r="W24" s="123" t="s">
        <v>57</v>
      </c>
      <c r="X24" s="123" t="s">
        <v>58</v>
      </c>
      <c r="Y24" s="21"/>
      <c r="Z24" s="21"/>
      <c r="AA24" s="21"/>
      <c r="AB24" s="21"/>
      <c r="AC24" s="21"/>
      <c r="AD24" s="24"/>
      <c r="AE24" s="24"/>
      <c r="AF24" s="24"/>
    </row>
    <row r="25" ht="15.75" customHeight="1">
      <c r="A25" s="21"/>
      <c r="B25" s="21"/>
      <c r="C25" s="21"/>
      <c r="D25" s="21"/>
      <c r="E25" s="121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122">
        <f>IFERROR(__xludf.DUMMYFUNCTION("""COMPUTED_VALUE"""),15.0)</f>
        <v>15</v>
      </c>
      <c r="G25" s="121"/>
      <c r="H25" s="122"/>
      <c r="I25" s="121"/>
      <c r="J25" s="122"/>
      <c r="K25" s="21"/>
      <c r="L25" s="129">
        <v>1.0</v>
      </c>
      <c r="M25" s="131">
        <v>0.0</v>
      </c>
      <c r="N25" s="131">
        <v>0.0</v>
      </c>
      <c r="O25" s="131">
        <v>0.0</v>
      </c>
      <c r="P25" s="131">
        <v>0.0</v>
      </c>
      <c r="Q25" s="131">
        <v>0.0</v>
      </c>
      <c r="R25" s="131">
        <v>0.0</v>
      </c>
      <c r="S25" s="131">
        <v>0.0</v>
      </c>
      <c r="T25" s="131">
        <v>0.0</v>
      </c>
      <c r="U25" s="134">
        <v>15.0</v>
      </c>
      <c r="V25" s="131">
        <v>0.0</v>
      </c>
      <c r="W25" s="131">
        <v>0.0</v>
      </c>
      <c r="X25" s="131">
        <v>0.0</v>
      </c>
      <c r="Y25" s="21"/>
      <c r="Z25" s="21"/>
      <c r="AA25" s="21"/>
      <c r="AB25" s="21"/>
      <c r="AC25" s="21"/>
      <c r="AD25" s="24"/>
      <c r="AE25" s="24"/>
      <c r="AF25" s="24"/>
    </row>
    <row r="26" ht="15.75" customHeight="1">
      <c r="A26" s="21"/>
      <c r="B26" s="21"/>
      <c r="C26" s="21"/>
      <c r="D26" s="21"/>
      <c r="E26" s="121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128">
        <f>IFERROR(__xludf.DUMMYFUNCTION("""COMPUTED_VALUE"""),10.0)</f>
        <v>10</v>
      </c>
      <c r="G26" s="121"/>
      <c r="H26" s="122"/>
      <c r="I26" s="121"/>
      <c r="J26" s="122"/>
      <c r="K26" s="21"/>
      <c r="L26" s="129">
        <v>2.0</v>
      </c>
      <c r="M26" s="130">
        <v>10.0</v>
      </c>
      <c r="N26" s="131">
        <v>0.0</v>
      </c>
      <c r="O26" s="131">
        <v>0.0</v>
      </c>
      <c r="P26" s="131">
        <v>0.0</v>
      </c>
      <c r="Q26" s="131">
        <v>0.0</v>
      </c>
      <c r="R26" s="131">
        <v>0.0</v>
      </c>
      <c r="S26" s="131">
        <v>0.0</v>
      </c>
      <c r="T26" s="131">
        <v>0.0</v>
      </c>
      <c r="U26" s="131">
        <v>0.0</v>
      </c>
      <c r="V26" s="131">
        <v>0.0</v>
      </c>
      <c r="W26" s="131">
        <v>0.0</v>
      </c>
      <c r="X26" s="131">
        <v>0.0</v>
      </c>
      <c r="Y26" s="21"/>
      <c r="Z26" s="21"/>
      <c r="AA26" s="21"/>
      <c r="AB26" s="21"/>
      <c r="AC26" s="21"/>
      <c r="AD26" s="24"/>
      <c r="AE26" s="24"/>
      <c r="AF26" s="24"/>
    </row>
    <row r="27" ht="15.75" customHeight="1">
      <c r="A27" s="21"/>
      <c r="B27" s="21"/>
      <c r="C27" s="21"/>
      <c r="D27" s="21"/>
      <c r="E27" s="121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122">
        <f>IFERROR(__xludf.DUMMYFUNCTION("""COMPUTED_VALUE"""),1.0)</f>
        <v>1</v>
      </c>
      <c r="G27" s="121"/>
      <c r="H27" s="122"/>
      <c r="I27" s="121"/>
      <c r="J27" s="122"/>
      <c r="K27" s="21"/>
      <c r="L27" s="129">
        <v>3.0</v>
      </c>
      <c r="M27" s="131">
        <v>0.0</v>
      </c>
      <c r="N27" s="131">
        <v>0.0</v>
      </c>
      <c r="O27" s="131">
        <v>0.0</v>
      </c>
      <c r="P27" s="131">
        <v>0.0</v>
      </c>
      <c r="Q27" s="131">
        <v>0.0</v>
      </c>
      <c r="R27" s="134">
        <v>1.0</v>
      </c>
      <c r="S27" s="131">
        <v>0.0</v>
      </c>
      <c r="T27" s="131">
        <v>0.0</v>
      </c>
      <c r="U27" s="131">
        <v>0.0</v>
      </c>
      <c r="V27" s="131">
        <v>0.0</v>
      </c>
      <c r="W27" s="131">
        <v>0.0</v>
      </c>
      <c r="X27" s="131">
        <v>0.0</v>
      </c>
      <c r="Y27" s="21"/>
      <c r="Z27" s="21"/>
      <c r="AA27" s="21"/>
      <c r="AB27" s="21"/>
      <c r="AC27" s="21"/>
      <c r="AD27" s="24"/>
      <c r="AE27" s="24"/>
      <c r="AF27" s="24"/>
    </row>
    <row r="28" ht="15.75" customHeight="1">
      <c r="A28" s="21"/>
      <c r="B28" s="21"/>
      <c r="C28" s="21"/>
      <c r="D28" s="21"/>
      <c r="E28" s="121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128">
        <f>IFERROR(__xludf.DUMMYFUNCTION("""COMPUTED_VALUE"""),10.0)</f>
        <v>10</v>
      </c>
      <c r="G28" s="121"/>
      <c r="H28" s="122"/>
      <c r="I28" s="121"/>
      <c r="J28" s="122"/>
      <c r="K28" s="21"/>
      <c r="L28" s="129">
        <v>4.0</v>
      </c>
      <c r="M28" s="130">
        <v>10.0</v>
      </c>
      <c r="N28" s="131">
        <v>0.0</v>
      </c>
      <c r="O28" s="131">
        <v>0.0</v>
      </c>
      <c r="P28" s="131">
        <v>0.0</v>
      </c>
      <c r="Q28" s="131">
        <v>0.0</v>
      </c>
      <c r="R28" s="131">
        <v>0.0</v>
      </c>
      <c r="S28" s="131">
        <v>0.0</v>
      </c>
      <c r="T28" s="131">
        <v>0.0</v>
      </c>
      <c r="U28" s="131">
        <v>0.0</v>
      </c>
      <c r="V28" s="131">
        <v>0.0</v>
      </c>
      <c r="W28" s="131">
        <v>0.0</v>
      </c>
      <c r="X28" s="131">
        <v>0.0</v>
      </c>
      <c r="Y28" s="21"/>
      <c r="Z28" s="21"/>
      <c r="AA28" s="21"/>
      <c r="AB28" s="21"/>
      <c r="AC28" s="21"/>
      <c r="AD28" s="24"/>
      <c r="AE28" s="24"/>
      <c r="AF28" s="24"/>
    </row>
    <row r="29" ht="15.75" customHeight="1">
      <c r="A29" s="21"/>
      <c r="B29" s="21"/>
      <c r="C29" s="21"/>
      <c r="D29" s="21"/>
      <c r="E29" s="121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122">
        <f>IFERROR(__xludf.DUMMYFUNCTION("""COMPUTED_VALUE"""),1.0)</f>
        <v>1</v>
      </c>
      <c r="G29" s="121"/>
      <c r="H29" s="122"/>
      <c r="I29" s="121"/>
      <c r="J29" s="122"/>
      <c r="K29" s="21"/>
      <c r="L29" s="129">
        <v>5.0</v>
      </c>
      <c r="M29" s="131">
        <v>0.0</v>
      </c>
      <c r="N29" s="131">
        <v>0.0</v>
      </c>
      <c r="O29" s="131">
        <v>0.0</v>
      </c>
      <c r="P29" s="131">
        <v>0.0</v>
      </c>
      <c r="Q29" s="131">
        <v>0.0</v>
      </c>
      <c r="R29" s="131">
        <v>0.0</v>
      </c>
      <c r="S29" s="134">
        <v>1.0</v>
      </c>
      <c r="T29" s="131">
        <v>0.0</v>
      </c>
      <c r="U29" s="131">
        <v>0.0</v>
      </c>
      <c r="V29" s="131">
        <v>0.0</v>
      </c>
      <c r="W29" s="131">
        <v>0.0</v>
      </c>
      <c r="X29" s="131">
        <v>0.0</v>
      </c>
      <c r="Y29" s="21"/>
      <c r="Z29" s="21"/>
      <c r="AA29" s="21"/>
      <c r="AB29" s="21"/>
      <c r="AC29" s="21"/>
      <c r="AD29" s="24"/>
      <c r="AE29" s="24"/>
      <c r="AF29" s="24"/>
    </row>
    <row r="30" ht="15.75" customHeight="1">
      <c r="A30" s="21"/>
      <c r="B30" s="21"/>
      <c r="C30" s="21"/>
      <c r="D30" s="21"/>
      <c r="E30" s="121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128">
        <f>IFERROR(__xludf.DUMMYFUNCTION("""COMPUTED_VALUE"""),10.0)</f>
        <v>10</v>
      </c>
      <c r="G30" s="121"/>
      <c r="H30" s="122"/>
      <c r="I30" s="121"/>
      <c r="J30" s="122"/>
      <c r="K30" s="21"/>
      <c r="L30" s="129">
        <v>6.0</v>
      </c>
      <c r="M30" s="130">
        <v>10.0</v>
      </c>
      <c r="N30" s="131">
        <v>0.0</v>
      </c>
      <c r="O30" s="131">
        <v>0.0</v>
      </c>
      <c r="P30" s="131">
        <v>0.0</v>
      </c>
      <c r="Q30" s="131">
        <v>0.0</v>
      </c>
      <c r="R30" s="131">
        <v>0.0</v>
      </c>
      <c r="S30" s="131">
        <v>0.0</v>
      </c>
      <c r="T30" s="131">
        <v>0.0</v>
      </c>
      <c r="U30" s="131">
        <v>0.0</v>
      </c>
      <c r="V30" s="131">
        <v>0.0</v>
      </c>
      <c r="W30" s="131">
        <v>0.0</v>
      </c>
      <c r="X30" s="131">
        <v>0.0</v>
      </c>
      <c r="Y30" s="21"/>
      <c r="Z30" s="21"/>
      <c r="AA30" s="21"/>
      <c r="AB30" s="21"/>
      <c r="AC30" s="21"/>
      <c r="AD30" s="24"/>
      <c r="AE30" s="24"/>
      <c r="AF30" s="24"/>
    </row>
    <row r="31" ht="15.75" customHeight="1">
      <c r="A31" s="21"/>
      <c r="B31" s="21"/>
      <c r="C31" s="21"/>
      <c r="D31" s="21"/>
      <c r="E31" s="121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122">
        <f>IFERROR(__xludf.DUMMYFUNCTION("""COMPUTED_VALUE"""),100.0)</f>
        <v>100</v>
      </c>
      <c r="G31" s="121" t="str">
        <f>IFERROR(__xludf.DUMMYFUNCTION("""COMPUTED_VALUE"""),"")</f>
        <v/>
      </c>
      <c r="H31" s="122">
        <f>IFERROR(__xludf.DUMMYFUNCTION("""COMPUTED_VALUE"""),120.0)</f>
        <v>120</v>
      </c>
      <c r="I31" s="121" t="str">
        <f>IFERROR(__xludf.DUMMYFUNCTION("""COMPUTED_VALUE"""),"")</f>
        <v/>
      </c>
      <c r="J31" s="122">
        <f>IFERROR(__xludf.DUMMYFUNCTION("""COMPUTED_VALUE"""),30.0)</f>
        <v>30</v>
      </c>
      <c r="K31" s="21"/>
      <c r="L31" s="129">
        <v>7.0</v>
      </c>
      <c r="M31" s="134">
        <v>100.0</v>
      </c>
      <c r="N31" s="131">
        <v>0.0</v>
      </c>
      <c r="O31" s="131">
        <v>0.0</v>
      </c>
      <c r="P31" s="131">
        <v>0.0</v>
      </c>
      <c r="Q31" s="131">
        <v>0.0</v>
      </c>
      <c r="R31" s="131">
        <v>0.0</v>
      </c>
      <c r="S31" s="131">
        <v>0.0</v>
      </c>
      <c r="T31" s="131">
        <v>0.0</v>
      </c>
      <c r="U31" s="134">
        <v>120.0</v>
      </c>
      <c r="V31" s="131">
        <v>0.0</v>
      </c>
      <c r="W31" s="131">
        <v>0.0</v>
      </c>
      <c r="X31" s="134">
        <v>30.0</v>
      </c>
      <c r="Y31" s="21"/>
      <c r="Z31" s="21"/>
      <c r="AA31" s="21"/>
      <c r="AB31" s="21"/>
      <c r="AC31" s="21"/>
      <c r="AD31" s="24"/>
      <c r="AE31" s="24"/>
      <c r="AF31" s="24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4"/>
      <c r="AE32" s="24"/>
      <c r="AF32" s="24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113" t="s">
        <v>104</v>
      </c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21"/>
      <c r="Z33" s="21"/>
      <c r="AA33" s="21"/>
      <c r="AB33" s="21"/>
      <c r="AC33" s="21"/>
      <c r="AD33" s="24"/>
      <c r="AE33" s="24"/>
      <c r="AF33" s="24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123" t="s">
        <v>96</v>
      </c>
      <c r="M34" s="123" t="s">
        <v>99</v>
      </c>
      <c r="N34" s="123" t="s">
        <v>46</v>
      </c>
      <c r="O34" s="123" t="s">
        <v>47</v>
      </c>
      <c r="P34" s="123" t="s">
        <v>48</v>
      </c>
      <c r="Q34" s="123" t="s">
        <v>50</v>
      </c>
      <c r="R34" s="123" t="s">
        <v>52</v>
      </c>
      <c r="S34" s="123" t="s">
        <v>53</v>
      </c>
      <c r="T34" s="123" t="s">
        <v>54</v>
      </c>
      <c r="U34" s="123" t="s">
        <v>55</v>
      </c>
      <c r="V34" s="123" t="s">
        <v>56</v>
      </c>
      <c r="W34" s="123" t="s">
        <v>57</v>
      </c>
      <c r="X34" s="123" t="s">
        <v>58</v>
      </c>
      <c r="Y34" s="124"/>
      <c r="Z34" s="21"/>
      <c r="AA34" s="21"/>
      <c r="AB34" s="21"/>
      <c r="AC34" s="21"/>
      <c r="AD34" s="24"/>
      <c r="AE34" s="24"/>
      <c r="AF34" s="24"/>
    </row>
    <row r="35" ht="15.75" customHeight="1">
      <c r="A35" s="21"/>
      <c r="B35" s="21"/>
      <c r="C35" s="21"/>
      <c r="D35" s="21"/>
      <c r="E35" s="121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128">
        <f>IFERROR(__xludf.DUMMYFUNCTION("""COMPUTED_VALUE"""),10.0)</f>
        <v>10</v>
      </c>
      <c r="G35" s="121"/>
      <c r="H35" s="122"/>
      <c r="I35" s="121"/>
      <c r="J35" s="122"/>
      <c r="K35" s="21"/>
      <c r="L35" s="129">
        <v>1.0</v>
      </c>
      <c r="M35" s="130">
        <v>10.0</v>
      </c>
      <c r="N35" s="131">
        <v>0.0</v>
      </c>
      <c r="O35" s="131">
        <v>0.0</v>
      </c>
      <c r="P35" s="131">
        <v>0.0</v>
      </c>
      <c r="Q35" s="131">
        <v>0.0</v>
      </c>
      <c r="R35" s="131">
        <v>0.0</v>
      </c>
      <c r="S35" s="131">
        <v>0.0</v>
      </c>
      <c r="T35" s="131">
        <v>0.0</v>
      </c>
      <c r="U35" s="131">
        <v>0.0</v>
      </c>
      <c r="V35" s="131">
        <v>0.0</v>
      </c>
      <c r="W35" s="131">
        <v>0.0</v>
      </c>
      <c r="X35" s="131">
        <v>0.0</v>
      </c>
      <c r="Y35" s="124"/>
      <c r="Z35" s="21"/>
      <c r="AA35" s="21"/>
      <c r="AB35" s="21"/>
      <c r="AC35" s="21"/>
      <c r="AD35" s="24"/>
      <c r="AE35" s="24"/>
      <c r="AF35" s="24"/>
    </row>
    <row r="36" ht="15.75" customHeight="1">
      <c r="A36" s="21"/>
      <c r="B36" s="21"/>
      <c r="C36" s="21"/>
      <c r="D36" s="21"/>
      <c r="E36" s="121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122">
        <f>IFERROR(__xludf.DUMMYFUNCTION("""COMPUTED_VALUE"""),30.0)</f>
        <v>30</v>
      </c>
      <c r="G36" s="121"/>
      <c r="H36" s="122"/>
      <c r="I36" s="121"/>
      <c r="J36" s="122"/>
      <c r="K36" s="21"/>
      <c r="L36" s="129">
        <v>2.0</v>
      </c>
      <c r="M36" s="131">
        <v>0.0</v>
      </c>
      <c r="N36" s="131">
        <v>0.0</v>
      </c>
      <c r="O36" s="131">
        <v>0.0</v>
      </c>
      <c r="P36" s="131">
        <v>0.0</v>
      </c>
      <c r="Q36" s="131">
        <v>0.0</v>
      </c>
      <c r="R36" s="131">
        <v>0.0</v>
      </c>
      <c r="S36" s="131">
        <v>0.0</v>
      </c>
      <c r="T36" s="131">
        <v>0.0</v>
      </c>
      <c r="U36" s="134">
        <v>30.0</v>
      </c>
      <c r="V36" s="131">
        <v>0.0</v>
      </c>
      <c r="W36" s="131">
        <v>0.0</v>
      </c>
      <c r="X36" s="131">
        <v>0.0</v>
      </c>
      <c r="Y36" s="21"/>
      <c r="Z36" s="21"/>
      <c r="AA36" s="21"/>
      <c r="AB36" s="21"/>
      <c r="AC36" s="21"/>
      <c r="AD36" s="24"/>
      <c r="AE36" s="24"/>
      <c r="AF36" s="24"/>
    </row>
    <row r="37" ht="15.75" customHeight="1">
      <c r="A37" s="21"/>
      <c r="B37" s="21"/>
      <c r="C37" s="21"/>
      <c r="D37" s="21"/>
      <c r="E37" s="121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122">
        <f>IFERROR(__xludf.DUMMYFUNCTION("""COMPUTED_VALUE"""),1.0)</f>
        <v>1</v>
      </c>
      <c r="G37" s="121"/>
      <c r="H37" s="122"/>
      <c r="I37" s="121"/>
      <c r="J37" s="122"/>
      <c r="K37" s="21"/>
      <c r="L37" s="129">
        <v>3.0</v>
      </c>
      <c r="M37" s="131">
        <v>0.0</v>
      </c>
      <c r="N37" s="131">
        <v>0.0</v>
      </c>
      <c r="O37" s="131">
        <v>0.0</v>
      </c>
      <c r="P37" s="131">
        <v>0.0</v>
      </c>
      <c r="Q37" s="131">
        <v>0.0</v>
      </c>
      <c r="R37" s="131">
        <v>0.0</v>
      </c>
      <c r="S37" s="134">
        <v>1.0</v>
      </c>
      <c r="T37" s="131">
        <v>0.0</v>
      </c>
      <c r="U37" s="131">
        <v>0.0</v>
      </c>
      <c r="V37" s="131">
        <v>0.0</v>
      </c>
      <c r="W37" s="131">
        <v>0.0</v>
      </c>
      <c r="X37" s="131">
        <v>0.0</v>
      </c>
      <c r="Y37" s="21"/>
      <c r="Z37" s="21"/>
      <c r="AA37" s="21"/>
      <c r="AB37" s="21"/>
      <c r="AC37" s="21"/>
      <c r="AD37" s="24"/>
      <c r="AE37" s="24"/>
      <c r="AF37" s="24"/>
    </row>
    <row r="38" ht="15.75" customHeight="1">
      <c r="A38" s="21"/>
      <c r="B38" s="21"/>
      <c r="C38" s="21"/>
      <c r="D38" s="21"/>
      <c r="E38" s="121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122">
        <f>IFERROR(__xludf.DUMMYFUNCTION("""COMPUTED_VALUE"""),1.0)</f>
        <v>1</v>
      </c>
      <c r="G38" s="121"/>
      <c r="H38" s="122"/>
      <c r="I38" s="121"/>
      <c r="J38" s="122"/>
      <c r="K38" s="21"/>
      <c r="L38" s="129">
        <v>4.0</v>
      </c>
      <c r="M38" s="131">
        <v>0.0</v>
      </c>
      <c r="N38" s="131">
        <v>0.0</v>
      </c>
      <c r="O38" s="131">
        <v>0.0</v>
      </c>
      <c r="P38" s="131">
        <v>0.0</v>
      </c>
      <c r="Q38" s="131">
        <v>0.0</v>
      </c>
      <c r="R38" s="134">
        <v>1.0</v>
      </c>
      <c r="S38" s="131">
        <v>0.0</v>
      </c>
      <c r="T38" s="131">
        <v>0.0</v>
      </c>
      <c r="U38" s="131">
        <v>0.0</v>
      </c>
      <c r="V38" s="131">
        <v>0.0</v>
      </c>
      <c r="W38" s="131">
        <v>0.0</v>
      </c>
      <c r="X38" s="131">
        <v>0.0</v>
      </c>
      <c r="Y38" s="21"/>
      <c r="Z38" s="21"/>
      <c r="AA38" s="21"/>
      <c r="AB38" s="21"/>
      <c r="AC38" s="21"/>
      <c r="AD38" s="24"/>
      <c r="AE38" s="24"/>
      <c r="AF38" s="24"/>
    </row>
    <row r="39" ht="15.75" customHeight="1">
      <c r="A39" s="21"/>
      <c r="B39" s="21"/>
      <c r="C39" s="21"/>
      <c r="D39" s="21"/>
      <c r="E39" s="121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128">
        <f>IFERROR(__xludf.DUMMYFUNCTION("""COMPUTED_VALUE"""),10.0)</f>
        <v>10</v>
      </c>
      <c r="G39" s="121"/>
      <c r="H39" s="122"/>
      <c r="I39" s="121"/>
      <c r="J39" s="122"/>
      <c r="K39" s="21"/>
      <c r="L39" s="129">
        <v>5.0</v>
      </c>
      <c r="M39" s="130">
        <v>10.0</v>
      </c>
      <c r="N39" s="131">
        <v>0.0</v>
      </c>
      <c r="O39" s="131">
        <v>0.0</v>
      </c>
      <c r="P39" s="131">
        <v>0.0</v>
      </c>
      <c r="Q39" s="131">
        <v>0.0</v>
      </c>
      <c r="R39" s="131">
        <v>0.0</v>
      </c>
      <c r="S39" s="131">
        <v>0.0</v>
      </c>
      <c r="T39" s="131">
        <v>0.0</v>
      </c>
      <c r="U39" s="131">
        <v>0.0</v>
      </c>
      <c r="V39" s="131">
        <v>0.0</v>
      </c>
      <c r="W39" s="131">
        <v>0.0</v>
      </c>
      <c r="X39" s="131">
        <v>0.0</v>
      </c>
      <c r="Y39" s="21"/>
      <c r="Z39" s="21"/>
      <c r="AA39" s="21"/>
      <c r="AB39" s="21"/>
      <c r="AC39" s="21"/>
      <c r="AD39" s="24"/>
      <c r="AE39" s="24"/>
      <c r="AF39" s="24"/>
    </row>
    <row r="40" ht="15.75" customHeight="1">
      <c r="A40" s="21"/>
      <c r="B40" s="21"/>
      <c r="C40" s="21"/>
      <c r="D40" s="21"/>
      <c r="E40" s="121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122">
        <f>IFERROR(__xludf.DUMMYFUNCTION("""COMPUTED_VALUE"""),1.0)</f>
        <v>1</v>
      </c>
      <c r="G40" s="121"/>
      <c r="H40" s="122"/>
      <c r="I40" s="121"/>
      <c r="J40" s="122"/>
      <c r="K40" s="21"/>
      <c r="L40" s="129">
        <v>6.0</v>
      </c>
      <c r="M40" s="131">
        <v>0.0</v>
      </c>
      <c r="N40" s="131">
        <v>0.0</v>
      </c>
      <c r="O40" s="131">
        <v>0.0</v>
      </c>
      <c r="P40" s="131">
        <v>0.0</v>
      </c>
      <c r="Q40" s="131">
        <v>0.0</v>
      </c>
      <c r="R40" s="134">
        <v>1.0</v>
      </c>
      <c r="S40" s="131">
        <v>0.0</v>
      </c>
      <c r="T40" s="131">
        <v>0.0</v>
      </c>
      <c r="U40" s="131">
        <v>0.0</v>
      </c>
      <c r="V40" s="131">
        <v>0.0</v>
      </c>
      <c r="W40" s="131">
        <v>0.0</v>
      </c>
      <c r="X40" s="131">
        <v>0.0</v>
      </c>
      <c r="Y40" s="21"/>
      <c r="Z40" s="21"/>
      <c r="AA40" s="21"/>
      <c r="AB40" s="21"/>
      <c r="AC40" s="21"/>
      <c r="AD40" s="24"/>
      <c r="AE40" s="24"/>
      <c r="AF40" s="24"/>
    </row>
    <row r="41" ht="15.75" customHeight="1">
      <c r="A41" s="21"/>
      <c r="B41" s="21"/>
      <c r="C41" s="21"/>
      <c r="D41" s="21"/>
      <c r="E41" s="121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122">
        <f>IFERROR(__xludf.DUMMYFUNCTION("""COMPUTED_VALUE"""),100.0)</f>
        <v>100</v>
      </c>
      <c r="G41" s="121" t="str">
        <f>IFERROR(__xludf.DUMMYFUNCTION("""COMPUTED_VALUE"""),"")</f>
        <v/>
      </c>
      <c r="H41" s="122">
        <f>IFERROR(__xludf.DUMMYFUNCTION("""COMPUTED_VALUE"""),1.0)</f>
        <v>1</v>
      </c>
      <c r="I41" s="121" t="str">
        <f>IFERROR(__xludf.DUMMYFUNCTION("""COMPUTED_VALUE"""),"")</f>
        <v/>
      </c>
      <c r="J41" s="122">
        <f>IFERROR(__xludf.DUMMYFUNCTION("""COMPUTED_VALUE"""),120.0)</f>
        <v>120</v>
      </c>
      <c r="K41" s="21"/>
      <c r="L41" s="129">
        <v>7.0</v>
      </c>
      <c r="M41" s="134">
        <v>100.0</v>
      </c>
      <c r="N41" s="131">
        <v>0.0</v>
      </c>
      <c r="O41" s="131">
        <v>0.0</v>
      </c>
      <c r="P41" s="131">
        <v>0.0</v>
      </c>
      <c r="Q41" s="131">
        <v>0.0</v>
      </c>
      <c r="R41" s="131">
        <v>0.0</v>
      </c>
      <c r="S41" s="131">
        <v>0.0</v>
      </c>
      <c r="T41" s="146">
        <v>1.0</v>
      </c>
      <c r="U41" s="134">
        <v>120.0</v>
      </c>
      <c r="V41" s="131">
        <v>0.0</v>
      </c>
      <c r="W41" s="131">
        <v>0.0</v>
      </c>
      <c r="X41" s="131">
        <v>0.0</v>
      </c>
      <c r="Y41" s="21"/>
      <c r="Z41" s="21"/>
      <c r="AA41" s="21"/>
      <c r="AB41" s="21"/>
      <c r="AC41" s="21"/>
      <c r="AD41" s="24"/>
      <c r="AE41" s="24"/>
      <c r="AF41" s="24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4"/>
      <c r="AE42" s="24"/>
      <c r="AF42" s="24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113" t="s">
        <v>105</v>
      </c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21"/>
      <c r="Z43" s="21"/>
      <c r="AA43" s="21"/>
      <c r="AB43" s="21"/>
      <c r="AC43" s="21"/>
      <c r="AD43" s="24"/>
      <c r="AE43" s="24"/>
      <c r="AF43" s="24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123" t="s">
        <v>96</v>
      </c>
      <c r="M44" s="123" t="s">
        <v>99</v>
      </c>
      <c r="N44" s="123" t="s">
        <v>46</v>
      </c>
      <c r="O44" s="123" t="s">
        <v>47</v>
      </c>
      <c r="P44" s="123" t="s">
        <v>48</v>
      </c>
      <c r="Q44" s="123" t="s">
        <v>50</v>
      </c>
      <c r="R44" s="123" t="s">
        <v>52</v>
      </c>
      <c r="S44" s="123" t="s">
        <v>53</v>
      </c>
      <c r="T44" s="123" t="s">
        <v>54</v>
      </c>
      <c r="U44" s="123" t="s">
        <v>55</v>
      </c>
      <c r="V44" s="123" t="s">
        <v>56</v>
      </c>
      <c r="W44" s="123" t="s">
        <v>57</v>
      </c>
      <c r="X44" s="123" t="s">
        <v>58</v>
      </c>
      <c r="Y44" s="21"/>
      <c r="Z44" s="21"/>
      <c r="AA44" s="21"/>
      <c r="AB44" s="21"/>
      <c r="AC44" s="21"/>
      <c r="AD44" s="24"/>
      <c r="AE44" s="24"/>
      <c r="AF44" s="24"/>
    </row>
    <row r="45" ht="15.75" customHeight="1">
      <c r="A45" s="21"/>
      <c r="B45" s="21"/>
      <c r="C45" s="21"/>
      <c r="D45" s="21"/>
      <c r="E45" s="121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128">
        <f>IFERROR(__xludf.DUMMYFUNCTION("""COMPUTED_VALUE"""),10.0)</f>
        <v>10</v>
      </c>
      <c r="G45" s="121"/>
      <c r="H45" s="122"/>
      <c r="I45" s="121"/>
      <c r="J45" s="122"/>
      <c r="K45" s="21"/>
      <c r="L45" s="129">
        <v>1.0</v>
      </c>
      <c r="M45" s="130">
        <v>10.0</v>
      </c>
      <c r="N45" s="131">
        <v>0.0</v>
      </c>
      <c r="O45" s="131">
        <v>0.0</v>
      </c>
      <c r="P45" s="131">
        <v>0.0</v>
      </c>
      <c r="Q45" s="131">
        <v>0.0</v>
      </c>
      <c r="R45" s="131">
        <v>0.0</v>
      </c>
      <c r="S45" s="131">
        <v>0.0</v>
      </c>
      <c r="T45" s="131">
        <v>0.0</v>
      </c>
      <c r="U45" s="131">
        <v>0.0</v>
      </c>
      <c r="V45" s="131">
        <v>0.0</v>
      </c>
      <c r="W45" s="131">
        <v>0.0</v>
      </c>
      <c r="X45" s="131">
        <v>0.0</v>
      </c>
      <c r="Y45" s="21"/>
      <c r="Z45" s="21"/>
      <c r="AA45" s="21"/>
      <c r="AB45" s="21"/>
      <c r="AC45" s="21"/>
      <c r="AD45" s="24"/>
      <c r="AE45" s="24"/>
      <c r="AF45" s="24"/>
    </row>
    <row r="46" ht="15.75" customHeight="1">
      <c r="A46" s="21"/>
      <c r="B46" s="21"/>
      <c r="C46" s="21"/>
      <c r="D46" s="21"/>
      <c r="E46" s="121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122">
        <f>IFERROR(__xludf.DUMMYFUNCTION("""COMPUTED_VALUE"""),15.0)</f>
        <v>15</v>
      </c>
      <c r="G46" s="121"/>
      <c r="H46" s="122"/>
      <c r="I46" s="121"/>
      <c r="J46" s="122"/>
      <c r="K46" s="21"/>
      <c r="L46" s="129">
        <v>2.0</v>
      </c>
      <c r="M46" s="131">
        <v>0.0</v>
      </c>
      <c r="N46" s="131">
        <v>0.0</v>
      </c>
      <c r="O46" s="131">
        <v>0.0</v>
      </c>
      <c r="P46" s="131">
        <v>0.0</v>
      </c>
      <c r="Q46" s="131">
        <v>0.0</v>
      </c>
      <c r="R46" s="131">
        <v>0.0</v>
      </c>
      <c r="S46" s="131">
        <v>0.0</v>
      </c>
      <c r="T46" s="131">
        <v>0.0</v>
      </c>
      <c r="U46" s="134">
        <v>15.0</v>
      </c>
      <c r="V46" s="131">
        <v>0.0</v>
      </c>
      <c r="W46" s="131">
        <v>0.0</v>
      </c>
      <c r="X46" s="131">
        <v>0.0</v>
      </c>
      <c r="Y46" s="21"/>
      <c r="Z46" s="21"/>
      <c r="AA46" s="21"/>
      <c r="AB46" s="21"/>
      <c r="AC46" s="21"/>
      <c r="AD46" s="24"/>
      <c r="AE46" s="24"/>
      <c r="AF46" s="24"/>
    </row>
    <row r="47" ht="15.75" customHeight="1">
      <c r="A47" s="21"/>
      <c r="B47" s="21"/>
      <c r="C47" s="21"/>
      <c r="D47" s="21"/>
      <c r="E47" s="121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122">
        <f>IFERROR(__xludf.DUMMYFUNCTION("""COMPUTED_VALUE"""),1.0)</f>
        <v>1</v>
      </c>
      <c r="G47" s="121"/>
      <c r="H47" s="122"/>
      <c r="I47" s="121"/>
      <c r="J47" s="122"/>
      <c r="K47" s="21"/>
      <c r="L47" s="129">
        <v>3.0</v>
      </c>
      <c r="M47" s="131">
        <v>0.0</v>
      </c>
      <c r="N47" s="131">
        <v>0.0</v>
      </c>
      <c r="O47" s="131">
        <v>0.0</v>
      </c>
      <c r="P47" s="131">
        <v>0.0</v>
      </c>
      <c r="Q47" s="131">
        <v>0.0</v>
      </c>
      <c r="R47" s="134">
        <v>1.0</v>
      </c>
      <c r="S47" s="131">
        <v>0.0</v>
      </c>
      <c r="T47" s="131">
        <v>0.0</v>
      </c>
      <c r="U47" s="131">
        <v>0.0</v>
      </c>
      <c r="V47" s="131">
        <v>0.0</v>
      </c>
      <c r="W47" s="131">
        <v>0.0</v>
      </c>
      <c r="X47" s="131">
        <v>0.0</v>
      </c>
      <c r="Y47" s="21"/>
      <c r="Z47" s="21"/>
      <c r="AA47" s="21"/>
      <c r="AB47" s="21"/>
      <c r="AC47" s="21"/>
      <c r="AD47" s="24"/>
      <c r="AE47" s="24"/>
      <c r="AF47" s="24"/>
    </row>
    <row r="48" ht="15.75" customHeight="1">
      <c r="A48" s="21"/>
      <c r="B48" s="21"/>
      <c r="C48" s="21"/>
      <c r="D48" s="21"/>
      <c r="E48" s="121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122">
        <f>IFERROR(__xludf.DUMMYFUNCTION("""COMPUTED_VALUE"""),1.0)</f>
        <v>1</v>
      </c>
      <c r="G48" s="121"/>
      <c r="H48" s="122"/>
      <c r="I48" s="121"/>
      <c r="J48" s="122"/>
      <c r="K48" s="21"/>
      <c r="L48" s="129">
        <v>4.0</v>
      </c>
      <c r="M48" s="131">
        <v>0.0</v>
      </c>
      <c r="N48" s="131">
        <v>0.0</v>
      </c>
      <c r="O48" s="131">
        <v>0.0</v>
      </c>
      <c r="P48" s="131">
        <v>0.0</v>
      </c>
      <c r="Q48" s="131">
        <v>0.0</v>
      </c>
      <c r="R48" s="131">
        <v>0.0</v>
      </c>
      <c r="S48" s="134">
        <v>1.0</v>
      </c>
      <c r="T48" s="131">
        <v>0.0</v>
      </c>
      <c r="U48" s="131">
        <v>0.0</v>
      </c>
      <c r="V48" s="131">
        <v>0.0</v>
      </c>
      <c r="W48" s="131">
        <v>0.0</v>
      </c>
      <c r="X48" s="131">
        <v>0.0</v>
      </c>
      <c r="Y48" s="21"/>
      <c r="Z48" s="21"/>
      <c r="AA48" s="21"/>
      <c r="AB48" s="21"/>
      <c r="AC48" s="21"/>
      <c r="AD48" s="24"/>
      <c r="AE48" s="24"/>
      <c r="AF48" s="24"/>
    </row>
    <row r="49" ht="15.75" customHeight="1">
      <c r="A49" s="21"/>
      <c r="B49" s="21"/>
      <c r="C49" s="21"/>
      <c r="D49" s="21"/>
      <c r="E49" s="121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122">
        <f>IFERROR(__xludf.DUMMYFUNCTION("""COMPUTED_VALUE"""),60.0)</f>
        <v>60</v>
      </c>
      <c r="G49" s="121"/>
      <c r="H49" s="122"/>
      <c r="I49" s="121"/>
      <c r="J49" s="122"/>
      <c r="K49" s="21"/>
      <c r="L49" s="129">
        <v>5.0</v>
      </c>
      <c r="M49" s="131">
        <v>0.0</v>
      </c>
      <c r="N49" s="131">
        <v>0.0</v>
      </c>
      <c r="O49" s="131">
        <v>0.0</v>
      </c>
      <c r="P49" s="131">
        <v>0.0</v>
      </c>
      <c r="Q49" s="131">
        <v>0.0</v>
      </c>
      <c r="R49" s="131">
        <v>0.0</v>
      </c>
      <c r="S49" s="131">
        <v>0.0</v>
      </c>
      <c r="T49" s="131">
        <v>0.0</v>
      </c>
      <c r="U49" s="134">
        <v>60.0</v>
      </c>
      <c r="V49" s="131">
        <v>0.0</v>
      </c>
      <c r="W49" s="131">
        <v>0.0</v>
      </c>
      <c r="X49" s="131">
        <v>0.0</v>
      </c>
      <c r="Y49" s="21"/>
      <c r="Z49" s="21"/>
      <c r="AA49" s="21"/>
      <c r="AB49" s="21"/>
      <c r="AC49" s="21"/>
      <c r="AD49" s="24"/>
      <c r="AE49" s="24"/>
      <c r="AF49" s="24"/>
    </row>
    <row r="50" ht="15.75" customHeight="1">
      <c r="A50" s="21"/>
      <c r="B50" s="21"/>
      <c r="C50" s="21"/>
      <c r="D50" s="21"/>
      <c r="E50" s="121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128">
        <f>IFERROR(__xludf.DUMMYFUNCTION("""COMPUTED_VALUE"""),10.0)</f>
        <v>10</v>
      </c>
      <c r="G50" s="121"/>
      <c r="H50" s="122"/>
      <c r="I50" s="121"/>
      <c r="J50" s="122"/>
      <c r="K50" s="21"/>
      <c r="L50" s="129">
        <v>6.0</v>
      </c>
      <c r="M50" s="130">
        <v>10.0</v>
      </c>
      <c r="N50" s="131">
        <v>0.0</v>
      </c>
      <c r="O50" s="131">
        <v>0.0</v>
      </c>
      <c r="P50" s="131">
        <v>0.0</v>
      </c>
      <c r="Q50" s="131">
        <v>0.0</v>
      </c>
      <c r="R50" s="131">
        <v>0.0</v>
      </c>
      <c r="S50" s="131">
        <v>0.0</v>
      </c>
      <c r="T50" s="131">
        <v>0.0</v>
      </c>
      <c r="U50" s="131">
        <v>0.0</v>
      </c>
      <c r="V50" s="131">
        <v>0.0</v>
      </c>
      <c r="W50" s="131">
        <v>0.0</v>
      </c>
      <c r="X50" s="131">
        <v>0.0</v>
      </c>
      <c r="Y50" s="21"/>
      <c r="Z50" s="21"/>
      <c r="AA50" s="21"/>
      <c r="AB50" s="21"/>
      <c r="AC50" s="21"/>
      <c r="AD50" s="24"/>
      <c r="AE50" s="24"/>
      <c r="AF50" s="24"/>
    </row>
    <row r="51" ht="15.75" customHeight="1">
      <c r="A51" s="21"/>
      <c r="B51" s="21"/>
      <c r="C51" s="21"/>
      <c r="D51" s="21"/>
      <c r="E51" s="121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122">
        <f>IFERROR(__xludf.DUMMYFUNCTION("""COMPUTED_VALUE"""),100.0)</f>
        <v>100</v>
      </c>
      <c r="G51" s="121" t="str">
        <f>IFERROR(__xludf.DUMMYFUNCTION("""COMPUTED_VALUE"""),"")</f>
        <v/>
      </c>
      <c r="H51" s="122">
        <f>IFERROR(__xludf.DUMMYFUNCTION("""COMPUTED_VALUE"""),1.0)</f>
        <v>1</v>
      </c>
      <c r="I51" s="121" t="str">
        <f>IFERROR(__xludf.DUMMYFUNCTION("""COMPUTED_VALUE"""),"")</f>
        <v/>
      </c>
      <c r="J51" s="122">
        <f>IFERROR(__xludf.DUMMYFUNCTION("""COMPUTED_VALUE"""),120.0)</f>
        <v>120</v>
      </c>
      <c r="K51" s="21"/>
      <c r="L51" s="129">
        <v>7.0</v>
      </c>
      <c r="M51" s="134">
        <v>100.0</v>
      </c>
      <c r="N51" s="131">
        <v>0.0</v>
      </c>
      <c r="O51" s="131">
        <v>0.0</v>
      </c>
      <c r="P51" s="131">
        <v>0.0</v>
      </c>
      <c r="Q51" s="131">
        <v>0.0</v>
      </c>
      <c r="R51" s="134">
        <v>1.0</v>
      </c>
      <c r="S51" s="131">
        <v>0.0</v>
      </c>
      <c r="T51" s="131">
        <v>0.0</v>
      </c>
      <c r="U51" s="134">
        <v>120.0</v>
      </c>
      <c r="V51" s="131">
        <v>0.0</v>
      </c>
      <c r="W51" s="131">
        <v>0.0</v>
      </c>
      <c r="X51" s="131">
        <v>0.0</v>
      </c>
      <c r="Y51" s="21"/>
      <c r="Z51" s="21"/>
      <c r="AA51" s="21"/>
      <c r="AB51" s="21"/>
      <c r="AC51" s="21"/>
      <c r="AD51" s="24"/>
      <c r="AE51" s="24"/>
      <c r="AF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147">
        <v>1.0</v>
      </c>
      <c r="S56" s="24"/>
      <c r="T56" s="24"/>
      <c r="U56" s="147">
        <v>1.0</v>
      </c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</row>
    <row r="250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</row>
    <row r="254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</row>
    <row r="258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</row>
    <row r="727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</row>
    <row r="728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</row>
    <row r="729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</row>
    <row r="730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</row>
    <row r="73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</row>
    <row r="732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</row>
    <row r="733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</row>
    <row r="734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</row>
    <row r="735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</row>
    <row r="736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</row>
    <row r="737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</row>
    <row r="738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</row>
    <row r="739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</row>
    <row r="740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</row>
    <row r="74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</row>
    <row r="742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</row>
    <row r="743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</row>
    <row r="744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</row>
    <row r="745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</row>
    <row r="746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</row>
    <row r="747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</row>
    <row r="748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</row>
    <row r="749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</row>
    <row r="750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</row>
    <row r="75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</row>
    <row r="752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</row>
    <row r="753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</row>
    <row r="754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</row>
    <row r="755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</row>
    <row r="756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</row>
    <row r="757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</row>
    <row r="758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</row>
    <row r="759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</row>
    <row r="760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</row>
    <row r="76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</row>
    <row r="762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</row>
    <row r="763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</row>
    <row r="764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</row>
    <row r="765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</row>
    <row r="766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</row>
    <row r="767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</row>
    <row r="768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</row>
    <row r="769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</row>
    <row r="770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</row>
    <row r="77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</row>
    <row r="772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</row>
    <row r="773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</row>
    <row r="774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</row>
    <row r="775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</row>
    <row r="776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</row>
    <row r="777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</row>
    <row r="778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</row>
    <row r="779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</row>
    <row r="780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</row>
    <row r="78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</row>
    <row r="782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</row>
    <row r="783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</row>
    <row r="784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</row>
    <row r="785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</row>
    <row r="786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</row>
    <row r="787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</row>
    <row r="788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</row>
    <row r="789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</row>
    <row r="790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</row>
    <row r="79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</row>
    <row r="792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</row>
    <row r="793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</row>
    <row r="794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</row>
    <row r="795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</row>
    <row r="796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</row>
    <row r="797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</row>
    <row r="798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</row>
    <row r="799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</row>
    <row r="800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</row>
    <row r="80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</row>
    <row r="802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</row>
    <row r="803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</row>
    <row r="804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</row>
    <row r="805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</row>
    <row r="806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</row>
    <row r="807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</row>
    <row r="808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</row>
    <row r="809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</row>
    <row r="810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</row>
    <row r="81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</row>
    <row r="812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</row>
    <row r="813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</row>
    <row r="814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</row>
    <row r="815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</row>
    <row r="816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</row>
    <row r="817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</row>
    <row r="818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</row>
    <row r="819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</row>
    <row r="820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</row>
    <row r="82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</row>
    <row r="822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</row>
    <row r="823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</row>
    <row r="824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</row>
    <row r="825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</row>
    <row r="826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</row>
    <row r="827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</row>
    <row r="828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</row>
    <row r="829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</row>
    <row r="830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</row>
    <row r="83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</row>
    <row r="832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</row>
    <row r="833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</row>
    <row r="834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</row>
    <row r="835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</row>
    <row r="836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</row>
    <row r="837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</row>
    <row r="838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</row>
    <row r="839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</row>
    <row r="840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</row>
    <row r="84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</row>
    <row r="842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</row>
    <row r="843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</row>
    <row r="844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</row>
    <row r="845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</row>
    <row r="846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</row>
    <row r="847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</row>
    <row r="848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</row>
    <row r="849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</row>
    <row r="850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</row>
    <row r="85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</row>
    <row r="852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</row>
    <row r="853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</row>
    <row r="854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</row>
    <row r="855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</row>
    <row r="856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</row>
    <row r="857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</row>
    <row r="858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</row>
    <row r="859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</row>
    <row r="860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</row>
    <row r="86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</row>
    <row r="862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</row>
    <row r="863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</row>
    <row r="864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</row>
    <row r="865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</row>
    <row r="866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</row>
    <row r="867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</row>
    <row r="868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</row>
    <row r="869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</row>
    <row r="870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</row>
    <row r="87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</row>
    <row r="872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</row>
    <row r="873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</row>
    <row r="874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</row>
    <row r="875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</row>
    <row r="876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</row>
    <row r="877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</row>
    <row r="878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</row>
    <row r="879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</row>
    <row r="880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</row>
    <row r="88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</row>
    <row r="882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</row>
    <row r="883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</row>
    <row r="884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</row>
    <row r="885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</row>
    <row r="886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</row>
    <row r="887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</row>
    <row r="888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</row>
    <row r="889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</row>
    <row r="890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</row>
    <row r="89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</row>
    <row r="892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</row>
    <row r="893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</row>
    <row r="894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</row>
    <row r="895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</row>
    <row r="896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</row>
    <row r="897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</row>
    <row r="898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</row>
    <row r="899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</row>
    <row r="900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</row>
    <row r="90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</row>
    <row r="902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</row>
    <row r="903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</row>
    <row r="904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</row>
    <row r="905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</row>
    <row r="906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</row>
    <row r="907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</row>
    <row r="908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</row>
    <row r="909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</row>
    <row r="910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</row>
    <row r="91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</row>
    <row r="912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</row>
    <row r="913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</row>
    <row r="914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</row>
    <row r="915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</row>
    <row r="916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</row>
    <row r="917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</row>
    <row r="918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</row>
    <row r="919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</row>
    <row r="920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</row>
    <row r="92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</row>
    <row r="922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</row>
    <row r="923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</row>
    <row r="924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</row>
    <row r="925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</row>
    <row r="926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</row>
    <row r="927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</row>
    <row r="928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</row>
    <row r="929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</row>
    <row r="930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</row>
    <row r="93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</row>
    <row r="932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</row>
    <row r="933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</row>
    <row r="934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</row>
    <row r="935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</row>
    <row r="936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</row>
    <row r="937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</row>
    <row r="938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</row>
    <row r="939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</row>
    <row r="940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</row>
    <row r="94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</row>
    <row r="942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</row>
    <row r="943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</row>
    <row r="944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</row>
    <row r="945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</row>
    <row r="946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</row>
    <row r="947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</row>
    <row r="948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</row>
    <row r="949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</row>
    <row r="950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</row>
    <row r="95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</row>
    <row r="952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</row>
    <row r="953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</row>
    <row r="954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</row>
    <row r="955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</row>
    <row r="956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</row>
    <row r="957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</row>
    <row r="958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</row>
    <row r="959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</row>
    <row r="960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</row>
    <row r="96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</row>
    <row r="962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</row>
    <row r="963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</row>
    <row r="964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</row>
    <row r="965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</row>
    <row r="966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</row>
    <row r="967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</row>
    <row r="968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</row>
    <row r="969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</row>
    <row r="970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</row>
    <row r="971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</row>
    <row r="972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</row>
    <row r="973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</row>
    <row r="974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</row>
    <row r="975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</row>
    <row r="976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</row>
    <row r="977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</row>
    <row r="978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</row>
    <row r="979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</row>
    <row r="980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</row>
    <row r="981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</row>
    <row r="982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</row>
    <row r="983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</row>
    <row r="984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</row>
    <row r="985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</row>
    <row r="986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</row>
    <row r="987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</row>
    <row r="988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</row>
    <row r="989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</row>
    <row r="990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</row>
    <row r="991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</row>
    <row r="992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</row>
    <row r="993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</row>
    <row r="994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</row>
    <row r="995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</row>
    <row r="996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</row>
    <row r="997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</row>
    <row r="998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</row>
    <row r="999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</row>
    <row r="1000" ht="15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</row>
  </sheetData>
  <mergeCells count="6">
    <mergeCell ref="E3:J3"/>
    <mergeCell ref="L3:M3"/>
    <mergeCell ref="L13:M13"/>
    <mergeCell ref="L23:M23"/>
    <mergeCell ref="L33:M33"/>
    <mergeCell ref="L43:M43"/>
  </mergeCells>
  <conditionalFormatting sqref="Q41:T41">
    <cfRule type="cellIs" dxfId="1" priority="1" operator="greaterThan">
      <formula>0</formula>
    </cfRule>
  </conditionalFormatting>
  <conditionalFormatting sqref="Q41:T41">
    <cfRule type="cellIs" dxfId="1" priority="2" operator="greaterThan">
      <formula>0</formula>
    </cfRule>
  </conditionalFormatting>
  <conditionalFormatting sqref="L1:X1000">
    <cfRule type="cellIs" dxfId="2" priority="3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9.0"/>
    <col customWidth="1" min="3" max="3" width="8.0"/>
    <col customWidth="1" min="4" max="46" width="5.0"/>
  </cols>
  <sheetData>
    <row r="1" ht="21.75" customHeight="1">
      <c r="A1" s="148" t="s">
        <v>37</v>
      </c>
    </row>
    <row r="2" ht="19.5" customHeight="1">
      <c r="A2" s="149" t="s">
        <v>106</v>
      </c>
      <c r="B2" s="149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ht="14.25" customHeight="1">
      <c r="A3" s="151" t="s">
        <v>107</v>
      </c>
      <c r="B3" s="152">
        <v>28.0</v>
      </c>
      <c r="C3" s="153" t="s">
        <v>108</v>
      </c>
    </row>
    <row r="4" ht="14.25" customHeight="1">
      <c r="A4" s="151" t="s">
        <v>109</v>
      </c>
      <c r="B4" s="154">
        <v>10.0</v>
      </c>
      <c r="C4" s="155">
        <v>8.0</v>
      </c>
    </row>
    <row r="5" ht="14.25" customHeight="1">
      <c r="A5" s="151" t="s">
        <v>110</v>
      </c>
      <c r="B5" s="155">
        <v>15.0</v>
      </c>
      <c r="C5" s="154">
        <v>12.0</v>
      </c>
    </row>
    <row r="6" ht="14.25" customHeight="1">
      <c r="A6" s="151" t="s">
        <v>111</v>
      </c>
      <c r="B6" s="154">
        <v>25.0</v>
      </c>
      <c r="C6" s="154">
        <v>18.0</v>
      </c>
    </row>
    <row r="7" ht="14.25" customHeight="1">
      <c r="A7" s="156" t="s">
        <v>112</v>
      </c>
      <c r="B7" s="157">
        <v>0.55</v>
      </c>
    </row>
    <row r="8" ht="14.25" customHeight="1">
      <c r="A8" s="156" t="s">
        <v>113</v>
      </c>
      <c r="B8" s="157">
        <v>0.3</v>
      </c>
    </row>
    <row r="9" ht="14.25" customHeight="1">
      <c r="A9" s="156" t="s">
        <v>114</v>
      </c>
      <c r="B9" s="157">
        <v>0.15</v>
      </c>
    </row>
    <row r="10" ht="14.25" customHeight="1"/>
    <row r="11" ht="14.25" customHeight="1"/>
    <row r="12" ht="19.5" customHeight="1">
      <c r="A12" s="158" t="s">
        <v>115</v>
      </c>
      <c r="B12" s="149"/>
      <c r="C12" s="149"/>
      <c r="D12" s="158" t="s">
        <v>115</v>
      </c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</row>
    <row r="13">
      <c r="A13" s="159" t="s">
        <v>116</v>
      </c>
      <c r="B13" s="159"/>
      <c r="C13" s="160"/>
      <c r="D13" s="161" t="s">
        <v>117</v>
      </c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60"/>
      <c r="X13" s="161" t="s">
        <v>118</v>
      </c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159"/>
      <c r="AO13" s="159"/>
      <c r="AP13" s="159"/>
      <c r="AQ13" s="159"/>
    </row>
    <row r="14" ht="90.0" customHeight="1">
      <c r="A14" s="162" t="s">
        <v>116</v>
      </c>
      <c r="B14" s="162" t="s">
        <v>119</v>
      </c>
      <c r="C14" s="163" t="s">
        <v>120</v>
      </c>
      <c r="D14" s="164" t="s">
        <v>76</v>
      </c>
      <c r="E14" s="165" t="s">
        <v>46</v>
      </c>
      <c r="F14" s="165" t="s">
        <v>121</v>
      </c>
      <c r="G14" s="165" t="s">
        <v>47</v>
      </c>
      <c r="H14" s="165" t="s">
        <v>48</v>
      </c>
      <c r="I14" s="165" t="s">
        <v>50</v>
      </c>
      <c r="J14" s="165" t="s">
        <v>52</v>
      </c>
      <c r="K14" s="165" t="s">
        <v>53</v>
      </c>
      <c r="L14" s="165" t="s">
        <v>54</v>
      </c>
      <c r="M14" s="165" t="s">
        <v>55</v>
      </c>
      <c r="N14" s="165" t="s">
        <v>56</v>
      </c>
      <c r="O14" s="165" t="s">
        <v>57</v>
      </c>
      <c r="P14" s="165" t="s">
        <v>58</v>
      </c>
      <c r="Q14" s="165" t="s">
        <v>122</v>
      </c>
      <c r="R14" s="165" t="s">
        <v>123</v>
      </c>
      <c r="S14" s="165" t="s">
        <v>124</v>
      </c>
      <c r="T14" s="165" t="s">
        <v>125</v>
      </c>
      <c r="U14" s="165" t="s">
        <v>126</v>
      </c>
      <c r="V14" s="165" t="s">
        <v>127</v>
      </c>
      <c r="W14" s="166" t="s">
        <v>128</v>
      </c>
      <c r="X14" s="164" t="s">
        <v>76</v>
      </c>
      <c r="Y14" s="165" t="s">
        <v>46</v>
      </c>
      <c r="Z14" s="165" t="s">
        <v>121</v>
      </c>
      <c r="AA14" s="165" t="s">
        <v>47</v>
      </c>
      <c r="AB14" s="165" t="s">
        <v>48</v>
      </c>
      <c r="AC14" s="165" t="s">
        <v>50</v>
      </c>
      <c r="AD14" s="165" t="s">
        <v>52</v>
      </c>
      <c r="AE14" s="165" t="s">
        <v>53</v>
      </c>
      <c r="AF14" s="165" t="s">
        <v>54</v>
      </c>
      <c r="AG14" s="165" t="s">
        <v>55</v>
      </c>
      <c r="AH14" s="165" t="s">
        <v>56</v>
      </c>
      <c r="AI14" s="165" t="s">
        <v>57</v>
      </c>
      <c r="AJ14" s="165" t="s">
        <v>58</v>
      </c>
      <c r="AK14" s="165" t="s">
        <v>122</v>
      </c>
      <c r="AL14" s="165" t="s">
        <v>123</v>
      </c>
      <c r="AM14" s="165" t="s">
        <v>124</v>
      </c>
      <c r="AN14" s="165" t="s">
        <v>125</v>
      </c>
      <c r="AO14" s="165" t="s">
        <v>126</v>
      </c>
      <c r="AP14" s="165" t="s">
        <v>127</v>
      </c>
      <c r="AQ14" s="165" t="s">
        <v>128</v>
      </c>
    </row>
    <row r="15" ht="14.25" customHeight="1">
      <c r="A15" s="167">
        <v>1.0</v>
      </c>
      <c r="B15" s="167">
        <v>10.0</v>
      </c>
      <c r="C15" s="168">
        <f>B15</f>
        <v>10</v>
      </c>
      <c r="D15" s="169">
        <v>0.0</v>
      </c>
      <c r="E15" s="170">
        <v>0.0</v>
      </c>
      <c r="F15" s="170">
        <v>0.0</v>
      </c>
      <c r="G15" s="170">
        <v>0.0</v>
      </c>
      <c r="H15" s="170">
        <v>1.0</v>
      </c>
      <c r="I15" s="170">
        <v>0.0</v>
      </c>
      <c r="J15" s="170">
        <v>0.0</v>
      </c>
      <c r="K15" s="170">
        <v>0.0</v>
      </c>
      <c r="L15" s="170">
        <v>0.0</v>
      </c>
      <c r="M15" s="170">
        <v>0.0</v>
      </c>
      <c r="N15" s="170">
        <v>10.0</v>
      </c>
      <c r="O15" s="170">
        <v>0.0</v>
      </c>
      <c r="P15" s="170">
        <v>0.0</v>
      </c>
      <c r="Q15" s="170">
        <v>0.0</v>
      </c>
      <c r="R15" s="170">
        <v>0.0</v>
      </c>
      <c r="S15" s="170">
        <v>0.0</v>
      </c>
      <c r="T15" s="170">
        <v>0.0</v>
      </c>
      <c r="U15" s="170">
        <v>0.0</v>
      </c>
      <c r="V15" s="170">
        <v>0.0</v>
      </c>
      <c r="W15" s="170">
        <v>0.0</v>
      </c>
      <c r="X15" s="169">
        <v>0.0</v>
      </c>
      <c r="Y15" s="170">
        <v>0.0</v>
      </c>
      <c r="Z15" s="170">
        <v>0.0</v>
      </c>
      <c r="AA15" s="170">
        <v>0.0</v>
      </c>
      <c r="AB15" s="170">
        <v>0.0</v>
      </c>
      <c r="AC15" s="170">
        <v>0.0</v>
      </c>
      <c r="AD15" s="170">
        <v>0.0</v>
      </c>
      <c r="AE15" s="170">
        <v>0.0</v>
      </c>
      <c r="AF15" s="170">
        <v>0.0</v>
      </c>
      <c r="AG15" s="170">
        <v>120.0</v>
      </c>
      <c r="AH15" s="170">
        <v>0.0</v>
      </c>
      <c r="AI15" s="170">
        <v>15.0</v>
      </c>
      <c r="AJ15" s="170">
        <v>0.0</v>
      </c>
      <c r="AK15" s="170">
        <v>0.0</v>
      </c>
      <c r="AL15" s="170">
        <v>0.0</v>
      </c>
      <c r="AM15" s="170">
        <v>0.0</v>
      </c>
      <c r="AN15" s="170">
        <v>0.0</v>
      </c>
      <c r="AO15" s="170">
        <v>0.0</v>
      </c>
      <c r="AP15" s="170">
        <v>0.0</v>
      </c>
      <c r="AQ15" s="170">
        <v>0.0</v>
      </c>
    </row>
    <row r="16">
      <c r="A16" s="167">
        <f t="shared" ref="A16:A44" si="1">A15+1</f>
        <v>2</v>
      </c>
      <c r="B16" s="167">
        <v>14.0</v>
      </c>
      <c r="C16" s="168">
        <f t="shared" ref="C16:C44" si="2">B16+C15</f>
        <v>24</v>
      </c>
      <c r="D16" s="169">
        <v>10.0</v>
      </c>
      <c r="E16" s="170">
        <v>0.0</v>
      </c>
      <c r="F16" s="170">
        <v>0.0</v>
      </c>
      <c r="G16" s="170">
        <v>0.0</v>
      </c>
      <c r="H16" s="170">
        <v>0.0</v>
      </c>
      <c r="I16" s="170">
        <v>0.0</v>
      </c>
      <c r="J16" s="170">
        <v>0.0</v>
      </c>
      <c r="K16" s="170">
        <v>0.0</v>
      </c>
      <c r="L16" s="170">
        <v>0.0</v>
      </c>
      <c r="M16" s="170">
        <v>0.0</v>
      </c>
      <c r="N16" s="170">
        <v>0.0</v>
      </c>
      <c r="O16" s="170">
        <v>0.0</v>
      </c>
      <c r="P16" s="170">
        <v>0.0</v>
      </c>
      <c r="Q16" s="170">
        <v>0.0</v>
      </c>
      <c r="R16" s="170">
        <v>0.0</v>
      </c>
      <c r="S16" s="170">
        <v>0.0</v>
      </c>
      <c r="T16" s="170">
        <v>0.0</v>
      </c>
      <c r="U16" s="170">
        <v>0.0</v>
      </c>
      <c r="V16" s="170">
        <v>0.0</v>
      </c>
      <c r="W16" s="170">
        <v>0.0</v>
      </c>
      <c r="X16" s="169">
        <v>25.0</v>
      </c>
      <c r="Y16" s="170">
        <v>0.0</v>
      </c>
      <c r="Z16" s="170">
        <v>0.0</v>
      </c>
      <c r="AA16" s="170">
        <v>0.0</v>
      </c>
      <c r="AB16" s="170">
        <v>0.0</v>
      </c>
      <c r="AC16" s="170">
        <v>0.0</v>
      </c>
      <c r="AD16" s="170">
        <v>0.0</v>
      </c>
      <c r="AE16" s="170">
        <v>0.0</v>
      </c>
      <c r="AF16" s="170">
        <v>0.0</v>
      </c>
      <c r="AG16" s="170">
        <v>0.0</v>
      </c>
      <c r="AH16" s="170">
        <v>0.0</v>
      </c>
      <c r="AI16" s="170">
        <v>0.0</v>
      </c>
      <c r="AJ16" s="170">
        <v>0.0</v>
      </c>
      <c r="AK16" s="170">
        <v>0.0</v>
      </c>
      <c r="AL16" s="170">
        <v>0.0</v>
      </c>
      <c r="AM16" s="170">
        <v>0.0</v>
      </c>
      <c r="AN16" s="170">
        <v>0.0</v>
      </c>
      <c r="AO16" s="170">
        <v>0.0</v>
      </c>
      <c r="AP16" s="170">
        <v>0.0</v>
      </c>
      <c r="AQ16" s="170">
        <v>0.0</v>
      </c>
    </row>
    <row r="17">
      <c r="A17" s="167">
        <f t="shared" si="1"/>
        <v>3</v>
      </c>
      <c r="B17" s="167">
        <v>20.0</v>
      </c>
      <c r="C17" s="168">
        <f t="shared" si="2"/>
        <v>44</v>
      </c>
      <c r="D17" s="169">
        <v>0.0</v>
      </c>
      <c r="E17" s="170">
        <v>0.0</v>
      </c>
      <c r="F17" s="170">
        <v>0.0</v>
      </c>
      <c r="G17" s="170">
        <v>0.0</v>
      </c>
      <c r="H17" s="170">
        <v>0.0</v>
      </c>
      <c r="I17" s="170">
        <v>0.0</v>
      </c>
      <c r="J17" s="170">
        <v>0.0</v>
      </c>
      <c r="K17" s="170">
        <v>0.0</v>
      </c>
      <c r="L17" s="170">
        <v>0.0</v>
      </c>
      <c r="M17" s="170">
        <v>60.0</v>
      </c>
      <c r="N17" s="170">
        <v>0.0</v>
      </c>
      <c r="O17" s="170">
        <v>0.0</v>
      </c>
      <c r="P17" s="170">
        <v>0.0</v>
      </c>
      <c r="Q17" s="170">
        <v>0.0</v>
      </c>
      <c r="R17" s="170">
        <v>0.0</v>
      </c>
      <c r="S17" s="170">
        <v>0.0</v>
      </c>
      <c r="T17" s="170">
        <v>0.0</v>
      </c>
      <c r="U17" s="170">
        <v>0.0</v>
      </c>
      <c r="V17" s="170">
        <v>0.0</v>
      </c>
      <c r="W17" s="170">
        <v>0.0</v>
      </c>
      <c r="X17" s="169">
        <v>0.0</v>
      </c>
      <c r="Y17" s="170">
        <v>0.0</v>
      </c>
      <c r="Z17" s="170">
        <v>0.0</v>
      </c>
      <c r="AA17" s="170">
        <v>1.0</v>
      </c>
      <c r="AB17" s="170">
        <v>0.0</v>
      </c>
      <c r="AC17" s="170">
        <v>0.0</v>
      </c>
      <c r="AD17" s="170">
        <v>0.0</v>
      </c>
      <c r="AE17" s="170">
        <v>0.0</v>
      </c>
      <c r="AF17" s="170">
        <v>0.0</v>
      </c>
      <c r="AG17" s="170">
        <v>0.0</v>
      </c>
      <c r="AH17" s="170">
        <v>0.0</v>
      </c>
      <c r="AI17" s="170">
        <v>0.0</v>
      </c>
      <c r="AJ17" s="170">
        <v>0.0</v>
      </c>
      <c r="AK17" s="170">
        <v>0.0</v>
      </c>
      <c r="AL17" s="170">
        <v>0.0</v>
      </c>
      <c r="AM17" s="170">
        <v>0.0</v>
      </c>
      <c r="AN17" s="170">
        <v>0.0</v>
      </c>
      <c r="AO17" s="170">
        <v>0.0</v>
      </c>
      <c r="AP17" s="170">
        <v>0.0</v>
      </c>
      <c r="AQ17" s="170">
        <v>0.0</v>
      </c>
    </row>
    <row r="18">
      <c r="A18" s="167">
        <f t="shared" si="1"/>
        <v>4</v>
      </c>
      <c r="B18" s="167">
        <v>28.0</v>
      </c>
      <c r="C18" s="168">
        <f t="shared" si="2"/>
        <v>72</v>
      </c>
      <c r="D18" s="169">
        <v>0.0</v>
      </c>
      <c r="E18" s="170">
        <v>0.0</v>
      </c>
      <c r="F18" s="170">
        <v>0.0</v>
      </c>
      <c r="G18" s="170">
        <v>0.0</v>
      </c>
      <c r="H18" s="170">
        <v>0.0</v>
      </c>
      <c r="I18" s="170">
        <v>0.0</v>
      </c>
      <c r="J18" s="170">
        <v>0.0</v>
      </c>
      <c r="K18" s="170">
        <v>0.0</v>
      </c>
      <c r="L18" s="170">
        <v>0.0</v>
      </c>
      <c r="M18" s="170">
        <v>0.0</v>
      </c>
      <c r="N18" s="170">
        <v>0.0</v>
      </c>
      <c r="O18" s="170">
        <v>15.0</v>
      </c>
      <c r="P18" s="170">
        <v>0.0</v>
      </c>
      <c r="Q18" s="170">
        <v>0.0</v>
      </c>
      <c r="R18" s="170">
        <v>0.0</v>
      </c>
      <c r="S18" s="170">
        <v>0.0</v>
      </c>
      <c r="T18" s="170">
        <v>0.0</v>
      </c>
      <c r="U18" s="170">
        <v>0.0</v>
      </c>
      <c r="V18" s="170">
        <v>0.0</v>
      </c>
      <c r="W18" s="170">
        <v>0.0</v>
      </c>
      <c r="X18" s="169">
        <v>0.0</v>
      </c>
      <c r="Y18" s="170">
        <v>0.0</v>
      </c>
      <c r="Z18" s="170">
        <v>0.0</v>
      </c>
      <c r="AA18" s="170">
        <v>0.0</v>
      </c>
      <c r="AB18" s="170">
        <v>0.0</v>
      </c>
      <c r="AC18" s="170">
        <v>0.0</v>
      </c>
      <c r="AD18" s="170">
        <v>0.0</v>
      </c>
      <c r="AE18" s="170">
        <v>1.0</v>
      </c>
      <c r="AF18" s="170">
        <v>0.0</v>
      </c>
      <c r="AG18" s="170">
        <v>0.0</v>
      </c>
      <c r="AH18" s="170">
        <v>0.0</v>
      </c>
      <c r="AI18" s="170">
        <v>0.0</v>
      </c>
      <c r="AJ18" s="170">
        <v>0.0</v>
      </c>
      <c r="AK18" s="170">
        <v>0.0</v>
      </c>
      <c r="AL18" s="170">
        <v>0.0</v>
      </c>
      <c r="AM18" s="170">
        <v>0.0</v>
      </c>
      <c r="AN18" s="170">
        <v>0.0</v>
      </c>
      <c r="AO18" s="170">
        <v>0.0</v>
      </c>
      <c r="AP18" s="170">
        <v>0.0</v>
      </c>
      <c r="AQ18" s="170">
        <v>0.0</v>
      </c>
    </row>
    <row r="19">
      <c r="A19" s="167">
        <f t="shared" si="1"/>
        <v>5</v>
      </c>
      <c r="B19" s="167">
        <v>35.0</v>
      </c>
      <c r="C19" s="168">
        <f t="shared" si="2"/>
        <v>107</v>
      </c>
      <c r="D19" s="169">
        <v>10.0</v>
      </c>
      <c r="E19" s="170">
        <v>0.0</v>
      </c>
      <c r="F19" s="170">
        <v>0.0</v>
      </c>
      <c r="G19" s="170">
        <v>0.0</v>
      </c>
      <c r="H19" s="170">
        <v>0.0</v>
      </c>
      <c r="I19" s="170">
        <v>0.0</v>
      </c>
      <c r="J19" s="170">
        <v>0.0</v>
      </c>
      <c r="K19" s="170">
        <v>0.0</v>
      </c>
      <c r="L19" s="170">
        <v>0.0</v>
      </c>
      <c r="M19" s="170">
        <v>0.0</v>
      </c>
      <c r="N19" s="170">
        <v>0.0</v>
      </c>
      <c r="O19" s="170">
        <v>0.0</v>
      </c>
      <c r="P19" s="170">
        <v>0.0</v>
      </c>
      <c r="Q19" s="170">
        <v>0.0</v>
      </c>
      <c r="R19" s="170">
        <v>0.0</v>
      </c>
      <c r="S19" s="170">
        <v>0.0</v>
      </c>
      <c r="T19" s="170">
        <v>0.0</v>
      </c>
      <c r="U19" s="170">
        <v>0.0</v>
      </c>
      <c r="V19" s="170">
        <v>0.0</v>
      </c>
      <c r="W19" s="170">
        <v>0.0</v>
      </c>
      <c r="X19" s="169">
        <v>25.0</v>
      </c>
      <c r="Y19" s="170">
        <v>0.0</v>
      </c>
      <c r="Z19" s="170">
        <v>0.0</v>
      </c>
      <c r="AA19" s="170">
        <v>0.0</v>
      </c>
      <c r="AB19" s="170">
        <v>0.0</v>
      </c>
      <c r="AC19" s="170">
        <v>0.0</v>
      </c>
      <c r="AD19" s="170">
        <v>0.0</v>
      </c>
      <c r="AE19" s="170">
        <v>0.0</v>
      </c>
      <c r="AF19" s="170">
        <v>0.0</v>
      </c>
      <c r="AG19" s="170">
        <v>30.0</v>
      </c>
      <c r="AH19" s="170">
        <v>0.0</v>
      </c>
      <c r="AI19" s="170">
        <v>0.0</v>
      </c>
      <c r="AJ19" s="170">
        <v>0.0</v>
      </c>
      <c r="AK19" s="170">
        <v>0.0</v>
      </c>
      <c r="AL19" s="170">
        <v>0.0</v>
      </c>
      <c r="AM19" s="170">
        <v>0.0</v>
      </c>
      <c r="AN19" s="170">
        <v>0.0</v>
      </c>
      <c r="AO19" s="170">
        <v>0.0</v>
      </c>
      <c r="AP19" s="170">
        <v>0.0</v>
      </c>
      <c r="AQ19" s="170">
        <v>0.0</v>
      </c>
    </row>
    <row r="20">
      <c r="A20" s="167">
        <f t="shared" si="1"/>
        <v>6</v>
      </c>
      <c r="B20" s="167">
        <v>70.0</v>
      </c>
      <c r="C20" s="168">
        <f t="shared" si="2"/>
        <v>177</v>
      </c>
      <c r="D20" s="169">
        <v>0.0</v>
      </c>
      <c r="E20" s="170">
        <v>0.0</v>
      </c>
      <c r="F20" s="170">
        <v>0.0</v>
      </c>
      <c r="G20" s="170">
        <v>1.0</v>
      </c>
      <c r="H20" s="170">
        <v>0.0</v>
      </c>
      <c r="I20" s="170">
        <v>0.0</v>
      </c>
      <c r="J20" s="170">
        <v>0.0</v>
      </c>
      <c r="K20" s="170">
        <v>0.0</v>
      </c>
      <c r="L20" s="170">
        <v>0.0</v>
      </c>
      <c r="M20" s="170">
        <v>0.0</v>
      </c>
      <c r="N20" s="170">
        <v>0.0</v>
      </c>
      <c r="O20" s="170">
        <v>0.0</v>
      </c>
      <c r="P20" s="170">
        <v>0.0</v>
      </c>
      <c r="Q20" s="170">
        <v>0.0</v>
      </c>
      <c r="R20" s="170">
        <v>0.0</v>
      </c>
      <c r="S20" s="170">
        <v>0.0</v>
      </c>
      <c r="T20" s="170">
        <v>0.0</v>
      </c>
      <c r="U20" s="170">
        <v>0.0</v>
      </c>
      <c r="V20" s="170">
        <v>0.0</v>
      </c>
      <c r="W20" s="170">
        <v>0.0</v>
      </c>
      <c r="X20" s="169">
        <v>0.0</v>
      </c>
      <c r="Y20" s="170">
        <v>0.0</v>
      </c>
      <c r="Z20" s="170">
        <v>0.0</v>
      </c>
      <c r="AA20" s="170">
        <v>0.0</v>
      </c>
      <c r="AB20" s="170">
        <v>0.0</v>
      </c>
      <c r="AC20" s="170">
        <v>1.0</v>
      </c>
      <c r="AD20" s="170">
        <v>0.0</v>
      </c>
      <c r="AE20" s="170">
        <v>0.0</v>
      </c>
      <c r="AF20" s="170">
        <v>0.0</v>
      </c>
      <c r="AG20" s="170">
        <v>0.0</v>
      </c>
      <c r="AH20" s="170">
        <v>0.0</v>
      </c>
      <c r="AI20" s="170">
        <v>0.0</v>
      </c>
      <c r="AJ20" s="170">
        <v>0.0</v>
      </c>
      <c r="AK20" s="170">
        <v>0.0</v>
      </c>
      <c r="AL20" s="170">
        <v>0.0</v>
      </c>
      <c r="AM20" s="170">
        <v>0.0</v>
      </c>
      <c r="AN20" s="170">
        <v>0.0</v>
      </c>
      <c r="AO20" s="170">
        <v>0.0</v>
      </c>
      <c r="AP20" s="170">
        <v>0.0</v>
      </c>
      <c r="AQ20" s="170">
        <v>0.0</v>
      </c>
    </row>
    <row r="21">
      <c r="A21" s="167">
        <f t="shared" si="1"/>
        <v>7</v>
      </c>
      <c r="B21" s="167">
        <v>70.0</v>
      </c>
      <c r="C21" s="168">
        <f t="shared" si="2"/>
        <v>247</v>
      </c>
      <c r="D21" s="169">
        <v>0.0</v>
      </c>
      <c r="E21" s="170">
        <v>0.0</v>
      </c>
      <c r="F21" s="170">
        <v>0.0</v>
      </c>
      <c r="G21" s="170">
        <v>0.0</v>
      </c>
      <c r="H21" s="170">
        <v>1.0</v>
      </c>
      <c r="I21" s="170">
        <v>0.0</v>
      </c>
      <c r="J21" s="170">
        <v>0.0</v>
      </c>
      <c r="K21" s="170">
        <v>0.0</v>
      </c>
      <c r="L21" s="170">
        <v>0.0</v>
      </c>
      <c r="M21" s="170">
        <v>0.0</v>
      </c>
      <c r="N21" s="170">
        <v>0.0</v>
      </c>
      <c r="O21" s="170">
        <v>0.0</v>
      </c>
      <c r="P21" s="170">
        <v>0.0</v>
      </c>
      <c r="Q21" s="170">
        <v>0.0</v>
      </c>
      <c r="R21" s="170">
        <v>0.0</v>
      </c>
      <c r="S21" s="170">
        <v>0.0</v>
      </c>
      <c r="T21" s="170">
        <v>0.0</v>
      </c>
      <c r="U21" s="170">
        <v>0.0</v>
      </c>
      <c r="V21" s="170">
        <v>0.0</v>
      </c>
      <c r="W21" s="170">
        <v>0.0</v>
      </c>
      <c r="X21" s="169">
        <v>0.0</v>
      </c>
      <c r="Y21" s="170">
        <v>0.0</v>
      </c>
      <c r="Z21" s="170">
        <v>0.0</v>
      </c>
      <c r="AA21" s="170">
        <v>0.0</v>
      </c>
      <c r="AB21" s="170">
        <v>0.0</v>
      </c>
      <c r="AC21" s="170">
        <v>0.0</v>
      </c>
      <c r="AD21" s="170">
        <v>0.0</v>
      </c>
      <c r="AE21" s="170">
        <v>0.0</v>
      </c>
      <c r="AF21" s="170">
        <v>0.0</v>
      </c>
      <c r="AG21" s="170">
        <v>0.0</v>
      </c>
      <c r="AH21" s="170">
        <v>0.0</v>
      </c>
      <c r="AI21" s="170">
        <v>0.0</v>
      </c>
      <c r="AJ21" s="170">
        <v>10.0</v>
      </c>
      <c r="AK21" s="170">
        <v>0.0</v>
      </c>
      <c r="AL21" s="170">
        <v>0.0</v>
      </c>
      <c r="AM21" s="170">
        <v>0.0</v>
      </c>
      <c r="AN21" s="170">
        <v>0.0</v>
      </c>
      <c r="AO21" s="170">
        <v>0.0</v>
      </c>
      <c r="AP21" s="170">
        <v>0.0</v>
      </c>
      <c r="AQ21" s="170">
        <v>0.0</v>
      </c>
    </row>
    <row r="22">
      <c r="A22" s="167">
        <f t="shared" si="1"/>
        <v>8</v>
      </c>
      <c r="B22" s="167">
        <v>70.0</v>
      </c>
      <c r="C22" s="168">
        <f t="shared" si="2"/>
        <v>317</v>
      </c>
      <c r="D22" s="169">
        <v>0.0</v>
      </c>
      <c r="E22" s="170">
        <v>0.0</v>
      </c>
      <c r="F22" s="170">
        <v>0.0</v>
      </c>
      <c r="G22" s="170">
        <v>0.0</v>
      </c>
      <c r="H22" s="170">
        <v>0.0</v>
      </c>
      <c r="I22" s="170">
        <v>0.0</v>
      </c>
      <c r="J22" s="170">
        <v>0.0</v>
      </c>
      <c r="K22" s="170">
        <v>0.0</v>
      </c>
      <c r="L22" s="170">
        <v>0.0</v>
      </c>
      <c r="M22" s="170">
        <v>15.0</v>
      </c>
      <c r="N22" s="170">
        <v>0.0</v>
      </c>
      <c r="O22" s="170">
        <v>0.0</v>
      </c>
      <c r="P22" s="170">
        <v>0.0</v>
      </c>
      <c r="Q22" s="170">
        <v>0.0</v>
      </c>
      <c r="R22" s="170">
        <v>0.0</v>
      </c>
      <c r="S22" s="170">
        <v>0.0</v>
      </c>
      <c r="T22" s="170">
        <v>0.0</v>
      </c>
      <c r="U22" s="170">
        <v>0.0</v>
      </c>
      <c r="V22" s="170">
        <v>0.0</v>
      </c>
      <c r="W22" s="170">
        <v>0.0</v>
      </c>
      <c r="X22" s="169">
        <v>0.0</v>
      </c>
      <c r="Y22" s="170">
        <v>0.0</v>
      </c>
      <c r="Z22" s="170">
        <v>0.0</v>
      </c>
      <c r="AA22" s="170">
        <v>0.0</v>
      </c>
      <c r="AB22" s="170">
        <v>0.0</v>
      </c>
      <c r="AC22" s="170">
        <v>0.0</v>
      </c>
      <c r="AD22" s="170">
        <v>1.0</v>
      </c>
      <c r="AE22" s="170">
        <v>0.0</v>
      </c>
      <c r="AF22" s="170">
        <v>0.0</v>
      </c>
      <c r="AG22" s="170">
        <v>0.0</v>
      </c>
      <c r="AH22" s="170">
        <v>0.0</v>
      </c>
      <c r="AI22" s="170">
        <v>0.0</v>
      </c>
      <c r="AJ22" s="170">
        <v>0.0</v>
      </c>
      <c r="AK22" s="170">
        <v>0.0</v>
      </c>
      <c r="AL22" s="170">
        <v>0.0</v>
      </c>
      <c r="AM22" s="170">
        <v>0.0</v>
      </c>
      <c r="AN22" s="170">
        <v>0.0</v>
      </c>
      <c r="AO22" s="170">
        <v>0.0</v>
      </c>
      <c r="AP22" s="170">
        <v>0.0</v>
      </c>
      <c r="AQ22" s="170">
        <v>0.0</v>
      </c>
    </row>
    <row r="23">
      <c r="A23" s="167">
        <f t="shared" si="1"/>
        <v>9</v>
      </c>
      <c r="B23" s="167">
        <v>70.0</v>
      </c>
      <c r="C23" s="168">
        <f t="shared" si="2"/>
        <v>387</v>
      </c>
      <c r="D23" s="169">
        <v>0.0</v>
      </c>
      <c r="E23" s="170">
        <v>0.0</v>
      </c>
      <c r="F23" s="170">
        <v>0.0</v>
      </c>
      <c r="G23" s="170">
        <v>0.0</v>
      </c>
      <c r="H23" s="170">
        <v>0.0</v>
      </c>
      <c r="I23" s="170">
        <v>0.0</v>
      </c>
      <c r="J23" s="170">
        <v>0.0</v>
      </c>
      <c r="K23" s="170">
        <v>0.0</v>
      </c>
      <c r="L23" s="170">
        <v>0.0</v>
      </c>
      <c r="M23" s="170">
        <v>0.0</v>
      </c>
      <c r="N23" s="170">
        <v>10.0</v>
      </c>
      <c r="O23" s="170">
        <v>0.0</v>
      </c>
      <c r="P23" s="170">
        <v>0.0</v>
      </c>
      <c r="Q23" s="170">
        <v>0.0</v>
      </c>
      <c r="R23" s="170">
        <v>0.0</v>
      </c>
      <c r="S23" s="170">
        <v>0.0</v>
      </c>
      <c r="T23" s="170">
        <v>0.0</v>
      </c>
      <c r="U23" s="170">
        <v>0.0</v>
      </c>
      <c r="V23" s="170">
        <v>0.0</v>
      </c>
      <c r="W23" s="170">
        <v>0.0</v>
      </c>
      <c r="X23" s="169">
        <v>0.0</v>
      </c>
      <c r="Y23" s="170">
        <v>0.0</v>
      </c>
      <c r="Z23" s="170">
        <v>0.0</v>
      </c>
      <c r="AA23" s="170">
        <v>0.0</v>
      </c>
      <c r="AB23" s="170">
        <v>0.0</v>
      </c>
      <c r="AC23" s="170">
        <v>0.0</v>
      </c>
      <c r="AD23" s="170">
        <v>0.0</v>
      </c>
      <c r="AE23" s="170">
        <v>1.0</v>
      </c>
      <c r="AF23" s="170">
        <v>0.0</v>
      </c>
      <c r="AG23" s="170">
        <v>0.0</v>
      </c>
      <c r="AH23" s="170">
        <v>0.0</v>
      </c>
      <c r="AI23" s="170">
        <v>0.0</v>
      </c>
      <c r="AJ23" s="170">
        <v>0.0</v>
      </c>
      <c r="AK23" s="170">
        <v>0.0</v>
      </c>
      <c r="AL23" s="170">
        <v>0.0</v>
      </c>
      <c r="AM23" s="170">
        <v>0.0</v>
      </c>
      <c r="AN23" s="170">
        <v>0.0</v>
      </c>
      <c r="AO23" s="170">
        <v>0.0</v>
      </c>
      <c r="AP23" s="170">
        <v>0.0</v>
      </c>
      <c r="AQ23" s="170">
        <v>0.0</v>
      </c>
    </row>
    <row r="24">
      <c r="A24" s="167">
        <f t="shared" si="1"/>
        <v>10</v>
      </c>
      <c r="B24" s="167">
        <v>100.0</v>
      </c>
      <c r="C24" s="168">
        <f t="shared" si="2"/>
        <v>487</v>
      </c>
      <c r="D24" s="169">
        <v>10.0</v>
      </c>
      <c r="E24" s="170">
        <v>0.0</v>
      </c>
      <c r="F24" s="170">
        <v>0.0</v>
      </c>
      <c r="G24" s="170">
        <v>0.0</v>
      </c>
      <c r="H24" s="170">
        <v>0.0</v>
      </c>
      <c r="I24" s="170">
        <v>0.0</v>
      </c>
      <c r="J24" s="170">
        <v>0.0</v>
      </c>
      <c r="K24" s="170">
        <v>0.0</v>
      </c>
      <c r="L24" s="170">
        <v>0.0</v>
      </c>
      <c r="M24" s="170">
        <v>0.0</v>
      </c>
      <c r="N24" s="170">
        <v>0.0</v>
      </c>
      <c r="O24" s="170">
        <v>0.0</v>
      </c>
      <c r="P24" s="170">
        <v>0.0</v>
      </c>
      <c r="Q24" s="170">
        <v>0.0</v>
      </c>
      <c r="R24" s="170">
        <v>0.0</v>
      </c>
      <c r="S24" s="170">
        <v>0.0</v>
      </c>
      <c r="T24" s="170">
        <v>0.0</v>
      </c>
      <c r="U24" s="170">
        <v>0.0</v>
      </c>
      <c r="V24" s="170">
        <v>0.0</v>
      </c>
      <c r="W24" s="170">
        <v>0.0</v>
      </c>
      <c r="X24" s="169">
        <v>25.0</v>
      </c>
      <c r="Y24" s="170">
        <v>0.0</v>
      </c>
      <c r="Z24" s="170">
        <v>0.0</v>
      </c>
      <c r="AA24" s="170">
        <v>0.0</v>
      </c>
      <c r="AB24" s="170">
        <v>0.0</v>
      </c>
      <c r="AC24" s="170">
        <v>0.0</v>
      </c>
      <c r="AD24" s="170">
        <v>0.0</v>
      </c>
      <c r="AE24" s="170">
        <v>0.0</v>
      </c>
      <c r="AF24" s="170">
        <v>0.0</v>
      </c>
      <c r="AG24" s="170">
        <v>30.0</v>
      </c>
      <c r="AH24" s="170">
        <v>0.0</v>
      </c>
      <c r="AI24" s="170">
        <v>0.0</v>
      </c>
      <c r="AJ24" s="170">
        <v>0.0</v>
      </c>
      <c r="AK24" s="170">
        <v>0.0</v>
      </c>
      <c r="AL24" s="170">
        <v>0.0</v>
      </c>
      <c r="AM24" s="170">
        <v>0.0</v>
      </c>
      <c r="AN24" s="170">
        <v>0.0</v>
      </c>
      <c r="AO24" s="170">
        <v>0.0</v>
      </c>
      <c r="AP24" s="170">
        <v>0.0</v>
      </c>
      <c r="AQ24" s="170">
        <v>0.0</v>
      </c>
    </row>
    <row r="25">
      <c r="A25" s="167">
        <f t="shared" si="1"/>
        <v>11</v>
      </c>
      <c r="B25" s="167">
        <v>100.0</v>
      </c>
      <c r="C25" s="168">
        <f t="shared" si="2"/>
        <v>587</v>
      </c>
      <c r="D25" s="169">
        <v>0.0</v>
      </c>
      <c r="E25" s="170">
        <v>0.0</v>
      </c>
      <c r="F25" s="170">
        <v>0.0</v>
      </c>
      <c r="G25" s="170">
        <v>0.0</v>
      </c>
      <c r="H25" s="170">
        <v>0.0</v>
      </c>
      <c r="I25" s="170">
        <v>0.0</v>
      </c>
      <c r="J25" s="170">
        <v>0.0</v>
      </c>
      <c r="K25" s="170">
        <v>0.0</v>
      </c>
      <c r="L25" s="170">
        <v>0.0</v>
      </c>
      <c r="M25" s="170">
        <v>15.0</v>
      </c>
      <c r="N25" s="170">
        <v>0.0</v>
      </c>
      <c r="O25" s="170">
        <v>0.0</v>
      </c>
      <c r="P25" s="170">
        <v>0.0</v>
      </c>
      <c r="Q25" s="170">
        <v>0.0</v>
      </c>
      <c r="R25" s="170">
        <v>0.0</v>
      </c>
      <c r="S25" s="170">
        <v>0.0</v>
      </c>
      <c r="T25" s="170">
        <v>0.0</v>
      </c>
      <c r="U25" s="170">
        <v>0.0</v>
      </c>
      <c r="V25" s="170">
        <v>0.0</v>
      </c>
      <c r="W25" s="170">
        <v>0.0</v>
      </c>
      <c r="X25" s="169">
        <v>0.0</v>
      </c>
      <c r="Y25" s="170">
        <v>0.0</v>
      </c>
      <c r="Z25" s="170">
        <v>0.0</v>
      </c>
      <c r="AA25" s="170">
        <v>0.0</v>
      </c>
      <c r="AB25" s="170">
        <v>0.0</v>
      </c>
      <c r="AC25" s="170">
        <v>0.0</v>
      </c>
      <c r="AD25" s="170">
        <v>0.0</v>
      </c>
      <c r="AE25" s="170">
        <v>0.0</v>
      </c>
      <c r="AF25" s="170">
        <v>1.0</v>
      </c>
      <c r="AG25" s="170">
        <v>0.0</v>
      </c>
      <c r="AH25" s="170">
        <v>0.0</v>
      </c>
      <c r="AI25" s="170">
        <v>0.0</v>
      </c>
      <c r="AJ25" s="170">
        <v>0.0</v>
      </c>
      <c r="AK25" s="170">
        <v>0.0</v>
      </c>
      <c r="AL25" s="170">
        <v>0.0</v>
      </c>
      <c r="AM25" s="170">
        <v>0.0</v>
      </c>
      <c r="AN25" s="170">
        <v>0.0</v>
      </c>
      <c r="AO25" s="170">
        <v>0.0</v>
      </c>
      <c r="AP25" s="170">
        <v>0.0</v>
      </c>
      <c r="AQ25" s="170">
        <v>0.0</v>
      </c>
    </row>
    <row r="26">
      <c r="A26" s="167">
        <f t="shared" si="1"/>
        <v>12</v>
      </c>
      <c r="B26" s="167">
        <v>100.0</v>
      </c>
      <c r="C26" s="168">
        <f t="shared" si="2"/>
        <v>687</v>
      </c>
      <c r="D26" s="169">
        <v>0.0</v>
      </c>
      <c r="E26" s="170">
        <v>0.0</v>
      </c>
      <c r="F26" s="170">
        <v>0.0</v>
      </c>
      <c r="G26" s="170">
        <v>1.0</v>
      </c>
      <c r="H26" s="170">
        <v>0.0</v>
      </c>
      <c r="I26" s="170">
        <v>0.0</v>
      </c>
      <c r="J26" s="170">
        <v>0.0</v>
      </c>
      <c r="K26" s="170">
        <v>0.0</v>
      </c>
      <c r="L26" s="170">
        <v>0.0</v>
      </c>
      <c r="M26" s="170">
        <v>0.0</v>
      </c>
      <c r="N26" s="170">
        <v>0.0</v>
      </c>
      <c r="O26" s="170">
        <v>0.0</v>
      </c>
      <c r="P26" s="170">
        <v>0.0</v>
      </c>
      <c r="Q26" s="170">
        <v>0.0</v>
      </c>
      <c r="R26" s="170">
        <v>0.0</v>
      </c>
      <c r="S26" s="170">
        <v>0.0</v>
      </c>
      <c r="T26" s="170">
        <v>0.0</v>
      </c>
      <c r="U26" s="170">
        <v>0.0</v>
      </c>
      <c r="V26" s="170">
        <v>0.0</v>
      </c>
      <c r="W26" s="170">
        <v>0.0</v>
      </c>
      <c r="X26" s="169">
        <v>0.0</v>
      </c>
      <c r="Y26" s="170">
        <v>0.0</v>
      </c>
      <c r="Z26" s="170">
        <v>0.0</v>
      </c>
      <c r="AA26" s="170">
        <v>0.0</v>
      </c>
      <c r="AB26" s="170">
        <v>1.0</v>
      </c>
      <c r="AC26" s="170">
        <v>0.0</v>
      </c>
      <c r="AD26" s="170">
        <v>0.0</v>
      </c>
      <c r="AE26" s="170">
        <v>0.0</v>
      </c>
      <c r="AF26" s="170">
        <v>0.0</v>
      </c>
      <c r="AG26" s="170">
        <v>0.0</v>
      </c>
      <c r="AH26" s="170">
        <v>0.0</v>
      </c>
      <c r="AI26" s="170">
        <v>0.0</v>
      </c>
      <c r="AJ26" s="170">
        <v>0.0</v>
      </c>
      <c r="AK26" s="170">
        <v>0.0</v>
      </c>
      <c r="AL26" s="170">
        <v>0.0</v>
      </c>
      <c r="AM26" s="170">
        <v>0.0</v>
      </c>
      <c r="AN26" s="170">
        <v>0.0</v>
      </c>
      <c r="AO26" s="170">
        <v>0.0</v>
      </c>
      <c r="AP26" s="170">
        <v>0.0</v>
      </c>
      <c r="AQ26" s="170">
        <v>0.0</v>
      </c>
    </row>
    <row r="27">
      <c r="A27" s="167">
        <f t="shared" si="1"/>
        <v>13</v>
      </c>
      <c r="B27" s="167">
        <v>100.0</v>
      </c>
      <c r="C27" s="168">
        <f t="shared" si="2"/>
        <v>787</v>
      </c>
      <c r="D27" s="169">
        <v>0.0</v>
      </c>
      <c r="E27" s="170">
        <v>0.0</v>
      </c>
      <c r="F27" s="170">
        <v>0.0</v>
      </c>
      <c r="G27" s="170">
        <v>0.0</v>
      </c>
      <c r="H27" s="170">
        <v>0.0</v>
      </c>
      <c r="I27" s="170">
        <v>0.0</v>
      </c>
      <c r="J27" s="170">
        <v>0.0</v>
      </c>
      <c r="K27" s="170">
        <v>1.0</v>
      </c>
      <c r="L27" s="170">
        <v>0.0</v>
      </c>
      <c r="M27" s="170">
        <v>0.0</v>
      </c>
      <c r="N27" s="170">
        <v>0.0</v>
      </c>
      <c r="O27" s="170">
        <v>0.0</v>
      </c>
      <c r="P27" s="170">
        <v>0.0</v>
      </c>
      <c r="Q27" s="170">
        <v>0.0</v>
      </c>
      <c r="R27" s="170">
        <v>0.0</v>
      </c>
      <c r="S27" s="170">
        <v>0.0</v>
      </c>
      <c r="T27" s="170">
        <v>0.0</v>
      </c>
      <c r="U27" s="170">
        <v>0.0</v>
      </c>
      <c r="V27" s="170">
        <v>0.0</v>
      </c>
      <c r="W27" s="170">
        <v>0.0</v>
      </c>
      <c r="X27" s="169">
        <v>0.0</v>
      </c>
      <c r="Y27" s="170">
        <v>0.0</v>
      </c>
      <c r="Z27" s="170">
        <v>0.0</v>
      </c>
      <c r="AA27" s="170">
        <v>0.0</v>
      </c>
      <c r="AB27" s="170">
        <v>0.0</v>
      </c>
      <c r="AC27" s="170">
        <v>0.0</v>
      </c>
      <c r="AD27" s="170">
        <v>0.0</v>
      </c>
      <c r="AE27" s="170">
        <v>0.0</v>
      </c>
      <c r="AF27" s="170">
        <v>0.0</v>
      </c>
      <c r="AG27" s="170">
        <v>0.0</v>
      </c>
      <c r="AH27" s="170">
        <v>0.0</v>
      </c>
      <c r="AI27" s="170">
        <v>15.0</v>
      </c>
      <c r="AJ27" s="170">
        <v>0.0</v>
      </c>
      <c r="AK27" s="170">
        <v>0.0</v>
      </c>
      <c r="AL27" s="170">
        <v>0.0</v>
      </c>
      <c r="AM27" s="170">
        <v>0.0</v>
      </c>
      <c r="AN27" s="170">
        <v>0.0</v>
      </c>
      <c r="AO27" s="170">
        <v>0.0</v>
      </c>
      <c r="AP27" s="170">
        <v>0.0</v>
      </c>
      <c r="AQ27" s="170">
        <v>0.0</v>
      </c>
    </row>
    <row r="28">
      <c r="A28" s="167">
        <f t="shared" si="1"/>
        <v>14</v>
      </c>
      <c r="B28" s="167">
        <v>100.0</v>
      </c>
      <c r="C28" s="168">
        <f t="shared" si="2"/>
        <v>887</v>
      </c>
      <c r="D28" s="169">
        <v>0.0</v>
      </c>
      <c r="E28" s="170">
        <v>0.0</v>
      </c>
      <c r="F28" s="170">
        <v>0.0</v>
      </c>
      <c r="G28" s="170">
        <v>1.0</v>
      </c>
      <c r="H28" s="170">
        <v>0.0</v>
      </c>
      <c r="I28" s="170">
        <v>0.0</v>
      </c>
      <c r="J28" s="170">
        <v>0.0</v>
      </c>
      <c r="K28" s="170">
        <v>0.0</v>
      </c>
      <c r="L28" s="170">
        <v>0.0</v>
      </c>
      <c r="M28" s="170">
        <v>0.0</v>
      </c>
      <c r="N28" s="170">
        <v>0.0</v>
      </c>
      <c r="O28" s="170">
        <v>0.0</v>
      </c>
      <c r="P28" s="170">
        <v>0.0</v>
      </c>
      <c r="Q28" s="170">
        <v>0.0</v>
      </c>
      <c r="R28" s="170">
        <v>0.0</v>
      </c>
      <c r="S28" s="170">
        <v>0.0</v>
      </c>
      <c r="T28" s="170">
        <v>0.0</v>
      </c>
      <c r="U28" s="170">
        <v>0.0</v>
      </c>
      <c r="V28" s="170">
        <v>0.0</v>
      </c>
      <c r="W28" s="170">
        <v>0.0</v>
      </c>
      <c r="X28" s="169">
        <v>0.0</v>
      </c>
      <c r="Y28" s="170">
        <v>0.0</v>
      </c>
      <c r="Z28" s="170">
        <v>0.0</v>
      </c>
      <c r="AA28" s="170">
        <v>0.0</v>
      </c>
      <c r="AB28" s="170">
        <v>0.0</v>
      </c>
      <c r="AC28" s="170">
        <v>1.0</v>
      </c>
      <c r="AD28" s="170">
        <v>0.0</v>
      </c>
      <c r="AE28" s="170">
        <v>0.0</v>
      </c>
      <c r="AF28" s="170">
        <v>0.0</v>
      </c>
      <c r="AG28" s="170">
        <v>0.0</v>
      </c>
      <c r="AH28" s="170">
        <v>0.0</v>
      </c>
      <c r="AI28" s="170">
        <v>0.0</v>
      </c>
      <c r="AJ28" s="170">
        <v>0.0</v>
      </c>
      <c r="AK28" s="170">
        <v>0.0</v>
      </c>
      <c r="AL28" s="170">
        <v>0.0</v>
      </c>
      <c r="AM28" s="170">
        <v>0.0</v>
      </c>
      <c r="AN28" s="170">
        <v>0.0</v>
      </c>
      <c r="AO28" s="170">
        <v>0.0</v>
      </c>
      <c r="AP28" s="170">
        <v>0.0</v>
      </c>
      <c r="AQ28" s="170">
        <v>0.0</v>
      </c>
    </row>
    <row r="29">
      <c r="A29" s="167">
        <f t="shared" si="1"/>
        <v>15</v>
      </c>
      <c r="B29" s="167">
        <v>130.0</v>
      </c>
      <c r="C29" s="168">
        <f t="shared" si="2"/>
        <v>1017</v>
      </c>
      <c r="D29" s="169">
        <v>15.0</v>
      </c>
      <c r="E29" s="170">
        <v>0.0</v>
      </c>
      <c r="F29" s="170">
        <v>0.0</v>
      </c>
      <c r="G29" s="170">
        <v>0.0</v>
      </c>
      <c r="H29" s="170">
        <v>0.0</v>
      </c>
      <c r="I29" s="170">
        <v>0.0</v>
      </c>
      <c r="J29" s="170">
        <v>0.0</v>
      </c>
      <c r="K29" s="170">
        <v>0.0</v>
      </c>
      <c r="L29" s="170">
        <v>0.0</v>
      </c>
      <c r="M29" s="170">
        <v>0.0</v>
      </c>
      <c r="N29" s="170">
        <v>0.0</v>
      </c>
      <c r="O29" s="170">
        <v>0.0</v>
      </c>
      <c r="P29" s="170">
        <v>0.0</v>
      </c>
      <c r="Q29" s="170">
        <v>0.0</v>
      </c>
      <c r="R29" s="170">
        <v>0.0</v>
      </c>
      <c r="S29" s="170">
        <v>0.0</v>
      </c>
      <c r="T29" s="170">
        <v>0.0</v>
      </c>
      <c r="U29" s="170">
        <v>0.0</v>
      </c>
      <c r="V29" s="170">
        <v>0.0</v>
      </c>
      <c r="W29" s="170">
        <v>0.0</v>
      </c>
      <c r="X29" s="169">
        <v>30.0</v>
      </c>
      <c r="Y29" s="170">
        <v>0.0</v>
      </c>
      <c r="Z29" s="170">
        <v>0.0</v>
      </c>
      <c r="AA29" s="170">
        <v>1.0</v>
      </c>
      <c r="AB29" s="170">
        <v>0.0</v>
      </c>
      <c r="AC29" s="170">
        <v>0.0</v>
      </c>
      <c r="AD29" s="170">
        <v>0.0</v>
      </c>
      <c r="AE29" s="170">
        <v>0.0</v>
      </c>
      <c r="AF29" s="170">
        <v>0.0</v>
      </c>
      <c r="AG29" s="170">
        <v>60.0</v>
      </c>
      <c r="AH29" s="170">
        <v>0.0</v>
      </c>
      <c r="AI29" s="170">
        <v>0.0</v>
      </c>
      <c r="AJ29" s="170">
        <v>0.0</v>
      </c>
      <c r="AK29" s="170">
        <v>0.0</v>
      </c>
      <c r="AL29" s="170">
        <v>0.0</v>
      </c>
      <c r="AM29" s="170">
        <v>0.0</v>
      </c>
      <c r="AN29" s="170">
        <v>0.0</v>
      </c>
      <c r="AO29" s="170">
        <v>0.0</v>
      </c>
      <c r="AP29" s="170">
        <v>0.0</v>
      </c>
      <c r="AQ29" s="170">
        <v>0.0</v>
      </c>
    </row>
    <row r="30">
      <c r="A30" s="167">
        <f t="shared" si="1"/>
        <v>16</v>
      </c>
      <c r="B30" s="167">
        <v>130.0</v>
      </c>
      <c r="C30" s="168">
        <f t="shared" si="2"/>
        <v>1147</v>
      </c>
      <c r="D30" s="169">
        <v>0.0</v>
      </c>
      <c r="E30" s="170">
        <v>0.0</v>
      </c>
      <c r="F30" s="170">
        <v>0.0</v>
      </c>
      <c r="G30" s="170">
        <v>0.0</v>
      </c>
      <c r="H30" s="170">
        <v>0.0</v>
      </c>
      <c r="I30" s="170">
        <v>0.0</v>
      </c>
      <c r="J30" s="170">
        <v>0.0</v>
      </c>
      <c r="K30" s="170">
        <v>0.0</v>
      </c>
      <c r="L30" s="170">
        <v>0.0</v>
      </c>
      <c r="M30" s="170">
        <v>15.0</v>
      </c>
      <c r="N30" s="170">
        <v>0.0</v>
      </c>
      <c r="O30" s="170">
        <v>0.0</v>
      </c>
      <c r="P30" s="170">
        <v>0.0</v>
      </c>
      <c r="Q30" s="170">
        <v>0.0</v>
      </c>
      <c r="R30" s="170">
        <v>0.0</v>
      </c>
      <c r="S30" s="170">
        <v>0.0</v>
      </c>
      <c r="T30" s="170">
        <v>0.0</v>
      </c>
      <c r="U30" s="170">
        <v>0.0</v>
      </c>
      <c r="V30" s="170">
        <v>0.0</v>
      </c>
      <c r="W30" s="170">
        <v>0.0</v>
      </c>
      <c r="X30" s="169">
        <v>0.0</v>
      </c>
      <c r="Y30" s="170">
        <v>0.0</v>
      </c>
      <c r="Z30" s="170">
        <v>0.0</v>
      </c>
      <c r="AA30" s="170">
        <v>0.0</v>
      </c>
      <c r="AB30" s="170">
        <v>0.0</v>
      </c>
      <c r="AC30" s="170">
        <v>0.0</v>
      </c>
      <c r="AD30" s="170">
        <v>1.0</v>
      </c>
      <c r="AE30" s="170">
        <v>0.0</v>
      </c>
      <c r="AF30" s="170">
        <v>0.0</v>
      </c>
      <c r="AG30" s="170">
        <v>0.0</v>
      </c>
      <c r="AH30" s="170">
        <v>10.0</v>
      </c>
      <c r="AI30" s="170">
        <v>0.0</v>
      </c>
      <c r="AJ30" s="170">
        <v>0.0</v>
      </c>
      <c r="AK30" s="170">
        <v>0.0</v>
      </c>
      <c r="AL30" s="170">
        <v>0.0</v>
      </c>
      <c r="AM30" s="170">
        <v>0.0</v>
      </c>
      <c r="AN30" s="170">
        <v>0.0</v>
      </c>
      <c r="AO30" s="170">
        <v>0.0</v>
      </c>
      <c r="AP30" s="170">
        <v>0.0</v>
      </c>
      <c r="AQ30" s="170">
        <v>0.0</v>
      </c>
    </row>
    <row r="31" ht="15.75" customHeight="1">
      <c r="A31" s="167">
        <f t="shared" si="1"/>
        <v>17</v>
      </c>
      <c r="B31" s="167">
        <v>130.0</v>
      </c>
      <c r="C31" s="168">
        <f t="shared" si="2"/>
        <v>1277</v>
      </c>
      <c r="D31" s="169">
        <v>0.0</v>
      </c>
      <c r="E31" s="170">
        <v>0.0</v>
      </c>
      <c r="F31" s="170">
        <v>0.0</v>
      </c>
      <c r="G31" s="170">
        <v>0.0</v>
      </c>
      <c r="H31" s="170">
        <v>1.0</v>
      </c>
      <c r="I31" s="170">
        <v>0.0</v>
      </c>
      <c r="J31" s="170">
        <v>0.0</v>
      </c>
      <c r="K31" s="170">
        <v>0.0</v>
      </c>
      <c r="L31" s="170">
        <v>0.0</v>
      </c>
      <c r="M31" s="170">
        <v>0.0</v>
      </c>
      <c r="N31" s="170">
        <v>0.0</v>
      </c>
      <c r="O31" s="170">
        <v>0.0</v>
      </c>
      <c r="P31" s="170">
        <v>0.0</v>
      </c>
      <c r="Q31" s="170">
        <v>0.0</v>
      </c>
      <c r="R31" s="170">
        <v>0.0</v>
      </c>
      <c r="S31" s="170">
        <v>0.0</v>
      </c>
      <c r="T31" s="170">
        <v>0.0</v>
      </c>
      <c r="U31" s="170">
        <v>0.0</v>
      </c>
      <c r="V31" s="170">
        <v>0.0</v>
      </c>
      <c r="W31" s="170">
        <v>0.0</v>
      </c>
      <c r="X31" s="169">
        <v>0.0</v>
      </c>
      <c r="Y31" s="170">
        <v>0.0</v>
      </c>
      <c r="Z31" s="170">
        <v>0.0</v>
      </c>
      <c r="AA31" s="170">
        <v>0.0</v>
      </c>
      <c r="AB31" s="170">
        <v>0.0</v>
      </c>
      <c r="AC31" s="170">
        <v>1.0</v>
      </c>
      <c r="AD31" s="170">
        <v>0.0</v>
      </c>
      <c r="AE31" s="170">
        <v>0.0</v>
      </c>
      <c r="AF31" s="170">
        <v>1.0</v>
      </c>
      <c r="AG31" s="170">
        <v>0.0</v>
      </c>
      <c r="AH31" s="170">
        <v>0.0</v>
      </c>
      <c r="AI31" s="170">
        <v>0.0</v>
      </c>
      <c r="AJ31" s="170">
        <v>0.0</v>
      </c>
      <c r="AK31" s="170">
        <v>0.0</v>
      </c>
      <c r="AL31" s="170">
        <v>0.0</v>
      </c>
      <c r="AM31" s="170">
        <v>0.0</v>
      </c>
      <c r="AN31" s="170">
        <v>0.0</v>
      </c>
      <c r="AO31" s="170">
        <v>0.0</v>
      </c>
      <c r="AP31" s="170">
        <v>0.0</v>
      </c>
      <c r="AQ31" s="170">
        <v>0.0</v>
      </c>
    </row>
    <row r="32" ht="15.75" customHeight="1">
      <c r="A32" s="167">
        <f t="shared" si="1"/>
        <v>18</v>
      </c>
      <c r="B32" s="167">
        <v>130.0</v>
      </c>
      <c r="C32" s="168">
        <f t="shared" si="2"/>
        <v>1407</v>
      </c>
      <c r="D32" s="169">
        <v>0.0</v>
      </c>
      <c r="E32" s="170">
        <v>0.0</v>
      </c>
      <c r="F32" s="170">
        <v>0.0</v>
      </c>
      <c r="G32" s="170">
        <v>1.0</v>
      </c>
      <c r="H32" s="170">
        <v>0.0</v>
      </c>
      <c r="I32" s="170">
        <v>0.0</v>
      </c>
      <c r="J32" s="170">
        <v>0.0</v>
      </c>
      <c r="K32" s="170">
        <v>0.0</v>
      </c>
      <c r="L32" s="170">
        <v>0.0</v>
      </c>
      <c r="M32" s="170">
        <v>0.0</v>
      </c>
      <c r="N32" s="170">
        <v>0.0</v>
      </c>
      <c r="O32" s="170">
        <v>0.0</v>
      </c>
      <c r="P32" s="170">
        <v>0.0</v>
      </c>
      <c r="Q32" s="170">
        <v>0.0</v>
      </c>
      <c r="R32" s="170">
        <v>0.0</v>
      </c>
      <c r="S32" s="170">
        <v>0.0</v>
      </c>
      <c r="T32" s="170">
        <v>0.0</v>
      </c>
      <c r="U32" s="170">
        <v>0.0</v>
      </c>
      <c r="V32" s="170">
        <v>0.0</v>
      </c>
      <c r="W32" s="170">
        <v>0.0</v>
      </c>
      <c r="X32" s="169">
        <v>0.0</v>
      </c>
      <c r="Y32" s="170">
        <v>0.0</v>
      </c>
      <c r="Z32" s="170">
        <v>0.0</v>
      </c>
      <c r="AA32" s="170">
        <v>0.0</v>
      </c>
      <c r="AB32" s="170">
        <v>0.0</v>
      </c>
      <c r="AC32" s="170">
        <v>0.0</v>
      </c>
      <c r="AD32" s="170">
        <v>1.0</v>
      </c>
      <c r="AE32" s="170">
        <v>0.0</v>
      </c>
      <c r="AF32" s="170">
        <v>0.0</v>
      </c>
      <c r="AG32" s="170">
        <v>0.0</v>
      </c>
      <c r="AH32" s="170">
        <v>0.0</v>
      </c>
      <c r="AI32" s="170">
        <v>10.0</v>
      </c>
      <c r="AJ32" s="170">
        <v>0.0</v>
      </c>
      <c r="AK32" s="170">
        <v>0.0</v>
      </c>
      <c r="AL32" s="170">
        <v>0.0</v>
      </c>
      <c r="AM32" s="170">
        <v>0.0</v>
      </c>
      <c r="AN32" s="170">
        <v>0.0</v>
      </c>
      <c r="AO32" s="170">
        <v>0.0</v>
      </c>
      <c r="AP32" s="170">
        <v>0.0</v>
      </c>
      <c r="AQ32" s="170">
        <v>0.0</v>
      </c>
    </row>
    <row r="33" ht="15.75" customHeight="1">
      <c r="A33" s="167">
        <f t="shared" si="1"/>
        <v>19</v>
      </c>
      <c r="B33" s="167">
        <v>130.0</v>
      </c>
      <c r="C33" s="168">
        <f t="shared" si="2"/>
        <v>1537</v>
      </c>
      <c r="D33" s="169">
        <v>0.0</v>
      </c>
      <c r="E33" s="170">
        <v>0.0</v>
      </c>
      <c r="F33" s="170">
        <v>0.0</v>
      </c>
      <c r="G33" s="170">
        <v>0.0</v>
      </c>
      <c r="H33" s="170">
        <v>0.0</v>
      </c>
      <c r="I33" s="170">
        <v>1.0</v>
      </c>
      <c r="J33" s="170">
        <v>0.0</v>
      </c>
      <c r="K33" s="170">
        <v>0.0</v>
      </c>
      <c r="L33" s="170">
        <v>0.0</v>
      </c>
      <c r="M33" s="170">
        <v>0.0</v>
      </c>
      <c r="N33" s="170">
        <v>0.0</v>
      </c>
      <c r="O33" s="170">
        <v>0.0</v>
      </c>
      <c r="P33" s="170">
        <v>0.0</v>
      </c>
      <c r="Q33" s="170">
        <v>0.0</v>
      </c>
      <c r="R33" s="170">
        <v>0.0</v>
      </c>
      <c r="S33" s="170">
        <v>0.0</v>
      </c>
      <c r="T33" s="170">
        <v>0.0</v>
      </c>
      <c r="U33" s="170">
        <v>0.0</v>
      </c>
      <c r="V33" s="170">
        <v>0.0</v>
      </c>
      <c r="W33" s="170">
        <v>0.0</v>
      </c>
      <c r="X33" s="169">
        <v>0.0</v>
      </c>
      <c r="Y33" s="170">
        <v>0.0</v>
      </c>
      <c r="Z33" s="170">
        <v>0.0</v>
      </c>
      <c r="AA33" s="170">
        <v>0.0</v>
      </c>
      <c r="AB33" s="170">
        <v>1.0</v>
      </c>
      <c r="AC33" s="170">
        <v>0.0</v>
      </c>
      <c r="AD33" s="170">
        <v>0.0</v>
      </c>
      <c r="AE33" s="170">
        <v>0.0</v>
      </c>
      <c r="AF33" s="170">
        <v>0.0</v>
      </c>
      <c r="AG33" s="170">
        <v>0.0</v>
      </c>
      <c r="AH33" s="170">
        <v>15.0</v>
      </c>
      <c r="AI33" s="170">
        <v>0.0</v>
      </c>
      <c r="AJ33" s="170">
        <v>0.0</v>
      </c>
      <c r="AK33" s="170">
        <v>0.0</v>
      </c>
      <c r="AL33" s="170">
        <v>0.0</v>
      </c>
      <c r="AM33" s="170">
        <v>0.0</v>
      </c>
      <c r="AN33" s="170">
        <v>0.0</v>
      </c>
      <c r="AO33" s="170">
        <v>0.0</v>
      </c>
      <c r="AP33" s="170">
        <v>0.0</v>
      </c>
      <c r="AQ33" s="170">
        <v>0.0</v>
      </c>
    </row>
    <row r="34" ht="15.75" customHeight="1">
      <c r="A34" s="167">
        <f t="shared" si="1"/>
        <v>20</v>
      </c>
      <c r="B34" s="167">
        <v>160.0</v>
      </c>
      <c r="C34" s="168">
        <f t="shared" si="2"/>
        <v>1697</v>
      </c>
      <c r="D34" s="169">
        <v>20.0</v>
      </c>
      <c r="E34" s="170">
        <v>0.0</v>
      </c>
      <c r="F34" s="170">
        <v>0.0</v>
      </c>
      <c r="G34" s="170">
        <v>0.0</v>
      </c>
      <c r="H34" s="170">
        <v>0.0</v>
      </c>
      <c r="I34" s="170">
        <v>0.0</v>
      </c>
      <c r="J34" s="170">
        <v>0.0</v>
      </c>
      <c r="K34" s="170">
        <v>0.0</v>
      </c>
      <c r="L34" s="170">
        <v>0.0</v>
      </c>
      <c r="M34" s="170">
        <v>0.0</v>
      </c>
      <c r="N34" s="170">
        <v>0.0</v>
      </c>
      <c r="O34" s="170">
        <v>0.0</v>
      </c>
      <c r="P34" s="170">
        <v>0.0</v>
      </c>
      <c r="Q34" s="170">
        <v>0.0</v>
      </c>
      <c r="R34" s="170">
        <v>0.0</v>
      </c>
      <c r="S34" s="170">
        <v>0.0</v>
      </c>
      <c r="T34" s="170">
        <v>0.0</v>
      </c>
      <c r="U34" s="170">
        <v>0.0</v>
      </c>
      <c r="V34" s="170">
        <v>0.0</v>
      </c>
      <c r="W34" s="170">
        <v>0.0</v>
      </c>
      <c r="X34" s="169">
        <v>40.0</v>
      </c>
      <c r="Y34" s="170">
        <v>0.0</v>
      </c>
      <c r="Z34" s="170">
        <v>0.0</v>
      </c>
      <c r="AA34" s="170">
        <v>1.0</v>
      </c>
      <c r="AB34" s="170">
        <v>0.0</v>
      </c>
      <c r="AC34" s="170">
        <v>0.0</v>
      </c>
      <c r="AD34" s="170">
        <v>0.0</v>
      </c>
      <c r="AE34" s="170">
        <v>0.0</v>
      </c>
      <c r="AF34" s="170">
        <v>0.0</v>
      </c>
      <c r="AG34" s="170">
        <v>60.0</v>
      </c>
      <c r="AH34" s="170">
        <v>0.0</v>
      </c>
      <c r="AI34" s="170">
        <v>0.0</v>
      </c>
      <c r="AJ34" s="170">
        <v>0.0</v>
      </c>
      <c r="AK34" s="170">
        <v>0.0</v>
      </c>
      <c r="AL34" s="170">
        <v>0.0</v>
      </c>
      <c r="AM34" s="170">
        <v>0.0</v>
      </c>
      <c r="AN34" s="170">
        <v>0.0</v>
      </c>
      <c r="AO34" s="170">
        <v>0.0</v>
      </c>
      <c r="AP34" s="170">
        <v>0.0</v>
      </c>
      <c r="AQ34" s="170">
        <v>0.0</v>
      </c>
    </row>
    <row r="35" ht="15.75" customHeight="1">
      <c r="A35" s="167">
        <f t="shared" si="1"/>
        <v>21</v>
      </c>
      <c r="B35" s="167">
        <v>160.0</v>
      </c>
      <c r="C35" s="168">
        <f t="shared" si="2"/>
        <v>1857</v>
      </c>
      <c r="D35" s="169">
        <v>0.0</v>
      </c>
      <c r="E35" s="170">
        <v>0.0</v>
      </c>
      <c r="F35" s="170">
        <v>0.0</v>
      </c>
      <c r="G35" s="170">
        <v>0.0</v>
      </c>
      <c r="H35" s="170">
        <v>1.0</v>
      </c>
      <c r="I35" s="170">
        <v>0.0</v>
      </c>
      <c r="J35" s="170">
        <v>0.0</v>
      </c>
      <c r="K35" s="170">
        <v>0.0</v>
      </c>
      <c r="L35" s="170">
        <v>0.0</v>
      </c>
      <c r="M35" s="170">
        <v>0.0</v>
      </c>
      <c r="N35" s="170">
        <v>0.0</v>
      </c>
      <c r="O35" s="170">
        <v>0.0</v>
      </c>
      <c r="P35" s="170">
        <v>0.0</v>
      </c>
      <c r="Q35" s="170">
        <v>0.0</v>
      </c>
      <c r="R35" s="170">
        <v>0.0</v>
      </c>
      <c r="S35" s="170">
        <v>0.0</v>
      </c>
      <c r="T35" s="170">
        <v>0.0</v>
      </c>
      <c r="U35" s="170">
        <v>0.0</v>
      </c>
      <c r="V35" s="170">
        <v>0.0</v>
      </c>
      <c r="W35" s="170">
        <v>0.0</v>
      </c>
      <c r="X35" s="169">
        <v>0.0</v>
      </c>
      <c r="Y35" s="170">
        <v>0.0</v>
      </c>
      <c r="Z35" s="170">
        <v>0.0</v>
      </c>
      <c r="AA35" s="170">
        <v>0.0</v>
      </c>
      <c r="AB35" s="170">
        <v>0.0</v>
      </c>
      <c r="AC35" s="170">
        <v>1.0</v>
      </c>
      <c r="AD35" s="170">
        <v>0.0</v>
      </c>
      <c r="AE35" s="170">
        <v>0.0</v>
      </c>
      <c r="AF35" s="170">
        <v>0.0</v>
      </c>
      <c r="AG35" s="170">
        <v>0.0</v>
      </c>
      <c r="AH35" s="170">
        <v>0.0</v>
      </c>
      <c r="AI35" s="170">
        <v>15.0</v>
      </c>
      <c r="AJ35" s="170">
        <v>0.0</v>
      </c>
      <c r="AK35" s="170">
        <v>0.0</v>
      </c>
      <c r="AL35" s="170">
        <v>0.0</v>
      </c>
      <c r="AM35" s="170">
        <v>0.0</v>
      </c>
      <c r="AN35" s="170">
        <v>0.0</v>
      </c>
      <c r="AO35" s="170">
        <v>0.0</v>
      </c>
      <c r="AP35" s="170">
        <v>0.0</v>
      </c>
      <c r="AQ35" s="170">
        <v>0.0</v>
      </c>
    </row>
    <row r="36" ht="15.75" customHeight="1">
      <c r="A36" s="167">
        <f t="shared" si="1"/>
        <v>22</v>
      </c>
      <c r="B36" s="167">
        <v>160.0</v>
      </c>
      <c r="C36" s="168">
        <f t="shared" si="2"/>
        <v>2017</v>
      </c>
      <c r="D36" s="169">
        <v>0.0</v>
      </c>
      <c r="E36" s="170">
        <v>0.0</v>
      </c>
      <c r="F36" s="170">
        <v>0.0</v>
      </c>
      <c r="G36" s="170">
        <v>0.0</v>
      </c>
      <c r="H36" s="170">
        <v>0.0</v>
      </c>
      <c r="I36" s="170">
        <v>0.0</v>
      </c>
      <c r="J36" s="170">
        <v>0.0</v>
      </c>
      <c r="K36" s="170">
        <v>0.0</v>
      </c>
      <c r="L36" s="170">
        <v>0.0</v>
      </c>
      <c r="M36" s="170">
        <v>0.0</v>
      </c>
      <c r="N36" s="170">
        <v>15.0</v>
      </c>
      <c r="O36" s="170">
        <v>0.0</v>
      </c>
      <c r="P36" s="170">
        <v>0.0</v>
      </c>
      <c r="Q36" s="170">
        <v>0.0</v>
      </c>
      <c r="R36" s="170">
        <v>0.0</v>
      </c>
      <c r="S36" s="170">
        <v>0.0</v>
      </c>
      <c r="T36" s="170">
        <v>0.0</v>
      </c>
      <c r="U36" s="170">
        <v>0.0</v>
      </c>
      <c r="V36" s="170">
        <v>0.0</v>
      </c>
      <c r="W36" s="170">
        <v>0.0</v>
      </c>
      <c r="X36" s="169">
        <v>0.0</v>
      </c>
      <c r="Y36" s="170">
        <v>0.0</v>
      </c>
      <c r="Z36" s="170">
        <v>0.0</v>
      </c>
      <c r="AA36" s="170">
        <v>0.0</v>
      </c>
      <c r="AB36" s="170">
        <v>0.0</v>
      </c>
      <c r="AC36" s="170">
        <v>0.0</v>
      </c>
      <c r="AD36" s="170">
        <v>0.0</v>
      </c>
      <c r="AE36" s="170">
        <v>1.0</v>
      </c>
      <c r="AF36" s="170">
        <v>0.0</v>
      </c>
      <c r="AG36" s="170">
        <v>0.0</v>
      </c>
      <c r="AH36" s="170">
        <v>0.0</v>
      </c>
      <c r="AI36" s="170">
        <v>0.0</v>
      </c>
      <c r="AJ36" s="170">
        <v>10.0</v>
      </c>
      <c r="AK36" s="170">
        <v>0.0</v>
      </c>
      <c r="AL36" s="170">
        <v>0.0</v>
      </c>
      <c r="AM36" s="170">
        <v>0.0</v>
      </c>
      <c r="AN36" s="170">
        <v>0.0</v>
      </c>
      <c r="AO36" s="170">
        <v>0.0</v>
      </c>
      <c r="AP36" s="170">
        <v>0.0</v>
      </c>
      <c r="AQ36" s="170">
        <v>0.0</v>
      </c>
    </row>
    <row r="37" ht="15.75" customHeight="1">
      <c r="A37" s="167">
        <f t="shared" si="1"/>
        <v>23</v>
      </c>
      <c r="B37" s="167">
        <v>160.0</v>
      </c>
      <c r="C37" s="168">
        <f t="shared" si="2"/>
        <v>2177</v>
      </c>
      <c r="D37" s="169">
        <v>0.0</v>
      </c>
      <c r="E37" s="170">
        <v>0.0</v>
      </c>
      <c r="F37" s="170">
        <v>0.0</v>
      </c>
      <c r="G37" s="170">
        <v>0.0</v>
      </c>
      <c r="H37" s="170">
        <v>1.0</v>
      </c>
      <c r="I37" s="170">
        <v>0.0</v>
      </c>
      <c r="J37" s="170">
        <v>0.0</v>
      </c>
      <c r="K37" s="170">
        <v>0.0</v>
      </c>
      <c r="L37" s="170">
        <v>0.0</v>
      </c>
      <c r="M37" s="170">
        <v>0.0</v>
      </c>
      <c r="N37" s="170">
        <v>0.0</v>
      </c>
      <c r="O37" s="170">
        <v>0.0</v>
      </c>
      <c r="P37" s="170">
        <v>0.0</v>
      </c>
      <c r="Q37" s="170">
        <v>0.0</v>
      </c>
      <c r="R37" s="170">
        <v>0.0</v>
      </c>
      <c r="S37" s="170">
        <v>0.0</v>
      </c>
      <c r="T37" s="170">
        <v>0.0</v>
      </c>
      <c r="U37" s="170">
        <v>0.0</v>
      </c>
      <c r="V37" s="170">
        <v>0.0</v>
      </c>
      <c r="W37" s="170">
        <v>0.0</v>
      </c>
      <c r="X37" s="169">
        <v>0.0</v>
      </c>
      <c r="Y37" s="170">
        <v>0.0</v>
      </c>
      <c r="Z37" s="170">
        <v>0.0</v>
      </c>
      <c r="AA37" s="170">
        <v>0.0</v>
      </c>
      <c r="AB37" s="170">
        <v>0.0</v>
      </c>
      <c r="AC37" s="170">
        <v>1.0</v>
      </c>
      <c r="AD37" s="170">
        <v>1.0</v>
      </c>
      <c r="AE37" s="170">
        <v>0.0</v>
      </c>
      <c r="AF37" s="170">
        <v>0.0</v>
      </c>
      <c r="AG37" s="170">
        <v>0.0</v>
      </c>
      <c r="AH37" s="170">
        <v>0.0</v>
      </c>
      <c r="AI37" s="170">
        <v>0.0</v>
      </c>
      <c r="AJ37" s="170">
        <v>0.0</v>
      </c>
      <c r="AK37" s="170">
        <v>0.0</v>
      </c>
      <c r="AL37" s="170">
        <v>0.0</v>
      </c>
      <c r="AM37" s="170">
        <v>0.0</v>
      </c>
      <c r="AN37" s="170">
        <v>0.0</v>
      </c>
      <c r="AO37" s="170">
        <v>0.0</v>
      </c>
      <c r="AP37" s="170">
        <v>0.0</v>
      </c>
      <c r="AQ37" s="170">
        <v>0.0</v>
      </c>
    </row>
    <row r="38" ht="15.75" customHeight="1">
      <c r="A38" s="167">
        <f t="shared" si="1"/>
        <v>24</v>
      </c>
      <c r="B38" s="167">
        <v>160.0</v>
      </c>
      <c r="C38" s="168">
        <f t="shared" si="2"/>
        <v>2337</v>
      </c>
      <c r="D38" s="169">
        <v>0.0</v>
      </c>
      <c r="E38" s="170">
        <v>0.0</v>
      </c>
      <c r="F38" s="170">
        <v>0.0</v>
      </c>
      <c r="G38" s="170">
        <v>0.0</v>
      </c>
      <c r="H38" s="170">
        <v>0.0</v>
      </c>
      <c r="I38" s="170">
        <v>0.0</v>
      </c>
      <c r="J38" s="170">
        <v>0.0</v>
      </c>
      <c r="K38" s="170">
        <v>0.0</v>
      </c>
      <c r="L38" s="170">
        <v>0.0</v>
      </c>
      <c r="M38" s="170">
        <v>30.0</v>
      </c>
      <c r="N38" s="170">
        <v>0.0</v>
      </c>
      <c r="O38" s="170">
        <v>0.0</v>
      </c>
      <c r="P38" s="170">
        <v>0.0</v>
      </c>
      <c r="Q38" s="170">
        <v>0.0</v>
      </c>
      <c r="R38" s="170">
        <v>0.0</v>
      </c>
      <c r="S38" s="170">
        <v>0.0</v>
      </c>
      <c r="T38" s="170">
        <v>0.0</v>
      </c>
      <c r="U38" s="170">
        <v>0.0</v>
      </c>
      <c r="V38" s="170">
        <v>0.0</v>
      </c>
      <c r="W38" s="170">
        <v>0.0</v>
      </c>
      <c r="X38" s="169">
        <v>0.0</v>
      </c>
      <c r="Y38" s="170">
        <v>0.0</v>
      </c>
      <c r="Z38" s="170">
        <v>0.0</v>
      </c>
      <c r="AA38" s="170">
        <v>0.0</v>
      </c>
      <c r="AB38" s="170">
        <v>1.0</v>
      </c>
      <c r="AC38" s="170">
        <v>0.0</v>
      </c>
      <c r="AD38" s="170">
        <v>0.0</v>
      </c>
      <c r="AE38" s="170">
        <v>0.0</v>
      </c>
      <c r="AF38" s="170">
        <v>0.0</v>
      </c>
      <c r="AG38" s="170">
        <v>0.0</v>
      </c>
      <c r="AH38" s="170">
        <v>10.0</v>
      </c>
      <c r="AI38" s="170">
        <v>0.0</v>
      </c>
      <c r="AJ38" s="170">
        <v>0.0</v>
      </c>
      <c r="AK38" s="170">
        <v>0.0</v>
      </c>
      <c r="AL38" s="170">
        <v>0.0</v>
      </c>
      <c r="AM38" s="170">
        <v>0.0</v>
      </c>
      <c r="AN38" s="170">
        <v>0.0</v>
      </c>
      <c r="AO38" s="170">
        <v>0.0</v>
      </c>
      <c r="AP38" s="170">
        <v>0.0</v>
      </c>
      <c r="AQ38" s="170">
        <v>0.0</v>
      </c>
    </row>
    <row r="39" ht="15.75" customHeight="1">
      <c r="A39" s="167">
        <f t="shared" si="1"/>
        <v>25</v>
      </c>
      <c r="B39" s="167">
        <v>190.0</v>
      </c>
      <c r="C39" s="168">
        <f t="shared" si="2"/>
        <v>2527</v>
      </c>
      <c r="D39" s="169">
        <v>25.0</v>
      </c>
      <c r="E39" s="170">
        <v>0.0</v>
      </c>
      <c r="F39" s="170">
        <v>0.0</v>
      </c>
      <c r="G39" s="170">
        <v>0.0</v>
      </c>
      <c r="H39" s="170">
        <v>0.0</v>
      </c>
      <c r="I39" s="170">
        <v>0.0</v>
      </c>
      <c r="J39" s="170">
        <v>0.0</v>
      </c>
      <c r="K39" s="170">
        <v>0.0</v>
      </c>
      <c r="L39" s="170">
        <v>0.0</v>
      </c>
      <c r="M39" s="170">
        <v>0.0</v>
      </c>
      <c r="N39" s="170">
        <v>0.0</v>
      </c>
      <c r="O39" s="170">
        <v>0.0</v>
      </c>
      <c r="P39" s="170">
        <v>0.0</v>
      </c>
      <c r="Q39" s="170">
        <v>0.0</v>
      </c>
      <c r="R39" s="170">
        <v>0.0</v>
      </c>
      <c r="S39" s="170">
        <v>0.0</v>
      </c>
      <c r="T39" s="170">
        <v>0.0</v>
      </c>
      <c r="U39" s="170">
        <v>0.0</v>
      </c>
      <c r="V39" s="170">
        <v>0.0</v>
      </c>
      <c r="W39" s="170">
        <v>0.0</v>
      </c>
      <c r="X39" s="169">
        <v>55.0</v>
      </c>
      <c r="Y39" s="170">
        <v>0.0</v>
      </c>
      <c r="Z39" s="170">
        <v>0.0</v>
      </c>
      <c r="AA39" s="170">
        <v>0.0</v>
      </c>
      <c r="AB39" s="170">
        <v>0.0</v>
      </c>
      <c r="AC39" s="170">
        <v>0.0</v>
      </c>
      <c r="AD39" s="170">
        <v>0.0</v>
      </c>
      <c r="AE39" s="170">
        <v>0.0</v>
      </c>
      <c r="AF39" s="170">
        <v>0.0</v>
      </c>
      <c r="AG39" s="170">
        <v>120.0</v>
      </c>
      <c r="AH39" s="170">
        <v>0.0</v>
      </c>
      <c r="AI39" s="170">
        <v>0.0</v>
      </c>
      <c r="AJ39" s="170">
        <v>0.0</v>
      </c>
      <c r="AK39" s="170">
        <v>0.0</v>
      </c>
      <c r="AL39" s="170">
        <v>0.0</v>
      </c>
      <c r="AM39" s="170">
        <v>0.0</v>
      </c>
      <c r="AN39" s="170">
        <v>0.0</v>
      </c>
      <c r="AO39" s="170">
        <v>0.0</v>
      </c>
      <c r="AP39" s="170">
        <v>0.0</v>
      </c>
      <c r="AQ39" s="170">
        <v>0.0</v>
      </c>
    </row>
    <row r="40" ht="15.75" customHeight="1">
      <c r="A40" s="167">
        <f t="shared" si="1"/>
        <v>26</v>
      </c>
      <c r="B40" s="167">
        <v>190.0</v>
      </c>
      <c r="C40" s="168">
        <f t="shared" si="2"/>
        <v>2717</v>
      </c>
      <c r="D40" s="169">
        <v>0.0</v>
      </c>
      <c r="E40" s="170">
        <v>0.0</v>
      </c>
      <c r="F40" s="170">
        <v>0.0</v>
      </c>
      <c r="G40" s="170">
        <v>0.0</v>
      </c>
      <c r="H40" s="170">
        <v>0.0</v>
      </c>
      <c r="I40" s="170">
        <v>0.0</v>
      </c>
      <c r="J40" s="170">
        <v>0.0</v>
      </c>
      <c r="K40" s="170">
        <v>0.0</v>
      </c>
      <c r="L40" s="170">
        <v>0.0</v>
      </c>
      <c r="M40" s="170">
        <v>30.0</v>
      </c>
      <c r="N40" s="170">
        <v>0.0</v>
      </c>
      <c r="O40" s="170">
        <v>0.0</v>
      </c>
      <c r="P40" s="170">
        <v>0.0</v>
      </c>
      <c r="Q40" s="170">
        <v>0.0</v>
      </c>
      <c r="R40" s="170">
        <v>0.0</v>
      </c>
      <c r="S40" s="170">
        <v>0.0</v>
      </c>
      <c r="T40" s="170">
        <v>0.0</v>
      </c>
      <c r="U40" s="170">
        <v>0.0</v>
      </c>
      <c r="V40" s="170">
        <v>0.0</v>
      </c>
      <c r="W40" s="170">
        <v>0.0</v>
      </c>
      <c r="X40" s="169">
        <v>0.0</v>
      </c>
      <c r="Y40" s="170">
        <v>0.0</v>
      </c>
      <c r="Z40" s="170">
        <v>0.0</v>
      </c>
      <c r="AA40" s="170">
        <v>1.0</v>
      </c>
      <c r="AB40" s="170">
        <v>0.0</v>
      </c>
      <c r="AC40" s="170">
        <v>0.0</v>
      </c>
      <c r="AD40" s="170">
        <v>0.0</v>
      </c>
      <c r="AE40" s="170">
        <v>1.0</v>
      </c>
      <c r="AF40" s="170">
        <v>0.0</v>
      </c>
      <c r="AG40" s="170">
        <v>0.0</v>
      </c>
      <c r="AH40" s="170">
        <v>0.0</v>
      </c>
      <c r="AI40" s="170">
        <v>0.0</v>
      </c>
      <c r="AJ40" s="170">
        <v>0.0</v>
      </c>
      <c r="AK40" s="170">
        <v>0.0</v>
      </c>
      <c r="AL40" s="170">
        <v>0.0</v>
      </c>
      <c r="AM40" s="170">
        <v>0.0</v>
      </c>
      <c r="AN40" s="170">
        <v>0.0</v>
      </c>
      <c r="AO40" s="170">
        <v>0.0</v>
      </c>
      <c r="AP40" s="170">
        <v>0.0</v>
      </c>
      <c r="AQ40" s="170">
        <v>0.0</v>
      </c>
    </row>
    <row r="41" ht="15.75" customHeight="1">
      <c r="A41" s="167">
        <f t="shared" si="1"/>
        <v>27</v>
      </c>
      <c r="B41" s="167">
        <v>190.0</v>
      </c>
      <c r="C41" s="168">
        <f t="shared" si="2"/>
        <v>2907</v>
      </c>
      <c r="D41" s="169">
        <v>0.0</v>
      </c>
      <c r="E41" s="170">
        <v>0.0</v>
      </c>
      <c r="F41" s="170">
        <v>0.0</v>
      </c>
      <c r="G41" s="170">
        <v>0.0</v>
      </c>
      <c r="H41" s="170">
        <v>0.0</v>
      </c>
      <c r="I41" s="170">
        <v>0.0</v>
      </c>
      <c r="J41" s="170">
        <v>1.0</v>
      </c>
      <c r="K41" s="170">
        <v>0.0</v>
      </c>
      <c r="L41" s="170">
        <v>0.0</v>
      </c>
      <c r="M41" s="170">
        <v>0.0</v>
      </c>
      <c r="N41" s="170">
        <v>0.0</v>
      </c>
      <c r="O41" s="170">
        <v>0.0</v>
      </c>
      <c r="P41" s="170">
        <v>0.0</v>
      </c>
      <c r="Q41" s="170">
        <v>0.0</v>
      </c>
      <c r="R41" s="170">
        <v>0.0</v>
      </c>
      <c r="S41" s="170">
        <v>0.0</v>
      </c>
      <c r="T41" s="170">
        <v>0.0</v>
      </c>
      <c r="U41" s="170">
        <v>0.0</v>
      </c>
      <c r="V41" s="170">
        <v>0.0</v>
      </c>
      <c r="W41" s="170">
        <v>0.0</v>
      </c>
      <c r="X41" s="169">
        <v>0.0</v>
      </c>
      <c r="Y41" s="170">
        <v>0.0</v>
      </c>
      <c r="Z41" s="170">
        <v>0.0</v>
      </c>
      <c r="AA41" s="170">
        <v>0.0</v>
      </c>
      <c r="AB41" s="170">
        <v>0.0</v>
      </c>
      <c r="AC41" s="170">
        <v>0.0</v>
      </c>
      <c r="AD41" s="170">
        <v>0.0</v>
      </c>
      <c r="AE41" s="170">
        <v>0.0</v>
      </c>
      <c r="AF41" s="170">
        <v>1.0</v>
      </c>
      <c r="AG41" s="170">
        <v>0.0</v>
      </c>
      <c r="AH41" s="170">
        <v>0.0</v>
      </c>
      <c r="AI41" s="170">
        <v>10.0</v>
      </c>
      <c r="AJ41" s="170">
        <v>0.0</v>
      </c>
      <c r="AK41" s="170">
        <v>0.0</v>
      </c>
      <c r="AL41" s="170">
        <v>0.0</v>
      </c>
      <c r="AM41" s="170">
        <v>0.0</v>
      </c>
      <c r="AN41" s="170">
        <v>0.0</v>
      </c>
      <c r="AO41" s="170">
        <v>0.0</v>
      </c>
      <c r="AP41" s="170">
        <v>0.0</v>
      </c>
      <c r="AQ41" s="170">
        <v>0.0</v>
      </c>
    </row>
    <row r="42" ht="15.75" customHeight="1">
      <c r="A42" s="167">
        <f t="shared" si="1"/>
        <v>28</v>
      </c>
      <c r="B42" s="167">
        <v>190.0</v>
      </c>
      <c r="C42" s="168">
        <f t="shared" si="2"/>
        <v>3097</v>
      </c>
      <c r="D42" s="169">
        <v>0.0</v>
      </c>
      <c r="E42" s="170">
        <v>0.0</v>
      </c>
      <c r="F42" s="170">
        <v>0.0</v>
      </c>
      <c r="G42" s="170">
        <v>0.0</v>
      </c>
      <c r="H42" s="170">
        <v>0.0</v>
      </c>
      <c r="I42" s="170">
        <v>1.0</v>
      </c>
      <c r="J42" s="170">
        <v>0.0</v>
      </c>
      <c r="K42" s="170">
        <v>0.0</v>
      </c>
      <c r="L42" s="170">
        <v>0.0</v>
      </c>
      <c r="M42" s="170">
        <v>0.0</v>
      </c>
      <c r="N42" s="170">
        <v>0.0</v>
      </c>
      <c r="O42" s="170">
        <v>0.0</v>
      </c>
      <c r="P42" s="170">
        <v>0.0</v>
      </c>
      <c r="Q42" s="170">
        <v>0.0</v>
      </c>
      <c r="R42" s="170">
        <v>0.0</v>
      </c>
      <c r="S42" s="170">
        <v>0.0</v>
      </c>
      <c r="T42" s="170">
        <v>0.0</v>
      </c>
      <c r="U42" s="170">
        <v>0.0</v>
      </c>
      <c r="V42" s="170">
        <v>0.0</v>
      </c>
      <c r="W42" s="170">
        <v>0.0</v>
      </c>
      <c r="X42" s="169">
        <v>0.0</v>
      </c>
      <c r="Y42" s="170">
        <v>0.0</v>
      </c>
      <c r="Z42" s="170">
        <v>0.0</v>
      </c>
      <c r="AA42" s="170">
        <v>0.0</v>
      </c>
      <c r="AB42" s="170">
        <v>0.0</v>
      </c>
      <c r="AC42" s="170">
        <v>0.0</v>
      </c>
      <c r="AD42" s="170">
        <v>0.0</v>
      </c>
      <c r="AE42" s="170">
        <v>0.0</v>
      </c>
      <c r="AF42" s="170">
        <v>0.0</v>
      </c>
      <c r="AG42" s="170">
        <v>60.0</v>
      </c>
      <c r="AH42" s="170">
        <v>15.0</v>
      </c>
      <c r="AI42" s="170">
        <v>0.0</v>
      </c>
      <c r="AJ42" s="170">
        <v>0.0</v>
      </c>
      <c r="AK42" s="170">
        <v>0.0</v>
      </c>
      <c r="AL42" s="170">
        <v>0.0</v>
      </c>
      <c r="AM42" s="170">
        <v>0.0</v>
      </c>
      <c r="AN42" s="170">
        <v>0.0</v>
      </c>
      <c r="AO42" s="170">
        <v>0.0</v>
      </c>
      <c r="AP42" s="170">
        <v>0.0</v>
      </c>
      <c r="AQ42" s="170">
        <v>0.0</v>
      </c>
    </row>
    <row r="43" ht="15.75" customHeight="1">
      <c r="A43" s="167">
        <f t="shared" si="1"/>
        <v>29</v>
      </c>
      <c r="B43" s="167">
        <v>190.0</v>
      </c>
      <c r="C43" s="168">
        <f t="shared" si="2"/>
        <v>3287</v>
      </c>
      <c r="D43" s="169">
        <v>0.0</v>
      </c>
      <c r="E43" s="170">
        <v>0.0</v>
      </c>
      <c r="F43" s="170">
        <v>0.0</v>
      </c>
      <c r="G43" s="170">
        <v>0.0</v>
      </c>
      <c r="H43" s="170">
        <v>0.0</v>
      </c>
      <c r="I43" s="170">
        <v>0.0</v>
      </c>
      <c r="J43" s="170">
        <v>0.0</v>
      </c>
      <c r="K43" s="170">
        <v>1.0</v>
      </c>
      <c r="L43" s="170">
        <v>0.0</v>
      </c>
      <c r="M43" s="170">
        <v>0.0</v>
      </c>
      <c r="N43" s="170">
        <v>0.0</v>
      </c>
      <c r="O43" s="170">
        <v>0.0</v>
      </c>
      <c r="P43" s="170">
        <v>0.0</v>
      </c>
      <c r="Q43" s="170">
        <v>0.0</v>
      </c>
      <c r="R43" s="170">
        <v>0.0</v>
      </c>
      <c r="S43" s="170">
        <v>0.0</v>
      </c>
      <c r="T43" s="170">
        <v>0.0</v>
      </c>
      <c r="U43" s="170">
        <v>0.0</v>
      </c>
      <c r="V43" s="170">
        <v>0.0</v>
      </c>
      <c r="W43" s="170">
        <v>0.0</v>
      </c>
      <c r="X43" s="169">
        <v>0.0</v>
      </c>
      <c r="Y43" s="170">
        <v>0.0</v>
      </c>
      <c r="Z43" s="170">
        <v>0.0</v>
      </c>
      <c r="AA43" s="170">
        <v>0.0</v>
      </c>
      <c r="AB43" s="170">
        <v>0.0</v>
      </c>
      <c r="AC43" s="170">
        <v>0.0</v>
      </c>
      <c r="AD43" s="170">
        <v>0.0</v>
      </c>
      <c r="AE43" s="170">
        <v>0.0</v>
      </c>
      <c r="AF43" s="170">
        <v>0.0</v>
      </c>
      <c r="AG43" s="170">
        <v>120.0</v>
      </c>
      <c r="AH43" s="170">
        <v>0.0</v>
      </c>
      <c r="AI43" s="170">
        <v>0.0</v>
      </c>
      <c r="AJ43" s="170">
        <v>15.0</v>
      </c>
      <c r="AK43" s="170">
        <v>0.0</v>
      </c>
      <c r="AL43" s="170">
        <v>0.0</v>
      </c>
      <c r="AM43" s="170">
        <v>0.0</v>
      </c>
      <c r="AN43" s="170">
        <v>0.0</v>
      </c>
      <c r="AO43" s="170">
        <v>0.0</v>
      </c>
      <c r="AP43" s="170">
        <v>0.0</v>
      </c>
      <c r="AQ43" s="170">
        <v>0.0</v>
      </c>
    </row>
    <row r="44" ht="15.75" customHeight="1">
      <c r="A44" s="167">
        <f t="shared" si="1"/>
        <v>30</v>
      </c>
      <c r="B44" s="167">
        <v>270.0</v>
      </c>
      <c r="C44" s="168">
        <f t="shared" si="2"/>
        <v>3557</v>
      </c>
      <c r="D44" s="169">
        <v>40.0</v>
      </c>
      <c r="E44" s="170">
        <v>0.0</v>
      </c>
      <c r="F44" s="170">
        <v>0.0</v>
      </c>
      <c r="G44" s="170">
        <v>0.0</v>
      </c>
      <c r="H44" s="170">
        <v>0.0</v>
      </c>
      <c r="I44" s="170">
        <v>0.0</v>
      </c>
      <c r="J44" s="170">
        <v>0.0</v>
      </c>
      <c r="K44" s="170">
        <v>0.0</v>
      </c>
      <c r="L44" s="170">
        <v>0.0</v>
      </c>
      <c r="M44" s="170">
        <v>0.0</v>
      </c>
      <c r="N44" s="170">
        <v>0.0</v>
      </c>
      <c r="O44" s="170">
        <v>0.0</v>
      </c>
      <c r="P44" s="170">
        <v>0.0</v>
      </c>
      <c r="Q44" s="170">
        <v>0.0</v>
      </c>
      <c r="R44" s="170">
        <v>0.0</v>
      </c>
      <c r="S44" s="170">
        <v>0.0</v>
      </c>
      <c r="T44" s="170">
        <v>0.0</v>
      </c>
      <c r="U44" s="170">
        <v>0.0</v>
      </c>
      <c r="V44" s="170">
        <v>0.0</v>
      </c>
      <c r="W44" s="170">
        <v>0.0</v>
      </c>
      <c r="X44" s="169">
        <v>100.0</v>
      </c>
      <c r="Y44" s="170">
        <v>0.0</v>
      </c>
      <c r="Z44" s="170">
        <v>0.0</v>
      </c>
      <c r="AA44" s="170">
        <v>0.0</v>
      </c>
      <c r="AB44" s="170">
        <v>0.0</v>
      </c>
      <c r="AC44" s="170">
        <v>0.0</v>
      </c>
      <c r="AD44" s="170">
        <v>0.0</v>
      </c>
      <c r="AE44" s="170">
        <v>0.0</v>
      </c>
      <c r="AF44" s="170">
        <v>1.0</v>
      </c>
      <c r="AG44" s="170">
        <v>0.0</v>
      </c>
      <c r="AH44" s="170">
        <v>0.0</v>
      </c>
      <c r="AI44" s="170">
        <v>0.0</v>
      </c>
      <c r="AJ44" s="170">
        <v>0.0</v>
      </c>
      <c r="AK44" s="170">
        <v>1.0</v>
      </c>
      <c r="AL44" s="170">
        <v>0.0</v>
      </c>
      <c r="AM44" s="170">
        <v>0.0</v>
      </c>
      <c r="AN44" s="170">
        <v>0.0</v>
      </c>
      <c r="AO44" s="170">
        <v>0.0</v>
      </c>
      <c r="AP44" s="170">
        <v>0.0</v>
      </c>
      <c r="AQ44" s="170">
        <v>0.0</v>
      </c>
    </row>
    <row r="45" ht="15.75" customHeight="1">
      <c r="A45" s="193" t="s">
        <v>129</v>
      </c>
      <c r="B45" s="194">
        <f>SUM(B15:B44)</f>
        <v>3557</v>
      </c>
      <c r="C45" s="195" t="s">
        <v>130</v>
      </c>
      <c r="D45" s="196">
        <v>130.0</v>
      </c>
      <c r="E45" s="194">
        <v>0.0</v>
      </c>
      <c r="F45" s="194">
        <v>0.0</v>
      </c>
      <c r="G45" s="194">
        <v>4.0</v>
      </c>
      <c r="H45" s="194">
        <v>5.0</v>
      </c>
      <c r="I45" s="194">
        <v>2.0</v>
      </c>
      <c r="J45" s="194">
        <v>1.0</v>
      </c>
      <c r="K45" s="194">
        <v>2.0</v>
      </c>
      <c r="L45" s="194">
        <v>0.0</v>
      </c>
      <c r="M45" s="194">
        <v>165.0</v>
      </c>
      <c r="N45" s="194">
        <v>35.0</v>
      </c>
      <c r="O45" s="194">
        <v>15.0</v>
      </c>
      <c r="P45" s="194">
        <v>0.0</v>
      </c>
      <c r="Q45" s="194">
        <v>0.0</v>
      </c>
      <c r="R45" s="194">
        <v>0.0</v>
      </c>
      <c r="S45" s="194">
        <v>0.0</v>
      </c>
      <c r="T45" s="194">
        <v>0.0</v>
      </c>
      <c r="U45" s="194">
        <v>0.0</v>
      </c>
      <c r="V45" s="194">
        <v>0.0</v>
      </c>
      <c r="W45" s="195">
        <v>0.0</v>
      </c>
      <c r="X45" s="196">
        <v>300.0</v>
      </c>
      <c r="Y45" s="194">
        <v>0.0</v>
      </c>
      <c r="Z45" s="194">
        <v>0.0</v>
      </c>
      <c r="AA45" s="194">
        <v>4.0</v>
      </c>
      <c r="AB45" s="194">
        <v>3.0</v>
      </c>
      <c r="AC45" s="194">
        <v>5.0</v>
      </c>
      <c r="AD45" s="194">
        <v>4.0</v>
      </c>
      <c r="AE45" s="194">
        <v>4.0</v>
      </c>
      <c r="AF45" s="194">
        <v>4.0</v>
      </c>
      <c r="AG45" s="194">
        <v>600.0</v>
      </c>
      <c r="AH45" s="194">
        <v>50.0</v>
      </c>
      <c r="AI45" s="194">
        <v>65.0</v>
      </c>
      <c r="AJ45" s="194">
        <v>35.0</v>
      </c>
      <c r="AK45" s="194">
        <v>1.0</v>
      </c>
      <c r="AL45" s="194">
        <v>0.0</v>
      </c>
      <c r="AM45" s="194">
        <v>0.0</v>
      </c>
      <c r="AN45" s="194">
        <v>0.0</v>
      </c>
      <c r="AO45" s="194">
        <v>0.0</v>
      </c>
      <c r="AP45" s="194">
        <v>0.0</v>
      </c>
      <c r="AQ45" s="194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2:A9 B2:B6 C4:C6">
    <cfRule type="expression" dxfId="3" priority="1">
      <formula>ISFORMULA(A2)</formula>
    </cfRule>
  </conditionalFormatting>
  <conditionalFormatting sqref="D15:AQ44">
    <cfRule type="cellIs" dxfId="4" priority="2" operator="greaterThan">
      <formula>0</formula>
    </cfRule>
  </conditionalFormatting>
  <conditionalFormatting sqref="A15:AQ44">
    <cfRule type="expression" dxfId="5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9.0"/>
    <col customWidth="1" min="3" max="3" width="8.0"/>
    <col customWidth="1" min="4" max="46" width="5.0"/>
  </cols>
  <sheetData>
    <row r="1" ht="21.75" customHeight="1">
      <c r="A1" s="171" t="s">
        <v>37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172"/>
      <c r="AN1" s="172"/>
      <c r="AO1" s="172"/>
      <c r="AP1" s="172"/>
      <c r="AQ1" s="172"/>
      <c r="AS1" s="173" t="s">
        <v>107</v>
      </c>
      <c r="AT1" s="154">
        <v>28.0</v>
      </c>
    </row>
    <row r="2" ht="19.5" customHeight="1">
      <c r="A2" s="174" t="s">
        <v>106</v>
      </c>
      <c r="B2" s="174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5"/>
      <c r="AK2" s="175"/>
      <c r="AL2" s="175"/>
      <c r="AM2" s="175"/>
      <c r="AN2" s="175"/>
      <c r="AO2" s="175"/>
      <c r="AP2" s="175"/>
      <c r="AQ2" s="175"/>
    </row>
    <row r="3" ht="14.25" customHeight="1">
      <c r="A3" s="176" t="s">
        <v>107</v>
      </c>
      <c r="B3" s="177">
        <v>28.0</v>
      </c>
      <c r="C3" s="153" t="s">
        <v>108</v>
      </c>
      <c r="D3" s="153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  <c r="AN3" s="172"/>
      <c r="AO3" s="172"/>
      <c r="AP3" s="172"/>
      <c r="AQ3" s="172"/>
    </row>
    <row r="4" ht="14.25" customHeight="1">
      <c r="A4" s="176" t="s">
        <v>109</v>
      </c>
      <c r="B4" s="154">
        <v>10.0</v>
      </c>
      <c r="C4" s="155">
        <v>8.0</v>
      </c>
      <c r="D4" s="172"/>
      <c r="E4" s="172"/>
      <c r="F4" s="153"/>
      <c r="G4" s="172"/>
      <c r="H4" s="172"/>
      <c r="I4" s="153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  <c r="AA4" s="172"/>
      <c r="AB4" s="172"/>
      <c r="AC4" s="172"/>
      <c r="AD4" s="172"/>
      <c r="AE4" s="172"/>
      <c r="AF4" s="172"/>
      <c r="AG4" s="172"/>
      <c r="AH4" s="172"/>
      <c r="AI4" s="172"/>
      <c r="AJ4" s="172"/>
      <c r="AK4" s="172"/>
      <c r="AL4" s="172"/>
      <c r="AM4" s="172"/>
      <c r="AN4" s="172"/>
      <c r="AO4" s="172"/>
      <c r="AP4" s="172"/>
      <c r="AQ4" s="172"/>
    </row>
    <row r="5" ht="14.25" customHeight="1">
      <c r="A5" s="176" t="s">
        <v>110</v>
      </c>
      <c r="B5" s="155">
        <v>15.0</v>
      </c>
      <c r="C5" s="154">
        <v>12.0</v>
      </c>
      <c r="D5" s="172"/>
      <c r="E5" s="172"/>
      <c r="F5" s="172"/>
      <c r="G5" s="172"/>
      <c r="H5" s="172"/>
      <c r="I5" s="172"/>
      <c r="J5" s="153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2"/>
      <c r="AJ5" s="172"/>
      <c r="AK5" s="172"/>
      <c r="AL5" s="172"/>
      <c r="AM5" s="172"/>
      <c r="AN5" s="172"/>
      <c r="AO5" s="172"/>
      <c r="AP5" s="172"/>
      <c r="AQ5" s="172"/>
    </row>
    <row r="6" ht="14.25" customHeight="1">
      <c r="A6" s="176" t="s">
        <v>111</v>
      </c>
      <c r="B6" s="154">
        <v>25.0</v>
      </c>
      <c r="C6" s="154">
        <v>18.0</v>
      </c>
      <c r="D6" s="172"/>
      <c r="E6" s="172"/>
      <c r="F6" s="153"/>
      <c r="G6" s="172"/>
      <c r="H6" s="172"/>
      <c r="I6" s="153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  <c r="AD6" s="172"/>
      <c r="AE6" s="172"/>
      <c r="AF6" s="172"/>
      <c r="AG6" s="172"/>
      <c r="AH6" s="172"/>
      <c r="AI6" s="172"/>
      <c r="AJ6" s="172"/>
      <c r="AK6" s="172"/>
      <c r="AL6" s="172"/>
      <c r="AM6" s="172"/>
      <c r="AN6" s="172"/>
      <c r="AO6" s="172"/>
      <c r="AP6" s="172"/>
      <c r="AQ6" s="172"/>
    </row>
    <row r="7" ht="14.25" customHeight="1">
      <c r="A7" s="178" t="s">
        <v>112</v>
      </c>
      <c r="B7" s="179">
        <v>0.55</v>
      </c>
      <c r="C7" s="172"/>
      <c r="D7" s="172"/>
      <c r="E7" s="172"/>
      <c r="F7" s="172"/>
      <c r="G7" s="172"/>
      <c r="H7" s="172"/>
      <c r="I7" s="153"/>
      <c r="J7" s="153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  <c r="AD7" s="172"/>
      <c r="AE7" s="172"/>
      <c r="AF7" s="172"/>
      <c r="AG7" s="172"/>
      <c r="AH7" s="172"/>
      <c r="AI7" s="172"/>
      <c r="AJ7" s="172"/>
      <c r="AK7" s="172"/>
      <c r="AL7" s="172"/>
      <c r="AM7" s="172"/>
      <c r="AN7" s="172"/>
      <c r="AO7" s="172"/>
      <c r="AP7" s="172"/>
      <c r="AQ7" s="172"/>
    </row>
    <row r="8" ht="14.25" customHeight="1">
      <c r="A8" s="178" t="s">
        <v>113</v>
      </c>
      <c r="B8" s="179">
        <v>0.3</v>
      </c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172"/>
      <c r="AA8" s="172"/>
      <c r="AB8" s="172"/>
      <c r="AC8" s="172"/>
      <c r="AD8" s="172"/>
      <c r="AE8" s="172"/>
      <c r="AF8" s="172"/>
      <c r="AG8" s="172"/>
      <c r="AH8" s="172"/>
      <c r="AI8" s="172"/>
      <c r="AJ8" s="172"/>
      <c r="AK8" s="172"/>
      <c r="AL8" s="172"/>
      <c r="AM8" s="172"/>
      <c r="AN8" s="172"/>
      <c r="AO8" s="172"/>
      <c r="AP8" s="172"/>
      <c r="AQ8" s="172"/>
    </row>
    <row r="9" ht="14.25" customHeight="1">
      <c r="A9" s="178" t="s">
        <v>114</v>
      </c>
      <c r="B9" s="179">
        <v>0.15</v>
      </c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  <c r="AL9" s="172"/>
      <c r="AM9" s="172"/>
      <c r="AN9" s="172"/>
      <c r="AO9" s="172"/>
      <c r="AP9" s="172"/>
      <c r="AQ9" s="172"/>
    </row>
    <row r="10" ht="14.25" customHeight="1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</row>
    <row r="11" ht="14.25" customHeight="1">
      <c r="A11" s="172"/>
      <c r="B11" s="172"/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2"/>
    </row>
    <row r="12" ht="19.5" customHeight="1">
      <c r="A12" s="180" t="s">
        <v>115</v>
      </c>
      <c r="B12" s="174"/>
      <c r="C12" s="174"/>
      <c r="D12" s="180" t="s">
        <v>115</v>
      </c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174"/>
      <c r="AH12" s="174"/>
      <c r="AI12" s="174"/>
      <c r="AJ12" s="174"/>
      <c r="AK12" s="174"/>
      <c r="AL12" s="174"/>
      <c r="AM12" s="174"/>
      <c r="AN12" s="174"/>
      <c r="AO12" s="174"/>
      <c r="AP12" s="174"/>
      <c r="AQ12" s="174"/>
    </row>
    <row r="13">
      <c r="A13" s="181" t="s">
        <v>116</v>
      </c>
      <c r="B13" s="181"/>
      <c r="C13" s="182"/>
      <c r="D13" s="183" t="s">
        <v>117</v>
      </c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2"/>
      <c r="X13" s="183" t="s">
        <v>118</v>
      </c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81"/>
      <c r="AJ13" s="181"/>
      <c r="AK13" s="181"/>
      <c r="AL13" s="181"/>
      <c r="AM13" s="181"/>
      <c r="AN13" s="181"/>
      <c r="AO13" s="181"/>
      <c r="AP13" s="181"/>
      <c r="AQ13" s="181"/>
    </row>
    <row r="14" ht="90.0" customHeight="1">
      <c r="A14" s="184" t="s">
        <v>116</v>
      </c>
      <c r="B14" s="184" t="s">
        <v>119</v>
      </c>
      <c r="C14" s="185" t="s">
        <v>120</v>
      </c>
      <c r="D14" s="186" t="s">
        <v>76</v>
      </c>
      <c r="E14" s="187" t="s">
        <v>46</v>
      </c>
      <c r="F14" s="187" t="s">
        <v>121</v>
      </c>
      <c r="G14" s="187" t="s">
        <v>47</v>
      </c>
      <c r="H14" s="187" t="s">
        <v>48</v>
      </c>
      <c r="I14" s="187" t="s">
        <v>50</v>
      </c>
      <c r="J14" s="187" t="s">
        <v>52</v>
      </c>
      <c r="K14" s="187" t="s">
        <v>53</v>
      </c>
      <c r="L14" s="187" t="s">
        <v>54</v>
      </c>
      <c r="M14" s="187" t="s">
        <v>55</v>
      </c>
      <c r="N14" s="187" t="s">
        <v>56</v>
      </c>
      <c r="O14" s="187" t="s">
        <v>57</v>
      </c>
      <c r="P14" s="187" t="s">
        <v>58</v>
      </c>
      <c r="Q14" s="187" t="s">
        <v>122</v>
      </c>
      <c r="R14" s="187" t="s">
        <v>123</v>
      </c>
      <c r="S14" s="187" t="s">
        <v>124</v>
      </c>
      <c r="T14" s="187" t="s">
        <v>125</v>
      </c>
      <c r="U14" s="187" t="s">
        <v>126</v>
      </c>
      <c r="V14" s="187" t="s">
        <v>127</v>
      </c>
      <c r="W14" s="188" t="s">
        <v>128</v>
      </c>
      <c r="X14" s="186" t="s">
        <v>76</v>
      </c>
      <c r="Y14" s="187" t="s">
        <v>46</v>
      </c>
      <c r="Z14" s="187" t="s">
        <v>121</v>
      </c>
      <c r="AA14" s="187" t="s">
        <v>47</v>
      </c>
      <c r="AB14" s="187" t="s">
        <v>48</v>
      </c>
      <c r="AC14" s="187" t="s">
        <v>50</v>
      </c>
      <c r="AD14" s="187" t="s">
        <v>52</v>
      </c>
      <c r="AE14" s="187" t="s">
        <v>53</v>
      </c>
      <c r="AF14" s="187" t="s">
        <v>54</v>
      </c>
      <c r="AG14" s="187" t="s">
        <v>55</v>
      </c>
      <c r="AH14" s="187" t="s">
        <v>56</v>
      </c>
      <c r="AI14" s="187" t="s">
        <v>57</v>
      </c>
      <c r="AJ14" s="187" t="s">
        <v>58</v>
      </c>
      <c r="AK14" s="187" t="s">
        <v>122</v>
      </c>
      <c r="AL14" s="187" t="s">
        <v>123</v>
      </c>
      <c r="AM14" s="187" t="s">
        <v>124</v>
      </c>
      <c r="AN14" s="187" t="s">
        <v>125</v>
      </c>
      <c r="AO14" s="187" t="s">
        <v>126</v>
      </c>
      <c r="AP14" s="187" t="s">
        <v>127</v>
      </c>
      <c r="AQ14" s="187" t="s">
        <v>128</v>
      </c>
    </row>
    <row r="15">
      <c r="A15" s="189">
        <v>1.0</v>
      </c>
      <c r="B15" s="189">
        <v>10.0</v>
      </c>
      <c r="C15" s="190">
        <f>B15</f>
        <v>10</v>
      </c>
      <c r="D15" s="191">
        <v>0.0</v>
      </c>
      <c r="E15" s="192">
        <v>0.0</v>
      </c>
      <c r="F15" s="192">
        <v>0.0</v>
      </c>
      <c r="G15" s="192">
        <v>0.0</v>
      </c>
      <c r="H15" s="192">
        <v>1.0</v>
      </c>
      <c r="I15" s="192">
        <v>0.0</v>
      </c>
      <c r="J15" s="192">
        <v>0.0</v>
      </c>
      <c r="K15" s="192">
        <v>0.0</v>
      </c>
      <c r="L15" s="192">
        <v>0.0</v>
      </c>
      <c r="M15" s="192">
        <v>0.0</v>
      </c>
      <c r="N15" s="192">
        <v>10.0</v>
      </c>
      <c r="O15" s="192">
        <v>0.0</v>
      </c>
      <c r="P15" s="192">
        <v>0.0</v>
      </c>
      <c r="Q15" s="192">
        <v>0.0</v>
      </c>
      <c r="R15" s="192">
        <v>0.0</v>
      </c>
      <c r="S15" s="192">
        <v>0.0</v>
      </c>
      <c r="T15" s="192">
        <v>0.0</v>
      </c>
      <c r="U15" s="192">
        <v>0.0</v>
      </c>
      <c r="V15" s="192">
        <v>0.0</v>
      </c>
      <c r="W15" s="192">
        <v>0.0</v>
      </c>
      <c r="X15" s="191">
        <v>0.0</v>
      </c>
      <c r="Y15" s="192">
        <v>0.0</v>
      </c>
      <c r="Z15" s="192">
        <v>0.0</v>
      </c>
      <c r="AA15" s="192">
        <v>0.0</v>
      </c>
      <c r="AB15" s="192">
        <v>0.0</v>
      </c>
      <c r="AC15" s="192">
        <v>0.0</v>
      </c>
      <c r="AD15" s="192">
        <v>0.0</v>
      </c>
      <c r="AE15" s="192">
        <v>0.0</v>
      </c>
      <c r="AF15" s="192">
        <v>0.0</v>
      </c>
      <c r="AG15" s="192">
        <v>120.0</v>
      </c>
      <c r="AH15" s="192">
        <v>0.0</v>
      </c>
      <c r="AI15" s="192">
        <v>15.0</v>
      </c>
      <c r="AJ15" s="192">
        <v>0.0</v>
      </c>
      <c r="AK15" s="192">
        <v>0.0</v>
      </c>
      <c r="AL15" s="192">
        <v>0.0</v>
      </c>
      <c r="AM15" s="192">
        <v>0.0</v>
      </c>
      <c r="AN15" s="192">
        <v>0.0</v>
      </c>
      <c r="AO15" s="192">
        <v>0.0</v>
      </c>
      <c r="AP15" s="192">
        <v>0.0</v>
      </c>
      <c r="AQ15" s="192">
        <v>0.0</v>
      </c>
    </row>
    <row r="16">
      <c r="A16" s="189">
        <f t="shared" ref="A16:A44" si="1">A15+1</f>
        <v>2</v>
      </c>
      <c r="B16" s="189">
        <v>14.0</v>
      </c>
      <c r="C16" s="190">
        <f t="shared" ref="C16:C44" si="2">B16+C15</f>
        <v>24</v>
      </c>
      <c r="D16" s="191">
        <v>10.0</v>
      </c>
      <c r="E16" s="192">
        <v>0.0</v>
      </c>
      <c r="F16" s="192">
        <v>0.0</v>
      </c>
      <c r="G16" s="192">
        <v>0.0</v>
      </c>
      <c r="H16" s="192">
        <v>0.0</v>
      </c>
      <c r="I16" s="192">
        <v>0.0</v>
      </c>
      <c r="J16" s="192">
        <v>0.0</v>
      </c>
      <c r="K16" s="192">
        <v>0.0</v>
      </c>
      <c r="L16" s="192">
        <v>0.0</v>
      </c>
      <c r="M16" s="192">
        <v>0.0</v>
      </c>
      <c r="N16" s="192">
        <v>0.0</v>
      </c>
      <c r="O16" s="192">
        <v>0.0</v>
      </c>
      <c r="P16" s="192">
        <v>0.0</v>
      </c>
      <c r="Q16" s="192">
        <v>0.0</v>
      </c>
      <c r="R16" s="192">
        <v>0.0</v>
      </c>
      <c r="S16" s="192">
        <v>0.0</v>
      </c>
      <c r="T16" s="192">
        <v>0.0</v>
      </c>
      <c r="U16" s="192">
        <v>0.0</v>
      </c>
      <c r="V16" s="192">
        <v>0.0</v>
      </c>
      <c r="W16" s="192">
        <v>0.0</v>
      </c>
      <c r="X16" s="191">
        <v>25.0</v>
      </c>
      <c r="Y16" s="192">
        <v>0.0</v>
      </c>
      <c r="Z16" s="192">
        <v>0.0</v>
      </c>
      <c r="AA16" s="192">
        <v>0.0</v>
      </c>
      <c r="AB16" s="192">
        <v>0.0</v>
      </c>
      <c r="AC16" s="192">
        <v>0.0</v>
      </c>
      <c r="AD16" s="192">
        <v>0.0</v>
      </c>
      <c r="AE16" s="192">
        <v>0.0</v>
      </c>
      <c r="AF16" s="192">
        <v>0.0</v>
      </c>
      <c r="AG16" s="192">
        <v>0.0</v>
      </c>
      <c r="AH16" s="192">
        <v>0.0</v>
      </c>
      <c r="AI16" s="192">
        <v>0.0</v>
      </c>
      <c r="AJ16" s="192">
        <v>0.0</v>
      </c>
      <c r="AK16" s="192">
        <v>0.0</v>
      </c>
      <c r="AL16" s="192">
        <v>0.0</v>
      </c>
      <c r="AM16" s="192">
        <v>0.0</v>
      </c>
      <c r="AN16" s="192">
        <v>0.0</v>
      </c>
      <c r="AO16" s="192">
        <v>0.0</v>
      </c>
      <c r="AP16" s="192">
        <v>0.0</v>
      </c>
      <c r="AQ16" s="192">
        <v>0.0</v>
      </c>
    </row>
    <row r="17">
      <c r="A17" s="189">
        <f t="shared" si="1"/>
        <v>3</v>
      </c>
      <c r="B17" s="189">
        <v>20.0</v>
      </c>
      <c r="C17" s="190">
        <f t="shared" si="2"/>
        <v>44</v>
      </c>
      <c r="D17" s="191">
        <v>0.0</v>
      </c>
      <c r="E17" s="192">
        <v>0.0</v>
      </c>
      <c r="F17" s="192">
        <v>0.0</v>
      </c>
      <c r="G17" s="192">
        <v>0.0</v>
      </c>
      <c r="H17" s="192">
        <v>0.0</v>
      </c>
      <c r="I17" s="192">
        <v>0.0</v>
      </c>
      <c r="J17" s="192">
        <v>0.0</v>
      </c>
      <c r="K17" s="192">
        <v>0.0</v>
      </c>
      <c r="L17" s="192">
        <v>0.0</v>
      </c>
      <c r="M17" s="192">
        <v>60.0</v>
      </c>
      <c r="N17" s="192">
        <v>0.0</v>
      </c>
      <c r="O17" s="192">
        <v>0.0</v>
      </c>
      <c r="P17" s="192">
        <v>0.0</v>
      </c>
      <c r="Q17" s="192">
        <v>0.0</v>
      </c>
      <c r="R17" s="192">
        <v>0.0</v>
      </c>
      <c r="S17" s="192">
        <v>0.0</v>
      </c>
      <c r="T17" s="192">
        <v>0.0</v>
      </c>
      <c r="U17" s="192">
        <v>0.0</v>
      </c>
      <c r="V17" s="192">
        <v>0.0</v>
      </c>
      <c r="W17" s="192">
        <v>0.0</v>
      </c>
      <c r="X17" s="191">
        <v>0.0</v>
      </c>
      <c r="Y17" s="192">
        <v>0.0</v>
      </c>
      <c r="Z17" s="192">
        <v>0.0</v>
      </c>
      <c r="AA17" s="192">
        <v>1.0</v>
      </c>
      <c r="AB17" s="192">
        <v>0.0</v>
      </c>
      <c r="AC17" s="192">
        <v>0.0</v>
      </c>
      <c r="AD17" s="192">
        <v>0.0</v>
      </c>
      <c r="AE17" s="192">
        <v>0.0</v>
      </c>
      <c r="AF17" s="192">
        <v>0.0</v>
      </c>
      <c r="AG17" s="192">
        <v>0.0</v>
      </c>
      <c r="AH17" s="192">
        <v>0.0</v>
      </c>
      <c r="AI17" s="192">
        <v>0.0</v>
      </c>
      <c r="AJ17" s="192">
        <v>0.0</v>
      </c>
      <c r="AK17" s="192">
        <v>0.0</v>
      </c>
      <c r="AL17" s="192">
        <v>0.0</v>
      </c>
      <c r="AM17" s="192">
        <v>0.0</v>
      </c>
      <c r="AN17" s="192">
        <v>0.0</v>
      </c>
      <c r="AO17" s="192">
        <v>0.0</v>
      </c>
      <c r="AP17" s="192">
        <v>0.0</v>
      </c>
      <c r="AQ17" s="192">
        <v>0.0</v>
      </c>
    </row>
    <row r="18">
      <c r="A18" s="189">
        <f t="shared" si="1"/>
        <v>4</v>
      </c>
      <c r="B18" s="189">
        <v>28.0</v>
      </c>
      <c r="C18" s="190">
        <f t="shared" si="2"/>
        <v>72</v>
      </c>
      <c r="D18" s="191">
        <v>0.0</v>
      </c>
      <c r="E18" s="192">
        <v>0.0</v>
      </c>
      <c r="F18" s="192">
        <v>0.0</v>
      </c>
      <c r="G18" s="192">
        <v>0.0</v>
      </c>
      <c r="H18" s="192">
        <v>0.0</v>
      </c>
      <c r="I18" s="192">
        <v>0.0</v>
      </c>
      <c r="J18" s="192">
        <v>0.0</v>
      </c>
      <c r="K18" s="192">
        <v>0.0</v>
      </c>
      <c r="L18" s="192">
        <v>0.0</v>
      </c>
      <c r="M18" s="192">
        <v>0.0</v>
      </c>
      <c r="N18" s="192">
        <v>0.0</v>
      </c>
      <c r="O18" s="192">
        <v>15.0</v>
      </c>
      <c r="P18" s="192">
        <v>0.0</v>
      </c>
      <c r="Q18" s="192">
        <v>0.0</v>
      </c>
      <c r="R18" s="192">
        <v>0.0</v>
      </c>
      <c r="S18" s="192">
        <v>0.0</v>
      </c>
      <c r="T18" s="192">
        <v>0.0</v>
      </c>
      <c r="U18" s="192">
        <v>0.0</v>
      </c>
      <c r="V18" s="192">
        <v>0.0</v>
      </c>
      <c r="W18" s="192">
        <v>0.0</v>
      </c>
      <c r="X18" s="191">
        <v>0.0</v>
      </c>
      <c r="Y18" s="192">
        <v>0.0</v>
      </c>
      <c r="Z18" s="192">
        <v>0.0</v>
      </c>
      <c r="AA18" s="192">
        <v>0.0</v>
      </c>
      <c r="AB18" s="192">
        <v>0.0</v>
      </c>
      <c r="AC18" s="192">
        <v>0.0</v>
      </c>
      <c r="AD18" s="192">
        <v>0.0</v>
      </c>
      <c r="AE18" s="192">
        <v>1.0</v>
      </c>
      <c r="AF18" s="192">
        <v>0.0</v>
      </c>
      <c r="AG18" s="192">
        <v>0.0</v>
      </c>
      <c r="AH18" s="192">
        <v>0.0</v>
      </c>
      <c r="AI18" s="192">
        <v>0.0</v>
      </c>
      <c r="AJ18" s="192">
        <v>0.0</v>
      </c>
      <c r="AK18" s="192">
        <v>0.0</v>
      </c>
      <c r="AL18" s="192">
        <v>0.0</v>
      </c>
      <c r="AM18" s="192">
        <v>0.0</v>
      </c>
      <c r="AN18" s="192">
        <v>0.0</v>
      </c>
      <c r="AO18" s="192">
        <v>0.0</v>
      </c>
      <c r="AP18" s="192">
        <v>0.0</v>
      </c>
      <c r="AQ18" s="192">
        <v>0.0</v>
      </c>
    </row>
    <row r="19">
      <c r="A19" s="189">
        <f t="shared" si="1"/>
        <v>5</v>
      </c>
      <c r="B19" s="189">
        <v>35.0</v>
      </c>
      <c r="C19" s="190">
        <f t="shared" si="2"/>
        <v>107</v>
      </c>
      <c r="D19" s="191">
        <v>10.0</v>
      </c>
      <c r="E19" s="192">
        <v>0.0</v>
      </c>
      <c r="F19" s="192">
        <v>0.0</v>
      </c>
      <c r="G19" s="192">
        <v>0.0</v>
      </c>
      <c r="H19" s="192">
        <v>0.0</v>
      </c>
      <c r="I19" s="192">
        <v>0.0</v>
      </c>
      <c r="J19" s="192">
        <v>0.0</v>
      </c>
      <c r="K19" s="192">
        <v>0.0</v>
      </c>
      <c r="L19" s="192">
        <v>0.0</v>
      </c>
      <c r="M19" s="192">
        <v>0.0</v>
      </c>
      <c r="N19" s="192">
        <v>0.0</v>
      </c>
      <c r="O19" s="192">
        <v>0.0</v>
      </c>
      <c r="P19" s="192">
        <v>0.0</v>
      </c>
      <c r="Q19" s="192">
        <v>0.0</v>
      </c>
      <c r="R19" s="192">
        <v>0.0</v>
      </c>
      <c r="S19" s="192">
        <v>0.0</v>
      </c>
      <c r="T19" s="192">
        <v>0.0</v>
      </c>
      <c r="U19" s="192">
        <v>0.0</v>
      </c>
      <c r="V19" s="192">
        <v>0.0</v>
      </c>
      <c r="W19" s="192">
        <v>0.0</v>
      </c>
      <c r="X19" s="191">
        <v>25.0</v>
      </c>
      <c r="Y19" s="192">
        <v>0.0</v>
      </c>
      <c r="Z19" s="192">
        <v>0.0</v>
      </c>
      <c r="AA19" s="192">
        <v>0.0</v>
      </c>
      <c r="AB19" s="192">
        <v>0.0</v>
      </c>
      <c r="AC19" s="192">
        <v>0.0</v>
      </c>
      <c r="AD19" s="192">
        <v>0.0</v>
      </c>
      <c r="AE19" s="192">
        <v>0.0</v>
      </c>
      <c r="AF19" s="192">
        <v>0.0</v>
      </c>
      <c r="AG19" s="192">
        <v>30.0</v>
      </c>
      <c r="AH19" s="192">
        <v>0.0</v>
      </c>
      <c r="AI19" s="192">
        <v>0.0</v>
      </c>
      <c r="AJ19" s="192">
        <v>0.0</v>
      </c>
      <c r="AK19" s="192">
        <v>0.0</v>
      </c>
      <c r="AL19" s="192">
        <v>0.0</v>
      </c>
      <c r="AM19" s="192">
        <v>0.0</v>
      </c>
      <c r="AN19" s="192">
        <v>0.0</v>
      </c>
      <c r="AO19" s="192">
        <v>0.0</v>
      </c>
      <c r="AP19" s="192">
        <v>0.0</v>
      </c>
      <c r="AQ19" s="192">
        <v>0.0</v>
      </c>
    </row>
    <row r="20">
      <c r="A20" s="189">
        <f t="shared" si="1"/>
        <v>6</v>
      </c>
      <c r="B20" s="189">
        <v>70.0</v>
      </c>
      <c r="C20" s="190">
        <f t="shared" si="2"/>
        <v>177</v>
      </c>
      <c r="D20" s="191">
        <v>0.0</v>
      </c>
      <c r="E20" s="192">
        <v>0.0</v>
      </c>
      <c r="F20" s="192">
        <v>0.0</v>
      </c>
      <c r="G20" s="192">
        <v>1.0</v>
      </c>
      <c r="H20" s="192">
        <v>0.0</v>
      </c>
      <c r="I20" s="192">
        <v>0.0</v>
      </c>
      <c r="J20" s="192">
        <v>0.0</v>
      </c>
      <c r="K20" s="192">
        <v>0.0</v>
      </c>
      <c r="L20" s="192">
        <v>0.0</v>
      </c>
      <c r="M20" s="192">
        <v>0.0</v>
      </c>
      <c r="N20" s="192">
        <v>0.0</v>
      </c>
      <c r="O20" s="192">
        <v>0.0</v>
      </c>
      <c r="P20" s="192">
        <v>0.0</v>
      </c>
      <c r="Q20" s="192">
        <v>0.0</v>
      </c>
      <c r="R20" s="192">
        <v>0.0</v>
      </c>
      <c r="S20" s="192">
        <v>0.0</v>
      </c>
      <c r="T20" s="192">
        <v>0.0</v>
      </c>
      <c r="U20" s="192">
        <v>0.0</v>
      </c>
      <c r="V20" s="192">
        <v>0.0</v>
      </c>
      <c r="W20" s="192">
        <v>0.0</v>
      </c>
      <c r="X20" s="191">
        <v>0.0</v>
      </c>
      <c r="Y20" s="192">
        <v>0.0</v>
      </c>
      <c r="Z20" s="192">
        <v>0.0</v>
      </c>
      <c r="AA20" s="192">
        <v>0.0</v>
      </c>
      <c r="AB20" s="192">
        <v>0.0</v>
      </c>
      <c r="AC20" s="192">
        <v>1.0</v>
      </c>
      <c r="AD20" s="192">
        <v>0.0</v>
      </c>
      <c r="AE20" s="192">
        <v>0.0</v>
      </c>
      <c r="AF20" s="192">
        <v>0.0</v>
      </c>
      <c r="AG20" s="192">
        <v>0.0</v>
      </c>
      <c r="AH20" s="192">
        <v>0.0</v>
      </c>
      <c r="AI20" s="192">
        <v>0.0</v>
      </c>
      <c r="AJ20" s="192">
        <v>0.0</v>
      </c>
      <c r="AK20" s="192">
        <v>0.0</v>
      </c>
      <c r="AL20" s="192">
        <v>0.0</v>
      </c>
      <c r="AM20" s="192">
        <v>0.0</v>
      </c>
      <c r="AN20" s="192">
        <v>0.0</v>
      </c>
      <c r="AO20" s="192">
        <v>0.0</v>
      </c>
      <c r="AP20" s="192">
        <v>0.0</v>
      </c>
      <c r="AQ20" s="192">
        <v>0.0</v>
      </c>
    </row>
    <row r="21">
      <c r="A21" s="189">
        <f t="shared" si="1"/>
        <v>7</v>
      </c>
      <c r="B21" s="189">
        <v>70.0</v>
      </c>
      <c r="C21" s="190">
        <f t="shared" si="2"/>
        <v>247</v>
      </c>
      <c r="D21" s="191">
        <v>0.0</v>
      </c>
      <c r="E21" s="192">
        <v>0.0</v>
      </c>
      <c r="F21" s="192">
        <v>0.0</v>
      </c>
      <c r="G21" s="192">
        <v>0.0</v>
      </c>
      <c r="H21" s="192">
        <v>1.0</v>
      </c>
      <c r="I21" s="192">
        <v>0.0</v>
      </c>
      <c r="J21" s="192">
        <v>0.0</v>
      </c>
      <c r="K21" s="192">
        <v>0.0</v>
      </c>
      <c r="L21" s="192">
        <v>0.0</v>
      </c>
      <c r="M21" s="192">
        <v>0.0</v>
      </c>
      <c r="N21" s="192">
        <v>0.0</v>
      </c>
      <c r="O21" s="192">
        <v>0.0</v>
      </c>
      <c r="P21" s="192">
        <v>0.0</v>
      </c>
      <c r="Q21" s="192">
        <v>0.0</v>
      </c>
      <c r="R21" s="192">
        <v>0.0</v>
      </c>
      <c r="S21" s="192">
        <v>0.0</v>
      </c>
      <c r="T21" s="192">
        <v>0.0</v>
      </c>
      <c r="U21" s="192">
        <v>0.0</v>
      </c>
      <c r="V21" s="192">
        <v>0.0</v>
      </c>
      <c r="W21" s="192">
        <v>0.0</v>
      </c>
      <c r="X21" s="191">
        <v>0.0</v>
      </c>
      <c r="Y21" s="192">
        <v>0.0</v>
      </c>
      <c r="Z21" s="192">
        <v>0.0</v>
      </c>
      <c r="AA21" s="192">
        <v>0.0</v>
      </c>
      <c r="AB21" s="192">
        <v>0.0</v>
      </c>
      <c r="AC21" s="192">
        <v>0.0</v>
      </c>
      <c r="AD21" s="192">
        <v>0.0</v>
      </c>
      <c r="AE21" s="192">
        <v>0.0</v>
      </c>
      <c r="AF21" s="192">
        <v>0.0</v>
      </c>
      <c r="AG21" s="192">
        <v>0.0</v>
      </c>
      <c r="AH21" s="192">
        <v>0.0</v>
      </c>
      <c r="AI21" s="192">
        <v>0.0</v>
      </c>
      <c r="AJ21" s="192">
        <v>10.0</v>
      </c>
      <c r="AK21" s="192">
        <v>0.0</v>
      </c>
      <c r="AL21" s="192">
        <v>0.0</v>
      </c>
      <c r="AM21" s="192">
        <v>0.0</v>
      </c>
      <c r="AN21" s="192">
        <v>0.0</v>
      </c>
      <c r="AO21" s="192">
        <v>0.0</v>
      </c>
      <c r="AP21" s="192">
        <v>0.0</v>
      </c>
      <c r="AQ21" s="192">
        <v>0.0</v>
      </c>
    </row>
    <row r="22">
      <c r="A22" s="189">
        <f t="shared" si="1"/>
        <v>8</v>
      </c>
      <c r="B22" s="189">
        <v>70.0</v>
      </c>
      <c r="C22" s="190">
        <f t="shared" si="2"/>
        <v>317</v>
      </c>
      <c r="D22" s="191">
        <v>0.0</v>
      </c>
      <c r="E22" s="192">
        <v>0.0</v>
      </c>
      <c r="F22" s="192">
        <v>0.0</v>
      </c>
      <c r="G22" s="192">
        <v>0.0</v>
      </c>
      <c r="H22" s="192">
        <v>0.0</v>
      </c>
      <c r="I22" s="192">
        <v>0.0</v>
      </c>
      <c r="J22" s="192">
        <v>0.0</v>
      </c>
      <c r="K22" s="192">
        <v>0.0</v>
      </c>
      <c r="L22" s="192">
        <v>0.0</v>
      </c>
      <c r="M22" s="192">
        <v>15.0</v>
      </c>
      <c r="N22" s="192">
        <v>0.0</v>
      </c>
      <c r="O22" s="192">
        <v>0.0</v>
      </c>
      <c r="P22" s="192">
        <v>0.0</v>
      </c>
      <c r="Q22" s="192">
        <v>0.0</v>
      </c>
      <c r="R22" s="192">
        <v>0.0</v>
      </c>
      <c r="S22" s="192">
        <v>0.0</v>
      </c>
      <c r="T22" s="192">
        <v>0.0</v>
      </c>
      <c r="U22" s="192">
        <v>0.0</v>
      </c>
      <c r="V22" s="192">
        <v>0.0</v>
      </c>
      <c r="W22" s="192">
        <v>0.0</v>
      </c>
      <c r="X22" s="191">
        <v>0.0</v>
      </c>
      <c r="Y22" s="192">
        <v>0.0</v>
      </c>
      <c r="Z22" s="192">
        <v>0.0</v>
      </c>
      <c r="AA22" s="192">
        <v>0.0</v>
      </c>
      <c r="AB22" s="192">
        <v>0.0</v>
      </c>
      <c r="AC22" s="192">
        <v>0.0</v>
      </c>
      <c r="AD22" s="192">
        <v>1.0</v>
      </c>
      <c r="AE22" s="192">
        <v>0.0</v>
      </c>
      <c r="AF22" s="192">
        <v>0.0</v>
      </c>
      <c r="AG22" s="192">
        <v>0.0</v>
      </c>
      <c r="AH22" s="192">
        <v>0.0</v>
      </c>
      <c r="AI22" s="192">
        <v>0.0</v>
      </c>
      <c r="AJ22" s="192">
        <v>0.0</v>
      </c>
      <c r="AK22" s="192">
        <v>0.0</v>
      </c>
      <c r="AL22" s="192">
        <v>0.0</v>
      </c>
      <c r="AM22" s="192">
        <v>0.0</v>
      </c>
      <c r="AN22" s="192">
        <v>0.0</v>
      </c>
      <c r="AO22" s="192">
        <v>0.0</v>
      </c>
      <c r="AP22" s="192">
        <v>0.0</v>
      </c>
      <c r="AQ22" s="192">
        <v>0.0</v>
      </c>
    </row>
    <row r="23">
      <c r="A23" s="189">
        <f t="shared" si="1"/>
        <v>9</v>
      </c>
      <c r="B23" s="189">
        <v>70.0</v>
      </c>
      <c r="C23" s="190">
        <f t="shared" si="2"/>
        <v>387</v>
      </c>
      <c r="D23" s="191">
        <v>0.0</v>
      </c>
      <c r="E23" s="192">
        <v>0.0</v>
      </c>
      <c r="F23" s="192">
        <v>0.0</v>
      </c>
      <c r="G23" s="192">
        <v>0.0</v>
      </c>
      <c r="H23" s="192">
        <v>0.0</v>
      </c>
      <c r="I23" s="192">
        <v>0.0</v>
      </c>
      <c r="J23" s="192">
        <v>0.0</v>
      </c>
      <c r="K23" s="192">
        <v>0.0</v>
      </c>
      <c r="L23" s="192">
        <v>0.0</v>
      </c>
      <c r="M23" s="192">
        <v>0.0</v>
      </c>
      <c r="N23" s="192">
        <v>10.0</v>
      </c>
      <c r="O23" s="192">
        <v>0.0</v>
      </c>
      <c r="P23" s="192">
        <v>0.0</v>
      </c>
      <c r="Q23" s="192">
        <v>0.0</v>
      </c>
      <c r="R23" s="192">
        <v>0.0</v>
      </c>
      <c r="S23" s="192">
        <v>0.0</v>
      </c>
      <c r="T23" s="192">
        <v>0.0</v>
      </c>
      <c r="U23" s="192">
        <v>0.0</v>
      </c>
      <c r="V23" s="192">
        <v>0.0</v>
      </c>
      <c r="W23" s="192">
        <v>0.0</v>
      </c>
      <c r="X23" s="191">
        <v>0.0</v>
      </c>
      <c r="Y23" s="192">
        <v>0.0</v>
      </c>
      <c r="Z23" s="192">
        <v>0.0</v>
      </c>
      <c r="AA23" s="192">
        <v>0.0</v>
      </c>
      <c r="AB23" s="192">
        <v>0.0</v>
      </c>
      <c r="AC23" s="192">
        <v>0.0</v>
      </c>
      <c r="AD23" s="192">
        <v>0.0</v>
      </c>
      <c r="AE23" s="192">
        <v>1.0</v>
      </c>
      <c r="AF23" s="192">
        <v>0.0</v>
      </c>
      <c r="AG23" s="192">
        <v>0.0</v>
      </c>
      <c r="AH23" s="192">
        <v>0.0</v>
      </c>
      <c r="AI23" s="192">
        <v>0.0</v>
      </c>
      <c r="AJ23" s="192">
        <v>0.0</v>
      </c>
      <c r="AK23" s="192">
        <v>0.0</v>
      </c>
      <c r="AL23" s="192">
        <v>0.0</v>
      </c>
      <c r="AM23" s="192">
        <v>0.0</v>
      </c>
      <c r="AN23" s="192">
        <v>0.0</v>
      </c>
      <c r="AO23" s="192">
        <v>0.0</v>
      </c>
      <c r="AP23" s="192">
        <v>0.0</v>
      </c>
      <c r="AQ23" s="192">
        <v>0.0</v>
      </c>
    </row>
    <row r="24">
      <c r="A24" s="189">
        <f t="shared" si="1"/>
        <v>10</v>
      </c>
      <c r="B24" s="189">
        <v>100.0</v>
      </c>
      <c r="C24" s="190">
        <f t="shared" si="2"/>
        <v>487</v>
      </c>
      <c r="D24" s="191">
        <v>10.0</v>
      </c>
      <c r="E24" s="192">
        <v>0.0</v>
      </c>
      <c r="F24" s="192">
        <v>0.0</v>
      </c>
      <c r="G24" s="192">
        <v>0.0</v>
      </c>
      <c r="H24" s="192">
        <v>0.0</v>
      </c>
      <c r="I24" s="192">
        <v>0.0</v>
      </c>
      <c r="J24" s="192">
        <v>0.0</v>
      </c>
      <c r="K24" s="192">
        <v>0.0</v>
      </c>
      <c r="L24" s="192">
        <v>0.0</v>
      </c>
      <c r="M24" s="192">
        <v>0.0</v>
      </c>
      <c r="N24" s="192">
        <v>0.0</v>
      </c>
      <c r="O24" s="192">
        <v>0.0</v>
      </c>
      <c r="P24" s="192">
        <v>0.0</v>
      </c>
      <c r="Q24" s="192">
        <v>0.0</v>
      </c>
      <c r="R24" s="192">
        <v>0.0</v>
      </c>
      <c r="S24" s="192">
        <v>0.0</v>
      </c>
      <c r="T24" s="192">
        <v>0.0</v>
      </c>
      <c r="U24" s="192">
        <v>0.0</v>
      </c>
      <c r="V24" s="192">
        <v>0.0</v>
      </c>
      <c r="W24" s="192">
        <v>0.0</v>
      </c>
      <c r="X24" s="191">
        <v>25.0</v>
      </c>
      <c r="Y24" s="192">
        <v>0.0</v>
      </c>
      <c r="Z24" s="192">
        <v>0.0</v>
      </c>
      <c r="AA24" s="192">
        <v>0.0</v>
      </c>
      <c r="AB24" s="192">
        <v>0.0</v>
      </c>
      <c r="AC24" s="192">
        <v>0.0</v>
      </c>
      <c r="AD24" s="192">
        <v>0.0</v>
      </c>
      <c r="AE24" s="192">
        <v>0.0</v>
      </c>
      <c r="AF24" s="192">
        <v>0.0</v>
      </c>
      <c r="AG24" s="192">
        <v>30.0</v>
      </c>
      <c r="AH24" s="192">
        <v>0.0</v>
      </c>
      <c r="AI24" s="192">
        <v>0.0</v>
      </c>
      <c r="AJ24" s="192">
        <v>0.0</v>
      </c>
      <c r="AK24" s="192">
        <v>0.0</v>
      </c>
      <c r="AL24" s="192">
        <v>0.0</v>
      </c>
      <c r="AM24" s="192">
        <v>0.0</v>
      </c>
      <c r="AN24" s="192">
        <v>0.0</v>
      </c>
      <c r="AO24" s="192">
        <v>0.0</v>
      </c>
      <c r="AP24" s="192">
        <v>0.0</v>
      </c>
      <c r="AQ24" s="192">
        <v>0.0</v>
      </c>
    </row>
    <row r="25">
      <c r="A25" s="189">
        <f t="shared" si="1"/>
        <v>11</v>
      </c>
      <c r="B25" s="189">
        <v>100.0</v>
      </c>
      <c r="C25" s="190">
        <f t="shared" si="2"/>
        <v>587</v>
      </c>
      <c r="D25" s="191">
        <v>0.0</v>
      </c>
      <c r="E25" s="192">
        <v>0.0</v>
      </c>
      <c r="F25" s="192">
        <v>0.0</v>
      </c>
      <c r="G25" s="192">
        <v>0.0</v>
      </c>
      <c r="H25" s="192">
        <v>0.0</v>
      </c>
      <c r="I25" s="192">
        <v>0.0</v>
      </c>
      <c r="J25" s="192">
        <v>0.0</v>
      </c>
      <c r="K25" s="192">
        <v>0.0</v>
      </c>
      <c r="L25" s="192">
        <v>0.0</v>
      </c>
      <c r="M25" s="192">
        <v>15.0</v>
      </c>
      <c r="N25" s="192">
        <v>0.0</v>
      </c>
      <c r="O25" s="192">
        <v>0.0</v>
      </c>
      <c r="P25" s="192">
        <v>0.0</v>
      </c>
      <c r="Q25" s="192">
        <v>0.0</v>
      </c>
      <c r="R25" s="192">
        <v>0.0</v>
      </c>
      <c r="S25" s="192">
        <v>0.0</v>
      </c>
      <c r="T25" s="192">
        <v>0.0</v>
      </c>
      <c r="U25" s="192">
        <v>0.0</v>
      </c>
      <c r="V25" s="192">
        <v>0.0</v>
      </c>
      <c r="W25" s="192">
        <v>0.0</v>
      </c>
      <c r="X25" s="191">
        <v>0.0</v>
      </c>
      <c r="Y25" s="192">
        <v>0.0</v>
      </c>
      <c r="Z25" s="192">
        <v>0.0</v>
      </c>
      <c r="AA25" s="192">
        <v>0.0</v>
      </c>
      <c r="AB25" s="192">
        <v>0.0</v>
      </c>
      <c r="AC25" s="192">
        <v>0.0</v>
      </c>
      <c r="AD25" s="192">
        <v>0.0</v>
      </c>
      <c r="AE25" s="192">
        <v>0.0</v>
      </c>
      <c r="AF25" s="192">
        <v>1.0</v>
      </c>
      <c r="AG25" s="192">
        <v>0.0</v>
      </c>
      <c r="AH25" s="192">
        <v>0.0</v>
      </c>
      <c r="AI25" s="192">
        <v>0.0</v>
      </c>
      <c r="AJ25" s="192">
        <v>0.0</v>
      </c>
      <c r="AK25" s="192">
        <v>0.0</v>
      </c>
      <c r="AL25" s="192">
        <v>0.0</v>
      </c>
      <c r="AM25" s="192">
        <v>0.0</v>
      </c>
      <c r="AN25" s="192">
        <v>0.0</v>
      </c>
      <c r="AO25" s="192">
        <v>0.0</v>
      </c>
      <c r="AP25" s="192">
        <v>0.0</v>
      </c>
      <c r="AQ25" s="192">
        <v>0.0</v>
      </c>
    </row>
    <row r="26">
      <c r="A26" s="189">
        <f t="shared" si="1"/>
        <v>12</v>
      </c>
      <c r="B26" s="189">
        <v>100.0</v>
      </c>
      <c r="C26" s="190">
        <f t="shared" si="2"/>
        <v>687</v>
      </c>
      <c r="D26" s="191">
        <v>0.0</v>
      </c>
      <c r="E26" s="192">
        <v>0.0</v>
      </c>
      <c r="F26" s="192">
        <v>0.0</v>
      </c>
      <c r="G26" s="192">
        <v>1.0</v>
      </c>
      <c r="H26" s="192">
        <v>0.0</v>
      </c>
      <c r="I26" s="192">
        <v>0.0</v>
      </c>
      <c r="J26" s="192">
        <v>0.0</v>
      </c>
      <c r="K26" s="192">
        <v>0.0</v>
      </c>
      <c r="L26" s="192">
        <v>0.0</v>
      </c>
      <c r="M26" s="192">
        <v>0.0</v>
      </c>
      <c r="N26" s="192">
        <v>0.0</v>
      </c>
      <c r="O26" s="192">
        <v>0.0</v>
      </c>
      <c r="P26" s="192">
        <v>0.0</v>
      </c>
      <c r="Q26" s="192">
        <v>0.0</v>
      </c>
      <c r="R26" s="192">
        <v>0.0</v>
      </c>
      <c r="S26" s="192">
        <v>0.0</v>
      </c>
      <c r="T26" s="192">
        <v>0.0</v>
      </c>
      <c r="U26" s="192">
        <v>0.0</v>
      </c>
      <c r="V26" s="192">
        <v>0.0</v>
      </c>
      <c r="W26" s="192">
        <v>0.0</v>
      </c>
      <c r="X26" s="191">
        <v>0.0</v>
      </c>
      <c r="Y26" s="192">
        <v>0.0</v>
      </c>
      <c r="Z26" s="192">
        <v>0.0</v>
      </c>
      <c r="AA26" s="192">
        <v>0.0</v>
      </c>
      <c r="AB26" s="192">
        <v>1.0</v>
      </c>
      <c r="AC26" s="192">
        <v>0.0</v>
      </c>
      <c r="AD26" s="192">
        <v>0.0</v>
      </c>
      <c r="AE26" s="192">
        <v>0.0</v>
      </c>
      <c r="AF26" s="192">
        <v>0.0</v>
      </c>
      <c r="AG26" s="192">
        <v>0.0</v>
      </c>
      <c r="AH26" s="192">
        <v>0.0</v>
      </c>
      <c r="AI26" s="192">
        <v>0.0</v>
      </c>
      <c r="AJ26" s="192">
        <v>0.0</v>
      </c>
      <c r="AK26" s="192">
        <v>0.0</v>
      </c>
      <c r="AL26" s="192">
        <v>0.0</v>
      </c>
      <c r="AM26" s="192">
        <v>0.0</v>
      </c>
      <c r="AN26" s="192">
        <v>0.0</v>
      </c>
      <c r="AO26" s="192">
        <v>0.0</v>
      </c>
      <c r="AP26" s="192">
        <v>0.0</v>
      </c>
      <c r="AQ26" s="192">
        <v>0.0</v>
      </c>
    </row>
    <row r="27">
      <c r="A27" s="189">
        <f t="shared" si="1"/>
        <v>13</v>
      </c>
      <c r="B27" s="189">
        <v>100.0</v>
      </c>
      <c r="C27" s="190">
        <f t="shared" si="2"/>
        <v>787</v>
      </c>
      <c r="D27" s="191">
        <v>0.0</v>
      </c>
      <c r="E27" s="192">
        <v>0.0</v>
      </c>
      <c r="F27" s="192">
        <v>0.0</v>
      </c>
      <c r="G27" s="192">
        <v>0.0</v>
      </c>
      <c r="H27" s="192">
        <v>0.0</v>
      </c>
      <c r="I27" s="192">
        <v>0.0</v>
      </c>
      <c r="J27" s="192">
        <v>0.0</v>
      </c>
      <c r="K27" s="192">
        <v>1.0</v>
      </c>
      <c r="L27" s="192">
        <v>0.0</v>
      </c>
      <c r="M27" s="192">
        <v>0.0</v>
      </c>
      <c r="N27" s="192">
        <v>0.0</v>
      </c>
      <c r="O27" s="192">
        <v>0.0</v>
      </c>
      <c r="P27" s="192">
        <v>0.0</v>
      </c>
      <c r="Q27" s="192">
        <v>0.0</v>
      </c>
      <c r="R27" s="192">
        <v>0.0</v>
      </c>
      <c r="S27" s="192">
        <v>0.0</v>
      </c>
      <c r="T27" s="192">
        <v>0.0</v>
      </c>
      <c r="U27" s="192">
        <v>0.0</v>
      </c>
      <c r="V27" s="192">
        <v>0.0</v>
      </c>
      <c r="W27" s="192">
        <v>0.0</v>
      </c>
      <c r="X27" s="191">
        <v>0.0</v>
      </c>
      <c r="Y27" s="192">
        <v>0.0</v>
      </c>
      <c r="Z27" s="192">
        <v>0.0</v>
      </c>
      <c r="AA27" s="192">
        <v>0.0</v>
      </c>
      <c r="AB27" s="192">
        <v>0.0</v>
      </c>
      <c r="AC27" s="192">
        <v>0.0</v>
      </c>
      <c r="AD27" s="192">
        <v>0.0</v>
      </c>
      <c r="AE27" s="192">
        <v>0.0</v>
      </c>
      <c r="AF27" s="192">
        <v>0.0</v>
      </c>
      <c r="AG27" s="192">
        <v>0.0</v>
      </c>
      <c r="AH27" s="192">
        <v>0.0</v>
      </c>
      <c r="AI27" s="192">
        <v>15.0</v>
      </c>
      <c r="AJ27" s="192">
        <v>0.0</v>
      </c>
      <c r="AK27" s="192">
        <v>0.0</v>
      </c>
      <c r="AL27" s="192">
        <v>0.0</v>
      </c>
      <c r="AM27" s="192">
        <v>0.0</v>
      </c>
      <c r="AN27" s="192">
        <v>0.0</v>
      </c>
      <c r="AO27" s="192">
        <v>0.0</v>
      </c>
      <c r="AP27" s="192">
        <v>0.0</v>
      </c>
      <c r="AQ27" s="192">
        <v>0.0</v>
      </c>
    </row>
    <row r="28">
      <c r="A28" s="189">
        <f t="shared" si="1"/>
        <v>14</v>
      </c>
      <c r="B28" s="189">
        <v>100.0</v>
      </c>
      <c r="C28" s="190">
        <f t="shared" si="2"/>
        <v>887</v>
      </c>
      <c r="D28" s="191">
        <v>0.0</v>
      </c>
      <c r="E28" s="192">
        <v>0.0</v>
      </c>
      <c r="F28" s="192">
        <v>0.0</v>
      </c>
      <c r="G28" s="192">
        <v>1.0</v>
      </c>
      <c r="H28" s="192">
        <v>0.0</v>
      </c>
      <c r="I28" s="192">
        <v>0.0</v>
      </c>
      <c r="J28" s="192">
        <v>0.0</v>
      </c>
      <c r="K28" s="192">
        <v>0.0</v>
      </c>
      <c r="L28" s="192">
        <v>0.0</v>
      </c>
      <c r="M28" s="192">
        <v>0.0</v>
      </c>
      <c r="N28" s="192">
        <v>0.0</v>
      </c>
      <c r="O28" s="192">
        <v>0.0</v>
      </c>
      <c r="P28" s="192">
        <v>0.0</v>
      </c>
      <c r="Q28" s="192">
        <v>0.0</v>
      </c>
      <c r="R28" s="192">
        <v>0.0</v>
      </c>
      <c r="S28" s="192">
        <v>0.0</v>
      </c>
      <c r="T28" s="192">
        <v>0.0</v>
      </c>
      <c r="U28" s="192">
        <v>0.0</v>
      </c>
      <c r="V28" s="192">
        <v>0.0</v>
      </c>
      <c r="W28" s="192">
        <v>0.0</v>
      </c>
      <c r="X28" s="191">
        <v>0.0</v>
      </c>
      <c r="Y28" s="192">
        <v>0.0</v>
      </c>
      <c r="Z28" s="192">
        <v>0.0</v>
      </c>
      <c r="AA28" s="192">
        <v>0.0</v>
      </c>
      <c r="AB28" s="192">
        <v>0.0</v>
      </c>
      <c r="AC28" s="192">
        <v>1.0</v>
      </c>
      <c r="AD28" s="192">
        <v>0.0</v>
      </c>
      <c r="AE28" s="192">
        <v>0.0</v>
      </c>
      <c r="AF28" s="192">
        <v>0.0</v>
      </c>
      <c r="AG28" s="192">
        <v>0.0</v>
      </c>
      <c r="AH28" s="192">
        <v>0.0</v>
      </c>
      <c r="AI28" s="192">
        <v>0.0</v>
      </c>
      <c r="AJ28" s="192">
        <v>0.0</v>
      </c>
      <c r="AK28" s="192">
        <v>0.0</v>
      </c>
      <c r="AL28" s="192">
        <v>0.0</v>
      </c>
      <c r="AM28" s="192">
        <v>0.0</v>
      </c>
      <c r="AN28" s="192">
        <v>0.0</v>
      </c>
      <c r="AO28" s="192">
        <v>0.0</v>
      </c>
      <c r="AP28" s="192">
        <v>0.0</v>
      </c>
      <c r="AQ28" s="192">
        <v>0.0</v>
      </c>
    </row>
    <row r="29">
      <c r="A29" s="189">
        <f t="shared" si="1"/>
        <v>15</v>
      </c>
      <c r="B29" s="189">
        <v>130.0</v>
      </c>
      <c r="C29" s="190">
        <f t="shared" si="2"/>
        <v>1017</v>
      </c>
      <c r="D29" s="191">
        <v>15.0</v>
      </c>
      <c r="E29" s="192">
        <v>0.0</v>
      </c>
      <c r="F29" s="192">
        <v>0.0</v>
      </c>
      <c r="G29" s="192">
        <v>0.0</v>
      </c>
      <c r="H29" s="192">
        <v>0.0</v>
      </c>
      <c r="I29" s="192">
        <v>0.0</v>
      </c>
      <c r="J29" s="192">
        <v>0.0</v>
      </c>
      <c r="K29" s="192">
        <v>0.0</v>
      </c>
      <c r="L29" s="192">
        <v>0.0</v>
      </c>
      <c r="M29" s="192">
        <v>0.0</v>
      </c>
      <c r="N29" s="192">
        <v>0.0</v>
      </c>
      <c r="O29" s="192">
        <v>0.0</v>
      </c>
      <c r="P29" s="192">
        <v>0.0</v>
      </c>
      <c r="Q29" s="192">
        <v>0.0</v>
      </c>
      <c r="R29" s="192">
        <v>0.0</v>
      </c>
      <c r="S29" s="192">
        <v>0.0</v>
      </c>
      <c r="T29" s="192">
        <v>0.0</v>
      </c>
      <c r="U29" s="192">
        <v>0.0</v>
      </c>
      <c r="V29" s="192">
        <v>0.0</v>
      </c>
      <c r="W29" s="192">
        <v>0.0</v>
      </c>
      <c r="X29" s="191">
        <v>30.0</v>
      </c>
      <c r="Y29" s="192">
        <v>0.0</v>
      </c>
      <c r="Z29" s="192">
        <v>0.0</v>
      </c>
      <c r="AA29" s="192">
        <v>1.0</v>
      </c>
      <c r="AB29" s="192">
        <v>0.0</v>
      </c>
      <c r="AC29" s="192">
        <v>0.0</v>
      </c>
      <c r="AD29" s="192">
        <v>0.0</v>
      </c>
      <c r="AE29" s="192">
        <v>0.0</v>
      </c>
      <c r="AF29" s="192">
        <v>0.0</v>
      </c>
      <c r="AG29" s="192">
        <v>60.0</v>
      </c>
      <c r="AH29" s="192">
        <v>0.0</v>
      </c>
      <c r="AI29" s="192">
        <v>0.0</v>
      </c>
      <c r="AJ29" s="192">
        <v>0.0</v>
      </c>
      <c r="AK29" s="192">
        <v>0.0</v>
      </c>
      <c r="AL29" s="192">
        <v>0.0</v>
      </c>
      <c r="AM29" s="192">
        <v>0.0</v>
      </c>
      <c r="AN29" s="192">
        <v>0.0</v>
      </c>
      <c r="AO29" s="192">
        <v>0.0</v>
      </c>
      <c r="AP29" s="192">
        <v>0.0</v>
      </c>
      <c r="AQ29" s="192">
        <v>0.0</v>
      </c>
    </row>
    <row r="30">
      <c r="A30" s="189">
        <f t="shared" si="1"/>
        <v>16</v>
      </c>
      <c r="B30" s="189">
        <v>130.0</v>
      </c>
      <c r="C30" s="190">
        <f t="shared" si="2"/>
        <v>1147</v>
      </c>
      <c r="D30" s="191">
        <v>0.0</v>
      </c>
      <c r="E30" s="192">
        <v>0.0</v>
      </c>
      <c r="F30" s="192">
        <v>0.0</v>
      </c>
      <c r="G30" s="192">
        <v>0.0</v>
      </c>
      <c r="H30" s="192">
        <v>0.0</v>
      </c>
      <c r="I30" s="192">
        <v>0.0</v>
      </c>
      <c r="J30" s="192">
        <v>0.0</v>
      </c>
      <c r="K30" s="192">
        <v>0.0</v>
      </c>
      <c r="L30" s="192">
        <v>0.0</v>
      </c>
      <c r="M30" s="192">
        <v>15.0</v>
      </c>
      <c r="N30" s="192">
        <v>0.0</v>
      </c>
      <c r="O30" s="192">
        <v>0.0</v>
      </c>
      <c r="P30" s="192">
        <v>0.0</v>
      </c>
      <c r="Q30" s="192">
        <v>0.0</v>
      </c>
      <c r="R30" s="192">
        <v>0.0</v>
      </c>
      <c r="S30" s="192">
        <v>0.0</v>
      </c>
      <c r="T30" s="192">
        <v>0.0</v>
      </c>
      <c r="U30" s="192">
        <v>0.0</v>
      </c>
      <c r="V30" s="192">
        <v>0.0</v>
      </c>
      <c r="W30" s="192">
        <v>0.0</v>
      </c>
      <c r="X30" s="191">
        <v>0.0</v>
      </c>
      <c r="Y30" s="192">
        <v>0.0</v>
      </c>
      <c r="Z30" s="192">
        <v>0.0</v>
      </c>
      <c r="AA30" s="192">
        <v>0.0</v>
      </c>
      <c r="AB30" s="192">
        <v>0.0</v>
      </c>
      <c r="AC30" s="192">
        <v>0.0</v>
      </c>
      <c r="AD30" s="192">
        <v>1.0</v>
      </c>
      <c r="AE30" s="192">
        <v>0.0</v>
      </c>
      <c r="AF30" s="192">
        <v>0.0</v>
      </c>
      <c r="AG30" s="192">
        <v>0.0</v>
      </c>
      <c r="AH30" s="192">
        <v>10.0</v>
      </c>
      <c r="AI30" s="192">
        <v>0.0</v>
      </c>
      <c r="AJ30" s="192">
        <v>0.0</v>
      </c>
      <c r="AK30" s="192">
        <v>0.0</v>
      </c>
      <c r="AL30" s="192">
        <v>0.0</v>
      </c>
      <c r="AM30" s="192">
        <v>0.0</v>
      </c>
      <c r="AN30" s="192">
        <v>0.0</v>
      </c>
      <c r="AO30" s="192">
        <v>0.0</v>
      </c>
      <c r="AP30" s="192">
        <v>0.0</v>
      </c>
      <c r="AQ30" s="192">
        <v>0.0</v>
      </c>
    </row>
    <row r="31" ht="15.75" customHeight="1">
      <c r="A31" s="189">
        <f t="shared" si="1"/>
        <v>17</v>
      </c>
      <c r="B31" s="189">
        <v>130.0</v>
      </c>
      <c r="C31" s="190">
        <f t="shared" si="2"/>
        <v>1277</v>
      </c>
      <c r="D31" s="191">
        <v>0.0</v>
      </c>
      <c r="E31" s="192">
        <v>0.0</v>
      </c>
      <c r="F31" s="192">
        <v>0.0</v>
      </c>
      <c r="G31" s="192">
        <v>0.0</v>
      </c>
      <c r="H31" s="192">
        <v>1.0</v>
      </c>
      <c r="I31" s="192">
        <v>0.0</v>
      </c>
      <c r="J31" s="192">
        <v>0.0</v>
      </c>
      <c r="K31" s="192">
        <v>0.0</v>
      </c>
      <c r="L31" s="192">
        <v>0.0</v>
      </c>
      <c r="M31" s="192">
        <v>0.0</v>
      </c>
      <c r="N31" s="192">
        <v>0.0</v>
      </c>
      <c r="O31" s="192">
        <v>0.0</v>
      </c>
      <c r="P31" s="192">
        <v>0.0</v>
      </c>
      <c r="Q31" s="192">
        <v>0.0</v>
      </c>
      <c r="R31" s="192">
        <v>0.0</v>
      </c>
      <c r="S31" s="192">
        <v>0.0</v>
      </c>
      <c r="T31" s="192">
        <v>0.0</v>
      </c>
      <c r="U31" s="192">
        <v>0.0</v>
      </c>
      <c r="V31" s="192">
        <v>0.0</v>
      </c>
      <c r="W31" s="192">
        <v>0.0</v>
      </c>
      <c r="X31" s="191">
        <v>0.0</v>
      </c>
      <c r="Y31" s="192">
        <v>0.0</v>
      </c>
      <c r="Z31" s="192">
        <v>0.0</v>
      </c>
      <c r="AA31" s="192">
        <v>0.0</v>
      </c>
      <c r="AB31" s="192">
        <v>0.0</v>
      </c>
      <c r="AC31" s="192">
        <v>1.0</v>
      </c>
      <c r="AD31" s="192">
        <v>0.0</v>
      </c>
      <c r="AE31" s="192">
        <v>0.0</v>
      </c>
      <c r="AF31" s="192">
        <v>1.0</v>
      </c>
      <c r="AG31" s="192">
        <v>0.0</v>
      </c>
      <c r="AH31" s="192">
        <v>0.0</v>
      </c>
      <c r="AI31" s="192">
        <v>0.0</v>
      </c>
      <c r="AJ31" s="192">
        <v>0.0</v>
      </c>
      <c r="AK31" s="192">
        <v>0.0</v>
      </c>
      <c r="AL31" s="192">
        <v>0.0</v>
      </c>
      <c r="AM31" s="192">
        <v>0.0</v>
      </c>
      <c r="AN31" s="192">
        <v>0.0</v>
      </c>
      <c r="AO31" s="192">
        <v>0.0</v>
      </c>
      <c r="AP31" s="192">
        <v>0.0</v>
      </c>
      <c r="AQ31" s="192">
        <v>0.0</v>
      </c>
    </row>
    <row r="32" ht="15.75" customHeight="1">
      <c r="A32" s="189">
        <f t="shared" si="1"/>
        <v>18</v>
      </c>
      <c r="B32" s="189">
        <v>130.0</v>
      </c>
      <c r="C32" s="190">
        <f t="shared" si="2"/>
        <v>1407</v>
      </c>
      <c r="D32" s="191">
        <v>0.0</v>
      </c>
      <c r="E32" s="192">
        <v>0.0</v>
      </c>
      <c r="F32" s="192">
        <v>0.0</v>
      </c>
      <c r="G32" s="192">
        <v>1.0</v>
      </c>
      <c r="H32" s="192">
        <v>0.0</v>
      </c>
      <c r="I32" s="192">
        <v>0.0</v>
      </c>
      <c r="J32" s="192">
        <v>0.0</v>
      </c>
      <c r="K32" s="192">
        <v>0.0</v>
      </c>
      <c r="L32" s="192">
        <v>0.0</v>
      </c>
      <c r="M32" s="192">
        <v>0.0</v>
      </c>
      <c r="N32" s="192">
        <v>0.0</v>
      </c>
      <c r="O32" s="192">
        <v>0.0</v>
      </c>
      <c r="P32" s="192">
        <v>0.0</v>
      </c>
      <c r="Q32" s="192">
        <v>0.0</v>
      </c>
      <c r="R32" s="192">
        <v>0.0</v>
      </c>
      <c r="S32" s="192">
        <v>0.0</v>
      </c>
      <c r="T32" s="192">
        <v>0.0</v>
      </c>
      <c r="U32" s="192">
        <v>0.0</v>
      </c>
      <c r="V32" s="192">
        <v>0.0</v>
      </c>
      <c r="W32" s="192">
        <v>0.0</v>
      </c>
      <c r="X32" s="191">
        <v>0.0</v>
      </c>
      <c r="Y32" s="192">
        <v>0.0</v>
      </c>
      <c r="Z32" s="192">
        <v>0.0</v>
      </c>
      <c r="AA32" s="192">
        <v>0.0</v>
      </c>
      <c r="AB32" s="192">
        <v>0.0</v>
      </c>
      <c r="AC32" s="192">
        <v>0.0</v>
      </c>
      <c r="AD32" s="192">
        <v>1.0</v>
      </c>
      <c r="AE32" s="192">
        <v>0.0</v>
      </c>
      <c r="AF32" s="192">
        <v>0.0</v>
      </c>
      <c r="AG32" s="192">
        <v>0.0</v>
      </c>
      <c r="AH32" s="192">
        <v>0.0</v>
      </c>
      <c r="AI32" s="192">
        <v>10.0</v>
      </c>
      <c r="AJ32" s="192">
        <v>0.0</v>
      </c>
      <c r="AK32" s="192">
        <v>0.0</v>
      </c>
      <c r="AL32" s="192">
        <v>0.0</v>
      </c>
      <c r="AM32" s="192">
        <v>0.0</v>
      </c>
      <c r="AN32" s="192">
        <v>0.0</v>
      </c>
      <c r="AO32" s="192">
        <v>0.0</v>
      </c>
      <c r="AP32" s="192">
        <v>0.0</v>
      </c>
      <c r="AQ32" s="192">
        <v>0.0</v>
      </c>
    </row>
    <row r="33" ht="15.75" customHeight="1">
      <c r="A33" s="189">
        <f t="shared" si="1"/>
        <v>19</v>
      </c>
      <c r="B33" s="189">
        <v>130.0</v>
      </c>
      <c r="C33" s="190">
        <f t="shared" si="2"/>
        <v>1537</v>
      </c>
      <c r="D33" s="191">
        <v>0.0</v>
      </c>
      <c r="E33" s="192">
        <v>0.0</v>
      </c>
      <c r="F33" s="192">
        <v>0.0</v>
      </c>
      <c r="G33" s="192">
        <v>0.0</v>
      </c>
      <c r="H33" s="192">
        <v>0.0</v>
      </c>
      <c r="I33" s="192">
        <v>1.0</v>
      </c>
      <c r="J33" s="192">
        <v>0.0</v>
      </c>
      <c r="K33" s="192">
        <v>0.0</v>
      </c>
      <c r="L33" s="192">
        <v>0.0</v>
      </c>
      <c r="M33" s="192">
        <v>0.0</v>
      </c>
      <c r="N33" s="192">
        <v>0.0</v>
      </c>
      <c r="O33" s="192">
        <v>0.0</v>
      </c>
      <c r="P33" s="192">
        <v>0.0</v>
      </c>
      <c r="Q33" s="192">
        <v>0.0</v>
      </c>
      <c r="R33" s="192">
        <v>0.0</v>
      </c>
      <c r="S33" s="192">
        <v>0.0</v>
      </c>
      <c r="T33" s="192">
        <v>0.0</v>
      </c>
      <c r="U33" s="192">
        <v>0.0</v>
      </c>
      <c r="V33" s="192">
        <v>0.0</v>
      </c>
      <c r="W33" s="192">
        <v>0.0</v>
      </c>
      <c r="X33" s="191">
        <v>0.0</v>
      </c>
      <c r="Y33" s="192">
        <v>0.0</v>
      </c>
      <c r="Z33" s="192">
        <v>0.0</v>
      </c>
      <c r="AA33" s="192">
        <v>0.0</v>
      </c>
      <c r="AB33" s="192">
        <v>1.0</v>
      </c>
      <c r="AC33" s="192">
        <v>0.0</v>
      </c>
      <c r="AD33" s="192">
        <v>0.0</v>
      </c>
      <c r="AE33" s="192">
        <v>0.0</v>
      </c>
      <c r="AF33" s="192">
        <v>0.0</v>
      </c>
      <c r="AG33" s="192">
        <v>0.0</v>
      </c>
      <c r="AH33" s="192">
        <v>15.0</v>
      </c>
      <c r="AI33" s="192">
        <v>0.0</v>
      </c>
      <c r="AJ33" s="192">
        <v>0.0</v>
      </c>
      <c r="AK33" s="192">
        <v>0.0</v>
      </c>
      <c r="AL33" s="192">
        <v>0.0</v>
      </c>
      <c r="AM33" s="192">
        <v>0.0</v>
      </c>
      <c r="AN33" s="192">
        <v>0.0</v>
      </c>
      <c r="AO33" s="192">
        <v>0.0</v>
      </c>
      <c r="AP33" s="192">
        <v>0.0</v>
      </c>
      <c r="AQ33" s="192">
        <v>0.0</v>
      </c>
    </row>
    <row r="34" ht="15.75" customHeight="1">
      <c r="A34" s="189">
        <f t="shared" si="1"/>
        <v>20</v>
      </c>
      <c r="B34" s="189">
        <v>160.0</v>
      </c>
      <c r="C34" s="190">
        <f t="shared" si="2"/>
        <v>1697</v>
      </c>
      <c r="D34" s="191">
        <v>20.0</v>
      </c>
      <c r="E34" s="192">
        <v>0.0</v>
      </c>
      <c r="F34" s="192">
        <v>0.0</v>
      </c>
      <c r="G34" s="192">
        <v>0.0</v>
      </c>
      <c r="H34" s="192">
        <v>0.0</v>
      </c>
      <c r="I34" s="192">
        <v>0.0</v>
      </c>
      <c r="J34" s="192">
        <v>0.0</v>
      </c>
      <c r="K34" s="192">
        <v>0.0</v>
      </c>
      <c r="L34" s="192">
        <v>0.0</v>
      </c>
      <c r="M34" s="192">
        <v>0.0</v>
      </c>
      <c r="N34" s="192">
        <v>0.0</v>
      </c>
      <c r="O34" s="192">
        <v>0.0</v>
      </c>
      <c r="P34" s="192">
        <v>0.0</v>
      </c>
      <c r="Q34" s="192">
        <v>0.0</v>
      </c>
      <c r="R34" s="192">
        <v>0.0</v>
      </c>
      <c r="S34" s="192">
        <v>0.0</v>
      </c>
      <c r="T34" s="192">
        <v>0.0</v>
      </c>
      <c r="U34" s="192">
        <v>0.0</v>
      </c>
      <c r="V34" s="192">
        <v>0.0</v>
      </c>
      <c r="W34" s="192">
        <v>0.0</v>
      </c>
      <c r="X34" s="191">
        <v>40.0</v>
      </c>
      <c r="Y34" s="192">
        <v>0.0</v>
      </c>
      <c r="Z34" s="192">
        <v>0.0</v>
      </c>
      <c r="AA34" s="192">
        <v>1.0</v>
      </c>
      <c r="AB34" s="192">
        <v>0.0</v>
      </c>
      <c r="AC34" s="192">
        <v>0.0</v>
      </c>
      <c r="AD34" s="192">
        <v>0.0</v>
      </c>
      <c r="AE34" s="192">
        <v>0.0</v>
      </c>
      <c r="AF34" s="192">
        <v>0.0</v>
      </c>
      <c r="AG34" s="192">
        <v>60.0</v>
      </c>
      <c r="AH34" s="192">
        <v>0.0</v>
      </c>
      <c r="AI34" s="192">
        <v>0.0</v>
      </c>
      <c r="AJ34" s="192">
        <v>0.0</v>
      </c>
      <c r="AK34" s="192">
        <v>0.0</v>
      </c>
      <c r="AL34" s="192">
        <v>0.0</v>
      </c>
      <c r="AM34" s="192">
        <v>0.0</v>
      </c>
      <c r="AN34" s="192">
        <v>0.0</v>
      </c>
      <c r="AO34" s="192">
        <v>0.0</v>
      </c>
      <c r="AP34" s="192">
        <v>0.0</v>
      </c>
      <c r="AQ34" s="192">
        <v>0.0</v>
      </c>
    </row>
    <row r="35" ht="15.75" customHeight="1">
      <c r="A35" s="189">
        <f t="shared" si="1"/>
        <v>21</v>
      </c>
      <c r="B35" s="189">
        <v>160.0</v>
      </c>
      <c r="C35" s="190">
        <f t="shared" si="2"/>
        <v>1857</v>
      </c>
      <c r="D35" s="191">
        <v>0.0</v>
      </c>
      <c r="E35" s="192">
        <v>0.0</v>
      </c>
      <c r="F35" s="192">
        <v>0.0</v>
      </c>
      <c r="G35" s="192">
        <v>0.0</v>
      </c>
      <c r="H35" s="192">
        <v>1.0</v>
      </c>
      <c r="I35" s="192">
        <v>0.0</v>
      </c>
      <c r="J35" s="192">
        <v>0.0</v>
      </c>
      <c r="K35" s="192">
        <v>0.0</v>
      </c>
      <c r="L35" s="192">
        <v>0.0</v>
      </c>
      <c r="M35" s="192">
        <v>0.0</v>
      </c>
      <c r="N35" s="192">
        <v>0.0</v>
      </c>
      <c r="O35" s="192">
        <v>0.0</v>
      </c>
      <c r="P35" s="192">
        <v>0.0</v>
      </c>
      <c r="Q35" s="192">
        <v>0.0</v>
      </c>
      <c r="R35" s="192">
        <v>0.0</v>
      </c>
      <c r="S35" s="192">
        <v>0.0</v>
      </c>
      <c r="T35" s="192">
        <v>0.0</v>
      </c>
      <c r="U35" s="192">
        <v>0.0</v>
      </c>
      <c r="V35" s="192">
        <v>0.0</v>
      </c>
      <c r="W35" s="192">
        <v>0.0</v>
      </c>
      <c r="X35" s="191">
        <v>0.0</v>
      </c>
      <c r="Y35" s="192">
        <v>0.0</v>
      </c>
      <c r="Z35" s="192">
        <v>0.0</v>
      </c>
      <c r="AA35" s="192">
        <v>0.0</v>
      </c>
      <c r="AB35" s="192">
        <v>0.0</v>
      </c>
      <c r="AC35" s="192">
        <v>1.0</v>
      </c>
      <c r="AD35" s="192">
        <v>0.0</v>
      </c>
      <c r="AE35" s="192">
        <v>0.0</v>
      </c>
      <c r="AF35" s="192">
        <v>0.0</v>
      </c>
      <c r="AG35" s="192">
        <v>0.0</v>
      </c>
      <c r="AH35" s="192">
        <v>0.0</v>
      </c>
      <c r="AI35" s="192">
        <v>15.0</v>
      </c>
      <c r="AJ35" s="192">
        <v>0.0</v>
      </c>
      <c r="AK35" s="192">
        <v>0.0</v>
      </c>
      <c r="AL35" s="192">
        <v>0.0</v>
      </c>
      <c r="AM35" s="192">
        <v>0.0</v>
      </c>
      <c r="AN35" s="192">
        <v>0.0</v>
      </c>
      <c r="AO35" s="192">
        <v>0.0</v>
      </c>
      <c r="AP35" s="192">
        <v>0.0</v>
      </c>
      <c r="AQ35" s="192">
        <v>0.0</v>
      </c>
    </row>
    <row r="36" ht="15.75" customHeight="1">
      <c r="A36" s="189">
        <f t="shared" si="1"/>
        <v>22</v>
      </c>
      <c r="B36" s="189">
        <v>160.0</v>
      </c>
      <c r="C36" s="190">
        <f t="shared" si="2"/>
        <v>2017</v>
      </c>
      <c r="D36" s="191">
        <v>0.0</v>
      </c>
      <c r="E36" s="192">
        <v>0.0</v>
      </c>
      <c r="F36" s="192">
        <v>0.0</v>
      </c>
      <c r="G36" s="192">
        <v>0.0</v>
      </c>
      <c r="H36" s="192">
        <v>0.0</v>
      </c>
      <c r="I36" s="192">
        <v>0.0</v>
      </c>
      <c r="J36" s="192">
        <v>0.0</v>
      </c>
      <c r="K36" s="192">
        <v>0.0</v>
      </c>
      <c r="L36" s="192">
        <v>0.0</v>
      </c>
      <c r="M36" s="192">
        <v>0.0</v>
      </c>
      <c r="N36" s="192">
        <v>15.0</v>
      </c>
      <c r="O36" s="192">
        <v>0.0</v>
      </c>
      <c r="P36" s="192">
        <v>0.0</v>
      </c>
      <c r="Q36" s="192">
        <v>0.0</v>
      </c>
      <c r="R36" s="192">
        <v>0.0</v>
      </c>
      <c r="S36" s="192">
        <v>0.0</v>
      </c>
      <c r="T36" s="192">
        <v>0.0</v>
      </c>
      <c r="U36" s="192">
        <v>0.0</v>
      </c>
      <c r="V36" s="192">
        <v>0.0</v>
      </c>
      <c r="W36" s="192">
        <v>0.0</v>
      </c>
      <c r="X36" s="191">
        <v>0.0</v>
      </c>
      <c r="Y36" s="192">
        <v>0.0</v>
      </c>
      <c r="Z36" s="192">
        <v>0.0</v>
      </c>
      <c r="AA36" s="192">
        <v>0.0</v>
      </c>
      <c r="AB36" s="192">
        <v>0.0</v>
      </c>
      <c r="AC36" s="192">
        <v>0.0</v>
      </c>
      <c r="AD36" s="192">
        <v>0.0</v>
      </c>
      <c r="AE36" s="192">
        <v>1.0</v>
      </c>
      <c r="AF36" s="192">
        <v>0.0</v>
      </c>
      <c r="AG36" s="192">
        <v>0.0</v>
      </c>
      <c r="AH36" s="192">
        <v>0.0</v>
      </c>
      <c r="AI36" s="192">
        <v>0.0</v>
      </c>
      <c r="AJ36" s="192">
        <v>10.0</v>
      </c>
      <c r="AK36" s="192">
        <v>0.0</v>
      </c>
      <c r="AL36" s="192">
        <v>0.0</v>
      </c>
      <c r="AM36" s="192">
        <v>0.0</v>
      </c>
      <c r="AN36" s="192">
        <v>0.0</v>
      </c>
      <c r="AO36" s="192">
        <v>0.0</v>
      </c>
      <c r="AP36" s="192">
        <v>0.0</v>
      </c>
      <c r="AQ36" s="192">
        <v>0.0</v>
      </c>
    </row>
    <row r="37" ht="15.75" customHeight="1">
      <c r="A37" s="189">
        <f t="shared" si="1"/>
        <v>23</v>
      </c>
      <c r="B37" s="189">
        <v>160.0</v>
      </c>
      <c r="C37" s="190">
        <f t="shared" si="2"/>
        <v>2177</v>
      </c>
      <c r="D37" s="191">
        <v>0.0</v>
      </c>
      <c r="E37" s="192">
        <v>0.0</v>
      </c>
      <c r="F37" s="192">
        <v>0.0</v>
      </c>
      <c r="G37" s="192">
        <v>0.0</v>
      </c>
      <c r="H37" s="192">
        <v>1.0</v>
      </c>
      <c r="I37" s="192">
        <v>0.0</v>
      </c>
      <c r="J37" s="192">
        <v>0.0</v>
      </c>
      <c r="K37" s="192">
        <v>0.0</v>
      </c>
      <c r="L37" s="192">
        <v>0.0</v>
      </c>
      <c r="M37" s="192">
        <v>0.0</v>
      </c>
      <c r="N37" s="192">
        <v>0.0</v>
      </c>
      <c r="O37" s="192">
        <v>0.0</v>
      </c>
      <c r="P37" s="192">
        <v>0.0</v>
      </c>
      <c r="Q37" s="192">
        <v>0.0</v>
      </c>
      <c r="R37" s="192">
        <v>0.0</v>
      </c>
      <c r="S37" s="192">
        <v>0.0</v>
      </c>
      <c r="T37" s="192">
        <v>0.0</v>
      </c>
      <c r="U37" s="192">
        <v>0.0</v>
      </c>
      <c r="V37" s="192">
        <v>0.0</v>
      </c>
      <c r="W37" s="192">
        <v>0.0</v>
      </c>
      <c r="X37" s="191">
        <v>0.0</v>
      </c>
      <c r="Y37" s="192">
        <v>0.0</v>
      </c>
      <c r="Z37" s="192">
        <v>0.0</v>
      </c>
      <c r="AA37" s="192">
        <v>0.0</v>
      </c>
      <c r="AB37" s="192">
        <v>0.0</v>
      </c>
      <c r="AC37" s="192">
        <v>1.0</v>
      </c>
      <c r="AD37" s="192">
        <v>1.0</v>
      </c>
      <c r="AE37" s="192">
        <v>0.0</v>
      </c>
      <c r="AF37" s="192">
        <v>0.0</v>
      </c>
      <c r="AG37" s="192">
        <v>0.0</v>
      </c>
      <c r="AH37" s="192">
        <v>0.0</v>
      </c>
      <c r="AI37" s="192">
        <v>0.0</v>
      </c>
      <c r="AJ37" s="192">
        <v>0.0</v>
      </c>
      <c r="AK37" s="192">
        <v>0.0</v>
      </c>
      <c r="AL37" s="192">
        <v>0.0</v>
      </c>
      <c r="AM37" s="192">
        <v>0.0</v>
      </c>
      <c r="AN37" s="192">
        <v>0.0</v>
      </c>
      <c r="AO37" s="192">
        <v>0.0</v>
      </c>
      <c r="AP37" s="192">
        <v>0.0</v>
      </c>
      <c r="AQ37" s="192">
        <v>0.0</v>
      </c>
    </row>
    <row r="38" ht="15.75" customHeight="1">
      <c r="A38" s="189">
        <f t="shared" si="1"/>
        <v>24</v>
      </c>
      <c r="B38" s="189">
        <v>160.0</v>
      </c>
      <c r="C38" s="190">
        <f t="shared" si="2"/>
        <v>2337</v>
      </c>
      <c r="D38" s="191">
        <v>0.0</v>
      </c>
      <c r="E38" s="192">
        <v>0.0</v>
      </c>
      <c r="F38" s="192">
        <v>0.0</v>
      </c>
      <c r="G38" s="192">
        <v>0.0</v>
      </c>
      <c r="H38" s="192">
        <v>0.0</v>
      </c>
      <c r="I38" s="192">
        <v>0.0</v>
      </c>
      <c r="J38" s="192">
        <v>0.0</v>
      </c>
      <c r="K38" s="192">
        <v>0.0</v>
      </c>
      <c r="L38" s="192">
        <v>0.0</v>
      </c>
      <c r="M38" s="192">
        <v>30.0</v>
      </c>
      <c r="N38" s="192">
        <v>0.0</v>
      </c>
      <c r="O38" s="192">
        <v>0.0</v>
      </c>
      <c r="P38" s="192">
        <v>0.0</v>
      </c>
      <c r="Q38" s="192">
        <v>0.0</v>
      </c>
      <c r="R38" s="192">
        <v>0.0</v>
      </c>
      <c r="S38" s="192">
        <v>0.0</v>
      </c>
      <c r="T38" s="192">
        <v>0.0</v>
      </c>
      <c r="U38" s="192">
        <v>0.0</v>
      </c>
      <c r="V38" s="192">
        <v>0.0</v>
      </c>
      <c r="W38" s="192">
        <v>0.0</v>
      </c>
      <c r="X38" s="191">
        <v>0.0</v>
      </c>
      <c r="Y38" s="192">
        <v>0.0</v>
      </c>
      <c r="Z38" s="192">
        <v>0.0</v>
      </c>
      <c r="AA38" s="192">
        <v>0.0</v>
      </c>
      <c r="AB38" s="192">
        <v>1.0</v>
      </c>
      <c r="AC38" s="192">
        <v>0.0</v>
      </c>
      <c r="AD38" s="192">
        <v>0.0</v>
      </c>
      <c r="AE38" s="192">
        <v>0.0</v>
      </c>
      <c r="AF38" s="192">
        <v>0.0</v>
      </c>
      <c r="AG38" s="192">
        <v>0.0</v>
      </c>
      <c r="AH38" s="192">
        <v>10.0</v>
      </c>
      <c r="AI38" s="192">
        <v>0.0</v>
      </c>
      <c r="AJ38" s="192">
        <v>0.0</v>
      </c>
      <c r="AK38" s="192">
        <v>0.0</v>
      </c>
      <c r="AL38" s="192">
        <v>0.0</v>
      </c>
      <c r="AM38" s="192">
        <v>0.0</v>
      </c>
      <c r="AN38" s="192">
        <v>0.0</v>
      </c>
      <c r="AO38" s="192">
        <v>0.0</v>
      </c>
      <c r="AP38" s="192">
        <v>0.0</v>
      </c>
      <c r="AQ38" s="192">
        <v>0.0</v>
      </c>
    </row>
    <row r="39" ht="15.75" customHeight="1">
      <c r="A39" s="189">
        <f t="shared" si="1"/>
        <v>25</v>
      </c>
      <c r="B39" s="189">
        <v>190.0</v>
      </c>
      <c r="C39" s="190">
        <f t="shared" si="2"/>
        <v>2527</v>
      </c>
      <c r="D39" s="191">
        <v>25.0</v>
      </c>
      <c r="E39" s="192">
        <v>0.0</v>
      </c>
      <c r="F39" s="192">
        <v>0.0</v>
      </c>
      <c r="G39" s="192">
        <v>0.0</v>
      </c>
      <c r="H39" s="192">
        <v>0.0</v>
      </c>
      <c r="I39" s="192">
        <v>0.0</v>
      </c>
      <c r="J39" s="192">
        <v>0.0</v>
      </c>
      <c r="K39" s="192">
        <v>0.0</v>
      </c>
      <c r="L39" s="192">
        <v>0.0</v>
      </c>
      <c r="M39" s="192">
        <v>0.0</v>
      </c>
      <c r="N39" s="192">
        <v>0.0</v>
      </c>
      <c r="O39" s="192">
        <v>0.0</v>
      </c>
      <c r="P39" s="192">
        <v>0.0</v>
      </c>
      <c r="Q39" s="192">
        <v>0.0</v>
      </c>
      <c r="R39" s="192">
        <v>0.0</v>
      </c>
      <c r="S39" s="192">
        <v>0.0</v>
      </c>
      <c r="T39" s="192">
        <v>0.0</v>
      </c>
      <c r="U39" s="192">
        <v>0.0</v>
      </c>
      <c r="V39" s="192">
        <v>0.0</v>
      </c>
      <c r="W39" s="192">
        <v>0.0</v>
      </c>
      <c r="X39" s="191">
        <v>55.0</v>
      </c>
      <c r="Y39" s="192">
        <v>0.0</v>
      </c>
      <c r="Z39" s="192">
        <v>0.0</v>
      </c>
      <c r="AA39" s="192">
        <v>0.0</v>
      </c>
      <c r="AB39" s="192">
        <v>0.0</v>
      </c>
      <c r="AC39" s="192">
        <v>0.0</v>
      </c>
      <c r="AD39" s="192">
        <v>0.0</v>
      </c>
      <c r="AE39" s="192">
        <v>0.0</v>
      </c>
      <c r="AF39" s="192">
        <v>0.0</v>
      </c>
      <c r="AG39" s="192">
        <v>120.0</v>
      </c>
      <c r="AH39" s="192">
        <v>0.0</v>
      </c>
      <c r="AI39" s="192">
        <v>0.0</v>
      </c>
      <c r="AJ39" s="192">
        <v>0.0</v>
      </c>
      <c r="AK39" s="192">
        <v>0.0</v>
      </c>
      <c r="AL39" s="192">
        <v>0.0</v>
      </c>
      <c r="AM39" s="192">
        <v>0.0</v>
      </c>
      <c r="AN39" s="192">
        <v>0.0</v>
      </c>
      <c r="AO39" s="192">
        <v>0.0</v>
      </c>
      <c r="AP39" s="192">
        <v>0.0</v>
      </c>
      <c r="AQ39" s="192">
        <v>0.0</v>
      </c>
    </row>
    <row r="40" ht="15.75" customHeight="1">
      <c r="A40" s="189">
        <f t="shared" si="1"/>
        <v>26</v>
      </c>
      <c r="B40" s="189">
        <v>190.0</v>
      </c>
      <c r="C40" s="190">
        <f t="shared" si="2"/>
        <v>2717</v>
      </c>
      <c r="D40" s="191">
        <v>0.0</v>
      </c>
      <c r="E40" s="192">
        <v>0.0</v>
      </c>
      <c r="F40" s="192">
        <v>0.0</v>
      </c>
      <c r="G40" s="192">
        <v>0.0</v>
      </c>
      <c r="H40" s="192">
        <v>0.0</v>
      </c>
      <c r="I40" s="192">
        <v>0.0</v>
      </c>
      <c r="J40" s="192">
        <v>0.0</v>
      </c>
      <c r="K40" s="192">
        <v>0.0</v>
      </c>
      <c r="L40" s="192">
        <v>0.0</v>
      </c>
      <c r="M40" s="192">
        <v>30.0</v>
      </c>
      <c r="N40" s="192">
        <v>0.0</v>
      </c>
      <c r="O40" s="192">
        <v>0.0</v>
      </c>
      <c r="P40" s="192">
        <v>0.0</v>
      </c>
      <c r="Q40" s="192">
        <v>0.0</v>
      </c>
      <c r="R40" s="192">
        <v>0.0</v>
      </c>
      <c r="S40" s="192">
        <v>0.0</v>
      </c>
      <c r="T40" s="192">
        <v>0.0</v>
      </c>
      <c r="U40" s="192">
        <v>0.0</v>
      </c>
      <c r="V40" s="192">
        <v>0.0</v>
      </c>
      <c r="W40" s="192">
        <v>0.0</v>
      </c>
      <c r="X40" s="191">
        <v>0.0</v>
      </c>
      <c r="Y40" s="192">
        <v>0.0</v>
      </c>
      <c r="Z40" s="192">
        <v>0.0</v>
      </c>
      <c r="AA40" s="192">
        <v>1.0</v>
      </c>
      <c r="AB40" s="192">
        <v>0.0</v>
      </c>
      <c r="AC40" s="192">
        <v>0.0</v>
      </c>
      <c r="AD40" s="192">
        <v>0.0</v>
      </c>
      <c r="AE40" s="192">
        <v>1.0</v>
      </c>
      <c r="AF40" s="192">
        <v>0.0</v>
      </c>
      <c r="AG40" s="192">
        <v>0.0</v>
      </c>
      <c r="AH40" s="192">
        <v>0.0</v>
      </c>
      <c r="AI40" s="192">
        <v>0.0</v>
      </c>
      <c r="AJ40" s="192">
        <v>0.0</v>
      </c>
      <c r="AK40" s="192">
        <v>0.0</v>
      </c>
      <c r="AL40" s="192">
        <v>0.0</v>
      </c>
      <c r="AM40" s="192">
        <v>0.0</v>
      </c>
      <c r="AN40" s="192">
        <v>0.0</v>
      </c>
      <c r="AO40" s="192">
        <v>0.0</v>
      </c>
      <c r="AP40" s="192">
        <v>0.0</v>
      </c>
      <c r="AQ40" s="192">
        <v>0.0</v>
      </c>
    </row>
    <row r="41" ht="15.75" customHeight="1">
      <c r="A41" s="189">
        <f t="shared" si="1"/>
        <v>27</v>
      </c>
      <c r="B41" s="189">
        <v>190.0</v>
      </c>
      <c r="C41" s="190">
        <f t="shared" si="2"/>
        <v>2907</v>
      </c>
      <c r="D41" s="191">
        <v>0.0</v>
      </c>
      <c r="E41" s="192">
        <v>0.0</v>
      </c>
      <c r="F41" s="192">
        <v>0.0</v>
      </c>
      <c r="G41" s="192">
        <v>0.0</v>
      </c>
      <c r="H41" s="192">
        <v>0.0</v>
      </c>
      <c r="I41" s="192">
        <v>0.0</v>
      </c>
      <c r="J41" s="192">
        <v>1.0</v>
      </c>
      <c r="K41" s="192">
        <v>0.0</v>
      </c>
      <c r="L41" s="192">
        <v>0.0</v>
      </c>
      <c r="M41" s="192">
        <v>0.0</v>
      </c>
      <c r="N41" s="192">
        <v>0.0</v>
      </c>
      <c r="O41" s="192">
        <v>0.0</v>
      </c>
      <c r="P41" s="192">
        <v>0.0</v>
      </c>
      <c r="Q41" s="192">
        <v>0.0</v>
      </c>
      <c r="R41" s="192">
        <v>0.0</v>
      </c>
      <c r="S41" s="192">
        <v>0.0</v>
      </c>
      <c r="T41" s="192">
        <v>0.0</v>
      </c>
      <c r="U41" s="192">
        <v>0.0</v>
      </c>
      <c r="V41" s="192">
        <v>0.0</v>
      </c>
      <c r="W41" s="192">
        <v>0.0</v>
      </c>
      <c r="X41" s="191">
        <v>0.0</v>
      </c>
      <c r="Y41" s="192">
        <v>0.0</v>
      </c>
      <c r="Z41" s="192">
        <v>0.0</v>
      </c>
      <c r="AA41" s="192">
        <v>0.0</v>
      </c>
      <c r="AB41" s="192">
        <v>0.0</v>
      </c>
      <c r="AC41" s="192">
        <v>0.0</v>
      </c>
      <c r="AD41" s="192">
        <v>0.0</v>
      </c>
      <c r="AE41" s="192">
        <v>0.0</v>
      </c>
      <c r="AF41" s="192">
        <v>1.0</v>
      </c>
      <c r="AG41" s="192">
        <v>0.0</v>
      </c>
      <c r="AH41" s="192">
        <v>0.0</v>
      </c>
      <c r="AI41" s="192">
        <v>10.0</v>
      </c>
      <c r="AJ41" s="192">
        <v>0.0</v>
      </c>
      <c r="AK41" s="192">
        <v>0.0</v>
      </c>
      <c r="AL41" s="192">
        <v>0.0</v>
      </c>
      <c r="AM41" s="192">
        <v>0.0</v>
      </c>
      <c r="AN41" s="192">
        <v>0.0</v>
      </c>
      <c r="AO41" s="192">
        <v>0.0</v>
      </c>
      <c r="AP41" s="192">
        <v>0.0</v>
      </c>
      <c r="AQ41" s="192">
        <v>0.0</v>
      </c>
    </row>
    <row r="42" ht="15.75" customHeight="1">
      <c r="A42" s="189">
        <f t="shared" si="1"/>
        <v>28</v>
      </c>
      <c r="B42" s="189">
        <v>190.0</v>
      </c>
      <c r="C42" s="190">
        <f t="shared" si="2"/>
        <v>3097</v>
      </c>
      <c r="D42" s="191">
        <v>0.0</v>
      </c>
      <c r="E42" s="192">
        <v>0.0</v>
      </c>
      <c r="F42" s="192">
        <v>0.0</v>
      </c>
      <c r="G42" s="192">
        <v>0.0</v>
      </c>
      <c r="H42" s="192">
        <v>0.0</v>
      </c>
      <c r="I42" s="192">
        <v>1.0</v>
      </c>
      <c r="J42" s="192">
        <v>0.0</v>
      </c>
      <c r="K42" s="192">
        <v>0.0</v>
      </c>
      <c r="L42" s="192">
        <v>0.0</v>
      </c>
      <c r="M42" s="192">
        <v>0.0</v>
      </c>
      <c r="N42" s="192">
        <v>0.0</v>
      </c>
      <c r="O42" s="192">
        <v>0.0</v>
      </c>
      <c r="P42" s="192">
        <v>0.0</v>
      </c>
      <c r="Q42" s="192">
        <v>0.0</v>
      </c>
      <c r="R42" s="192">
        <v>0.0</v>
      </c>
      <c r="S42" s="192">
        <v>0.0</v>
      </c>
      <c r="T42" s="192">
        <v>0.0</v>
      </c>
      <c r="U42" s="192">
        <v>0.0</v>
      </c>
      <c r="V42" s="192">
        <v>0.0</v>
      </c>
      <c r="W42" s="192">
        <v>0.0</v>
      </c>
      <c r="X42" s="191">
        <v>0.0</v>
      </c>
      <c r="Y42" s="192">
        <v>0.0</v>
      </c>
      <c r="Z42" s="192">
        <v>0.0</v>
      </c>
      <c r="AA42" s="192">
        <v>0.0</v>
      </c>
      <c r="AB42" s="192">
        <v>0.0</v>
      </c>
      <c r="AC42" s="192">
        <v>0.0</v>
      </c>
      <c r="AD42" s="192">
        <v>0.0</v>
      </c>
      <c r="AE42" s="192">
        <v>0.0</v>
      </c>
      <c r="AF42" s="192">
        <v>0.0</v>
      </c>
      <c r="AG42" s="192">
        <v>60.0</v>
      </c>
      <c r="AH42" s="192">
        <v>15.0</v>
      </c>
      <c r="AI42" s="192">
        <v>0.0</v>
      </c>
      <c r="AJ42" s="192">
        <v>0.0</v>
      </c>
      <c r="AK42" s="192">
        <v>0.0</v>
      </c>
      <c r="AL42" s="192">
        <v>0.0</v>
      </c>
      <c r="AM42" s="192">
        <v>0.0</v>
      </c>
      <c r="AN42" s="192">
        <v>0.0</v>
      </c>
      <c r="AO42" s="192">
        <v>0.0</v>
      </c>
      <c r="AP42" s="192">
        <v>0.0</v>
      </c>
      <c r="AQ42" s="192">
        <v>0.0</v>
      </c>
    </row>
    <row r="43" ht="15.75" customHeight="1">
      <c r="A43" s="189">
        <f t="shared" si="1"/>
        <v>29</v>
      </c>
      <c r="B43" s="189">
        <v>190.0</v>
      </c>
      <c r="C43" s="190">
        <f t="shared" si="2"/>
        <v>3287</v>
      </c>
      <c r="D43" s="191">
        <v>0.0</v>
      </c>
      <c r="E43" s="192">
        <v>0.0</v>
      </c>
      <c r="F43" s="192">
        <v>0.0</v>
      </c>
      <c r="G43" s="192">
        <v>0.0</v>
      </c>
      <c r="H43" s="192">
        <v>0.0</v>
      </c>
      <c r="I43" s="192">
        <v>0.0</v>
      </c>
      <c r="J43" s="192">
        <v>0.0</v>
      </c>
      <c r="K43" s="192">
        <v>1.0</v>
      </c>
      <c r="L43" s="192">
        <v>0.0</v>
      </c>
      <c r="M43" s="192">
        <v>0.0</v>
      </c>
      <c r="N43" s="192">
        <v>0.0</v>
      </c>
      <c r="O43" s="192">
        <v>0.0</v>
      </c>
      <c r="P43" s="192">
        <v>0.0</v>
      </c>
      <c r="Q43" s="192">
        <v>0.0</v>
      </c>
      <c r="R43" s="192">
        <v>0.0</v>
      </c>
      <c r="S43" s="192">
        <v>0.0</v>
      </c>
      <c r="T43" s="192">
        <v>0.0</v>
      </c>
      <c r="U43" s="192">
        <v>0.0</v>
      </c>
      <c r="V43" s="192">
        <v>0.0</v>
      </c>
      <c r="W43" s="192">
        <v>0.0</v>
      </c>
      <c r="X43" s="191">
        <v>0.0</v>
      </c>
      <c r="Y43" s="192">
        <v>0.0</v>
      </c>
      <c r="Z43" s="192">
        <v>0.0</v>
      </c>
      <c r="AA43" s="192">
        <v>0.0</v>
      </c>
      <c r="AB43" s="192">
        <v>0.0</v>
      </c>
      <c r="AC43" s="192">
        <v>0.0</v>
      </c>
      <c r="AD43" s="192">
        <v>0.0</v>
      </c>
      <c r="AE43" s="192">
        <v>0.0</v>
      </c>
      <c r="AF43" s="192">
        <v>0.0</v>
      </c>
      <c r="AG43" s="192">
        <v>120.0</v>
      </c>
      <c r="AH43" s="192">
        <v>0.0</v>
      </c>
      <c r="AI43" s="192">
        <v>0.0</v>
      </c>
      <c r="AJ43" s="192">
        <v>15.0</v>
      </c>
      <c r="AK43" s="192">
        <v>0.0</v>
      </c>
      <c r="AL43" s="192">
        <v>0.0</v>
      </c>
      <c r="AM43" s="192">
        <v>0.0</v>
      </c>
      <c r="AN43" s="192">
        <v>0.0</v>
      </c>
      <c r="AO43" s="192">
        <v>0.0</v>
      </c>
      <c r="AP43" s="192">
        <v>0.0</v>
      </c>
      <c r="AQ43" s="192">
        <v>0.0</v>
      </c>
    </row>
    <row r="44" ht="15.75" customHeight="1">
      <c r="A44" s="189">
        <f t="shared" si="1"/>
        <v>30</v>
      </c>
      <c r="B44" s="189">
        <v>270.0</v>
      </c>
      <c r="C44" s="190">
        <f t="shared" si="2"/>
        <v>3557</v>
      </c>
      <c r="D44" s="191">
        <v>40.0</v>
      </c>
      <c r="E44" s="192">
        <v>0.0</v>
      </c>
      <c r="F44" s="192">
        <v>0.0</v>
      </c>
      <c r="G44" s="192">
        <v>0.0</v>
      </c>
      <c r="H44" s="192">
        <v>0.0</v>
      </c>
      <c r="I44" s="192">
        <v>0.0</v>
      </c>
      <c r="J44" s="192">
        <v>0.0</v>
      </c>
      <c r="K44" s="192">
        <v>0.0</v>
      </c>
      <c r="L44" s="192">
        <v>0.0</v>
      </c>
      <c r="M44" s="192">
        <v>0.0</v>
      </c>
      <c r="N44" s="192">
        <v>0.0</v>
      </c>
      <c r="O44" s="192">
        <v>0.0</v>
      </c>
      <c r="P44" s="192">
        <v>0.0</v>
      </c>
      <c r="Q44" s="192">
        <v>0.0</v>
      </c>
      <c r="R44" s="192">
        <v>0.0</v>
      </c>
      <c r="S44" s="192">
        <v>0.0</v>
      </c>
      <c r="T44" s="192">
        <v>0.0</v>
      </c>
      <c r="U44" s="192">
        <v>0.0</v>
      </c>
      <c r="V44" s="192">
        <v>0.0</v>
      </c>
      <c r="W44" s="192">
        <v>0.0</v>
      </c>
      <c r="X44" s="191">
        <v>100.0</v>
      </c>
      <c r="Y44" s="192">
        <v>0.0</v>
      </c>
      <c r="Z44" s="192">
        <v>0.0</v>
      </c>
      <c r="AA44" s="192">
        <v>0.0</v>
      </c>
      <c r="AB44" s="192">
        <v>0.0</v>
      </c>
      <c r="AC44" s="192">
        <v>0.0</v>
      </c>
      <c r="AD44" s="192">
        <v>0.0</v>
      </c>
      <c r="AE44" s="192">
        <v>0.0</v>
      </c>
      <c r="AF44" s="192">
        <v>1.0</v>
      </c>
      <c r="AG44" s="192">
        <v>0.0</v>
      </c>
      <c r="AH44" s="192">
        <v>0.0</v>
      </c>
      <c r="AI44" s="192">
        <v>0.0</v>
      </c>
      <c r="AJ44" s="192">
        <v>0.0</v>
      </c>
      <c r="AK44" s="192">
        <v>1.0</v>
      </c>
      <c r="AL44" s="192">
        <v>0.0</v>
      </c>
      <c r="AM44" s="192">
        <v>0.0</v>
      </c>
      <c r="AN44" s="192">
        <v>0.0</v>
      </c>
      <c r="AO44" s="192">
        <v>0.0</v>
      </c>
      <c r="AP44" s="192">
        <v>0.0</v>
      </c>
      <c r="AQ44" s="192">
        <v>0.0</v>
      </c>
    </row>
    <row r="45" ht="15.75" customHeight="1">
      <c r="A45" s="213" t="s">
        <v>129</v>
      </c>
      <c r="B45" s="214">
        <f>SUM(B15:B44)</f>
        <v>3557</v>
      </c>
      <c r="C45" s="215" t="s">
        <v>130</v>
      </c>
      <c r="D45" s="216">
        <v>130.0</v>
      </c>
      <c r="E45" s="214">
        <v>0.0</v>
      </c>
      <c r="F45" s="214">
        <v>0.0</v>
      </c>
      <c r="G45" s="214">
        <v>4.0</v>
      </c>
      <c r="H45" s="214">
        <v>5.0</v>
      </c>
      <c r="I45" s="214">
        <v>2.0</v>
      </c>
      <c r="J45" s="214">
        <v>1.0</v>
      </c>
      <c r="K45" s="214">
        <v>2.0</v>
      </c>
      <c r="L45" s="214">
        <v>0.0</v>
      </c>
      <c r="M45" s="214">
        <v>165.0</v>
      </c>
      <c r="N45" s="214">
        <v>35.0</v>
      </c>
      <c r="O45" s="214">
        <v>15.0</v>
      </c>
      <c r="P45" s="214">
        <v>0.0</v>
      </c>
      <c r="Q45" s="214">
        <v>0.0</v>
      </c>
      <c r="R45" s="214">
        <v>0.0</v>
      </c>
      <c r="S45" s="214">
        <v>0.0</v>
      </c>
      <c r="T45" s="214">
        <v>0.0</v>
      </c>
      <c r="U45" s="214">
        <v>0.0</v>
      </c>
      <c r="V45" s="214">
        <v>0.0</v>
      </c>
      <c r="W45" s="215">
        <v>0.0</v>
      </c>
      <c r="X45" s="216">
        <v>300.0</v>
      </c>
      <c r="Y45" s="214">
        <v>0.0</v>
      </c>
      <c r="Z45" s="214">
        <v>0.0</v>
      </c>
      <c r="AA45" s="214">
        <v>4.0</v>
      </c>
      <c r="AB45" s="214">
        <v>3.0</v>
      </c>
      <c r="AC45" s="214">
        <v>5.0</v>
      </c>
      <c r="AD45" s="214">
        <v>4.0</v>
      </c>
      <c r="AE45" s="214">
        <v>4.0</v>
      </c>
      <c r="AF45" s="214">
        <v>4.0</v>
      </c>
      <c r="AG45" s="214">
        <v>600.0</v>
      </c>
      <c r="AH45" s="214">
        <v>50.0</v>
      </c>
      <c r="AI45" s="214">
        <v>65.0</v>
      </c>
      <c r="AJ45" s="214">
        <v>35.0</v>
      </c>
      <c r="AK45" s="214">
        <v>1.0</v>
      </c>
      <c r="AL45" s="214">
        <v>0.0</v>
      </c>
      <c r="AM45" s="214">
        <v>0.0</v>
      </c>
      <c r="AN45" s="214">
        <v>0.0</v>
      </c>
      <c r="AO45" s="214">
        <v>0.0</v>
      </c>
      <c r="AP45" s="214">
        <v>0.0</v>
      </c>
      <c r="AQ45" s="214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S1:AT1 A2:A9 B2:B6 C4:C6">
    <cfRule type="expression" dxfId="3" priority="1">
      <formula>ISFORMULA(AS1)</formula>
    </cfRule>
  </conditionalFormatting>
  <conditionalFormatting sqref="D15:AQ44">
    <cfRule type="cellIs" dxfId="4" priority="2" operator="greaterThan">
      <formula>0</formula>
    </cfRule>
  </conditionalFormatting>
  <conditionalFormatting sqref="A15:AQ44">
    <cfRule type="expression" dxfId="5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2" t="s">
        <v>131</v>
      </c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</row>
    <row r="2">
      <c r="A2" s="198" t="s">
        <v>106</v>
      </c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</row>
    <row r="3">
      <c r="A3" s="200" t="s">
        <v>132</v>
      </c>
      <c r="B3" s="201">
        <v>50.0</v>
      </c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</row>
    <row r="4">
      <c r="A4" s="197"/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</row>
    <row r="5">
      <c r="A5" s="198" t="s">
        <v>133</v>
      </c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</row>
    <row r="6">
      <c r="A6" s="202" t="s">
        <v>134</v>
      </c>
      <c r="B6" s="203" t="s">
        <v>76</v>
      </c>
      <c r="C6" s="204" t="s">
        <v>46</v>
      </c>
      <c r="D6" s="204" t="s">
        <v>121</v>
      </c>
      <c r="E6" s="204" t="s">
        <v>47</v>
      </c>
      <c r="F6" s="204" t="s">
        <v>48</v>
      </c>
      <c r="G6" s="204" t="s">
        <v>50</v>
      </c>
      <c r="H6" s="204" t="s">
        <v>52</v>
      </c>
      <c r="I6" s="204" t="s">
        <v>53</v>
      </c>
      <c r="J6" s="204" t="s">
        <v>54</v>
      </c>
      <c r="K6" s="204" t="s">
        <v>55</v>
      </c>
      <c r="L6" s="204" t="s">
        <v>56</v>
      </c>
      <c r="M6" s="204" t="s">
        <v>57</v>
      </c>
      <c r="N6" s="204" t="s">
        <v>58</v>
      </c>
      <c r="O6" s="204" t="s">
        <v>135</v>
      </c>
      <c r="P6" s="204" t="s">
        <v>122</v>
      </c>
      <c r="Q6" s="204" t="s">
        <v>123</v>
      </c>
      <c r="R6" s="204" t="s">
        <v>124</v>
      </c>
      <c r="S6" s="204" t="s">
        <v>125</v>
      </c>
      <c r="T6" s="204" t="s">
        <v>126</v>
      </c>
      <c r="U6" s="204" t="s">
        <v>127</v>
      </c>
      <c r="V6" s="204" t="s">
        <v>128</v>
      </c>
    </row>
    <row r="7">
      <c r="A7" s="205" t="s">
        <v>136</v>
      </c>
      <c r="B7" s="206">
        <v>500.0</v>
      </c>
      <c r="C7" s="207">
        <v>0.0</v>
      </c>
      <c r="D7" s="207">
        <v>0.0</v>
      </c>
      <c r="E7" s="207">
        <v>0.0</v>
      </c>
      <c r="F7" s="207">
        <v>0.0</v>
      </c>
      <c r="G7" s="208">
        <v>1.0</v>
      </c>
      <c r="H7" s="207">
        <v>0.0</v>
      </c>
      <c r="I7" s="207">
        <v>0.0</v>
      </c>
      <c r="J7" s="207">
        <v>0.0</v>
      </c>
      <c r="K7" s="207">
        <v>0.0</v>
      </c>
      <c r="L7" s="207">
        <v>0.0</v>
      </c>
      <c r="M7" s="207">
        <v>0.0</v>
      </c>
      <c r="N7" s="207">
        <v>0.0</v>
      </c>
      <c r="O7" s="207">
        <v>0.0</v>
      </c>
      <c r="P7" s="208">
        <v>1.0</v>
      </c>
      <c r="Q7" s="207">
        <v>0.0</v>
      </c>
      <c r="R7" s="207">
        <v>0.0</v>
      </c>
      <c r="S7" s="207">
        <v>0.0</v>
      </c>
      <c r="T7" s="207">
        <v>0.0</v>
      </c>
      <c r="U7" s="207">
        <v>0.0</v>
      </c>
      <c r="V7" s="207">
        <v>0.0</v>
      </c>
    </row>
    <row r="8">
      <c r="A8" s="209" t="s">
        <v>137</v>
      </c>
      <c r="B8" s="206">
        <v>300.0</v>
      </c>
      <c r="C8" s="210">
        <v>0.0</v>
      </c>
      <c r="D8" s="210">
        <v>0.0</v>
      </c>
      <c r="E8" s="210">
        <v>0.0</v>
      </c>
      <c r="F8" s="210">
        <v>0.0</v>
      </c>
      <c r="G8" s="210">
        <v>0.0</v>
      </c>
      <c r="H8" s="210">
        <v>0.0</v>
      </c>
      <c r="I8" s="208">
        <v>1.0</v>
      </c>
      <c r="J8" s="210">
        <v>0.0</v>
      </c>
      <c r="K8" s="210">
        <v>0.0</v>
      </c>
      <c r="L8" s="210">
        <v>0.0</v>
      </c>
      <c r="M8" s="210">
        <v>0.0</v>
      </c>
      <c r="N8" s="210">
        <v>0.0</v>
      </c>
      <c r="O8" s="210">
        <v>0.0</v>
      </c>
      <c r="P8" s="210">
        <v>0.0</v>
      </c>
      <c r="Q8" s="210">
        <v>0.0</v>
      </c>
      <c r="R8" s="210">
        <v>0.0</v>
      </c>
      <c r="S8" s="210">
        <v>0.0</v>
      </c>
      <c r="T8" s="210">
        <v>0.0</v>
      </c>
      <c r="U8" s="210">
        <v>0.0</v>
      </c>
      <c r="V8" s="210">
        <v>0.0</v>
      </c>
    </row>
    <row r="9">
      <c r="A9" s="205" t="s">
        <v>138</v>
      </c>
      <c r="B9" s="206">
        <v>200.0</v>
      </c>
      <c r="C9" s="207">
        <v>0.0</v>
      </c>
      <c r="D9" s="207">
        <v>0.0</v>
      </c>
      <c r="E9" s="207">
        <v>0.0</v>
      </c>
      <c r="F9" s="207">
        <v>0.0</v>
      </c>
      <c r="G9" s="207">
        <v>0.0</v>
      </c>
      <c r="H9" s="207">
        <v>0.0</v>
      </c>
      <c r="I9" s="208">
        <v>1.0</v>
      </c>
      <c r="J9" s="207">
        <v>0.0</v>
      </c>
      <c r="K9" s="207">
        <v>0.0</v>
      </c>
      <c r="L9" s="207">
        <v>0.0</v>
      </c>
      <c r="M9" s="207">
        <v>0.0</v>
      </c>
      <c r="N9" s="207">
        <v>0.0</v>
      </c>
      <c r="O9" s="207">
        <v>0.0</v>
      </c>
      <c r="P9" s="207">
        <v>0.0</v>
      </c>
      <c r="Q9" s="207">
        <v>0.0</v>
      </c>
      <c r="R9" s="207">
        <v>0.0</v>
      </c>
      <c r="S9" s="207">
        <v>0.0</v>
      </c>
      <c r="T9" s="207">
        <v>0.0</v>
      </c>
      <c r="U9" s="207">
        <v>0.0</v>
      </c>
      <c r="V9" s="207">
        <v>0.0</v>
      </c>
    </row>
    <row r="10">
      <c r="A10" s="209" t="s">
        <v>139</v>
      </c>
      <c r="B10" s="206">
        <v>175.0</v>
      </c>
      <c r="C10" s="210">
        <v>0.0</v>
      </c>
      <c r="D10" s="210">
        <v>0.0</v>
      </c>
      <c r="E10" s="210">
        <v>0.0</v>
      </c>
      <c r="F10" s="210">
        <v>0.0</v>
      </c>
      <c r="G10" s="210">
        <v>0.0</v>
      </c>
      <c r="H10" s="210">
        <v>0.0</v>
      </c>
      <c r="I10" s="208">
        <v>1.0</v>
      </c>
      <c r="J10" s="210">
        <v>0.0</v>
      </c>
      <c r="K10" s="210">
        <v>0.0</v>
      </c>
      <c r="L10" s="210">
        <v>0.0</v>
      </c>
      <c r="M10" s="210">
        <v>0.0</v>
      </c>
      <c r="N10" s="210">
        <v>0.0</v>
      </c>
      <c r="O10" s="210">
        <v>0.0</v>
      </c>
      <c r="P10" s="210">
        <v>0.0</v>
      </c>
      <c r="Q10" s="210">
        <v>0.0</v>
      </c>
      <c r="R10" s="210">
        <v>0.0</v>
      </c>
      <c r="S10" s="210">
        <v>0.0</v>
      </c>
      <c r="T10" s="210">
        <v>0.0</v>
      </c>
      <c r="U10" s="210">
        <v>0.0</v>
      </c>
      <c r="V10" s="210">
        <v>0.0</v>
      </c>
    </row>
    <row r="11">
      <c r="A11" s="205" t="s">
        <v>140</v>
      </c>
      <c r="B11" s="206">
        <v>150.0</v>
      </c>
      <c r="C11" s="207">
        <v>0.0</v>
      </c>
      <c r="D11" s="207">
        <v>0.0</v>
      </c>
      <c r="E11" s="207">
        <v>0.0</v>
      </c>
      <c r="F11" s="207">
        <v>0.0</v>
      </c>
      <c r="G11" s="207">
        <v>0.0</v>
      </c>
      <c r="H11" s="207">
        <v>0.0</v>
      </c>
      <c r="I11" s="208">
        <v>1.0</v>
      </c>
      <c r="J11" s="207">
        <v>0.0</v>
      </c>
      <c r="K11" s="207">
        <v>0.0</v>
      </c>
      <c r="L11" s="207">
        <v>0.0</v>
      </c>
      <c r="M11" s="207">
        <v>0.0</v>
      </c>
      <c r="N11" s="207">
        <v>0.0</v>
      </c>
      <c r="O11" s="207">
        <v>0.0</v>
      </c>
      <c r="P11" s="207">
        <v>0.0</v>
      </c>
      <c r="Q11" s="207">
        <v>0.0</v>
      </c>
      <c r="R11" s="207">
        <v>0.0</v>
      </c>
      <c r="S11" s="207">
        <v>0.0</v>
      </c>
      <c r="T11" s="207">
        <v>0.0</v>
      </c>
      <c r="U11" s="207">
        <v>0.0</v>
      </c>
      <c r="V11" s="207">
        <v>0.0</v>
      </c>
    </row>
    <row r="12">
      <c r="A12" s="209" t="s">
        <v>141</v>
      </c>
      <c r="B12" s="206">
        <v>125.0</v>
      </c>
      <c r="C12" s="210">
        <v>0.0</v>
      </c>
      <c r="D12" s="210">
        <v>0.0</v>
      </c>
      <c r="E12" s="210">
        <v>0.0</v>
      </c>
      <c r="F12" s="210">
        <v>0.0</v>
      </c>
      <c r="G12" s="210">
        <v>0.0</v>
      </c>
      <c r="H12" s="210">
        <v>0.0</v>
      </c>
      <c r="I12" s="208">
        <v>1.0</v>
      </c>
      <c r="J12" s="210">
        <v>0.0</v>
      </c>
      <c r="K12" s="210">
        <v>0.0</v>
      </c>
      <c r="L12" s="210">
        <v>0.0</v>
      </c>
      <c r="M12" s="210">
        <v>0.0</v>
      </c>
      <c r="N12" s="210">
        <v>0.0</v>
      </c>
      <c r="O12" s="210">
        <v>0.0</v>
      </c>
      <c r="P12" s="210">
        <v>0.0</v>
      </c>
      <c r="Q12" s="210">
        <v>0.0</v>
      </c>
      <c r="R12" s="210">
        <v>0.0</v>
      </c>
      <c r="S12" s="210">
        <v>0.0</v>
      </c>
      <c r="T12" s="210">
        <v>0.0</v>
      </c>
      <c r="U12" s="210">
        <v>0.0</v>
      </c>
      <c r="V12" s="210">
        <v>0.0</v>
      </c>
    </row>
    <row r="13">
      <c r="A13" s="205" t="s">
        <v>142</v>
      </c>
      <c r="B13" s="206">
        <v>100.0</v>
      </c>
      <c r="C13" s="207">
        <v>0.0</v>
      </c>
      <c r="D13" s="207">
        <v>0.0</v>
      </c>
      <c r="E13" s="207">
        <v>0.0</v>
      </c>
      <c r="F13" s="207">
        <v>0.0</v>
      </c>
      <c r="G13" s="207">
        <v>0.0</v>
      </c>
      <c r="H13" s="207">
        <v>0.0</v>
      </c>
      <c r="I13" s="208">
        <v>1.0</v>
      </c>
      <c r="J13" s="207">
        <v>0.0</v>
      </c>
      <c r="K13" s="207">
        <v>0.0</v>
      </c>
      <c r="L13" s="207">
        <v>0.0</v>
      </c>
      <c r="M13" s="207">
        <v>0.0</v>
      </c>
      <c r="N13" s="207">
        <v>0.0</v>
      </c>
      <c r="O13" s="207">
        <v>0.0</v>
      </c>
      <c r="P13" s="207">
        <v>0.0</v>
      </c>
      <c r="Q13" s="207">
        <v>0.0</v>
      </c>
      <c r="R13" s="207">
        <v>0.0</v>
      </c>
      <c r="S13" s="207">
        <v>0.0</v>
      </c>
      <c r="T13" s="207">
        <v>0.0</v>
      </c>
      <c r="U13" s="207">
        <v>0.0</v>
      </c>
      <c r="V13" s="207">
        <v>0.0</v>
      </c>
    </row>
    <row r="14">
      <c r="A14" s="209" t="s">
        <v>143</v>
      </c>
      <c r="B14" s="206">
        <v>75.0</v>
      </c>
      <c r="C14" s="210">
        <v>0.0</v>
      </c>
      <c r="D14" s="210">
        <v>0.0</v>
      </c>
      <c r="E14" s="210">
        <v>0.0</v>
      </c>
      <c r="F14" s="210">
        <v>0.0</v>
      </c>
      <c r="G14" s="210">
        <v>0.0</v>
      </c>
      <c r="H14" s="210">
        <v>0.0</v>
      </c>
      <c r="I14" s="208">
        <v>1.0</v>
      </c>
      <c r="J14" s="210">
        <v>0.0</v>
      </c>
      <c r="K14" s="210">
        <v>0.0</v>
      </c>
      <c r="L14" s="210">
        <v>0.0</v>
      </c>
      <c r="M14" s="210">
        <v>0.0</v>
      </c>
      <c r="N14" s="210">
        <v>0.0</v>
      </c>
      <c r="O14" s="210">
        <v>0.0</v>
      </c>
      <c r="P14" s="210">
        <v>0.0</v>
      </c>
      <c r="Q14" s="210">
        <v>0.0</v>
      </c>
      <c r="R14" s="210">
        <v>0.0</v>
      </c>
      <c r="S14" s="210">
        <v>0.0</v>
      </c>
      <c r="T14" s="210">
        <v>0.0</v>
      </c>
      <c r="U14" s="210">
        <v>0.0</v>
      </c>
      <c r="V14" s="210">
        <v>0.0</v>
      </c>
    </row>
    <row r="15">
      <c r="A15" s="205" t="s">
        <v>144</v>
      </c>
      <c r="B15" s="206">
        <v>50.0</v>
      </c>
      <c r="C15" s="207">
        <v>0.0</v>
      </c>
      <c r="D15" s="207">
        <v>0.0</v>
      </c>
      <c r="E15" s="207">
        <v>0.0</v>
      </c>
      <c r="F15" s="207">
        <v>0.0</v>
      </c>
      <c r="G15" s="207">
        <v>0.0</v>
      </c>
      <c r="H15" s="207">
        <v>0.0</v>
      </c>
      <c r="I15" s="208">
        <v>1.0</v>
      </c>
      <c r="J15" s="207">
        <v>0.0</v>
      </c>
      <c r="K15" s="207">
        <v>0.0</v>
      </c>
      <c r="L15" s="207">
        <v>0.0</v>
      </c>
      <c r="M15" s="207">
        <v>0.0</v>
      </c>
      <c r="N15" s="207">
        <v>0.0</v>
      </c>
      <c r="O15" s="207">
        <v>0.0</v>
      </c>
      <c r="P15" s="207">
        <v>0.0</v>
      </c>
      <c r="Q15" s="207">
        <v>0.0</v>
      </c>
      <c r="R15" s="207">
        <v>0.0</v>
      </c>
      <c r="S15" s="207">
        <v>0.0</v>
      </c>
      <c r="T15" s="207">
        <v>0.0</v>
      </c>
      <c r="U15" s="207">
        <v>0.0</v>
      </c>
      <c r="V15" s="207">
        <v>0.0</v>
      </c>
    </row>
    <row r="16">
      <c r="A16" s="209" t="s">
        <v>145</v>
      </c>
      <c r="B16" s="206">
        <v>25.0</v>
      </c>
      <c r="C16" s="210">
        <v>0.0</v>
      </c>
      <c r="D16" s="210">
        <v>0.0</v>
      </c>
      <c r="E16" s="210">
        <v>0.0</v>
      </c>
      <c r="F16" s="210">
        <v>0.0</v>
      </c>
      <c r="G16" s="210">
        <v>0.0</v>
      </c>
      <c r="H16" s="210">
        <v>0.0</v>
      </c>
      <c r="I16" s="208">
        <v>1.0</v>
      </c>
      <c r="J16" s="210">
        <v>0.0</v>
      </c>
      <c r="K16" s="210">
        <v>0.0</v>
      </c>
      <c r="L16" s="210">
        <v>0.0</v>
      </c>
      <c r="M16" s="210">
        <v>0.0</v>
      </c>
      <c r="N16" s="210">
        <v>0.0</v>
      </c>
      <c r="O16" s="210">
        <v>0.0</v>
      </c>
      <c r="P16" s="210">
        <v>0.0</v>
      </c>
      <c r="Q16" s="210">
        <v>0.0</v>
      </c>
      <c r="R16" s="210">
        <v>0.0</v>
      </c>
      <c r="S16" s="210">
        <v>0.0</v>
      </c>
      <c r="T16" s="210">
        <v>0.0</v>
      </c>
      <c r="U16" s="210">
        <v>0.0</v>
      </c>
      <c r="V16" s="210">
        <v>0.0</v>
      </c>
    </row>
    <row r="17">
      <c r="A17" s="205" t="s">
        <v>146</v>
      </c>
      <c r="B17" s="211">
        <v>0.0</v>
      </c>
      <c r="C17" s="207">
        <v>0.0</v>
      </c>
      <c r="D17" s="207">
        <v>0.0</v>
      </c>
      <c r="E17" s="207">
        <v>0.0</v>
      </c>
      <c r="F17" s="207">
        <v>0.0</v>
      </c>
      <c r="G17" s="207">
        <v>0.0</v>
      </c>
      <c r="H17" s="207">
        <v>1.0</v>
      </c>
      <c r="I17" s="207">
        <v>0.0</v>
      </c>
      <c r="J17" s="207">
        <v>0.0</v>
      </c>
      <c r="K17" s="207">
        <v>0.0</v>
      </c>
      <c r="L17" s="207">
        <v>0.0</v>
      </c>
      <c r="M17" s="207">
        <v>0.0</v>
      </c>
      <c r="N17" s="207">
        <v>0.0</v>
      </c>
      <c r="O17" s="207">
        <v>0.0</v>
      </c>
      <c r="P17" s="207">
        <v>0.0</v>
      </c>
      <c r="Q17" s="207">
        <v>0.0</v>
      </c>
      <c r="R17" s="207">
        <v>0.0</v>
      </c>
      <c r="S17" s="207">
        <v>0.0</v>
      </c>
      <c r="T17" s="207">
        <v>0.0</v>
      </c>
      <c r="U17" s="207">
        <v>0.0</v>
      </c>
      <c r="V17" s="207">
        <v>0.0</v>
      </c>
    </row>
    <row r="18">
      <c r="A18" s="209" t="s">
        <v>147</v>
      </c>
      <c r="B18" s="212">
        <v>0.0</v>
      </c>
      <c r="C18" s="210">
        <v>0.0</v>
      </c>
      <c r="D18" s="210">
        <v>0.0</v>
      </c>
      <c r="E18" s="210">
        <v>0.0</v>
      </c>
      <c r="F18" s="210">
        <v>0.0</v>
      </c>
      <c r="G18" s="210">
        <v>0.0</v>
      </c>
      <c r="H18" s="208">
        <v>1.0</v>
      </c>
      <c r="I18" s="210">
        <v>0.0</v>
      </c>
      <c r="J18" s="210">
        <v>0.0</v>
      </c>
      <c r="K18" s="210">
        <v>0.0</v>
      </c>
      <c r="L18" s="210">
        <v>0.0</v>
      </c>
      <c r="M18" s="210">
        <v>0.0</v>
      </c>
      <c r="N18" s="210">
        <v>0.0</v>
      </c>
      <c r="O18" s="210">
        <v>0.0</v>
      </c>
      <c r="P18" s="210">
        <v>0.0</v>
      </c>
      <c r="Q18" s="210">
        <v>0.0</v>
      </c>
      <c r="R18" s="210">
        <v>0.0</v>
      </c>
      <c r="S18" s="210">
        <v>0.0</v>
      </c>
      <c r="T18" s="210">
        <v>0.0</v>
      </c>
      <c r="U18" s="210">
        <v>0.0</v>
      </c>
      <c r="V18" s="210">
        <v>0.0</v>
      </c>
    </row>
    <row r="19">
      <c r="A19" s="205" t="s">
        <v>148</v>
      </c>
      <c r="B19" s="211">
        <v>0.0</v>
      </c>
      <c r="C19" s="207">
        <v>0.0</v>
      </c>
      <c r="D19" s="207">
        <v>0.0</v>
      </c>
      <c r="E19" s="207">
        <v>0.0</v>
      </c>
      <c r="F19" s="207">
        <v>0.0</v>
      </c>
      <c r="G19" s="207">
        <v>0.0</v>
      </c>
      <c r="H19" s="208">
        <v>1.0</v>
      </c>
      <c r="I19" s="207">
        <v>0.0</v>
      </c>
      <c r="J19" s="207">
        <v>0.0</v>
      </c>
      <c r="K19" s="207">
        <v>0.0</v>
      </c>
      <c r="L19" s="207">
        <v>0.0</v>
      </c>
      <c r="M19" s="207">
        <v>0.0</v>
      </c>
      <c r="N19" s="207">
        <v>0.0</v>
      </c>
      <c r="O19" s="207">
        <v>0.0</v>
      </c>
      <c r="P19" s="207">
        <v>0.0</v>
      </c>
      <c r="Q19" s="207">
        <v>0.0</v>
      </c>
      <c r="R19" s="207">
        <v>0.0</v>
      </c>
      <c r="S19" s="207">
        <v>0.0</v>
      </c>
      <c r="T19" s="207">
        <v>0.0</v>
      </c>
      <c r="U19" s="207">
        <v>0.0</v>
      </c>
      <c r="V19" s="207">
        <v>0.0</v>
      </c>
    </row>
    <row r="20">
      <c r="A20" s="209" t="s">
        <v>149</v>
      </c>
      <c r="B20" s="212">
        <v>0.0</v>
      </c>
      <c r="C20" s="210">
        <v>0.0</v>
      </c>
      <c r="D20" s="210">
        <v>0.0</v>
      </c>
      <c r="E20" s="210">
        <v>0.0</v>
      </c>
      <c r="F20" s="210">
        <v>0.0</v>
      </c>
      <c r="G20" s="210">
        <v>0.0</v>
      </c>
      <c r="H20" s="208">
        <v>1.0</v>
      </c>
      <c r="I20" s="210">
        <v>0.0</v>
      </c>
      <c r="J20" s="210">
        <v>0.0</v>
      </c>
      <c r="K20" s="210">
        <v>0.0</v>
      </c>
      <c r="L20" s="210">
        <v>0.0</v>
      </c>
      <c r="M20" s="210">
        <v>0.0</v>
      </c>
      <c r="N20" s="210">
        <v>0.0</v>
      </c>
      <c r="O20" s="210">
        <v>0.0</v>
      </c>
      <c r="P20" s="210">
        <v>0.0</v>
      </c>
      <c r="Q20" s="210">
        <v>0.0</v>
      </c>
      <c r="R20" s="210">
        <v>0.0</v>
      </c>
      <c r="S20" s="210">
        <v>0.0</v>
      </c>
      <c r="T20" s="210">
        <v>0.0</v>
      </c>
      <c r="U20" s="210">
        <v>0.0</v>
      </c>
      <c r="V20" s="210">
        <v>0.0</v>
      </c>
    </row>
    <row r="21">
      <c r="A21" s="205" t="s">
        <v>150</v>
      </c>
      <c r="B21" s="211">
        <v>0.0</v>
      </c>
      <c r="C21" s="207">
        <v>0.0</v>
      </c>
      <c r="D21" s="207">
        <v>0.0</v>
      </c>
      <c r="E21" s="207">
        <v>0.0</v>
      </c>
      <c r="F21" s="207">
        <v>0.0</v>
      </c>
      <c r="G21" s="207">
        <v>0.0</v>
      </c>
      <c r="H21" s="208">
        <v>1.0</v>
      </c>
      <c r="I21" s="207">
        <v>0.0</v>
      </c>
      <c r="J21" s="207">
        <v>0.0</v>
      </c>
      <c r="K21" s="207">
        <v>0.0</v>
      </c>
      <c r="L21" s="207">
        <v>0.0</v>
      </c>
      <c r="M21" s="207">
        <v>0.0</v>
      </c>
      <c r="N21" s="207">
        <v>0.0</v>
      </c>
      <c r="O21" s="207">
        <v>0.0</v>
      </c>
      <c r="P21" s="207">
        <v>0.0</v>
      </c>
      <c r="Q21" s="207">
        <v>0.0</v>
      </c>
      <c r="R21" s="207">
        <v>0.0</v>
      </c>
      <c r="S21" s="207">
        <v>0.0</v>
      </c>
      <c r="T21" s="207">
        <v>0.0</v>
      </c>
      <c r="U21" s="207">
        <v>0.0</v>
      </c>
      <c r="V21" s="207">
        <v>0.0</v>
      </c>
    </row>
  </sheetData>
  <mergeCells count="3">
    <mergeCell ref="A1:F1"/>
    <mergeCell ref="A2:B2"/>
    <mergeCell ref="A5:D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2" t="s">
        <v>131</v>
      </c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</row>
    <row r="2">
      <c r="A2" s="198" t="s">
        <v>106</v>
      </c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</row>
    <row r="3">
      <c r="A3" s="200" t="s">
        <v>132</v>
      </c>
      <c r="B3" s="201">
        <v>50.0</v>
      </c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</row>
    <row r="4">
      <c r="A4" s="197"/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</row>
    <row r="5">
      <c r="A5" s="198" t="s">
        <v>133</v>
      </c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</row>
    <row r="6">
      <c r="A6" s="202" t="s">
        <v>134</v>
      </c>
      <c r="B6" s="203" t="s">
        <v>76</v>
      </c>
      <c r="C6" s="204" t="s">
        <v>46</v>
      </c>
      <c r="D6" s="204" t="s">
        <v>121</v>
      </c>
      <c r="E6" s="204" t="s">
        <v>47</v>
      </c>
      <c r="F6" s="204" t="s">
        <v>48</v>
      </c>
      <c r="G6" s="204" t="s">
        <v>50</v>
      </c>
      <c r="H6" s="204" t="s">
        <v>52</v>
      </c>
      <c r="I6" s="204" t="s">
        <v>53</v>
      </c>
      <c r="J6" s="204" t="s">
        <v>54</v>
      </c>
      <c r="K6" s="204" t="s">
        <v>55</v>
      </c>
      <c r="L6" s="204" t="s">
        <v>56</v>
      </c>
      <c r="M6" s="204" t="s">
        <v>57</v>
      </c>
      <c r="N6" s="204" t="s">
        <v>58</v>
      </c>
      <c r="O6" s="204" t="s">
        <v>135</v>
      </c>
      <c r="P6" s="204" t="s">
        <v>122</v>
      </c>
      <c r="Q6" s="204" t="s">
        <v>123</v>
      </c>
      <c r="R6" s="204" t="s">
        <v>124</v>
      </c>
      <c r="S6" s="204" t="s">
        <v>125</v>
      </c>
      <c r="T6" s="204" t="s">
        <v>126</v>
      </c>
      <c r="U6" s="204" t="s">
        <v>127</v>
      </c>
      <c r="V6" s="204" t="s">
        <v>128</v>
      </c>
    </row>
    <row r="7">
      <c r="A7" s="205" t="s">
        <v>136</v>
      </c>
      <c r="B7" s="206">
        <v>500.0</v>
      </c>
      <c r="C7" s="207">
        <v>0.0</v>
      </c>
      <c r="D7" s="207">
        <v>0.0</v>
      </c>
      <c r="E7" s="207">
        <v>0.0</v>
      </c>
      <c r="F7" s="207">
        <v>0.0</v>
      </c>
      <c r="G7" s="208">
        <v>1.0</v>
      </c>
      <c r="H7" s="207">
        <v>0.0</v>
      </c>
      <c r="I7" s="207">
        <v>0.0</v>
      </c>
      <c r="J7" s="207">
        <v>0.0</v>
      </c>
      <c r="K7" s="207">
        <v>0.0</v>
      </c>
      <c r="L7" s="207">
        <v>0.0</v>
      </c>
      <c r="M7" s="207">
        <v>0.0</v>
      </c>
      <c r="N7" s="207">
        <v>0.0</v>
      </c>
      <c r="O7" s="207">
        <v>0.0</v>
      </c>
      <c r="P7" s="208">
        <v>1.0</v>
      </c>
      <c r="Q7" s="207">
        <v>0.0</v>
      </c>
      <c r="R7" s="207">
        <v>0.0</v>
      </c>
      <c r="S7" s="207">
        <v>0.0</v>
      </c>
      <c r="T7" s="207">
        <v>0.0</v>
      </c>
      <c r="U7" s="207">
        <v>0.0</v>
      </c>
      <c r="V7" s="207">
        <v>0.0</v>
      </c>
    </row>
    <row r="8">
      <c r="A8" s="209" t="s">
        <v>137</v>
      </c>
      <c r="B8" s="206">
        <v>300.0</v>
      </c>
      <c r="C8" s="210">
        <v>0.0</v>
      </c>
      <c r="D8" s="210">
        <v>0.0</v>
      </c>
      <c r="E8" s="210">
        <v>0.0</v>
      </c>
      <c r="F8" s="210">
        <v>0.0</v>
      </c>
      <c r="G8" s="210">
        <v>0.0</v>
      </c>
      <c r="H8" s="210">
        <v>0.0</v>
      </c>
      <c r="I8" s="208">
        <v>1.0</v>
      </c>
      <c r="J8" s="210">
        <v>0.0</v>
      </c>
      <c r="K8" s="210">
        <v>0.0</v>
      </c>
      <c r="L8" s="210">
        <v>0.0</v>
      </c>
      <c r="M8" s="210">
        <v>0.0</v>
      </c>
      <c r="N8" s="210">
        <v>0.0</v>
      </c>
      <c r="O8" s="210">
        <v>0.0</v>
      </c>
      <c r="P8" s="210">
        <v>0.0</v>
      </c>
      <c r="Q8" s="210">
        <v>0.0</v>
      </c>
      <c r="R8" s="210">
        <v>0.0</v>
      </c>
      <c r="S8" s="210">
        <v>0.0</v>
      </c>
      <c r="T8" s="210">
        <v>0.0</v>
      </c>
      <c r="U8" s="210">
        <v>0.0</v>
      </c>
      <c r="V8" s="210">
        <v>0.0</v>
      </c>
    </row>
    <row r="9">
      <c r="A9" s="205" t="s">
        <v>138</v>
      </c>
      <c r="B9" s="206">
        <v>200.0</v>
      </c>
      <c r="C9" s="207">
        <v>0.0</v>
      </c>
      <c r="D9" s="207">
        <v>0.0</v>
      </c>
      <c r="E9" s="207">
        <v>0.0</v>
      </c>
      <c r="F9" s="207">
        <v>0.0</v>
      </c>
      <c r="G9" s="207">
        <v>0.0</v>
      </c>
      <c r="H9" s="207">
        <v>0.0</v>
      </c>
      <c r="I9" s="208">
        <v>1.0</v>
      </c>
      <c r="J9" s="207">
        <v>0.0</v>
      </c>
      <c r="K9" s="207">
        <v>0.0</v>
      </c>
      <c r="L9" s="207">
        <v>0.0</v>
      </c>
      <c r="M9" s="207">
        <v>0.0</v>
      </c>
      <c r="N9" s="207">
        <v>0.0</v>
      </c>
      <c r="O9" s="207">
        <v>0.0</v>
      </c>
      <c r="P9" s="207">
        <v>0.0</v>
      </c>
      <c r="Q9" s="207">
        <v>0.0</v>
      </c>
      <c r="R9" s="207">
        <v>0.0</v>
      </c>
      <c r="S9" s="207">
        <v>0.0</v>
      </c>
      <c r="T9" s="207">
        <v>0.0</v>
      </c>
      <c r="U9" s="207">
        <v>0.0</v>
      </c>
      <c r="V9" s="207">
        <v>0.0</v>
      </c>
    </row>
    <row r="10">
      <c r="A10" s="209" t="s">
        <v>139</v>
      </c>
      <c r="B10" s="206">
        <v>175.0</v>
      </c>
      <c r="C10" s="210">
        <v>0.0</v>
      </c>
      <c r="D10" s="210">
        <v>0.0</v>
      </c>
      <c r="E10" s="210">
        <v>0.0</v>
      </c>
      <c r="F10" s="210">
        <v>0.0</v>
      </c>
      <c r="G10" s="210">
        <v>0.0</v>
      </c>
      <c r="H10" s="210">
        <v>0.0</v>
      </c>
      <c r="I10" s="208">
        <v>1.0</v>
      </c>
      <c r="J10" s="210">
        <v>0.0</v>
      </c>
      <c r="K10" s="210">
        <v>0.0</v>
      </c>
      <c r="L10" s="210">
        <v>0.0</v>
      </c>
      <c r="M10" s="210">
        <v>0.0</v>
      </c>
      <c r="N10" s="210">
        <v>0.0</v>
      </c>
      <c r="O10" s="210">
        <v>0.0</v>
      </c>
      <c r="P10" s="210">
        <v>0.0</v>
      </c>
      <c r="Q10" s="210">
        <v>0.0</v>
      </c>
      <c r="R10" s="210">
        <v>0.0</v>
      </c>
      <c r="S10" s="210">
        <v>0.0</v>
      </c>
      <c r="T10" s="210">
        <v>0.0</v>
      </c>
      <c r="U10" s="210">
        <v>0.0</v>
      </c>
      <c r="V10" s="210">
        <v>0.0</v>
      </c>
    </row>
    <row r="11">
      <c r="A11" s="205" t="s">
        <v>140</v>
      </c>
      <c r="B11" s="206">
        <v>150.0</v>
      </c>
      <c r="C11" s="207">
        <v>0.0</v>
      </c>
      <c r="D11" s="207">
        <v>0.0</v>
      </c>
      <c r="E11" s="207">
        <v>0.0</v>
      </c>
      <c r="F11" s="207">
        <v>0.0</v>
      </c>
      <c r="G11" s="207">
        <v>0.0</v>
      </c>
      <c r="H11" s="207">
        <v>0.0</v>
      </c>
      <c r="I11" s="208">
        <v>1.0</v>
      </c>
      <c r="J11" s="207">
        <v>0.0</v>
      </c>
      <c r="K11" s="207">
        <v>0.0</v>
      </c>
      <c r="L11" s="207">
        <v>0.0</v>
      </c>
      <c r="M11" s="207">
        <v>0.0</v>
      </c>
      <c r="N11" s="207">
        <v>0.0</v>
      </c>
      <c r="O11" s="207">
        <v>0.0</v>
      </c>
      <c r="P11" s="207">
        <v>0.0</v>
      </c>
      <c r="Q11" s="207">
        <v>0.0</v>
      </c>
      <c r="R11" s="207">
        <v>0.0</v>
      </c>
      <c r="S11" s="207">
        <v>0.0</v>
      </c>
      <c r="T11" s="207">
        <v>0.0</v>
      </c>
      <c r="U11" s="207">
        <v>0.0</v>
      </c>
      <c r="V11" s="207">
        <v>0.0</v>
      </c>
    </row>
    <row r="12">
      <c r="A12" s="209" t="s">
        <v>141</v>
      </c>
      <c r="B12" s="206">
        <v>125.0</v>
      </c>
      <c r="C12" s="210">
        <v>0.0</v>
      </c>
      <c r="D12" s="210">
        <v>0.0</v>
      </c>
      <c r="E12" s="210">
        <v>0.0</v>
      </c>
      <c r="F12" s="210">
        <v>0.0</v>
      </c>
      <c r="G12" s="210">
        <v>0.0</v>
      </c>
      <c r="H12" s="210">
        <v>0.0</v>
      </c>
      <c r="I12" s="208">
        <v>1.0</v>
      </c>
      <c r="J12" s="210">
        <v>0.0</v>
      </c>
      <c r="K12" s="210">
        <v>0.0</v>
      </c>
      <c r="L12" s="210">
        <v>0.0</v>
      </c>
      <c r="M12" s="210">
        <v>0.0</v>
      </c>
      <c r="N12" s="210">
        <v>0.0</v>
      </c>
      <c r="O12" s="210">
        <v>0.0</v>
      </c>
      <c r="P12" s="210">
        <v>0.0</v>
      </c>
      <c r="Q12" s="210">
        <v>0.0</v>
      </c>
      <c r="R12" s="210">
        <v>0.0</v>
      </c>
      <c r="S12" s="210">
        <v>0.0</v>
      </c>
      <c r="T12" s="210">
        <v>0.0</v>
      </c>
      <c r="U12" s="210">
        <v>0.0</v>
      </c>
      <c r="V12" s="210">
        <v>0.0</v>
      </c>
    </row>
    <row r="13">
      <c r="A13" s="205" t="s">
        <v>142</v>
      </c>
      <c r="B13" s="206">
        <v>100.0</v>
      </c>
      <c r="C13" s="207">
        <v>0.0</v>
      </c>
      <c r="D13" s="207">
        <v>0.0</v>
      </c>
      <c r="E13" s="207">
        <v>0.0</v>
      </c>
      <c r="F13" s="207">
        <v>0.0</v>
      </c>
      <c r="G13" s="207">
        <v>0.0</v>
      </c>
      <c r="H13" s="207">
        <v>0.0</v>
      </c>
      <c r="I13" s="208">
        <v>1.0</v>
      </c>
      <c r="J13" s="207">
        <v>0.0</v>
      </c>
      <c r="K13" s="207">
        <v>0.0</v>
      </c>
      <c r="L13" s="207">
        <v>0.0</v>
      </c>
      <c r="M13" s="207">
        <v>0.0</v>
      </c>
      <c r="N13" s="207">
        <v>0.0</v>
      </c>
      <c r="O13" s="207">
        <v>0.0</v>
      </c>
      <c r="P13" s="207">
        <v>0.0</v>
      </c>
      <c r="Q13" s="207">
        <v>0.0</v>
      </c>
      <c r="R13" s="207">
        <v>0.0</v>
      </c>
      <c r="S13" s="207">
        <v>0.0</v>
      </c>
      <c r="T13" s="207">
        <v>0.0</v>
      </c>
      <c r="U13" s="207">
        <v>0.0</v>
      </c>
      <c r="V13" s="207">
        <v>0.0</v>
      </c>
    </row>
    <row r="14">
      <c r="A14" s="209" t="s">
        <v>143</v>
      </c>
      <c r="B14" s="206">
        <v>75.0</v>
      </c>
      <c r="C14" s="210">
        <v>0.0</v>
      </c>
      <c r="D14" s="210">
        <v>0.0</v>
      </c>
      <c r="E14" s="210">
        <v>0.0</v>
      </c>
      <c r="F14" s="210">
        <v>0.0</v>
      </c>
      <c r="G14" s="210">
        <v>0.0</v>
      </c>
      <c r="H14" s="210">
        <v>0.0</v>
      </c>
      <c r="I14" s="208">
        <v>1.0</v>
      </c>
      <c r="J14" s="210">
        <v>0.0</v>
      </c>
      <c r="K14" s="210">
        <v>0.0</v>
      </c>
      <c r="L14" s="210">
        <v>0.0</v>
      </c>
      <c r="M14" s="210">
        <v>0.0</v>
      </c>
      <c r="N14" s="210">
        <v>0.0</v>
      </c>
      <c r="O14" s="210">
        <v>0.0</v>
      </c>
      <c r="P14" s="210">
        <v>0.0</v>
      </c>
      <c r="Q14" s="210">
        <v>0.0</v>
      </c>
      <c r="R14" s="210">
        <v>0.0</v>
      </c>
      <c r="S14" s="210">
        <v>0.0</v>
      </c>
      <c r="T14" s="210">
        <v>0.0</v>
      </c>
      <c r="U14" s="210">
        <v>0.0</v>
      </c>
      <c r="V14" s="210">
        <v>0.0</v>
      </c>
    </row>
    <row r="15">
      <c r="A15" s="205" t="s">
        <v>144</v>
      </c>
      <c r="B15" s="206">
        <v>50.0</v>
      </c>
      <c r="C15" s="207">
        <v>0.0</v>
      </c>
      <c r="D15" s="207">
        <v>0.0</v>
      </c>
      <c r="E15" s="207">
        <v>0.0</v>
      </c>
      <c r="F15" s="207">
        <v>0.0</v>
      </c>
      <c r="G15" s="207">
        <v>0.0</v>
      </c>
      <c r="H15" s="207">
        <v>0.0</v>
      </c>
      <c r="I15" s="208">
        <v>1.0</v>
      </c>
      <c r="J15" s="207">
        <v>0.0</v>
      </c>
      <c r="K15" s="207">
        <v>0.0</v>
      </c>
      <c r="L15" s="207">
        <v>0.0</v>
      </c>
      <c r="M15" s="207">
        <v>0.0</v>
      </c>
      <c r="N15" s="207">
        <v>0.0</v>
      </c>
      <c r="O15" s="207">
        <v>0.0</v>
      </c>
      <c r="P15" s="207">
        <v>0.0</v>
      </c>
      <c r="Q15" s="207">
        <v>0.0</v>
      </c>
      <c r="R15" s="207">
        <v>0.0</v>
      </c>
      <c r="S15" s="207">
        <v>0.0</v>
      </c>
      <c r="T15" s="207">
        <v>0.0</v>
      </c>
      <c r="U15" s="207">
        <v>0.0</v>
      </c>
      <c r="V15" s="207">
        <v>0.0</v>
      </c>
    </row>
    <row r="16">
      <c r="A16" s="209" t="s">
        <v>145</v>
      </c>
      <c r="B16" s="206">
        <v>25.0</v>
      </c>
      <c r="C16" s="210">
        <v>0.0</v>
      </c>
      <c r="D16" s="210">
        <v>0.0</v>
      </c>
      <c r="E16" s="210">
        <v>0.0</v>
      </c>
      <c r="F16" s="210">
        <v>0.0</v>
      </c>
      <c r="G16" s="210">
        <v>0.0</v>
      </c>
      <c r="H16" s="210">
        <v>0.0</v>
      </c>
      <c r="I16" s="208">
        <v>1.0</v>
      </c>
      <c r="J16" s="210">
        <v>0.0</v>
      </c>
      <c r="K16" s="210">
        <v>0.0</v>
      </c>
      <c r="L16" s="210">
        <v>0.0</v>
      </c>
      <c r="M16" s="210">
        <v>0.0</v>
      </c>
      <c r="N16" s="210">
        <v>0.0</v>
      </c>
      <c r="O16" s="210">
        <v>0.0</v>
      </c>
      <c r="P16" s="210">
        <v>0.0</v>
      </c>
      <c r="Q16" s="210">
        <v>0.0</v>
      </c>
      <c r="R16" s="210">
        <v>0.0</v>
      </c>
      <c r="S16" s="210">
        <v>0.0</v>
      </c>
      <c r="T16" s="210">
        <v>0.0</v>
      </c>
      <c r="U16" s="210">
        <v>0.0</v>
      </c>
      <c r="V16" s="210">
        <v>0.0</v>
      </c>
    </row>
    <row r="17">
      <c r="A17" s="205" t="s">
        <v>146</v>
      </c>
      <c r="B17" s="211">
        <v>0.0</v>
      </c>
      <c r="C17" s="207">
        <v>0.0</v>
      </c>
      <c r="D17" s="207">
        <v>0.0</v>
      </c>
      <c r="E17" s="207">
        <v>0.0</v>
      </c>
      <c r="F17" s="207">
        <v>0.0</v>
      </c>
      <c r="G17" s="207">
        <v>0.0</v>
      </c>
      <c r="H17" s="207">
        <v>1.0</v>
      </c>
      <c r="I17" s="207">
        <v>0.0</v>
      </c>
      <c r="J17" s="207">
        <v>0.0</v>
      </c>
      <c r="K17" s="207">
        <v>0.0</v>
      </c>
      <c r="L17" s="207">
        <v>0.0</v>
      </c>
      <c r="M17" s="207">
        <v>0.0</v>
      </c>
      <c r="N17" s="207">
        <v>0.0</v>
      </c>
      <c r="O17" s="207">
        <v>0.0</v>
      </c>
      <c r="P17" s="207">
        <v>0.0</v>
      </c>
      <c r="Q17" s="207">
        <v>0.0</v>
      </c>
      <c r="R17" s="207">
        <v>0.0</v>
      </c>
      <c r="S17" s="207">
        <v>0.0</v>
      </c>
      <c r="T17" s="207">
        <v>0.0</v>
      </c>
      <c r="U17" s="207">
        <v>0.0</v>
      </c>
      <c r="V17" s="207">
        <v>0.0</v>
      </c>
    </row>
    <row r="18">
      <c r="A18" s="209" t="s">
        <v>147</v>
      </c>
      <c r="B18" s="212">
        <v>0.0</v>
      </c>
      <c r="C18" s="210">
        <v>0.0</v>
      </c>
      <c r="D18" s="210">
        <v>0.0</v>
      </c>
      <c r="E18" s="210">
        <v>0.0</v>
      </c>
      <c r="F18" s="210">
        <v>0.0</v>
      </c>
      <c r="G18" s="210">
        <v>0.0</v>
      </c>
      <c r="H18" s="208">
        <v>1.0</v>
      </c>
      <c r="I18" s="210">
        <v>0.0</v>
      </c>
      <c r="J18" s="210">
        <v>0.0</v>
      </c>
      <c r="K18" s="210">
        <v>0.0</v>
      </c>
      <c r="L18" s="210">
        <v>0.0</v>
      </c>
      <c r="M18" s="210">
        <v>0.0</v>
      </c>
      <c r="N18" s="210">
        <v>0.0</v>
      </c>
      <c r="O18" s="210">
        <v>0.0</v>
      </c>
      <c r="P18" s="210">
        <v>0.0</v>
      </c>
      <c r="Q18" s="210">
        <v>0.0</v>
      </c>
      <c r="R18" s="210">
        <v>0.0</v>
      </c>
      <c r="S18" s="210">
        <v>0.0</v>
      </c>
      <c r="T18" s="210">
        <v>0.0</v>
      </c>
      <c r="U18" s="210">
        <v>0.0</v>
      </c>
      <c r="V18" s="210">
        <v>0.0</v>
      </c>
    </row>
    <row r="19">
      <c r="A19" s="205" t="s">
        <v>148</v>
      </c>
      <c r="B19" s="211">
        <v>0.0</v>
      </c>
      <c r="C19" s="207">
        <v>0.0</v>
      </c>
      <c r="D19" s="207">
        <v>0.0</v>
      </c>
      <c r="E19" s="207">
        <v>0.0</v>
      </c>
      <c r="F19" s="207">
        <v>0.0</v>
      </c>
      <c r="G19" s="207">
        <v>0.0</v>
      </c>
      <c r="H19" s="208">
        <v>1.0</v>
      </c>
      <c r="I19" s="207">
        <v>0.0</v>
      </c>
      <c r="J19" s="207">
        <v>0.0</v>
      </c>
      <c r="K19" s="207">
        <v>0.0</v>
      </c>
      <c r="L19" s="207">
        <v>0.0</v>
      </c>
      <c r="M19" s="207">
        <v>0.0</v>
      </c>
      <c r="N19" s="207">
        <v>0.0</v>
      </c>
      <c r="O19" s="207">
        <v>0.0</v>
      </c>
      <c r="P19" s="207">
        <v>0.0</v>
      </c>
      <c r="Q19" s="207">
        <v>0.0</v>
      </c>
      <c r="R19" s="207">
        <v>0.0</v>
      </c>
      <c r="S19" s="207">
        <v>0.0</v>
      </c>
      <c r="T19" s="207">
        <v>0.0</v>
      </c>
      <c r="U19" s="207">
        <v>0.0</v>
      </c>
      <c r="V19" s="207">
        <v>0.0</v>
      </c>
    </row>
    <row r="20">
      <c r="A20" s="209" t="s">
        <v>149</v>
      </c>
      <c r="B20" s="212">
        <v>0.0</v>
      </c>
      <c r="C20" s="210">
        <v>0.0</v>
      </c>
      <c r="D20" s="210">
        <v>0.0</v>
      </c>
      <c r="E20" s="210">
        <v>0.0</v>
      </c>
      <c r="F20" s="210">
        <v>0.0</v>
      </c>
      <c r="G20" s="210">
        <v>0.0</v>
      </c>
      <c r="H20" s="208">
        <v>1.0</v>
      </c>
      <c r="I20" s="210">
        <v>0.0</v>
      </c>
      <c r="J20" s="210">
        <v>0.0</v>
      </c>
      <c r="K20" s="210">
        <v>0.0</v>
      </c>
      <c r="L20" s="210">
        <v>0.0</v>
      </c>
      <c r="M20" s="210">
        <v>0.0</v>
      </c>
      <c r="N20" s="210">
        <v>0.0</v>
      </c>
      <c r="O20" s="210">
        <v>0.0</v>
      </c>
      <c r="P20" s="210">
        <v>0.0</v>
      </c>
      <c r="Q20" s="210">
        <v>0.0</v>
      </c>
      <c r="R20" s="210">
        <v>0.0</v>
      </c>
      <c r="S20" s="210">
        <v>0.0</v>
      </c>
      <c r="T20" s="210">
        <v>0.0</v>
      </c>
      <c r="U20" s="210">
        <v>0.0</v>
      </c>
      <c r="V20" s="210">
        <v>0.0</v>
      </c>
    </row>
    <row r="21">
      <c r="A21" s="205" t="s">
        <v>150</v>
      </c>
      <c r="B21" s="211">
        <v>0.0</v>
      </c>
      <c r="C21" s="207">
        <v>0.0</v>
      </c>
      <c r="D21" s="207">
        <v>0.0</v>
      </c>
      <c r="E21" s="207">
        <v>0.0</v>
      </c>
      <c r="F21" s="207">
        <v>0.0</v>
      </c>
      <c r="G21" s="207">
        <v>0.0</v>
      </c>
      <c r="H21" s="208">
        <v>1.0</v>
      </c>
      <c r="I21" s="207">
        <v>0.0</v>
      </c>
      <c r="J21" s="207">
        <v>0.0</v>
      </c>
      <c r="K21" s="207">
        <v>0.0</v>
      </c>
      <c r="L21" s="207">
        <v>0.0</v>
      </c>
      <c r="M21" s="207">
        <v>0.0</v>
      </c>
      <c r="N21" s="207">
        <v>0.0</v>
      </c>
      <c r="O21" s="207">
        <v>0.0</v>
      </c>
      <c r="P21" s="207">
        <v>0.0</v>
      </c>
      <c r="Q21" s="207">
        <v>0.0</v>
      </c>
      <c r="R21" s="207">
        <v>0.0</v>
      </c>
      <c r="S21" s="207">
        <v>0.0</v>
      </c>
      <c r="T21" s="207">
        <v>0.0</v>
      </c>
      <c r="U21" s="207">
        <v>0.0</v>
      </c>
      <c r="V21" s="207">
        <v>0.0</v>
      </c>
    </row>
  </sheetData>
  <mergeCells count="3">
    <mergeCell ref="A1:F1"/>
    <mergeCell ref="A2:B2"/>
    <mergeCell ref="A5:D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48" t="s">
        <v>151</v>
      </c>
    </row>
    <row r="2" ht="19.5" customHeight="1">
      <c r="A2" s="149" t="s">
        <v>106</v>
      </c>
      <c r="B2" s="149"/>
    </row>
    <row r="3">
      <c r="A3" s="151" t="s">
        <v>152</v>
      </c>
      <c r="B3" s="152">
        <v>15.0</v>
      </c>
    </row>
    <row r="4">
      <c r="A4" s="151" t="s">
        <v>153</v>
      </c>
      <c r="B4" s="152">
        <v>5.0</v>
      </c>
    </row>
    <row r="5">
      <c r="A5" s="151" t="s">
        <v>154</v>
      </c>
      <c r="B5" s="152" t="b">
        <f>TRUE()</f>
        <v>1</v>
      </c>
    </row>
    <row r="6">
      <c r="A6" s="151" t="s">
        <v>155</v>
      </c>
      <c r="B6" s="152">
        <v>10.0</v>
      </c>
    </row>
    <row r="7">
      <c r="A7" s="151" t="s">
        <v>156</v>
      </c>
      <c r="B7" s="152">
        <v>4.0</v>
      </c>
    </row>
    <row r="8">
      <c r="A8" s="151" t="s">
        <v>157</v>
      </c>
      <c r="B8" s="152">
        <f>SUMIFS($C$14:$C$88,$B$14:$B$88,"1st")</f>
        <v>185</v>
      </c>
    </row>
    <row r="9">
      <c r="A9" s="151" t="s">
        <v>158</v>
      </c>
      <c r="B9" s="152">
        <f>SUMIFS($C$14:$C$88,$B$14:$B$88,"1st",$A$14:$A$88,"&gt;="&amp;$B$6)</f>
        <v>87</v>
      </c>
    </row>
    <row r="10">
      <c r="A10" s="151" t="s">
        <v>159</v>
      </c>
      <c r="B10" s="152">
        <f>SUMIFS($C$14:$C$88,$B$14:$B$88,"1st",$A$14:$A$88,"&lt;="&amp;$B$7)</f>
        <v>36</v>
      </c>
    </row>
    <row r="12" ht="19.5" customHeight="1">
      <c r="A12" s="149" t="s">
        <v>133</v>
      </c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</row>
    <row r="13">
      <c r="A13" s="217" t="s">
        <v>160</v>
      </c>
      <c r="B13" s="217" t="s">
        <v>161</v>
      </c>
      <c r="C13" s="217" t="s">
        <v>162</v>
      </c>
      <c r="D13" s="163" t="s">
        <v>163</v>
      </c>
      <c r="E13" s="164" t="s">
        <v>76</v>
      </c>
      <c r="F13" s="165" t="s">
        <v>46</v>
      </c>
      <c r="G13" s="165" t="s">
        <v>121</v>
      </c>
      <c r="H13" s="165" t="s">
        <v>47</v>
      </c>
      <c r="I13" s="165" t="s">
        <v>48</v>
      </c>
      <c r="J13" s="165" t="s">
        <v>50</v>
      </c>
      <c r="K13" s="165" t="s">
        <v>52</v>
      </c>
      <c r="L13" s="165" t="s">
        <v>53</v>
      </c>
      <c r="M13" s="165" t="s">
        <v>54</v>
      </c>
      <c r="N13" s="165" t="s">
        <v>55</v>
      </c>
      <c r="O13" s="165" t="s">
        <v>56</v>
      </c>
      <c r="P13" s="165" t="s">
        <v>57</v>
      </c>
      <c r="Q13" s="165" t="s">
        <v>58</v>
      </c>
      <c r="R13" s="165" t="s">
        <v>122</v>
      </c>
      <c r="S13" s="165" t="s">
        <v>123</v>
      </c>
      <c r="T13" s="165" t="s">
        <v>124</v>
      </c>
      <c r="U13" s="165" t="s">
        <v>125</v>
      </c>
      <c r="V13" s="165" t="s">
        <v>126</v>
      </c>
      <c r="W13" s="165" t="s">
        <v>127</v>
      </c>
      <c r="X13" s="165" t="s">
        <v>128</v>
      </c>
      <c r="Y13" s="218"/>
      <c r="Z13" s="218"/>
    </row>
    <row r="14">
      <c r="A14" s="167">
        <v>1.0</v>
      </c>
      <c r="B14" s="167" t="s">
        <v>164</v>
      </c>
      <c r="C14" s="167">
        <v>5.0</v>
      </c>
      <c r="D14" s="168">
        <v>5.0</v>
      </c>
      <c r="E14" s="219">
        <v>30.0</v>
      </c>
      <c r="F14" s="167">
        <v>0.0</v>
      </c>
      <c r="G14" s="167">
        <v>0.0</v>
      </c>
      <c r="H14" s="167">
        <v>0.0</v>
      </c>
      <c r="I14" s="167">
        <v>0.0</v>
      </c>
      <c r="J14" s="167">
        <v>0.0</v>
      </c>
      <c r="K14" s="167">
        <v>0.0</v>
      </c>
      <c r="L14" s="167">
        <v>0.0</v>
      </c>
      <c r="M14" s="167">
        <v>0.0</v>
      </c>
      <c r="N14" s="167">
        <v>0.0</v>
      </c>
      <c r="O14" s="167">
        <v>0.0</v>
      </c>
      <c r="P14" s="167">
        <v>0.0</v>
      </c>
      <c r="Q14" s="167">
        <v>0.0</v>
      </c>
      <c r="R14" s="167">
        <v>0.0</v>
      </c>
      <c r="S14" s="167">
        <v>0.0</v>
      </c>
      <c r="T14" s="167">
        <v>0.0</v>
      </c>
      <c r="U14" s="167">
        <v>0.0</v>
      </c>
      <c r="V14" s="167">
        <v>0.0</v>
      </c>
      <c r="W14" s="167">
        <v>0.0</v>
      </c>
      <c r="X14" s="167">
        <v>0.0</v>
      </c>
    </row>
    <row r="15">
      <c r="A15" s="167">
        <v>1.0</v>
      </c>
      <c r="B15" s="167" t="s">
        <v>165</v>
      </c>
      <c r="C15" s="167">
        <v>5.0</v>
      </c>
      <c r="D15" s="168">
        <v>5.0</v>
      </c>
      <c r="E15" s="219">
        <v>0.0</v>
      </c>
      <c r="F15" s="167">
        <v>0.0</v>
      </c>
      <c r="G15" s="167">
        <v>0.0</v>
      </c>
      <c r="H15" s="167">
        <v>0.0</v>
      </c>
      <c r="I15" s="167">
        <v>0.0</v>
      </c>
      <c r="J15" s="167">
        <v>0.0</v>
      </c>
      <c r="K15" s="167">
        <v>0.0</v>
      </c>
      <c r="L15" s="167">
        <v>0.0</v>
      </c>
      <c r="M15" s="167">
        <v>0.0</v>
      </c>
      <c r="N15" s="167">
        <v>15.0</v>
      </c>
      <c r="O15" s="167">
        <v>0.0</v>
      </c>
      <c r="P15" s="167">
        <v>0.0</v>
      </c>
      <c r="Q15" s="167">
        <v>0.0</v>
      </c>
      <c r="R15" s="167">
        <v>0.0</v>
      </c>
      <c r="S15" s="167">
        <v>0.0</v>
      </c>
      <c r="T15" s="167">
        <v>0.0</v>
      </c>
      <c r="U15" s="167">
        <v>0.0</v>
      </c>
      <c r="V15" s="167">
        <v>0.0</v>
      </c>
      <c r="W15" s="167">
        <v>0.0</v>
      </c>
      <c r="X15" s="167">
        <v>0.0</v>
      </c>
    </row>
    <row r="16">
      <c r="A16" s="167">
        <v>1.0</v>
      </c>
      <c r="B16" s="167" t="s">
        <v>166</v>
      </c>
      <c r="C16" s="167">
        <v>5.0</v>
      </c>
      <c r="D16" s="168">
        <v>5.0</v>
      </c>
      <c r="E16" s="219">
        <v>0.0</v>
      </c>
      <c r="F16" s="167">
        <v>0.0</v>
      </c>
      <c r="G16" s="167">
        <v>0.0</v>
      </c>
      <c r="H16" s="167">
        <v>0.0</v>
      </c>
      <c r="I16" s="167">
        <v>0.0</v>
      </c>
      <c r="J16" s="167">
        <v>1.0</v>
      </c>
      <c r="K16" s="167">
        <v>0.0</v>
      </c>
      <c r="L16" s="167">
        <v>0.0</v>
      </c>
      <c r="M16" s="167">
        <v>0.0</v>
      </c>
      <c r="N16" s="167">
        <v>0.0</v>
      </c>
      <c r="O16" s="167">
        <v>0.0</v>
      </c>
      <c r="P16" s="167">
        <v>0.0</v>
      </c>
      <c r="Q16" s="167">
        <v>0.0</v>
      </c>
      <c r="R16" s="167">
        <v>0.0</v>
      </c>
      <c r="S16" s="167">
        <v>0.0</v>
      </c>
      <c r="T16" s="167">
        <v>0.0</v>
      </c>
      <c r="U16" s="167">
        <v>0.0</v>
      </c>
      <c r="V16" s="167">
        <v>0.0</v>
      </c>
      <c r="W16" s="167">
        <v>0.0</v>
      </c>
      <c r="X16" s="167">
        <v>0.0</v>
      </c>
    </row>
    <row r="17">
      <c r="A17" s="167">
        <v>1.0</v>
      </c>
      <c r="B17" s="167" t="s">
        <v>167</v>
      </c>
      <c r="C17" s="167">
        <v>5.0</v>
      </c>
      <c r="D17" s="168">
        <v>5.0</v>
      </c>
      <c r="E17" s="219">
        <v>0.0</v>
      </c>
      <c r="F17" s="167">
        <v>0.0</v>
      </c>
      <c r="G17" s="167">
        <v>0.0</v>
      </c>
      <c r="H17" s="167">
        <v>0.0</v>
      </c>
      <c r="I17" s="167">
        <v>0.0</v>
      </c>
      <c r="J17" s="167">
        <v>0.0</v>
      </c>
      <c r="K17" s="167">
        <v>0.0</v>
      </c>
      <c r="L17" s="167">
        <v>1.0</v>
      </c>
      <c r="M17" s="167">
        <v>0.0</v>
      </c>
      <c r="N17" s="167">
        <v>0.0</v>
      </c>
      <c r="O17" s="167">
        <v>0.0</v>
      </c>
      <c r="P17" s="167">
        <v>0.0</v>
      </c>
      <c r="Q17" s="167">
        <v>0.0</v>
      </c>
      <c r="R17" s="167">
        <v>0.0</v>
      </c>
      <c r="S17" s="167">
        <v>0.0</v>
      </c>
      <c r="T17" s="167">
        <v>0.0</v>
      </c>
      <c r="U17" s="167">
        <v>0.0</v>
      </c>
      <c r="V17" s="167">
        <v>0.0</v>
      </c>
      <c r="W17" s="167">
        <v>0.0</v>
      </c>
      <c r="X17" s="167">
        <v>0.0</v>
      </c>
    </row>
    <row r="18">
      <c r="A18" s="167">
        <v>1.0</v>
      </c>
      <c r="B18" s="167" t="s">
        <v>168</v>
      </c>
      <c r="C18" s="167">
        <v>5.0</v>
      </c>
      <c r="D18" s="168">
        <v>5.0</v>
      </c>
      <c r="E18" s="219">
        <v>0.0</v>
      </c>
      <c r="F18" s="167">
        <v>0.0</v>
      </c>
      <c r="G18" s="167">
        <v>0.0</v>
      </c>
      <c r="H18" s="167">
        <v>0.0</v>
      </c>
      <c r="I18" s="167">
        <v>0.0</v>
      </c>
      <c r="J18" s="167">
        <v>0.0</v>
      </c>
      <c r="K18" s="167">
        <v>0.0</v>
      </c>
      <c r="L18" s="167">
        <v>0.0</v>
      </c>
      <c r="M18" s="167">
        <v>0.0</v>
      </c>
      <c r="N18" s="167">
        <v>0.0</v>
      </c>
      <c r="O18" s="167">
        <v>0.0</v>
      </c>
      <c r="P18" s="167">
        <v>10.0</v>
      </c>
      <c r="Q18" s="167">
        <v>0.0</v>
      </c>
      <c r="R18" s="167">
        <v>0.0</v>
      </c>
      <c r="S18" s="167">
        <v>0.0</v>
      </c>
      <c r="T18" s="167">
        <v>0.0</v>
      </c>
      <c r="U18" s="167">
        <v>0.0</v>
      </c>
      <c r="V18" s="167">
        <v>0.0</v>
      </c>
      <c r="W18" s="167">
        <v>0.0</v>
      </c>
      <c r="X18" s="167">
        <v>0.0</v>
      </c>
    </row>
    <row r="19">
      <c r="A19" s="167">
        <v>2.0</v>
      </c>
      <c r="B19" s="167" t="s">
        <v>164</v>
      </c>
      <c r="C19" s="167">
        <v>6.0</v>
      </c>
      <c r="D19" s="168">
        <v>11.0</v>
      </c>
      <c r="E19" s="219">
        <v>0.0</v>
      </c>
      <c r="F19" s="167">
        <v>0.0</v>
      </c>
      <c r="G19" s="167">
        <v>0.0</v>
      </c>
      <c r="H19" s="167">
        <v>0.0</v>
      </c>
      <c r="I19" s="167">
        <v>0.0</v>
      </c>
      <c r="J19" s="167">
        <v>0.0</v>
      </c>
      <c r="K19" s="167">
        <v>0.0</v>
      </c>
      <c r="L19" s="167">
        <v>0.0</v>
      </c>
      <c r="M19" s="167">
        <v>0.0</v>
      </c>
      <c r="N19" s="167">
        <v>15.0</v>
      </c>
      <c r="O19" s="167">
        <v>0.0</v>
      </c>
      <c r="P19" s="167">
        <v>0.0</v>
      </c>
      <c r="Q19" s="167">
        <v>0.0</v>
      </c>
      <c r="R19" s="167">
        <v>0.0</v>
      </c>
      <c r="S19" s="167">
        <v>0.0</v>
      </c>
      <c r="T19" s="167">
        <v>0.0</v>
      </c>
      <c r="U19" s="167">
        <v>0.0</v>
      </c>
      <c r="V19" s="167">
        <v>0.0</v>
      </c>
      <c r="W19" s="167">
        <v>0.0</v>
      </c>
      <c r="X19" s="167">
        <v>0.0</v>
      </c>
    </row>
    <row r="20">
      <c r="A20" s="167">
        <v>2.0</v>
      </c>
      <c r="B20" s="167" t="s">
        <v>165</v>
      </c>
      <c r="C20" s="167">
        <v>6.0</v>
      </c>
      <c r="D20" s="168">
        <v>11.0</v>
      </c>
      <c r="E20" s="219">
        <v>0.0</v>
      </c>
      <c r="F20" s="167">
        <v>0.0</v>
      </c>
      <c r="G20" s="167">
        <v>0.0</v>
      </c>
      <c r="H20" s="167">
        <v>0.0</v>
      </c>
      <c r="I20" s="167">
        <v>0.0</v>
      </c>
      <c r="J20" s="167">
        <v>0.0</v>
      </c>
      <c r="K20" s="167">
        <v>0.0</v>
      </c>
      <c r="L20" s="167">
        <v>0.0</v>
      </c>
      <c r="M20" s="167">
        <v>1.0</v>
      </c>
      <c r="N20" s="167">
        <v>0.0</v>
      </c>
      <c r="O20" s="167">
        <v>0.0</v>
      </c>
      <c r="P20" s="167">
        <v>0.0</v>
      </c>
      <c r="Q20" s="167">
        <v>0.0</v>
      </c>
      <c r="R20" s="167">
        <v>0.0</v>
      </c>
      <c r="S20" s="167">
        <v>0.0</v>
      </c>
      <c r="T20" s="167">
        <v>0.0</v>
      </c>
      <c r="U20" s="167">
        <v>0.0</v>
      </c>
      <c r="V20" s="167">
        <v>0.0</v>
      </c>
      <c r="W20" s="167">
        <v>0.0</v>
      </c>
      <c r="X20" s="167">
        <v>0.0</v>
      </c>
    </row>
    <row r="21" ht="15.75" customHeight="1">
      <c r="A21" s="167">
        <v>2.0</v>
      </c>
      <c r="B21" s="167" t="s">
        <v>166</v>
      </c>
      <c r="C21" s="167">
        <v>6.0</v>
      </c>
      <c r="D21" s="168">
        <v>11.0</v>
      </c>
      <c r="E21" s="219">
        <v>0.0</v>
      </c>
      <c r="F21" s="167">
        <v>0.0</v>
      </c>
      <c r="G21" s="167">
        <v>0.0</v>
      </c>
      <c r="H21" s="167">
        <v>0.0</v>
      </c>
      <c r="I21" s="167">
        <v>1.0</v>
      </c>
      <c r="J21" s="167">
        <v>0.0</v>
      </c>
      <c r="K21" s="167">
        <v>0.0</v>
      </c>
      <c r="L21" s="167">
        <v>0.0</v>
      </c>
      <c r="M21" s="167">
        <v>0.0</v>
      </c>
      <c r="N21" s="167">
        <v>0.0</v>
      </c>
      <c r="O21" s="167">
        <v>0.0</v>
      </c>
      <c r="P21" s="167">
        <v>0.0</v>
      </c>
      <c r="Q21" s="167">
        <v>0.0</v>
      </c>
      <c r="R21" s="167">
        <v>0.0</v>
      </c>
      <c r="S21" s="167">
        <v>0.0</v>
      </c>
      <c r="T21" s="167">
        <v>0.0</v>
      </c>
      <c r="U21" s="167">
        <v>0.0</v>
      </c>
      <c r="V21" s="167">
        <v>0.0</v>
      </c>
      <c r="W21" s="167">
        <v>0.0</v>
      </c>
      <c r="X21" s="167">
        <v>0.0</v>
      </c>
    </row>
    <row r="22" ht="15.75" customHeight="1">
      <c r="A22" s="167">
        <v>2.0</v>
      </c>
      <c r="B22" s="167" t="s">
        <v>167</v>
      </c>
      <c r="C22" s="167">
        <v>6.0</v>
      </c>
      <c r="D22" s="168">
        <v>11.0</v>
      </c>
      <c r="E22" s="219">
        <v>0.0</v>
      </c>
      <c r="F22" s="167">
        <v>0.0</v>
      </c>
      <c r="G22" s="167">
        <v>0.0</v>
      </c>
      <c r="H22" s="167">
        <v>0.0</v>
      </c>
      <c r="I22" s="167">
        <v>0.0</v>
      </c>
      <c r="J22" s="167">
        <v>0.0</v>
      </c>
      <c r="K22" s="167">
        <v>0.0</v>
      </c>
      <c r="L22" s="167">
        <v>0.0</v>
      </c>
      <c r="M22" s="167">
        <v>0.0</v>
      </c>
      <c r="N22" s="167">
        <v>0.0</v>
      </c>
      <c r="O22" s="167">
        <v>10.0</v>
      </c>
      <c r="P22" s="167">
        <v>0.0</v>
      </c>
      <c r="Q22" s="167">
        <v>0.0</v>
      </c>
      <c r="R22" s="167">
        <v>0.0</v>
      </c>
      <c r="S22" s="167">
        <v>0.0</v>
      </c>
      <c r="T22" s="167">
        <v>0.0</v>
      </c>
      <c r="U22" s="167">
        <v>0.0</v>
      </c>
      <c r="V22" s="167">
        <v>0.0</v>
      </c>
      <c r="W22" s="167">
        <v>0.0</v>
      </c>
      <c r="X22" s="167">
        <v>0.0</v>
      </c>
    </row>
    <row r="23" ht="15.75" customHeight="1">
      <c r="A23" s="167">
        <v>2.0</v>
      </c>
      <c r="B23" s="167" t="s">
        <v>168</v>
      </c>
      <c r="C23" s="167">
        <v>6.0</v>
      </c>
      <c r="D23" s="168">
        <v>11.0</v>
      </c>
      <c r="E23" s="219">
        <v>0.0</v>
      </c>
      <c r="F23" s="167">
        <v>0.0</v>
      </c>
      <c r="G23" s="167">
        <v>10.0</v>
      </c>
      <c r="H23" s="167">
        <v>0.0</v>
      </c>
      <c r="I23" s="167">
        <v>0.0</v>
      </c>
      <c r="J23" s="167">
        <v>0.0</v>
      </c>
      <c r="K23" s="167">
        <v>0.0</v>
      </c>
      <c r="L23" s="167">
        <v>0.0</v>
      </c>
      <c r="M23" s="167">
        <v>0.0</v>
      </c>
      <c r="N23" s="167">
        <v>0.0</v>
      </c>
      <c r="O23" s="167">
        <v>0.0</v>
      </c>
      <c r="P23" s="167">
        <v>0.0</v>
      </c>
      <c r="Q23" s="167">
        <v>0.0</v>
      </c>
      <c r="R23" s="167">
        <v>0.0</v>
      </c>
      <c r="S23" s="167">
        <v>0.0</v>
      </c>
      <c r="T23" s="167">
        <v>0.0</v>
      </c>
      <c r="U23" s="167">
        <v>0.0</v>
      </c>
      <c r="V23" s="167">
        <v>0.0</v>
      </c>
      <c r="W23" s="167">
        <v>0.0</v>
      </c>
      <c r="X23" s="167">
        <v>0.0</v>
      </c>
    </row>
    <row r="24" ht="15.75" customHeight="1">
      <c r="A24" s="167">
        <v>3.0</v>
      </c>
      <c r="B24" s="167" t="s">
        <v>164</v>
      </c>
      <c r="C24" s="167">
        <v>10.0</v>
      </c>
      <c r="D24" s="168">
        <v>21.0</v>
      </c>
      <c r="E24" s="219">
        <v>0.0</v>
      </c>
      <c r="F24" s="167">
        <v>0.0</v>
      </c>
      <c r="G24" s="167">
        <v>0.0</v>
      </c>
      <c r="H24" s="167">
        <v>0.0</v>
      </c>
      <c r="I24" s="167">
        <v>0.0</v>
      </c>
      <c r="J24" s="167">
        <v>0.0</v>
      </c>
      <c r="K24" s="167">
        <v>0.0</v>
      </c>
      <c r="L24" s="167">
        <v>0.0</v>
      </c>
      <c r="M24" s="167">
        <v>0.0</v>
      </c>
      <c r="N24" s="167">
        <v>0.0</v>
      </c>
      <c r="O24" s="167">
        <v>0.0</v>
      </c>
      <c r="P24" s="167">
        <v>0.0</v>
      </c>
      <c r="Q24" s="167">
        <v>20.0</v>
      </c>
      <c r="R24" s="167">
        <v>0.0</v>
      </c>
      <c r="S24" s="167">
        <v>0.0</v>
      </c>
      <c r="T24" s="167">
        <v>0.0</v>
      </c>
      <c r="U24" s="167">
        <v>0.0</v>
      </c>
      <c r="V24" s="167">
        <v>0.0</v>
      </c>
      <c r="W24" s="167">
        <v>0.0</v>
      </c>
      <c r="X24" s="167">
        <v>0.0</v>
      </c>
    </row>
    <row r="25" ht="15.75" customHeight="1">
      <c r="A25" s="167">
        <v>3.0</v>
      </c>
      <c r="B25" s="167" t="s">
        <v>165</v>
      </c>
      <c r="C25" s="167">
        <v>10.0</v>
      </c>
      <c r="D25" s="168">
        <v>21.0</v>
      </c>
      <c r="E25" s="219">
        <v>0.0</v>
      </c>
      <c r="F25" s="167">
        <v>0.0</v>
      </c>
      <c r="G25" s="167">
        <v>0.0</v>
      </c>
      <c r="H25" s="167">
        <v>0.0</v>
      </c>
      <c r="I25" s="167">
        <v>0.0</v>
      </c>
      <c r="J25" s="167">
        <v>0.0</v>
      </c>
      <c r="K25" s="167">
        <v>0.0</v>
      </c>
      <c r="L25" s="167">
        <v>1.0</v>
      </c>
      <c r="M25" s="167">
        <v>0.0</v>
      </c>
      <c r="N25" s="167">
        <v>0.0</v>
      </c>
      <c r="O25" s="167">
        <v>0.0</v>
      </c>
      <c r="P25" s="167">
        <v>0.0</v>
      </c>
      <c r="Q25" s="167">
        <v>0.0</v>
      </c>
      <c r="R25" s="167">
        <v>0.0</v>
      </c>
      <c r="S25" s="167">
        <v>0.0</v>
      </c>
      <c r="T25" s="167">
        <v>0.0</v>
      </c>
      <c r="U25" s="167">
        <v>0.0</v>
      </c>
      <c r="V25" s="167">
        <v>0.0</v>
      </c>
      <c r="W25" s="167">
        <v>0.0</v>
      </c>
      <c r="X25" s="167">
        <v>0.0</v>
      </c>
    </row>
    <row r="26" ht="15.75" customHeight="1">
      <c r="A26" s="167">
        <v>3.0</v>
      </c>
      <c r="B26" s="167" t="s">
        <v>166</v>
      </c>
      <c r="C26" s="167">
        <v>10.0</v>
      </c>
      <c r="D26" s="168">
        <v>21.0</v>
      </c>
      <c r="E26" s="219">
        <v>0.0</v>
      </c>
      <c r="F26" s="167">
        <v>0.0</v>
      </c>
      <c r="G26" s="167">
        <v>0.0</v>
      </c>
      <c r="H26" s="167">
        <v>0.0</v>
      </c>
      <c r="I26" s="167">
        <v>0.0</v>
      </c>
      <c r="J26" s="167">
        <v>0.0</v>
      </c>
      <c r="K26" s="167">
        <v>0.0</v>
      </c>
      <c r="L26" s="167">
        <v>0.0</v>
      </c>
      <c r="M26" s="167">
        <v>0.0</v>
      </c>
      <c r="N26" s="167">
        <v>0.0</v>
      </c>
      <c r="O26" s="167">
        <v>0.0</v>
      </c>
      <c r="P26" s="167">
        <v>10.0</v>
      </c>
      <c r="Q26" s="167">
        <v>0.0</v>
      </c>
      <c r="R26" s="167">
        <v>0.0</v>
      </c>
      <c r="S26" s="167">
        <v>0.0</v>
      </c>
      <c r="T26" s="167">
        <v>0.0</v>
      </c>
      <c r="U26" s="167">
        <v>0.0</v>
      </c>
      <c r="V26" s="167">
        <v>0.0</v>
      </c>
      <c r="W26" s="167">
        <v>0.0</v>
      </c>
      <c r="X26" s="167">
        <v>0.0</v>
      </c>
    </row>
    <row r="27" ht="15.75" customHeight="1">
      <c r="A27" s="167">
        <v>3.0</v>
      </c>
      <c r="B27" s="167" t="s">
        <v>167</v>
      </c>
      <c r="C27" s="167">
        <v>10.0</v>
      </c>
      <c r="D27" s="168">
        <v>21.0</v>
      </c>
      <c r="E27" s="219">
        <v>0.0</v>
      </c>
      <c r="F27" s="167">
        <v>0.0</v>
      </c>
      <c r="G27" s="167">
        <v>0.0</v>
      </c>
      <c r="H27" s="167">
        <v>1.0</v>
      </c>
      <c r="I27" s="167">
        <v>0.0</v>
      </c>
      <c r="J27" s="167">
        <v>0.0</v>
      </c>
      <c r="K27" s="167">
        <v>0.0</v>
      </c>
      <c r="L27" s="167">
        <v>0.0</v>
      </c>
      <c r="M27" s="167">
        <v>0.0</v>
      </c>
      <c r="N27" s="167">
        <v>0.0</v>
      </c>
      <c r="O27" s="167">
        <v>0.0</v>
      </c>
      <c r="P27" s="167">
        <v>0.0</v>
      </c>
      <c r="Q27" s="167">
        <v>0.0</v>
      </c>
      <c r="R27" s="167">
        <v>0.0</v>
      </c>
      <c r="S27" s="167">
        <v>0.0</v>
      </c>
      <c r="T27" s="167">
        <v>0.0</v>
      </c>
      <c r="U27" s="167">
        <v>0.0</v>
      </c>
      <c r="V27" s="167">
        <v>0.0</v>
      </c>
      <c r="W27" s="167">
        <v>0.0</v>
      </c>
      <c r="X27" s="167">
        <v>0.0</v>
      </c>
    </row>
    <row r="28" ht="15.75" customHeight="1">
      <c r="A28" s="167">
        <v>3.0</v>
      </c>
      <c r="B28" s="167" t="s">
        <v>168</v>
      </c>
      <c r="C28" s="167">
        <v>10.0</v>
      </c>
      <c r="D28" s="168">
        <v>21.0</v>
      </c>
      <c r="E28" s="219">
        <v>0.0</v>
      </c>
      <c r="F28" s="167">
        <v>20.0</v>
      </c>
      <c r="G28" s="167">
        <v>0.0</v>
      </c>
      <c r="H28" s="167">
        <v>0.0</v>
      </c>
      <c r="I28" s="167">
        <v>0.0</v>
      </c>
      <c r="J28" s="167">
        <v>0.0</v>
      </c>
      <c r="K28" s="167">
        <v>0.0</v>
      </c>
      <c r="L28" s="167">
        <v>0.0</v>
      </c>
      <c r="M28" s="167">
        <v>0.0</v>
      </c>
      <c r="N28" s="167">
        <v>0.0</v>
      </c>
      <c r="O28" s="167">
        <v>0.0</v>
      </c>
      <c r="P28" s="167">
        <v>0.0</v>
      </c>
      <c r="Q28" s="167">
        <v>0.0</v>
      </c>
      <c r="R28" s="167">
        <v>0.0</v>
      </c>
      <c r="S28" s="167">
        <v>0.0</v>
      </c>
      <c r="T28" s="167">
        <v>0.0</v>
      </c>
      <c r="U28" s="167">
        <v>0.0</v>
      </c>
      <c r="V28" s="167">
        <v>0.0</v>
      </c>
      <c r="W28" s="167">
        <v>0.0</v>
      </c>
      <c r="X28" s="167">
        <v>0.0</v>
      </c>
    </row>
    <row r="29" ht="15.75" customHeight="1">
      <c r="A29" s="167">
        <v>4.0</v>
      </c>
      <c r="B29" s="167" t="s">
        <v>164</v>
      </c>
      <c r="C29" s="167">
        <v>15.0</v>
      </c>
      <c r="D29" s="168">
        <v>36.0</v>
      </c>
      <c r="E29" s="219">
        <v>55.0</v>
      </c>
      <c r="F29" s="167">
        <v>0.0</v>
      </c>
      <c r="G29" s="167">
        <v>0.0</v>
      </c>
      <c r="H29" s="167">
        <v>1.0</v>
      </c>
      <c r="I29" s="167">
        <v>0.0</v>
      </c>
      <c r="J29" s="167">
        <v>0.0</v>
      </c>
      <c r="K29" s="167">
        <v>0.0</v>
      </c>
      <c r="L29" s="167">
        <v>0.0</v>
      </c>
      <c r="M29" s="167">
        <v>0.0</v>
      </c>
      <c r="N29" s="167">
        <v>0.0</v>
      </c>
      <c r="O29" s="167">
        <v>0.0</v>
      </c>
      <c r="P29" s="167">
        <v>0.0</v>
      </c>
      <c r="Q29" s="167">
        <v>0.0</v>
      </c>
      <c r="R29" s="167">
        <v>0.0</v>
      </c>
      <c r="S29" s="167">
        <v>0.0</v>
      </c>
      <c r="T29" s="167">
        <v>0.0</v>
      </c>
      <c r="U29" s="167">
        <v>0.0</v>
      </c>
      <c r="V29" s="167">
        <v>0.0</v>
      </c>
      <c r="W29" s="167">
        <v>0.0</v>
      </c>
      <c r="X29" s="167">
        <v>0.0</v>
      </c>
    </row>
    <row r="30" ht="15.75" customHeight="1">
      <c r="A30" s="167">
        <v>4.0</v>
      </c>
      <c r="B30" s="167" t="s">
        <v>165</v>
      </c>
      <c r="C30" s="167">
        <v>15.0</v>
      </c>
      <c r="D30" s="168">
        <v>36.0</v>
      </c>
      <c r="E30" s="219">
        <v>0.0</v>
      </c>
      <c r="F30" s="167">
        <v>0.0</v>
      </c>
      <c r="G30" s="167">
        <v>0.0</v>
      </c>
      <c r="H30" s="167">
        <v>0.0</v>
      </c>
      <c r="I30" s="167">
        <v>0.0</v>
      </c>
      <c r="J30" s="167">
        <v>0.0</v>
      </c>
      <c r="K30" s="167">
        <v>0.0</v>
      </c>
      <c r="L30" s="167">
        <v>0.0</v>
      </c>
      <c r="M30" s="167">
        <v>0.0</v>
      </c>
      <c r="N30" s="167">
        <v>20.0</v>
      </c>
      <c r="O30" s="167">
        <v>0.0</v>
      </c>
      <c r="P30" s="167">
        <v>0.0</v>
      </c>
      <c r="Q30" s="167">
        <v>0.0</v>
      </c>
      <c r="R30" s="167">
        <v>0.0</v>
      </c>
      <c r="S30" s="167">
        <v>0.0</v>
      </c>
      <c r="T30" s="167">
        <v>0.0</v>
      </c>
      <c r="U30" s="167">
        <v>0.0</v>
      </c>
      <c r="V30" s="167">
        <v>0.0</v>
      </c>
      <c r="W30" s="167">
        <v>0.0</v>
      </c>
      <c r="X30" s="167">
        <v>0.0</v>
      </c>
    </row>
    <row r="31" ht="15.75" customHeight="1">
      <c r="A31" s="167">
        <v>4.0</v>
      </c>
      <c r="B31" s="167" t="s">
        <v>166</v>
      </c>
      <c r="C31" s="167">
        <v>15.0</v>
      </c>
      <c r="D31" s="168">
        <v>36.0</v>
      </c>
      <c r="E31" s="219">
        <v>0.0</v>
      </c>
      <c r="F31" s="167">
        <v>0.0</v>
      </c>
      <c r="G31" s="167">
        <v>0.0</v>
      </c>
      <c r="H31" s="167">
        <v>0.0</v>
      </c>
      <c r="I31" s="167">
        <v>0.0</v>
      </c>
      <c r="J31" s="167">
        <v>0.0</v>
      </c>
      <c r="K31" s="167">
        <v>0.0</v>
      </c>
      <c r="L31" s="167">
        <v>0.0</v>
      </c>
      <c r="M31" s="167">
        <v>1.0</v>
      </c>
      <c r="N31" s="167">
        <v>0.0</v>
      </c>
      <c r="O31" s="167">
        <v>0.0</v>
      </c>
      <c r="P31" s="167">
        <v>0.0</v>
      </c>
      <c r="Q31" s="167">
        <v>0.0</v>
      </c>
      <c r="R31" s="167">
        <v>0.0</v>
      </c>
      <c r="S31" s="167">
        <v>0.0</v>
      </c>
      <c r="T31" s="167">
        <v>0.0</v>
      </c>
      <c r="U31" s="167">
        <v>0.0</v>
      </c>
      <c r="V31" s="167">
        <v>0.0</v>
      </c>
      <c r="W31" s="167">
        <v>0.0</v>
      </c>
      <c r="X31" s="167">
        <v>0.0</v>
      </c>
    </row>
    <row r="32" ht="15.75" customHeight="1">
      <c r="A32" s="167">
        <v>4.0</v>
      </c>
      <c r="B32" s="167" t="s">
        <v>167</v>
      </c>
      <c r="C32" s="167">
        <v>15.0</v>
      </c>
      <c r="D32" s="168">
        <v>36.0</v>
      </c>
      <c r="E32" s="219">
        <v>0.0</v>
      </c>
      <c r="F32" s="167">
        <v>0.0</v>
      </c>
      <c r="G32" s="167">
        <v>0.0</v>
      </c>
      <c r="H32" s="167">
        <v>0.0</v>
      </c>
      <c r="I32" s="167">
        <v>1.0</v>
      </c>
      <c r="J32" s="167">
        <v>0.0</v>
      </c>
      <c r="K32" s="167">
        <v>0.0</v>
      </c>
      <c r="L32" s="167">
        <v>0.0</v>
      </c>
      <c r="M32" s="167">
        <v>0.0</v>
      </c>
      <c r="N32" s="167">
        <v>0.0</v>
      </c>
      <c r="O32" s="167">
        <v>0.0</v>
      </c>
      <c r="P32" s="167">
        <v>0.0</v>
      </c>
      <c r="Q32" s="167">
        <v>0.0</v>
      </c>
      <c r="R32" s="167">
        <v>0.0</v>
      </c>
      <c r="S32" s="167">
        <v>0.0</v>
      </c>
      <c r="T32" s="167">
        <v>0.0</v>
      </c>
      <c r="U32" s="167">
        <v>0.0</v>
      </c>
      <c r="V32" s="167">
        <v>0.0</v>
      </c>
      <c r="W32" s="167">
        <v>0.0</v>
      </c>
      <c r="X32" s="167">
        <v>0.0</v>
      </c>
    </row>
    <row r="33" ht="15.75" customHeight="1">
      <c r="A33" s="167">
        <v>4.0</v>
      </c>
      <c r="B33" s="167" t="s">
        <v>168</v>
      </c>
      <c r="C33" s="167">
        <v>15.0</v>
      </c>
      <c r="D33" s="168">
        <v>36.0</v>
      </c>
      <c r="E33" s="219">
        <v>0.0</v>
      </c>
      <c r="F33" s="167">
        <v>0.0</v>
      </c>
      <c r="G33" s="167">
        <v>0.0</v>
      </c>
      <c r="H33" s="167">
        <v>0.0</v>
      </c>
      <c r="I33" s="167">
        <v>0.0</v>
      </c>
      <c r="J33" s="167">
        <v>0.0</v>
      </c>
      <c r="K33" s="167">
        <v>0.0</v>
      </c>
      <c r="L33" s="167">
        <v>0.0</v>
      </c>
      <c r="M33" s="167">
        <v>0.0</v>
      </c>
      <c r="N33" s="167">
        <v>0.0</v>
      </c>
      <c r="O33" s="167">
        <v>15.0</v>
      </c>
      <c r="P33" s="167">
        <v>0.0</v>
      </c>
      <c r="Q33" s="167">
        <v>0.0</v>
      </c>
      <c r="R33" s="167">
        <v>0.0</v>
      </c>
      <c r="S33" s="167">
        <v>0.0</v>
      </c>
      <c r="T33" s="167">
        <v>0.0</v>
      </c>
      <c r="U33" s="167">
        <v>0.0</v>
      </c>
      <c r="V33" s="167">
        <v>0.0</v>
      </c>
      <c r="W33" s="167">
        <v>0.0</v>
      </c>
      <c r="X33" s="167">
        <v>0.0</v>
      </c>
    </row>
    <row r="34" ht="15.75" customHeight="1">
      <c r="A34" s="167">
        <v>5.0</v>
      </c>
      <c r="B34" s="167" t="s">
        <v>164</v>
      </c>
      <c r="C34" s="167">
        <v>8.0</v>
      </c>
      <c r="D34" s="168">
        <v>44.0</v>
      </c>
      <c r="E34" s="219">
        <v>0.0</v>
      </c>
      <c r="F34" s="167">
        <v>0.0</v>
      </c>
      <c r="G34" s="167">
        <v>0.0</v>
      </c>
      <c r="H34" s="167">
        <v>0.0</v>
      </c>
      <c r="I34" s="167">
        <v>0.0</v>
      </c>
      <c r="J34" s="167">
        <v>0.0</v>
      </c>
      <c r="K34" s="167">
        <v>0.0</v>
      </c>
      <c r="L34" s="167">
        <v>1.0</v>
      </c>
      <c r="M34" s="167">
        <v>0.0</v>
      </c>
      <c r="N34" s="167">
        <v>0.0</v>
      </c>
      <c r="O34" s="167">
        <v>0.0</v>
      </c>
      <c r="P34" s="167">
        <v>0.0</v>
      </c>
      <c r="Q34" s="167">
        <v>0.0</v>
      </c>
      <c r="R34" s="167">
        <v>0.0</v>
      </c>
      <c r="S34" s="167">
        <v>0.0</v>
      </c>
      <c r="T34" s="167">
        <v>0.0</v>
      </c>
      <c r="U34" s="167">
        <v>0.0</v>
      </c>
      <c r="V34" s="167">
        <v>0.0</v>
      </c>
      <c r="W34" s="167">
        <v>0.0</v>
      </c>
      <c r="X34" s="167">
        <v>0.0</v>
      </c>
    </row>
    <row r="35" ht="15.75" customHeight="1">
      <c r="A35" s="167">
        <v>5.0</v>
      </c>
      <c r="B35" s="167" t="s">
        <v>165</v>
      </c>
      <c r="C35" s="167">
        <v>8.0</v>
      </c>
      <c r="D35" s="168">
        <v>44.0</v>
      </c>
      <c r="E35" s="219">
        <v>0.0</v>
      </c>
      <c r="F35" s="167">
        <v>0.0</v>
      </c>
      <c r="G35" s="167">
        <v>0.0</v>
      </c>
      <c r="H35" s="167">
        <v>0.0</v>
      </c>
      <c r="I35" s="167">
        <v>0.0</v>
      </c>
      <c r="J35" s="167">
        <v>0.0</v>
      </c>
      <c r="K35" s="167">
        <v>0.0</v>
      </c>
      <c r="L35" s="167">
        <v>0.0</v>
      </c>
      <c r="M35" s="167">
        <v>0.0</v>
      </c>
      <c r="N35" s="167">
        <v>0.0</v>
      </c>
      <c r="O35" s="167">
        <v>0.0</v>
      </c>
      <c r="P35" s="167">
        <v>10.0</v>
      </c>
      <c r="Q35" s="167">
        <v>0.0</v>
      </c>
      <c r="R35" s="167">
        <v>0.0</v>
      </c>
      <c r="S35" s="167">
        <v>0.0</v>
      </c>
      <c r="T35" s="167">
        <v>0.0</v>
      </c>
      <c r="U35" s="167">
        <v>0.0</v>
      </c>
      <c r="V35" s="167">
        <v>0.0</v>
      </c>
      <c r="W35" s="167">
        <v>0.0</v>
      </c>
      <c r="X35" s="167">
        <v>0.0</v>
      </c>
    </row>
    <row r="36" ht="15.75" customHeight="1">
      <c r="A36" s="167">
        <v>5.0</v>
      </c>
      <c r="B36" s="167" t="s">
        <v>166</v>
      </c>
      <c r="C36" s="167">
        <v>8.0</v>
      </c>
      <c r="D36" s="168">
        <v>44.0</v>
      </c>
      <c r="E36" s="219">
        <v>0.0</v>
      </c>
      <c r="F36" s="167">
        <v>0.0</v>
      </c>
      <c r="G36" s="167">
        <v>0.0</v>
      </c>
      <c r="H36" s="167">
        <v>0.0</v>
      </c>
      <c r="I36" s="167">
        <v>1.0</v>
      </c>
      <c r="J36" s="167">
        <v>0.0</v>
      </c>
      <c r="K36" s="167">
        <v>0.0</v>
      </c>
      <c r="L36" s="167">
        <v>0.0</v>
      </c>
      <c r="M36" s="167">
        <v>0.0</v>
      </c>
      <c r="N36" s="167">
        <v>0.0</v>
      </c>
      <c r="O36" s="167">
        <v>0.0</v>
      </c>
      <c r="P36" s="167">
        <v>0.0</v>
      </c>
      <c r="Q36" s="167">
        <v>0.0</v>
      </c>
      <c r="R36" s="167">
        <v>0.0</v>
      </c>
      <c r="S36" s="167">
        <v>0.0</v>
      </c>
      <c r="T36" s="167">
        <v>0.0</v>
      </c>
      <c r="U36" s="167">
        <v>0.0</v>
      </c>
      <c r="V36" s="167">
        <v>0.0</v>
      </c>
      <c r="W36" s="167">
        <v>0.0</v>
      </c>
      <c r="X36" s="167">
        <v>0.0</v>
      </c>
    </row>
    <row r="37" ht="15.75" customHeight="1">
      <c r="A37" s="167">
        <v>5.0</v>
      </c>
      <c r="B37" s="167" t="s">
        <v>167</v>
      </c>
      <c r="C37" s="167">
        <v>8.0</v>
      </c>
      <c r="D37" s="168">
        <v>44.0</v>
      </c>
      <c r="E37" s="219">
        <v>0.0</v>
      </c>
      <c r="F37" s="167">
        <v>0.0</v>
      </c>
      <c r="G37" s="167">
        <v>0.0</v>
      </c>
      <c r="H37" s="167">
        <v>0.0</v>
      </c>
      <c r="I37" s="167">
        <v>0.0</v>
      </c>
      <c r="J37" s="167">
        <v>0.0</v>
      </c>
      <c r="K37" s="167">
        <v>0.0</v>
      </c>
      <c r="L37" s="167">
        <v>0.0</v>
      </c>
      <c r="M37" s="167">
        <v>0.0</v>
      </c>
      <c r="N37" s="167">
        <v>0.0</v>
      </c>
      <c r="O37" s="167">
        <v>10.0</v>
      </c>
      <c r="P37" s="167">
        <v>0.0</v>
      </c>
      <c r="Q37" s="167">
        <v>0.0</v>
      </c>
      <c r="R37" s="167">
        <v>0.0</v>
      </c>
      <c r="S37" s="167">
        <v>0.0</v>
      </c>
      <c r="T37" s="167">
        <v>0.0</v>
      </c>
      <c r="U37" s="167">
        <v>0.0</v>
      </c>
      <c r="V37" s="167">
        <v>0.0</v>
      </c>
      <c r="W37" s="167">
        <v>0.0</v>
      </c>
      <c r="X37" s="167">
        <v>0.0</v>
      </c>
    </row>
    <row r="38" ht="15.75" customHeight="1">
      <c r="A38" s="167">
        <v>5.0</v>
      </c>
      <c r="B38" s="167" t="s">
        <v>168</v>
      </c>
      <c r="C38" s="167">
        <v>8.0</v>
      </c>
      <c r="D38" s="168">
        <v>44.0</v>
      </c>
      <c r="E38" s="219">
        <v>0.0</v>
      </c>
      <c r="F38" s="167">
        <v>0.0</v>
      </c>
      <c r="G38" s="167">
        <v>0.0</v>
      </c>
      <c r="H38" s="167">
        <v>1.0</v>
      </c>
      <c r="I38" s="167">
        <v>0.0</v>
      </c>
      <c r="J38" s="167">
        <v>0.0</v>
      </c>
      <c r="K38" s="167">
        <v>0.0</v>
      </c>
      <c r="L38" s="167">
        <v>0.0</v>
      </c>
      <c r="M38" s="167">
        <v>0.0</v>
      </c>
      <c r="N38" s="167">
        <v>0.0</v>
      </c>
      <c r="O38" s="167">
        <v>0.0</v>
      </c>
      <c r="P38" s="167">
        <v>0.0</v>
      </c>
      <c r="Q38" s="167">
        <v>0.0</v>
      </c>
      <c r="R38" s="167">
        <v>0.0</v>
      </c>
      <c r="S38" s="167">
        <v>0.0</v>
      </c>
      <c r="T38" s="167">
        <v>0.0</v>
      </c>
      <c r="U38" s="167">
        <v>0.0</v>
      </c>
      <c r="V38" s="167">
        <v>0.0</v>
      </c>
      <c r="W38" s="167">
        <v>0.0</v>
      </c>
      <c r="X38" s="167">
        <v>0.0</v>
      </c>
    </row>
    <row r="39" ht="15.75" customHeight="1">
      <c r="A39" s="167">
        <v>6.0</v>
      </c>
      <c r="B39" s="167" t="s">
        <v>164</v>
      </c>
      <c r="C39" s="167">
        <v>10.0</v>
      </c>
      <c r="D39" s="168">
        <v>54.0</v>
      </c>
      <c r="E39" s="219">
        <v>50.0</v>
      </c>
      <c r="F39" s="167">
        <v>0.0</v>
      </c>
      <c r="G39" s="167">
        <v>0.0</v>
      </c>
      <c r="H39" s="167">
        <v>0.0</v>
      </c>
      <c r="I39" s="167">
        <v>0.0</v>
      </c>
      <c r="J39" s="167">
        <v>0.0</v>
      </c>
      <c r="K39" s="167">
        <v>0.0</v>
      </c>
      <c r="L39" s="167">
        <v>0.0</v>
      </c>
      <c r="M39" s="167">
        <v>0.0</v>
      </c>
      <c r="N39" s="167">
        <v>0.0</v>
      </c>
      <c r="O39" s="167">
        <v>0.0</v>
      </c>
      <c r="P39" s="167">
        <v>0.0</v>
      </c>
      <c r="Q39" s="167">
        <v>0.0</v>
      </c>
      <c r="R39" s="167">
        <v>0.0</v>
      </c>
      <c r="S39" s="167">
        <v>0.0</v>
      </c>
      <c r="T39" s="167">
        <v>0.0</v>
      </c>
      <c r="U39" s="167">
        <v>0.0</v>
      </c>
      <c r="V39" s="167">
        <v>0.0</v>
      </c>
      <c r="W39" s="167">
        <v>0.0</v>
      </c>
      <c r="X39" s="167">
        <v>0.0</v>
      </c>
    </row>
    <row r="40" ht="15.75" customHeight="1">
      <c r="A40" s="167">
        <v>6.0</v>
      </c>
      <c r="B40" s="167" t="s">
        <v>165</v>
      </c>
      <c r="C40" s="167">
        <v>10.0</v>
      </c>
      <c r="D40" s="168">
        <v>54.0</v>
      </c>
      <c r="E40" s="219">
        <v>0.0</v>
      </c>
      <c r="F40" s="167">
        <v>0.0</v>
      </c>
      <c r="G40" s="167">
        <v>0.0</v>
      </c>
      <c r="H40" s="167">
        <v>0.0</v>
      </c>
      <c r="I40" s="167">
        <v>0.0</v>
      </c>
      <c r="J40" s="167">
        <v>0.0</v>
      </c>
      <c r="K40" s="167">
        <v>0.0</v>
      </c>
      <c r="L40" s="167">
        <v>0.0</v>
      </c>
      <c r="M40" s="167">
        <v>0.0</v>
      </c>
      <c r="N40" s="167">
        <v>15.0</v>
      </c>
      <c r="O40" s="167">
        <v>0.0</v>
      </c>
      <c r="P40" s="167">
        <v>0.0</v>
      </c>
      <c r="Q40" s="167">
        <v>0.0</v>
      </c>
      <c r="R40" s="167">
        <v>0.0</v>
      </c>
      <c r="S40" s="167">
        <v>0.0</v>
      </c>
      <c r="T40" s="167">
        <v>0.0</v>
      </c>
      <c r="U40" s="167">
        <v>0.0</v>
      </c>
      <c r="V40" s="167">
        <v>0.0</v>
      </c>
      <c r="W40" s="167">
        <v>0.0</v>
      </c>
      <c r="X40" s="167">
        <v>0.0</v>
      </c>
    </row>
    <row r="41" ht="15.75" customHeight="1">
      <c r="A41" s="167">
        <v>6.0</v>
      </c>
      <c r="B41" s="167" t="s">
        <v>166</v>
      </c>
      <c r="C41" s="167">
        <v>10.0</v>
      </c>
      <c r="D41" s="168">
        <v>54.0</v>
      </c>
      <c r="E41" s="219">
        <v>0.0</v>
      </c>
      <c r="F41" s="167">
        <v>0.0</v>
      </c>
      <c r="G41" s="167">
        <v>0.0</v>
      </c>
      <c r="H41" s="167">
        <v>0.0</v>
      </c>
      <c r="I41" s="167">
        <v>0.0</v>
      </c>
      <c r="J41" s="167">
        <v>1.0</v>
      </c>
      <c r="K41" s="167">
        <v>0.0</v>
      </c>
      <c r="L41" s="167">
        <v>0.0</v>
      </c>
      <c r="M41" s="167">
        <v>0.0</v>
      </c>
      <c r="N41" s="167">
        <v>0.0</v>
      </c>
      <c r="O41" s="167">
        <v>0.0</v>
      </c>
      <c r="P41" s="167">
        <v>0.0</v>
      </c>
      <c r="Q41" s="167">
        <v>0.0</v>
      </c>
      <c r="R41" s="167">
        <v>0.0</v>
      </c>
      <c r="S41" s="167">
        <v>0.0</v>
      </c>
      <c r="T41" s="167">
        <v>0.0</v>
      </c>
      <c r="U41" s="167">
        <v>0.0</v>
      </c>
      <c r="V41" s="167">
        <v>0.0</v>
      </c>
      <c r="W41" s="167">
        <v>0.0</v>
      </c>
      <c r="X41" s="167">
        <v>0.0</v>
      </c>
    </row>
    <row r="42" ht="15.75" customHeight="1">
      <c r="A42" s="167">
        <v>6.0</v>
      </c>
      <c r="B42" s="167" t="s">
        <v>167</v>
      </c>
      <c r="C42" s="167">
        <v>10.0</v>
      </c>
      <c r="D42" s="168">
        <v>54.0</v>
      </c>
      <c r="E42" s="219">
        <v>0.0</v>
      </c>
      <c r="F42" s="167">
        <v>0.0</v>
      </c>
      <c r="G42" s="167">
        <v>0.0</v>
      </c>
      <c r="H42" s="167">
        <v>0.0</v>
      </c>
      <c r="I42" s="167">
        <v>0.0</v>
      </c>
      <c r="J42" s="167">
        <v>0.0</v>
      </c>
      <c r="K42" s="167">
        <v>0.0</v>
      </c>
      <c r="L42" s="167">
        <v>1.0</v>
      </c>
      <c r="M42" s="167">
        <v>0.0</v>
      </c>
      <c r="N42" s="167">
        <v>0.0</v>
      </c>
      <c r="O42" s="167">
        <v>0.0</v>
      </c>
      <c r="P42" s="167">
        <v>0.0</v>
      </c>
      <c r="Q42" s="167">
        <v>0.0</v>
      </c>
      <c r="R42" s="167">
        <v>0.0</v>
      </c>
      <c r="S42" s="167">
        <v>0.0</v>
      </c>
      <c r="T42" s="167">
        <v>0.0</v>
      </c>
      <c r="U42" s="167">
        <v>0.0</v>
      </c>
      <c r="V42" s="167">
        <v>0.0</v>
      </c>
      <c r="W42" s="167">
        <v>0.0</v>
      </c>
      <c r="X42" s="167">
        <v>0.0</v>
      </c>
    </row>
    <row r="43" ht="15.75" customHeight="1">
      <c r="A43" s="167">
        <v>6.0</v>
      </c>
      <c r="B43" s="167" t="s">
        <v>168</v>
      </c>
      <c r="C43" s="167">
        <v>10.0</v>
      </c>
      <c r="D43" s="168">
        <v>54.0</v>
      </c>
      <c r="E43" s="219">
        <v>0.0</v>
      </c>
      <c r="F43" s="167">
        <v>0.0</v>
      </c>
      <c r="G43" s="167">
        <v>15.0</v>
      </c>
      <c r="H43" s="167">
        <v>0.0</v>
      </c>
      <c r="I43" s="167">
        <v>0.0</v>
      </c>
      <c r="J43" s="167">
        <v>0.0</v>
      </c>
      <c r="K43" s="167">
        <v>0.0</v>
      </c>
      <c r="L43" s="167">
        <v>0.0</v>
      </c>
      <c r="M43" s="167">
        <v>0.0</v>
      </c>
      <c r="N43" s="167">
        <v>0.0</v>
      </c>
      <c r="O43" s="167">
        <v>0.0</v>
      </c>
      <c r="P43" s="167">
        <v>0.0</v>
      </c>
      <c r="Q43" s="167">
        <v>0.0</v>
      </c>
      <c r="R43" s="167">
        <v>0.0</v>
      </c>
      <c r="S43" s="167">
        <v>0.0</v>
      </c>
      <c r="T43" s="167">
        <v>0.0</v>
      </c>
      <c r="U43" s="167">
        <v>0.0</v>
      </c>
      <c r="V43" s="167">
        <v>0.0</v>
      </c>
      <c r="W43" s="167">
        <v>0.0</v>
      </c>
      <c r="X43" s="167">
        <v>0.0</v>
      </c>
    </row>
    <row r="44" ht="15.75" customHeight="1">
      <c r="A44" s="167">
        <v>7.0</v>
      </c>
      <c r="B44" s="167" t="s">
        <v>164</v>
      </c>
      <c r="C44" s="167">
        <v>12.0</v>
      </c>
      <c r="D44" s="168">
        <v>66.0</v>
      </c>
      <c r="E44" s="219">
        <v>0.0</v>
      </c>
      <c r="F44" s="167">
        <v>0.0</v>
      </c>
      <c r="G44" s="167">
        <v>0.0</v>
      </c>
      <c r="H44" s="167">
        <v>0.0</v>
      </c>
      <c r="I44" s="167">
        <v>0.0</v>
      </c>
      <c r="J44" s="167">
        <v>0.0</v>
      </c>
      <c r="K44" s="167">
        <v>1.0</v>
      </c>
      <c r="L44" s="167">
        <v>0.0</v>
      </c>
      <c r="M44" s="167">
        <v>0.0</v>
      </c>
      <c r="N44" s="167">
        <v>0.0</v>
      </c>
      <c r="O44" s="167">
        <v>0.0</v>
      </c>
      <c r="P44" s="167">
        <v>0.0</v>
      </c>
      <c r="Q44" s="167">
        <v>0.0</v>
      </c>
      <c r="R44" s="167">
        <v>0.0</v>
      </c>
      <c r="S44" s="167">
        <v>0.0</v>
      </c>
      <c r="T44" s="167">
        <v>0.0</v>
      </c>
      <c r="U44" s="167">
        <v>0.0</v>
      </c>
      <c r="V44" s="167">
        <v>0.0</v>
      </c>
      <c r="W44" s="167">
        <v>0.0</v>
      </c>
      <c r="X44" s="167">
        <v>0.0</v>
      </c>
    </row>
    <row r="45" ht="15.75" customHeight="1">
      <c r="A45" s="167">
        <v>7.0</v>
      </c>
      <c r="B45" s="167" t="s">
        <v>165</v>
      </c>
      <c r="C45" s="167">
        <v>12.0</v>
      </c>
      <c r="D45" s="168">
        <v>66.0</v>
      </c>
      <c r="E45" s="219">
        <v>0.0</v>
      </c>
      <c r="F45" s="167">
        <v>0.0</v>
      </c>
      <c r="G45" s="167">
        <v>0.0</v>
      </c>
      <c r="H45" s="167">
        <v>0.0</v>
      </c>
      <c r="I45" s="167">
        <v>0.0</v>
      </c>
      <c r="J45" s="167">
        <v>0.0</v>
      </c>
      <c r="K45" s="167">
        <v>0.0</v>
      </c>
      <c r="L45" s="167">
        <v>0.0</v>
      </c>
      <c r="M45" s="167">
        <v>0.0</v>
      </c>
      <c r="N45" s="167">
        <v>0.0</v>
      </c>
      <c r="O45" s="167">
        <v>15.0</v>
      </c>
      <c r="P45" s="167">
        <v>0.0</v>
      </c>
      <c r="Q45" s="167">
        <v>0.0</v>
      </c>
      <c r="R45" s="167">
        <v>0.0</v>
      </c>
      <c r="S45" s="167">
        <v>0.0</v>
      </c>
      <c r="T45" s="167">
        <v>0.0</v>
      </c>
      <c r="U45" s="167">
        <v>0.0</v>
      </c>
      <c r="V45" s="167">
        <v>0.0</v>
      </c>
      <c r="W45" s="167">
        <v>0.0</v>
      </c>
      <c r="X45" s="167">
        <v>0.0</v>
      </c>
    </row>
    <row r="46" ht="15.75" customHeight="1">
      <c r="A46" s="167">
        <v>7.0</v>
      </c>
      <c r="B46" s="167" t="s">
        <v>166</v>
      </c>
      <c r="C46" s="167">
        <v>12.0</v>
      </c>
      <c r="D46" s="168">
        <v>66.0</v>
      </c>
      <c r="E46" s="219">
        <v>0.0</v>
      </c>
      <c r="F46" s="167">
        <v>0.0</v>
      </c>
      <c r="G46" s="167">
        <v>0.0</v>
      </c>
      <c r="H46" s="167">
        <v>1.0</v>
      </c>
      <c r="I46" s="167">
        <v>0.0</v>
      </c>
      <c r="J46" s="167">
        <v>0.0</v>
      </c>
      <c r="K46" s="167">
        <v>0.0</v>
      </c>
      <c r="L46" s="167">
        <v>0.0</v>
      </c>
      <c r="M46" s="167">
        <v>0.0</v>
      </c>
      <c r="N46" s="167">
        <v>0.0</v>
      </c>
      <c r="O46" s="167">
        <v>0.0</v>
      </c>
      <c r="P46" s="167">
        <v>0.0</v>
      </c>
      <c r="Q46" s="167">
        <v>0.0</v>
      </c>
      <c r="R46" s="167">
        <v>0.0</v>
      </c>
      <c r="S46" s="167">
        <v>0.0</v>
      </c>
      <c r="T46" s="167">
        <v>0.0</v>
      </c>
      <c r="U46" s="167">
        <v>0.0</v>
      </c>
      <c r="V46" s="167">
        <v>0.0</v>
      </c>
      <c r="W46" s="167">
        <v>0.0</v>
      </c>
      <c r="X46" s="167">
        <v>0.0</v>
      </c>
    </row>
    <row r="47" ht="15.75" customHeight="1">
      <c r="A47" s="167">
        <v>7.0</v>
      </c>
      <c r="B47" s="167" t="s">
        <v>167</v>
      </c>
      <c r="C47" s="167">
        <v>12.0</v>
      </c>
      <c r="D47" s="168">
        <v>66.0</v>
      </c>
      <c r="E47" s="219">
        <v>0.0</v>
      </c>
      <c r="F47" s="167">
        <v>30.0</v>
      </c>
      <c r="G47" s="167">
        <v>0.0</v>
      </c>
      <c r="H47" s="167">
        <v>0.0</v>
      </c>
      <c r="I47" s="167">
        <v>0.0</v>
      </c>
      <c r="J47" s="167">
        <v>0.0</v>
      </c>
      <c r="K47" s="167">
        <v>0.0</v>
      </c>
      <c r="L47" s="167">
        <v>0.0</v>
      </c>
      <c r="M47" s="167">
        <v>0.0</v>
      </c>
      <c r="N47" s="167">
        <v>0.0</v>
      </c>
      <c r="O47" s="167">
        <v>0.0</v>
      </c>
      <c r="P47" s="167">
        <v>0.0</v>
      </c>
      <c r="Q47" s="167">
        <v>0.0</v>
      </c>
      <c r="R47" s="167">
        <v>0.0</v>
      </c>
      <c r="S47" s="167">
        <v>0.0</v>
      </c>
      <c r="T47" s="167">
        <v>0.0</v>
      </c>
      <c r="U47" s="167">
        <v>0.0</v>
      </c>
      <c r="V47" s="167">
        <v>0.0</v>
      </c>
      <c r="W47" s="167">
        <v>0.0</v>
      </c>
      <c r="X47" s="167">
        <v>0.0</v>
      </c>
    </row>
    <row r="48" ht="15.75" customHeight="1">
      <c r="A48" s="167">
        <v>7.0</v>
      </c>
      <c r="B48" s="167" t="s">
        <v>168</v>
      </c>
      <c r="C48" s="167">
        <v>12.0</v>
      </c>
      <c r="D48" s="168">
        <v>66.0</v>
      </c>
      <c r="E48" s="219">
        <v>0.0</v>
      </c>
      <c r="F48" s="167">
        <v>0.0</v>
      </c>
      <c r="G48" s="167">
        <v>15.0</v>
      </c>
      <c r="H48" s="167">
        <v>0.0</v>
      </c>
      <c r="I48" s="167">
        <v>0.0</v>
      </c>
      <c r="J48" s="167">
        <v>0.0</v>
      </c>
      <c r="K48" s="167">
        <v>0.0</v>
      </c>
      <c r="L48" s="167">
        <v>0.0</v>
      </c>
      <c r="M48" s="167">
        <v>0.0</v>
      </c>
      <c r="N48" s="167">
        <v>0.0</v>
      </c>
      <c r="O48" s="167">
        <v>0.0</v>
      </c>
      <c r="P48" s="167">
        <v>0.0</v>
      </c>
      <c r="Q48" s="167">
        <v>0.0</v>
      </c>
      <c r="R48" s="167">
        <v>0.0</v>
      </c>
      <c r="S48" s="167">
        <v>0.0</v>
      </c>
      <c r="T48" s="167">
        <v>0.0</v>
      </c>
      <c r="U48" s="167">
        <v>0.0</v>
      </c>
      <c r="V48" s="167">
        <v>0.0</v>
      </c>
      <c r="W48" s="167">
        <v>0.0</v>
      </c>
      <c r="X48" s="167">
        <v>0.0</v>
      </c>
    </row>
    <row r="49" ht="15.75" customHeight="1">
      <c r="A49" s="167">
        <v>8.0</v>
      </c>
      <c r="B49" s="167" t="s">
        <v>164</v>
      </c>
      <c r="C49" s="167">
        <v>15.0</v>
      </c>
      <c r="D49" s="168">
        <v>81.0</v>
      </c>
      <c r="E49" s="219">
        <v>0.0</v>
      </c>
      <c r="F49" s="167">
        <v>0.0</v>
      </c>
      <c r="G49" s="167">
        <v>0.0</v>
      </c>
      <c r="H49" s="167">
        <v>0.0</v>
      </c>
      <c r="I49" s="167">
        <v>0.0</v>
      </c>
      <c r="J49" s="167">
        <v>1.0</v>
      </c>
      <c r="K49" s="167">
        <v>0.0</v>
      </c>
      <c r="L49" s="167">
        <v>0.0</v>
      </c>
      <c r="M49" s="167">
        <v>0.0</v>
      </c>
      <c r="N49" s="167">
        <v>30.0</v>
      </c>
      <c r="O49" s="167">
        <v>0.0</v>
      </c>
      <c r="P49" s="167">
        <v>0.0</v>
      </c>
      <c r="Q49" s="167">
        <v>0.0</v>
      </c>
      <c r="R49" s="167">
        <v>0.0</v>
      </c>
      <c r="S49" s="167">
        <v>0.0</v>
      </c>
      <c r="T49" s="167">
        <v>0.0</v>
      </c>
      <c r="U49" s="167">
        <v>0.0</v>
      </c>
      <c r="V49" s="167">
        <v>0.0</v>
      </c>
      <c r="W49" s="167">
        <v>0.0</v>
      </c>
      <c r="X49" s="167">
        <v>0.0</v>
      </c>
    </row>
    <row r="50" ht="15.75" customHeight="1">
      <c r="A50" s="167">
        <v>8.0</v>
      </c>
      <c r="B50" s="167" t="s">
        <v>165</v>
      </c>
      <c r="C50" s="167">
        <v>15.0</v>
      </c>
      <c r="D50" s="168">
        <v>81.0</v>
      </c>
      <c r="E50" s="219">
        <v>0.0</v>
      </c>
      <c r="F50" s="167">
        <v>0.0</v>
      </c>
      <c r="G50" s="167">
        <v>0.0</v>
      </c>
      <c r="H50" s="167">
        <v>0.0</v>
      </c>
      <c r="I50" s="167">
        <v>0.0</v>
      </c>
      <c r="J50" s="167">
        <v>0.0</v>
      </c>
      <c r="K50" s="167">
        <v>0.0</v>
      </c>
      <c r="L50" s="167">
        <v>0.0</v>
      </c>
      <c r="M50" s="167">
        <v>1.0</v>
      </c>
      <c r="N50" s="167">
        <v>0.0</v>
      </c>
      <c r="O50" s="167">
        <v>0.0</v>
      </c>
      <c r="P50" s="167">
        <v>0.0</v>
      </c>
      <c r="Q50" s="167">
        <v>0.0</v>
      </c>
      <c r="R50" s="167">
        <v>0.0</v>
      </c>
      <c r="S50" s="167">
        <v>0.0</v>
      </c>
      <c r="T50" s="167">
        <v>0.0</v>
      </c>
      <c r="U50" s="167">
        <v>0.0</v>
      </c>
      <c r="V50" s="167">
        <v>0.0</v>
      </c>
      <c r="W50" s="167">
        <v>0.0</v>
      </c>
      <c r="X50" s="167">
        <v>0.0</v>
      </c>
    </row>
    <row r="51" ht="15.75" customHeight="1">
      <c r="A51" s="167">
        <v>8.0</v>
      </c>
      <c r="B51" s="167" t="s">
        <v>166</v>
      </c>
      <c r="C51" s="167">
        <v>15.0</v>
      </c>
      <c r="D51" s="168">
        <v>81.0</v>
      </c>
      <c r="E51" s="219">
        <v>0.0</v>
      </c>
      <c r="F51" s="167">
        <v>0.0</v>
      </c>
      <c r="G51" s="167">
        <v>0.0</v>
      </c>
      <c r="H51" s="167">
        <v>0.0</v>
      </c>
      <c r="I51" s="167">
        <v>0.0</v>
      </c>
      <c r="J51" s="167">
        <v>0.0</v>
      </c>
      <c r="K51" s="167">
        <v>0.0</v>
      </c>
      <c r="L51" s="167">
        <v>0.0</v>
      </c>
      <c r="M51" s="167">
        <v>0.0</v>
      </c>
      <c r="N51" s="167">
        <v>0.0</v>
      </c>
      <c r="O51" s="167">
        <v>0.0</v>
      </c>
      <c r="P51" s="167">
        <v>15.0</v>
      </c>
      <c r="Q51" s="167">
        <v>0.0</v>
      </c>
      <c r="R51" s="167">
        <v>0.0</v>
      </c>
      <c r="S51" s="167">
        <v>0.0</v>
      </c>
      <c r="T51" s="167">
        <v>0.0</v>
      </c>
      <c r="U51" s="167">
        <v>0.0</v>
      </c>
      <c r="V51" s="167">
        <v>0.0</v>
      </c>
      <c r="W51" s="167">
        <v>0.0</v>
      </c>
      <c r="X51" s="167">
        <v>0.0</v>
      </c>
    </row>
    <row r="52" ht="15.75" customHeight="1">
      <c r="A52" s="167">
        <v>8.0</v>
      </c>
      <c r="B52" s="167" t="s">
        <v>167</v>
      </c>
      <c r="C52" s="167">
        <v>15.0</v>
      </c>
      <c r="D52" s="168">
        <v>81.0</v>
      </c>
      <c r="E52" s="219">
        <v>0.0</v>
      </c>
      <c r="F52" s="167">
        <v>0.0</v>
      </c>
      <c r="G52" s="167">
        <v>0.0</v>
      </c>
      <c r="H52" s="167">
        <v>0.0</v>
      </c>
      <c r="I52" s="167">
        <v>1.0</v>
      </c>
      <c r="J52" s="167">
        <v>0.0</v>
      </c>
      <c r="K52" s="167">
        <v>0.0</v>
      </c>
      <c r="L52" s="167">
        <v>0.0</v>
      </c>
      <c r="M52" s="167">
        <v>0.0</v>
      </c>
      <c r="N52" s="167">
        <v>0.0</v>
      </c>
      <c r="O52" s="167">
        <v>0.0</v>
      </c>
      <c r="P52" s="167">
        <v>0.0</v>
      </c>
      <c r="Q52" s="167">
        <v>0.0</v>
      </c>
      <c r="R52" s="167">
        <v>0.0</v>
      </c>
      <c r="S52" s="167">
        <v>0.0</v>
      </c>
      <c r="T52" s="167">
        <v>0.0</v>
      </c>
      <c r="U52" s="167">
        <v>0.0</v>
      </c>
      <c r="V52" s="167">
        <v>0.0</v>
      </c>
      <c r="W52" s="167">
        <v>0.0</v>
      </c>
      <c r="X52" s="167">
        <v>0.0</v>
      </c>
    </row>
    <row r="53" ht="15.75" customHeight="1">
      <c r="A53" s="167">
        <v>8.0</v>
      </c>
      <c r="B53" s="167" t="s">
        <v>168</v>
      </c>
      <c r="C53" s="167">
        <v>15.0</v>
      </c>
      <c r="D53" s="168">
        <v>81.0</v>
      </c>
      <c r="E53" s="219">
        <v>0.0</v>
      </c>
      <c r="F53" s="167">
        <v>0.0</v>
      </c>
      <c r="G53" s="167">
        <v>0.0</v>
      </c>
      <c r="H53" s="167">
        <v>1.0</v>
      </c>
      <c r="I53" s="167">
        <v>0.0</v>
      </c>
      <c r="J53" s="167">
        <v>0.0</v>
      </c>
      <c r="K53" s="167">
        <v>0.0</v>
      </c>
      <c r="L53" s="167">
        <v>0.0</v>
      </c>
      <c r="M53" s="167">
        <v>0.0</v>
      </c>
      <c r="N53" s="167">
        <v>0.0</v>
      </c>
      <c r="O53" s="167">
        <v>0.0</v>
      </c>
      <c r="P53" s="167">
        <v>0.0</v>
      </c>
      <c r="Q53" s="167">
        <v>0.0</v>
      </c>
      <c r="R53" s="167">
        <v>0.0</v>
      </c>
      <c r="S53" s="167">
        <v>0.0</v>
      </c>
      <c r="T53" s="167">
        <v>0.0</v>
      </c>
      <c r="U53" s="167">
        <v>0.0</v>
      </c>
      <c r="V53" s="167">
        <v>0.0</v>
      </c>
      <c r="W53" s="167">
        <v>0.0</v>
      </c>
      <c r="X53" s="167">
        <v>0.0</v>
      </c>
    </row>
    <row r="54" ht="15.75" customHeight="1">
      <c r="A54" s="167">
        <v>9.0</v>
      </c>
      <c r="B54" s="167" t="s">
        <v>164</v>
      </c>
      <c r="C54" s="167">
        <v>17.0</v>
      </c>
      <c r="D54" s="168">
        <v>98.0</v>
      </c>
      <c r="E54" s="219">
        <v>70.0</v>
      </c>
      <c r="F54" s="167">
        <v>30.0</v>
      </c>
      <c r="G54" s="167">
        <v>0.0</v>
      </c>
      <c r="H54" s="167">
        <v>1.0</v>
      </c>
      <c r="I54" s="167">
        <v>0.0</v>
      </c>
      <c r="J54" s="167">
        <v>0.0</v>
      </c>
      <c r="K54" s="167">
        <v>0.0</v>
      </c>
      <c r="L54" s="167">
        <v>0.0</v>
      </c>
      <c r="M54" s="167">
        <v>0.0</v>
      </c>
      <c r="N54" s="167">
        <v>0.0</v>
      </c>
      <c r="O54" s="167">
        <v>0.0</v>
      </c>
      <c r="P54" s="167">
        <v>0.0</v>
      </c>
      <c r="Q54" s="167">
        <v>0.0</v>
      </c>
      <c r="R54" s="167">
        <v>0.0</v>
      </c>
      <c r="S54" s="167">
        <v>0.0</v>
      </c>
      <c r="T54" s="167">
        <v>0.0</v>
      </c>
      <c r="U54" s="167">
        <v>0.0</v>
      </c>
      <c r="V54" s="167">
        <v>0.0</v>
      </c>
      <c r="W54" s="167">
        <v>0.0</v>
      </c>
      <c r="X54" s="167">
        <v>0.0</v>
      </c>
    </row>
    <row r="55" ht="15.75" customHeight="1">
      <c r="A55" s="167">
        <v>9.0</v>
      </c>
      <c r="B55" s="167" t="s">
        <v>165</v>
      </c>
      <c r="C55" s="167">
        <v>17.0</v>
      </c>
      <c r="D55" s="168">
        <v>98.0</v>
      </c>
      <c r="E55" s="219">
        <v>0.0</v>
      </c>
      <c r="F55" s="167">
        <v>0.0</v>
      </c>
      <c r="G55" s="167">
        <v>0.0</v>
      </c>
      <c r="H55" s="167">
        <v>0.0</v>
      </c>
      <c r="I55" s="167">
        <v>0.0</v>
      </c>
      <c r="J55" s="167">
        <v>0.0</v>
      </c>
      <c r="K55" s="167">
        <v>1.0</v>
      </c>
      <c r="L55" s="167">
        <v>0.0</v>
      </c>
      <c r="M55" s="167">
        <v>0.0</v>
      </c>
      <c r="N55" s="167">
        <v>0.0</v>
      </c>
      <c r="O55" s="167">
        <v>0.0</v>
      </c>
      <c r="P55" s="167">
        <v>0.0</v>
      </c>
      <c r="Q55" s="167">
        <v>15.0</v>
      </c>
      <c r="R55" s="167">
        <v>0.0</v>
      </c>
      <c r="S55" s="167">
        <v>0.0</v>
      </c>
      <c r="T55" s="167">
        <v>0.0</v>
      </c>
      <c r="U55" s="167">
        <v>0.0</v>
      </c>
      <c r="V55" s="167">
        <v>0.0</v>
      </c>
      <c r="W55" s="167">
        <v>0.0</v>
      </c>
      <c r="X55" s="167">
        <v>0.0</v>
      </c>
    </row>
    <row r="56" ht="15.75" customHeight="1">
      <c r="A56" s="167">
        <v>9.0</v>
      </c>
      <c r="B56" s="167" t="s">
        <v>166</v>
      </c>
      <c r="C56" s="167">
        <v>17.0</v>
      </c>
      <c r="D56" s="168">
        <v>98.0</v>
      </c>
      <c r="E56" s="219">
        <v>0.0</v>
      </c>
      <c r="F56" s="167">
        <v>0.0</v>
      </c>
      <c r="G56" s="167">
        <v>0.0</v>
      </c>
      <c r="H56" s="167">
        <v>0.0</v>
      </c>
      <c r="I56" s="167">
        <v>0.0</v>
      </c>
      <c r="J56" s="167">
        <v>0.0</v>
      </c>
      <c r="K56" s="167">
        <v>0.0</v>
      </c>
      <c r="L56" s="167">
        <v>0.0</v>
      </c>
      <c r="M56" s="167">
        <v>0.0</v>
      </c>
      <c r="N56" s="167">
        <v>0.0</v>
      </c>
      <c r="O56" s="167">
        <v>0.0</v>
      </c>
      <c r="P56" s="167">
        <v>15.0</v>
      </c>
      <c r="Q56" s="167">
        <v>0.0</v>
      </c>
      <c r="R56" s="167">
        <v>0.0</v>
      </c>
      <c r="S56" s="167">
        <v>0.0</v>
      </c>
      <c r="T56" s="167">
        <v>0.0</v>
      </c>
      <c r="U56" s="167">
        <v>0.0</v>
      </c>
      <c r="V56" s="167">
        <v>0.0</v>
      </c>
      <c r="W56" s="167">
        <v>0.0</v>
      </c>
      <c r="X56" s="167">
        <v>0.0</v>
      </c>
    </row>
    <row r="57" ht="15.75" customHeight="1">
      <c r="A57" s="167">
        <v>9.0</v>
      </c>
      <c r="B57" s="167" t="s">
        <v>167</v>
      </c>
      <c r="C57" s="167">
        <v>17.0</v>
      </c>
      <c r="D57" s="168">
        <v>98.0</v>
      </c>
      <c r="E57" s="219">
        <v>0.0</v>
      </c>
      <c r="F57" s="167">
        <v>0.0</v>
      </c>
      <c r="G57" s="167">
        <v>0.0</v>
      </c>
      <c r="H57" s="167">
        <v>0.0</v>
      </c>
      <c r="I57" s="167">
        <v>0.0</v>
      </c>
      <c r="J57" s="167">
        <v>0.0</v>
      </c>
      <c r="K57" s="167">
        <v>0.0</v>
      </c>
      <c r="L57" s="167">
        <v>0.0</v>
      </c>
      <c r="M57" s="167">
        <v>0.0</v>
      </c>
      <c r="N57" s="167">
        <v>0.0</v>
      </c>
      <c r="O57" s="167">
        <v>15.0</v>
      </c>
      <c r="P57" s="167">
        <v>0.0</v>
      </c>
      <c r="Q57" s="167">
        <v>0.0</v>
      </c>
      <c r="R57" s="167">
        <v>0.0</v>
      </c>
      <c r="S57" s="167">
        <v>0.0</v>
      </c>
      <c r="T57" s="167">
        <v>0.0</v>
      </c>
      <c r="U57" s="167">
        <v>0.0</v>
      </c>
      <c r="V57" s="167">
        <v>0.0</v>
      </c>
      <c r="W57" s="167">
        <v>0.0</v>
      </c>
      <c r="X57" s="167">
        <v>0.0</v>
      </c>
    </row>
    <row r="58" ht="15.75" customHeight="1">
      <c r="A58" s="167">
        <v>9.0</v>
      </c>
      <c r="B58" s="167" t="s">
        <v>168</v>
      </c>
      <c r="C58" s="167">
        <v>17.0</v>
      </c>
      <c r="D58" s="168">
        <v>98.0</v>
      </c>
      <c r="E58" s="219">
        <v>0.0</v>
      </c>
      <c r="F58" s="167">
        <v>0.0</v>
      </c>
      <c r="G58" s="167">
        <v>15.0</v>
      </c>
      <c r="H58" s="167">
        <v>0.0</v>
      </c>
      <c r="I58" s="167">
        <v>0.0</v>
      </c>
      <c r="J58" s="167">
        <v>0.0</v>
      </c>
      <c r="K58" s="167">
        <v>0.0</v>
      </c>
      <c r="L58" s="167">
        <v>0.0</v>
      </c>
      <c r="M58" s="167">
        <v>0.0</v>
      </c>
      <c r="N58" s="167">
        <v>0.0</v>
      </c>
      <c r="O58" s="167">
        <v>0.0</v>
      </c>
      <c r="P58" s="167">
        <v>0.0</v>
      </c>
      <c r="Q58" s="167">
        <v>0.0</v>
      </c>
      <c r="R58" s="167">
        <v>0.0</v>
      </c>
      <c r="S58" s="167">
        <v>0.0</v>
      </c>
      <c r="T58" s="167">
        <v>0.0</v>
      </c>
      <c r="U58" s="167">
        <v>0.0</v>
      </c>
      <c r="V58" s="167">
        <v>0.0</v>
      </c>
      <c r="W58" s="167">
        <v>0.0</v>
      </c>
      <c r="X58" s="167">
        <v>0.0</v>
      </c>
    </row>
    <row r="59" ht="15.75" customHeight="1">
      <c r="A59" s="167">
        <v>10.0</v>
      </c>
      <c r="B59" s="167" t="s">
        <v>164</v>
      </c>
      <c r="C59" s="167">
        <v>8.0</v>
      </c>
      <c r="D59" s="168">
        <v>106.0</v>
      </c>
      <c r="E59" s="219">
        <v>0.0</v>
      </c>
      <c r="F59" s="167">
        <v>0.0</v>
      </c>
      <c r="G59" s="167">
        <v>0.0</v>
      </c>
      <c r="H59" s="167">
        <v>0.0</v>
      </c>
      <c r="I59" s="167">
        <v>0.0</v>
      </c>
      <c r="J59" s="167">
        <v>0.0</v>
      </c>
      <c r="K59" s="167">
        <v>0.0</v>
      </c>
      <c r="L59" s="167">
        <v>0.0</v>
      </c>
      <c r="M59" s="167">
        <v>0.0</v>
      </c>
      <c r="N59" s="167">
        <v>0.0</v>
      </c>
      <c r="O59" s="167">
        <v>20.0</v>
      </c>
      <c r="P59" s="167">
        <v>0.0</v>
      </c>
      <c r="Q59" s="167">
        <v>0.0</v>
      </c>
      <c r="R59" s="167">
        <v>0.0</v>
      </c>
      <c r="S59" s="167">
        <v>0.0</v>
      </c>
      <c r="T59" s="167">
        <v>0.0</v>
      </c>
      <c r="U59" s="167">
        <v>0.0</v>
      </c>
      <c r="V59" s="167">
        <v>0.0</v>
      </c>
      <c r="W59" s="167">
        <v>0.0</v>
      </c>
      <c r="X59" s="167">
        <v>0.0</v>
      </c>
    </row>
    <row r="60" ht="15.75" customHeight="1">
      <c r="A60" s="167">
        <v>10.0</v>
      </c>
      <c r="B60" s="167" t="s">
        <v>165</v>
      </c>
      <c r="C60" s="167">
        <v>8.0</v>
      </c>
      <c r="D60" s="168">
        <v>106.0</v>
      </c>
      <c r="E60" s="219">
        <v>0.0</v>
      </c>
      <c r="F60" s="167">
        <v>0.0</v>
      </c>
      <c r="G60" s="167">
        <v>0.0</v>
      </c>
      <c r="H60" s="167">
        <v>0.0</v>
      </c>
      <c r="I60" s="167">
        <v>0.0</v>
      </c>
      <c r="J60" s="167">
        <v>0.0</v>
      </c>
      <c r="K60" s="167">
        <v>0.0</v>
      </c>
      <c r="L60" s="167">
        <v>0.0</v>
      </c>
      <c r="M60" s="167">
        <v>0.0</v>
      </c>
      <c r="N60" s="167">
        <v>15.0</v>
      </c>
      <c r="O60" s="167">
        <v>0.0</v>
      </c>
      <c r="P60" s="167">
        <v>0.0</v>
      </c>
      <c r="Q60" s="167">
        <v>0.0</v>
      </c>
      <c r="R60" s="167">
        <v>0.0</v>
      </c>
      <c r="S60" s="167">
        <v>0.0</v>
      </c>
      <c r="T60" s="167">
        <v>0.0</v>
      </c>
      <c r="U60" s="167">
        <v>0.0</v>
      </c>
      <c r="V60" s="167">
        <v>0.0</v>
      </c>
      <c r="W60" s="167">
        <v>0.0</v>
      </c>
      <c r="X60" s="167">
        <v>0.0</v>
      </c>
    </row>
    <row r="61" ht="15.75" customHeight="1">
      <c r="A61" s="167">
        <v>10.0</v>
      </c>
      <c r="B61" s="167" t="s">
        <v>166</v>
      </c>
      <c r="C61" s="167">
        <v>8.0</v>
      </c>
      <c r="D61" s="168">
        <v>106.0</v>
      </c>
      <c r="E61" s="219">
        <v>0.0</v>
      </c>
      <c r="F61" s="167">
        <v>0.0</v>
      </c>
      <c r="G61" s="167">
        <v>0.0</v>
      </c>
      <c r="H61" s="167">
        <v>0.0</v>
      </c>
      <c r="I61" s="167">
        <v>0.0</v>
      </c>
      <c r="J61" s="167">
        <v>1.0</v>
      </c>
      <c r="K61" s="167">
        <v>0.0</v>
      </c>
      <c r="L61" s="167">
        <v>0.0</v>
      </c>
      <c r="M61" s="167">
        <v>0.0</v>
      </c>
      <c r="N61" s="167">
        <v>0.0</v>
      </c>
      <c r="O61" s="167">
        <v>0.0</v>
      </c>
      <c r="P61" s="167">
        <v>0.0</v>
      </c>
      <c r="Q61" s="167">
        <v>0.0</v>
      </c>
      <c r="R61" s="167">
        <v>0.0</v>
      </c>
      <c r="S61" s="167">
        <v>0.0</v>
      </c>
      <c r="T61" s="167">
        <v>0.0</v>
      </c>
      <c r="U61" s="167">
        <v>0.0</v>
      </c>
      <c r="V61" s="167">
        <v>0.0</v>
      </c>
      <c r="W61" s="167">
        <v>0.0</v>
      </c>
      <c r="X61" s="167">
        <v>0.0</v>
      </c>
    </row>
    <row r="62" ht="15.75" customHeight="1">
      <c r="A62" s="167">
        <v>10.0</v>
      </c>
      <c r="B62" s="167" t="s">
        <v>167</v>
      </c>
      <c r="C62" s="167">
        <v>8.0</v>
      </c>
      <c r="D62" s="168">
        <v>106.0</v>
      </c>
      <c r="E62" s="219">
        <v>0.0</v>
      </c>
      <c r="F62" s="167">
        <v>0.0</v>
      </c>
      <c r="G62" s="167">
        <v>0.0</v>
      </c>
      <c r="H62" s="167">
        <v>0.0</v>
      </c>
      <c r="I62" s="167">
        <v>1.0</v>
      </c>
      <c r="J62" s="167">
        <v>0.0</v>
      </c>
      <c r="K62" s="167">
        <v>0.0</v>
      </c>
      <c r="L62" s="167">
        <v>0.0</v>
      </c>
      <c r="M62" s="167">
        <v>0.0</v>
      </c>
      <c r="N62" s="167">
        <v>0.0</v>
      </c>
      <c r="O62" s="167">
        <v>0.0</v>
      </c>
      <c r="P62" s="167">
        <v>0.0</v>
      </c>
      <c r="Q62" s="167">
        <v>0.0</v>
      </c>
      <c r="R62" s="167">
        <v>0.0</v>
      </c>
      <c r="S62" s="167">
        <v>0.0</v>
      </c>
      <c r="T62" s="167">
        <v>0.0</v>
      </c>
      <c r="U62" s="167">
        <v>0.0</v>
      </c>
      <c r="V62" s="167">
        <v>0.0</v>
      </c>
      <c r="W62" s="167">
        <v>0.0</v>
      </c>
      <c r="X62" s="167">
        <v>0.0</v>
      </c>
    </row>
    <row r="63" ht="15.75" customHeight="1">
      <c r="A63" s="167">
        <v>10.0</v>
      </c>
      <c r="B63" s="167" t="s">
        <v>168</v>
      </c>
      <c r="C63" s="167">
        <v>8.0</v>
      </c>
      <c r="D63" s="168">
        <v>106.0</v>
      </c>
      <c r="E63" s="219">
        <v>0.0</v>
      </c>
      <c r="F63" s="167">
        <v>0.0</v>
      </c>
      <c r="G63" s="167">
        <v>0.0</v>
      </c>
      <c r="H63" s="167">
        <v>1.0</v>
      </c>
      <c r="I63" s="167">
        <v>0.0</v>
      </c>
      <c r="J63" s="167">
        <v>0.0</v>
      </c>
      <c r="K63" s="167">
        <v>0.0</v>
      </c>
      <c r="L63" s="167">
        <v>0.0</v>
      </c>
      <c r="M63" s="167">
        <v>0.0</v>
      </c>
      <c r="N63" s="167">
        <v>0.0</v>
      </c>
      <c r="O63" s="167">
        <v>0.0</v>
      </c>
      <c r="P63" s="167">
        <v>0.0</v>
      </c>
      <c r="Q63" s="167">
        <v>0.0</v>
      </c>
      <c r="R63" s="167">
        <v>0.0</v>
      </c>
      <c r="S63" s="167">
        <v>0.0</v>
      </c>
      <c r="T63" s="167">
        <v>0.0</v>
      </c>
      <c r="U63" s="167">
        <v>0.0</v>
      </c>
      <c r="V63" s="167">
        <v>0.0</v>
      </c>
      <c r="W63" s="167">
        <v>0.0</v>
      </c>
      <c r="X63" s="167">
        <v>0.0</v>
      </c>
    </row>
    <row r="64" ht="15.75" customHeight="1">
      <c r="A64" s="167">
        <v>11.0</v>
      </c>
      <c r="B64" s="167" t="s">
        <v>164</v>
      </c>
      <c r="C64" s="167">
        <v>10.0</v>
      </c>
      <c r="D64" s="168">
        <v>116.0</v>
      </c>
      <c r="E64" s="219">
        <v>0.0</v>
      </c>
      <c r="F64" s="167">
        <v>0.0</v>
      </c>
      <c r="G64" s="167">
        <v>0.0</v>
      </c>
      <c r="H64" s="167">
        <v>0.0</v>
      </c>
      <c r="I64" s="167">
        <v>0.0</v>
      </c>
      <c r="J64" s="167">
        <v>0.0</v>
      </c>
      <c r="K64" s="167">
        <v>0.0</v>
      </c>
      <c r="L64" s="167">
        <v>0.0</v>
      </c>
      <c r="M64" s="167">
        <v>0.0</v>
      </c>
      <c r="N64" s="167">
        <v>15.0</v>
      </c>
      <c r="O64" s="167">
        <v>0.0</v>
      </c>
      <c r="P64" s="167">
        <v>0.0</v>
      </c>
      <c r="Q64" s="167">
        <v>0.0</v>
      </c>
      <c r="R64" s="167">
        <v>0.0</v>
      </c>
      <c r="S64" s="167">
        <v>0.0</v>
      </c>
      <c r="T64" s="167">
        <v>0.0</v>
      </c>
      <c r="U64" s="167">
        <v>0.0</v>
      </c>
      <c r="V64" s="167">
        <v>0.0</v>
      </c>
      <c r="W64" s="167">
        <v>0.0</v>
      </c>
      <c r="X64" s="167">
        <v>0.0</v>
      </c>
    </row>
    <row r="65" ht="15.75" customHeight="1">
      <c r="A65" s="167">
        <v>11.0</v>
      </c>
      <c r="B65" s="167" t="s">
        <v>165</v>
      </c>
      <c r="C65" s="167">
        <v>10.0</v>
      </c>
      <c r="D65" s="168">
        <v>116.0</v>
      </c>
      <c r="E65" s="219">
        <v>0.0</v>
      </c>
      <c r="F65" s="167">
        <v>0.0</v>
      </c>
      <c r="G65" s="167">
        <v>0.0</v>
      </c>
      <c r="H65" s="167">
        <v>0.0</v>
      </c>
      <c r="I65" s="167">
        <v>0.0</v>
      </c>
      <c r="J65" s="167">
        <v>0.0</v>
      </c>
      <c r="K65" s="167">
        <v>0.0</v>
      </c>
      <c r="L65" s="167">
        <v>0.0</v>
      </c>
      <c r="M65" s="167">
        <v>0.0</v>
      </c>
      <c r="N65" s="167">
        <v>0.0</v>
      </c>
      <c r="O65" s="167">
        <v>0.0</v>
      </c>
      <c r="P65" s="167">
        <v>10.0</v>
      </c>
      <c r="Q65" s="167">
        <v>0.0</v>
      </c>
      <c r="R65" s="167">
        <v>0.0</v>
      </c>
      <c r="S65" s="167">
        <v>0.0</v>
      </c>
      <c r="T65" s="167">
        <v>0.0</v>
      </c>
      <c r="U65" s="167">
        <v>0.0</v>
      </c>
      <c r="V65" s="167">
        <v>0.0</v>
      </c>
      <c r="W65" s="167">
        <v>0.0</v>
      </c>
      <c r="X65" s="167">
        <v>0.0</v>
      </c>
    </row>
    <row r="66" ht="15.75" customHeight="1">
      <c r="A66" s="167">
        <v>11.0</v>
      </c>
      <c r="B66" s="167" t="s">
        <v>166</v>
      </c>
      <c r="C66" s="167">
        <v>10.0</v>
      </c>
      <c r="D66" s="168">
        <v>116.0</v>
      </c>
      <c r="E66" s="219">
        <v>0.0</v>
      </c>
      <c r="F66" s="167">
        <v>0.0</v>
      </c>
      <c r="G66" s="167">
        <v>0.0</v>
      </c>
      <c r="H66" s="167">
        <v>0.0</v>
      </c>
      <c r="I66" s="167">
        <v>0.0</v>
      </c>
      <c r="J66" s="167">
        <v>0.0</v>
      </c>
      <c r="K66" s="167">
        <v>1.0</v>
      </c>
      <c r="L66" s="167">
        <v>0.0</v>
      </c>
      <c r="M66" s="167">
        <v>0.0</v>
      </c>
      <c r="N66" s="167">
        <v>0.0</v>
      </c>
      <c r="O66" s="167">
        <v>0.0</v>
      </c>
      <c r="P66" s="167">
        <v>0.0</v>
      </c>
      <c r="Q66" s="167">
        <v>0.0</v>
      </c>
      <c r="R66" s="167">
        <v>0.0</v>
      </c>
      <c r="S66" s="167">
        <v>0.0</v>
      </c>
      <c r="T66" s="167">
        <v>0.0</v>
      </c>
      <c r="U66" s="167">
        <v>0.0</v>
      </c>
      <c r="V66" s="167">
        <v>0.0</v>
      </c>
      <c r="W66" s="167">
        <v>0.0</v>
      </c>
      <c r="X66" s="167">
        <v>0.0</v>
      </c>
    </row>
    <row r="67" ht="15.75" customHeight="1">
      <c r="A67" s="167">
        <v>11.0</v>
      </c>
      <c r="B67" s="167" t="s">
        <v>167</v>
      </c>
      <c r="C67" s="167">
        <v>10.0</v>
      </c>
      <c r="D67" s="168">
        <v>116.0</v>
      </c>
      <c r="E67" s="219">
        <v>0.0</v>
      </c>
      <c r="F67" s="167">
        <v>0.0</v>
      </c>
      <c r="G67" s="167">
        <v>0.0</v>
      </c>
      <c r="H67" s="167">
        <v>0.0</v>
      </c>
      <c r="I67" s="167">
        <v>0.0</v>
      </c>
      <c r="J67" s="167">
        <v>0.0</v>
      </c>
      <c r="K67" s="167">
        <v>0.0</v>
      </c>
      <c r="L67" s="167">
        <v>0.0</v>
      </c>
      <c r="M67" s="167">
        <v>0.0</v>
      </c>
      <c r="N67" s="167">
        <v>0.0</v>
      </c>
      <c r="O67" s="167">
        <v>10.0</v>
      </c>
      <c r="P67" s="167">
        <v>0.0</v>
      </c>
      <c r="Q67" s="167">
        <v>0.0</v>
      </c>
      <c r="R67" s="167">
        <v>0.0</v>
      </c>
      <c r="S67" s="167">
        <v>0.0</v>
      </c>
      <c r="T67" s="167">
        <v>0.0</v>
      </c>
      <c r="U67" s="167">
        <v>0.0</v>
      </c>
      <c r="V67" s="167">
        <v>0.0</v>
      </c>
      <c r="W67" s="167">
        <v>0.0</v>
      </c>
      <c r="X67" s="167">
        <v>0.0</v>
      </c>
    </row>
    <row r="68" ht="15.75" customHeight="1">
      <c r="A68" s="167">
        <v>11.0</v>
      </c>
      <c r="B68" s="167" t="s">
        <v>168</v>
      </c>
      <c r="C68" s="167">
        <v>10.0</v>
      </c>
      <c r="D68" s="168">
        <v>116.0</v>
      </c>
      <c r="E68" s="219">
        <v>0.0</v>
      </c>
      <c r="F68" s="167">
        <v>30.0</v>
      </c>
      <c r="G68" s="167">
        <v>0.0</v>
      </c>
      <c r="H68" s="167">
        <v>0.0</v>
      </c>
      <c r="I68" s="167">
        <v>0.0</v>
      </c>
      <c r="J68" s="167">
        <v>0.0</v>
      </c>
      <c r="K68" s="167">
        <v>0.0</v>
      </c>
      <c r="L68" s="167">
        <v>0.0</v>
      </c>
      <c r="M68" s="167">
        <v>0.0</v>
      </c>
      <c r="N68" s="167">
        <v>0.0</v>
      </c>
      <c r="O68" s="167">
        <v>0.0</v>
      </c>
      <c r="P68" s="167">
        <v>0.0</v>
      </c>
      <c r="Q68" s="167">
        <v>0.0</v>
      </c>
      <c r="R68" s="167">
        <v>0.0</v>
      </c>
      <c r="S68" s="167">
        <v>0.0</v>
      </c>
      <c r="T68" s="167">
        <v>0.0</v>
      </c>
      <c r="U68" s="167">
        <v>0.0</v>
      </c>
      <c r="V68" s="167">
        <v>0.0</v>
      </c>
      <c r="W68" s="167">
        <v>0.0</v>
      </c>
      <c r="X68" s="167">
        <v>0.0</v>
      </c>
    </row>
    <row r="69" ht="15.75" customHeight="1">
      <c r="A69" s="167">
        <v>12.0</v>
      </c>
      <c r="B69" s="167" t="s">
        <v>164</v>
      </c>
      <c r="C69" s="167">
        <v>12.0</v>
      </c>
      <c r="D69" s="168">
        <v>128.0</v>
      </c>
      <c r="E69" s="219">
        <v>0.0</v>
      </c>
      <c r="F69" s="167">
        <v>0.0</v>
      </c>
      <c r="G69" s="167">
        <v>0.0</v>
      </c>
      <c r="H69" s="167">
        <v>0.0</v>
      </c>
      <c r="I69" s="167">
        <v>0.0</v>
      </c>
      <c r="J69" s="167">
        <v>0.0</v>
      </c>
      <c r="K69" s="167">
        <v>0.0</v>
      </c>
      <c r="L69" s="167">
        <v>0.0</v>
      </c>
      <c r="M69" s="167">
        <v>1.0</v>
      </c>
      <c r="N69" s="167">
        <v>0.0</v>
      </c>
      <c r="O69" s="167">
        <v>0.0</v>
      </c>
      <c r="P69" s="167">
        <v>0.0</v>
      </c>
      <c r="Q69" s="167">
        <v>0.0</v>
      </c>
      <c r="R69" s="167">
        <v>0.0</v>
      </c>
      <c r="S69" s="167">
        <v>0.0</v>
      </c>
      <c r="T69" s="167">
        <v>0.0</v>
      </c>
      <c r="U69" s="167">
        <v>0.0</v>
      </c>
      <c r="V69" s="167">
        <v>0.0</v>
      </c>
      <c r="W69" s="167">
        <v>0.0</v>
      </c>
      <c r="X69" s="167">
        <v>0.0</v>
      </c>
    </row>
    <row r="70" ht="15.75" customHeight="1">
      <c r="A70" s="167">
        <v>12.0</v>
      </c>
      <c r="B70" s="167" t="s">
        <v>165</v>
      </c>
      <c r="C70" s="167">
        <v>12.0</v>
      </c>
      <c r="D70" s="168">
        <v>128.0</v>
      </c>
      <c r="E70" s="219">
        <v>0.0</v>
      </c>
      <c r="F70" s="167">
        <v>0.0</v>
      </c>
      <c r="G70" s="167">
        <v>0.0</v>
      </c>
      <c r="H70" s="167">
        <v>0.0</v>
      </c>
      <c r="I70" s="167">
        <v>0.0</v>
      </c>
      <c r="J70" s="167">
        <v>0.0</v>
      </c>
      <c r="K70" s="167">
        <v>0.0</v>
      </c>
      <c r="L70" s="167">
        <v>1.0</v>
      </c>
      <c r="M70" s="167">
        <v>0.0</v>
      </c>
      <c r="N70" s="167">
        <v>0.0</v>
      </c>
      <c r="O70" s="167">
        <v>0.0</v>
      </c>
      <c r="P70" s="167">
        <v>0.0</v>
      </c>
      <c r="Q70" s="167">
        <v>0.0</v>
      </c>
      <c r="R70" s="167">
        <v>0.0</v>
      </c>
      <c r="S70" s="167">
        <v>0.0</v>
      </c>
      <c r="T70" s="167">
        <v>0.0</v>
      </c>
      <c r="U70" s="167">
        <v>0.0</v>
      </c>
      <c r="V70" s="167">
        <v>0.0</v>
      </c>
      <c r="W70" s="167">
        <v>0.0</v>
      </c>
      <c r="X70" s="167">
        <v>0.0</v>
      </c>
    </row>
    <row r="71" ht="15.75" customHeight="1">
      <c r="A71" s="167">
        <v>12.0</v>
      </c>
      <c r="B71" s="167" t="s">
        <v>166</v>
      </c>
      <c r="C71" s="167">
        <v>12.0</v>
      </c>
      <c r="D71" s="168">
        <v>128.0</v>
      </c>
      <c r="E71" s="219">
        <v>0.0</v>
      </c>
      <c r="F71" s="167">
        <v>0.0</v>
      </c>
      <c r="G71" s="167">
        <v>0.0</v>
      </c>
      <c r="H71" s="167">
        <v>1.0</v>
      </c>
      <c r="I71" s="167">
        <v>0.0</v>
      </c>
      <c r="J71" s="167">
        <v>0.0</v>
      </c>
      <c r="K71" s="167">
        <v>0.0</v>
      </c>
      <c r="L71" s="167">
        <v>0.0</v>
      </c>
      <c r="M71" s="167">
        <v>0.0</v>
      </c>
      <c r="N71" s="167">
        <v>0.0</v>
      </c>
      <c r="O71" s="167">
        <v>0.0</v>
      </c>
      <c r="P71" s="167">
        <v>0.0</v>
      </c>
      <c r="Q71" s="167">
        <v>0.0</v>
      </c>
      <c r="R71" s="167">
        <v>0.0</v>
      </c>
      <c r="S71" s="167">
        <v>0.0</v>
      </c>
      <c r="T71" s="167">
        <v>0.0</v>
      </c>
      <c r="U71" s="167">
        <v>0.0</v>
      </c>
      <c r="V71" s="167">
        <v>0.0</v>
      </c>
      <c r="W71" s="167">
        <v>0.0</v>
      </c>
      <c r="X71" s="167">
        <v>0.0</v>
      </c>
    </row>
    <row r="72" ht="15.75" customHeight="1">
      <c r="A72" s="167">
        <v>12.0</v>
      </c>
      <c r="B72" s="167" t="s">
        <v>167</v>
      </c>
      <c r="C72" s="167">
        <v>12.0</v>
      </c>
      <c r="D72" s="168">
        <v>128.0</v>
      </c>
      <c r="E72" s="219">
        <v>0.0</v>
      </c>
      <c r="F72" s="167">
        <v>30.0</v>
      </c>
      <c r="G72" s="167">
        <v>0.0</v>
      </c>
      <c r="H72" s="167">
        <v>0.0</v>
      </c>
      <c r="I72" s="167">
        <v>0.0</v>
      </c>
      <c r="J72" s="167">
        <v>0.0</v>
      </c>
      <c r="K72" s="167">
        <v>0.0</v>
      </c>
      <c r="L72" s="167">
        <v>0.0</v>
      </c>
      <c r="M72" s="167">
        <v>0.0</v>
      </c>
      <c r="N72" s="167">
        <v>0.0</v>
      </c>
      <c r="O72" s="167">
        <v>0.0</v>
      </c>
      <c r="P72" s="167">
        <v>0.0</v>
      </c>
      <c r="Q72" s="167">
        <v>0.0</v>
      </c>
      <c r="R72" s="167">
        <v>0.0</v>
      </c>
      <c r="S72" s="167">
        <v>0.0</v>
      </c>
      <c r="T72" s="167">
        <v>0.0</v>
      </c>
      <c r="U72" s="167">
        <v>0.0</v>
      </c>
      <c r="V72" s="167">
        <v>0.0</v>
      </c>
      <c r="W72" s="167">
        <v>0.0</v>
      </c>
      <c r="X72" s="167">
        <v>0.0</v>
      </c>
    </row>
    <row r="73" ht="15.75" customHeight="1">
      <c r="A73" s="167">
        <v>12.0</v>
      </c>
      <c r="B73" s="167" t="s">
        <v>168</v>
      </c>
      <c r="C73" s="167">
        <v>12.0</v>
      </c>
      <c r="D73" s="168">
        <v>128.0</v>
      </c>
      <c r="E73" s="219">
        <v>0.0</v>
      </c>
      <c r="F73" s="167">
        <v>0.0</v>
      </c>
      <c r="G73" s="167">
        <v>15.0</v>
      </c>
      <c r="H73" s="167">
        <v>0.0</v>
      </c>
      <c r="I73" s="167">
        <v>0.0</v>
      </c>
      <c r="J73" s="167">
        <v>0.0</v>
      </c>
      <c r="K73" s="167">
        <v>0.0</v>
      </c>
      <c r="L73" s="167">
        <v>0.0</v>
      </c>
      <c r="M73" s="167">
        <v>0.0</v>
      </c>
      <c r="N73" s="167">
        <v>0.0</v>
      </c>
      <c r="O73" s="167">
        <v>0.0</v>
      </c>
      <c r="P73" s="167">
        <v>0.0</v>
      </c>
      <c r="Q73" s="167">
        <v>0.0</v>
      </c>
      <c r="R73" s="167">
        <v>0.0</v>
      </c>
      <c r="S73" s="167">
        <v>0.0</v>
      </c>
      <c r="T73" s="167">
        <v>0.0</v>
      </c>
      <c r="U73" s="167">
        <v>0.0</v>
      </c>
      <c r="V73" s="167">
        <v>0.0</v>
      </c>
      <c r="W73" s="167">
        <v>0.0</v>
      </c>
      <c r="X73" s="167">
        <v>0.0</v>
      </c>
    </row>
    <row r="74" ht="15.75" customHeight="1">
      <c r="A74" s="167">
        <v>13.0</v>
      </c>
      <c r="B74" s="167" t="s">
        <v>164</v>
      </c>
      <c r="C74" s="167">
        <v>15.0</v>
      </c>
      <c r="D74" s="168">
        <v>143.0</v>
      </c>
      <c r="E74" s="219">
        <v>65.0</v>
      </c>
      <c r="F74" s="167">
        <v>0.0</v>
      </c>
      <c r="G74" s="167">
        <v>0.0</v>
      </c>
      <c r="H74" s="167">
        <v>0.0</v>
      </c>
      <c r="I74" s="167">
        <v>0.0</v>
      </c>
      <c r="J74" s="167">
        <v>0.0</v>
      </c>
      <c r="K74" s="167">
        <v>0.0</v>
      </c>
      <c r="L74" s="167">
        <v>0.0</v>
      </c>
      <c r="M74" s="167">
        <v>0.0</v>
      </c>
      <c r="N74" s="167">
        <v>0.0</v>
      </c>
      <c r="O74" s="167">
        <v>0.0</v>
      </c>
      <c r="P74" s="167">
        <v>0.0</v>
      </c>
      <c r="Q74" s="167">
        <v>0.0</v>
      </c>
      <c r="R74" s="167">
        <v>0.0</v>
      </c>
      <c r="S74" s="167">
        <v>0.0</v>
      </c>
      <c r="T74" s="167">
        <v>0.0</v>
      </c>
      <c r="U74" s="167">
        <v>0.0</v>
      </c>
      <c r="V74" s="167">
        <v>0.0</v>
      </c>
      <c r="W74" s="167">
        <v>0.0</v>
      </c>
      <c r="X74" s="167">
        <v>0.0</v>
      </c>
    </row>
    <row r="75" ht="15.75" customHeight="1">
      <c r="A75" s="167">
        <v>13.0</v>
      </c>
      <c r="B75" s="167" t="s">
        <v>165</v>
      </c>
      <c r="C75" s="167">
        <v>15.0</v>
      </c>
      <c r="D75" s="168">
        <v>143.0</v>
      </c>
      <c r="E75" s="219">
        <v>0.0</v>
      </c>
      <c r="F75" s="167">
        <v>0.0</v>
      </c>
      <c r="G75" s="167">
        <v>0.0</v>
      </c>
      <c r="H75" s="167">
        <v>0.0</v>
      </c>
      <c r="I75" s="167">
        <v>0.0</v>
      </c>
      <c r="J75" s="167">
        <v>1.0</v>
      </c>
      <c r="K75" s="167">
        <v>0.0</v>
      </c>
      <c r="L75" s="167">
        <v>0.0</v>
      </c>
      <c r="M75" s="167">
        <v>0.0</v>
      </c>
      <c r="N75" s="167">
        <v>0.0</v>
      </c>
      <c r="O75" s="167">
        <v>0.0</v>
      </c>
      <c r="P75" s="167">
        <v>0.0</v>
      </c>
      <c r="Q75" s="167">
        <v>0.0</v>
      </c>
      <c r="R75" s="167">
        <v>0.0</v>
      </c>
      <c r="S75" s="167">
        <v>0.0</v>
      </c>
      <c r="T75" s="167">
        <v>0.0</v>
      </c>
      <c r="U75" s="167">
        <v>0.0</v>
      </c>
      <c r="V75" s="167">
        <v>0.0</v>
      </c>
      <c r="W75" s="167">
        <v>0.0</v>
      </c>
      <c r="X75" s="167">
        <v>0.0</v>
      </c>
    </row>
    <row r="76" ht="15.75" customHeight="1">
      <c r="A76" s="167">
        <v>13.0</v>
      </c>
      <c r="B76" s="167" t="s">
        <v>166</v>
      </c>
      <c r="C76" s="167">
        <v>15.0</v>
      </c>
      <c r="D76" s="168">
        <v>143.0</v>
      </c>
      <c r="E76" s="219">
        <v>0.0</v>
      </c>
      <c r="F76" s="167">
        <v>0.0</v>
      </c>
      <c r="G76" s="167">
        <v>0.0</v>
      </c>
      <c r="H76" s="167">
        <v>0.0</v>
      </c>
      <c r="I76" s="167">
        <v>0.0</v>
      </c>
      <c r="J76" s="167">
        <v>0.0</v>
      </c>
      <c r="K76" s="167">
        <v>0.0</v>
      </c>
      <c r="L76" s="167">
        <v>0.0</v>
      </c>
      <c r="M76" s="167">
        <v>0.0</v>
      </c>
      <c r="N76" s="167">
        <v>0.0</v>
      </c>
      <c r="O76" s="167">
        <v>0.0</v>
      </c>
      <c r="P76" s="167">
        <v>15.0</v>
      </c>
      <c r="Q76" s="167">
        <v>0.0</v>
      </c>
      <c r="R76" s="167">
        <v>0.0</v>
      </c>
      <c r="S76" s="167">
        <v>0.0</v>
      </c>
      <c r="T76" s="167">
        <v>0.0</v>
      </c>
      <c r="U76" s="167">
        <v>0.0</v>
      </c>
      <c r="V76" s="167">
        <v>0.0</v>
      </c>
      <c r="W76" s="167">
        <v>0.0</v>
      </c>
      <c r="X76" s="167">
        <v>0.0</v>
      </c>
    </row>
    <row r="77" ht="15.75" customHeight="1">
      <c r="A77" s="167">
        <v>13.0</v>
      </c>
      <c r="B77" s="167" t="s">
        <v>167</v>
      </c>
      <c r="C77" s="167">
        <v>15.0</v>
      </c>
      <c r="D77" s="168">
        <v>143.0</v>
      </c>
      <c r="E77" s="219">
        <v>0.0</v>
      </c>
      <c r="F77" s="167">
        <v>0.0</v>
      </c>
      <c r="G77" s="167">
        <v>0.0</v>
      </c>
      <c r="H77" s="167">
        <v>0.0</v>
      </c>
      <c r="I77" s="167">
        <v>0.0</v>
      </c>
      <c r="J77" s="167">
        <v>0.0</v>
      </c>
      <c r="K77" s="167">
        <v>1.0</v>
      </c>
      <c r="L77" s="167">
        <v>0.0</v>
      </c>
      <c r="M77" s="167">
        <v>0.0</v>
      </c>
      <c r="N77" s="167">
        <v>0.0</v>
      </c>
      <c r="O77" s="167">
        <v>0.0</v>
      </c>
      <c r="P77" s="167">
        <v>0.0</v>
      </c>
      <c r="Q77" s="167">
        <v>0.0</v>
      </c>
      <c r="R77" s="167">
        <v>0.0</v>
      </c>
      <c r="S77" s="167">
        <v>0.0</v>
      </c>
      <c r="T77" s="167">
        <v>0.0</v>
      </c>
      <c r="U77" s="167">
        <v>0.0</v>
      </c>
      <c r="V77" s="167">
        <v>0.0</v>
      </c>
      <c r="W77" s="167">
        <v>0.0</v>
      </c>
      <c r="X77" s="167">
        <v>0.0</v>
      </c>
    </row>
    <row r="78" ht="15.75" customHeight="1">
      <c r="A78" s="167">
        <v>13.0</v>
      </c>
      <c r="B78" s="167" t="s">
        <v>168</v>
      </c>
      <c r="C78" s="167">
        <v>15.0</v>
      </c>
      <c r="D78" s="168">
        <v>143.0</v>
      </c>
      <c r="E78" s="219">
        <v>0.0</v>
      </c>
      <c r="F78" s="167">
        <v>0.0</v>
      </c>
      <c r="G78" s="167">
        <v>0.0</v>
      </c>
      <c r="H78" s="167">
        <v>0.0</v>
      </c>
      <c r="I78" s="167">
        <v>0.0</v>
      </c>
      <c r="J78" s="167">
        <v>0.0</v>
      </c>
      <c r="K78" s="167">
        <v>0.0</v>
      </c>
      <c r="L78" s="167">
        <v>0.0</v>
      </c>
      <c r="M78" s="167">
        <v>0.0</v>
      </c>
      <c r="N78" s="167">
        <v>0.0</v>
      </c>
      <c r="O78" s="167">
        <v>15.0</v>
      </c>
      <c r="P78" s="167">
        <v>0.0</v>
      </c>
      <c r="Q78" s="167">
        <v>0.0</v>
      </c>
      <c r="R78" s="167">
        <v>0.0</v>
      </c>
      <c r="S78" s="167">
        <v>0.0</v>
      </c>
      <c r="T78" s="167">
        <v>0.0</v>
      </c>
      <c r="U78" s="167">
        <v>0.0</v>
      </c>
      <c r="V78" s="167">
        <v>0.0</v>
      </c>
      <c r="W78" s="167">
        <v>0.0</v>
      </c>
      <c r="X78" s="167">
        <v>0.0</v>
      </c>
    </row>
    <row r="79" ht="15.75" customHeight="1">
      <c r="A79" s="167">
        <v>14.0</v>
      </c>
      <c r="B79" s="167" t="s">
        <v>164</v>
      </c>
      <c r="C79" s="167">
        <v>17.0</v>
      </c>
      <c r="D79" s="168">
        <v>160.0</v>
      </c>
      <c r="E79" s="219">
        <v>0.0</v>
      </c>
      <c r="F79" s="167">
        <v>0.0</v>
      </c>
      <c r="G79" s="167">
        <v>0.0</v>
      </c>
      <c r="H79" s="167">
        <v>0.0</v>
      </c>
      <c r="I79" s="167">
        <v>0.0</v>
      </c>
      <c r="J79" s="167">
        <v>0.0</v>
      </c>
      <c r="K79" s="167">
        <v>0.0</v>
      </c>
      <c r="L79" s="167">
        <v>0.0</v>
      </c>
      <c r="M79" s="167">
        <v>0.0</v>
      </c>
      <c r="N79" s="167">
        <v>20.0</v>
      </c>
      <c r="O79" s="167">
        <v>0.0</v>
      </c>
      <c r="P79" s="167">
        <v>0.0</v>
      </c>
      <c r="Q79" s="167">
        <v>0.0</v>
      </c>
      <c r="R79" s="167">
        <v>0.0</v>
      </c>
      <c r="S79" s="167">
        <v>0.0</v>
      </c>
      <c r="T79" s="167">
        <v>0.0</v>
      </c>
      <c r="U79" s="167">
        <v>0.0</v>
      </c>
      <c r="V79" s="167">
        <v>0.0</v>
      </c>
      <c r="W79" s="167">
        <v>0.0</v>
      </c>
      <c r="X79" s="167">
        <v>0.0</v>
      </c>
    </row>
    <row r="80" ht="15.75" customHeight="1">
      <c r="A80" s="167">
        <v>14.0</v>
      </c>
      <c r="B80" s="167" t="s">
        <v>165</v>
      </c>
      <c r="C80" s="167">
        <v>17.0</v>
      </c>
      <c r="D80" s="168">
        <v>160.0</v>
      </c>
      <c r="E80" s="219">
        <v>0.0</v>
      </c>
      <c r="F80" s="167">
        <v>0.0</v>
      </c>
      <c r="G80" s="167">
        <v>0.0</v>
      </c>
      <c r="H80" s="167">
        <v>0.0</v>
      </c>
      <c r="I80" s="167">
        <v>0.0</v>
      </c>
      <c r="J80" s="167">
        <v>0.0</v>
      </c>
      <c r="K80" s="167">
        <v>0.0</v>
      </c>
      <c r="L80" s="167">
        <v>0.0</v>
      </c>
      <c r="M80" s="167">
        <v>1.0</v>
      </c>
      <c r="N80" s="167">
        <v>0.0</v>
      </c>
      <c r="O80" s="167">
        <v>0.0</v>
      </c>
      <c r="P80" s="167">
        <v>0.0</v>
      </c>
      <c r="Q80" s="167">
        <v>0.0</v>
      </c>
      <c r="R80" s="167">
        <v>0.0</v>
      </c>
      <c r="S80" s="167">
        <v>0.0</v>
      </c>
      <c r="T80" s="167">
        <v>0.0</v>
      </c>
      <c r="U80" s="167">
        <v>0.0</v>
      </c>
      <c r="V80" s="167">
        <v>0.0</v>
      </c>
      <c r="W80" s="167">
        <v>0.0</v>
      </c>
      <c r="X80" s="167">
        <v>0.0</v>
      </c>
    </row>
    <row r="81" ht="15.75" customHeight="1">
      <c r="A81" s="167">
        <v>14.0</v>
      </c>
      <c r="B81" s="167" t="s">
        <v>166</v>
      </c>
      <c r="C81" s="167">
        <v>17.0</v>
      </c>
      <c r="D81" s="168">
        <v>160.0</v>
      </c>
      <c r="E81" s="219">
        <v>0.0</v>
      </c>
      <c r="F81" s="167">
        <v>0.0</v>
      </c>
      <c r="G81" s="167">
        <v>0.0</v>
      </c>
      <c r="H81" s="167">
        <v>0.0</v>
      </c>
      <c r="I81" s="167">
        <v>0.0</v>
      </c>
      <c r="J81" s="167">
        <v>0.0</v>
      </c>
      <c r="K81" s="167">
        <v>0.0</v>
      </c>
      <c r="L81" s="167">
        <v>1.0</v>
      </c>
      <c r="M81" s="167">
        <v>0.0</v>
      </c>
      <c r="N81" s="167">
        <v>0.0</v>
      </c>
      <c r="O81" s="167">
        <v>0.0</v>
      </c>
      <c r="P81" s="167">
        <v>0.0</v>
      </c>
      <c r="Q81" s="167">
        <v>0.0</v>
      </c>
      <c r="R81" s="167">
        <v>0.0</v>
      </c>
      <c r="S81" s="167">
        <v>0.0</v>
      </c>
      <c r="T81" s="167">
        <v>0.0</v>
      </c>
      <c r="U81" s="167">
        <v>0.0</v>
      </c>
      <c r="V81" s="167">
        <v>0.0</v>
      </c>
      <c r="W81" s="167">
        <v>0.0</v>
      </c>
      <c r="X81" s="167">
        <v>0.0</v>
      </c>
    </row>
    <row r="82" ht="15.75" customHeight="1">
      <c r="A82" s="167">
        <v>14.0</v>
      </c>
      <c r="B82" s="167" t="s">
        <v>167</v>
      </c>
      <c r="C82" s="167">
        <v>17.0</v>
      </c>
      <c r="D82" s="168">
        <v>160.0</v>
      </c>
      <c r="E82" s="219">
        <v>0.0</v>
      </c>
      <c r="F82" s="167">
        <v>0.0</v>
      </c>
      <c r="G82" s="167">
        <v>0.0</v>
      </c>
      <c r="H82" s="167">
        <v>0.0</v>
      </c>
      <c r="I82" s="167">
        <v>0.0</v>
      </c>
      <c r="J82" s="167">
        <v>0.0</v>
      </c>
      <c r="K82" s="167">
        <v>1.0</v>
      </c>
      <c r="L82" s="167">
        <v>0.0</v>
      </c>
      <c r="M82" s="167">
        <v>0.0</v>
      </c>
      <c r="N82" s="167">
        <v>0.0</v>
      </c>
      <c r="O82" s="167">
        <v>0.0</v>
      </c>
      <c r="P82" s="167">
        <v>0.0</v>
      </c>
      <c r="Q82" s="167">
        <v>0.0</v>
      </c>
      <c r="R82" s="167">
        <v>0.0</v>
      </c>
      <c r="S82" s="167">
        <v>0.0</v>
      </c>
      <c r="T82" s="167">
        <v>0.0</v>
      </c>
      <c r="U82" s="167">
        <v>0.0</v>
      </c>
      <c r="V82" s="167">
        <v>0.0</v>
      </c>
      <c r="W82" s="167">
        <v>0.0</v>
      </c>
      <c r="X82" s="167">
        <v>0.0</v>
      </c>
    </row>
    <row r="83" ht="15.75" customHeight="1">
      <c r="A83" s="167">
        <v>14.0</v>
      </c>
      <c r="B83" s="167" t="s">
        <v>168</v>
      </c>
      <c r="C83" s="167">
        <v>17.0</v>
      </c>
      <c r="D83" s="168">
        <v>160.0</v>
      </c>
      <c r="E83" s="219">
        <v>0.0</v>
      </c>
      <c r="F83" s="167">
        <v>30.0</v>
      </c>
      <c r="G83" s="167">
        <v>0.0</v>
      </c>
      <c r="H83" s="167">
        <v>0.0</v>
      </c>
      <c r="I83" s="167">
        <v>0.0</v>
      </c>
      <c r="J83" s="167">
        <v>0.0</v>
      </c>
      <c r="K83" s="167">
        <v>0.0</v>
      </c>
      <c r="L83" s="167">
        <v>0.0</v>
      </c>
      <c r="M83" s="167">
        <v>0.0</v>
      </c>
      <c r="N83" s="167">
        <v>0.0</v>
      </c>
      <c r="O83" s="167">
        <v>0.0</v>
      </c>
      <c r="P83" s="167">
        <v>0.0</v>
      </c>
      <c r="Q83" s="167">
        <v>0.0</v>
      </c>
      <c r="R83" s="167">
        <v>0.0</v>
      </c>
      <c r="S83" s="167">
        <v>0.0</v>
      </c>
      <c r="T83" s="167">
        <v>0.0</v>
      </c>
      <c r="U83" s="167">
        <v>0.0</v>
      </c>
      <c r="V83" s="167">
        <v>0.0</v>
      </c>
      <c r="W83" s="167">
        <v>0.0</v>
      </c>
      <c r="X83" s="167">
        <v>0.0</v>
      </c>
    </row>
    <row r="84" ht="15.75" customHeight="1">
      <c r="A84" s="167">
        <v>15.0</v>
      </c>
      <c r="B84" s="167" t="s">
        <v>164</v>
      </c>
      <c r="C84" s="167">
        <v>25.0</v>
      </c>
      <c r="D84" s="168">
        <v>185.0</v>
      </c>
      <c r="E84" s="219">
        <v>150.0</v>
      </c>
      <c r="F84" s="167">
        <v>0.0</v>
      </c>
      <c r="G84" s="167">
        <v>0.0</v>
      </c>
      <c r="H84" s="167">
        <v>0.0</v>
      </c>
      <c r="I84" s="167">
        <v>0.0</v>
      </c>
      <c r="J84" s="167">
        <v>0.0</v>
      </c>
      <c r="K84" s="167">
        <v>1.0</v>
      </c>
      <c r="L84" s="167">
        <v>0.0</v>
      </c>
      <c r="M84" s="167">
        <v>0.0</v>
      </c>
      <c r="N84" s="167">
        <v>0.0</v>
      </c>
      <c r="O84" s="167">
        <v>30.0</v>
      </c>
      <c r="P84" s="167">
        <v>0.0</v>
      </c>
      <c r="Q84" s="167">
        <v>0.0</v>
      </c>
      <c r="R84" s="167">
        <v>0.0</v>
      </c>
      <c r="S84" s="167">
        <v>0.0</v>
      </c>
      <c r="T84" s="167">
        <v>0.0</v>
      </c>
      <c r="U84" s="167">
        <v>0.0</v>
      </c>
      <c r="V84" s="167">
        <v>0.0</v>
      </c>
      <c r="W84" s="167">
        <v>0.0</v>
      </c>
      <c r="X84" s="167">
        <v>0.0</v>
      </c>
    </row>
    <row r="85" ht="15.75" customHeight="1">
      <c r="A85" s="167">
        <v>15.0</v>
      </c>
      <c r="B85" s="167" t="s">
        <v>165</v>
      </c>
      <c r="C85" s="167">
        <v>25.0</v>
      </c>
      <c r="D85" s="168">
        <v>185.0</v>
      </c>
      <c r="E85" s="219">
        <v>0.0</v>
      </c>
      <c r="F85" s="167">
        <v>50.0</v>
      </c>
      <c r="G85" s="167">
        <v>0.0</v>
      </c>
      <c r="H85" s="167">
        <v>0.0</v>
      </c>
      <c r="I85" s="167">
        <v>0.0</v>
      </c>
      <c r="J85" s="167">
        <v>0.0</v>
      </c>
      <c r="K85" s="167">
        <v>0.0</v>
      </c>
      <c r="L85" s="167">
        <v>0.0</v>
      </c>
      <c r="M85" s="167">
        <v>0.0</v>
      </c>
      <c r="N85" s="167">
        <v>60.0</v>
      </c>
      <c r="O85" s="167">
        <v>0.0</v>
      </c>
      <c r="P85" s="167">
        <v>0.0</v>
      </c>
      <c r="Q85" s="167">
        <v>0.0</v>
      </c>
      <c r="R85" s="167">
        <v>0.0</v>
      </c>
      <c r="S85" s="167">
        <v>0.0</v>
      </c>
      <c r="T85" s="167">
        <v>0.0</v>
      </c>
      <c r="U85" s="167">
        <v>0.0</v>
      </c>
      <c r="V85" s="167">
        <v>0.0</v>
      </c>
      <c r="W85" s="167">
        <v>0.0</v>
      </c>
      <c r="X85" s="167">
        <v>0.0</v>
      </c>
    </row>
    <row r="86" ht="15.75" customHeight="1">
      <c r="A86" s="167">
        <v>15.0</v>
      </c>
      <c r="B86" s="167" t="s">
        <v>166</v>
      </c>
      <c r="C86" s="167">
        <v>25.0</v>
      </c>
      <c r="D86" s="168">
        <v>185.0</v>
      </c>
      <c r="E86" s="219">
        <v>0.0</v>
      </c>
      <c r="F86" s="167">
        <v>0.0</v>
      </c>
      <c r="G86" s="167">
        <v>0.0</v>
      </c>
      <c r="H86" s="167">
        <v>0.0</v>
      </c>
      <c r="I86" s="167">
        <v>0.0</v>
      </c>
      <c r="J86" s="167">
        <v>0.0</v>
      </c>
      <c r="K86" s="167">
        <v>0.0</v>
      </c>
      <c r="L86" s="167">
        <v>0.0</v>
      </c>
      <c r="M86" s="167">
        <v>0.0</v>
      </c>
      <c r="N86" s="167">
        <v>0.0</v>
      </c>
      <c r="O86" s="167">
        <v>0.0</v>
      </c>
      <c r="P86" s="167">
        <v>30.0</v>
      </c>
      <c r="Q86" s="167">
        <v>0.0</v>
      </c>
      <c r="R86" s="167">
        <v>0.0</v>
      </c>
      <c r="S86" s="167">
        <v>0.0</v>
      </c>
      <c r="T86" s="167">
        <v>0.0</v>
      </c>
      <c r="U86" s="167">
        <v>0.0</v>
      </c>
      <c r="V86" s="167">
        <v>0.0</v>
      </c>
      <c r="W86" s="167">
        <v>0.0</v>
      </c>
      <c r="X86" s="167">
        <v>0.0</v>
      </c>
    </row>
    <row r="87" ht="15.75" customHeight="1">
      <c r="A87" s="167">
        <v>15.0</v>
      </c>
      <c r="B87" s="167" t="s">
        <v>167</v>
      </c>
      <c r="C87" s="167">
        <v>25.0</v>
      </c>
      <c r="D87" s="168">
        <v>185.0</v>
      </c>
      <c r="E87" s="219">
        <v>0.0</v>
      </c>
      <c r="F87" s="167">
        <v>0.0</v>
      </c>
      <c r="G87" s="167">
        <v>0.0</v>
      </c>
      <c r="H87" s="167">
        <v>0.0</v>
      </c>
      <c r="I87" s="167">
        <v>0.0</v>
      </c>
      <c r="J87" s="167">
        <v>0.0</v>
      </c>
      <c r="K87" s="167">
        <v>0.0</v>
      </c>
      <c r="L87" s="167">
        <v>1.0</v>
      </c>
      <c r="M87" s="167">
        <v>0.0</v>
      </c>
      <c r="N87" s="167">
        <v>0.0</v>
      </c>
      <c r="O87" s="167">
        <v>0.0</v>
      </c>
      <c r="P87" s="167">
        <v>0.0</v>
      </c>
      <c r="Q87" s="167">
        <v>0.0</v>
      </c>
      <c r="R87" s="167">
        <v>0.0</v>
      </c>
      <c r="S87" s="167">
        <v>0.0</v>
      </c>
      <c r="T87" s="167">
        <v>0.0</v>
      </c>
      <c r="U87" s="167">
        <v>0.0</v>
      </c>
      <c r="V87" s="167">
        <v>0.0</v>
      </c>
      <c r="W87" s="167">
        <v>0.0</v>
      </c>
      <c r="X87" s="167">
        <v>0.0</v>
      </c>
    </row>
    <row r="88" ht="15.75" customHeight="1">
      <c r="A88" s="167">
        <v>15.0</v>
      </c>
      <c r="B88" s="167" t="s">
        <v>168</v>
      </c>
      <c r="C88" s="167">
        <v>25.0</v>
      </c>
      <c r="D88" s="168">
        <v>185.0</v>
      </c>
      <c r="E88" s="219">
        <v>0.0</v>
      </c>
      <c r="F88" s="167">
        <v>0.0</v>
      </c>
      <c r="G88" s="167">
        <v>30.0</v>
      </c>
      <c r="H88" s="167">
        <v>0.0</v>
      </c>
      <c r="I88" s="167">
        <v>0.0</v>
      </c>
      <c r="J88" s="167">
        <v>0.0</v>
      </c>
      <c r="K88" s="167">
        <v>0.0</v>
      </c>
      <c r="L88" s="167">
        <v>0.0</v>
      </c>
      <c r="M88" s="167">
        <v>0.0</v>
      </c>
      <c r="N88" s="167">
        <v>0.0</v>
      </c>
      <c r="O88" s="167">
        <v>0.0</v>
      </c>
      <c r="P88" s="167">
        <v>0.0</v>
      </c>
      <c r="Q88" s="167">
        <v>0.0</v>
      </c>
      <c r="R88" s="167">
        <v>0.0</v>
      </c>
      <c r="S88" s="167">
        <v>0.0</v>
      </c>
      <c r="T88" s="167">
        <v>0.0</v>
      </c>
      <c r="U88" s="167">
        <v>0.0</v>
      </c>
      <c r="V88" s="167">
        <v>0.0</v>
      </c>
      <c r="W88" s="167">
        <v>0.0</v>
      </c>
      <c r="X88" s="167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4" priority="1" operator="greaterThan">
      <formula>0</formula>
    </cfRule>
  </conditionalFormatting>
  <conditionalFormatting sqref="A14:X88">
    <cfRule type="expression" dxfId="5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71" t="s">
        <v>151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</row>
    <row r="2" ht="19.5" customHeight="1">
      <c r="A2" s="174" t="s">
        <v>106</v>
      </c>
      <c r="B2" s="174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</row>
    <row r="3">
      <c r="A3" s="176" t="s">
        <v>152</v>
      </c>
      <c r="B3" s="177">
        <v>15.0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</row>
    <row r="4">
      <c r="A4" s="176" t="s">
        <v>153</v>
      </c>
      <c r="B4" s="177">
        <v>5.0</v>
      </c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</row>
    <row r="5">
      <c r="A5" s="176" t="s">
        <v>154</v>
      </c>
      <c r="B5" s="177" t="b">
        <f>TRUE()</f>
        <v>1</v>
      </c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</row>
    <row r="6">
      <c r="A6" s="176" t="s">
        <v>155</v>
      </c>
      <c r="B6" s="177">
        <v>10.0</v>
      </c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</row>
    <row r="7">
      <c r="A7" s="176" t="s">
        <v>156</v>
      </c>
      <c r="B7" s="177">
        <v>4.0</v>
      </c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</row>
    <row r="8">
      <c r="A8" s="176" t="s">
        <v>157</v>
      </c>
      <c r="B8" s="177">
        <f>SUMIFS($C$14:$C$88,$B$14:$B$88,"1st")</f>
        <v>185</v>
      </c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</row>
    <row r="9">
      <c r="A9" s="176" t="s">
        <v>158</v>
      </c>
      <c r="B9" s="177">
        <f>SUMIFS($C$14:$C$88,$B$14:$B$88,"1st",$A$14:$A$88,"&gt;="&amp;$B$6)</f>
        <v>87</v>
      </c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</row>
    <row r="10">
      <c r="A10" s="176" t="s">
        <v>159</v>
      </c>
      <c r="B10" s="177">
        <f>SUMIFS($C$14:$C$88,$B$14:$B$88,"1st",$A$14:$A$88,"&lt;="&amp;$B$7)</f>
        <v>36</v>
      </c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</row>
    <row r="11">
      <c r="A11" s="172"/>
      <c r="B11" s="172"/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</row>
    <row r="12" ht="19.5" customHeight="1">
      <c r="A12" s="174" t="s">
        <v>133</v>
      </c>
      <c r="B12" s="174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</row>
    <row r="13">
      <c r="A13" s="220" t="s">
        <v>160</v>
      </c>
      <c r="B13" s="220" t="s">
        <v>161</v>
      </c>
      <c r="C13" s="220" t="s">
        <v>162</v>
      </c>
      <c r="D13" s="185" t="s">
        <v>163</v>
      </c>
      <c r="E13" s="186" t="s">
        <v>76</v>
      </c>
      <c r="F13" s="187" t="s">
        <v>46</v>
      </c>
      <c r="G13" s="187" t="s">
        <v>121</v>
      </c>
      <c r="H13" s="187" t="s">
        <v>47</v>
      </c>
      <c r="I13" s="187" t="s">
        <v>48</v>
      </c>
      <c r="J13" s="187" t="s">
        <v>50</v>
      </c>
      <c r="K13" s="187" t="s">
        <v>52</v>
      </c>
      <c r="L13" s="187" t="s">
        <v>53</v>
      </c>
      <c r="M13" s="187" t="s">
        <v>54</v>
      </c>
      <c r="N13" s="187" t="s">
        <v>55</v>
      </c>
      <c r="O13" s="187" t="s">
        <v>56</v>
      </c>
      <c r="P13" s="187" t="s">
        <v>57</v>
      </c>
      <c r="Q13" s="187" t="s">
        <v>58</v>
      </c>
      <c r="R13" s="187" t="s">
        <v>122</v>
      </c>
      <c r="S13" s="187" t="s">
        <v>123</v>
      </c>
      <c r="T13" s="187" t="s">
        <v>124</v>
      </c>
      <c r="U13" s="187" t="s">
        <v>125</v>
      </c>
      <c r="V13" s="187" t="s">
        <v>126</v>
      </c>
      <c r="W13" s="187" t="s">
        <v>127</v>
      </c>
      <c r="X13" s="187" t="s">
        <v>128</v>
      </c>
      <c r="Y13" s="218"/>
      <c r="Z13" s="218"/>
    </row>
    <row r="14">
      <c r="A14" s="189">
        <v>1.0</v>
      </c>
      <c r="B14" s="189" t="s">
        <v>164</v>
      </c>
      <c r="C14" s="189">
        <v>5.0</v>
      </c>
      <c r="D14" s="190">
        <v>5.0</v>
      </c>
      <c r="E14" s="221">
        <v>30.0</v>
      </c>
      <c r="F14" s="189">
        <v>0.0</v>
      </c>
      <c r="G14" s="189">
        <v>0.0</v>
      </c>
      <c r="H14" s="189">
        <v>0.0</v>
      </c>
      <c r="I14" s="189">
        <v>0.0</v>
      </c>
      <c r="J14" s="189">
        <v>0.0</v>
      </c>
      <c r="K14" s="189">
        <v>0.0</v>
      </c>
      <c r="L14" s="189">
        <v>0.0</v>
      </c>
      <c r="M14" s="189">
        <v>0.0</v>
      </c>
      <c r="N14" s="189">
        <v>0.0</v>
      </c>
      <c r="O14" s="189">
        <v>0.0</v>
      </c>
      <c r="P14" s="189">
        <v>0.0</v>
      </c>
      <c r="Q14" s="189">
        <v>0.0</v>
      </c>
      <c r="R14" s="189">
        <v>0.0</v>
      </c>
      <c r="S14" s="189">
        <v>0.0</v>
      </c>
      <c r="T14" s="189">
        <v>0.0</v>
      </c>
      <c r="U14" s="189">
        <v>0.0</v>
      </c>
      <c r="V14" s="189">
        <v>0.0</v>
      </c>
      <c r="W14" s="189">
        <v>0.0</v>
      </c>
      <c r="X14" s="189">
        <v>0.0</v>
      </c>
    </row>
    <row r="15">
      <c r="A15" s="189">
        <v>1.0</v>
      </c>
      <c r="B15" s="189" t="s">
        <v>165</v>
      </c>
      <c r="C15" s="189">
        <v>5.0</v>
      </c>
      <c r="D15" s="190">
        <v>5.0</v>
      </c>
      <c r="E15" s="221">
        <v>0.0</v>
      </c>
      <c r="F15" s="189">
        <v>0.0</v>
      </c>
      <c r="G15" s="189">
        <v>0.0</v>
      </c>
      <c r="H15" s="189">
        <v>0.0</v>
      </c>
      <c r="I15" s="189">
        <v>0.0</v>
      </c>
      <c r="J15" s="189">
        <v>0.0</v>
      </c>
      <c r="K15" s="189">
        <v>0.0</v>
      </c>
      <c r="L15" s="189">
        <v>0.0</v>
      </c>
      <c r="M15" s="189">
        <v>0.0</v>
      </c>
      <c r="N15" s="189">
        <v>15.0</v>
      </c>
      <c r="O15" s="189">
        <v>0.0</v>
      </c>
      <c r="P15" s="189">
        <v>0.0</v>
      </c>
      <c r="Q15" s="189">
        <v>0.0</v>
      </c>
      <c r="R15" s="189">
        <v>0.0</v>
      </c>
      <c r="S15" s="189">
        <v>0.0</v>
      </c>
      <c r="T15" s="189">
        <v>0.0</v>
      </c>
      <c r="U15" s="189">
        <v>0.0</v>
      </c>
      <c r="V15" s="189">
        <v>0.0</v>
      </c>
      <c r="W15" s="189">
        <v>0.0</v>
      </c>
      <c r="X15" s="189">
        <v>0.0</v>
      </c>
    </row>
    <row r="16">
      <c r="A16" s="189">
        <v>1.0</v>
      </c>
      <c r="B16" s="189" t="s">
        <v>166</v>
      </c>
      <c r="C16" s="189">
        <v>5.0</v>
      </c>
      <c r="D16" s="190">
        <v>5.0</v>
      </c>
      <c r="E16" s="221">
        <v>0.0</v>
      </c>
      <c r="F16" s="189">
        <v>0.0</v>
      </c>
      <c r="G16" s="189">
        <v>0.0</v>
      </c>
      <c r="H16" s="189">
        <v>0.0</v>
      </c>
      <c r="I16" s="189">
        <v>0.0</v>
      </c>
      <c r="J16" s="189">
        <v>1.0</v>
      </c>
      <c r="K16" s="189">
        <v>0.0</v>
      </c>
      <c r="L16" s="189">
        <v>0.0</v>
      </c>
      <c r="M16" s="189">
        <v>0.0</v>
      </c>
      <c r="N16" s="189">
        <v>0.0</v>
      </c>
      <c r="O16" s="189">
        <v>0.0</v>
      </c>
      <c r="P16" s="189">
        <v>0.0</v>
      </c>
      <c r="Q16" s="189">
        <v>0.0</v>
      </c>
      <c r="R16" s="189">
        <v>0.0</v>
      </c>
      <c r="S16" s="189">
        <v>0.0</v>
      </c>
      <c r="T16" s="189">
        <v>0.0</v>
      </c>
      <c r="U16" s="189">
        <v>0.0</v>
      </c>
      <c r="V16" s="189">
        <v>0.0</v>
      </c>
      <c r="W16" s="189">
        <v>0.0</v>
      </c>
      <c r="X16" s="189">
        <v>0.0</v>
      </c>
    </row>
    <row r="17">
      <c r="A17" s="189">
        <v>1.0</v>
      </c>
      <c r="B17" s="189" t="s">
        <v>167</v>
      </c>
      <c r="C17" s="189">
        <v>5.0</v>
      </c>
      <c r="D17" s="190">
        <v>5.0</v>
      </c>
      <c r="E17" s="221">
        <v>0.0</v>
      </c>
      <c r="F17" s="189">
        <v>0.0</v>
      </c>
      <c r="G17" s="189">
        <v>0.0</v>
      </c>
      <c r="H17" s="189">
        <v>0.0</v>
      </c>
      <c r="I17" s="189">
        <v>0.0</v>
      </c>
      <c r="J17" s="189">
        <v>0.0</v>
      </c>
      <c r="K17" s="189">
        <v>0.0</v>
      </c>
      <c r="L17" s="189">
        <v>1.0</v>
      </c>
      <c r="M17" s="189">
        <v>0.0</v>
      </c>
      <c r="N17" s="189">
        <v>0.0</v>
      </c>
      <c r="O17" s="189">
        <v>0.0</v>
      </c>
      <c r="P17" s="189">
        <v>0.0</v>
      </c>
      <c r="Q17" s="189">
        <v>0.0</v>
      </c>
      <c r="R17" s="189">
        <v>0.0</v>
      </c>
      <c r="S17" s="189">
        <v>0.0</v>
      </c>
      <c r="T17" s="189">
        <v>0.0</v>
      </c>
      <c r="U17" s="189">
        <v>0.0</v>
      </c>
      <c r="V17" s="189">
        <v>0.0</v>
      </c>
      <c r="W17" s="189">
        <v>0.0</v>
      </c>
      <c r="X17" s="189">
        <v>0.0</v>
      </c>
    </row>
    <row r="18">
      <c r="A18" s="189">
        <v>1.0</v>
      </c>
      <c r="B18" s="189" t="s">
        <v>168</v>
      </c>
      <c r="C18" s="189">
        <v>5.0</v>
      </c>
      <c r="D18" s="190">
        <v>5.0</v>
      </c>
      <c r="E18" s="221">
        <v>0.0</v>
      </c>
      <c r="F18" s="189">
        <v>0.0</v>
      </c>
      <c r="G18" s="189">
        <v>0.0</v>
      </c>
      <c r="H18" s="189">
        <v>0.0</v>
      </c>
      <c r="I18" s="189">
        <v>0.0</v>
      </c>
      <c r="J18" s="189">
        <v>0.0</v>
      </c>
      <c r="K18" s="189">
        <v>0.0</v>
      </c>
      <c r="L18" s="189">
        <v>0.0</v>
      </c>
      <c r="M18" s="189">
        <v>0.0</v>
      </c>
      <c r="N18" s="189">
        <v>0.0</v>
      </c>
      <c r="O18" s="189">
        <v>0.0</v>
      </c>
      <c r="P18" s="189">
        <v>10.0</v>
      </c>
      <c r="Q18" s="189">
        <v>0.0</v>
      </c>
      <c r="R18" s="189">
        <v>0.0</v>
      </c>
      <c r="S18" s="189">
        <v>0.0</v>
      </c>
      <c r="T18" s="189">
        <v>0.0</v>
      </c>
      <c r="U18" s="189">
        <v>0.0</v>
      </c>
      <c r="V18" s="189">
        <v>0.0</v>
      </c>
      <c r="W18" s="189">
        <v>0.0</v>
      </c>
      <c r="X18" s="189">
        <v>0.0</v>
      </c>
      <c r="Z18" s="1">
        <v>1.0</v>
      </c>
    </row>
    <row r="19">
      <c r="A19" s="189">
        <v>2.0</v>
      </c>
      <c r="B19" s="189" t="s">
        <v>164</v>
      </c>
      <c r="C19" s="189">
        <v>6.0</v>
      </c>
      <c r="D19" s="190">
        <v>11.0</v>
      </c>
      <c r="E19" s="221">
        <v>0.0</v>
      </c>
      <c r="F19" s="189">
        <v>0.0</v>
      </c>
      <c r="G19" s="189">
        <v>0.0</v>
      </c>
      <c r="H19" s="189">
        <v>0.0</v>
      </c>
      <c r="I19" s="189">
        <v>0.0</v>
      </c>
      <c r="J19" s="189">
        <v>0.0</v>
      </c>
      <c r="K19" s="189">
        <v>0.0</v>
      </c>
      <c r="L19" s="189">
        <v>0.0</v>
      </c>
      <c r="M19" s="189">
        <v>0.0</v>
      </c>
      <c r="N19" s="189">
        <v>15.0</v>
      </c>
      <c r="O19" s="189">
        <v>0.0</v>
      </c>
      <c r="P19" s="189">
        <v>0.0</v>
      </c>
      <c r="Q19" s="189">
        <v>0.0</v>
      </c>
      <c r="R19" s="189">
        <v>0.0</v>
      </c>
      <c r="S19" s="189">
        <v>0.0</v>
      </c>
      <c r="T19" s="189">
        <v>0.0</v>
      </c>
      <c r="U19" s="189">
        <v>0.0</v>
      </c>
      <c r="V19" s="189">
        <v>0.0</v>
      </c>
      <c r="W19" s="189">
        <v>0.0</v>
      </c>
      <c r="X19" s="189">
        <v>0.0</v>
      </c>
    </row>
    <row r="20">
      <c r="A20" s="189">
        <v>2.0</v>
      </c>
      <c r="B20" s="189" t="s">
        <v>165</v>
      </c>
      <c r="C20" s="189">
        <v>6.0</v>
      </c>
      <c r="D20" s="190">
        <v>11.0</v>
      </c>
      <c r="E20" s="221">
        <v>0.0</v>
      </c>
      <c r="F20" s="189">
        <v>0.0</v>
      </c>
      <c r="G20" s="189">
        <v>0.0</v>
      </c>
      <c r="H20" s="189">
        <v>0.0</v>
      </c>
      <c r="I20" s="189">
        <v>0.0</v>
      </c>
      <c r="J20" s="189">
        <v>0.0</v>
      </c>
      <c r="K20" s="189">
        <v>0.0</v>
      </c>
      <c r="L20" s="189">
        <v>0.0</v>
      </c>
      <c r="M20" s="189">
        <v>1.0</v>
      </c>
      <c r="N20" s="189">
        <v>0.0</v>
      </c>
      <c r="O20" s="189">
        <v>0.0</v>
      </c>
      <c r="P20" s="189">
        <v>0.0</v>
      </c>
      <c r="Q20" s="189">
        <v>0.0</v>
      </c>
      <c r="R20" s="189">
        <v>0.0</v>
      </c>
      <c r="S20" s="189">
        <v>0.0</v>
      </c>
      <c r="T20" s="189">
        <v>0.0</v>
      </c>
      <c r="U20" s="189">
        <v>0.0</v>
      </c>
      <c r="V20" s="189">
        <v>0.0</v>
      </c>
      <c r="W20" s="189">
        <v>0.0</v>
      </c>
      <c r="X20" s="189">
        <v>0.0</v>
      </c>
    </row>
    <row r="21" ht="15.75" customHeight="1">
      <c r="A21" s="189">
        <v>2.0</v>
      </c>
      <c r="B21" s="189" t="s">
        <v>166</v>
      </c>
      <c r="C21" s="189">
        <v>6.0</v>
      </c>
      <c r="D21" s="190">
        <v>11.0</v>
      </c>
      <c r="E21" s="221">
        <v>0.0</v>
      </c>
      <c r="F21" s="189">
        <v>0.0</v>
      </c>
      <c r="G21" s="189">
        <v>0.0</v>
      </c>
      <c r="H21" s="189">
        <v>0.0</v>
      </c>
      <c r="I21" s="189">
        <v>1.0</v>
      </c>
      <c r="J21" s="189">
        <v>0.0</v>
      </c>
      <c r="K21" s="189">
        <v>0.0</v>
      </c>
      <c r="L21" s="189">
        <v>0.0</v>
      </c>
      <c r="M21" s="189">
        <v>0.0</v>
      </c>
      <c r="N21" s="189">
        <v>0.0</v>
      </c>
      <c r="O21" s="189">
        <v>0.0</v>
      </c>
      <c r="P21" s="189">
        <v>0.0</v>
      </c>
      <c r="Q21" s="189">
        <v>0.0</v>
      </c>
      <c r="R21" s="189">
        <v>0.0</v>
      </c>
      <c r="S21" s="189">
        <v>0.0</v>
      </c>
      <c r="T21" s="189">
        <v>0.0</v>
      </c>
      <c r="U21" s="189">
        <v>0.0</v>
      </c>
      <c r="V21" s="189">
        <v>0.0</v>
      </c>
      <c r="W21" s="189">
        <v>0.0</v>
      </c>
      <c r="X21" s="189">
        <v>0.0</v>
      </c>
      <c r="Z21" s="1">
        <v>1.0</v>
      </c>
    </row>
    <row r="22" ht="15.75" customHeight="1">
      <c r="A22" s="189">
        <v>2.0</v>
      </c>
      <c r="B22" s="189" t="s">
        <v>167</v>
      </c>
      <c r="C22" s="189">
        <v>6.0</v>
      </c>
      <c r="D22" s="190">
        <v>11.0</v>
      </c>
      <c r="E22" s="221">
        <v>0.0</v>
      </c>
      <c r="F22" s="189">
        <v>0.0</v>
      </c>
      <c r="G22" s="189">
        <v>0.0</v>
      </c>
      <c r="H22" s="189">
        <v>0.0</v>
      </c>
      <c r="I22" s="189">
        <v>0.0</v>
      </c>
      <c r="J22" s="189">
        <v>0.0</v>
      </c>
      <c r="K22" s="189">
        <v>0.0</v>
      </c>
      <c r="L22" s="189">
        <v>0.0</v>
      </c>
      <c r="M22" s="189">
        <v>0.0</v>
      </c>
      <c r="N22" s="189">
        <v>0.0</v>
      </c>
      <c r="O22" s="189">
        <v>10.0</v>
      </c>
      <c r="P22" s="189">
        <v>0.0</v>
      </c>
      <c r="Q22" s="189">
        <v>0.0</v>
      </c>
      <c r="R22" s="189">
        <v>0.0</v>
      </c>
      <c r="S22" s="189">
        <v>0.0</v>
      </c>
      <c r="T22" s="189">
        <v>0.0</v>
      </c>
      <c r="U22" s="189">
        <v>0.0</v>
      </c>
      <c r="V22" s="189">
        <v>0.0</v>
      </c>
      <c r="W22" s="189">
        <v>0.0</v>
      </c>
      <c r="X22" s="189">
        <v>0.0</v>
      </c>
    </row>
    <row r="23" ht="15.75" customHeight="1">
      <c r="A23" s="189">
        <v>2.0</v>
      </c>
      <c r="B23" s="189" t="s">
        <v>168</v>
      </c>
      <c r="C23" s="189">
        <v>6.0</v>
      </c>
      <c r="D23" s="190">
        <v>11.0</v>
      </c>
      <c r="E23" s="221">
        <v>0.0</v>
      </c>
      <c r="F23" s="189">
        <v>0.0</v>
      </c>
      <c r="G23" s="189">
        <v>10.0</v>
      </c>
      <c r="H23" s="189">
        <v>0.0</v>
      </c>
      <c r="I23" s="189">
        <v>0.0</v>
      </c>
      <c r="J23" s="189">
        <v>0.0</v>
      </c>
      <c r="K23" s="189">
        <v>0.0</v>
      </c>
      <c r="L23" s="189">
        <v>0.0</v>
      </c>
      <c r="M23" s="189">
        <v>0.0</v>
      </c>
      <c r="N23" s="189">
        <v>0.0</v>
      </c>
      <c r="O23" s="189">
        <v>0.0</v>
      </c>
      <c r="P23" s="189">
        <v>0.0</v>
      </c>
      <c r="Q23" s="189">
        <v>0.0</v>
      </c>
      <c r="R23" s="189">
        <v>0.0</v>
      </c>
      <c r="S23" s="189">
        <v>0.0</v>
      </c>
      <c r="T23" s="189">
        <v>0.0</v>
      </c>
      <c r="U23" s="189">
        <v>0.0</v>
      </c>
      <c r="V23" s="189">
        <v>0.0</v>
      </c>
      <c r="W23" s="189">
        <v>0.0</v>
      </c>
      <c r="X23" s="189">
        <v>0.0</v>
      </c>
    </row>
    <row r="24" ht="15.75" customHeight="1">
      <c r="A24" s="189">
        <v>3.0</v>
      </c>
      <c r="B24" s="189" t="s">
        <v>164</v>
      </c>
      <c r="C24" s="189">
        <v>10.0</v>
      </c>
      <c r="D24" s="190">
        <v>21.0</v>
      </c>
      <c r="E24" s="221">
        <v>0.0</v>
      </c>
      <c r="F24" s="189">
        <v>0.0</v>
      </c>
      <c r="G24" s="189">
        <v>0.0</v>
      </c>
      <c r="H24" s="189">
        <v>0.0</v>
      </c>
      <c r="I24" s="189">
        <v>0.0</v>
      </c>
      <c r="J24" s="189">
        <v>0.0</v>
      </c>
      <c r="K24" s="189">
        <v>0.0</v>
      </c>
      <c r="L24" s="189">
        <v>0.0</v>
      </c>
      <c r="M24" s="189">
        <v>0.0</v>
      </c>
      <c r="N24" s="189">
        <v>0.0</v>
      </c>
      <c r="O24" s="189">
        <v>0.0</v>
      </c>
      <c r="P24" s="189">
        <v>0.0</v>
      </c>
      <c r="Q24" s="189">
        <v>20.0</v>
      </c>
      <c r="R24" s="189">
        <v>0.0</v>
      </c>
      <c r="S24" s="189">
        <v>0.0</v>
      </c>
      <c r="T24" s="189">
        <v>0.0</v>
      </c>
      <c r="U24" s="189">
        <v>0.0</v>
      </c>
      <c r="V24" s="189">
        <v>0.0</v>
      </c>
      <c r="W24" s="189">
        <v>0.0</v>
      </c>
      <c r="X24" s="189">
        <v>0.0</v>
      </c>
    </row>
    <row r="25" ht="15.75" customHeight="1">
      <c r="A25" s="189">
        <v>3.0</v>
      </c>
      <c r="B25" s="189" t="s">
        <v>165</v>
      </c>
      <c r="C25" s="189">
        <v>10.0</v>
      </c>
      <c r="D25" s="190">
        <v>21.0</v>
      </c>
      <c r="E25" s="221">
        <v>0.0</v>
      </c>
      <c r="F25" s="189">
        <v>0.0</v>
      </c>
      <c r="G25" s="189">
        <v>0.0</v>
      </c>
      <c r="H25" s="189">
        <v>0.0</v>
      </c>
      <c r="I25" s="189">
        <v>0.0</v>
      </c>
      <c r="J25" s="189">
        <v>0.0</v>
      </c>
      <c r="K25" s="189">
        <v>0.0</v>
      </c>
      <c r="L25" s="189">
        <v>1.0</v>
      </c>
      <c r="M25" s="189">
        <v>0.0</v>
      </c>
      <c r="N25" s="189">
        <v>0.0</v>
      </c>
      <c r="O25" s="189">
        <v>0.0</v>
      </c>
      <c r="P25" s="189">
        <v>0.0</v>
      </c>
      <c r="Q25" s="189">
        <v>0.0</v>
      </c>
      <c r="R25" s="189">
        <v>0.0</v>
      </c>
      <c r="S25" s="189">
        <v>0.0</v>
      </c>
      <c r="T25" s="189">
        <v>0.0</v>
      </c>
      <c r="U25" s="189">
        <v>0.0</v>
      </c>
      <c r="V25" s="189">
        <v>0.0</v>
      </c>
      <c r="W25" s="189">
        <v>0.0</v>
      </c>
      <c r="X25" s="189">
        <v>0.0</v>
      </c>
    </row>
    <row r="26" ht="15.75" customHeight="1">
      <c r="A26" s="189">
        <v>3.0</v>
      </c>
      <c r="B26" s="189" t="s">
        <v>166</v>
      </c>
      <c r="C26" s="189">
        <v>10.0</v>
      </c>
      <c r="D26" s="190">
        <v>21.0</v>
      </c>
      <c r="E26" s="221">
        <v>0.0</v>
      </c>
      <c r="F26" s="189">
        <v>0.0</v>
      </c>
      <c r="G26" s="189">
        <v>0.0</v>
      </c>
      <c r="H26" s="189">
        <v>0.0</v>
      </c>
      <c r="I26" s="189">
        <v>0.0</v>
      </c>
      <c r="J26" s="189">
        <v>0.0</v>
      </c>
      <c r="K26" s="189">
        <v>0.0</v>
      </c>
      <c r="L26" s="189">
        <v>0.0</v>
      </c>
      <c r="M26" s="189">
        <v>0.0</v>
      </c>
      <c r="N26" s="189">
        <v>0.0</v>
      </c>
      <c r="O26" s="189">
        <v>0.0</v>
      </c>
      <c r="P26" s="189">
        <v>10.0</v>
      </c>
      <c r="Q26" s="189">
        <v>0.0</v>
      </c>
      <c r="R26" s="189">
        <v>0.0</v>
      </c>
      <c r="S26" s="189">
        <v>0.0</v>
      </c>
      <c r="T26" s="189">
        <v>0.0</v>
      </c>
      <c r="U26" s="189">
        <v>0.0</v>
      </c>
      <c r="V26" s="189">
        <v>0.0</v>
      </c>
      <c r="W26" s="189">
        <v>0.0</v>
      </c>
      <c r="X26" s="189">
        <v>0.0</v>
      </c>
    </row>
    <row r="27" ht="15.75" customHeight="1">
      <c r="A27" s="189">
        <v>3.0</v>
      </c>
      <c r="B27" s="189" t="s">
        <v>167</v>
      </c>
      <c r="C27" s="189">
        <v>10.0</v>
      </c>
      <c r="D27" s="190">
        <v>21.0</v>
      </c>
      <c r="E27" s="221">
        <v>0.0</v>
      </c>
      <c r="F27" s="189">
        <v>0.0</v>
      </c>
      <c r="G27" s="189">
        <v>0.0</v>
      </c>
      <c r="H27" s="189">
        <v>1.0</v>
      </c>
      <c r="I27" s="189">
        <v>0.0</v>
      </c>
      <c r="J27" s="189">
        <v>0.0</v>
      </c>
      <c r="K27" s="189">
        <v>0.0</v>
      </c>
      <c r="L27" s="189">
        <v>0.0</v>
      </c>
      <c r="M27" s="189">
        <v>0.0</v>
      </c>
      <c r="N27" s="189">
        <v>0.0</v>
      </c>
      <c r="O27" s="189">
        <v>0.0</v>
      </c>
      <c r="P27" s="189">
        <v>0.0</v>
      </c>
      <c r="Q27" s="189">
        <v>0.0</v>
      </c>
      <c r="R27" s="189">
        <v>0.0</v>
      </c>
      <c r="S27" s="189">
        <v>0.0</v>
      </c>
      <c r="T27" s="189">
        <v>0.0</v>
      </c>
      <c r="U27" s="189">
        <v>0.0</v>
      </c>
      <c r="V27" s="189">
        <v>0.0</v>
      </c>
      <c r="W27" s="189">
        <v>0.0</v>
      </c>
      <c r="X27" s="189">
        <v>0.0</v>
      </c>
    </row>
    <row r="28" ht="15.75" customHeight="1">
      <c r="A28" s="189">
        <v>3.0</v>
      </c>
      <c r="B28" s="189" t="s">
        <v>168</v>
      </c>
      <c r="C28" s="189">
        <v>10.0</v>
      </c>
      <c r="D28" s="190">
        <v>21.0</v>
      </c>
      <c r="E28" s="221">
        <v>0.0</v>
      </c>
      <c r="F28" s="189">
        <v>20.0</v>
      </c>
      <c r="G28" s="189">
        <v>0.0</v>
      </c>
      <c r="H28" s="189">
        <v>0.0</v>
      </c>
      <c r="I28" s="189">
        <v>0.0</v>
      </c>
      <c r="J28" s="189">
        <v>0.0</v>
      </c>
      <c r="K28" s="189">
        <v>0.0</v>
      </c>
      <c r="L28" s="189">
        <v>0.0</v>
      </c>
      <c r="M28" s="189">
        <v>0.0</v>
      </c>
      <c r="N28" s="189">
        <v>0.0</v>
      </c>
      <c r="O28" s="189">
        <v>0.0</v>
      </c>
      <c r="P28" s="189">
        <v>0.0</v>
      </c>
      <c r="Q28" s="189">
        <v>0.0</v>
      </c>
      <c r="R28" s="189">
        <v>0.0</v>
      </c>
      <c r="S28" s="189">
        <v>0.0</v>
      </c>
      <c r="T28" s="189">
        <v>0.0</v>
      </c>
      <c r="U28" s="189">
        <v>0.0</v>
      </c>
      <c r="V28" s="189">
        <v>0.0</v>
      </c>
      <c r="W28" s="189">
        <v>0.0</v>
      </c>
      <c r="X28" s="189">
        <v>0.0</v>
      </c>
    </row>
    <row r="29" ht="15.75" customHeight="1">
      <c r="A29" s="189">
        <v>4.0</v>
      </c>
      <c r="B29" s="189" t="s">
        <v>164</v>
      </c>
      <c r="C29" s="189">
        <v>15.0</v>
      </c>
      <c r="D29" s="190">
        <v>36.0</v>
      </c>
      <c r="E29" s="221">
        <v>55.0</v>
      </c>
      <c r="F29" s="189">
        <v>0.0</v>
      </c>
      <c r="G29" s="189">
        <v>0.0</v>
      </c>
      <c r="H29" s="189">
        <v>1.0</v>
      </c>
      <c r="I29" s="189">
        <v>0.0</v>
      </c>
      <c r="J29" s="189">
        <v>0.0</v>
      </c>
      <c r="K29" s="189">
        <v>0.0</v>
      </c>
      <c r="L29" s="189">
        <v>0.0</v>
      </c>
      <c r="M29" s="189">
        <v>0.0</v>
      </c>
      <c r="N29" s="189">
        <v>0.0</v>
      </c>
      <c r="O29" s="189">
        <v>0.0</v>
      </c>
      <c r="P29" s="189">
        <v>0.0</v>
      </c>
      <c r="Q29" s="189">
        <v>0.0</v>
      </c>
      <c r="R29" s="189">
        <v>0.0</v>
      </c>
      <c r="S29" s="189">
        <v>0.0</v>
      </c>
      <c r="T29" s="189">
        <v>0.0</v>
      </c>
      <c r="U29" s="189">
        <v>0.0</v>
      </c>
      <c r="V29" s="189">
        <v>0.0</v>
      </c>
      <c r="W29" s="189">
        <v>0.0</v>
      </c>
      <c r="X29" s="189">
        <v>0.0</v>
      </c>
    </row>
    <row r="30" ht="15.75" customHeight="1">
      <c r="A30" s="189">
        <v>4.0</v>
      </c>
      <c r="B30" s="189" t="s">
        <v>165</v>
      </c>
      <c r="C30" s="189">
        <v>15.0</v>
      </c>
      <c r="D30" s="190">
        <v>36.0</v>
      </c>
      <c r="E30" s="221">
        <v>0.0</v>
      </c>
      <c r="F30" s="189">
        <v>0.0</v>
      </c>
      <c r="G30" s="189">
        <v>0.0</v>
      </c>
      <c r="H30" s="189">
        <v>0.0</v>
      </c>
      <c r="I30" s="189">
        <v>0.0</v>
      </c>
      <c r="J30" s="189">
        <v>0.0</v>
      </c>
      <c r="K30" s="189">
        <v>0.0</v>
      </c>
      <c r="L30" s="189">
        <v>0.0</v>
      </c>
      <c r="M30" s="189">
        <v>0.0</v>
      </c>
      <c r="N30" s="189">
        <v>20.0</v>
      </c>
      <c r="O30" s="189">
        <v>0.0</v>
      </c>
      <c r="P30" s="189">
        <v>0.0</v>
      </c>
      <c r="Q30" s="189">
        <v>0.0</v>
      </c>
      <c r="R30" s="189">
        <v>0.0</v>
      </c>
      <c r="S30" s="189">
        <v>0.0</v>
      </c>
      <c r="T30" s="189">
        <v>0.0</v>
      </c>
      <c r="U30" s="189">
        <v>0.0</v>
      </c>
      <c r="V30" s="189">
        <v>0.0</v>
      </c>
      <c r="W30" s="189">
        <v>0.0</v>
      </c>
      <c r="X30" s="189">
        <v>0.0</v>
      </c>
    </row>
    <row r="31" ht="15.75" customHeight="1">
      <c r="A31" s="189">
        <v>4.0</v>
      </c>
      <c r="B31" s="189" t="s">
        <v>166</v>
      </c>
      <c r="C31" s="189">
        <v>15.0</v>
      </c>
      <c r="D31" s="190">
        <v>36.0</v>
      </c>
      <c r="E31" s="221">
        <v>0.0</v>
      </c>
      <c r="F31" s="189">
        <v>0.0</v>
      </c>
      <c r="G31" s="189">
        <v>0.0</v>
      </c>
      <c r="H31" s="189">
        <v>0.0</v>
      </c>
      <c r="I31" s="189">
        <v>0.0</v>
      </c>
      <c r="J31" s="189">
        <v>0.0</v>
      </c>
      <c r="K31" s="189">
        <v>0.0</v>
      </c>
      <c r="L31" s="189">
        <v>0.0</v>
      </c>
      <c r="M31" s="189">
        <v>1.0</v>
      </c>
      <c r="N31" s="189">
        <v>0.0</v>
      </c>
      <c r="O31" s="189">
        <v>0.0</v>
      </c>
      <c r="P31" s="189">
        <v>0.0</v>
      </c>
      <c r="Q31" s="189">
        <v>0.0</v>
      </c>
      <c r="R31" s="189">
        <v>0.0</v>
      </c>
      <c r="S31" s="189">
        <v>0.0</v>
      </c>
      <c r="T31" s="189">
        <v>0.0</v>
      </c>
      <c r="U31" s="189">
        <v>0.0</v>
      </c>
      <c r="V31" s="189">
        <v>0.0</v>
      </c>
      <c r="W31" s="189">
        <v>0.0</v>
      </c>
      <c r="X31" s="189">
        <v>0.0</v>
      </c>
    </row>
    <row r="32" ht="15.75" customHeight="1">
      <c r="A32" s="189">
        <v>4.0</v>
      </c>
      <c r="B32" s="189" t="s">
        <v>167</v>
      </c>
      <c r="C32" s="189">
        <v>15.0</v>
      </c>
      <c r="D32" s="190">
        <v>36.0</v>
      </c>
      <c r="E32" s="221">
        <v>0.0</v>
      </c>
      <c r="F32" s="189">
        <v>0.0</v>
      </c>
      <c r="G32" s="189">
        <v>0.0</v>
      </c>
      <c r="H32" s="189">
        <v>0.0</v>
      </c>
      <c r="I32" s="189">
        <v>1.0</v>
      </c>
      <c r="J32" s="189">
        <v>0.0</v>
      </c>
      <c r="K32" s="189">
        <v>0.0</v>
      </c>
      <c r="L32" s="189">
        <v>0.0</v>
      </c>
      <c r="M32" s="189">
        <v>0.0</v>
      </c>
      <c r="N32" s="189">
        <v>0.0</v>
      </c>
      <c r="O32" s="189">
        <v>0.0</v>
      </c>
      <c r="P32" s="189">
        <v>0.0</v>
      </c>
      <c r="Q32" s="189">
        <v>0.0</v>
      </c>
      <c r="R32" s="189">
        <v>0.0</v>
      </c>
      <c r="S32" s="189">
        <v>0.0</v>
      </c>
      <c r="T32" s="189">
        <v>0.0</v>
      </c>
      <c r="U32" s="189">
        <v>0.0</v>
      </c>
      <c r="V32" s="189">
        <v>0.0</v>
      </c>
      <c r="W32" s="189">
        <v>0.0</v>
      </c>
      <c r="X32" s="189">
        <v>0.0</v>
      </c>
    </row>
    <row r="33" ht="15.75" customHeight="1">
      <c r="A33" s="189">
        <v>4.0</v>
      </c>
      <c r="B33" s="189" t="s">
        <v>168</v>
      </c>
      <c r="C33" s="189">
        <v>15.0</v>
      </c>
      <c r="D33" s="190">
        <v>36.0</v>
      </c>
      <c r="E33" s="221">
        <v>0.0</v>
      </c>
      <c r="F33" s="189">
        <v>0.0</v>
      </c>
      <c r="G33" s="189">
        <v>0.0</v>
      </c>
      <c r="H33" s="189">
        <v>0.0</v>
      </c>
      <c r="I33" s="189">
        <v>0.0</v>
      </c>
      <c r="J33" s="189">
        <v>0.0</v>
      </c>
      <c r="K33" s="189">
        <v>0.0</v>
      </c>
      <c r="L33" s="189">
        <v>0.0</v>
      </c>
      <c r="M33" s="189">
        <v>0.0</v>
      </c>
      <c r="N33" s="189">
        <v>0.0</v>
      </c>
      <c r="O33" s="189">
        <v>15.0</v>
      </c>
      <c r="P33" s="189">
        <v>0.0</v>
      </c>
      <c r="Q33" s="189">
        <v>0.0</v>
      </c>
      <c r="R33" s="189">
        <v>0.0</v>
      </c>
      <c r="S33" s="189">
        <v>0.0</v>
      </c>
      <c r="T33" s="189">
        <v>0.0</v>
      </c>
      <c r="U33" s="189">
        <v>0.0</v>
      </c>
      <c r="V33" s="189">
        <v>0.0</v>
      </c>
      <c r="W33" s="189">
        <v>0.0</v>
      </c>
      <c r="X33" s="189">
        <v>0.0</v>
      </c>
    </row>
    <row r="34" ht="15.75" customHeight="1">
      <c r="A34" s="189">
        <v>5.0</v>
      </c>
      <c r="B34" s="189" t="s">
        <v>164</v>
      </c>
      <c r="C34" s="189">
        <v>8.0</v>
      </c>
      <c r="D34" s="190">
        <v>44.0</v>
      </c>
      <c r="E34" s="221">
        <v>0.0</v>
      </c>
      <c r="F34" s="189">
        <v>0.0</v>
      </c>
      <c r="G34" s="189">
        <v>0.0</v>
      </c>
      <c r="H34" s="189">
        <v>0.0</v>
      </c>
      <c r="I34" s="189">
        <v>0.0</v>
      </c>
      <c r="J34" s="189">
        <v>0.0</v>
      </c>
      <c r="K34" s="189">
        <v>0.0</v>
      </c>
      <c r="L34" s="189">
        <v>1.0</v>
      </c>
      <c r="M34" s="189">
        <v>0.0</v>
      </c>
      <c r="N34" s="189">
        <v>0.0</v>
      </c>
      <c r="O34" s="189">
        <v>0.0</v>
      </c>
      <c r="P34" s="189">
        <v>0.0</v>
      </c>
      <c r="Q34" s="189">
        <v>0.0</v>
      </c>
      <c r="R34" s="189">
        <v>0.0</v>
      </c>
      <c r="S34" s="189">
        <v>0.0</v>
      </c>
      <c r="T34" s="189">
        <v>0.0</v>
      </c>
      <c r="U34" s="189">
        <v>0.0</v>
      </c>
      <c r="V34" s="189">
        <v>0.0</v>
      </c>
      <c r="W34" s="189">
        <v>0.0</v>
      </c>
      <c r="X34" s="189">
        <v>0.0</v>
      </c>
    </row>
    <row r="35" ht="15.75" customHeight="1">
      <c r="A35" s="189">
        <v>5.0</v>
      </c>
      <c r="B35" s="189" t="s">
        <v>165</v>
      </c>
      <c r="C35" s="189">
        <v>8.0</v>
      </c>
      <c r="D35" s="190">
        <v>44.0</v>
      </c>
      <c r="E35" s="221">
        <v>0.0</v>
      </c>
      <c r="F35" s="189">
        <v>0.0</v>
      </c>
      <c r="G35" s="189">
        <v>0.0</v>
      </c>
      <c r="H35" s="189">
        <v>0.0</v>
      </c>
      <c r="I35" s="189">
        <v>0.0</v>
      </c>
      <c r="J35" s="189">
        <v>0.0</v>
      </c>
      <c r="K35" s="189">
        <v>0.0</v>
      </c>
      <c r="L35" s="189">
        <v>0.0</v>
      </c>
      <c r="M35" s="189">
        <v>0.0</v>
      </c>
      <c r="N35" s="189">
        <v>0.0</v>
      </c>
      <c r="O35" s="189">
        <v>0.0</v>
      </c>
      <c r="P35" s="189">
        <v>10.0</v>
      </c>
      <c r="Q35" s="189">
        <v>0.0</v>
      </c>
      <c r="R35" s="189">
        <v>0.0</v>
      </c>
      <c r="S35" s="189">
        <v>0.0</v>
      </c>
      <c r="T35" s="189">
        <v>0.0</v>
      </c>
      <c r="U35" s="189">
        <v>0.0</v>
      </c>
      <c r="V35" s="189">
        <v>0.0</v>
      </c>
      <c r="W35" s="189">
        <v>0.0</v>
      </c>
      <c r="X35" s="189">
        <v>0.0</v>
      </c>
    </row>
    <row r="36" ht="15.75" customHeight="1">
      <c r="A36" s="189">
        <v>5.0</v>
      </c>
      <c r="B36" s="189" t="s">
        <v>166</v>
      </c>
      <c r="C36" s="189">
        <v>8.0</v>
      </c>
      <c r="D36" s="190">
        <v>44.0</v>
      </c>
      <c r="E36" s="221">
        <v>0.0</v>
      </c>
      <c r="F36" s="189">
        <v>0.0</v>
      </c>
      <c r="G36" s="189">
        <v>0.0</v>
      </c>
      <c r="H36" s="189">
        <v>0.0</v>
      </c>
      <c r="I36" s="189">
        <v>1.0</v>
      </c>
      <c r="J36" s="189">
        <v>0.0</v>
      </c>
      <c r="K36" s="189">
        <v>0.0</v>
      </c>
      <c r="L36" s="189">
        <v>0.0</v>
      </c>
      <c r="M36" s="189">
        <v>0.0</v>
      </c>
      <c r="N36" s="189">
        <v>0.0</v>
      </c>
      <c r="O36" s="189">
        <v>0.0</v>
      </c>
      <c r="P36" s="189">
        <v>0.0</v>
      </c>
      <c r="Q36" s="189">
        <v>0.0</v>
      </c>
      <c r="R36" s="189">
        <v>0.0</v>
      </c>
      <c r="S36" s="189">
        <v>0.0</v>
      </c>
      <c r="T36" s="189">
        <v>0.0</v>
      </c>
      <c r="U36" s="189">
        <v>0.0</v>
      </c>
      <c r="V36" s="189">
        <v>0.0</v>
      </c>
      <c r="W36" s="189">
        <v>0.0</v>
      </c>
      <c r="X36" s="189">
        <v>0.0</v>
      </c>
    </row>
    <row r="37" ht="15.75" customHeight="1">
      <c r="A37" s="189">
        <v>5.0</v>
      </c>
      <c r="B37" s="189" t="s">
        <v>167</v>
      </c>
      <c r="C37" s="189">
        <v>8.0</v>
      </c>
      <c r="D37" s="190">
        <v>44.0</v>
      </c>
      <c r="E37" s="221">
        <v>0.0</v>
      </c>
      <c r="F37" s="189">
        <v>0.0</v>
      </c>
      <c r="G37" s="189">
        <v>0.0</v>
      </c>
      <c r="H37" s="189">
        <v>0.0</v>
      </c>
      <c r="I37" s="189">
        <v>0.0</v>
      </c>
      <c r="J37" s="189">
        <v>0.0</v>
      </c>
      <c r="K37" s="189">
        <v>0.0</v>
      </c>
      <c r="L37" s="189">
        <v>0.0</v>
      </c>
      <c r="M37" s="189">
        <v>0.0</v>
      </c>
      <c r="N37" s="189">
        <v>0.0</v>
      </c>
      <c r="O37" s="189">
        <v>10.0</v>
      </c>
      <c r="P37" s="189">
        <v>0.0</v>
      </c>
      <c r="Q37" s="189">
        <v>0.0</v>
      </c>
      <c r="R37" s="189">
        <v>0.0</v>
      </c>
      <c r="S37" s="189">
        <v>0.0</v>
      </c>
      <c r="T37" s="189">
        <v>0.0</v>
      </c>
      <c r="U37" s="189">
        <v>0.0</v>
      </c>
      <c r="V37" s="189">
        <v>0.0</v>
      </c>
      <c r="W37" s="189">
        <v>0.0</v>
      </c>
      <c r="X37" s="189">
        <v>0.0</v>
      </c>
    </row>
    <row r="38" ht="15.75" customHeight="1">
      <c r="A38" s="189">
        <v>5.0</v>
      </c>
      <c r="B38" s="189" t="s">
        <v>168</v>
      </c>
      <c r="C38" s="189">
        <v>8.0</v>
      </c>
      <c r="D38" s="190">
        <v>44.0</v>
      </c>
      <c r="E38" s="221">
        <v>0.0</v>
      </c>
      <c r="F38" s="189">
        <v>0.0</v>
      </c>
      <c r="G38" s="189">
        <v>0.0</v>
      </c>
      <c r="H38" s="189">
        <v>1.0</v>
      </c>
      <c r="I38" s="189">
        <v>0.0</v>
      </c>
      <c r="J38" s="189">
        <v>0.0</v>
      </c>
      <c r="K38" s="189">
        <v>0.0</v>
      </c>
      <c r="L38" s="189">
        <v>0.0</v>
      </c>
      <c r="M38" s="189">
        <v>0.0</v>
      </c>
      <c r="N38" s="189">
        <v>0.0</v>
      </c>
      <c r="O38" s="189">
        <v>0.0</v>
      </c>
      <c r="P38" s="189">
        <v>0.0</v>
      </c>
      <c r="Q38" s="189">
        <v>0.0</v>
      </c>
      <c r="R38" s="189">
        <v>0.0</v>
      </c>
      <c r="S38" s="189">
        <v>0.0</v>
      </c>
      <c r="T38" s="189">
        <v>0.0</v>
      </c>
      <c r="U38" s="189">
        <v>0.0</v>
      </c>
      <c r="V38" s="189">
        <v>0.0</v>
      </c>
      <c r="W38" s="189">
        <v>0.0</v>
      </c>
      <c r="X38" s="189">
        <v>0.0</v>
      </c>
    </row>
    <row r="39" ht="15.75" customHeight="1">
      <c r="A39" s="189">
        <v>6.0</v>
      </c>
      <c r="B39" s="189" t="s">
        <v>164</v>
      </c>
      <c r="C39" s="189">
        <v>10.0</v>
      </c>
      <c r="D39" s="190">
        <v>54.0</v>
      </c>
      <c r="E39" s="221">
        <v>50.0</v>
      </c>
      <c r="F39" s="189">
        <v>0.0</v>
      </c>
      <c r="G39" s="189">
        <v>0.0</v>
      </c>
      <c r="H39" s="189">
        <v>0.0</v>
      </c>
      <c r="I39" s="189">
        <v>0.0</v>
      </c>
      <c r="J39" s="189">
        <v>0.0</v>
      </c>
      <c r="K39" s="189">
        <v>0.0</v>
      </c>
      <c r="L39" s="189">
        <v>0.0</v>
      </c>
      <c r="M39" s="189">
        <v>0.0</v>
      </c>
      <c r="N39" s="189">
        <v>0.0</v>
      </c>
      <c r="O39" s="189">
        <v>0.0</v>
      </c>
      <c r="P39" s="189">
        <v>0.0</v>
      </c>
      <c r="Q39" s="189">
        <v>0.0</v>
      </c>
      <c r="R39" s="189">
        <v>0.0</v>
      </c>
      <c r="S39" s="189">
        <v>0.0</v>
      </c>
      <c r="T39" s="189">
        <v>0.0</v>
      </c>
      <c r="U39" s="189">
        <v>0.0</v>
      </c>
      <c r="V39" s="189">
        <v>0.0</v>
      </c>
      <c r="W39" s="189">
        <v>0.0</v>
      </c>
      <c r="X39" s="189">
        <v>0.0</v>
      </c>
    </row>
    <row r="40" ht="15.75" customHeight="1">
      <c r="A40" s="189">
        <v>6.0</v>
      </c>
      <c r="B40" s="189" t="s">
        <v>165</v>
      </c>
      <c r="C40" s="189">
        <v>10.0</v>
      </c>
      <c r="D40" s="190">
        <v>54.0</v>
      </c>
      <c r="E40" s="221">
        <v>0.0</v>
      </c>
      <c r="F40" s="189">
        <v>0.0</v>
      </c>
      <c r="G40" s="189">
        <v>0.0</v>
      </c>
      <c r="H40" s="189">
        <v>0.0</v>
      </c>
      <c r="I40" s="189">
        <v>0.0</v>
      </c>
      <c r="J40" s="189">
        <v>0.0</v>
      </c>
      <c r="K40" s="189">
        <v>0.0</v>
      </c>
      <c r="L40" s="189">
        <v>0.0</v>
      </c>
      <c r="M40" s="189">
        <v>0.0</v>
      </c>
      <c r="N40" s="189">
        <v>15.0</v>
      </c>
      <c r="O40" s="189">
        <v>0.0</v>
      </c>
      <c r="P40" s="189">
        <v>0.0</v>
      </c>
      <c r="Q40" s="189">
        <v>0.0</v>
      </c>
      <c r="R40" s="189">
        <v>0.0</v>
      </c>
      <c r="S40" s="189">
        <v>0.0</v>
      </c>
      <c r="T40" s="189">
        <v>0.0</v>
      </c>
      <c r="U40" s="189">
        <v>0.0</v>
      </c>
      <c r="V40" s="189">
        <v>0.0</v>
      </c>
      <c r="W40" s="189">
        <v>0.0</v>
      </c>
      <c r="X40" s="189">
        <v>0.0</v>
      </c>
    </row>
    <row r="41" ht="15.75" customHeight="1">
      <c r="A41" s="189">
        <v>6.0</v>
      </c>
      <c r="B41" s="189" t="s">
        <v>166</v>
      </c>
      <c r="C41" s="189">
        <v>10.0</v>
      </c>
      <c r="D41" s="190">
        <v>54.0</v>
      </c>
      <c r="E41" s="221">
        <v>0.0</v>
      </c>
      <c r="F41" s="189">
        <v>0.0</v>
      </c>
      <c r="G41" s="189">
        <v>0.0</v>
      </c>
      <c r="H41" s="189">
        <v>0.0</v>
      </c>
      <c r="I41" s="189">
        <v>0.0</v>
      </c>
      <c r="J41" s="189">
        <v>1.0</v>
      </c>
      <c r="K41" s="189">
        <v>0.0</v>
      </c>
      <c r="L41" s="189">
        <v>0.0</v>
      </c>
      <c r="M41" s="189">
        <v>0.0</v>
      </c>
      <c r="N41" s="189">
        <v>0.0</v>
      </c>
      <c r="O41" s="189">
        <v>0.0</v>
      </c>
      <c r="P41" s="189">
        <v>0.0</v>
      </c>
      <c r="Q41" s="189">
        <v>0.0</v>
      </c>
      <c r="R41" s="189">
        <v>0.0</v>
      </c>
      <c r="S41" s="189">
        <v>0.0</v>
      </c>
      <c r="T41" s="189">
        <v>0.0</v>
      </c>
      <c r="U41" s="189">
        <v>0.0</v>
      </c>
      <c r="V41" s="189">
        <v>0.0</v>
      </c>
      <c r="W41" s="189">
        <v>0.0</v>
      </c>
      <c r="X41" s="189">
        <v>0.0</v>
      </c>
    </row>
    <row r="42" ht="15.75" customHeight="1">
      <c r="A42" s="189">
        <v>6.0</v>
      </c>
      <c r="B42" s="189" t="s">
        <v>167</v>
      </c>
      <c r="C42" s="189">
        <v>10.0</v>
      </c>
      <c r="D42" s="190">
        <v>54.0</v>
      </c>
      <c r="E42" s="221">
        <v>0.0</v>
      </c>
      <c r="F42" s="189">
        <v>0.0</v>
      </c>
      <c r="G42" s="189">
        <v>0.0</v>
      </c>
      <c r="H42" s="189">
        <v>0.0</v>
      </c>
      <c r="I42" s="189">
        <v>0.0</v>
      </c>
      <c r="J42" s="189">
        <v>0.0</v>
      </c>
      <c r="K42" s="189">
        <v>0.0</v>
      </c>
      <c r="L42" s="189">
        <v>1.0</v>
      </c>
      <c r="M42" s="189">
        <v>0.0</v>
      </c>
      <c r="N42" s="189">
        <v>0.0</v>
      </c>
      <c r="O42" s="189">
        <v>0.0</v>
      </c>
      <c r="P42" s="189">
        <v>0.0</v>
      </c>
      <c r="Q42" s="189">
        <v>0.0</v>
      </c>
      <c r="R42" s="189">
        <v>0.0</v>
      </c>
      <c r="S42" s="189">
        <v>0.0</v>
      </c>
      <c r="T42" s="189">
        <v>0.0</v>
      </c>
      <c r="U42" s="189">
        <v>0.0</v>
      </c>
      <c r="V42" s="189">
        <v>0.0</v>
      </c>
      <c r="W42" s="189">
        <v>0.0</v>
      </c>
      <c r="X42" s="189">
        <v>0.0</v>
      </c>
    </row>
    <row r="43" ht="15.75" customHeight="1">
      <c r="A43" s="189">
        <v>6.0</v>
      </c>
      <c r="B43" s="189" t="s">
        <v>168</v>
      </c>
      <c r="C43" s="189">
        <v>10.0</v>
      </c>
      <c r="D43" s="190">
        <v>54.0</v>
      </c>
      <c r="E43" s="221">
        <v>0.0</v>
      </c>
      <c r="F43" s="189">
        <v>0.0</v>
      </c>
      <c r="G43" s="189">
        <v>15.0</v>
      </c>
      <c r="H43" s="189">
        <v>0.0</v>
      </c>
      <c r="I43" s="189">
        <v>0.0</v>
      </c>
      <c r="J43" s="189">
        <v>0.0</v>
      </c>
      <c r="K43" s="189">
        <v>0.0</v>
      </c>
      <c r="L43" s="189">
        <v>0.0</v>
      </c>
      <c r="M43" s="189">
        <v>0.0</v>
      </c>
      <c r="N43" s="189">
        <v>0.0</v>
      </c>
      <c r="O43" s="189">
        <v>0.0</v>
      </c>
      <c r="P43" s="189">
        <v>0.0</v>
      </c>
      <c r="Q43" s="189">
        <v>0.0</v>
      </c>
      <c r="R43" s="189">
        <v>0.0</v>
      </c>
      <c r="S43" s="189">
        <v>0.0</v>
      </c>
      <c r="T43" s="189">
        <v>0.0</v>
      </c>
      <c r="U43" s="189">
        <v>0.0</v>
      </c>
      <c r="V43" s="189">
        <v>0.0</v>
      </c>
      <c r="W43" s="189">
        <v>0.0</v>
      </c>
      <c r="X43" s="189">
        <v>0.0</v>
      </c>
    </row>
    <row r="44" ht="15.75" customHeight="1">
      <c r="A44" s="189">
        <v>7.0</v>
      </c>
      <c r="B44" s="189" t="s">
        <v>164</v>
      </c>
      <c r="C44" s="189">
        <v>12.0</v>
      </c>
      <c r="D44" s="190">
        <v>66.0</v>
      </c>
      <c r="E44" s="221">
        <v>0.0</v>
      </c>
      <c r="F44" s="189">
        <v>0.0</v>
      </c>
      <c r="G44" s="189">
        <v>0.0</v>
      </c>
      <c r="H44" s="189">
        <v>0.0</v>
      </c>
      <c r="I44" s="189">
        <v>0.0</v>
      </c>
      <c r="J44" s="189">
        <v>0.0</v>
      </c>
      <c r="K44" s="189">
        <v>1.0</v>
      </c>
      <c r="L44" s="189">
        <v>0.0</v>
      </c>
      <c r="M44" s="189">
        <v>0.0</v>
      </c>
      <c r="N44" s="189">
        <v>0.0</v>
      </c>
      <c r="O44" s="189">
        <v>0.0</v>
      </c>
      <c r="P44" s="189">
        <v>0.0</v>
      </c>
      <c r="Q44" s="189">
        <v>0.0</v>
      </c>
      <c r="R44" s="189">
        <v>0.0</v>
      </c>
      <c r="S44" s="189">
        <v>0.0</v>
      </c>
      <c r="T44" s="189">
        <v>0.0</v>
      </c>
      <c r="U44" s="189">
        <v>0.0</v>
      </c>
      <c r="V44" s="189">
        <v>0.0</v>
      </c>
      <c r="W44" s="189">
        <v>0.0</v>
      </c>
      <c r="X44" s="189">
        <v>0.0</v>
      </c>
    </row>
    <row r="45" ht="15.75" customHeight="1">
      <c r="A45" s="189">
        <v>7.0</v>
      </c>
      <c r="B45" s="189" t="s">
        <v>165</v>
      </c>
      <c r="C45" s="189">
        <v>12.0</v>
      </c>
      <c r="D45" s="190">
        <v>66.0</v>
      </c>
      <c r="E45" s="221">
        <v>0.0</v>
      </c>
      <c r="F45" s="189">
        <v>0.0</v>
      </c>
      <c r="G45" s="189">
        <v>0.0</v>
      </c>
      <c r="H45" s="189">
        <v>0.0</v>
      </c>
      <c r="I45" s="189">
        <v>0.0</v>
      </c>
      <c r="J45" s="189">
        <v>0.0</v>
      </c>
      <c r="K45" s="189">
        <v>0.0</v>
      </c>
      <c r="L45" s="189">
        <v>0.0</v>
      </c>
      <c r="M45" s="189">
        <v>0.0</v>
      </c>
      <c r="N45" s="189">
        <v>0.0</v>
      </c>
      <c r="O45" s="189">
        <v>15.0</v>
      </c>
      <c r="P45" s="189">
        <v>0.0</v>
      </c>
      <c r="Q45" s="189">
        <v>0.0</v>
      </c>
      <c r="R45" s="189">
        <v>0.0</v>
      </c>
      <c r="S45" s="189">
        <v>0.0</v>
      </c>
      <c r="T45" s="189">
        <v>0.0</v>
      </c>
      <c r="U45" s="189">
        <v>0.0</v>
      </c>
      <c r="V45" s="189">
        <v>0.0</v>
      </c>
      <c r="W45" s="189">
        <v>0.0</v>
      </c>
      <c r="X45" s="189">
        <v>0.0</v>
      </c>
    </row>
    <row r="46" ht="15.75" customHeight="1">
      <c r="A46" s="189">
        <v>7.0</v>
      </c>
      <c r="B46" s="189" t="s">
        <v>166</v>
      </c>
      <c r="C46" s="189">
        <v>12.0</v>
      </c>
      <c r="D46" s="190">
        <v>66.0</v>
      </c>
      <c r="E46" s="221">
        <v>0.0</v>
      </c>
      <c r="F46" s="189">
        <v>0.0</v>
      </c>
      <c r="G46" s="189">
        <v>0.0</v>
      </c>
      <c r="H46" s="189">
        <v>1.0</v>
      </c>
      <c r="I46" s="189">
        <v>0.0</v>
      </c>
      <c r="J46" s="189">
        <v>0.0</v>
      </c>
      <c r="K46" s="189">
        <v>0.0</v>
      </c>
      <c r="L46" s="189">
        <v>0.0</v>
      </c>
      <c r="M46" s="189">
        <v>0.0</v>
      </c>
      <c r="N46" s="189">
        <v>0.0</v>
      </c>
      <c r="O46" s="189">
        <v>0.0</v>
      </c>
      <c r="P46" s="189">
        <v>0.0</v>
      </c>
      <c r="Q46" s="189">
        <v>0.0</v>
      </c>
      <c r="R46" s="189">
        <v>0.0</v>
      </c>
      <c r="S46" s="189">
        <v>0.0</v>
      </c>
      <c r="T46" s="189">
        <v>0.0</v>
      </c>
      <c r="U46" s="189">
        <v>0.0</v>
      </c>
      <c r="V46" s="189">
        <v>0.0</v>
      </c>
      <c r="W46" s="189">
        <v>0.0</v>
      </c>
      <c r="X46" s="189">
        <v>0.0</v>
      </c>
    </row>
    <row r="47" ht="15.75" customHeight="1">
      <c r="A47" s="189">
        <v>7.0</v>
      </c>
      <c r="B47" s="189" t="s">
        <v>167</v>
      </c>
      <c r="C47" s="189">
        <v>12.0</v>
      </c>
      <c r="D47" s="190">
        <v>66.0</v>
      </c>
      <c r="E47" s="221">
        <v>0.0</v>
      </c>
      <c r="F47" s="189">
        <v>30.0</v>
      </c>
      <c r="G47" s="189">
        <v>0.0</v>
      </c>
      <c r="H47" s="189">
        <v>0.0</v>
      </c>
      <c r="I47" s="189">
        <v>0.0</v>
      </c>
      <c r="J47" s="189">
        <v>0.0</v>
      </c>
      <c r="K47" s="189">
        <v>0.0</v>
      </c>
      <c r="L47" s="189">
        <v>0.0</v>
      </c>
      <c r="M47" s="189">
        <v>0.0</v>
      </c>
      <c r="N47" s="189">
        <v>0.0</v>
      </c>
      <c r="O47" s="189">
        <v>0.0</v>
      </c>
      <c r="P47" s="189">
        <v>0.0</v>
      </c>
      <c r="Q47" s="189">
        <v>0.0</v>
      </c>
      <c r="R47" s="189">
        <v>0.0</v>
      </c>
      <c r="S47" s="189">
        <v>0.0</v>
      </c>
      <c r="T47" s="189">
        <v>0.0</v>
      </c>
      <c r="U47" s="189">
        <v>0.0</v>
      </c>
      <c r="V47" s="189">
        <v>0.0</v>
      </c>
      <c r="W47" s="189">
        <v>0.0</v>
      </c>
      <c r="X47" s="189">
        <v>0.0</v>
      </c>
    </row>
    <row r="48" ht="15.75" customHeight="1">
      <c r="A48" s="189">
        <v>7.0</v>
      </c>
      <c r="B48" s="189" t="s">
        <v>168</v>
      </c>
      <c r="C48" s="189">
        <v>12.0</v>
      </c>
      <c r="D48" s="190">
        <v>66.0</v>
      </c>
      <c r="E48" s="221">
        <v>0.0</v>
      </c>
      <c r="F48" s="189">
        <v>0.0</v>
      </c>
      <c r="G48" s="189">
        <v>15.0</v>
      </c>
      <c r="H48" s="189">
        <v>0.0</v>
      </c>
      <c r="I48" s="189">
        <v>0.0</v>
      </c>
      <c r="J48" s="189">
        <v>0.0</v>
      </c>
      <c r="K48" s="189">
        <v>0.0</v>
      </c>
      <c r="L48" s="189">
        <v>0.0</v>
      </c>
      <c r="M48" s="189">
        <v>0.0</v>
      </c>
      <c r="N48" s="189">
        <v>0.0</v>
      </c>
      <c r="O48" s="189">
        <v>0.0</v>
      </c>
      <c r="P48" s="189">
        <v>0.0</v>
      </c>
      <c r="Q48" s="189">
        <v>0.0</v>
      </c>
      <c r="R48" s="189">
        <v>0.0</v>
      </c>
      <c r="S48" s="189">
        <v>0.0</v>
      </c>
      <c r="T48" s="189">
        <v>0.0</v>
      </c>
      <c r="U48" s="189">
        <v>0.0</v>
      </c>
      <c r="V48" s="189">
        <v>0.0</v>
      </c>
      <c r="W48" s="189">
        <v>0.0</v>
      </c>
      <c r="X48" s="189">
        <v>0.0</v>
      </c>
    </row>
    <row r="49" ht="15.75" customHeight="1">
      <c r="A49" s="189">
        <v>8.0</v>
      </c>
      <c r="B49" s="189" t="s">
        <v>164</v>
      </c>
      <c r="C49" s="189">
        <v>15.0</v>
      </c>
      <c r="D49" s="190">
        <v>81.0</v>
      </c>
      <c r="E49" s="221">
        <v>0.0</v>
      </c>
      <c r="F49" s="189">
        <v>0.0</v>
      </c>
      <c r="G49" s="189">
        <v>0.0</v>
      </c>
      <c r="H49" s="189">
        <v>0.0</v>
      </c>
      <c r="I49" s="189">
        <v>0.0</v>
      </c>
      <c r="J49" s="189">
        <v>1.0</v>
      </c>
      <c r="K49" s="189">
        <v>0.0</v>
      </c>
      <c r="L49" s="189">
        <v>0.0</v>
      </c>
      <c r="M49" s="189">
        <v>0.0</v>
      </c>
      <c r="N49" s="189">
        <v>30.0</v>
      </c>
      <c r="O49" s="189">
        <v>0.0</v>
      </c>
      <c r="P49" s="189">
        <v>0.0</v>
      </c>
      <c r="Q49" s="189">
        <v>0.0</v>
      </c>
      <c r="R49" s="189">
        <v>0.0</v>
      </c>
      <c r="S49" s="189">
        <v>0.0</v>
      </c>
      <c r="T49" s="189">
        <v>0.0</v>
      </c>
      <c r="U49" s="189">
        <v>0.0</v>
      </c>
      <c r="V49" s="189">
        <v>0.0</v>
      </c>
      <c r="W49" s="189">
        <v>0.0</v>
      </c>
      <c r="X49" s="189">
        <v>0.0</v>
      </c>
    </row>
    <row r="50" ht="15.75" customHeight="1">
      <c r="A50" s="189">
        <v>8.0</v>
      </c>
      <c r="B50" s="189" t="s">
        <v>165</v>
      </c>
      <c r="C50" s="189">
        <v>15.0</v>
      </c>
      <c r="D50" s="190">
        <v>81.0</v>
      </c>
      <c r="E50" s="221">
        <v>0.0</v>
      </c>
      <c r="F50" s="189">
        <v>0.0</v>
      </c>
      <c r="G50" s="189">
        <v>0.0</v>
      </c>
      <c r="H50" s="189">
        <v>0.0</v>
      </c>
      <c r="I50" s="189">
        <v>0.0</v>
      </c>
      <c r="J50" s="189">
        <v>0.0</v>
      </c>
      <c r="K50" s="189">
        <v>0.0</v>
      </c>
      <c r="L50" s="189">
        <v>0.0</v>
      </c>
      <c r="M50" s="189">
        <v>1.0</v>
      </c>
      <c r="N50" s="189">
        <v>0.0</v>
      </c>
      <c r="O50" s="189">
        <v>0.0</v>
      </c>
      <c r="P50" s="189">
        <v>0.0</v>
      </c>
      <c r="Q50" s="189">
        <v>0.0</v>
      </c>
      <c r="R50" s="189">
        <v>0.0</v>
      </c>
      <c r="S50" s="189">
        <v>0.0</v>
      </c>
      <c r="T50" s="189">
        <v>0.0</v>
      </c>
      <c r="U50" s="189">
        <v>0.0</v>
      </c>
      <c r="V50" s="189">
        <v>0.0</v>
      </c>
      <c r="W50" s="189">
        <v>0.0</v>
      </c>
      <c r="X50" s="189">
        <v>0.0</v>
      </c>
    </row>
    <row r="51" ht="15.75" customHeight="1">
      <c r="A51" s="189">
        <v>8.0</v>
      </c>
      <c r="B51" s="189" t="s">
        <v>166</v>
      </c>
      <c r="C51" s="189">
        <v>15.0</v>
      </c>
      <c r="D51" s="190">
        <v>81.0</v>
      </c>
      <c r="E51" s="221">
        <v>0.0</v>
      </c>
      <c r="F51" s="189">
        <v>0.0</v>
      </c>
      <c r="G51" s="189">
        <v>0.0</v>
      </c>
      <c r="H51" s="189">
        <v>0.0</v>
      </c>
      <c r="I51" s="189">
        <v>0.0</v>
      </c>
      <c r="J51" s="189">
        <v>0.0</v>
      </c>
      <c r="K51" s="189">
        <v>0.0</v>
      </c>
      <c r="L51" s="189">
        <v>0.0</v>
      </c>
      <c r="M51" s="189">
        <v>0.0</v>
      </c>
      <c r="N51" s="189">
        <v>0.0</v>
      </c>
      <c r="O51" s="189">
        <v>0.0</v>
      </c>
      <c r="P51" s="189">
        <v>15.0</v>
      </c>
      <c r="Q51" s="189">
        <v>0.0</v>
      </c>
      <c r="R51" s="189">
        <v>0.0</v>
      </c>
      <c r="S51" s="189">
        <v>0.0</v>
      </c>
      <c r="T51" s="189">
        <v>0.0</v>
      </c>
      <c r="U51" s="189">
        <v>0.0</v>
      </c>
      <c r="V51" s="189">
        <v>0.0</v>
      </c>
      <c r="W51" s="189">
        <v>0.0</v>
      </c>
      <c r="X51" s="189">
        <v>0.0</v>
      </c>
    </row>
    <row r="52" ht="15.75" customHeight="1">
      <c r="A52" s="189">
        <v>8.0</v>
      </c>
      <c r="B52" s="189" t="s">
        <v>167</v>
      </c>
      <c r="C52" s="189">
        <v>15.0</v>
      </c>
      <c r="D52" s="190">
        <v>81.0</v>
      </c>
      <c r="E52" s="221">
        <v>0.0</v>
      </c>
      <c r="F52" s="189">
        <v>0.0</v>
      </c>
      <c r="G52" s="189">
        <v>0.0</v>
      </c>
      <c r="H52" s="189">
        <v>0.0</v>
      </c>
      <c r="I52" s="189">
        <v>1.0</v>
      </c>
      <c r="J52" s="189">
        <v>0.0</v>
      </c>
      <c r="K52" s="189">
        <v>0.0</v>
      </c>
      <c r="L52" s="189">
        <v>0.0</v>
      </c>
      <c r="M52" s="189">
        <v>0.0</v>
      </c>
      <c r="N52" s="189">
        <v>0.0</v>
      </c>
      <c r="O52" s="189">
        <v>0.0</v>
      </c>
      <c r="P52" s="189">
        <v>0.0</v>
      </c>
      <c r="Q52" s="189">
        <v>0.0</v>
      </c>
      <c r="R52" s="189">
        <v>0.0</v>
      </c>
      <c r="S52" s="189">
        <v>0.0</v>
      </c>
      <c r="T52" s="189">
        <v>0.0</v>
      </c>
      <c r="U52" s="189">
        <v>0.0</v>
      </c>
      <c r="V52" s="189">
        <v>0.0</v>
      </c>
      <c r="W52" s="189">
        <v>0.0</v>
      </c>
      <c r="X52" s="189">
        <v>0.0</v>
      </c>
    </row>
    <row r="53" ht="15.75" customHeight="1">
      <c r="A53" s="189">
        <v>8.0</v>
      </c>
      <c r="B53" s="189" t="s">
        <v>168</v>
      </c>
      <c r="C53" s="189">
        <v>15.0</v>
      </c>
      <c r="D53" s="190">
        <v>81.0</v>
      </c>
      <c r="E53" s="221">
        <v>0.0</v>
      </c>
      <c r="F53" s="189">
        <v>0.0</v>
      </c>
      <c r="G53" s="189">
        <v>0.0</v>
      </c>
      <c r="H53" s="189">
        <v>1.0</v>
      </c>
      <c r="I53" s="189">
        <v>0.0</v>
      </c>
      <c r="J53" s="189">
        <v>0.0</v>
      </c>
      <c r="K53" s="189">
        <v>0.0</v>
      </c>
      <c r="L53" s="189">
        <v>0.0</v>
      </c>
      <c r="M53" s="189">
        <v>0.0</v>
      </c>
      <c r="N53" s="189">
        <v>0.0</v>
      </c>
      <c r="O53" s="189">
        <v>0.0</v>
      </c>
      <c r="P53" s="189">
        <v>0.0</v>
      </c>
      <c r="Q53" s="189">
        <v>0.0</v>
      </c>
      <c r="R53" s="189">
        <v>0.0</v>
      </c>
      <c r="S53" s="189">
        <v>0.0</v>
      </c>
      <c r="T53" s="189">
        <v>0.0</v>
      </c>
      <c r="U53" s="189">
        <v>0.0</v>
      </c>
      <c r="V53" s="189">
        <v>0.0</v>
      </c>
      <c r="W53" s="189">
        <v>0.0</v>
      </c>
      <c r="X53" s="189">
        <v>0.0</v>
      </c>
    </row>
    <row r="54" ht="15.75" customHeight="1">
      <c r="A54" s="189">
        <v>9.0</v>
      </c>
      <c r="B54" s="189" t="s">
        <v>164</v>
      </c>
      <c r="C54" s="189">
        <v>17.0</v>
      </c>
      <c r="D54" s="190">
        <v>98.0</v>
      </c>
      <c r="E54" s="221">
        <v>70.0</v>
      </c>
      <c r="F54" s="189">
        <v>30.0</v>
      </c>
      <c r="G54" s="189">
        <v>0.0</v>
      </c>
      <c r="H54" s="189">
        <v>1.0</v>
      </c>
      <c r="I54" s="189">
        <v>0.0</v>
      </c>
      <c r="J54" s="189">
        <v>0.0</v>
      </c>
      <c r="K54" s="189">
        <v>0.0</v>
      </c>
      <c r="L54" s="189">
        <v>0.0</v>
      </c>
      <c r="M54" s="189">
        <v>0.0</v>
      </c>
      <c r="N54" s="189">
        <v>0.0</v>
      </c>
      <c r="O54" s="189">
        <v>0.0</v>
      </c>
      <c r="P54" s="189">
        <v>0.0</v>
      </c>
      <c r="Q54" s="189">
        <v>0.0</v>
      </c>
      <c r="R54" s="189">
        <v>0.0</v>
      </c>
      <c r="S54" s="189">
        <v>0.0</v>
      </c>
      <c r="T54" s="189">
        <v>0.0</v>
      </c>
      <c r="U54" s="189">
        <v>0.0</v>
      </c>
      <c r="V54" s="189">
        <v>0.0</v>
      </c>
      <c r="W54" s="189">
        <v>0.0</v>
      </c>
      <c r="X54" s="189">
        <v>0.0</v>
      </c>
    </row>
    <row r="55" ht="15.75" customHeight="1">
      <c r="A55" s="189">
        <v>9.0</v>
      </c>
      <c r="B55" s="189" t="s">
        <v>165</v>
      </c>
      <c r="C55" s="189">
        <v>17.0</v>
      </c>
      <c r="D55" s="190">
        <v>98.0</v>
      </c>
      <c r="E55" s="221">
        <v>0.0</v>
      </c>
      <c r="F55" s="189">
        <v>0.0</v>
      </c>
      <c r="G55" s="189">
        <v>0.0</v>
      </c>
      <c r="H55" s="189">
        <v>0.0</v>
      </c>
      <c r="I55" s="189">
        <v>0.0</v>
      </c>
      <c r="J55" s="189">
        <v>0.0</v>
      </c>
      <c r="K55" s="189">
        <v>1.0</v>
      </c>
      <c r="L55" s="189">
        <v>0.0</v>
      </c>
      <c r="M55" s="189">
        <v>0.0</v>
      </c>
      <c r="N55" s="189">
        <v>0.0</v>
      </c>
      <c r="O55" s="189">
        <v>0.0</v>
      </c>
      <c r="P55" s="189">
        <v>0.0</v>
      </c>
      <c r="Q55" s="189">
        <v>15.0</v>
      </c>
      <c r="R55" s="189">
        <v>0.0</v>
      </c>
      <c r="S55" s="189">
        <v>0.0</v>
      </c>
      <c r="T55" s="189">
        <v>0.0</v>
      </c>
      <c r="U55" s="189">
        <v>0.0</v>
      </c>
      <c r="V55" s="189">
        <v>0.0</v>
      </c>
      <c r="W55" s="189">
        <v>0.0</v>
      </c>
      <c r="X55" s="189">
        <v>0.0</v>
      </c>
    </row>
    <row r="56" ht="15.75" customHeight="1">
      <c r="A56" s="189">
        <v>9.0</v>
      </c>
      <c r="B56" s="189" t="s">
        <v>166</v>
      </c>
      <c r="C56" s="189">
        <v>17.0</v>
      </c>
      <c r="D56" s="190">
        <v>98.0</v>
      </c>
      <c r="E56" s="221">
        <v>0.0</v>
      </c>
      <c r="F56" s="189">
        <v>0.0</v>
      </c>
      <c r="G56" s="189">
        <v>0.0</v>
      </c>
      <c r="H56" s="189">
        <v>0.0</v>
      </c>
      <c r="I56" s="189">
        <v>0.0</v>
      </c>
      <c r="J56" s="189">
        <v>0.0</v>
      </c>
      <c r="K56" s="189">
        <v>0.0</v>
      </c>
      <c r="L56" s="189">
        <v>0.0</v>
      </c>
      <c r="M56" s="189">
        <v>0.0</v>
      </c>
      <c r="N56" s="189">
        <v>0.0</v>
      </c>
      <c r="O56" s="189">
        <v>0.0</v>
      </c>
      <c r="P56" s="189">
        <v>15.0</v>
      </c>
      <c r="Q56" s="189">
        <v>0.0</v>
      </c>
      <c r="R56" s="189">
        <v>0.0</v>
      </c>
      <c r="S56" s="189">
        <v>0.0</v>
      </c>
      <c r="T56" s="189">
        <v>0.0</v>
      </c>
      <c r="U56" s="189">
        <v>0.0</v>
      </c>
      <c r="V56" s="189">
        <v>0.0</v>
      </c>
      <c r="W56" s="189">
        <v>0.0</v>
      </c>
      <c r="X56" s="189">
        <v>0.0</v>
      </c>
    </row>
    <row r="57" ht="15.75" customHeight="1">
      <c r="A57" s="189">
        <v>9.0</v>
      </c>
      <c r="B57" s="189" t="s">
        <v>167</v>
      </c>
      <c r="C57" s="189">
        <v>17.0</v>
      </c>
      <c r="D57" s="190">
        <v>98.0</v>
      </c>
      <c r="E57" s="221">
        <v>0.0</v>
      </c>
      <c r="F57" s="189">
        <v>0.0</v>
      </c>
      <c r="G57" s="189">
        <v>0.0</v>
      </c>
      <c r="H57" s="189">
        <v>0.0</v>
      </c>
      <c r="I57" s="189">
        <v>0.0</v>
      </c>
      <c r="J57" s="189">
        <v>0.0</v>
      </c>
      <c r="K57" s="189">
        <v>0.0</v>
      </c>
      <c r="L57" s="189">
        <v>0.0</v>
      </c>
      <c r="M57" s="189">
        <v>0.0</v>
      </c>
      <c r="N57" s="189">
        <v>0.0</v>
      </c>
      <c r="O57" s="189">
        <v>15.0</v>
      </c>
      <c r="P57" s="189">
        <v>0.0</v>
      </c>
      <c r="Q57" s="189">
        <v>0.0</v>
      </c>
      <c r="R57" s="189">
        <v>0.0</v>
      </c>
      <c r="S57" s="189">
        <v>0.0</v>
      </c>
      <c r="T57" s="189">
        <v>0.0</v>
      </c>
      <c r="U57" s="189">
        <v>0.0</v>
      </c>
      <c r="V57" s="189">
        <v>0.0</v>
      </c>
      <c r="W57" s="189">
        <v>0.0</v>
      </c>
      <c r="X57" s="189">
        <v>0.0</v>
      </c>
    </row>
    <row r="58" ht="15.75" customHeight="1">
      <c r="A58" s="189">
        <v>9.0</v>
      </c>
      <c r="B58" s="189" t="s">
        <v>168</v>
      </c>
      <c r="C58" s="189">
        <v>17.0</v>
      </c>
      <c r="D58" s="190">
        <v>98.0</v>
      </c>
      <c r="E58" s="221">
        <v>0.0</v>
      </c>
      <c r="F58" s="189">
        <v>0.0</v>
      </c>
      <c r="G58" s="189">
        <v>15.0</v>
      </c>
      <c r="H58" s="189">
        <v>0.0</v>
      </c>
      <c r="I58" s="189">
        <v>0.0</v>
      </c>
      <c r="J58" s="189">
        <v>0.0</v>
      </c>
      <c r="K58" s="189">
        <v>0.0</v>
      </c>
      <c r="L58" s="189">
        <v>0.0</v>
      </c>
      <c r="M58" s="189">
        <v>0.0</v>
      </c>
      <c r="N58" s="189">
        <v>0.0</v>
      </c>
      <c r="O58" s="189">
        <v>0.0</v>
      </c>
      <c r="P58" s="189">
        <v>0.0</v>
      </c>
      <c r="Q58" s="189">
        <v>0.0</v>
      </c>
      <c r="R58" s="189">
        <v>0.0</v>
      </c>
      <c r="S58" s="189">
        <v>0.0</v>
      </c>
      <c r="T58" s="189">
        <v>0.0</v>
      </c>
      <c r="U58" s="189">
        <v>0.0</v>
      </c>
      <c r="V58" s="189">
        <v>0.0</v>
      </c>
      <c r="W58" s="189">
        <v>0.0</v>
      </c>
      <c r="X58" s="189">
        <v>0.0</v>
      </c>
    </row>
    <row r="59" ht="15.75" customHeight="1">
      <c r="A59" s="189">
        <v>10.0</v>
      </c>
      <c r="B59" s="189" t="s">
        <v>164</v>
      </c>
      <c r="C59" s="189">
        <v>8.0</v>
      </c>
      <c r="D59" s="190">
        <v>106.0</v>
      </c>
      <c r="E59" s="221">
        <v>0.0</v>
      </c>
      <c r="F59" s="189">
        <v>0.0</v>
      </c>
      <c r="G59" s="189">
        <v>0.0</v>
      </c>
      <c r="H59" s="189">
        <v>0.0</v>
      </c>
      <c r="I59" s="189">
        <v>0.0</v>
      </c>
      <c r="J59" s="189">
        <v>0.0</v>
      </c>
      <c r="K59" s="189">
        <v>0.0</v>
      </c>
      <c r="L59" s="189">
        <v>0.0</v>
      </c>
      <c r="M59" s="189">
        <v>0.0</v>
      </c>
      <c r="N59" s="189">
        <v>0.0</v>
      </c>
      <c r="O59" s="189">
        <v>20.0</v>
      </c>
      <c r="P59" s="189">
        <v>0.0</v>
      </c>
      <c r="Q59" s="189">
        <v>0.0</v>
      </c>
      <c r="R59" s="189">
        <v>0.0</v>
      </c>
      <c r="S59" s="189">
        <v>0.0</v>
      </c>
      <c r="T59" s="189">
        <v>0.0</v>
      </c>
      <c r="U59" s="189">
        <v>0.0</v>
      </c>
      <c r="V59" s="189">
        <v>0.0</v>
      </c>
      <c r="W59" s="189">
        <v>0.0</v>
      </c>
      <c r="X59" s="189">
        <v>0.0</v>
      </c>
    </row>
    <row r="60" ht="15.75" customHeight="1">
      <c r="A60" s="189">
        <v>10.0</v>
      </c>
      <c r="B60" s="189" t="s">
        <v>165</v>
      </c>
      <c r="C60" s="189">
        <v>8.0</v>
      </c>
      <c r="D60" s="190">
        <v>106.0</v>
      </c>
      <c r="E60" s="221">
        <v>0.0</v>
      </c>
      <c r="F60" s="189">
        <v>0.0</v>
      </c>
      <c r="G60" s="189">
        <v>0.0</v>
      </c>
      <c r="H60" s="189">
        <v>0.0</v>
      </c>
      <c r="I60" s="189">
        <v>0.0</v>
      </c>
      <c r="J60" s="189">
        <v>0.0</v>
      </c>
      <c r="K60" s="189">
        <v>0.0</v>
      </c>
      <c r="L60" s="189">
        <v>0.0</v>
      </c>
      <c r="M60" s="189">
        <v>0.0</v>
      </c>
      <c r="N60" s="189">
        <v>15.0</v>
      </c>
      <c r="O60" s="189">
        <v>0.0</v>
      </c>
      <c r="P60" s="189">
        <v>0.0</v>
      </c>
      <c r="Q60" s="189">
        <v>0.0</v>
      </c>
      <c r="R60" s="189">
        <v>0.0</v>
      </c>
      <c r="S60" s="189">
        <v>0.0</v>
      </c>
      <c r="T60" s="189">
        <v>0.0</v>
      </c>
      <c r="U60" s="189">
        <v>0.0</v>
      </c>
      <c r="V60" s="189">
        <v>0.0</v>
      </c>
      <c r="W60" s="189">
        <v>0.0</v>
      </c>
      <c r="X60" s="189">
        <v>0.0</v>
      </c>
    </row>
    <row r="61" ht="15.75" customHeight="1">
      <c r="A61" s="189">
        <v>10.0</v>
      </c>
      <c r="B61" s="189" t="s">
        <v>166</v>
      </c>
      <c r="C61" s="189">
        <v>8.0</v>
      </c>
      <c r="D61" s="190">
        <v>106.0</v>
      </c>
      <c r="E61" s="221">
        <v>0.0</v>
      </c>
      <c r="F61" s="189">
        <v>0.0</v>
      </c>
      <c r="G61" s="189">
        <v>0.0</v>
      </c>
      <c r="H61" s="189">
        <v>0.0</v>
      </c>
      <c r="I61" s="189">
        <v>0.0</v>
      </c>
      <c r="J61" s="189">
        <v>1.0</v>
      </c>
      <c r="K61" s="189">
        <v>0.0</v>
      </c>
      <c r="L61" s="189">
        <v>0.0</v>
      </c>
      <c r="M61" s="189">
        <v>0.0</v>
      </c>
      <c r="N61" s="189">
        <v>0.0</v>
      </c>
      <c r="O61" s="189">
        <v>0.0</v>
      </c>
      <c r="P61" s="189">
        <v>0.0</v>
      </c>
      <c r="Q61" s="189">
        <v>0.0</v>
      </c>
      <c r="R61" s="189">
        <v>0.0</v>
      </c>
      <c r="S61" s="189">
        <v>0.0</v>
      </c>
      <c r="T61" s="189">
        <v>0.0</v>
      </c>
      <c r="U61" s="189">
        <v>0.0</v>
      </c>
      <c r="V61" s="189">
        <v>0.0</v>
      </c>
      <c r="W61" s="189">
        <v>0.0</v>
      </c>
      <c r="X61" s="189">
        <v>0.0</v>
      </c>
    </row>
    <row r="62" ht="15.75" customHeight="1">
      <c r="A62" s="189">
        <v>10.0</v>
      </c>
      <c r="B62" s="189" t="s">
        <v>167</v>
      </c>
      <c r="C62" s="189">
        <v>8.0</v>
      </c>
      <c r="D62" s="190">
        <v>106.0</v>
      </c>
      <c r="E62" s="221">
        <v>0.0</v>
      </c>
      <c r="F62" s="189">
        <v>0.0</v>
      </c>
      <c r="G62" s="189">
        <v>0.0</v>
      </c>
      <c r="H62" s="189">
        <v>0.0</v>
      </c>
      <c r="I62" s="189">
        <v>1.0</v>
      </c>
      <c r="J62" s="189">
        <v>0.0</v>
      </c>
      <c r="K62" s="189">
        <v>0.0</v>
      </c>
      <c r="L62" s="189">
        <v>0.0</v>
      </c>
      <c r="M62" s="189">
        <v>0.0</v>
      </c>
      <c r="N62" s="189">
        <v>0.0</v>
      </c>
      <c r="O62" s="189">
        <v>0.0</v>
      </c>
      <c r="P62" s="189">
        <v>0.0</v>
      </c>
      <c r="Q62" s="189">
        <v>0.0</v>
      </c>
      <c r="R62" s="189">
        <v>0.0</v>
      </c>
      <c r="S62" s="189">
        <v>0.0</v>
      </c>
      <c r="T62" s="189">
        <v>0.0</v>
      </c>
      <c r="U62" s="189">
        <v>0.0</v>
      </c>
      <c r="V62" s="189">
        <v>0.0</v>
      </c>
      <c r="W62" s="189">
        <v>0.0</v>
      </c>
      <c r="X62" s="189">
        <v>0.0</v>
      </c>
    </row>
    <row r="63" ht="15.75" customHeight="1">
      <c r="A63" s="189">
        <v>10.0</v>
      </c>
      <c r="B63" s="189" t="s">
        <v>168</v>
      </c>
      <c r="C63" s="189">
        <v>8.0</v>
      </c>
      <c r="D63" s="190">
        <v>106.0</v>
      </c>
      <c r="E63" s="221">
        <v>0.0</v>
      </c>
      <c r="F63" s="189">
        <v>0.0</v>
      </c>
      <c r="G63" s="189">
        <v>0.0</v>
      </c>
      <c r="H63" s="189">
        <v>1.0</v>
      </c>
      <c r="I63" s="189">
        <v>0.0</v>
      </c>
      <c r="J63" s="189">
        <v>0.0</v>
      </c>
      <c r="K63" s="189">
        <v>0.0</v>
      </c>
      <c r="L63" s="189">
        <v>0.0</v>
      </c>
      <c r="M63" s="189">
        <v>0.0</v>
      </c>
      <c r="N63" s="189">
        <v>0.0</v>
      </c>
      <c r="O63" s="189">
        <v>0.0</v>
      </c>
      <c r="P63" s="189">
        <v>0.0</v>
      </c>
      <c r="Q63" s="189">
        <v>0.0</v>
      </c>
      <c r="R63" s="189">
        <v>0.0</v>
      </c>
      <c r="S63" s="189">
        <v>0.0</v>
      </c>
      <c r="T63" s="189">
        <v>0.0</v>
      </c>
      <c r="U63" s="189">
        <v>0.0</v>
      </c>
      <c r="V63" s="189">
        <v>0.0</v>
      </c>
      <c r="W63" s="189">
        <v>0.0</v>
      </c>
      <c r="X63" s="189">
        <v>0.0</v>
      </c>
    </row>
    <row r="64" ht="15.75" customHeight="1">
      <c r="A64" s="189">
        <v>11.0</v>
      </c>
      <c r="B64" s="189" t="s">
        <v>164</v>
      </c>
      <c r="C64" s="189">
        <v>10.0</v>
      </c>
      <c r="D64" s="190">
        <v>116.0</v>
      </c>
      <c r="E64" s="221">
        <v>0.0</v>
      </c>
      <c r="F64" s="189">
        <v>0.0</v>
      </c>
      <c r="G64" s="189">
        <v>0.0</v>
      </c>
      <c r="H64" s="189">
        <v>0.0</v>
      </c>
      <c r="I64" s="189">
        <v>0.0</v>
      </c>
      <c r="J64" s="189">
        <v>0.0</v>
      </c>
      <c r="K64" s="189">
        <v>0.0</v>
      </c>
      <c r="L64" s="189">
        <v>0.0</v>
      </c>
      <c r="M64" s="189">
        <v>0.0</v>
      </c>
      <c r="N64" s="189">
        <v>15.0</v>
      </c>
      <c r="O64" s="189">
        <v>0.0</v>
      </c>
      <c r="P64" s="189">
        <v>0.0</v>
      </c>
      <c r="Q64" s="189">
        <v>0.0</v>
      </c>
      <c r="R64" s="189">
        <v>0.0</v>
      </c>
      <c r="S64" s="189">
        <v>0.0</v>
      </c>
      <c r="T64" s="189">
        <v>0.0</v>
      </c>
      <c r="U64" s="189">
        <v>0.0</v>
      </c>
      <c r="V64" s="189">
        <v>0.0</v>
      </c>
      <c r="W64" s="189">
        <v>0.0</v>
      </c>
      <c r="X64" s="189">
        <v>0.0</v>
      </c>
    </row>
    <row r="65" ht="15.75" customHeight="1">
      <c r="A65" s="189">
        <v>11.0</v>
      </c>
      <c r="B65" s="189" t="s">
        <v>165</v>
      </c>
      <c r="C65" s="189">
        <v>10.0</v>
      </c>
      <c r="D65" s="190">
        <v>116.0</v>
      </c>
      <c r="E65" s="221">
        <v>0.0</v>
      </c>
      <c r="F65" s="189">
        <v>0.0</v>
      </c>
      <c r="G65" s="189">
        <v>0.0</v>
      </c>
      <c r="H65" s="189">
        <v>0.0</v>
      </c>
      <c r="I65" s="189">
        <v>0.0</v>
      </c>
      <c r="J65" s="189">
        <v>0.0</v>
      </c>
      <c r="K65" s="189">
        <v>0.0</v>
      </c>
      <c r="L65" s="189">
        <v>0.0</v>
      </c>
      <c r="M65" s="189">
        <v>0.0</v>
      </c>
      <c r="N65" s="189">
        <v>0.0</v>
      </c>
      <c r="O65" s="189">
        <v>0.0</v>
      </c>
      <c r="P65" s="189">
        <v>10.0</v>
      </c>
      <c r="Q65" s="189">
        <v>0.0</v>
      </c>
      <c r="R65" s="189">
        <v>0.0</v>
      </c>
      <c r="S65" s="189">
        <v>0.0</v>
      </c>
      <c r="T65" s="189">
        <v>0.0</v>
      </c>
      <c r="U65" s="189">
        <v>0.0</v>
      </c>
      <c r="V65" s="189">
        <v>0.0</v>
      </c>
      <c r="W65" s="189">
        <v>0.0</v>
      </c>
      <c r="X65" s="189">
        <v>0.0</v>
      </c>
    </row>
    <row r="66" ht="15.75" customHeight="1">
      <c r="A66" s="189">
        <v>11.0</v>
      </c>
      <c r="B66" s="189" t="s">
        <v>166</v>
      </c>
      <c r="C66" s="189">
        <v>10.0</v>
      </c>
      <c r="D66" s="190">
        <v>116.0</v>
      </c>
      <c r="E66" s="221">
        <v>0.0</v>
      </c>
      <c r="F66" s="189">
        <v>0.0</v>
      </c>
      <c r="G66" s="189">
        <v>0.0</v>
      </c>
      <c r="H66" s="189">
        <v>0.0</v>
      </c>
      <c r="I66" s="189">
        <v>0.0</v>
      </c>
      <c r="J66" s="189">
        <v>0.0</v>
      </c>
      <c r="K66" s="189">
        <v>1.0</v>
      </c>
      <c r="L66" s="189">
        <v>0.0</v>
      </c>
      <c r="M66" s="189">
        <v>0.0</v>
      </c>
      <c r="N66" s="189">
        <v>0.0</v>
      </c>
      <c r="O66" s="189">
        <v>0.0</v>
      </c>
      <c r="P66" s="189">
        <v>0.0</v>
      </c>
      <c r="Q66" s="189">
        <v>0.0</v>
      </c>
      <c r="R66" s="189">
        <v>0.0</v>
      </c>
      <c r="S66" s="189">
        <v>0.0</v>
      </c>
      <c r="T66" s="189">
        <v>0.0</v>
      </c>
      <c r="U66" s="189">
        <v>0.0</v>
      </c>
      <c r="V66" s="189">
        <v>0.0</v>
      </c>
      <c r="W66" s="189">
        <v>0.0</v>
      </c>
      <c r="X66" s="189">
        <v>0.0</v>
      </c>
    </row>
    <row r="67" ht="15.75" customHeight="1">
      <c r="A67" s="189">
        <v>11.0</v>
      </c>
      <c r="B67" s="189" t="s">
        <v>167</v>
      </c>
      <c r="C67" s="189">
        <v>10.0</v>
      </c>
      <c r="D67" s="190">
        <v>116.0</v>
      </c>
      <c r="E67" s="221">
        <v>0.0</v>
      </c>
      <c r="F67" s="189">
        <v>0.0</v>
      </c>
      <c r="G67" s="189">
        <v>0.0</v>
      </c>
      <c r="H67" s="189">
        <v>0.0</v>
      </c>
      <c r="I67" s="189">
        <v>0.0</v>
      </c>
      <c r="J67" s="189">
        <v>0.0</v>
      </c>
      <c r="K67" s="189">
        <v>0.0</v>
      </c>
      <c r="L67" s="189">
        <v>0.0</v>
      </c>
      <c r="M67" s="189">
        <v>0.0</v>
      </c>
      <c r="N67" s="189">
        <v>0.0</v>
      </c>
      <c r="O67" s="189">
        <v>10.0</v>
      </c>
      <c r="P67" s="189">
        <v>0.0</v>
      </c>
      <c r="Q67" s="189">
        <v>0.0</v>
      </c>
      <c r="R67" s="189">
        <v>0.0</v>
      </c>
      <c r="S67" s="189">
        <v>0.0</v>
      </c>
      <c r="T67" s="189">
        <v>0.0</v>
      </c>
      <c r="U67" s="189">
        <v>0.0</v>
      </c>
      <c r="V67" s="189">
        <v>0.0</v>
      </c>
      <c r="W67" s="189">
        <v>0.0</v>
      </c>
      <c r="X67" s="189">
        <v>0.0</v>
      </c>
    </row>
    <row r="68" ht="15.75" customHeight="1">
      <c r="A68" s="189">
        <v>11.0</v>
      </c>
      <c r="B68" s="189" t="s">
        <v>168</v>
      </c>
      <c r="C68" s="189">
        <v>10.0</v>
      </c>
      <c r="D68" s="190">
        <v>116.0</v>
      </c>
      <c r="E68" s="221">
        <v>0.0</v>
      </c>
      <c r="F68" s="189">
        <v>30.0</v>
      </c>
      <c r="G68" s="189">
        <v>0.0</v>
      </c>
      <c r="H68" s="189">
        <v>0.0</v>
      </c>
      <c r="I68" s="189">
        <v>0.0</v>
      </c>
      <c r="J68" s="189">
        <v>0.0</v>
      </c>
      <c r="K68" s="189">
        <v>0.0</v>
      </c>
      <c r="L68" s="189">
        <v>0.0</v>
      </c>
      <c r="M68" s="189">
        <v>0.0</v>
      </c>
      <c r="N68" s="189">
        <v>0.0</v>
      </c>
      <c r="O68" s="189">
        <v>0.0</v>
      </c>
      <c r="P68" s="189">
        <v>0.0</v>
      </c>
      <c r="Q68" s="189">
        <v>0.0</v>
      </c>
      <c r="R68" s="189">
        <v>0.0</v>
      </c>
      <c r="S68" s="189">
        <v>0.0</v>
      </c>
      <c r="T68" s="189">
        <v>0.0</v>
      </c>
      <c r="U68" s="189">
        <v>0.0</v>
      </c>
      <c r="V68" s="189">
        <v>0.0</v>
      </c>
      <c r="W68" s="189">
        <v>0.0</v>
      </c>
      <c r="X68" s="189">
        <v>0.0</v>
      </c>
    </row>
    <row r="69" ht="15.75" customHeight="1">
      <c r="A69" s="189">
        <v>12.0</v>
      </c>
      <c r="B69" s="189" t="s">
        <v>164</v>
      </c>
      <c r="C69" s="189">
        <v>12.0</v>
      </c>
      <c r="D69" s="190">
        <v>128.0</v>
      </c>
      <c r="E69" s="221">
        <v>0.0</v>
      </c>
      <c r="F69" s="189">
        <v>0.0</v>
      </c>
      <c r="G69" s="189">
        <v>0.0</v>
      </c>
      <c r="H69" s="189">
        <v>0.0</v>
      </c>
      <c r="I69" s="189">
        <v>0.0</v>
      </c>
      <c r="J69" s="189">
        <v>0.0</v>
      </c>
      <c r="K69" s="189">
        <v>0.0</v>
      </c>
      <c r="L69" s="189">
        <v>0.0</v>
      </c>
      <c r="M69" s="189">
        <v>1.0</v>
      </c>
      <c r="N69" s="189">
        <v>0.0</v>
      </c>
      <c r="O69" s="189">
        <v>0.0</v>
      </c>
      <c r="P69" s="189">
        <v>0.0</v>
      </c>
      <c r="Q69" s="189">
        <v>0.0</v>
      </c>
      <c r="R69" s="189">
        <v>0.0</v>
      </c>
      <c r="S69" s="189">
        <v>0.0</v>
      </c>
      <c r="T69" s="189">
        <v>0.0</v>
      </c>
      <c r="U69" s="189">
        <v>0.0</v>
      </c>
      <c r="V69" s="189">
        <v>0.0</v>
      </c>
      <c r="W69" s="189">
        <v>0.0</v>
      </c>
      <c r="X69" s="189">
        <v>0.0</v>
      </c>
    </row>
    <row r="70" ht="15.75" customHeight="1">
      <c r="A70" s="189">
        <v>12.0</v>
      </c>
      <c r="B70" s="189" t="s">
        <v>165</v>
      </c>
      <c r="C70" s="189">
        <v>12.0</v>
      </c>
      <c r="D70" s="190">
        <v>128.0</v>
      </c>
      <c r="E70" s="221">
        <v>0.0</v>
      </c>
      <c r="F70" s="189">
        <v>0.0</v>
      </c>
      <c r="G70" s="189">
        <v>0.0</v>
      </c>
      <c r="H70" s="189">
        <v>0.0</v>
      </c>
      <c r="I70" s="189">
        <v>0.0</v>
      </c>
      <c r="J70" s="189">
        <v>0.0</v>
      </c>
      <c r="K70" s="189">
        <v>0.0</v>
      </c>
      <c r="L70" s="189">
        <v>1.0</v>
      </c>
      <c r="M70" s="189">
        <v>0.0</v>
      </c>
      <c r="N70" s="189">
        <v>0.0</v>
      </c>
      <c r="O70" s="189">
        <v>0.0</v>
      </c>
      <c r="P70" s="189">
        <v>0.0</v>
      </c>
      <c r="Q70" s="189">
        <v>0.0</v>
      </c>
      <c r="R70" s="189">
        <v>0.0</v>
      </c>
      <c r="S70" s="189">
        <v>0.0</v>
      </c>
      <c r="T70" s="189">
        <v>0.0</v>
      </c>
      <c r="U70" s="189">
        <v>0.0</v>
      </c>
      <c r="V70" s="189">
        <v>0.0</v>
      </c>
      <c r="W70" s="189">
        <v>0.0</v>
      </c>
      <c r="X70" s="189">
        <v>0.0</v>
      </c>
    </row>
    <row r="71" ht="15.75" customHeight="1">
      <c r="A71" s="189">
        <v>12.0</v>
      </c>
      <c r="B71" s="189" t="s">
        <v>166</v>
      </c>
      <c r="C71" s="189">
        <v>12.0</v>
      </c>
      <c r="D71" s="190">
        <v>128.0</v>
      </c>
      <c r="E71" s="221">
        <v>0.0</v>
      </c>
      <c r="F71" s="189">
        <v>0.0</v>
      </c>
      <c r="G71" s="189">
        <v>0.0</v>
      </c>
      <c r="H71" s="189">
        <v>1.0</v>
      </c>
      <c r="I71" s="189">
        <v>0.0</v>
      </c>
      <c r="J71" s="189">
        <v>0.0</v>
      </c>
      <c r="K71" s="189">
        <v>0.0</v>
      </c>
      <c r="L71" s="189">
        <v>0.0</v>
      </c>
      <c r="M71" s="189">
        <v>0.0</v>
      </c>
      <c r="N71" s="189">
        <v>0.0</v>
      </c>
      <c r="O71" s="189">
        <v>0.0</v>
      </c>
      <c r="P71" s="189">
        <v>0.0</v>
      </c>
      <c r="Q71" s="189">
        <v>0.0</v>
      </c>
      <c r="R71" s="189">
        <v>0.0</v>
      </c>
      <c r="S71" s="189">
        <v>0.0</v>
      </c>
      <c r="T71" s="189">
        <v>0.0</v>
      </c>
      <c r="U71" s="189">
        <v>0.0</v>
      </c>
      <c r="V71" s="189">
        <v>0.0</v>
      </c>
      <c r="W71" s="189">
        <v>0.0</v>
      </c>
      <c r="X71" s="189">
        <v>0.0</v>
      </c>
    </row>
    <row r="72" ht="15.75" customHeight="1">
      <c r="A72" s="189">
        <v>12.0</v>
      </c>
      <c r="B72" s="189" t="s">
        <v>167</v>
      </c>
      <c r="C72" s="189">
        <v>12.0</v>
      </c>
      <c r="D72" s="190">
        <v>128.0</v>
      </c>
      <c r="E72" s="221">
        <v>0.0</v>
      </c>
      <c r="F72" s="189">
        <v>30.0</v>
      </c>
      <c r="G72" s="189">
        <v>0.0</v>
      </c>
      <c r="H72" s="189">
        <v>0.0</v>
      </c>
      <c r="I72" s="189">
        <v>0.0</v>
      </c>
      <c r="J72" s="189">
        <v>0.0</v>
      </c>
      <c r="K72" s="189">
        <v>0.0</v>
      </c>
      <c r="L72" s="189">
        <v>0.0</v>
      </c>
      <c r="M72" s="189">
        <v>0.0</v>
      </c>
      <c r="N72" s="189">
        <v>0.0</v>
      </c>
      <c r="O72" s="189">
        <v>0.0</v>
      </c>
      <c r="P72" s="189">
        <v>0.0</v>
      </c>
      <c r="Q72" s="189">
        <v>0.0</v>
      </c>
      <c r="R72" s="189">
        <v>0.0</v>
      </c>
      <c r="S72" s="189">
        <v>0.0</v>
      </c>
      <c r="T72" s="189">
        <v>0.0</v>
      </c>
      <c r="U72" s="189">
        <v>0.0</v>
      </c>
      <c r="V72" s="189">
        <v>0.0</v>
      </c>
      <c r="W72" s="189">
        <v>0.0</v>
      </c>
      <c r="X72" s="189">
        <v>0.0</v>
      </c>
    </row>
    <row r="73" ht="15.75" customHeight="1">
      <c r="A73" s="189">
        <v>12.0</v>
      </c>
      <c r="B73" s="189" t="s">
        <v>168</v>
      </c>
      <c r="C73" s="189">
        <v>12.0</v>
      </c>
      <c r="D73" s="190">
        <v>128.0</v>
      </c>
      <c r="E73" s="221">
        <v>0.0</v>
      </c>
      <c r="F73" s="189">
        <v>0.0</v>
      </c>
      <c r="G73" s="189">
        <v>15.0</v>
      </c>
      <c r="H73" s="189">
        <v>0.0</v>
      </c>
      <c r="I73" s="189">
        <v>0.0</v>
      </c>
      <c r="J73" s="189">
        <v>0.0</v>
      </c>
      <c r="K73" s="189">
        <v>0.0</v>
      </c>
      <c r="L73" s="189">
        <v>0.0</v>
      </c>
      <c r="M73" s="189">
        <v>0.0</v>
      </c>
      <c r="N73" s="189">
        <v>0.0</v>
      </c>
      <c r="O73" s="189">
        <v>0.0</v>
      </c>
      <c r="P73" s="189">
        <v>0.0</v>
      </c>
      <c r="Q73" s="189">
        <v>0.0</v>
      </c>
      <c r="R73" s="189">
        <v>0.0</v>
      </c>
      <c r="S73" s="189">
        <v>0.0</v>
      </c>
      <c r="T73" s="189">
        <v>0.0</v>
      </c>
      <c r="U73" s="189">
        <v>0.0</v>
      </c>
      <c r="V73" s="189">
        <v>0.0</v>
      </c>
      <c r="W73" s="189">
        <v>0.0</v>
      </c>
      <c r="X73" s="189">
        <v>0.0</v>
      </c>
    </row>
    <row r="74" ht="15.75" customHeight="1">
      <c r="A74" s="189">
        <v>13.0</v>
      </c>
      <c r="B74" s="189" t="s">
        <v>164</v>
      </c>
      <c r="C74" s="189">
        <v>15.0</v>
      </c>
      <c r="D74" s="190">
        <v>143.0</v>
      </c>
      <c r="E74" s="221">
        <v>65.0</v>
      </c>
      <c r="F74" s="189">
        <v>0.0</v>
      </c>
      <c r="G74" s="189">
        <v>0.0</v>
      </c>
      <c r="H74" s="189">
        <v>0.0</v>
      </c>
      <c r="I74" s="189">
        <v>0.0</v>
      </c>
      <c r="J74" s="189">
        <v>0.0</v>
      </c>
      <c r="K74" s="189">
        <v>0.0</v>
      </c>
      <c r="L74" s="189">
        <v>0.0</v>
      </c>
      <c r="M74" s="189">
        <v>0.0</v>
      </c>
      <c r="N74" s="189">
        <v>0.0</v>
      </c>
      <c r="O74" s="189">
        <v>0.0</v>
      </c>
      <c r="P74" s="189">
        <v>0.0</v>
      </c>
      <c r="Q74" s="189">
        <v>0.0</v>
      </c>
      <c r="R74" s="189">
        <v>0.0</v>
      </c>
      <c r="S74" s="189">
        <v>0.0</v>
      </c>
      <c r="T74" s="189">
        <v>0.0</v>
      </c>
      <c r="U74" s="189">
        <v>0.0</v>
      </c>
      <c r="V74" s="189">
        <v>0.0</v>
      </c>
      <c r="W74" s="189">
        <v>0.0</v>
      </c>
      <c r="X74" s="189">
        <v>0.0</v>
      </c>
    </row>
    <row r="75" ht="15.75" customHeight="1">
      <c r="A75" s="189">
        <v>13.0</v>
      </c>
      <c r="B75" s="189" t="s">
        <v>165</v>
      </c>
      <c r="C75" s="189">
        <v>15.0</v>
      </c>
      <c r="D75" s="190">
        <v>143.0</v>
      </c>
      <c r="E75" s="221">
        <v>0.0</v>
      </c>
      <c r="F75" s="189">
        <v>0.0</v>
      </c>
      <c r="G75" s="189">
        <v>0.0</v>
      </c>
      <c r="H75" s="189">
        <v>0.0</v>
      </c>
      <c r="I75" s="189">
        <v>0.0</v>
      </c>
      <c r="J75" s="189">
        <v>1.0</v>
      </c>
      <c r="K75" s="189">
        <v>0.0</v>
      </c>
      <c r="L75" s="189">
        <v>0.0</v>
      </c>
      <c r="M75" s="189">
        <v>0.0</v>
      </c>
      <c r="N75" s="189">
        <v>0.0</v>
      </c>
      <c r="O75" s="189">
        <v>0.0</v>
      </c>
      <c r="P75" s="189">
        <v>0.0</v>
      </c>
      <c r="Q75" s="189">
        <v>0.0</v>
      </c>
      <c r="R75" s="189">
        <v>0.0</v>
      </c>
      <c r="S75" s="189">
        <v>0.0</v>
      </c>
      <c r="T75" s="189">
        <v>0.0</v>
      </c>
      <c r="U75" s="189">
        <v>0.0</v>
      </c>
      <c r="V75" s="189">
        <v>0.0</v>
      </c>
      <c r="W75" s="189">
        <v>0.0</v>
      </c>
      <c r="X75" s="189">
        <v>0.0</v>
      </c>
    </row>
    <row r="76" ht="15.75" customHeight="1">
      <c r="A76" s="189">
        <v>13.0</v>
      </c>
      <c r="B76" s="189" t="s">
        <v>166</v>
      </c>
      <c r="C76" s="189">
        <v>15.0</v>
      </c>
      <c r="D76" s="190">
        <v>143.0</v>
      </c>
      <c r="E76" s="221">
        <v>0.0</v>
      </c>
      <c r="F76" s="189">
        <v>0.0</v>
      </c>
      <c r="G76" s="189">
        <v>0.0</v>
      </c>
      <c r="H76" s="189">
        <v>0.0</v>
      </c>
      <c r="I76" s="189">
        <v>0.0</v>
      </c>
      <c r="J76" s="189">
        <v>0.0</v>
      </c>
      <c r="K76" s="189">
        <v>0.0</v>
      </c>
      <c r="L76" s="189">
        <v>0.0</v>
      </c>
      <c r="M76" s="189">
        <v>0.0</v>
      </c>
      <c r="N76" s="189">
        <v>0.0</v>
      </c>
      <c r="O76" s="189">
        <v>0.0</v>
      </c>
      <c r="P76" s="189">
        <v>15.0</v>
      </c>
      <c r="Q76" s="189">
        <v>0.0</v>
      </c>
      <c r="R76" s="189">
        <v>0.0</v>
      </c>
      <c r="S76" s="189">
        <v>0.0</v>
      </c>
      <c r="T76" s="189">
        <v>0.0</v>
      </c>
      <c r="U76" s="189">
        <v>0.0</v>
      </c>
      <c r="V76" s="189">
        <v>0.0</v>
      </c>
      <c r="W76" s="189">
        <v>0.0</v>
      </c>
      <c r="X76" s="189">
        <v>0.0</v>
      </c>
    </row>
    <row r="77" ht="15.75" customHeight="1">
      <c r="A77" s="189">
        <v>13.0</v>
      </c>
      <c r="B77" s="189" t="s">
        <v>167</v>
      </c>
      <c r="C77" s="189">
        <v>15.0</v>
      </c>
      <c r="D77" s="190">
        <v>143.0</v>
      </c>
      <c r="E77" s="221">
        <v>0.0</v>
      </c>
      <c r="F77" s="189">
        <v>0.0</v>
      </c>
      <c r="G77" s="189">
        <v>0.0</v>
      </c>
      <c r="H77" s="189">
        <v>0.0</v>
      </c>
      <c r="I77" s="189">
        <v>0.0</v>
      </c>
      <c r="J77" s="189">
        <v>0.0</v>
      </c>
      <c r="K77" s="189">
        <v>1.0</v>
      </c>
      <c r="L77" s="189">
        <v>0.0</v>
      </c>
      <c r="M77" s="189">
        <v>0.0</v>
      </c>
      <c r="N77" s="189">
        <v>0.0</v>
      </c>
      <c r="O77" s="189">
        <v>0.0</v>
      </c>
      <c r="P77" s="189">
        <v>0.0</v>
      </c>
      <c r="Q77" s="189">
        <v>0.0</v>
      </c>
      <c r="R77" s="189">
        <v>0.0</v>
      </c>
      <c r="S77" s="189">
        <v>0.0</v>
      </c>
      <c r="T77" s="189">
        <v>0.0</v>
      </c>
      <c r="U77" s="189">
        <v>0.0</v>
      </c>
      <c r="V77" s="189">
        <v>0.0</v>
      </c>
      <c r="W77" s="189">
        <v>0.0</v>
      </c>
      <c r="X77" s="189">
        <v>0.0</v>
      </c>
    </row>
    <row r="78" ht="15.75" customHeight="1">
      <c r="A78" s="189">
        <v>13.0</v>
      </c>
      <c r="B78" s="189" t="s">
        <v>168</v>
      </c>
      <c r="C78" s="189">
        <v>15.0</v>
      </c>
      <c r="D78" s="190">
        <v>143.0</v>
      </c>
      <c r="E78" s="221">
        <v>0.0</v>
      </c>
      <c r="F78" s="189">
        <v>0.0</v>
      </c>
      <c r="G78" s="189">
        <v>0.0</v>
      </c>
      <c r="H78" s="189">
        <v>0.0</v>
      </c>
      <c r="I78" s="189">
        <v>0.0</v>
      </c>
      <c r="J78" s="189">
        <v>0.0</v>
      </c>
      <c r="K78" s="189">
        <v>0.0</v>
      </c>
      <c r="L78" s="189">
        <v>0.0</v>
      </c>
      <c r="M78" s="189">
        <v>0.0</v>
      </c>
      <c r="N78" s="189">
        <v>0.0</v>
      </c>
      <c r="O78" s="189">
        <v>15.0</v>
      </c>
      <c r="P78" s="189">
        <v>0.0</v>
      </c>
      <c r="Q78" s="189">
        <v>0.0</v>
      </c>
      <c r="R78" s="189">
        <v>0.0</v>
      </c>
      <c r="S78" s="189">
        <v>0.0</v>
      </c>
      <c r="T78" s="189">
        <v>0.0</v>
      </c>
      <c r="U78" s="189">
        <v>0.0</v>
      </c>
      <c r="V78" s="189">
        <v>0.0</v>
      </c>
      <c r="W78" s="189">
        <v>0.0</v>
      </c>
      <c r="X78" s="189">
        <v>0.0</v>
      </c>
    </row>
    <row r="79" ht="15.75" customHeight="1">
      <c r="A79" s="189">
        <v>14.0</v>
      </c>
      <c r="B79" s="189" t="s">
        <v>164</v>
      </c>
      <c r="C79" s="189">
        <v>17.0</v>
      </c>
      <c r="D79" s="190">
        <v>160.0</v>
      </c>
      <c r="E79" s="221">
        <v>0.0</v>
      </c>
      <c r="F79" s="189">
        <v>0.0</v>
      </c>
      <c r="G79" s="189">
        <v>0.0</v>
      </c>
      <c r="H79" s="189">
        <v>0.0</v>
      </c>
      <c r="I79" s="189">
        <v>0.0</v>
      </c>
      <c r="J79" s="189">
        <v>0.0</v>
      </c>
      <c r="K79" s="189">
        <v>0.0</v>
      </c>
      <c r="L79" s="189">
        <v>0.0</v>
      </c>
      <c r="M79" s="189">
        <v>0.0</v>
      </c>
      <c r="N79" s="189">
        <v>20.0</v>
      </c>
      <c r="O79" s="189">
        <v>0.0</v>
      </c>
      <c r="P79" s="189">
        <v>0.0</v>
      </c>
      <c r="Q79" s="189">
        <v>0.0</v>
      </c>
      <c r="R79" s="189">
        <v>0.0</v>
      </c>
      <c r="S79" s="189">
        <v>0.0</v>
      </c>
      <c r="T79" s="189">
        <v>0.0</v>
      </c>
      <c r="U79" s="189">
        <v>0.0</v>
      </c>
      <c r="V79" s="189">
        <v>0.0</v>
      </c>
      <c r="W79" s="189">
        <v>0.0</v>
      </c>
      <c r="X79" s="189">
        <v>0.0</v>
      </c>
    </row>
    <row r="80" ht="15.75" customHeight="1">
      <c r="A80" s="189">
        <v>14.0</v>
      </c>
      <c r="B80" s="189" t="s">
        <v>165</v>
      </c>
      <c r="C80" s="189">
        <v>17.0</v>
      </c>
      <c r="D80" s="190">
        <v>160.0</v>
      </c>
      <c r="E80" s="221">
        <v>0.0</v>
      </c>
      <c r="F80" s="189">
        <v>0.0</v>
      </c>
      <c r="G80" s="189">
        <v>0.0</v>
      </c>
      <c r="H80" s="189">
        <v>0.0</v>
      </c>
      <c r="I80" s="189">
        <v>0.0</v>
      </c>
      <c r="J80" s="189">
        <v>0.0</v>
      </c>
      <c r="K80" s="189">
        <v>0.0</v>
      </c>
      <c r="L80" s="189">
        <v>0.0</v>
      </c>
      <c r="M80" s="189">
        <v>1.0</v>
      </c>
      <c r="N80" s="189">
        <v>0.0</v>
      </c>
      <c r="O80" s="189">
        <v>0.0</v>
      </c>
      <c r="P80" s="189">
        <v>0.0</v>
      </c>
      <c r="Q80" s="189">
        <v>0.0</v>
      </c>
      <c r="R80" s="189">
        <v>0.0</v>
      </c>
      <c r="S80" s="189">
        <v>0.0</v>
      </c>
      <c r="T80" s="189">
        <v>0.0</v>
      </c>
      <c r="U80" s="189">
        <v>0.0</v>
      </c>
      <c r="V80" s="189">
        <v>0.0</v>
      </c>
      <c r="W80" s="189">
        <v>0.0</v>
      </c>
      <c r="X80" s="189">
        <v>0.0</v>
      </c>
    </row>
    <row r="81" ht="15.75" customHeight="1">
      <c r="A81" s="189">
        <v>14.0</v>
      </c>
      <c r="B81" s="189" t="s">
        <v>166</v>
      </c>
      <c r="C81" s="189">
        <v>17.0</v>
      </c>
      <c r="D81" s="190">
        <v>160.0</v>
      </c>
      <c r="E81" s="221">
        <v>0.0</v>
      </c>
      <c r="F81" s="189">
        <v>0.0</v>
      </c>
      <c r="G81" s="189">
        <v>0.0</v>
      </c>
      <c r="H81" s="189">
        <v>0.0</v>
      </c>
      <c r="I81" s="189">
        <v>0.0</v>
      </c>
      <c r="J81" s="189">
        <v>0.0</v>
      </c>
      <c r="K81" s="189">
        <v>0.0</v>
      </c>
      <c r="L81" s="189">
        <v>1.0</v>
      </c>
      <c r="M81" s="189">
        <v>0.0</v>
      </c>
      <c r="N81" s="189">
        <v>0.0</v>
      </c>
      <c r="O81" s="189">
        <v>0.0</v>
      </c>
      <c r="P81" s="189">
        <v>0.0</v>
      </c>
      <c r="Q81" s="189">
        <v>0.0</v>
      </c>
      <c r="R81" s="189">
        <v>0.0</v>
      </c>
      <c r="S81" s="189">
        <v>0.0</v>
      </c>
      <c r="T81" s="189">
        <v>0.0</v>
      </c>
      <c r="U81" s="189">
        <v>0.0</v>
      </c>
      <c r="V81" s="189">
        <v>0.0</v>
      </c>
      <c r="W81" s="189">
        <v>0.0</v>
      </c>
      <c r="X81" s="189">
        <v>0.0</v>
      </c>
    </row>
    <row r="82" ht="15.75" customHeight="1">
      <c r="A82" s="189">
        <v>14.0</v>
      </c>
      <c r="B82" s="189" t="s">
        <v>167</v>
      </c>
      <c r="C82" s="189">
        <v>17.0</v>
      </c>
      <c r="D82" s="190">
        <v>160.0</v>
      </c>
      <c r="E82" s="221">
        <v>0.0</v>
      </c>
      <c r="F82" s="189">
        <v>0.0</v>
      </c>
      <c r="G82" s="189">
        <v>0.0</v>
      </c>
      <c r="H82" s="189">
        <v>0.0</v>
      </c>
      <c r="I82" s="189">
        <v>0.0</v>
      </c>
      <c r="J82" s="189">
        <v>0.0</v>
      </c>
      <c r="K82" s="189">
        <v>1.0</v>
      </c>
      <c r="L82" s="189">
        <v>0.0</v>
      </c>
      <c r="M82" s="189">
        <v>0.0</v>
      </c>
      <c r="N82" s="189">
        <v>0.0</v>
      </c>
      <c r="O82" s="189">
        <v>0.0</v>
      </c>
      <c r="P82" s="189">
        <v>0.0</v>
      </c>
      <c r="Q82" s="189">
        <v>0.0</v>
      </c>
      <c r="R82" s="189">
        <v>0.0</v>
      </c>
      <c r="S82" s="189">
        <v>0.0</v>
      </c>
      <c r="T82" s="189">
        <v>0.0</v>
      </c>
      <c r="U82" s="189">
        <v>0.0</v>
      </c>
      <c r="V82" s="189">
        <v>0.0</v>
      </c>
      <c r="W82" s="189">
        <v>0.0</v>
      </c>
      <c r="X82" s="189">
        <v>0.0</v>
      </c>
    </row>
    <row r="83" ht="15.75" customHeight="1">
      <c r="A83" s="189">
        <v>14.0</v>
      </c>
      <c r="B83" s="189" t="s">
        <v>168</v>
      </c>
      <c r="C83" s="189">
        <v>17.0</v>
      </c>
      <c r="D83" s="190">
        <v>160.0</v>
      </c>
      <c r="E83" s="221">
        <v>0.0</v>
      </c>
      <c r="F83" s="189">
        <v>30.0</v>
      </c>
      <c r="G83" s="189">
        <v>0.0</v>
      </c>
      <c r="H83" s="189">
        <v>0.0</v>
      </c>
      <c r="I83" s="189">
        <v>0.0</v>
      </c>
      <c r="J83" s="189">
        <v>0.0</v>
      </c>
      <c r="K83" s="189">
        <v>0.0</v>
      </c>
      <c r="L83" s="189">
        <v>0.0</v>
      </c>
      <c r="M83" s="189">
        <v>0.0</v>
      </c>
      <c r="N83" s="189">
        <v>0.0</v>
      </c>
      <c r="O83" s="189">
        <v>0.0</v>
      </c>
      <c r="P83" s="189">
        <v>0.0</v>
      </c>
      <c r="Q83" s="189">
        <v>0.0</v>
      </c>
      <c r="R83" s="189">
        <v>0.0</v>
      </c>
      <c r="S83" s="189">
        <v>0.0</v>
      </c>
      <c r="T83" s="189">
        <v>0.0</v>
      </c>
      <c r="U83" s="189">
        <v>0.0</v>
      </c>
      <c r="V83" s="189">
        <v>0.0</v>
      </c>
      <c r="W83" s="189">
        <v>0.0</v>
      </c>
      <c r="X83" s="189">
        <v>0.0</v>
      </c>
    </row>
    <row r="84" ht="15.75" customHeight="1">
      <c r="A84" s="189">
        <v>15.0</v>
      </c>
      <c r="B84" s="189" t="s">
        <v>164</v>
      </c>
      <c r="C84" s="189">
        <v>25.0</v>
      </c>
      <c r="D84" s="190">
        <v>185.0</v>
      </c>
      <c r="E84" s="221">
        <v>150.0</v>
      </c>
      <c r="F84" s="189">
        <v>0.0</v>
      </c>
      <c r="G84" s="189">
        <v>0.0</v>
      </c>
      <c r="H84" s="189">
        <v>0.0</v>
      </c>
      <c r="I84" s="189">
        <v>0.0</v>
      </c>
      <c r="J84" s="189">
        <v>0.0</v>
      </c>
      <c r="K84" s="189">
        <v>1.0</v>
      </c>
      <c r="L84" s="189">
        <v>0.0</v>
      </c>
      <c r="M84" s="189">
        <v>0.0</v>
      </c>
      <c r="N84" s="189">
        <v>0.0</v>
      </c>
      <c r="O84" s="189">
        <v>30.0</v>
      </c>
      <c r="P84" s="189">
        <v>0.0</v>
      </c>
      <c r="Q84" s="189">
        <v>0.0</v>
      </c>
      <c r="R84" s="189">
        <v>0.0</v>
      </c>
      <c r="S84" s="189">
        <v>0.0</v>
      </c>
      <c r="T84" s="189">
        <v>0.0</v>
      </c>
      <c r="U84" s="189">
        <v>0.0</v>
      </c>
      <c r="V84" s="189">
        <v>0.0</v>
      </c>
      <c r="W84" s="189">
        <v>0.0</v>
      </c>
      <c r="X84" s="189">
        <v>0.0</v>
      </c>
    </row>
    <row r="85" ht="15.75" customHeight="1">
      <c r="A85" s="189">
        <v>15.0</v>
      </c>
      <c r="B85" s="189" t="s">
        <v>165</v>
      </c>
      <c r="C85" s="189">
        <v>25.0</v>
      </c>
      <c r="D85" s="190">
        <v>185.0</v>
      </c>
      <c r="E85" s="221">
        <v>0.0</v>
      </c>
      <c r="F85" s="189">
        <v>50.0</v>
      </c>
      <c r="G85" s="189">
        <v>0.0</v>
      </c>
      <c r="H85" s="189">
        <v>0.0</v>
      </c>
      <c r="I85" s="189">
        <v>0.0</v>
      </c>
      <c r="J85" s="189">
        <v>0.0</v>
      </c>
      <c r="K85" s="189">
        <v>0.0</v>
      </c>
      <c r="L85" s="189">
        <v>0.0</v>
      </c>
      <c r="M85" s="189">
        <v>0.0</v>
      </c>
      <c r="N85" s="189">
        <v>60.0</v>
      </c>
      <c r="O85" s="189">
        <v>0.0</v>
      </c>
      <c r="P85" s="189">
        <v>0.0</v>
      </c>
      <c r="Q85" s="189">
        <v>0.0</v>
      </c>
      <c r="R85" s="189">
        <v>0.0</v>
      </c>
      <c r="S85" s="189">
        <v>0.0</v>
      </c>
      <c r="T85" s="189">
        <v>0.0</v>
      </c>
      <c r="U85" s="189">
        <v>0.0</v>
      </c>
      <c r="V85" s="189">
        <v>0.0</v>
      </c>
      <c r="W85" s="189">
        <v>0.0</v>
      </c>
      <c r="X85" s="189">
        <v>0.0</v>
      </c>
    </row>
    <row r="86" ht="15.75" customHeight="1">
      <c r="A86" s="189">
        <v>15.0</v>
      </c>
      <c r="B86" s="189" t="s">
        <v>166</v>
      </c>
      <c r="C86" s="189">
        <v>25.0</v>
      </c>
      <c r="D86" s="190">
        <v>185.0</v>
      </c>
      <c r="E86" s="221">
        <v>0.0</v>
      </c>
      <c r="F86" s="189">
        <v>0.0</v>
      </c>
      <c r="G86" s="189">
        <v>0.0</v>
      </c>
      <c r="H86" s="189">
        <v>0.0</v>
      </c>
      <c r="I86" s="189">
        <v>0.0</v>
      </c>
      <c r="J86" s="189">
        <v>0.0</v>
      </c>
      <c r="K86" s="189">
        <v>0.0</v>
      </c>
      <c r="L86" s="189">
        <v>0.0</v>
      </c>
      <c r="M86" s="189">
        <v>0.0</v>
      </c>
      <c r="N86" s="189">
        <v>0.0</v>
      </c>
      <c r="O86" s="189">
        <v>0.0</v>
      </c>
      <c r="P86" s="189">
        <v>30.0</v>
      </c>
      <c r="Q86" s="189">
        <v>0.0</v>
      </c>
      <c r="R86" s="189">
        <v>0.0</v>
      </c>
      <c r="S86" s="189">
        <v>0.0</v>
      </c>
      <c r="T86" s="189">
        <v>0.0</v>
      </c>
      <c r="U86" s="189">
        <v>0.0</v>
      </c>
      <c r="V86" s="189">
        <v>0.0</v>
      </c>
      <c r="W86" s="189">
        <v>0.0</v>
      </c>
      <c r="X86" s="189">
        <v>0.0</v>
      </c>
    </row>
    <row r="87" ht="15.75" customHeight="1">
      <c r="A87" s="189">
        <v>15.0</v>
      </c>
      <c r="B87" s="189" t="s">
        <v>167</v>
      </c>
      <c r="C87" s="189">
        <v>25.0</v>
      </c>
      <c r="D87" s="190">
        <v>185.0</v>
      </c>
      <c r="E87" s="221">
        <v>0.0</v>
      </c>
      <c r="F87" s="189">
        <v>0.0</v>
      </c>
      <c r="G87" s="189">
        <v>0.0</v>
      </c>
      <c r="H87" s="189">
        <v>0.0</v>
      </c>
      <c r="I87" s="189">
        <v>0.0</v>
      </c>
      <c r="J87" s="189">
        <v>0.0</v>
      </c>
      <c r="K87" s="189">
        <v>0.0</v>
      </c>
      <c r="L87" s="189">
        <v>1.0</v>
      </c>
      <c r="M87" s="189">
        <v>0.0</v>
      </c>
      <c r="N87" s="189">
        <v>0.0</v>
      </c>
      <c r="O87" s="189">
        <v>0.0</v>
      </c>
      <c r="P87" s="189">
        <v>0.0</v>
      </c>
      <c r="Q87" s="189">
        <v>0.0</v>
      </c>
      <c r="R87" s="189">
        <v>0.0</v>
      </c>
      <c r="S87" s="189">
        <v>0.0</v>
      </c>
      <c r="T87" s="189">
        <v>0.0</v>
      </c>
      <c r="U87" s="189">
        <v>0.0</v>
      </c>
      <c r="V87" s="189">
        <v>0.0</v>
      </c>
      <c r="W87" s="189">
        <v>0.0</v>
      </c>
      <c r="X87" s="189">
        <v>0.0</v>
      </c>
    </row>
    <row r="88" ht="15.75" customHeight="1">
      <c r="A88" s="189">
        <v>15.0</v>
      </c>
      <c r="B88" s="189" t="s">
        <v>168</v>
      </c>
      <c r="C88" s="189">
        <v>25.0</v>
      </c>
      <c r="D88" s="190">
        <v>185.0</v>
      </c>
      <c r="E88" s="221">
        <v>0.0</v>
      </c>
      <c r="F88" s="189">
        <v>0.0</v>
      </c>
      <c r="G88" s="189">
        <v>30.0</v>
      </c>
      <c r="H88" s="189">
        <v>0.0</v>
      </c>
      <c r="I88" s="189">
        <v>0.0</v>
      </c>
      <c r="J88" s="189">
        <v>0.0</v>
      </c>
      <c r="K88" s="189">
        <v>0.0</v>
      </c>
      <c r="L88" s="189">
        <v>0.0</v>
      </c>
      <c r="M88" s="189">
        <v>0.0</v>
      </c>
      <c r="N88" s="189">
        <v>0.0</v>
      </c>
      <c r="O88" s="189">
        <v>0.0</v>
      </c>
      <c r="P88" s="189">
        <v>0.0</v>
      </c>
      <c r="Q88" s="189">
        <v>0.0</v>
      </c>
      <c r="R88" s="189">
        <v>0.0</v>
      </c>
      <c r="S88" s="189">
        <v>0.0</v>
      </c>
      <c r="T88" s="189">
        <v>0.0</v>
      </c>
      <c r="U88" s="189">
        <v>0.0</v>
      </c>
      <c r="V88" s="189">
        <v>0.0</v>
      </c>
      <c r="W88" s="189">
        <v>0.0</v>
      </c>
      <c r="X88" s="189">
        <v>0.0</v>
      </c>
    </row>
    <row r="89" ht="15.75" customHeight="1"/>
    <row r="90" ht="15.75" customHeight="1"/>
    <row r="91" ht="15.75" customHeight="1"/>
    <row r="92" ht="15.75" customHeight="1">
      <c r="P92" s="1">
        <v>1.0</v>
      </c>
      <c r="R92" s="1">
        <v>1.0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4" priority="1" operator="greaterThan">
      <formula>0</formula>
    </cfRule>
  </conditionalFormatting>
  <conditionalFormatting sqref="A14:X88">
    <cfRule type="expression" dxfId="5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conditionalFormatting sqref="A1:Z1000">
    <cfRule type="cellIs" dxfId="6" priority="4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6" width="8.63"/>
  </cols>
  <sheetData>
    <row r="1" ht="21.75" customHeight="1">
      <c r="A1" s="148" t="s">
        <v>23</v>
      </c>
    </row>
    <row r="2" ht="19.5" customHeight="1">
      <c r="A2" s="149" t="s">
        <v>106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</row>
    <row r="3">
      <c r="A3" s="151" t="s">
        <v>169</v>
      </c>
      <c r="B3" s="154">
        <v>3.0</v>
      </c>
    </row>
    <row r="4">
      <c r="A4" s="151" t="s">
        <v>170</v>
      </c>
      <c r="B4" s="152">
        <v>1.0</v>
      </c>
    </row>
    <row r="5">
      <c r="A5" s="151" t="s">
        <v>171</v>
      </c>
      <c r="B5" s="154">
        <v>17.0</v>
      </c>
    </row>
    <row r="6">
      <c r="A6" s="151" t="s">
        <v>172</v>
      </c>
      <c r="B6" s="152">
        <v>2.0</v>
      </c>
    </row>
    <row r="7">
      <c r="A7" s="151" t="s">
        <v>173</v>
      </c>
      <c r="B7" s="152" t="b">
        <f>TRUE()</f>
        <v>1</v>
      </c>
    </row>
    <row r="9" ht="19.5" customHeight="1">
      <c r="A9" s="149" t="s">
        <v>133</v>
      </c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</row>
    <row r="10" ht="90.0" customHeight="1">
      <c r="A10" s="162" t="s">
        <v>174</v>
      </c>
      <c r="B10" s="163" t="s">
        <v>175</v>
      </c>
      <c r="C10" s="164" t="s">
        <v>76</v>
      </c>
      <c r="D10" s="165" t="s">
        <v>46</v>
      </c>
      <c r="E10" s="165" t="s">
        <v>121</v>
      </c>
      <c r="F10" s="165" t="s">
        <v>47</v>
      </c>
      <c r="G10" s="165" t="s">
        <v>48</v>
      </c>
      <c r="H10" s="165" t="s">
        <v>50</v>
      </c>
      <c r="I10" s="165" t="s">
        <v>52</v>
      </c>
      <c r="J10" s="165" t="s">
        <v>53</v>
      </c>
      <c r="K10" s="165" t="s">
        <v>54</v>
      </c>
      <c r="L10" s="165" t="s">
        <v>55</v>
      </c>
      <c r="M10" s="165" t="s">
        <v>56</v>
      </c>
      <c r="N10" s="165" t="s">
        <v>57</v>
      </c>
      <c r="O10" s="165" t="s">
        <v>58</v>
      </c>
      <c r="P10" s="165" t="s">
        <v>135</v>
      </c>
      <c r="Q10" s="165" t="s">
        <v>122</v>
      </c>
      <c r="R10" s="165" t="s">
        <v>123</v>
      </c>
      <c r="S10" s="165" t="s">
        <v>124</v>
      </c>
      <c r="T10" s="165" t="s">
        <v>125</v>
      </c>
      <c r="U10" s="165" t="s">
        <v>126</v>
      </c>
      <c r="V10" s="165" t="s">
        <v>127</v>
      </c>
      <c r="W10" s="165" t="s">
        <v>128</v>
      </c>
    </row>
    <row r="11">
      <c r="A11" s="167">
        <v>1.0</v>
      </c>
      <c r="B11" s="168">
        <v>30.0</v>
      </c>
      <c r="C11" s="219">
        <v>0.0</v>
      </c>
      <c r="D11" s="167">
        <v>0.0</v>
      </c>
      <c r="E11" s="167">
        <v>0.0</v>
      </c>
      <c r="F11" s="167">
        <v>0.0</v>
      </c>
      <c r="G11" s="167">
        <v>1.0</v>
      </c>
      <c r="H11" s="167">
        <v>0.0</v>
      </c>
      <c r="I11" s="167">
        <v>0.0</v>
      </c>
      <c r="J11" s="167">
        <v>0.0</v>
      </c>
      <c r="K11" s="167">
        <v>0.0</v>
      </c>
      <c r="L11" s="167">
        <v>0.0</v>
      </c>
      <c r="M11" s="167">
        <v>0.0</v>
      </c>
      <c r="N11" s="167">
        <v>0.0</v>
      </c>
      <c r="O11" s="167">
        <v>0.0</v>
      </c>
      <c r="P11" s="167">
        <v>0.0</v>
      </c>
      <c r="Q11" s="167">
        <v>0.0</v>
      </c>
      <c r="R11" s="167">
        <v>0.0</v>
      </c>
      <c r="S11" s="167">
        <v>0.0</v>
      </c>
      <c r="T11" s="167">
        <v>0.0</v>
      </c>
      <c r="U11" s="167">
        <v>0.0</v>
      </c>
      <c r="V11" s="167">
        <v>0.0</v>
      </c>
      <c r="W11" s="167">
        <v>0.0</v>
      </c>
    </row>
    <row r="12">
      <c r="A12" s="167">
        <v>2.0</v>
      </c>
      <c r="B12" s="168">
        <v>80.0</v>
      </c>
      <c r="C12" s="219">
        <v>0.0</v>
      </c>
      <c r="D12" s="167">
        <v>0.0</v>
      </c>
      <c r="E12" s="167">
        <v>0.0</v>
      </c>
      <c r="F12" s="167">
        <v>0.0</v>
      </c>
      <c r="G12" s="167">
        <v>0.0</v>
      </c>
      <c r="H12" s="167">
        <v>0.0</v>
      </c>
      <c r="I12" s="167">
        <v>0.0</v>
      </c>
      <c r="J12" s="167">
        <v>0.0</v>
      </c>
      <c r="K12" s="167">
        <v>0.0</v>
      </c>
      <c r="L12" s="167">
        <v>0.0</v>
      </c>
      <c r="M12" s="167">
        <v>10.0</v>
      </c>
      <c r="N12" s="167">
        <v>0.0</v>
      </c>
      <c r="O12" s="167">
        <v>0.0</v>
      </c>
      <c r="P12" s="167">
        <v>0.0</v>
      </c>
      <c r="Q12" s="167">
        <v>0.0</v>
      </c>
      <c r="R12" s="167">
        <v>0.0</v>
      </c>
      <c r="S12" s="167">
        <v>0.0</v>
      </c>
      <c r="T12" s="167">
        <v>0.0</v>
      </c>
      <c r="U12" s="167">
        <v>0.0</v>
      </c>
      <c r="V12" s="167">
        <v>0.0</v>
      </c>
      <c r="W12" s="167">
        <v>0.0</v>
      </c>
    </row>
    <row r="13">
      <c r="A13" s="167">
        <v>3.0</v>
      </c>
      <c r="B13" s="168">
        <v>150.0</v>
      </c>
      <c r="C13" s="219">
        <v>0.0</v>
      </c>
      <c r="D13" s="167">
        <v>0.0</v>
      </c>
      <c r="E13" s="167">
        <v>0.0</v>
      </c>
      <c r="F13" s="167">
        <v>0.0</v>
      </c>
      <c r="G13" s="167">
        <v>0.0</v>
      </c>
      <c r="H13" s="167">
        <v>0.0</v>
      </c>
      <c r="I13" s="167">
        <v>0.0</v>
      </c>
      <c r="J13" s="167">
        <v>0.0</v>
      </c>
      <c r="K13" s="167">
        <v>0.0</v>
      </c>
      <c r="L13" s="167">
        <v>0.0</v>
      </c>
      <c r="M13" s="167">
        <v>0.0</v>
      </c>
      <c r="N13" s="167">
        <v>10.0</v>
      </c>
      <c r="O13" s="167">
        <v>0.0</v>
      </c>
      <c r="P13" s="167">
        <v>0.0</v>
      </c>
      <c r="Q13" s="167">
        <v>0.0</v>
      </c>
      <c r="R13" s="167">
        <v>0.0</v>
      </c>
      <c r="S13" s="167">
        <v>0.0</v>
      </c>
      <c r="T13" s="167">
        <v>0.0</v>
      </c>
      <c r="U13" s="167">
        <v>0.0</v>
      </c>
      <c r="V13" s="167">
        <v>0.0</v>
      </c>
      <c r="W13" s="167">
        <v>0.0</v>
      </c>
    </row>
    <row r="14">
      <c r="A14" s="167">
        <v>4.0</v>
      </c>
      <c r="B14" s="168">
        <v>250.0</v>
      </c>
      <c r="C14" s="219">
        <v>0.0</v>
      </c>
      <c r="D14" s="167">
        <v>0.0</v>
      </c>
      <c r="E14" s="167">
        <v>0.0</v>
      </c>
      <c r="F14" s="167">
        <v>0.0</v>
      </c>
      <c r="G14" s="167">
        <v>0.0</v>
      </c>
      <c r="H14" s="167">
        <v>0.0</v>
      </c>
      <c r="I14" s="167">
        <v>0.0</v>
      </c>
      <c r="J14" s="167">
        <v>0.0</v>
      </c>
      <c r="K14" s="167">
        <v>0.0</v>
      </c>
      <c r="L14" s="167">
        <v>30.0</v>
      </c>
      <c r="M14" s="167">
        <v>0.0</v>
      </c>
      <c r="N14" s="167">
        <v>0.0</v>
      </c>
      <c r="O14" s="167">
        <v>0.0</v>
      </c>
      <c r="P14" s="167">
        <v>0.0</v>
      </c>
      <c r="Q14" s="167">
        <v>0.0</v>
      </c>
      <c r="R14" s="167">
        <v>0.0</v>
      </c>
      <c r="S14" s="167">
        <v>0.0</v>
      </c>
      <c r="T14" s="167">
        <v>0.0</v>
      </c>
      <c r="U14" s="167">
        <v>0.0</v>
      </c>
      <c r="V14" s="167">
        <v>0.0</v>
      </c>
      <c r="W14" s="167">
        <v>0.0</v>
      </c>
    </row>
    <row r="15">
      <c r="A15" s="167">
        <v>5.0</v>
      </c>
      <c r="B15" s="168">
        <v>370.0</v>
      </c>
      <c r="C15" s="219">
        <v>25.0</v>
      </c>
      <c r="D15" s="167">
        <v>0.0</v>
      </c>
      <c r="E15" s="167">
        <v>0.0</v>
      </c>
      <c r="F15" s="167">
        <v>0.0</v>
      </c>
      <c r="G15" s="167">
        <v>0.0</v>
      </c>
      <c r="H15" s="167">
        <v>0.0</v>
      </c>
      <c r="I15" s="167">
        <v>0.0</v>
      </c>
      <c r="J15" s="167">
        <v>0.0</v>
      </c>
      <c r="K15" s="167">
        <v>0.0</v>
      </c>
      <c r="L15" s="167">
        <v>0.0</v>
      </c>
      <c r="M15" s="167">
        <v>0.0</v>
      </c>
      <c r="N15" s="167">
        <v>0.0</v>
      </c>
      <c r="O15" s="167">
        <v>0.0</v>
      </c>
      <c r="P15" s="167">
        <v>0.0</v>
      </c>
      <c r="Q15" s="167">
        <v>0.0</v>
      </c>
      <c r="R15" s="167">
        <v>0.0</v>
      </c>
      <c r="S15" s="167">
        <v>0.0</v>
      </c>
      <c r="T15" s="167">
        <v>0.0</v>
      </c>
      <c r="U15" s="167">
        <v>0.0</v>
      </c>
      <c r="V15" s="167">
        <v>0.0</v>
      </c>
      <c r="W15" s="167">
        <v>0.0</v>
      </c>
    </row>
    <row r="16">
      <c r="A16" s="167">
        <v>6.0</v>
      </c>
      <c r="B16" s="168">
        <v>520.0</v>
      </c>
      <c r="C16" s="219">
        <v>0.0</v>
      </c>
      <c r="D16" s="167">
        <v>0.0</v>
      </c>
      <c r="E16" s="167">
        <v>0.0</v>
      </c>
      <c r="F16" s="167">
        <v>1.0</v>
      </c>
      <c r="G16" s="167">
        <v>0.0</v>
      </c>
      <c r="H16" s="167">
        <v>0.0</v>
      </c>
      <c r="I16" s="167">
        <v>0.0</v>
      </c>
      <c r="J16" s="167">
        <v>0.0</v>
      </c>
      <c r="K16" s="167">
        <v>0.0</v>
      </c>
      <c r="L16" s="167">
        <v>0.0</v>
      </c>
      <c r="M16" s="167">
        <v>0.0</v>
      </c>
      <c r="N16" s="167">
        <v>0.0</v>
      </c>
      <c r="O16" s="167">
        <v>10.0</v>
      </c>
      <c r="P16" s="167">
        <v>0.0</v>
      </c>
      <c r="Q16" s="167">
        <v>0.0</v>
      </c>
      <c r="R16" s="167">
        <v>0.0</v>
      </c>
      <c r="S16" s="167">
        <v>0.0</v>
      </c>
      <c r="T16" s="167">
        <v>0.0</v>
      </c>
      <c r="U16" s="167">
        <v>0.0</v>
      </c>
      <c r="V16" s="167">
        <v>0.0</v>
      </c>
      <c r="W16" s="167">
        <v>0.0</v>
      </c>
    </row>
    <row r="17">
      <c r="A17" s="167">
        <v>7.0</v>
      </c>
      <c r="B17" s="168">
        <v>690.0</v>
      </c>
      <c r="C17" s="219">
        <v>0.0</v>
      </c>
      <c r="D17" s="167">
        <v>0.0</v>
      </c>
      <c r="E17" s="167">
        <v>0.0</v>
      </c>
      <c r="F17" s="167">
        <v>0.0</v>
      </c>
      <c r="G17" s="167">
        <v>0.0</v>
      </c>
      <c r="H17" s="167">
        <v>0.0</v>
      </c>
      <c r="I17" s="167">
        <v>0.0</v>
      </c>
      <c r="J17" s="167">
        <v>0.0</v>
      </c>
      <c r="K17" s="167">
        <v>0.0</v>
      </c>
      <c r="L17" s="167">
        <v>60.0</v>
      </c>
      <c r="M17" s="167">
        <v>0.0</v>
      </c>
      <c r="N17" s="167">
        <v>0.0</v>
      </c>
      <c r="O17" s="167">
        <v>0.0</v>
      </c>
      <c r="P17" s="167">
        <v>0.0</v>
      </c>
      <c r="Q17" s="167">
        <v>0.0</v>
      </c>
      <c r="R17" s="167">
        <v>0.0</v>
      </c>
      <c r="S17" s="167">
        <v>0.0</v>
      </c>
      <c r="T17" s="167">
        <v>0.0</v>
      </c>
      <c r="U17" s="167">
        <v>0.0</v>
      </c>
      <c r="V17" s="167">
        <v>0.0</v>
      </c>
      <c r="W17" s="167">
        <v>0.0</v>
      </c>
    </row>
    <row r="18">
      <c r="A18" s="167">
        <v>8.0</v>
      </c>
      <c r="B18" s="168">
        <v>890.0</v>
      </c>
      <c r="C18" s="219">
        <v>0.0</v>
      </c>
      <c r="D18" s="167">
        <v>0.0</v>
      </c>
      <c r="E18" s="167">
        <v>0.0</v>
      </c>
      <c r="F18" s="167">
        <v>0.0</v>
      </c>
      <c r="G18" s="167">
        <v>0.0</v>
      </c>
      <c r="H18" s="167">
        <v>0.0</v>
      </c>
      <c r="I18" s="167">
        <v>0.0</v>
      </c>
      <c r="J18" s="167">
        <v>0.0</v>
      </c>
      <c r="K18" s="167">
        <v>0.0</v>
      </c>
      <c r="L18" s="167">
        <v>0.0</v>
      </c>
      <c r="M18" s="167">
        <v>15.0</v>
      </c>
      <c r="N18" s="167">
        <v>0.0</v>
      </c>
      <c r="O18" s="167">
        <v>0.0</v>
      </c>
      <c r="P18" s="167">
        <v>0.0</v>
      </c>
      <c r="Q18" s="167">
        <v>0.0</v>
      </c>
      <c r="R18" s="167">
        <v>0.0</v>
      </c>
      <c r="S18" s="167">
        <v>0.0</v>
      </c>
      <c r="T18" s="167">
        <v>0.0</v>
      </c>
      <c r="U18" s="167">
        <v>0.0</v>
      </c>
      <c r="V18" s="167">
        <v>0.0</v>
      </c>
      <c r="W18" s="167">
        <v>0.0</v>
      </c>
    </row>
    <row r="19">
      <c r="A19" s="167">
        <v>9.0</v>
      </c>
      <c r="B19" s="168">
        <v>1110.0</v>
      </c>
      <c r="C19" s="219">
        <v>25.0</v>
      </c>
      <c r="D19" s="167">
        <v>0.0</v>
      </c>
      <c r="E19" s="167">
        <v>0.0</v>
      </c>
      <c r="F19" s="167">
        <v>0.0</v>
      </c>
      <c r="G19" s="167">
        <v>0.0</v>
      </c>
      <c r="H19" s="167">
        <v>0.0</v>
      </c>
      <c r="I19" s="167">
        <v>0.0</v>
      </c>
      <c r="J19" s="167">
        <v>0.0</v>
      </c>
      <c r="K19" s="167">
        <v>0.0</v>
      </c>
      <c r="L19" s="167">
        <v>0.0</v>
      </c>
      <c r="M19" s="167">
        <v>0.0</v>
      </c>
      <c r="N19" s="167">
        <v>0.0</v>
      </c>
      <c r="O19" s="167">
        <v>0.0</v>
      </c>
      <c r="P19" s="167">
        <v>0.0</v>
      </c>
      <c r="Q19" s="167">
        <v>0.0</v>
      </c>
      <c r="R19" s="167">
        <v>0.0</v>
      </c>
      <c r="S19" s="167">
        <v>0.0</v>
      </c>
      <c r="T19" s="167">
        <v>0.0</v>
      </c>
      <c r="U19" s="167">
        <v>0.0</v>
      </c>
      <c r="V19" s="167">
        <v>0.0</v>
      </c>
      <c r="W19" s="167">
        <v>0.0</v>
      </c>
    </row>
    <row r="20">
      <c r="A20" s="167">
        <v>10.0</v>
      </c>
      <c r="B20" s="168">
        <v>1360.0</v>
      </c>
      <c r="C20" s="219">
        <v>0.0</v>
      </c>
      <c r="D20" s="167">
        <v>0.0</v>
      </c>
      <c r="E20" s="167">
        <v>0.0</v>
      </c>
      <c r="F20" s="167">
        <v>0.0</v>
      </c>
      <c r="G20" s="167">
        <v>0.0</v>
      </c>
      <c r="H20" s="167">
        <v>0.0</v>
      </c>
      <c r="I20" s="167">
        <v>0.0</v>
      </c>
      <c r="J20" s="167">
        <v>0.0</v>
      </c>
      <c r="K20" s="167">
        <v>0.0</v>
      </c>
      <c r="L20" s="167">
        <v>0.0</v>
      </c>
      <c r="M20" s="167">
        <v>0.0</v>
      </c>
      <c r="N20" s="167">
        <v>15.0</v>
      </c>
      <c r="O20" s="167">
        <v>0.0</v>
      </c>
      <c r="P20" s="167">
        <v>0.0</v>
      </c>
      <c r="Q20" s="167">
        <v>0.0</v>
      </c>
      <c r="R20" s="167">
        <v>0.0</v>
      </c>
      <c r="S20" s="167">
        <v>0.0</v>
      </c>
      <c r="T20" s="167">
        <v>0.0</v>
      </c>
      <c r="U20" s="167">
        <v>0.0</v>
      </c>
      <c r="V20" s="167">
        <v>0.0</v>
      </c>
      <c r="W20" s="167">
        <v>0.0</v>
      </c>
    </row>
    <row r="21" ht="15.75" customHeight="1">
      <c r="A21" s="167">
        <v>11.0</v>
      </c>
      <c r="B21" s="168">
        <v>1630.0</v>
      </c>
      <c r="C21" s="219">
        <v>0.0</v>
      </c>
      <c r="D21" s="167">
        <v>0.0</v>
      </c>
      <c r="E21" s="167">
        <v>0.0</v>
      </c>
      <c r="F21" s="167">
        <v>0.0</v>
      </c>
      <c r="G21" s="167">
        <v>0.0</v>
      </c>
      <c r="H21" s="167">
        <v>0.0</v>
      </c>
      <c r="I21" s="167">
        <v>1.0</v>
      </c>
      <c r="J21" s="167">
        <v>0.0</v>
      </c>
      <c r="K21" s="167">
        <v>0.0</v>
      </c>
      <c r="L21" s="167">
        <v>0.0</v>
      </c>
      <c r="M21" s="167">
        <v>0.0</v>
      </c>
      <c r="N21" s="167">
        <v>0.0</v>
      </c>
      <c r="O21" s="167">
        <v>0.0</v>
      </c>
      <c r="P21" s="167">
        <v>0.0</v>
      </c>
      <c r="Q21" s="167">
        <v>0.0</v>
      </c>
      <c r="R21" s="167">
        <v>0.0</v>
      </c>
      <c r="S21" s="167">
        <v>0.0</v>
      </c>
      <c r="T21" s="167">
        <v>0.0</v>
      </c>
      <c r="U21" s="167">
        <v>0.0</v>
      </c>
      <c r="V21" s="167">
        <v>0.0</v>
      </c>
      <c r="W21" s="167">
        <v>0.0</v>
      </c>
    </row>
    <row r="22" ht="15.75" customHeight="1">
      <c r="A22" s="167">
        <v>12.0</v>
      </c>
      <c r="B22" s="168">
        <v>1930.0</v>
      </c>
      <c r="C22" s="219">
        <v>0.0</v>
      </c>
      <c r="D22" s="167">
        <v>0.0</v>
      </c>
      <c r="E22" s="167">
        <v>0.0</v>
      </c>
      <c r="F22" s="167">
        <v>0.0</v>
      </c>
      <c r="G22" s="167">
        <v>0.0</v>
      </c>
      <c r="H22" s="167">
        <v>0.0</v>
      </c>
      <c r="I22" s="167">
        <v>0.0</v>
      </c>
      <c r="J22" s="167">
        <v>0.0</v>
      </c>
      <c r="K22" s="167">
        <v>0.0</v>
      </c>
      <c r="L22" s="167">
        <v>60.0</v>
      </c>
      <c r="M22" s="167">
        <v>0.0</v>
      </c>
      <c r="N22" s="167">
        <v>0.0</v>
      </c>
      <c r="O22" s="167">
        <v>15.0</v>
      </c>
      <c r="P22" s="167">
        <v>0.0</v>
      </c>
      <c r="Q22" s="167">
        <v>0.0</v>
      </c>
      <c r="R22" s="167">
        <v>0.0</v>
      </c>
      <c r="S22" s="167">
        <v>0.0</v>
      </c>
      <c r="T22" s="167">
        <v>0.0</v>
      </c>
      <c r="U22" s="167">
        <v>0.0</v>
      </c>
      <c r="V22" s="167">
        <v>0.0</v>
      </c>
      <c r="W22" s="167">
        <v>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11:W22">
    <cfRule type="cellIs" dxfId="4" priority="1" operator="greaterThan">
      <formula>0</formula>
    </cfRule>
  </conditionalFormatting>
  <conditionalFormatting sqref="A1:B1000">
    <cfRule type="expression" dxfId="3" priority="2">
      <formula>ISFORMULA(A1)</formula>
    </cfRule>
  </conditionalFormatting>
  <conditionalFormatting sqref="A11:W22">
    <cfRule type="expression" dxfId="5" priority="3">
      <formula>ISEVEN(ROW()-11+1)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4" width="7.5"/>
    <col customWidth="1" min="25" max="32" width="7.63"/>
    <col customWidth="1" min="33" max="33" width="2.5"/>
    <col customWidth="1" min="34" max="34" width="12.0"/>
    <col customWidth="1" min="35" max="35" width="7.0"/>
    <col customWidth="1" min="36" max="36" width="13.63"/>
    <col customWidth="1" min="37" max="37" width="7.0"/>
    <col customWidth="1" min="38" max="38" width="13.63"/>
    <col customWidth="1" min="39" max="39" width="7.0"/>
    <col customWidth="1" min="40" max="40" width="13.63"/>
    <col customWidth="1" min="41" max="41" width="7.0"/>
    <col customWidth="1" min="42" max="42" width="13.63"/>
    <col customWidth="1" min="43" max="43" width="7.0"/>
    <col customWidth="1" min="44" max="44" width="13.63"/>
  </cols>
  <sheetData>
    <row r="1" ht="21.75" customHeight="1">
      <c r="A1" s="171" t="s">
        <v>23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AH1" s="222" t="s">
        <v>176</v>
      </c>
    </row>
    <row r="2" ht="19.5" customHeight="1">
      <c r="A2" s="174" t="s">
        <v>106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AH2" s="223" t="s">
        <v>177</v>
      </c>
      <c r="AI2" s="224" t="s">
        <v>178</v>
      </c>
    </row>
    <row r="3">
      <c r="A3" s="176" t="s">
        <v>169</v>
      </c>
      <c r="B3" s="225">
        <v>3.0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AH3" s="223" t="s">
        <v>179</v>
      </c>
      <c r="AI3" s="224" t="s">
        <v>180</v>
      </c>
    </row>
    <row r="4">
      <c r="A4" s="176" t="s">
        <v>170</v>
      </c>
      <c r="B4" s="177">
        <v>1.0</v>
      </c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</row>
    <row r="5">
      <c r="A5" s="176" t="s">
        <v>171</v>
      </c>
      <c r="B5" s="225">
        <v>17.0</v>
      </c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AH5" s="226" t="s">
        <v>181</v>
      </c>
      <c r="AI5" s="226" t="s">
        <v>182</v>
      </c>
      <c r="AJ5" s="226" t="s">
        <v>183</v>
      </c>
      <c r="AK5" s="226" t="s">
        <v>184</v>
      </c>
      <c r="AL5" s="226" t="s">
        <v>185</v>
      </c>
      <c r="AM5" s="226" t="s">
        <v>187</v>
      </c>
      <c r="AN5" s="226" t="s">
        <v>188</v>
      </c>
      <c r="AO5" s="226" t="s">
        <v>189</v>
      </c>
      <c r="AP5" s="226" t="s">
        <v>191</v>
      </c>
      <c r="AQ5" s="226" t="s">
        <v>192</v>
      </c>
      <c r="AR5" s="226" t="s">
        <v>194</v>
      </c>
    </row>
    <row r="6">
      <c r="A6" s="176" t="s">
        <v>172</v>
      </c>
      <c r="B6" s="225">
        <v>2.0</v>
      </c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AH6" s="227">
        <f>IF(1&lt;=$B$3,1,"")</f>
        <v>1</v>
      </c>
      <c r="AI6" s="237">
        <f t="array" ref="AI6">IF($AH6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6),AVERAGEIFS(data_event_accrual!$K:$K,data_event_accrual!$A:$A,"Jigsaw",data_event_accrual!$B:$B,$AI$3,data_event_accrual!$C:$C,"0-9",data_event_accrual!$E:$E,$AH6),AVERAGEIFS(data_event_accrual!$J:$J,data_event_accrual!$A:$A,"Jigsaw",data_event_accrual!$B:$B,$AI$3,data_event_accrual!$C:$C,"0-9",data_event_accrual!$E:$E,$AH6),AVERAGEIFS(data_event_accrual!$L:$L,data_event_accrual!$A:$A,"Jigsaw",data_event_accrual!$B:$B,$AI$3,data_event_accrual!$C:$C,"0-9",data_event_accrual!$E:$E,$AH6)),1)),COUNTIF($B$11:$B$22,"&lt;="&amp;bal*shr)))</f>
        <v>0</v>
      </c>
      <c r="AJ6" s="238" t="str">
        <f t="array" ref="AJ6">IF($AH6="","",IF(AI6=0,"{}",LET(m,AI6,s,MMULT(SEQUENCE(1,m,1,0),$C$11:$W$22),"{"&amp;TEXTJOIN(", ",TRUE,IF(s&gt;0,$C$10:$W$10&amp;": "&amp;ROUND(s,2),""))&amp;"}")))</f>
        <v>{}</v>
      </c>
      <c r="AK6" s="237">
        <f t="array" ref="AK6">IF($AH6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6),AVERAGEIFS(data_event_accrual!$K:$K,data_event_accrual!$A:$A,"Jigsaw",data_event_accrual!$B:$B,$AI$3,data_event_accrual!$C:$C,"10-19",data_event_accrual!$E:$E,$AH6),AVERAGEIFS(data_event_accrual!$J:$J,data_event_accrual!$A:$A,"Jigsaw",data_event_accrual!$B:$B,$AI$3,data_event_accrual!$C:$C,"10-19",data_event_accrual!$E:$E,$AH6),AVERAGEIFS(data_event_accrual!$L:$L,data_event_accrual!$A:$A,"Jigsaw",data_event_accrual!$B:$B,$AI$3,data_event_accrual!$C:$C,"10-19",data_event_accrual!$E:$E,$AH6)),1)),COUNTIF($B$11:$B$22,"&lt;="&amp;bal*shr)))</f>
        <v>1</v>
      </c>
      <c r="AL6" s="238" t="str">
        <f t="array" ref="AL6">IF($AH6="","",IF(AK6=0,"{}",LET(m,AK6,s,MMULT(SEQUENCE(1,m,1,0),$C$11:$W$22),"{"&amp;TEXTJOIN(", ",TRUE,IF(s&gt;0,$C$10:$W$10&amp;": "&amp;ROUND(s,2),""))&amp;"}")))</f>
        <v>{Chuck: 1}</v>
      </c>
      <c r="AM6" s="237">
        <f t="array" ref="AM6">IF($AH6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6),AVERAGEIFS(data_event_accrual!$K:$K,data_event_accrual!$A:$A,"Jigsaw",data_event_accrual!$B:$B,$AI$3,data_event_accrual!$C:$C,"20-39",data_event_accrual!$E:$E,$AH6),AVERAGEIFS(data_event_accrual!$J:$J,data_event_accrual!$A:$A,"Jigsaw",data_event_accrual!$B:$B,$AI$3,data_event_accrual!$C:$C,"20-39",data_event_accrual!$E:$E,$AH6),AVERAGEIFS(data_event_accrual!$L:$L,data_event_accrual!$A:$A,"Jigsaw",data_event_accrual!$B:$B,$AI$3,data_event_accrual!$C:$C,"20-39",data_event_accrual!$E:$E,$AH6)),1)),COUNTIF($B$11:$B$22,"&lt;="&amp;bal*shr)))</f>
        <v>1</v>
      </c>
      <c r="AN6" s="238" t="str">
        <f t="array" ref="AN6">IF($AH6="","",IF(AM6=0,"{}",LET(m,AM6,s,MMULT(SEQUENCE(1,m,1,0),$C$11:$W$22),"{"&amp;TEXTJOIN(", ",TRUE,IF(s&gt;0,$C$10:$W$10&amp;": "&amp;ROUND(s,2),""))&amp;"}")))</f>
        <v>{Chuck: 1}</v>
      </c>
      <c r="AO6" s="237">
        <f t="array" ref="AO6">IF($AH6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6),AVERAGEIFS(data_event_accrual!$K:$K,data_event_accrual!$A:$A,"Jigsaw",data_event_accrual!$B:$B,$AI$3,data_event_accrual!$C:$C,"40-99",data_event_accrual!$E:$E,$AH6),AVERAGEIFS(data_event_accrual!$J:$J,data_event_accrual!$A:$A,"Jigsaw",data_event_accrual!$B:$B,$AI$3,data_event_accrual!$C:$C,"40-99",data_event_accrual!$E:$E,$AH6),AVERAGEIFS(data_event_accrual!$L:$L,data_event_accrual!$A:$A,"Jigsaw",data_event_accrual!$B:$B,$AI$3,data_event_accrual!$C:$C,"40-99",data_event_accrual!$E:$E,$AH6)),1)),COUNTIF($B$11:$B$22,"&lt;="&amp;bal*shr)))</f>
        <v>3</v>
      </c>
      <c r="AP6" s="238" t="str">
        <f t="array" ref="AP6">IF($AH6="","",IF(AO6=0,"{}",LET(m,AO6,s,MMULT(SEQUENCE(1,m,1,0),$C$11:$W$22),"{"&amp;TEXTJOIN(", ",TRUE,IF(s&gt;0,$C$10:$W$10&amp;": "&amp;ROUND(s,2),""))&amp;"}")))</f>
        <v>{Chuck: 1, Unlimited Red: 10, Unlimited Chuck: 10}</v>
      </c>
      <c r="AQ6" s="237">
        <f t="array" ref="AQ6">IF($AH6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6),AVERAGEIFS(data_event_accrual!$K:$K,data_event_accrual!$A:$A,"Jigsaw",data_event_accrual!$B:$B,$AI$3,data_event_accrual!$C:$C,"100+",data_event_accrual!$E:$E,$AH6),AVERAGEIFS(data_event_accrual!$J:$J,data_event_accrual!$A:$A,"Jigsaw",data_event_accrual!$B:$B,$AI$3,data_event_accrual!$C:$C,"100+",data_event_accrual!$E:$E,$AH6),AVERAGEIFS(data_event_accrual!$L:$L,data_event_accrual!$A:$A,"Jigsaw",data_event_accrual!$B:$B,$AI$3,data_event_accrual!$C:$C,"100+",data_event_accrual!$E:$E,$AH6)),1)),COUNTIF($B$11:$B$22,"&lt;="&amp;bal*shr)))</f>
        <v>1</v>
      </c>
      <c r="AR6" s="238" t="str">
        <f t="array" ref="AR6">IF($AH6="","",IF(AQ6=0,"{}",LET(m,AQ6,s,MMULT(SEQUENCE(1,m,1,0),$C$11:$W$22),"{"&amp;TEXTJOIN(", ",TRUE,IF(s&gt;0,$C$10:$W$10&amp;": "&amp;ROUND(s,2),""))&amp;"}")))</f>
        <v>{Chuck: 1}</v>
      </c>
    </row>
    <row r="7">
      <c r="A7" s="176" t="s">
        <v>173</v>
      </c>
      <c r="B7" s="177" t="b">
        <f>TRUE()</f>
        <v>1</v>
      </c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AH7" s="227">
        <f>IF(2&lt;=$B$3,2,"")</f>
        <v>2</v>
      </c>
      <c r="AI7" s="237">
        <f t="array" ref="AI7">IF($AH7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7),AVERAGEIFS(data_event_accrual!$K:$K,data_event_accrual!$A:$A,"Jigsaw",data_event_accrual!$B:$B,$AI$3,data_event_accrual!$C:$C,"0-9",data_event_accrual!$E:$E,$AH7),AVERAGEIFS(data_event_accrual!$J:$J,data_event_accrual!$A:$A,"Jigsaw",data_event_accrual!$B:$B,$AI$3,data_event_accrual!$C:$C,"0-9",data_event_accrual!$E:$E,$AH7),AVERAGEIFS(data_event_accrual!$L:$L,data_event_accrual!$A:$A,"Jigsaw",data_event_accrual!$B:$B,$AI$3,data_event_accrual!$C:$C,"0-9",data_event_accrual!$E:$E,$AH7)),1)),COUNTIF($B$11:$B$22,"&lt;="&amp;bal*shr)))</f>
        <v>1</v>
      </c>
      <c r="AJ7" s="238" t="str">
        <f t="array" ref="AJ7">IF($AH7="","",IF(AI7=0,"{}",LET(m,AI7,s,MMULT(SEQUENCE(1,m,1,0),$C$11:$W$22),"{"&amp;TEXTJOIN(", ",TRUE,IF(s&gt;0,$C$10:$W$10&amp;": "&amp;ROUND(s,2),""))&amp;"}")))</f>
        <v>{Chuck: 1}</v>
      </c>
      <c r="AK7" s="237">
        <f t="array" ref="AK7">IF($AH7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7),AVERAGEIFS(data_event_accrual!$K:$K,data_event_accrual!$A:$A,"Jigsaw",data_event_accrual!$B:$B,$AI$3,data_event_accrual!$C:$C,"10-19",data_event_accrual!$E:$E,$AH7),AVERAGEIFS(data_event_accrual!$J:$J,data_event_accrual!$A:$A,"Jigsaw",data_event_accrual!$B:$B,$AI$3,data_event_accrual!$C:$C,"10-19",data_event_accrual!$E:$E,$AH7),AVERAGEIFS(data_event_accrual!$L:$L,data_event_accrual!$A:$A,"Jigsaw",data_event_accrual!$B:$B,$AI$3,data_event_accrual!$C:$C,"10-19",data_event_accrual!$E:$E,$AH7)),1)),COUNTIF($B$11:$B$22,"&lt;="&amp;bal*shr)))</f>
        <v>3</v>
      </c>
      <c r="AL7" s="238" t="str">
        <f t="array" ref="AL7">IF($AH7="","",IF(AK7=0,"{}",LET(m,AK7,s,MMULT(SEQUENCE(1,m,1,0),$C$11:$W$22),"{"&amp;TEXTJOIN(", ",TRUE,IF(s&gt;0,$C$10:$W$10&amp;": "&amp;ROUND(s,2),""))&amp;"}")))</f>
        <v>{Chuck: 1, Unlimited Red: 10, Unlimited Chuck: 10}</v>
      </c>
      <c r="AM7" s="237">
        <f t="array" ref="AM7">IF($AH7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7),AVERAGEIFS(data_event_accrual!$K:$K,data_event_accrual!$A:$A,"Jigsaw",data_event_accrual!$B:$B,$AI$3,data_event_accrual!$C:$C,"20-39",data_event_accrual!$E:$E,$AH7),AVERAGEIFS(data_event_accrual!$J:$J,data_event_accrual!$A:$A,"Jigsaw",data_event_accrual!$B:$B,$AI$3,data_event_accrual!$C:$C,"20-39",data_event_accrual!$E:$E,$AH7),AVERAGEIFS(data_event_accrual!$L:$L,data_event_accrual!$A:$A,"Jigsaw",data_event_accrual!$B:$B,$AI$3,data_event_accrual!$C:$C,"20-39",data_event_accrual!$E:$E,$AH7)),1)),COUNTIF($B$11:$B$22,"&lt;="&amp;bal*shr)))</f>
        <v>4</v>
      </c>
      <c r="AN7" s="238" t="str">
        <f t="array" ref="AN7">IF($AH7="","",IF(AM7=0,"{}",LET(m,AM7,s,MMULT(SEQUENCE(1,m,1,0),$C$11:$W$22),"{"&amp;TEXTJOIN(", ",TRUE,IF(s&gt;0,$C$10:$W$10&amp;": "&amp;ROUND(s,2),""))&amp;"}")))</f>
        <v>{Chuck: 1, Unlimited Lives: 30, Unlimited Red: 10, Unlimited Chuck: 10}</v>
      </c>
      <c r="AO7" s="237">
        <f t="array" ref="AO7">IF($AH7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7),AVERAGEIFS(data_event_accrual!$K:$K,data_event_accrual!$A:$A,"Jigsaw",data_event_accrual!$B:$B,$AI$3,data_event_accrual!$C:$C,"40-99",data_event_accrual!$E:$E,$AH7),AVERAGEIFS(data_event_accrual!$J:$J,data_event_accrual!$A:$A,"Jigsaw",data_event_accrual!$B:$B,$AI$3,data_event_accrual!$C:$C,"40-99",data_event_accrual!$E:$E,$AH7),AVERAGEIFS(data_event_accrual!$L:$L,data_event_accrual!$A:$A,"Jigsaw",data_event_accrual!$B:$B,$AI$3,data_event_accrual!$C:$C,"40-99",data_event_accrual!$E:$E,$AH7)),1)),COUNTIF($B$11:$B$22,"&lt;="&amp;bal*shr)))</f>
        <v>6</v>
      </c>
      <c r="AP7" s="238" t="str">
        <f t="array" ref="AP7">IF($AH7="","",IF(AO7=0,"{}",LET(m,AO7,s,MMULT(SEQUENCE(1,m,1,0),$C$11:$W$22),"{"&amp;TEXTJOIN(", ",TRUE,IF(s&gt;0,$C$10:$W$10&amp;": "&amp;ROUND(s,2),""))&amp;"}")))</f>
        <v>{Coins: 25, Red: 1, Chuck: 1, Unlimited Lives: 30, Unlimited Red: 10, Unlimited Chuck: 10, Unlimited Bomb: 10}</v>
      </c>
      <c r="AQ7" s="237">
        <f t="array" ref="AQ7">IF($AH7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7),AVERAGEIFS(data_event_accrual!$K:$K,data_event_accrual!$A:$A,"Jigsaw",data_event_accrual!$B:$B,$AI$3,data_event_accrual!$C:$C,"100+",data_event_accrual!$E:$E,$AH7),AVERAGEIFS(data_event_accrual!$J:$J,data_event_accrual!$A:$A,"Jigsaw",data_event_accrual!$B:$B,$AI$3,data_event_accrual!$C:$C,"100+",data_event_accrual!$E:$E,$AH7),AVERAGEIFS(data_event_accrual!$L:$L,data_event_accrual!$A:$A,"Jigsaw",data_event_accrual!$B:$B,$AI$3,data_event_accrual!$C:$C,"100+",data_event_accrual!$E:$E,$AH7)),1)),COUNTIF($B$11:$B$22,"&lt;="&amp;bal*shr)))</f>
        <v>8</v>
      </c>
      <c r="AR7" s="238" t="str">
        <f t="array" ref="AR7">IF($AH7="","",IF(AQ7=0,"{}",LET(m,AQ7,s,MMULT(SEQUENCE(1,m,1,0),$C$11:$W$22),"{"&amp;TEXTJOIN(", ",TRUE,IF(s&gt;0,$C$10:$W$10&amp;": "&amp;ROUND(s,2),""))&amp;"}")))</f>
        <v>{Coins: 25, Red: 1, Chuck: 1, Unlimited Lives: 90, Unlimited Red: 25, Unlimited Chuck: 10, Unlimited Bomb: 10}</v>
      </c>
    </row>
    <row r="8">
      <c r="A8" s="172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AH8" s="227">
        <f>IF(3&lt;=$B$3,3,"")</f>
        <v>3</v>
      </c>
      <c r="AI8" s="237">
        <f t="array" ref="AI8">IF($AH8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8),AVERAGEIFS(data_event_accrual!$K:$K,data_event_accrual!$A:$A,"Jigsaw",data_event_accrual!$B:$B,$AI$3,data_event_accrual!$C:$C,"0-9",data_event_accrual!$E:$E,$AH8),AVERAGEIFS(data_event_accrual!$J:$J,data_event_accrual!$A:$A,"Jigsaw",data_event_accrual!$B:$B,$AI$3,data_event_accrual!$C:$C,"0-9",data_event_accrual!$E:$E,$AH8),AVERAGEIFS(data_event_accrual!$L:$L,data_event_accrual!$A:$A,"Jigsaw",data_event_accrual!$B:$B,$AI$3,data_event_accrual!$C:$C,"0-9",data_event_accrual!$E:$E,$AH8)),1)),COUNTIF($B$11:$B$22,"&lt;="&amp;bal*shr)))</f>
        <v>2</v>
      </c>
      <c r="AJ8" s="238" t="str">
        <f t="array" ref="AJ8">IF($AH8="","",IF(AI8=0,"{}",LET(m,AI8,s,MMULT(SEQUENCE(1,m,1,0),$C$11:$W$22),"{"&amp;TEXTJOIN(", ",TRUE,IF(s&gt;0,$C$10:$W$10&amp;": "&amp;ROUND(s,2),""))&amp;"}")))</f>
        <v>{Chuck: 1, Unlimited Red: 10}</v>
      </c>
      <c r="AK8" s="237">
        <f t="array" ref="AK8">IF($AH8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8),AVERAGEIFS(data_event_accrual!$K:$K,data_event_accrual!$A:$A,"Jigsaw",data_event_accrual!$B:$B,$AI$3,data_event_accrual!$C:$C,"10-19",data_event_accrual!$E:$E,$AH8),AVERAGEIFS(data_event_accrual!$J:$J,data_event_accrual!$A:$A,"Jigsaw",data_event_accrual!$B:$B,$AI$3,data_event_accrual!$C:$C,"10-19",data_event_accrual!$E:$E,$AH8),AVERAGEIFS(data_event_accrual!$L:$L,data_event_accrual!$A:$A,"Jigsaw",data_event_accrual!$B:$B,$AI$3,data_event_accrual!$C:$C,"10-19",data_event_accrual!$E:$E,$AH8)),1)),COUNTIF($B$11:$B$22,"&lt;="&amp;bal*shr)))</f>
        <v>3</v>
      </c>
      <c r="AL8" s="238" t="str">
        <f t="array" ref="AL8">IF($AH8="","",IF(AK8=0,"{}",LET(m,AK8,s,MMULT(SEQUENCE(1,m,1,0),$C$11:$W$22),"{"&amp;TEXTJOIN(", ",TRUE,IF(s&gt;0,$C$10:$W$10&amp;": "&amp;ROUND(s,2),""))&amp;"}")))</f>
        <v>{Chuck: 1, Unlimited Red: 10, Unlimited Chuck: 10}</v>
      </c>
      <c r="AM8" s="237">
        <f t="array" ref="AM8">IF($AH8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8),AVERAGEIFS(data_event_accrual!$K:$K,data_event_accrual!$A:$A,"Jigsaw",data_event_accrual!$B:$B,$AI$3,data_event_accrual!$C:$C,"20-39",data_event_accrual!$E:$E,$AH8),AVERAGEIFS(data_event_accrual!$J:$J,data_event_accrual!$A:$A,"Jigsaw",data_event_accrual!$B:$B,$AI$3,data_event_accrual!$C:$C,"20-39",data_event_accrual!$E:$E,$AH8),AVERAGEIFS(data_event_accrual!$L:$L,data_event_accrual!$A:$A,"Jigsaw",data_event_accrual!$B:$B,$AI$3,data_event_accrual!$C:$C,"20-39",data_event_accrual!$E:$E,$AH8)),1)),COUNTIF($B$11:$B$22,"&lt;="&amp;bal*shr)))</f>
        <v>5</v>
      </c>
      <c r="AN8" s="238" t="str">
        <f t="array" ref="AN8">IF($AH8="","",IF(AM8=0,"{}",LET(m,AM8,s,MMULT(SEQUENCE(1,m,1,0),$C$11:$W$22),"{"&amp;TEXTJOIN(", ",TRUE,IF(s&gt;0,$C$10:$W$10&amp;": "&amp;ROUND(s,2),""))&amp;"}")))</f>
        <v>{Coins: 25, Chuck: 1, Unlimited Lives: 30, Unlimited Red: 10, Unlimited Chuck: 10}</v>
      </c>
      <c r="AO8" s="237">
        <f t="array" ref="AO8">IF($AH8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8),AVERAGEIFS(data_event_accrual!$K:$K,data_event_accrual!$A:$A,"Jigsaw",data_event_accrual!$B:$B,$AI$3,data_event_accrual!$C:$C,"40-99",data_event_accrual!$E:$E,$AH8),AVERAGEIFS(data_event_accrual!$J:$J,data_event_accrual!$A:$A,"Jigsaw",data_event_accrual!$B:$B,$AI$3,data_event_accrual!$C:$C,"40-99",data_event_accrual!$E:$E,$AH8),AVERAGEIFS(data_event_accrual!$L:$L,data_event_accrual!$A:$A,"Jigsaw",data_event_accrual!$B:$B,$AI$3,data_event_accrual!$C:$C,"40-99",data_event_accrual!$E:$E,$AH8)),1)),COUNTIF($B$11:$B$22,"&lt;="&amp;bal*shr)))</f>
        <v>7</v>
      </c>
      <c r="AP8" s="238" t="str">
        <f t="array" ref="AP8">IF($AH8="","",IF(AO8=0,"{}",LET(m,AO8,s,MMULT(SEQUENCE(1,m,1,0),$C$11:$W$22),"{"&amp;TEXTJOIN(", ",TRUE,IF(s&gt;0,$C$10:$W$10&amp;": "&amp;ROUND(s,2),""))&amp;"}")))</f>
        <v>{Coins: 25, Red: 1, Chuck: 1, Unlimited Lives: 90, Unlimited Red: 10, Unlimited Chuck: 10, Unlimited Bomb: 10}</v>
      </c>
      <c r="AQ8" s="237">
        <f t="array" ref="AQ8">IF($AH8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8),AVERAGEIFS(data_event_accrual!$K:$K,data_event_accrual!$A:$A,"Jigsaw",data_event_accrual!$B:$B,$AI$3,data_event_accrual!$C:$C,"100+",data_event_accrual!$E:$E,$AH8),AVERAGEIFS(data_event_accrual!$J:$J,data_event_accrual!$A:$A,"Jigsaw",data_event_accrual!$B:$B,$AI$3,data_event_accrual!$C:$C,"100+",data_event_accrual!$E:$E,$AH8),AVERAGEIFS(data_event_accrual!$L:$L,data_event_accrual!$A:$A,"Jigsaw",data_event_accrual!$B:$B,$AI$3,data_event_accrual!$C:$C,"100+",data_event_accrual!$E:$E,$AH8)),1)),COUNTIF($B$11:$B$22,"&lt;="&amp;bal*shr)))</f>
        <v>9</v>
      </c>
      <c r="AR8" s="238" t="str">
        <f t="array" ref="AR8">IF($AH8="","",IF(AQ8=0,"{}",LET(m,AQ8,s,MMULT(SEQUENCE(1,m,1,0),$C$11:$W$22),"{"&amp;TEXTJOIN(", ",TRUE,IF(s&gt;0,$C$10:$W$10&amp;": "&amp;ROUND(s,2),""))&amp;"}")))</f>
        <v>{Coins: 50, Red: 1, Chuck: 1, Unlimited Lives: 90, Unlimited Red: 25, Unlimited Chuck: 10, Unlimited Bomb: 10}</v>
      </c>
    </row>
    <row r="9" ht="19.5" customHeight="1">
      <c r="A9" s="174" t="s">
        <v>133</v>
      </c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AH9" s="227" t="str">
        <f>IF(4&lt;=$B$3,4,"")</f>
        <v/>
      </c>
      <c r="AI9" s="237" t="str">
        <f t="array" ref="AI9">IF($AH9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9),AVERAGEIFS(data_event_accrual!$K:$K,data_event_accrual!$A:$A,"Jigsaw",data_event_accrual!$B:$B,$AI$3,data_event_accrual!$C:$C,"0-9",data_event_accrual!$E:$E,$AH9),AVERAGEIFS(data_event_accrual!$J:$J,data_event_accrual!$A:$A,"Jigsaw",data_event_accrual!$B:$B,$AI$3,data_event_accrual!$C:$C,"0-9",data_event_accrual!$E:$E,$AH9),AVERAGEIFS(data_event_accrual!$L:$L,data_event_accrual!$A:$A,"Jigsaw",data_event_accrual!$B:$B,$AI$3,data_event_accrual!$C:$C,"0-9",data_event_accrual!$E:$E,$AH9)),1)),COUNTIF($B$11:$B$22,"&lt;="&amp;bal*shr)))</f>
        <v/>
      </c>
      <c r="AJ9" s="238" t="str">
        <f t="array" ref="AJ9">IF($AH9="","",IF(AI9=0,"{}",LET(m,AI9,s,MMULT(SEQUENCE(1,m,1,0),$C$11:$W$22),"{"&amp;TEXTJOIN(", ",TRUE,IF(s&gt;0,$C$10:$W$10&amp;": "&amp;ROUND(s,2),""))&amp;"}")))</f>
        <v/>
      </c>
      <c r="AK9" s="237" t="str">
        <f t="array" ref="AK9">IF($AH9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9),AVERAGEIFS(data_event_accrual!$K:$K,data_event_accrual!$A:$A,"Jigsaw",data_event_accrual!$B:$B,$AI$3,data_event_accrual!$C:$C,"10-19",data_event_accrual!$E:$E,$AH9),AVERAGEIFS(data_event_accrual!$J:$J,data_event_accrual!$A:$A,"Jigsaw",data_event_accrual!$B:$B,$AI$3,data_event_accrual!$C:$C,"10-19",data_event_accrual!$E:$E,$AH9),AVERAGEIFS(data_event_accrual!$L:$L,data_event_accrual!$A:$A,"Jigsaw",data_event_accrual!$B:$B,$AI$3,data_event_accrual!$C:$C,"10-19",data_event_accrual!$E:$E,$AH9)),1)),COUNTIF($B$11:$B$22,"&lt;="&amp;bal*shr)))</f>
        <v/>
      </c>
      <c r="AL9" s="238" t="str">
        <f t="array" ref="AL9">IF($AH9="","",IF(AK9=0,"{}",LET(m,AK9,s,MMULT(SEQUENCE(1,m,1,0),$C$11:$W$22),"{"&amp;TEXTJOIN(", ",TRUE,IF(s&gt;0,$C$10:$W$10&amp;": "&amp;ROUND(s,2),""))&amp;"}")))</f>
        <v/>
      </c>
      <c r="AM9" s="237" t="str">
        <f t="array" ref="AM9">IF($AH9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9),AVERAGEIFS(data_event_accrual!$K:$K,data_event_accrual!$A:$A,"Jigsaw",data_event_accrual!$B:$B,$AI$3,data_event_accrual!$C:$C,"20-39",data_event_accrual!$E:$E,$AH9),AVERAGEIFS(data_event_accrual!$J:$J,data_event_accrual!$A:$A,"Jigsaw",data_event_accrual!$B:$B,$AI$3,data_event_accrual!$C:$C,"20-39",data_event_accrual!$E:$E,$AH9),AVERAGEIFS(data_event_accrual!$L:$L,data_event_accrual!$A:$A,"Jigsaw",data_event_accrual!$B:$B,$AI$3,data_event_accrual!$C:$C,"20-39",data_event_accrual!$E:$E,$AH9)),1)),COUNTIF($B$11:$B$22,"&lt;="&amp;bal*shr)))</f>
        <v/>
      </c>
      <c r="AN9" s="238" t="str">
        <f t="array" ref="AN9">IF($AH9="","",IF(AM9=0,"{}",LET(m,AM9,s,MMULT(SEQUENCE(1,m,1,0),$C$11:$W$22),"{"&amp;TEXTJOIN(", ",TRUE,IF(s&gt;0,$C$10:$W$10&amp;": "&amp;ROUND(s,2),""))&amp;"}")))</f>
        <v/>
      </c>
      <c r="AO9" s="237" t="str">
        <f t="array" ref="AO9">IF($AH9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9),AVERAGEIFS(data_event_accrual!$K:$K,data_event_accrual!$A:$A,"Jigsaw",data_event_accrual!$B:$B,$AI$3,data_event_accrual!$C:$C,"40-99",data_event_accrual!$E:$E,$AH9),AVERAGEIFS(data_event_accrual!$J:$J,data_event_accrual!$A:$A,"Jigsaw",data_event_accrual!$B:$B,$AI$3,data_event_accrual!$C:$C,"40-99",data_event_accrual!$E:$E,$AH9),AVERAGEIFS(data_event_accrual!$L:$L,data_event_accrual!$A:$A,"Jigsaw",data_event_accrual!$B:$B,$AI$3,data_event_accrual!$C:$C,"40-99",data_event_accrual!$E:$E,$AH9)),1)),COUNTIF($B$11:$B$22,"&lt;="&amp;bal*shr)))</f>
        <v/>
      </c>
      <c r="AP9" s="238" t="str">
        <f t="array" ref="AP9">IF($AH9="","",IF(AO9=0,"{}",LET(m,AO9,s,MMULT(SEQUENCE(1,m,1,0),$C$11:$W$22),"{"&amp;TEXTJOIN(", ",TRUE,IF(s&gt;0,$C$10:$W$10&amp;": "&amp;ROUND(s,2),""))&amp;"}")))</f>
        <v/>
      </c>
      <c r="AQ9" s="237" t="str">
        <f t="array" ref="AQ9">IF($AH9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9),AVERAGEIFS(data_event_accrual!$K:$K,data_event_accrual!$A:$A,"Jigsaw",data_event_accrual!$B:$B,$AI$3,data_event_accrual!$C:$C,"100+",data_event_accrual!$E:$E,$AH9),AVERAGEIFS(data_event_accrual!$J:$J,data_event_accrual!$A:$A,"Jigsaw",data_event_accrual!$B:$B,$AI$3,data_event_accrual!$C:$C,"100+",data_event_accrual!$E:$E,$AH9),AVERAGEIFS(data_event_accrual!$L:$L,data_event_accrual!$A:$A,"Jigsaw",data_event_accrual!$B:$B,$AI$3,data_event_accrual!$C:$C,"100+",data_event_accrual!$E:$E,$AH9)),1)),COUNTIF($B$11:$B$22,"&lt;="&amp;bal*shr)))</f>
        <v/>
      </c>
      <c r="AR9" s="238" t="str">
        <f t="array" ref="AR9">IF($AH9="","",IF(AQ9=0,"{}",LET(m,AQ9,s,MMULT(SEQUENCE(1,m,1,0),$C$11:$W$22),"{"&amp;TEXTJOIN(", ",TRUE,IF(s&gt;0,$C$10:$W$10&amp;": "&amp;ROUND(s,2),""))&amp;"}")))</f>
        <v/>
      </c>
    </row>
    <row r="10" ht="90.0" customHeight="1">
      <c r="A10" s="184" t="s">
        <v>174</v>
      </c>
      <c r="B10" s="185" t="s">
        <v>175</v>
      </c>
      <c r="C10" s="186" t="s">
        <v>76</v>
      </c>
      <c r="D10" s="187" t="s">
        <v>46</v>
      </c>
      <c r="E10" s="187" t="s">
        <v>121</v>
      </c>
      <c r="F10" s="187" t="s">
        <v>47</v>
      </c>
      <c r="G10" s="187" t="s">
        <v>48</v>
      </c>
      <c r="H10" s="187" t="s">
        <v>50</v>
      </c>
      <c r="I10" s="187" t="s">
        <v>52</v>
      </c>
      <c r="J10" s="187" t="s">
        <v>53</v>
      </c>
      <c r="K10" s="187" t="s">
        <v>54</v>
      </c>
      <c r="L10" s="187" t="s">
        <v>55</v>
      </c>
      <c r="M10" s="187" t="s">
        <v>56</v>
      </c>
      <c r="N10" s="187" t="s">
        <v>57</v>
      </c>
      <c r="O10" s="187" t="s">
        <v>58</v>
      </c>
      <c r="P10" s="187" t="s">
        <v>135</v>
      </c>
      <c r="Q10" s="187" t="s">
        <v>122</v>
      </c>
      <c r="R10" s="187" t="s">
        <v>123</v>
      </c>
      <c r="S10" s="187" t="s">
        <v>124</v>
      </c>
      <c r="T10" s="187" t="s">
        <v>125</v>
      </c>
      <c r="U10" s="187" t="s">
        <v>126</v>
      </c>
      <c r="V10" s="187" t="s">
        <v>127</v>
      </c>
      <c r="W10" s="187" t="s">
        <v>128</v>
      </c>
      <c r="AH10" s="227" t="str">
        <f>IF(5&lt;=$B$3,5,"")</f>
        <v/>
      </c>
      <c r="AI10" s="237" t="str">
        <f t="array" ref="AI10">IF($AH10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10),AVERAGEIFS(data_event_accrual!$K:$K,data_event_accrual!$A:$A,"Jigsaw",data_event_accrual!$B:$B,$AI$3,data_event_accrual!$C:$C,"0-9",data_event_accrual!$E:$E,$AH10),AVERAGEIFS(data_event_accrual!$J:$J,data_event_accrual!$A:$A,"Jigsaw",data_event_accrual!$B:$B,$AI$3,data_event_accrual!$C:$C,"0-9",data_event_accrual!$E:$E,$AH10),AVERAGEIFS(data_event_accrual!$L:$L,data_event_accrual!$A:$A,"Jigsaw",data_event_accrual!$B:$B,$AI$3,data_event_accrual!$C:$C,"0-9",data_event_accrual!$E:$E,$AH10)),1)),COUNTIF($B$11:$B$22,"&lt;="&amp;bal*shr)))</f>
        <v/>
      </c>
      <c r="AJ10" s="238" t="str">
        <f t="array" ref="AJ10">IF($AH10="","",IF(AI10=0,"{}",LET(m,AI10,s,MMULT(SEQUENCE(1,m,1,0),$C$11:$W$22),"{"&amp;TEXTJOIN(", ",TRUE,IF(s&gt;0,$C$10:$W$10&amp;": "&amp;ROUND(s,2),""))&amp;"}")))</f>
        <v/>
      </c>
      <c r="AK10" s="237" t="str">
        <f t="array" ref="AK10">IF($AH10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10),AVERAGEIFS(data_event_accrual!$K:$K,data_event_accrual!$A:$A,"Jigsaw",data_event_accrual!$B:$B,$AI$3,data_event_accrual!$C:$C,"10-19",data_event_accrual!$E:$E,$AH10),AVERAGEIFS(data_event_accrual!$J:$J,data_event_accrual!$A:$A,"Jigsaw",data_event_accrual!$B:$B,$AI$3,data_event_accrual!$C:$C,"10-19",data_event_accrual!$E:$E,$AH10),AVERAGEIFS(data_event_accrual!$L:$L,data_event_accrual!$A:$A,"Jigsaw",data_event_accrual!$B:$B,$AI$3,data_event_accrual!$C:$C,"10-19",data_event_accrual!$E:$E,$AH10)),1)),COUNTIF($B$11:$B$22,"&lt;="&amp;bal*shr)))</f>
        <v/>
      </c>
      <c r="AL10" s="238" t="str">
        <f t="array" ref="AL10">IF($AH10="","",IF(AK10=0,"{}",LET(m,AK10,s,MMULT(SEQUENCE(1,m,1,0),$C$11:$W$22),"{"&amp;TEXTJOIN(", ",TRUE,IF(s&gt;0,$C$10:$W$10&amp;": "&amp;ROUND(s,2),""))&amp;"}")))</f>
        <v/>
      </c>
      <c r="AM10" s="237" t="str">
        <f t="array" ref="AM10">IF($AH10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10),AVERAGEIFS(data_event_accrual!$K:$K,data_event_accrual!$A:$A,"Jigsaw",data_event_accrual!$B:$B,$AI$3,data_event_accrual!$C:$C,"20-39",data_event_accrual!$E:$E,$AH10),AVERAGEIFS(data_event_accrual!$J:$J,data_event_accrual!$A:$A,"Jigsaw",data_event_accrual!$B:$B,$AI$3,data_event_accrual!$C:$C,"20-39",data_event_accrual!$E:$E,$AH10),AVERAGEIFS(data_event_accrual!$L:$L,data_event_accrual!$A:$A,"Jigsaw",data_event_accrual!$B:$B,$AI$3,data_event_accrual!$C:$C,"20-39",data_event_accrual!$E:$E,$AH10)),1)),COUNTIF($B$11:$B$22,"&lt;="&amp;bal*shr)))</f>
        <v/>
      </c>
      <c r="AN10" s="238" t="str">
        <f t="array" ref="AN10">IF($AH10="","",IF(AM10=0,"{}",LET(m,AM10,s,MMULT(SEQUENCE(1,m,1,0),$C$11:$W$22),"{"&amp;TEXTJOIN(", ",TRUE,IF(s&gt;0,$C$10:$W$10&amp;": "&amp;ROUND(s,2),""))&amp;"}")))</f>
        <v/>
      </c>
      <c r="AO10" s="237" t="str">
        <f t="array" ref="AO10">IF($AH10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10),AVERAGEIFS(data_event_accrual!$K:$K,data_event_accrual!$A:$A,"Jigsaw",data_event_accrual!$B:$B,$AI$3,data_event_accrual!$C:$C,"40-99",data_event_accrual!$E:$E,$AH10),AVERAGEIFS(data_event_accrual!$J:$J,data_event_accrual!$A:$A,"Jigsaw",data_event_accrual!$B:$B,$AI$3,data_event_accrual!$C:$C,"40-99",data_event_accrual!$E:$E,$AH10),AVERAGEIFS(data_event_accrual!$L:$L,data_event_accrual!$A:$A,"Jigsaw",data_event_accrual!$B:$B,$AI$3,data_event_accrual!$C:$C,"40-99",data_event_accrual!$E:$E,$AH10)),1)),COUNTIF($B$11:$B$22,"&lt;="&amp;bal*shr)))</f>
        <v/>
      </c>
      <c r="AP10" s="238" t="str">
        <f t="array" ref="AP10">IF($AH10="","",IF(AO10=0,"{}",LET(m,AO10,s,MMULT(SEQUENCE(1,m,1,0),$C$11:$W$22),"{"&amp;TEXTJOIN(", ",TRUE,IF(s&gt;0,$C$10:$W$10&amp;": "&amp;ROUND(s,2),""))&amp;"}")))</f>
        <v/>
      </c>
      <c r="AQ10" s="237" t="str">
        <f t="array" ref="AQ10">IF($AH10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10),AVERAGEIFS(data_event_accrual!$K:$K,data_event_accrual!$A:$A,"Jigsaw",data_event_accrual!$B:$B,$AI$3,data_event_accrual!$C:$C,"100+",data_event_accrual!$E:$E,$AH10),AVERAGEIFS(data_event_accrual!$J:$J,data_event_accrual!$A:$A,"Jigsaw",data_event_accrual!$B:$B,$AI$3,data_event_accrual!$C:$C,"100+",data_event_accrual!$E:$E,$AH10),AVERAGEIFS(data_event_accrual!$L:$L,data_event_accrual!$A:$A,"Jigsaw",data_event_accrual!$B:$B,$AI$3,data_event_accrual!$C:$C,"100+",data_event_accrual!$E:$E,$AH10)),1)),COUNTIF($B$11:$B$22,"&lt;="&amp;bal*shr)))</f>
        <v/>
      </c>
      <c r="AR10" s="238" t="str">
        <f t="array" ref="AR10">IF($AH10="","",IF(AQ10=0,"{}",LET(m,AQ10,s,MMULT(SEQUENCE(1,m,1,0),$C$11:$W$22),"{"&amp;TEXTJOIN(", ",TRUE,IF(s&gt;0,$C$10:$W$10&amp;": "&amp;ROUND(s,2),""))&amp;"}")))</f>
        <v/>
      </c>
    </row>
    <row r="11">
      <c r="A11" s="189">
        <v>1.0</v>
      </c>
      <c r="B11" s="190">
        <v>30.0</v>
      </c>
      <c r="C11" s="221">
        <v>0.0</v>
      </c>
      <c r="D11" s="189">
        <v>0.0</v>
      </c>
      <c r="E11" s="189">
        <v>0.0</v>
      </c>
      <c r="F11" s="189">
        <v>0.0</v>
      </c>
      <c r="G11" s="189">
        <v>1.0</v>
      </c>
      <c r="H11" s="189">
        <v>0.0</v>
      </c>
      <c r="I11" s="189">
        <v>0.0</v>
      </c>
      <c r="J11" s="189">
        <v>0.0</v>
      </c>
      <c r="K11" s="189">
        <v>0.0</v>
      </c>
      <c r="L11" s="189">
        <v>0.0</v>
      </c>
      <c r="M11" s="189">
        <v>0.0</v>
      </c>
      <c r="N11" s="189">
        <v>0.0</v>
      </c>
      <c r="O11" s="189">
        <v>0.0</v>
      </c>
      <c r="P11" s="189">
        <v>0.0</v>
      </c>
      <c r="Q11" s="189">
        <v>0.0</v>
      </c>
      <c r="R11" s="189">
        <v>0.0</v>
      </c>
      <c r="S11" s="189">
        <v>0.0</v>
      </c>
      <c r="T11" s="189">
        <v>0.0</v>
      </c>
      <c r="U11" s="189">
        <v>0.0</v>
      </c>
      <c r="V11" s="189">
        <v>0.0</v>
      </c>
      <c r="W11" s="189">
        <v>0.0</v>
      </c>
      <c r="AH11" s="227" t="str">
        <f>IF(6&lt;=$B$3,6,"")</f>
        <v/>
      </c>
      <c r="AI11" s="237" t="str">
        <f t="array" ref="AI11">IF($AH11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11),AVERAGEIFS(data_event_accrual!$K:$K,data_event_accrual!$A:$A,"Jigsaw",data_event_accrual!$B:$B,$AI$3,data_event_accrual!$C:$C,"0-9",data_event_accrual!$E:$E,$AH11),AVERAGEIFS(data_event_accrual!$J:$J,data_event_accrual!$A:$A,"Jigsaw",data_event_accrual!$B:$B,$AI$3,data_event_accrual!$C:$C,"0-9",data_event_accrual!$E:$E,$AH11),AVERAGEIFS(data_event_accrual!$L:$L,data_event_accrual!$A:$A,"Jigsaw",data_event_accrual!$B:$B,$AI$3,data_event_accrual!$C:$C,"0-9",data_event_accrual!$E:$E,$AH11)),1)),COUNTIF($B$11:$B$22,"&lt;="&amp;bal*shr)))</f>
        <v/>
      </c>
      <c r="AJ11" s="238" t="str">
        <f t="array" ref="AJ11">IF($AH11="","",IF(AI11=0,"{}",LET(m,AI11,s,MMULT(SEQUENCE(1,m,1,0),$C$11:$W$22),"{"&amp;TEXTJOIN(", ",TRUE,IF(s&gt;0,$C$10:$W$10&amp;": "&amp;ROUND(s,2),""))&amp;"}")))</f>
        <v/>
      </c>
      <c r="AK11" s="237" t="str">
        <f t="array" ref="AK11">IF($AH11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11),AVERAGEIFS(data_event_accrual!$K:$K,data_event_accrual!$A:$A,"Jigsaw",data_event_accrual!$B:$B,$AI$3,data_event_accrual!$C:$C,"10-19",data_event_accrual!$E:$E,$AH11),AVERAGEIFS(data_event_accrual!$J:$J,data_event_accrual!$A:$A,"Jigsaw",data_event_accrual!$B:$B,$AI$3,data_event_accrual!$C:$C,"10-19",data_event_accrual!$E:$E,$AH11),AVERAGEIFS(data_event_accrual!$L:$L,data_event_accrual!$A:$A,"Jigsaw",data_event_accrual!$B:$B,$AI$3,data_event_accrual!$C:$C,"10-19",data_event_accrual!$E:$E,$AH11)),1)),COUNTIF($B$11:$B$22,"&lt;="&amp;bal*shr)))</f>
        <v/>
      </c>
      <c r="AL11" s="238" t="str">
        <f t="array" ref="AL11">IF($AH11="","",IF(AK11=0,"{}",LET(m,AK11,s,MMULT(SEQUENCE(1,m,1,0),$C$11:$W$22),"{"&amp;TEXTJOIN(", ",TRUE,IF(s&gt;0,$C$10:$W$10&amp;": "&amp;ROUND(s,2),""))&amp;"}")))</f>
        <v/>
      </c>
      <c r="AM11" s="237" t="str">
        <f t="array" ref="AM11">IF($AH11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11),AVERAGEIFS(data_event_accrual!$K:$K,data_event_accrual!$A:$A,"Jigsaw",data_event_accrual!$B:$B,$AI$3,data_event_accrual!$C:$C,"20-39",data_event_accrual!$E:$E,$AH11),AVERAGEIFS(data_event_accrual!$J:$J,data_event_accrual!$A:$A,"Jigsaw",data_event_accrual!$B:$B,$AI$3,data_event_accrual!$C:$C,"20-39",data_event_accrual!$E:$E,$AH11),AVERAGEIFS(data_event_accrual!$L:$L,data_event_accrual!$A:$A,"Jigsaw",data_event_accrual!$B:$B,$AI$3,data_event_accrual!$C:$C,"20-39",data_event_accrual!$E:$E,$AH11)),1)),COUNTIF($B$11:$B$22,"&lt;="&amp;bal*shr)))</f>
        <v/>
      </c>
      <c r="AN11" s="238" t="str">
        <f t="array" ref="AN11">IF($AH11="","",IF(AM11=0,"{}",LET(m,AM11,s,MMULT(SEQUENCE(1,m,1,0),$C$11:$W$22),"{"&amp;TEXTJOIN(", ",TRUE,IF(s&gt;0,$C$10:$W$10&amp;": "&amp;ROUND(s,2),""))&amp;"}")))</f>
        <v/>
      </c>
      <c r="AO11" s="237" t="str">
        <f t="array" ref="AO11">IF($AH11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11),AVERAGEIFS(data_event_accrual!$K:$K,data_event_accrual!$A:$A,"Jigsaw",data_event_accrual!$B:$B,$AI$3,data_event_accrual!$C:$C,"40-99",data_event_accrual!$E:$E,$AH11),AVERAGEIFS(data_event_accrual!$J:$J,data_event_accrual!$A:$A,"Jigsaw",data_event_accrual!$B:$B,$AI$3,data_event_accrual!$C:$C,"40-99",data_event_accrual!$E:$E,$AH11),AVERAGEIFS(data_event_accrual!$L:$L,data_event_accrual!$A:$A,"Jigsaw",data_event_accrual!$B:$B,$AI$3,data_event_accrual!$C:$C,"40-99",data_event_accrual!$E:$E,$AH11)),1)),COUNTIF($B$11:$B$22,"&lt;="&amp;bal*shr)))</f>
        <v/>
      </c>
      <c r="AP11" s="238" t="str">
        <f t="array" ref="AP11">IF($AH11="","",IF(AO11=0,"{}",LET(m,AO11,s,MMULT(SEQUENCE(1,m,1,0),$C$11:$W$22),"{"&amp;TEXTJOIN(", ",TRUE,IF(s&gt;0,$C$10:$W$10&amp;": "&amp;ROUND(s,2),""))&amp;"}")))</f>
        <v/>
      </c>
      <c r="AQ11" s="237" t="str">
        <f t="array" ref="AQ11">IF($AH11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11),AVERAGEIFS(data_event_accrual!$K:$K,data_event_accrual!$A:$A,"Jigsaw",data_event_accrual!$B:$B,$AI$3,data_event_accrual!$C:$C,"100+",data_event_accrual!$E:$E,$AH11),AVERAGEIFS(data_event_accrual!$J:$J,data_event_accrual!$A:$A,"Jigsaw",data_event_accrual!$B:$B,$AI$3,data_event_accrual!$C:$C,"100+",data_event_accrual!$E:$E,$AH11),AVERAGEIFS(data_event_accrual!$L:$L,data_event_accrual!$A:$A,"Jigsaw",data_event_accrual!$B:$B,$AI$3,data_event_accrual!$C:$C,"100+",data_event_accrual!$E:$E,$AH11)),1)),COUNTIF($B$11:$B$22,"&lt;="&amp;bal*shr)))</f>
        <v/>
      </c>
      <c r="AR11" s="238" t="str">
        <f t="array" ref="AR11">IF($AH11="","",IF(AQ11=0,"{}",LET(m,AQ11,s,MMULT(SEQUENCE(1,m,1,0),$C$11:$W$22),"{"&amp;TEXTJOIN(", ",TRUE,IF(s&gt;0,$C$10:$W$10&amp;": "&amp;ROUND(s,2),""))&amp;"}")))</f>
        <v/>
      </c>
    </row>
    <row r="12">
      <c r="A12" s="189">
        <v>2.0</v>
      </c>
      <c r="B12" s="190">
        <v>80.0</v>
      </c>
      <c r="C12" s="221">
        <v>0.0</v>
      </c>
      <c r="D12" s="189">
        <v>0.0</v>
      </c>
      <c r="E12" s="189">
        <v>0.0</v>
      </c>
      <c r="F12" s="189">
        <v>0.0</v>
      </c>
      <c r="G12" s="189">
        <v>0.0</v>
      </c>
      <c r="H12" s="189">
        <v>0.0</v>
      </c>
      <c r="I12" s="189">
        <v>0.0</v>
      </c>
      <c r="J12" s="189">
        <v>0.0</v>
      </c>
      <c r="K12" s="189">
        <v>0.0</v>
      </c>
      <c r="L12" s="189">
        <v>0.0</v>
      </c>
      <c r="M12" s="189">
        <v>10.0</v>
      </c>
      <c r="N12" s="189">
        <v>0.0</v>
      </c>
      <c r="O12" s="189">
        <v>0.0</v>
      </c>
      <c r="P12" s="189">
        <v>0.0</v>
      </c>
      <c r="Q12" s="189">
        <v>0.0</v>
      </c>
      <c r="R12" s="189">
        <v>0.0</v>
      </c>
      <c r="S12" s="189">
        <v>0.0</v>
      </c>
      <c r="T12" s="189">
        <v>0.0</v>
      </c>
      <c r="U12" s="189">
        <v>0.0</v>
      </c>
      <c r="V12" s="189">
        <v>0.0</v>
      </c>
      <c r="W12" s="189">
        <v>0.0</v>
      </c>
      <c r="Y12" s="1">
        <v>1.0</v>
      </c>
      <c r="AH12" s="227" t="str">
        <f>IF(7&lt;=$B$3,7,"")</f>
        <v/>
      </c>
      <c r="AI12" s="237" t="str">
        <f t="array" ref="AI12">IF($AH12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12),AVERAGEIFS(data_event_accrual!$K:$K,data_event_accrual!$A:$A,"Jigsaw",data_event_accrual!$B:$B,$AI$3,data_event_accrual!$C:$C,"0-9",data_event_accrual!$E:$E,$AH12),AVERAGEIFS(data_event_accrual!$J:$J,data_event_accrual!$A:$A,"Jigsaw",data_event_accrual!$B:$B,$AI$3,data_event_accrual!$C:$C,"0-9",data_event_accrual!$E:$E,$AH12),AVERAGEIFS(data_event_accrual!$L:$L,data_event_accrual!$A:$A,"Jigsaw",data_event_accrual!$B:$B,$AI$3,data_event_accrual!$C:$C,"0-9",data_event_accrual!$E:$E,$AH12)),1)),COUNTIF($B$11:$B$22,"&lt;="&amp;bal*shr)))</f>
        <v/>
      </c>
      <c r="AJ12" s="238" t="str">
        <f t="array" ref="AJ12">IF($AH12="","",IF(AI12=0,"{}",LET(m,AI12,s,MMULT(SEQUENCE(1,m,1,0),$C$11:$W$22),"{"&amp;TEXTJOIN(", ",TRUE,IF(s&gt;0,$C$10:$W$10&amp;": "&amp;ROUND(s,2),""))&amp;"}")))</f>
        <v/>
      </c>
      <c r="AK12" s="237" t="str">
        <f t="array" ref="AK12">IF($AH12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12),AVERAGEIFS(data_event_accrual!$K:$K,data_event_accrual!$A:$A,"Jigsaw",data_event_accrual!$B:$B,$AI$3,data_event_accrual!$C:$C,"10-19",data_event_accrual!$E:$E,$AH12),AVERAGEIFS(data_event_accrual!$J:$J,data_event_accrual!$A:$A,"Jigsaw",data_event_accrual!$B:$B,$AI$3,data_event_accrual!$C:$C,"10-19",data_event_accrual!$E:$E,$AH12),AVERAGEIFS(data_event_accrual!$L:$L,data_event_accrual!$A:$A,"Jigsaw",data_event_accrual!$B:$B,$AI$3,data_event_accrual!$C:$C,"10-19",data_event_accrual!$E:$E,$AH12)),1)),COUNTIF($B$11:$B$22,"&lt;="&amp;bal*shr)))</f>
        <v/>
      </c>
      <c r="AL12" s="238" t="str">
        <f t="array" ref="AL12">IF($AH12="","",IF(AK12=0,"{}",LET(m,AK12,s,MMULT(SEQUENCE(1,m,1,0),$C$11:$W$22),"{"&amp;TEXTJOIN(", ",TRUE,IF(s&gt;0,$C$10:$W$10&amp;": "&amp;ROUND(s,2),""))&amp;"}")))</f>
        <v/>
      </c>
      <c r="AM12" s="237" t="str">
        <f t="array" ref="AM12">IF($AH12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12),AVERAGEIFS(data_event_accrual!$K:$K,data_event_accrual!$A:$A,"Jigsaw",data_event_accrual!$B:$B,$AI$3,data_event_accrual!$C:$C,"20-39",data_event_accrual!$E:$E,$AH12),AVERAGEIFS(data_event_accrual!$J:$J,data_event_accrual!$A:$A,"Jigsaw",data_event_accrual!$B:$B,$AI$3,data_event_accrual!$C:$C,"20-39",data_event_accrual!$E:$E,$AH12),AVERAGEIFS(data_event_accrual!$L:$L,data_event_accrual!$A:$A,"Jigsaw",data_event_accrual!$B:$B,$AI$3,data_event_accrual!$C:$C,"20-39",data_event_accrual!$E:$E,$AH12)),1)),COUNTIF($B$11:$B$22,"&lt;="&amp;bal*shr)))</f>
        <v/>
      </c>
      <c r="AN12" s="238" t="str">
        <f t="array" ref="AN12">IF($AH12="","",IF(AM12=0,"{}",LET(m,AM12,s,MMULT(SEQUENCE(1,m,1,0),$C$11:$W$22),"{"&amp;TEXTJOIN(", ",TRUE,IF(s&gt;0,$C$10:$W$10&amp;": "&amp;ROUND(s,2),""))&amp;"}")))</f>
        <v/>
      </c>
      <c r="AO12" s="237" t="str">
        <f t="array" ref="AO12">IF($AH12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12),AVERAGEIFS(data_event_accrual!$K:$K,data_event_accrual!$A:$A,"Jigsaw",data_event_accrual!$B:$B,$AI$3,data_event_accrual!$C:$C,"40-99",data_event_accrual!$E:$E,$AH12),AVERAGEIFS(data_event_accrual!$J:$J,data_event_accrual!$A:$A,"Jigsaw",data_event_accrual!$B:$B,$AI$3,data_event_accrual!$C:$C,"40-99",data_event_accrual!$E:$E,$AH12),AVERAGEIFS(data_event_accrual!$L:$L,data_event_accrual!$A:$A,"Jigsaw",data_event_accrual!$B:$B,$AI$3,data_event_accrual!$C:$C,"40-99",data_event_accrual!$E:$E,$AH12)),1)),COUNTIF($B$11:$B$22,"&lt;="&amp;bal*shr)))</f>
        <v/>
      </c>
      <c r="AP12" s="238" t="str">
        <f t="array" ref="AP12">IF($AH12="","",IF(AO12=0,"{}",LET(m,AO12,s,MMULT(SEQUENCE(1,m,1,0),$C$11:$W$22),"{"&amp;TEXTJOIN(", ",TRUE,IF(s&gt;0,$C$10:$W$10&amp;": "&amp;ROUND(s,2),""))&amp;"}")))</f>
        <v/>
      </c>
      <c r="AQ12" s="237" t="str">
        <f t="array" ref="AQ12">IF($AH12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12),AVERAGEIFS(data_event_accrual!$K:$K,data_event_accrual!$A:$A,"Jigsaw",data_event_accrual!$B:$B,$AI$3,data_event_accrual!$C:$C,"100+",data_event_accrual!$E:$E,$AH12),AVERAGEIFS(data_event_accrual!$J:$J,data_event_accrual!$A:$A,"Jigsaw",data_event_accrual!$B:$B,$AI$3,data_event_accrual!$C:$C,"100+",data_event_accrual!$E:$E,$AH12),AVERAGEIFS(data_event_accrual!$L:$L,data_event_accrual!$A:$A,"Jigsaw",data_event_accrual!$B:$B,$AI$3,data_event_accrual!$C:$C,"100+",data_event_accrual!$E:$E,$AH12)),1)),COUNTIF($B$11:$B$22,"&lt;="&amp;bal*shr)))</f>
        <v/>
      </c>
      <c r="AR12" s="238" t="str">
        <f t="array" ref="AR12">IF($AH12="","",IF(AQ12=0,"{}",LET(m,AQ12,s,MMULT(SEQUENCE(1,m,1,0),$C$11:$W$22),"{"&amp;TEXTJOIN(", ",TRUE,IF(s&gt;0,$C$10:$W$10&amp;": "&amp;ROUND(s,2),""))&amp;"}")))</f>
        <v/>
      </c>
    </row>
    <row r="13">
      <c r="A13" s="189">
        <v>3.0</v>
      </c>
      <c r="B13" s="190">
        <v>150.0</v>
      </c>
      <c r="C13" s="221">
        <v>0.0</v>
      </c>
      <c r="D13" s="189">
        <v>0.0</v>
      </c>
      <c r="E13" s="189">
        <v>0.0</v>
      </c>
      <c r="F13" s="189">
        <v>0.0</v>
      </c>
      <c r="G13" s="189">
        <v>0.0</v>
      </c>
      <c r="H13" s="189">
        <v>0.0</v>
      </c>
      <c r="I13" s="189">
        <v>0.0</v>
      </c>
      <c r="J13" s="189">
        <v>0.0</v>
      </c>
      <c r="K13" s="189">
        <v>0.0</v>
      </c>
      <c r="L13" s="189">
        <v>0.0</v>
      </c>
      <c r="M13" s="189">
        <v>0.0</v>
      </c>
      <c r="N13" s="189">
        <v>10.0</v>
      </c>
      <c r="O13" s="189">
        <v>0.0</v>
      </c>
      <c r="P13" s="189">
        <v>0.0</v>
      </c>
      <c r="Q13" s="189">
        <v>0.0</v>
      </c>
      <c r="R13" s="189">
        <v>0.0</v>
      </c>
      <c r="S13" s="189">
        <v>0.0</v>
      </c>
      <c r="T13" s="189">
        <v>0.0</v>
      </c>
      <c r="U13" s="189">
        <v>0.0</v>
      </c>
      <c r="V13" s="189">
        <v>0.0</v>
      </c>
      <c r="W13" s="189">
        <v>0.0</v>
      </c>
    </row>
    <row r="14">
      <c r="A14" s="189">
        <v>4.0</v>
      </c>
      <c r="B14" s="190">
        <v>250.0</v>
      </c>
      <c r="C14" s="221">
        <v>0.0</v>
      </c>
      <c r="D14" s="189">
        <v>0.0</v>
      </c>
      <c r="E14" s="189">
        <v>0.0</v>
      </c>
      <c r="F14" s="189">
        <v>0.0</v>
      </c>
      <c r="G14" s="189">
        <v>0.0</v>
      </c>
      <c r="H14" s="189">
        <v>0.0</v>
      </c>
      <c r="I14" s="189">
        <v>0.0</v>
      </c>
      <c r="J14" s="189">
        <v>0.0</v>
      </c>
      <c r="K14" s="189">
        <v>0.0</v>
      </c>
      <c r="L14" s="189">
        <v>30.0</v>
      </c>
      <c r="M14" s="189">
        <v>0.0</v>
      </c>
      <c r="N14" s="189">
        <v>0.0</v>
      </c>
      <c r="O14" s="189">
        <v>0.0</v>
      </c>
      <c r="P14" s="189">
        <v>0.0</v>
      </c>
      <c r="Q14" s="189">
        <v>0.0</v>
      </c>
      <c r="R14" s="189">
        <v>0.0</v>
      </c>
      <c r="S14" s="189">
        <v>0.0</v>
      </c>
      <c r="T14" s="189">
        <v>0.0</v>
      </c>
      <c r="U14" s="189">
        <v>0.0</v>
      </c>
      <c r="V14" s="189">
        <v>0.0</v>
      </c>
      <c r="W14" s="189">
        <v>0.0</v>
      </c>
    </row>
    <row r="15">
      <c r="A15" s="189">
        <v>5.0</v>
      </c>
      <c r="B15" s="190">
        <v>370.0</v>
      </c>
      <c r="C15" s="221">
        <v>25.0</v>
      </c>
      <c r="D15" s="189">
        <v>0.0</v>
      </c>
      <c r="E15" s="189">
        <v>0.0</v>
      </c>
      <c r="F15" s="189">
        <v>0.0</v>
      </c>
      <c r="G15" s="189">
        <v>0.0</v>
      </c>
      <c r="H15" s="189">
        <v>0.0</v>
      </c>
      <c r="I15" s="189">
        <v>0.0</v>
      </c>
      <c r="J15" s="189">
        <v>0.0</v>
      </c>
      <c r="K15" s="189">
        <v>0.0</v>
      </c>
      <c r="L15" s="189">
        <v>0.0</v>
      </c>
      <c r="M15" s="189">
        <v>0.0</v>
      </c>
      <c r="N15" s="189">
        <v>0.0</v>
      </c>
      <c r="O15" s="189">
        <v>0.0</v>
      </c>
      <c r="P15" s="189">
        <v>0.0</v>
      </c>
      <c r="Q15" s="189">
        <v>0.0</v>
      </c>
      <c r="R15" s="189">
        <v>0.0</v>
      </c>
      <c r="S15" s="189">
        <v>0.0</v>
      </c>
      <c r="T15" s="189">
        <v>0.0</v>
      </c>
      <c r="U15" s="189">
        <v>0.0</v>
      </c>
      <c r="V15" s="189">
        <v>0.0</v>
      </c>
      <c r="W15" s="189">
        <v>0.0</v>
      </c>
    </row>
    <row r="16">
      <c r="A16" s="189">
        <v>6.0</v>
      </c>
      <c r="B16" s="190">
        <v>520.0</v>
      </c>
      <c r="C16" s="221">
        <v>0.0</v>
      </c>
      <c r="D16" s="189">
        <v>0.0</v>
      </c>
      <c r="E16" s="189">
        <v>0.0</v>
      </c>
      <c r="F16" s="189">
        <v>1.0</v>
      </c>
      <c r="G16" s="189">
        <v>0.0</v>
      </c>
      <c r="H16" s="189">
        <v>0.0</v>
      </c>
      <c r="I16" s="189">
        <v>0.0</v>
      </c>
      <c r="J16" s="189">
        <v>0.0</v>
      </c>
      <c r="K16" s="189">
        <v>0.0</v>
      </c>
      <c r="L16" s="189">
        <v>0.0</v>
      </c>
      <c r="M16" s="189">
        <v>0.0</v>
      </c>
      <c r="N16" s="189">
        <v>0.0</v>
      </c>
      <c r="O16" s="189">
        <v>10.0</v>
      </c>
      <c r="P16" s="189">
        <v>0.0</v>
      </c>
      <c r="Q16" s="189">
        <v>0.0</v>
      </c>
      <c r="R16" s="189">
        <v>0.0</v>
      </c>
      <c r="S16" s="189">
        <v>0.0</v>
      </c>
      <c r="T16" s="189">
        <v>0.0</v>
      </c>
      <c r="U16" s="189">
        <v>0.0</v>
      </c>
      <c r="V16" s="189">
        <v>0.0</v>
      </c>
      <c r="W16" s="189">
        <v>0.0</v>
      </c>
    </row>
    <row r="17">
      <c r="A17" s="189">
        <v>7.0</v>
      </c>
      <c r="B17" s="190">
        <v>690.0</v>
      </c>
      <c r="C17" s="221">
        <v>0.0</v>
      </c>
      <c r="D17" s="189">
        <v>0.0</v>
      </c>
      <c r="E17" s="189">
        <v>0.0</v>
      </c>
      <c r="F17" s="189">
        <v>0.0</v>
      </c>
      <c r="G17" s="189">
        <v>0.0</v>
      </c>
      <c r="H17" s="189">
        <v>0.0</v>
      </c>
      <c r="I17" s="189">
        <v>0.0</v>
      </c>
      <c r="J17" s="189">
        <v>0.0</v>
      </c>
      <c r="K17" s="189">
        <v>0.0</v>
      </c>
      <c r="L17" s="189">
        <v>60.0</v>
      </c>
      <c r="M17" s="189">
        <v>0.0</v>
      </c>
      <c r="N17" s="189">
        <v>0.0</v>
      </c>
      <c r="O17" s="189">
        <v>0.0</v>
      </c>
      <c r="P17" s="189">
        <v>0.0</v>
      </c>
      <c r="Q17" s="189">
        <v>0.0</v>
      </c>
      <c r="R17" s="189">
        <v>0.0</v>
      </c>
      <c r="S17" s="189">
        <v>0.0</v>
      </c>
      <c r="T17" s="189">
        <v>0.0</v>
      </c>
      <c r="U17" s="189">
        <v>0.0</v>
      </c>
      <c r="V17" s="189">
        <v>0.0</v>
      </c>
      <c r="W17" s="189">
        <v>0.0</v>
      </c>
    </row>
    <row r="18">
      <c r="A18" s="189">
        <v>8.0</v>
      </c>
      <c r="B18" s="190">
        <v>890.0</v>
      </c>
      <c r="C18" s="221">
        <v>0.0</v>
      </c>
      <c r="D18" s="189">
        <v>0.0</v>
      </c>
      <c r="E18" s="189">
        <v>0.0</v>
      </c>
      <c r="F18" s="189">
        <v>0.0</v>
      </c>
      <c r="G18" s="189">
        <v>0.0</v>
      </c>
      <c r="H18" s="189">
        <v>0.0</v>
      </c>
      <c r="I18" s="189">
        <v>0.0</v>
      </c>
      <c r="J18" s="189">
        <v>0.0</v>
      </c>
      <c r="K18" s="189">
        <v>0.0</v>
      </c>
      <c r="L18" s="189">
        <v>0.0</v>
      </c>
      <c r="M18" s="189">
        <v>15.0</v>
      </c>
      <c r="N18" s="189">
        <v>0.0</v>
      </c>
      <c r="O18" s="189">
        <v>0.0</v>
      </c>
      <c r="P18" s="189">
        <v>0.0</v>
      </c>
      <c r="Q18" s="189">
        <v>0.0</v>
      </c>
      <c r="R18" s="189">
        <v>0.0</v>
      </c>
      <c r="S18" s="189">
        <v>0.0</v>
      </c>
      <c r="T18" s="189">
        <v>0.0</v>
      </c>
      <c r="U18" s="189">
        <v>0.0</v>
      </c>
      <c r="V18" s="189">
        <v>0.0</v>
      </c>
      <c r="W18" s="189">
        <v>0.0</v>
      </c>
    </row>
    <row r="19">
      <c r="A19" s="189">
        <v>9.0</v>
      </c>
      <c r="B19" s="190">
        <v>1110.0</v>
      </c>
      <c r="C19" s="221">
        <v>25.0</v>
      </c>
      <c r="D19" s="189">
        <v>0.0</v>
      </c>
      <c r="E19" s="189">
        <v>0.0</v>
      </c>
      <c r="F19" s="189">
        <v>0.0</v>
      </c>
      <c r="G19" s="189">
        <v>0.0</v>
      </c>
      <c r="H19" s="189">
        <v>0.0</v>
      </c>
      <c r="I19" s="189">
        <v>0.0</v>
      </c>
      <c r="J19" s="189">
        <v>0.0</v>
      </c>
      <c r="K19" s="189">
        <v>0.0</v>
      </c>
      <c r="L19" s="189">
        <v>0.0</v>
      </c>
      <c r="M19" s="189">
        <v>0.0</v>
      </c>
      <c r="N19" s="189">
        <v>0.0</v>
      </c>
      <c r="O19" s="189">
        <v>0.0</v>
      </c>
      <c r="P19" s="189">
        <v>0.0</v>
      </c>
      <c r="Q19" s="189">
        <v>0.0</v>
      </c>
      <c r="R19" s="189">
        <v>0.0</v>
      </c>
      <c r="S19" s="189">
        <v>0.0</v>
      </c>
      <c r="T19" s="189">
        <v>0.0</v>
      </c>
      <c r="U19" s="189">
        <v>0.0</v>
      </c>
      <c r="V19" s="189">
        <v>0.0</v>
      </c>
      <c r="W19" s="189">
        <v>0.0</v>
      </c>
    </row>
    <row r="20">
      <c r="A20" s="189">
        <v>10.0</v>
      </c>
      <c r="B20" s="190">
        <v>1360.0</v>
      </c>
      <c r="C20" s="221">
        <v>0.0</v>
      </c>
      <c r="D20" s="189">
        <v>0.0</v>
      </c>
      <c r="E20" s="189">
        <v>0.0</v>
      </c>
      <c r="F20" s="189">
        <v>0.0</v>
      </c>
      <c r="G20" s="189">
        <v>0.0</v>
      </c>
      <c r="H20" s="189">
        <v>0.0</v>
      </c>
      <c r="I20" s="189">
        <v>0.0</v>
      </c>
      <c r="J20" s="189">
        <v>0.0</v>
      </c>
      <c r="K20" s="189">
        <v>0.0</v>
      </c>
      <c r="L20" s="189">
        <v>0.0</v>
      </c>
      <c r="M20" s="189">
        <v>0.0</v>
      </c>
      <c r="N20" s="189">
        <v>15.0</v>
      </c>
      <c r="O20" s="189">
        <v>0.0</v>
      </c>
      <c r="P20" s="189">
        <v>0.0</v>
      </c>
      <c r="Q20" s="189">
        <v>0.0</v>
      </c>
      <c r="R20" s="189">
        <v>0.0</v>
      </c>
      <c r="S20" s="189">
        <v>0.0</v>
      </c>
      <c r="T20" s="189">
        <v>0.0</v>
      </c>
      <c r="U20" s="189">
        <v>0.0</v>
      </c>
      <c r="V20" s="189">
        <v>0.0</v>
      </c>
      <c r="W20" s="189">
        <v>0.0</v>
      </c>
    </row>
    <row r="21" ht="15.75" customHeight="1">
      <c r="A21" s="189">
        <v>11.0</v>
      </c>
      <c r="B21" s="190">
        <v>1630.0</v>
      </c>
      <c r="C21" s="221">
        <v>0.0</v>
      </c>
      <c r="D21" s="189">
        <v>0.0</v>
      </c>
      <c r="E21" s="189">
        <v>0.0</v>
      </c>
      <c r="F21" s="189">
        <v>0.0</v>
      </c>
      <c r="G21" s="189">
        <v>0.0</v>
      </c>
      <c r="H21" s="189">
        <v>0.0</v>
      </c>
      <c r="I21" s="189">
        <v>1.0</v>
      </c>
      <c r="J21" s="189">
        <v>0.0</v>
      </c>
      <c r="K21" s="189">
        <v>0.0</v>
      </c>
      <c r="L21" s="189">
        <v>0.0</v>
      </c>
      <c r="M21" s="189">
        <v>0.0</v>
      </c>
      <c r="N21" s="189">
        <v>0.0</v>
      </c>
      <c r="O21" s="189">
        <v>0.0</v>
      </c>
      <c r="P21" s="189">
        <v>0.0</v>
      </c>
      <c r="Q21" s="189">
        <v>0.0</v>
      </c>
      <c r="R21" s="189">
        <v>0.0</v>
      </c>
      <c r="S21" s="189">
        <v>0.0</v>
      </c>
      <c r="T21" s="189">
        <v>0.0</v>
      </c>
      <c r="U21" s="189">
        <v>0.0</v>
      </c>
      <c r="V21" s="189">
        <v>0.0</v>
      </c>
      <c r="W21" s="189">
        <v>0.0</v>
      </c>
    </row>
    <row r="22" ht="15.75" customHeight="1">
      <c r="A22" s="189">
        <v>12.0</v>
      </c>
      <c r="B22" s="190">
        <v>1930.0</v>
      </c>
      <c r="C22" s="221">
        <v>0.0</v>
      </c>
      <c r="D22" s="189">
        <v>0.0</v>
      </c>
      <c r="E22" s="189">
        <v>0.0</v>
      </c>
      <c r="F22" s="189">
        <v>0.0</v>
      </c>
      <c r="G22" s="189">
        <v>0.0</v>
      </c>
      <c r="H22" s="189">
        <v>0.0</v>
      </c>
      <c r="I22" s="189">
        <v>0.0</v>
      </c>
      <c r="J22" s="189">
        <v>0.0</v>
      </c>
      <c r="K22" s="189">
        <v>0.0</v>
      </c>
      <c r="L22" s="189">
        <v>60.0</v>
      </c>
      <c r="M22" s="189">
        <v>0.0</v>
      </c>
      <c r="N22" s="189">
        <v>0.0</v>
      </c>
      <c r="O22" s="189">
        <v>15.0</v>
      </c>
      <c r="P22" s="189">
        <v>0.0</v>
      </c>
      <c r="Q22" s="189">
        <v>0.0</v>
      </c>
      <c r="R22" s="189">
        <v>0.0</v>
      </c>
      <c r="S22" s="189">
        <v>0.0</v>
      </c>
      <c r="T22" s="189">
        <v>0.0</v>
      </c>
      <c r="U22" s="189">
        <v>0.0</v>
      </c>
      <c r="V22" s="189">
        <v>0.0</v>
      </c>
      <c r="W22" s="189">
        <v>0.0</v>
      </c>
    </row>
    <row r="23" ht="15.75" customHeight="1"/>
    <row r="24" ht="15.75" customHeight="1"/>
    <row r="25" ht="15.75" customHeight="1">
      <c r="P25" s="1">
        <v>1.0</v>
      </c>
    </row>
    <row r="26" ht="15.75" customHeight="1"/>
  </sheetData>
  <conditionalFormatting sqref="C11:W22">
    <cfRule type="cellIs" dxfId="4" priority="1" operator="greaterThan">
      <formula>0</formula>
    </cfRule>
  </conditionalFormatting>
  <conditionalFormatting sqref="A1:B26">
    <cfRule type="expression" dxfId="3" priority="2">
      <formula>ISFORMULA(A1)</formula>
    </cfRule>
  </conditionalFormatting>
  <conditionalFormatting sqref="A11:W22">
    <cfRule type="expression" dxfId="5" priority="3">
      <formula>ISEVEN(ROW()-11+1)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6" width="8.63"/>
  </cols>
  <sheetData>
    <row r="1" ht="21.75" customHeight="1">
      <c r="A1" s="148" t="s">
        <v>9</v>
      </c>
    </row>
    <row r="2" ht="19.5" customHeight="1">
      <c r="A2" s="149" t="s">
        <v>106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</row>
    <row r="3">
      <c r="A3" s="151" t="s">
        <v>169</v>
      </c>
      <c r="B3" s="154">
        <v>4.0</v>
      </c>
    </row>
    <row r="4">
      <c r="A4" s="151" t="s">
        <v>170</v>
      </c>
      <c r="B4" s="152">
        <v>1.0</v>
      </c>
    </row>
    <row r="5">
      <c r="A5" s="151" t="s">
        <v>171</v>
      </c>
      <c r="B5" s="225">
        <v>17.0</v>
      </c>
    </row>
    <row r="6">
      <c r="A6" s="151" t="s">
        <v>186</v>
      </c>
      <c r="B6" s="152">
        <v>1.0</v>
      </c>
    </row>
    <row r="7">
      <c r="A7" s="151" t="s">
        <v>190</v>
      </c>
      <c r="B7" s="152">
        <v>2.0</v>
      </c>
    </row>
    <row r="8">
      <c r="A8" s="151" t="s">
        <v>193</v>
      </c>
      <c r="B8" s="152">
        <v>3.0</v>
      </c>
    </row>
    <row r="10" ht="19.5" customHeight="1">
      <c r="A10" s="149" t="s">
        <v>133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</row>
    <row r="11" ht="90.0" customHeight="1">
      <c r="A11" s="163" t="s">
        <v>195</v>
      </c>
      <c r="B11" s="164" t="s">
        <v>76</v>
      </c>
      <c r="C11" s="165" t="s">
        <v>46</v>
      </c>
      <c r="D11" s="165" t="s">
        <v>121</v>
      </c>
      <c r="E11" s="165" t="s">
        <v>47</v>
      </c>
      <c r="F11" s="165" t="s">
        <v>48</v>
      </c>
      <c r="G11" s="165" t="s">
        <v>50</v>
      </c>
      <c r="H11" s="165" t="s">
        <v>52</v>
      </c>
      <c r="I11" s="165" t="s">
        <v>53</v>
      </c>
      <c r="J11" s="165" t="s">
        <v>54</v>
      </c>
      <c r="K11" s="165" t="s">
        <v>55</v>
      </c>
      <c r="L11" s="165" t="s">
        <v>56</v>
      </c>
      <c r="M11" s="165" t="s">
        <v>57</v>
      </c>
      <c r="N11" s="165" t="s">
        <v>58</v>
      </c>
      <c r="O11" s="165" t="s">
        <v>135</v>
      </c>
      <c r="P11" s="165" t="s">
        <v>122</v>
      </c>
      <c r="Q11" s="165" t="s">
        <v>123</v>
      </c>
      <c r="R11" s="165" t="s">
        <v>124</v>
      </c>
      <c r="S11" s="165" t="s">
        <v>125</v>
      </c>
      <c r="T11" s="165" t="s">
        <v>126</v>
      </c>
      <c r="U11" s="165" t="s">
        <v>127</v>
      </c>
      <c r="V11" s="165" t="s">
        <v>128</v>
      </c>
    </row>
    <row r="12">
      <c r="A12" s="228" t="s">
        <v>196</v>
      </c>
      <c r="B12" s="219">
        <v>0.0</v>
      </c>
      <c r="C12" s="167">
        <v>0.0</v>
      </c>
      <c r="D12" s="167">
        <v>0.0</v>
      </c>
      <c r="E12" s="167">
        <v>1.0</v>
      </c>
      <c r="F12" s="167">
        <v>0.0</v>
      </c>
      <c r="G12" s="167">
        <v>0.0</v>
      </c>
      <c r="H12" s="167">
        <v>0.0</v>
      </c>
      <c r="I12" s="167">
        <v>0.0</v>
      </c>
      <c r="J12" s="167">
        <v>0.0</v>
      </c>
      <c r="K12" s="167">
        <v>60.0</v>
      </c>
      <c r="L12" s="167">
        <v>0.0</v>
      </c>
      <c r="M12" s="167">
        <v>0.0</v>
      </c>
      <c r="N12" s="167">
        <v>0.0</v>
      </c>
      <c r="O12" s="229">
        <v>5.0</v>
      </c>
      <c r="P12" s="229">
        <v>0.0</v>
      </c>
      <c r="Q12" s="167">
        <v>0.0</v>
      </c>
      <c r="R12" s="167">
        <v>0.0</v>
      </c>
      <c r="S12" s="167">
        <v>0.0</v>
      </c>
      <c r="T12" s="167">
        <v>0.0</v>
      </c>
      <c r="U12" s="167">
        <v>0.0</v>
      </c>
      <c r="V12" s="167">
        <v>0.0</v>
      </c>
    </row>
    <row r="13">
      <c r="A13" s="228" t="s">
        <v>197</v>
      </c>
      <c r="B13" s="219">
        <v>10.0</v>
      </c>
      <c r="C13" s="167">
        <v>0.0</v>
      </c>
      <c r="D13" s="167">
        <v>0.0</v>
      </c>
      <c r="E13" s="167">
        <v>0.0</v>
      </c>
      <c r="F13" s="167">
        <v>1.0</v>
      </c>
      <c r="G13" s="167">
        <v>0.0</v>
      </c>
      <c r="H13" s="167">
        <v>0.0</v>
      </c>
      <c r="I13" s="167">
        <v>0.0</v>
      </c>
      <c r="J13" s="167">
        <v>0.0</v>
      </c>
      <c r="K13" s="167">
        <v>0.0</v>
      </c>
      <c r="L13" s="167">
        <v>0.0</v>
      </c>
      <c r="M13" s="167">
        <v>0.0</v>
      </c>
      <c r="N13" s="167">
        <v>0.0</v>
      </c>
      <c r="O13" s="229">
        <v>10.0</v>
      </c>
      <c r="P13" s="167">
        <v>0.0</v>
      </c>
      <c r="Q13" s="167">
        <v>0.0</v>
      </c>
      <c r="R13" s="167">
        <v>0.0</v>
      </c>
      <c r="S13" s="167">
        <v>0.0</v>
      </c>
      <c r="T13" s="167">
        <v>0.0</v>
      </c>
      <c r="U13" s="167">
        <v>0.0</v>
      </c>
      <c r="V13" s="167">
        <v>0.0</v>
      </c>
    </row>
    <row r="14">
      <c r="A14" s="228" t="s">
        <v>198</v>
      </c>
      <c r="B14" s="219">
        <v>0.0</v>
      </c>
      <c r="C14" s="167">
        <v>0.0</v>
      </c>
      <c r="D14" s="167">
        <v>0.0</v>
      </c>
      <c r="E14" s="167">
        <v>0.0</v>
      </c>
      <c r="F14" s="167">
        <v>0.0</v>
      </c>
      <c r="G14" s="167">
        <v>1.0</v>
      </c>
      <c r="H14" s="167">
        <v>0.0</v>
      </c>
      <c r="I14" s="167">
        <v>0.0</v>
      </c>
      <c r="J14" s="167">
        <v>1.0</v>
      </c>
      <c r="K14" s="167">
        <v>30.0</v>
      </c>
      <c r="L14" s="167">
        <v>0.0</v>
      </c>
      <c r="M14" s="167">
        <v>0.0</v>
      </c>
      <c r="N14" s="167">
        <v>0.0</v>
      </c>
      <c r="O14" s="229">
        <v>20.0</v>
      </c>
      <c r="P14" s="167">
        <v>0.0</v>
      </c>
      <c r="Q14" s="167">
        <v>0.0</v>
      </c>
      <c r="R14" s="167">
        <v>0.0</v>
      </c>
      <c r="S14" s="167">
        <v>0.0</v>
      </c>
      <c r="T14" s="167">
        <v>0.0</v>
      </c>
      <c r="U14" s="167">
        <v>0.0</v>
      </c>
      <c r="V14" s="167">
        <v>0.0</v>
      </c>
    </row>
    <row r="15">
      <c r="A15" s="228" t="s">
        <v>199</v>
      </c>
      <c r="B15" s="219">
        <v>15.0</v>
      </c>
      <c r="C15" s="167">
        <v>0.0</v>
      </c>
      <c r="D15" s="167">
        <v>0.0</v>
      </c>
      <c r="E15" s="167">
        <v>0.0</v>
      </c>
      <c r="F15" s="167">
        <v>0.0</v>
      </c>
      <c r="G15" s="167">
        <v>0.0</v>
      </c>
      <c r="H15" s="167">
        <v>0.0</v>
      </c>
      <c r="I15" s="167">
        <v>1.0</v>
      </c>
      <c r="J15" s="167">
        <v>0.0</v>
      </c>
      <c r="K15" s="167">
        <v>0.0</v>
      </c>
      <c r="L15" s="167">
        <v>10.0</v>
      </c>
      <c r="M15" s="167">
        <v>0.0</v>
      </c>
      <c r="N15" s="167">
        <v>0.0</v>
      </c>
      <c r="O15" s="229">
        <v>50.0</v>
      </c>
      <c r="P15" s="167">
        <v>0.0</v>
      </c>
      <c r="Q15" s="167">
        <v>0.0</v>
      </c>
      <c r="R15" s="167">
        <v>0.0</v>
      </c>
      <c r="S15" s="167">
        <v>0.0</v>
      </c>
      <c r="T15" s="167">
        <v>0.0</v>
      </c>
      <c r="U15" s="167">
        <v>0.0</v>
      </c>
      <c r="V15" s="167">
        <v>0.0</v>
      </c>
    </row>
    <row r="16">
      <c r="A16" s="228" t="s">
        <v>200</v>
      </c>
      <c r="B16" s="230">
        <v>40.0</v>
      </c>
      <c r="C16" s="167">
        <v>0.0</v>
      </c>
      <c r="D16" s="167">
        <v>0.0</v>
      </c>
      <c r="E16" s="167">
        <v>0.0</v>
      </c>
      <c r="F16" s="167">
        <v>0.0</v>
      </c>
      <c r="G16" s="167">
        <v>0.0</v>
      </c>
      <c r="H16" s="167">
        <v>1.0</v>
      </c>
      <c r="I16" s="167">
        <v>0.0</v>
      </c>
      <c r="J16" s="167">
        <v>0.0</v>
      </c>
      <c r="K16" s="167">
        <v>0.0</v>
      </c>
      <c r="L16" s="167">
        <v>0.0</v>
      </c>
      <c r="M16" s="167">
        <v>10.0</v>
      </c>
      <c r="N16" s="167">
        <v>0.0</v>
      </c>
      <c r="O16" s="229">
        <v>70.0</v>
      </c>
      <c r="P16" s="167">
        <v>0.0</v>
      </c>
      <c r="Q16" s="167">
        <v>0.0</v>
      </c>
      <c r="R16" s="167">
        <v>0.0</v>
      </c>
      <c r="S16" s="167">
        <v>0.0</v>
      </c>
      <c r="T16" s="167">
        <v>0.0</v>
      </c>
      <c r="U16" s="167">
        <v>0.0</v>
      </c>
      <c r="V16" s="167">
        <v>0.0</v>
      </c>
    </row>
  </sheetData>
  <conditionalFormatting sqref="B12:V16">
    <cfRule type="cellIs" dxfId="4" priority="1" operator="greaterThan">
      <formula>0</formula>
    </cfRule>
  </conditionalFormatting>
  <conditionalFormatting sqref="A12:V16">
    <cfRule type="expression" dxfId="5" priority="2">
      <formula>ISEVEN(ROW()-12+1)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9.63"/>
    <col customWidth="1" min="35" max="35" width="5.88"/>
    <col customWidth="1" min="36" max="36" width="15.13"/>
    <col customWidth="1" min="37" max="37" width="5.88"/>
    <col customWidth="1" min="38" max="38" width="15.13"/>
    <col customWidth="1" min="39" max="39" width="5.88"/>
    <col customWidth="1" min="40" max="40" width="15.13"/>
    <col customWidth="1" min="41" max="41" width="5.88"/>
    <col customWidth="1" min="42" max="42" width="15.13"/>
    <col customWidth="1" min="43" max="43" width="5.88"/>
    <col customWidth="1" min="44" max="44" width="15.13"/>
    <col customWidth="1" min="45" max="45" width="7.63"/>
    <col customWidth="1" min="46" max="46" width="5.25"/>
    <col customWidth="1" min="47" max="47" width="7.0"/>
    <col customWidth="1" min="48" max="48" width="11.38"/>
  </cols>
  <sheetData>
    <row r="1" ht="21.75" customHeight="1">
      <c r="A1" s="171" t="s">
        <v>9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AH1" s="222" t="s">
        <v>176</v>
      </c>
    </row>
    <row r="2" ht="19.5" customHeight="1">
      <c r="A2" s="174" t="s">
        <v>106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AH2" s="223" t="s">
        <v>177</v>
      </c>
      <c r="AI2" s="224" t="s">
        <v>201</v>
      </c>
      <c r="AT2" s="223" t="s">
        <v>202</v>
      </c>
      <c r="AU2" s="231">
        <v>0.8</v>
      </c>
    </row>
    <row r="3">
      <c r="A3" s="176" t="s">
        <v>169</v>
      </c>
      <c r="B3" s="225">
        <v>4.0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AH3" s="223" t="s">
        <v>179</v>
      </c>
      <c r="AI3" s="232" t="s">
        <v>180</v>
      </c>
    </row>
    <row r="4">
      <c r="A4" s="176" t="s">
        <v>170</v>
      </c>
      <c r="B4" s="177">
        <v>1.0</v>
      </c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AT4" s="233" t="s">
        <v>203</v>
      </c>
      <c r="AU4" s="233" t="s">
        <v>204</v>
      </c>
      <c r="AV4" s="233" t="s">
        <v>205</v>
      </c>
    </row>
    <row r="5">
      <c r="A5" s="176" t="s">
        <v>171</v>
      </c>
      <c r="B5" s="225">
        <v>17.0</v>
      </c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AH5" s="226" t="s">
        <v>181</v>
      </c>
      <c r="AI5" s="226" t="s">
        <v>182</v>
      </c>
      <c r="AJ5" s="226" t="s">
        <v>183</v>
      </c>
      <c r="AK5" s="226" t="s">
        <v>184</v>
      </c>
      <c r="AL5" s="226" t="s">
        <v>185</v>
      </c>
      <c r="AM5" s="226" t="s">
        <v>187</v>
      </c>
      <c r="AN5" s="226" t="s">
        <v>188</v>
      </c>
      <c r="AO5" s="226" t="s">
        <v>189</v>
      </c>
      <c r="AP5" s="226" t="s">
        <v>191</v>
      </c>
      <c r="AQ5" s="226" t="s">
        <v>192</v>
      </c>
      <c r="AR5" s="226" t="s">
        <v>194</v>
      </c>
      <c r="AT5" s="234">
        <v>1.0</v>
      </c>
      <c r="AU5" s="235">
        <v>16.0</v>
      </c>
      <c r="AV5" s="236">
        <f t="shared" ref="AV5:AV9" si="1">SUM($AU$5:$AU5)/$AU$2</f>
        <v>20</v>
      </c>
    </row>
    <row r="6">
      <c r="A6" s="176" t="s">
        <v>186</v>
      </c>
      <c r="B6" s="177">
        <v>1.0</v>
      </c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AH6" s="227">
        <f>IF(1&lt;=$B$3,1,"")</f>
        <v>1</v>
      </c>
      <c r="AI6" s="237">
        <f t="array" ref="AI6">IF($AH6="","",LET(bal,SUMIFS(data_event_inst!$N:$N,data_event_inst!$A:$A,"Hatchling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Hideaway",data_event_accrual!$B:$B,$AI$3,data_event_accrual!$C:$C,"0-9",data_event_accrual!$E:$E,$AH6),AVERAGEIFS(data_event_accrual!$K:$K,data_event_accrual!$A:$A,"Hatchling Hideaway",data_event_accrual!$B:$B,$AI$3,data_event_accrual!$C:$C,"0-9",data_event_accrual!$E:$E,$AH6),AVERAGEIFS(data_event_accrual!$J:$J,data_event_accrual!$A:$A,"Hatchling Hideaway",data_event_accrual!$B:$B,$AI$3,data_event_accrual!$C:$C,"0-9",data_event_accrual!$E:$E,$AH6),AVERAGEIFS(data_event_accrual!$L:$L,data_event_accrual!$A:$A,"Hatchling Hideaway",data_event_accrual!$B:$B,$AI$3,data_event_accrual!$C:$C,"0-9",data_event_accrual!$E:$E,$AH6)),1)),COUNTIF($AV$5:$AV$9,"&lt;="&amp;bal*shr)))</f>
        <v>0</v>
      </c>
      <c r="AJ6" s="238" t="str">
        <f t="array" ref="AJ6">IF($AH6="","",IF(AI6=0,"{}",LET(m,AI6,s,MMULT(SEQUENCE(1,m,1,0),$B$12:$V$16),"{"&amp;TEXTJOIN(", ",TRUE,IF(s&gt;0,$B$11:$V$11&amp;": "&amp;ROUND(s,2),""))&amp;"}")))</f>
        <v>{}</v>
      </c>
      <c r="AK6" s="237">
        <f t="array" ref="AK6">IF($AH6="","",LET(bal,SUMIFS(data_event_inst!$N:$N,data_event_inst!$A:$A,"Hatchling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Hideaway",data_event_accrual!$B:$B,$AI$3,data_event_accrual!$C:$C,"10-19",data_event_accrual!$E:$E,$AH6),AVERAGEIFS(data_event_accrual!$K:$K,data_event_accrual!$A:$A,"Hatchling Hideaway",data_event_accrual!$B:$B,$AI$3,data_event_accrual!$C:$C,"10-19",data_event_accrual!$E:$E,$AH6),AVERAGEIFS(data_event_accrual!$J:$J,data_event_accrual!$A:$A,"Hatchling Hideaway",data_event_accrual!$B:$B,$AI$3,data_event_accrual!$C:$C,"10-19",data_event_accrual!$E:$E,$AH6),AVERAGEIFS(data_event_accrual!$L:$L,data_event_accrual!$A:$A,"Hatchling Hideaway",data_event_accrual!$B:$B,$AI$3,data_event_accrual!$C:$C,"10-19",data_event_accrual!$E:$E,$AH6)),1)),COUNTIF($AV$5:$AV$9,"&lt;="&amp;bal*shr)))</f>
        <v>0</v>
      </c>
      <c r="AL6" s="238" t="str">
        <f t="array" ref="AL6">IF($AH6="","",IF(AK6=0,"{}",LET(m,AK6,s,MMULT(SEQUENCE(1,m,1,0),$B$12:$V$16),"{"&amp;TEXTJOIN(", ",TRUE,IF(s&gt;0,$B$11:$V$11&amp;": "&amp;ROUND(s,2),""))&amp;"}")))</f>
        <v>{}</v>
      </c>
      <c r="AM6" s="237">
        <f t="array" ref="AM6">IF($AH6="","",LET(bal,SUMIFS(data_event_inst!$N:$N,data_event_inst!$A:$A,"Hatchling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Hideaway",data_event_accrual!$B:$B,$AI$3,data_event_accrual!$C:$C,"20-39",data_event_accrual!$E:$E,$AH6),AVERAGEIFS(data_event_accrual!$K:$K,data_event_accrual!$A:$A,"Hatchling Hideaway",data_event_accrual!$B:$B,$AI$3,data_event_accrual!$C:$C,"20-39",data_event_accrual!$E:$E,$AH6),AVERAGEIFS(data_event_accrual!$J:$J,data_event_accrual!$A:$A,"Hatchling Hideaway",data_event_accrual!$B:$B,$AI$3,data_event_accrual!$C:$C,"20-39",data_event_accrual!$E:$E,$AH6),AVERAGEIFS(data_event_accrual!$L:$L,data_event_accrual!$A:$A,"Hatchling Hideaway",data_event_accrual!$B:$B,$AI$3,data_event_accrual!$C:$C,"20-39",data_event_accrual!$E:$E,$AH6)),1)),COUNTIF($AV$5:$AV$9,"&lt;="&amp;bal*shr)))</f>
        <v>1</v>
      </c>
      <c r="AN6" s="238" t="str">
        <f t="array" ref="AN6">IF($AH6="","",IF(AM6=0,"{}",LET(m,AM6,s,MMULT(SEQUENCE(1,m,1,0),$B$12:$V$16),"{"&amp;TEXTJOIN(", ",TRUE,IF(s&gt;0,$B$11:$V$11&amp;": "&amp;ROUND(s,2),""))&amp;"}")))</f>
        <v>{Red: 1, Unlimited Lives: 60, COOP Token: 5}</v>
      </c>
      <c r="AO6" s="237">
        <f t="array" ref="AO6">IF($AH6="","",LET(bal,SUMIFS(data_event_inst!$N:$N,data_event_inst!$A:$A,"Hatchling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Hideaway",data_event_accrual!$B:$B,$AI$3,data_event_accrual!$C:$C,"40-99",data_event_accrual!$E:$E,$AH6),AVERAGEIFS(data_event_accrual!$K:$K,data_event_accrual!$A:$A,"Hatchling Hideaway",data_event_accrual!$B:$B,$AI$3,data_event_accrual!$C:$C,"40-99",data_event_accrual!$E:$E,$AH6),AVERAGEIFS(data_event_accrual!$J:$J,data_event_accrual!$A:$A,"Hatchling Hideaway",data_event_accrual!$B:$B,$AI$3,data_event_accrual!$C:$C,"40-99",data_event_accrual!$E:$E,$AH6),AVERAGEIFS(data_event_accrual!$L:$L,data_event_accrual!$A:$A,"Hatchling Hideaway",data_event_accrual!$B:$B,$AI$3,data_event_accrual!$C:$C,"40-99",data_event_accrual!$E:$E,$AH6)),1)),COUNTIF($AV$5:$AV$9,"&lt;="&amp;bal*shr)))</f>
        <v>1</v>
      </c>
      <c r="AP6" s="238" t="str">
        <f t="array" ref="AP6">IF($AH6="","",IF(AO6=0,"{}",LET(m,AO6,s,MMULT(SEQUENCE(1,m,1,0),$B$12:$V$16),"{"&amp;TEXTJOIN(", ",TRUE,IF(s&gt;0,$B$11:$V$11&amp;": "&amp;ROUND(s,2),""))&amp;"}")))</f>
        <v>{Red: 1, Unlimited Lives: 60, COOP Token: 5}</v>
      </c>
      <c r="AQ6" s="237">
        <f t="array" ref="AQ6">IF($AH6="","",LET(bal,SUMIFS(data_event_inst!$N:$N,data_event_inst!$A:$A,"Hatchling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Hideaway",data_event_accrual!$B:$B,$AI$3,data_event_accrual!$C:$C,"100+",data_event_accrual!$E:$E,$AH6),AVERAGEIFS(data_event_accrual!$K:$K,data_event_accrual!$A:$A,"Hatchling Hideaway",data_event_accrual!$B:$B,$AI$3,data_event_accrual!$C:$C,"100+",data_event_accrual!$E:$E,$AH6),AVERAGEIFS(data_event_accrual!$J:$J,data_event_accrual!$A:$A,"Hatchling Hideaway",data_event_accrual!$B:$B,$AI$3,data_event_accrual!$C:$C,"100+",data_event_accrual!$E:$E,$AH6),AVERAGEIFS(data_event_accrual!$L:$L,data_event_accrual!$A:$A,"Hatchling Hideaway",data_event_accrual!$B:$B,$AI$3,data_event_accrual!$C:$C,"100+",data_event_accrual!$E:$E,$AH6)),1)),COUNTIF($AV$5:$AV$9,"&lt;="&amp;bal*shr)))</f>
        <v>2</v>
      </c>
      <c r="AR6" s="238" t="str">
        <f t="array" ref="AR6">IF($AH6="","",IF(AQ6=0,"{}",LET(m,AQ6,s,MMULT(SEQUENCE(1,m,1,0),$B$12:$V$16),"{"&amp;TEXTJOIN(", ",TRUE,IF(s&gt;0,$B$11:$V$11&amp;": "&amp;ROUND(s,2),""))&amp;"}")))</f>
        <v>{Coins: 10, Red: 1, Chuck: 1, Unlimited Lives: 60, COOP Token: 15}</v>
      </c>
      <c r="AT6" s="234">
        <v>2.0</v>
      </c>
      <c r="AU6" s="235">
        <v>25.0</v>
      </c>
      <c r="AV6" s="236">
        <f t="shared" si="1"/>
        <v>51.25</v>
      </c>
    </row>
    <row r="7">
      <c r="A7" s="176" t="s">
        <v>190</v>
      </c>
      <c r="B7" s="177">
        <v>2.0</v>
      </c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AH7" s="227">
        <f>IF(2&lt;=$B$3,2,"")</f>
        <v>2</v>
      </c>
      <c r="AI7" s="237">
        <f t="array" ref="AI7">IF($AH7="","",LET(bal,SUMIFS(data_event_inst!$N:$N,data_event_inst!$A:$A,"Hatchling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Hideaway",data_event_accrual!$B:$B,$AI$3,data_event_accrual!$C:$C,"0-9",data_event_accrual!$E:$E,$AH7),AVERAGEIFS(data_event_accrual!$K:$K,data_event_accrual!$A:$A,"Hatchling Hideaway",data_event_accrual!$B:$B,$AI$3,data_event_accrual!$C:$C,"0-9",data_event_accrual!$E:$E,$AH7),AVERAGEIFS(data_event_accrual!$J:$J,data_event_accrual!$A:$A,"Hatchling Hideaway",data_event_accrual!$B:$B,$AI$3,data_event_accrual!$C:$C,"0-9",data_event_accrual!$E:$E,$AH7),AVERAGEIFS(data_event_accrual!$L:$L,data_event_accrual!$A:$A,"Hatchling Hideaway",data_event_accrual!$B:$B,$AI$3,data_event_accrual!$C:$C,"0-9",data_event_accrual!$E:$E,$AH7)),1)),COUNTIF($AV$5:$AV$9,"&lt;="&amp;bal*shr)))</f>
        <v>0</v>
      </c>
      <c r="AJ7" s="238" t="str">
        <f t="array" ref="AJ7">IF($AH7="","",IF(AI7=0,"{}",LET(m,AI7,s,MMULT(SEQUENCE(1,m,1,0),$B$12:$V$16),"{"&amp;TEXTJOIN(", ",TRUE,IF(s&gt;0,$B$11:$V$11&amp;": "&amp;ROUND(s,2),""))&amp;"}")))</f>
        <v>{}</v>
      </c>
      <c r="AK7" s="237">
        <f t="array" ref="AK7">IF($AH7="","",LET(bal,SUMIFS(data_event_inst!$N:$N,data_event_inst!$A:$A,"Hatchling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Hideaway",data_event_accrual!$B:$B,$AI$3,data_event_accrual!$C:$C,"10-19",data_event_accrual!$E:$E,$AH7),AVERAGEIFS(data_event_accrual!$K:$K,data_event_accrual!$A:$A,"Hatchling Hideaway",data_event_accrual!$B:$B,$AI$3,data_event_accrual!$C:$C,"10-19",data_event_accrual!$E:$E,$AH7),AVERAGEIFS(data_event_accrual!$J:$J,data_event_accrual!$A:$A,"Hatchling Hideaway",data_event_accrual!$B:$B,$AI$3,data_event_accrual!$C:$C,"10-19",data_event_accrual!$E:$E,$AH7),AVERAGEIFS(data_event_accrual!$L:$L,data_event_accrual!$A:$A,"Hatchling Hideaway",data_event_accrual!$B:$B,$AI$3,data_event_accrual!$C:$C,"10-19",data_event_accrual!$E:$E,$AH7)),1)),COUNTIF($AV$5:$AV$9,"&lt;="&amp;bal*shr)))</f>
        <v>1</v>
      </c>
      <c r="AL7" s="238" t="str">
        <f t="array" ref="AL7">IF($AH7="","",IF(AK7=0,"{}",LET(m,AK7,s,MMULT(SEQUENCE(1,m,1,0),$B$12:$V$16),"{"&amp;TEXTJOIN(", ",TRUE,IF(s&gt;0,$B$11:$V$11&amp;": "&amp;ROUND(s,2),""))&amp;"}")))</f>
        <v>{Red: 1, Unlimited Lives: 60, COOP Token: 5}</v>
      </c>
      <c r="AM7" s="237">
        <f t="array" ref="AM7">IF($AH7="","",LET(bal,SUMIFS(data_event_inst!$N:$N,data_event_inst!$A:$A,"Hatchling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Hideaway",data_event_accrual!$B:$B,$AI$3,data_event_accrual!$C:$C,"20-39",data_event_accrual!$E:$E,$AH7),AVERAGEIFS(data_event_accrual!$K:$K,data_event_accrual!$A:$A,"Hatchling Hideaway",data_event_accrual!$B:$B,$AI$3,data_event_accrual!$C:$C,"20-39",data_event_accrual!$E:$E,$AH7),AVERAGEIFS(data_event_accrual!$J:$J,data_event_accrual!$A:$A,"Hatchling Hideaway",data_event_accrual!$B:$B,$AI$3,data_event_accrual!$C:$C,"20-39",data_event_accrual!$E:$E,$AH7),AVERAGEIFS(data_event_accrual!$L:$L,data_event_accrual!$A:$A,"Hatchling Hideaway",data_event_accrual!$B:$B,$AI$3,data_event_accrual!$C:$C,"20-39",data_event_accrual!$E:$E,$AH7)),1)),COUNTIF($AV$5:$AV$9,"&lt;="&amp;bal*shr)))</f>
        <v>1</v>
      </c>
      <c r="AN7" s="238" t="str">
        <f t="array" ref="AN7">IF($AH7="","",IF(AM7=0,"{}",LET(m,AM7,s,MMULT(SEQUENCE(1,m,1,0),$B$12:$V$16),"{"&amp;TEXTJOIN(", ",TRUE,IF(s&gt;0,$B$11:$V$11&amp;": "&amp;ROUND(s,2),""))&amp;"}")))</f>
        <v>{Red: 1, Unlimited Lives: 60, COOP Token: 5}</v>
      </c>
      <c r="AO7" s="237">
        <f t="array" ref="AO7">IF($AH7="","",LET(bal,SUMIFS(data_event_inst!$N:$N,data_event_inst!$A:$A,"Hatchling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Hideaway",data_event_accrual!$B:$B,$AI$3,data_event_accrual!$C:$C,"40-99",data_event_accrual!$E:$E,$AH7),AVERAGEIFS(data_event_accrual!$K:$K,data_event_accrual!$A:$A,"Hatchling Hideaway",data_event_accrual!$B:$B,$AI$3,data_event_accrual!$C:$C,"40-99",data_event_accrual!$E:$E,$AH7),AVERAGEIFS(data_event_accrual!$J:$J,data_event_accrual!$A:$A,"Hatchling Hideaway",data_event_accrual!$B:$B,$AI$3,data_event_accrual!$C:$C,"40-99",data_event_accrual!$E:$E,$AH7),AVERAGEIFS(data_event_accrual!$L:$L,data_event_accrual!$A:$A,"Hatchling Hideaway",data_event_accrual!$B:$B,$AI$3,data_event_accrual!$C:$C,"40-99",data_event_accrual!$E:$E,$AH7)),1)),COUNTIF($AV$5:$AV$9,"&lt;="&amp;bal*shr)))</f>
        <v>2</v>
      </c>
      <c r="AP7" s="238" t="str">
        <f t="array" ref="AP7">IF($AH7="","",IF(AO7=0,"{}",LET(m,AO7,s,MMULT(SEQUENCE(1,m,1,0),$B$12:$V$16),"{"&amp;TEXTJOIN(", ",TRUE,IF(s&gt;0,$B$11:$V$11&amp;": "&amp;ROUND(s,2),""))&amp;"}")))</f>
        <v>{Coins: 10, Red: 1, Chuck: 1, Unlimited Lives: 60, COOP Token: 15}</v>
      </c>
      <c r="AQ7" s="237">
        <f t="array" ref="AQ7">IF($AH7="","",LET(bal,SUMIFS(data_event_inst!$N:$N,data_event_inst!$A:$A,"Hatchling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Hideaway",data_event_accrual!$B:$B,$AI$3,data_event_accrual!$C:$C,"100+",data_event_accrual!$E:$E,$AH7),AVERAGEIFS(data_event_accrual!$K:$K,data_event_accrual!$A:$A,"Hatchling Hideaway",data_event_accrual!$B:$B,$AI$3,data_event_accrual!$C:$C,"100+",data_event_accrual!$E:$E,$AH7),AVERAGEIFS(data_event_accrual!$J:$J,data_event_accrual!$A:$A,"Hatchling Hideaway",data_event_accrual!$B:$B,$AI$3,data_event_accrual!$C:$C,"100+",data_event_accrual!$E:$E,$AH7),AVERAGEIFS(data_event_accrual!$L:$L,data_event_accrual!$A:$A,"Hatchling Hideaway",data_event_accrual!$B:$B,$AI$3,data_event_accrual!$C:$C,"100+",data_event_accrual!$E:$E,$AH7)),1)),COUNTIF($AV$5:$AV$9,"&lt;="&amp;bal*shr)))</f>
        <v>3</v>
      </c>
      <c r="AR7" s="238" t="str">
        <f t="array" ref="AR7">IF($AH7="","",IF(AQ7=0,"{}",LET(m,AQ7,s,MMULT(SEQUENCE(1,m,1,0),$B$12:$V$16),"{"&amp;TEXTJOIN(", ",TRUE,IF(s&gt;0,$B$11:$V$11&amp;": "&amp;ROUND(s,2),""))&amp;"}")))</f>
        <v>{Coins: 10, Red: 1, Chuck: 1, Bomb: 1, Comet: 1, Unlimited Lives: 90, COOP Token: 35}</v>
      </c>
      <c r="AT7" s="234">
        <v>3.0</v>
      </c>
      <c r="AU7" s="235">
        <v>36.0</v>
      </c>
      <c r="AV7" s="236">
        <f t="shared" si="1"/>
        <v>96.25</v>
      </c>
    </row>
    <row r="8">
      <c r="A8" s="176" t="s">
        <v>193</v>
      </c>
      <c r="B8" s="177">
        <v>3.0</v>
      </c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AH8" s="227">
        <f>IF(3&lt;=$B$3,3,"")</f>
        <v>3</v>
      </c>
      <c r="AI8" s="237">
        <f t="array" ref="AI8">IF($AH8="","",LET(bal,SUMIFS(data_event_inst!$N:$N,data_event_inst!$A:$A,"Hatchling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Hideaway",data_event_accrual!$B:$B,$AI$3,data_event_accrual!$C:$C,"0-9",data_event_accrual!$E:$E,$AH8),AVERAGEIFS(data_event_accrual!$K:$K,data_event_accrual!$A:$A,"Hatchling Hideaway",data_event_accrual!$B:$B,$AI$3,data_event_accrual!$C:$C,"0-9",data_event_accrual!$E:$E,$AH8),AVERAGEIFS(data_event_accrual!$J:$J,data_event_accrual!$A:$A,"Hatchling Hideaway",data_event_accrual!$B:$B,$AI$3,data_event_accrual!$C:$C,"0-9",data_event_accrual!$E:$E,$AH8),AVERAGEIFS(data_event_accrual!$L:$L,data_event_accrual!$A:$A,"Hatchling Hideaway",data_event_accrual!$B:$B,$AI$3,data_event_accrual!$C:$C,"0-9",data_event_accrual!$E:$E,$AH8)),1)),COUNTIF($AV$5:$AV$9,"&lt;="&amp;bal*shr)))</f>
        <v>0</v>
      </c>
      <c r="AJ8" s="238" t="str">
        <f t="array" ref="AJ8">IF($AH8="","",IF(AI8=0,"{}",LET(m,AI8,s,MMULT(SEQUENCE(1,m,1,0),$B$12:$V$16),"{"&amp;TEXTJOIN(", ",TRUE,IF(s&gt;0,$B$11:$V$11&amp;": "&amp;ROUND(s,2),""))&amp;"}")))</f>
        <v>{}</v>
      </c>
      <c r="AK8" s="237">
        <f t="array" ref="AK8">IF($AH8="","",LET(bal,SUMIFS(data_event_inst!$N:$N,data_event_inst!$A:$A,"Hatchling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Hideaway",data_event_accrual!$B:$B,$AI$3,data_event_accrual!$C:$C,"10-19",data_event_accrual!$E:$E,$AH8),AVERAGEIFS(data_event_accrual!$K:$K,data_event_accrual!$A:$A,"Hatchling Hideaway",data_event_accrual!$B:$B,$AI$3,data_event_accrual!$C:$C,"10-19",data_event_accrual!$E:$E,$AH8),AVERAGEIFS(data_event_accrual!$J:$J,data_event_accrual!$A:$A,"Hatchling Hideaway",data_event_accrual!$B:$B,$AI$3,data_event_accrual!$C:$C,"10-19",data_event_accrual!$E:$E,$AH8),AVERAGEIFS(data_event_accrual!$L:$L,data_event_accrual!$A:$A,"Hatchling Hideaway",data_event_accrual!$B:$B,$AI$3,data_event_accrual!$C:$C,"10-19",data_event_accrual!$E:$E,$AH8)),1)),COUNTIF($AV$5:$AV$9,"&lt;="&amp;bal*shr)))</f>
        <v>1</v>
      </c>
      <c r="AL8" s="238" t="str">
        <f t="array" ref="AL8">IF($AH8="","",IF(AK8=0,"{}",LET(m,AK8,s,MMULT(SEQUENCE(1,m,1,0),$B$12:$V$16),"{"&amp;TEXTJOIN(", ",TRUE,IF(s&gt;0,$B$11:$V$11&amp;": "&amp;ROUND(s,2),""))&amp;"}")))</f>
        <v>{Red: 1, Unlimited Lives: 60, COOP Token: 5}</v>
      </c>
      <c r="AM8" s="237">
        <f t="array" ref="AM8">IF($AH8="","",LET(bal,SUMIFS(data_event_inst!$N:$N,data_event_inst!$A:$A,"Hatchling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Hideaway",data_event_accrual!$B:$B,$AI$3,data_event_accrual!$C:$C,"20-39",data_event_accrual!$E:$E,$AH8),AVERAGEIFS(data_event_accrual!$K:$K,data_event_accrual!$A:$A,"Hatchling Hideaway",data_event_accrual!$B:$B,$AI$3,data_event_accrual!$C:$C,"20-39",data_event_accrual!$E:$E,$AH8),AVERAGEIFS(data_event_accrual!$J:$J,data_event_accrual!$A:$A,"Hatchling Hideaway",data_event_accrual!$B:$B,$AI$3,data_event_accrual!$C:$C,"20-39",data_event_accrual!$E:$E,$AH8),AVERAGEIFS(data_event_accrual!$L:$L,data_event_accrual!$A:$A,"Hatchling Hideaway",data_event_accrual!$B:$B,$AI$3,data_event_accrual!$C:$C,"20-39",data_event_accrual!$E:$E,$AH8)),1)),COUNTIF($AV$5:$AV$9,"&lt;="&amp;bal*shr)))</f>
        <v>2</v>
      </c>
      <c r="AN8" s="238" t="str">
        <f t="array" ref="AN8">IF($AH8="","",IF(AM8=0,"{}",LET(m,AM8,s,MMULT(SEQUENCE(1,m,1,0),$B$12:$V$16),"{"&amp;TEXTJOIN(", ",TRUE,IF(s&gt;0,$B$11:$V$11&amp;": "&amp;ROUND(s,2),""))&amp;"}")))</f>
        <v>{Coins: 10, Red: 1, Chuck: 1, Unlimited Lives: 60, COOP Token: 15}</v>
      </c>
      <c r="AO8" s="237">
        <f t="array" ref="AO8">IF($AH8="","",LET(bal,SUMIFS(data_event_inst!$N:$N,data_event_inst!$A:$A,"Hatchling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Hideaway",data_event_accrual!$B:$B,$AI$3,data_event_accrual!$C:$C,"40-99",data_event_accrual!$E:$E,$AH8),AVERAGEIFS(data_event_accrual!$K:$K,data_event_accrual!$A:$A,"Hatchling Hideaway",data_event_accrual!$B:$B,$AI$3,data_event_accrual!$C:$C,"40-99",data_event_accrual!$E:$E,$AH8),AVERAGEIFS(data_event_accrual!$J:$J,data_event_accrual!$A:$A,"Hatchling Hideaway",data_event_accrual!$B:$B,$AI$3,data_event_accrual!$C:$C,"40-99",data_event_accrual!$E:$E,$AH8),AVERAGEIFS(data_event_accrual!$L:$L,data_event_accrual!$A:$A,"Hatchling Hideaway",data_event_accrual!$B:$B,$AI$3,data_event_accrual!$C:$C,"40-99",data_event_accrual!$E:$E,$AH8)),1)),COUNTIF($AV$5:$AV$9,"&lt;="&amp;bal*shr)))</f>
        <v>3</v>
      </c>
      <c r="AP8" s="238" t="str">
        <f t="array" ref="AP8">IF($AH8="","",IF(AO8=0,"{}",LET(m,AO8,s,MMULT(SEQUENCE(1,m,1,0),$B$12:$V$16),"{"&amp;TEXTJOIN(", ",TRUE,IF(s&gt;0,$B$11:$V$11&amp;": "&amp;ROUND(s,2),""))&amp;"}")))</f>
        <v>{Coins: 10, Red: 1, Chuck: 1, Bomb: 1, Comet: 1, Unlimited Lives: 90, COOP Token: 35}</v>
      </c>
      <c r="AQ8" s="237">
        <f t="array" ref="AQ8">IF($AH8="","",LET(bal,SUMIFS(data_event_inst!$N:$N,data_event_inst!$A:$A,"Hatchling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Hideaway",data_event_accrual!$B:$B,$AI$3,data_event_accrual!$C:$C,"100+",data_event_accrual!$E:$E,$AH8),AVERAGEIFS(data_event_accrual!$K:$K,data_event_accrual!$A:$A,"Hatchling Hideaway",data_event_accrual!$B:$B,$AI$3,data_event_accrual!$C:$C,"100+",data_event_accrual!$E:$E,$AH8),AVERAGEIFS(data_event_accrual!$J:$J,data_event_accrual!$A:$A,"Hatchling Hideaway",data_event_accrual!$B:$B,$AI$3,data_event_accrual!$C:$C,"100+",data_event_accrual!$E:$E,$AH8),AVERAGEIFS(data_event_accrual!$L:$L,data_event_accrual!$A:$A,"Hatchling Hideaway",data_event_accrual!$B:$B,$AI$3,data_event_accrual!$C:$C,"100+",data_event_accrual!$E:$E,$AH8)),1)),COUNTIF($AV$5:$AV$9,"&lt;="&amp;bal*shr)))</f>
        <v>3</v>
      </c>
      <c r="AR8" s="238" t="str">
        <f t="array" ref="AR8">IF($AH8="","",IF(AQ8=0,"{}",LET(m,AQ8,s,MMULT(SEQUENCE(1,m,1,0),$B$12:$V$16),"{"&amp;TEXTJOIN(", ",TRUE,IF(s&gt;0,$B$11:$V$11&amp;": "&amp;ROUND(s,2),""))&amp;"}")))</f>
        <v>{Coins: 10, Red: 1, Chuck: 1, Bomb: 1, Comet: 1, Unlimited Lives: 90, COOP Token: 35}</v>
      </c>
      <c r="AT8" s="234">
        <v>4.0</v>
      </c>
      <c r="AU8" s="235">
        <v>49.0</v>
      </c>
      <c r="AV8" s="236">
        <f t="shared" si="1"/>
        <v>157.5</v>
      </c>
    </row>
    <row r="9">
      <c r="A9" s="172"/>
      <c r="B9" s="172"/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AH9" s="227">
        <f>IF(4&lt;=$B$3,4,"")</f>
        <v>4</v>
      </c>
      <c r="AI9" s="237">
        <f t="array" ref="AI9">IF($AH9="","",LET(bal,SUMIFS(data_event_inst!$N:$N,data_event_inst!$A:$A,"Hatchling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Hideaway",data_event_accrual!$B:$B,$AI$3,data_event_accrual!$C:$C,"0-9",data_event_accrual!$E:$E,$AH9),AVERAGEIFS(data_event_accrual!$K:$K,data_event_accrual!$A:$A,"Hatchling Hideaway",data_event_accrual!$B:$B,$AI$3,data_event_accrual!$C:$C,"0-9",data_event_accrual!$E:$E,$AH9),AVERAGEIFS(data_event_accrual!$J:$J,data_event_accrual!$A:$A,"Hatchling Hideaway",data_event_accrual!$B:$B,$AI$3,data_event_accrual!$C:$C,"0-9",data_event_accrual!$E:$E,$AH9),AVERAGEIFS(data_event_accrual!$L:$L,data_event_accrual!$A:$A,"Hatchling Hideaway",data_event_accrual!$B:$B,$AI$3,data_event_accrual!$C:$C,"0-9",data_event_accrual!$E:$E,$AH9)),1)),COUNTIF($AV$5:$AV$9,"&lt;="&amp;bal*shr)))</f>
        <v>0</v>
      </c>
      <c r="AJ9" s="238" t="str">
        <f t="array" ref="AJ9">IF($AH9="","",IF(AI9=0,"{}",LET(m,AI9,s,MMULT(SEQUENCE(1,m,1,0),$B$12:$V$16),"{"&amp;TEXTJOIN(", ",TRUE,IF(s&gt;0,$B$11:$V$11&amp;": "&amp;ROUND(s,2),""))&amp;"}")))</f>
        <v>{}</v>
      </c>
      <c r="AK9" s="237">
        <f t="array" ref="AK9">IF($AH9="","",LET(bal,SUMIFS(data_event_inst!$N:$N,data_event_inst!$A:$A,"Hatchling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Hideaway",data_event_accrual!$B:$B,$AI$3,data_event_accrual!$C:$C,"10-19",data_event_accrual!$E:$E,$AH9),AVERAGEIFS(data_event_accrual!$K:$K,data_event_accrual!$A:$A,"Hatchling Hideaway",data_event_accrual!$B:$B,$AI$3,data_event_accrual!$C:$C,"10-19",data_event_accrual!$E:$E,$AH9),AVERAGEIFS(data_event_accrual!$J:$J,data_event_accrual!$A:$A,"Hatchling Hideaway",data_event_accrual!$B:$B,$AI$3,data_event_accrual!$C:$C,"10-19",data_event_accrual!$E:$E,$AH9),AVERAGEIFS(data_event_accrual!$L:$L,data_event_accrual!$A:$A,"Hatchling Hideaway",data_event_accrual!$B:$B,$AI$3,data_event_accrual!$C:$C,"10-19",data_event_accrual!$E:$E,$AH9)),1)),COUNTIF($AV$5:$AV$9,"&lt;="&amp;bal*shr)))</f>
        <v>1</v>
      </c>
      <c r="AL9" s="238" t="str">
        <f t="array" ref="AL9">IF($AH9="","",IF(AK9=0,"{}",LET(m,AK9,s,MMULT(SEQUENCE(1,m,1,0),$B$12:$V$16),"{"&amp;TEXTJOIN(", ",TRUE,IF(s&gt;0,$B$11:$V$11&amp;": "&amp;ROUND(s,2),""))&amp;"}")))</f>
        <v>{Red: 1, Unlimited Lives: 60, COOP Token: 5}</v>
      </c>
      <c r="AM9" s="237">
        <f t="array" ref="AM9">IF($AH9="","",LET(bal,SUMIFS(data_event_inst!$N:$N,data_event_inst!$A:$A,"Hatchling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Hideaway",data_event_accrual!$B:$B,$AI$3,data_event_accrual!$C:$C,"20-39",data_event_accrual!$E:$E,$AH9),AVERAGEIFS(data_event_accrual!$K:$K,data_event_accrual!$A:$A,"Hatchling Hideaway",data_event_accrual!$B:$B,$AI$3,data_event_accrual!$C:$C,"20-39",data_event_accrual!$E:$E,$AH9),AVERAGEIFS(data_event_accrual!$J:$J,data_event_accrual!$A:$A,"Hatchling Hideaway",data_event_accrual!$B:$B,$AI$3,data_event_accrual!$C:$C,"20-39",data_event_accrual!$E:$E,$AH9),AVERAGEIFS(data_event_accrual!$L:$L,data_event_accrual!$A:$A,"Hatchling Hideaway",data_event_accrual!$B:$B,$AI$3,data_event_accrual!$C:$C,"20-39",data_event_accrual!$E:$E,$AH9)),1)),COUNTIF($AV$5:$AV$9,"&lt;="&amp;bal*shr)))</f>
        <v>2</v>
      </c>
      <c r="AN9" s="238" t="str">
        <f t="array" ref="AN9">IF($AH9="","",IF(AM9=0,"{}",LET(m,AM9,s,MMULT(SEQUENCE(1,m,1,0),$B$12:$V$16),"{"&amp;TEXTJOIN(", ",TRUE,IF(s&gt;0,$B$11:$V$11&amp;": "&amp;ROUND(s,2),""))&amp;"}")))</f>
        <v>{Coins: 10, Red: 1, Chuck: 1, Unlimited Lives: 60, COOP Token: 15}</v>
      </c>
      <c r="AO9" s="237">
        <f t="array" ref="AO9">IF($AH9="","",LET(bal,SUMIFS(data_event_inst!$N:$N,data_event_inst!$A:$A,"Hatchling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Hideaway",data_event_accrual!$B:$B,$AI$3,data_event_accrual!$C:$C,"40-99",data_event_accrual!$E:$E,$AH9),AVERAGEIFS(data_event_accrual!$K:$K,data_event_accrual!$A:$A,"Hatchling Hideaway",data_event_accrual!$B:$B,$AI$3,data_event_accrual!$C:$C,"40-99",data_event_accrual!$E:$E,$AH9),AVERAGEIFS(data_event_accrual!$J:$J,data_event_accrual!$A:$A,"Hatchling Hideaway",data_event_accrual!$B:$B,$AI$3,data_event_accrual!$C:$C,"40-99",data_event_accrual!$E:$E,$AH9),AVERAGEIFS(data_event_accrual!$L:$L,data_event_accrual!$A:$A,"Hatchling Hideaway",data_event_accrual!$B:$B,$AI$3,data_event_accrual!$C:$C,"40-99",data_event_accrual!$E:$E,$AH9)),1)),COUNTIF($AV$5:$AV$9,"&lt;="&amp;bal*shr)))</f>
        <v>3</v>
      </c>
      <c r="AP9" s="238" t="str">
        <f t="array" ref="AP9">IF($AH9="","",IF(AO9=0,"{}",LET(m,AO9,s,MMULT(SEQUENCE(1,m,1,0),$B$12:$V$16),"{"&amp;TEXTJOIN(", ",TRUE,IF(s&gt;0,$B$11:$V$11&amp;": "&amp;ROUND(s,2),""))&amp;"}")))</f>
        <v>{Coins: 10, Red: 1, Chuck: 1, Bomb: 1, Comet: 1, Unlimited Lives: 90, COOP Token: 35}</v>
      </c>
      <c r="AQ9" s="237">
        <f t="array" ref="AQ9">IF($AH9="","",LET(bal,SUMIFS(data_event_inst!$N:$N,data_event_inst!$A:$A,"Hatchling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Hideaway",data_event_accrual!$B:$B,$AI$3,data_event_accrual!$C:$C,"100+",data_event_accrual!$E:$E,$AH9),AVERAGEIFS(data_event_accrual!$K:$K,data_event_accrual!$A:$A,"Hatchling Hideaway",data_event_accrual!$B:$B,$AI$3,data_event_accrual!$C:$C,"100+",data_event_accrual!$E:$E,$AH9),AVERAGEIFS(data_event_accrual!$J:$J,data_event_accrual!$A:$A,"Hatchling Hideaway",data_event_accrual!$B:$B,$AI$3,data_event_accrual!$C:$C,"100+",data_event_accrual!$E:$E,$AH9),AVERAGEIFS(data_event_accrual!$L:$L,data_event_accrual!$A:$A,"Hatchling Hideaway",data_event_accrual!$B:$B,$AI$3,data_event_accrual!$C:$C,"100+",data_event_accrual!$E:$E,$AH9)),1)),COUNTIF($AV$5:$AV$9,"&lt;="&amp;bal*shr)))</f>
        <v>4</v>
      </c>
      <c r="AR9" s="238" t="str">
        <f t="array" ref="AR9">IF($AH9="","",IF(AQ9=0,"{}",LET(m,AQ9,s,MMULT(SEQUENCE(1,m,1,0),$B$12:$V$16),"{"&amp;TEXTJOIN(", ",TRUE,IF(s&gt;0,$B$11:$V$11&amp;": "&amp;ROUND(s,2),""))&amp;"}")))</f>
        <v>{Coins: 25, Red: 1, Chuck: 1, Bomb: 1, Shuffle: 1, Comet: 1, Unlimited Lives: 90, Unlimited Red: 10, COOP Token: 85}</v>
      </c>
      <c r="AT9" s="234">
        <v>5.0</v>
      </c>
      <c r="AU9" s="235">
        <v>64.0</v>
      </c>
      <c r="AV9" s="236">
        <f t="shared" si="1"/>
        <v>237.5</v>
      </c>
    </row>
    <row r="10" ht="19.5" customHeight="1">
      <c r="A10" s="174" t="s">
        <v>133</v>
      </c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AH10" s="227" t="str">
        <f>IF(5&lt;=$B$3,5,"")</f>
        <v/>
      </c>
      <c r="AI10" s="237" t="str">
        <f t="array" ref="AI10">IF($AH10="","",LET(bal,SUMIFS(data_event_inst!$N:$N,data_event_inst!$A:$A,"Hatchling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Hideaway",data_event_accrual!$B:$B,$AI$3,data_event_accrual!$C:$C,"0-9",data_event_accrual!$E:$E,$AH10),AVERAGEIFS(data_event_accrual!$K:$K,data_event_accrual!$A:$A,"Hatchling Hideaway",data_event_accrual!$B:$B,$AI$3,data_event_accrual!$C:$C,"0-9",data_event_accrual!$E:$E,$AH10),AVERAGEIFS(data_event_accrual!$J:$J,data_event_accrual!$A:$A,"Hatchling Hideaway",data_event_accrual!$B:$B,$AI$3,data_event_accrual!$C:$C,"0-9",data_event_accrual!$E:$E,$AH10),AVERAGEIFS(data_event_accrual!$L:$L,data_event_accrual!$A:$A,"Hatchling Hideaway",data_event_accrual!$B:$B,$AI$3,data_event_accrual!$C:$C,"0-9",data_event_accrual!$E:$E,$AH10)),1)),COUNTIF($AV$5:$AV$9,"&lt;="&amp;bal*shr)))</f>
        <v/>
      </c>
      <c r="AJ10" s="238" t="str">
        <f t="array" ref="AJ10">IF($AH10="","",IF(AI10=0,"{}",LET(m,AI10,s,MMULT(SEQUENCE(1,m,1,0),$B$12:$V$16),"{"&amp;TEXTJOIN(", ",TRUE,IF(s&gt;0,$B$11:$V$11&amp;": "&amp;ROUND(s,2),""))&amp;"}")))</f>
        <v/>
      </c>
      <c r="AK10" s="237" t="str">
        <f t="array" ref="AK10">IF($AH10="","",LET(bal,SUMIFS(data_event_inst!$N:$N,data_event_inst!$A:$A,"Hatchling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Hideaway",data_event_accrual!$B:$B,$AI$3,data_event_accrual!$C:$C,"10-19",data_event_accrual!$E:$E,$AH10),AVERAGEIFS(data_event_accrual!$K:$K,data_event_accrual!$A:$A,"Hatchling Hideaway",data_event_accrual!$B:$B,$AI$3,data_event_accrual!$C:$C,"10-19",data_event_accrual!$E:$E,$AH10),AVERAGEIFS(data_event_accrual!$J:$J,data_event_accrual!$A:$A,"Hatchling Hideaway",data_event_accrual!$B:$B,$AI$3,data_event_accrual!$C:$C,"10-19",data_event_accrual!$E:$E,$AH10),AVERAGEIFS(data_event_accrual!$L:$L,data_event_accrual!$A:$A,"Hatchling Hideaway",data_event_accrual!$B:$B,$AI$3,data_event_accrual!$C:$C,"10-19",data_event_accrual!$E:$E,$AH10)),1)),COUNTIF($AV$5:$AV$9,"&lt;="&amp;bal*shr)))</f>
        <v/>
      </c>
      <c r="AL10" s="238" t="str">
        <f t="array" ref="AL10">IF($AH10="","",IF(AK10=0,"{}",LET(m,AK10,s,MMULT(SEQUENCE(1,m,1,0),$B$12:$V$16),"{"&amp;TEXTJOIN(", ",TRUE,IF(s&gt;0,$B$11:$V$11&amp;": "&amp;ROUND(s,2),""))&amp;"}")))</f>
        <v/>
      </c>
      <c r="AM10" s="237" t="str">
        <f t="array" ref="AM10">IF($AH10="","",LET(bal,SUMIFS(data_event_inst!$N:$N,data_event_inst!$A:$A,"Hatchling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Hideaway",data_event_accrual!$B:$B,$AI$3,data_event_accrual!$C:$C,"20-39",data_event_accrual!$E:$E,$AH10),AVERAGEIFS(data_event_accrual!$K:$K,data_event_accrual!$A:$A,"Hatchling Hideaway",data_event_accrual!$B:$B,$AI$3,data_event_accrual!$C:$C,"20-39",data_event_accrual!$E:$E,$AH10),AVERAGEIFS(data_event_accrual!$J:$J,data_event_accrual!$A:$A,"Hatchling Hideaway",data_event_accrual!$B:$B,$AI$3,data_event_accrual!$C:$C,"20-39",data_event_accrual!$E:$E,$AH10),AVERAGEIFS(data_event_accrual!$L:$L,data_event_accrual!$A:$A,"Hatchling Hideaway",data_event_accrual!$B:$B,$AI$3,data_event_accrual!$C:$C,"20-39",data_event_accrual!$E:$E,$AH10)),1)),COUNTIF($AV$5:$AV$9,"&lt;="&amp;bal*shr)))</f>
        <v/>
      </c>
      <c r="AN10" s="238" t="str">
        <f t="array" ref="AN10">IF($AH10="","",IF(AM10=0,"{}",LET(m,AM10,s,MMULT(SEQUENCE(1,m,1,0),$B$12:$V$16),"{"&amp;TEXTJOIN(", ",TRUE,IF(s&gt;0,$B$11:$V$11&amp;": "&amp;ROUND(s,2),""))&amp;"}")))</f>
        <v/>
      </c>
      <c r="AO10" s="237" t="str">
        <f t="array" ref="AO10">IF($AH10="","",LET(bal,SUMIFS(data_event_inst!$N:$N,data_event_inst!$A:$A,"Hatchling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Hideaway",data_event_accrual!$B:$B,$AI$3,data_event_accrual!$C:$C,"40-99",data_event_accrual!$E:$E,$AH10),AVERAGEIFS(data_event_accrual!$K:$K,data_event_accrual!$A:$A,"Hatchling Hideaway",data_event_accrual!$B:$B,$AI$3,data_event_accrual!$C:$C,"40-99",data_event_accrual!$E:$E,$AH10),AVERAGEIFS(data_event_accrual!$J:$J,data_event_accrual!$A:$A,"Hatchling Hideaway",data_event_accrual!$B:$B,$AI$3,data_event_accrual!$C:$C,"40-99",data_event_accrual!$E:$E,$AH10),AVERAGEIFS(data_event_accrual!$L:$L,data_event_accrual!$A:$A,"Hatchling Hideaway",data_event_accrual!$B:$B,$AI$3,data_event_accrual!$C:$C,"40-99",data_event_accrual!$E:$E,$AH10)),1)),COUNTIF($AV$5:$AV$9,"&lt;="&amp;bal*shr)))</f>
        <v/>
      </c>
      <c r="AP10" s="238" t="str">
        <f t="array" ref="AP10">IF($AH10="","",IF(AO10=0,"{}",LET(m,AO10,s,MMULT(SEQUENCE(1,m,1,0),$B$12:$V$16),"{"&amp;TEXTJOIN(", ",TRUE,IF(s&gt;0,$B$11:$V$11&amp;": "&amp;ROUND(s,2),""))&amp;"}")))</f>
        <v/>
      </c>
      <c r="AQ10" s="237" t="str">
        <f t="array" ref="AQ10">IF($AH10="","",LET(bal,SUMIFS(data_event_inst!$N:$N,data_event_inst!$A:$A,"Hatchling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Hideaway",data_event_accrual!$B:$B,$AI$3,data_event_accrual!$C:$C,"100+",data_event_accrual!$E:$E,$AH10),AVERAGEIFS(data_event_accrual!$K:$K,data_event_accrual!$A:$A,"Hatchling Hideaway",data_event_accrual!$B:$B,$AI$3,data_event_accrual!$C:$C,"100+",data_event_accrual!$E:$E,$AH10),AVERAGEIFS(data_event_accrual!$J:$J,data_event_accrual!$A:$A,"Hatchling Hideaway",data_event_accrual!$B:$B,$AI$3,data_event_accrual!$C:$C,"100+",data_event_accrual!$E:$E,$AH10),AVERAGEIFS(data_event_accrual!$L:$L,data_event_accrual!$A:$A,"Hatchling Hideaway",data_event_accrual!$B:$B,$AI$3,data_event_accrual!$C:$C,"100+",data_event_accrual!$E:$E,$AH10)),1)),COUNTIF($AV$5:$AV$9,"&lt;="&amp;bal*shr)))</f>
        <v/>
      </c>
      <c r="AR10" s="238" t="str">
        <f t="array" ref="AR10">IF($AH10="","",IF(AQ10=0,"{}",LET(m,AQ10,s,MMULT(SEQUENCE(1,m,1,0),$B$12:$V$16),"{"&amp;TEXTJOIN(", ",TRUE,IF(s&gt;0,$B$11:$V$11&amp;": "&amp;ROUND(s,2),""))&amp;"}")))</f>
        <v/>
      </c>
    </row>
    <row r="11" ht="90.0" customHeight="1">
      <c r="A11" s="185" t="s">
        <v>195</v>
      </c>
      <c r="B11" s="186" t="s">
        <v>76</v>
      </c>
      <c r="C11" s="187" t="s">
        <v>46</v>
      </c>
      <c r="D11" s="187" t="s">
        <v>121</v>
      </c>
      <c r="E11" s="187" t="s">
        <v>47</v>
      </c>
      <c r="F11" s="187" t="s">
        <v>48</v>
      </c>
      <c r="G11" s="187" t="s">
        <v>50</v>
      </c>
      <c r="H11" s="187" t="s">
        <v>52</v>
      </c>
      <c r="I11" s="187" t="s">
        <v>53</v>
      </c>
      <c r="J11" s="187" t="s">
        <v>54</v>
      </c>
      <c r="K11" s="187" t="s">
        <v>55</v>
      </c>
      <c r="L11" s="187" t="s">
        <v>56</v>
      </c>
      <c r="M11" s="187" t="s">
        <v>57</v>
      </c>
      <c r="N11" s="187" t="s">
        <v>58</v>
      </c>
      <c r="O11" s="187" t="s">
        <v>135</v>
      </c>
      <c r="P11" s="187" t="s">
        <v>122</v>
      </c>
      <c r="Q11" s="187" t="s">
        <v>123</v>
      </c>
      <c r="R11" s="187" t="s">
        <v>124</v>
      </c>
      <c r="S11" s="187" t="s">
        <v>125</v>
      </c>
      <c r="T11" s="187" t="s">
        <v>126</v>
      </c>
      <c r="U11" s="187" t="s">
        <v>127</v>
      </c>
      <c r="V11" s="187" t="s">
        <v>128</v>
      </c>
      <c r="AH11" s="227" t="str">
        <f>IF(6&lt;=$B$3,6,"")</f>
        <v/>
      </c>
      <c r="AI11" s="237" t="str">
        <f t="array" ref="AI11">IF($AH11="","",LET(bal,SUMIFS(data_event_inst!$N:$N,data_event_inst!$A:$A,"Hatchling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Hideaway",data_event_accrual!$B:$B,$AI$3,data_event_accrual!$C:$C,"0-9",data_event_accrual!$E:$E,$AH11),AVERAGEIFS(data_event_accrual!$K:$K,data_event_accrual!$A:$A,"Hatchling Hideaway",data_event_accrual!$B:$B,$AI$3,data_event_accrual!$C:$C,"0-9",data_event_accrual!$E:$E,$AH11),AVERAGEIFS(data_event_accrual!$J:$J,data_event_accrual!$A:$A,"Hatchling Hideaway",data_event_accrual!$B:$B,$AI$3,data_event_accrual!$C:$C,"0-9",data_event_accrual!$E:$E,$AH11),AVERAGEIFS(data_event_accrual!$L:$L,data_event_accrual!$A:$A,"Hatchling Hideaway",data_event_accrual!$B:$B,$AI$3,data_event_accrual!$C:$C,"0-9",data_event_accrual!$E:$E,$AH11)),1)),COUNTIF($AV$5:$AV$9,"&lt;="&amp;bal*shr)))</f>
        <v/>
      </c>
      <c r="AJ11" s="238" t="str">
        <f t="array" ref="AJ11">IF($AH11="","",IF(AI11=0,"{}",LET(m,AI11,s,MMULT(SEQUENCE(1,m,1,0),$B$12:$V$16),"{"&amp;TEXTJOIN(", ",TRUE,IF(s&gt;0,$B$11:$V$11&amp;": "&amp;ROUND(s,2),""))&amp;"}")))</f>
        <v/>
      </c>
      <c r="AK11" s="237" t="str">
        <f t="array" ref="AK11">IF($AH11="","",LET(bal,SUMIFS(data_event_inst!$N:$N,data_event_inst!$A:$A,"Hatchling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Hideaway",data_event_accrual!$B:$B,$AI$3,data_event_accrual!$C:$C,"10-19",data_event_accrual!$E:$E,$AH11),AVERAGEIFS(data_event_accrual!$K:$K,data_event_accrual!$A:$A,"Hatchling Hideaway",data_event_accrual!$B:$B,$AI$3,data_event_accrual!$C:$C,"10-19",data_event_accrual!$E:$E,$AH11),AVERAGEIFS(data_event_accrual!$J:$J,data_event_accrual!$A:$A,"Hatchling Hideaway",data_event_accrual!$B:$B,$AI$3,data_event_accrual!$C:$C,"10-19",data_event_accrual!$E:$E,$AH11),AVERAGEIFS(data_event_accrual!$L:$L,data_event_accrual!$A:$A,"Hatchling Hideaway",data_event_accrual!$B:$B,$AI$3,data_event_accrual!$C:$C,"10-19",data_event_accrual!$E:$E,$AH11)),1)),COUNTIF($AV$5:$AV$9,"&lt;="&amp;bal*shr)))</f>
        <v/>
      </c>
      <c r="AL11" s="238" t="str">
        <f t="array" ref="AL11">IF($AH11="","",IF(AK11=0,"{}",LET(m,AK11,s,MMULT(SEQUENCE(1,m,1,0),$B$12:$V$16),"{"&amp;TEXTJOIN(", ",TRUE,IF(s&gt;0,$B$11:$V$11&amp;": "&amp;ROUND(s,2),""))&amp;"}")))</f>
        <v/>
      </c>
      <c r="AM11" s="237" t="str">
        <f t="array" ref="AM11">IF($AH11="","",LET(bal,SUMIFS(data_event_inst!$N:$N,data_event_inst!$A:$A,"Hatchling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Hideaway",data_event_accrual!$B:$B,$AI$3,data_event_accrual!$C:$C,"20-39",data_event_accrual!$E:$E,$AH11),AVERAGEIFS(data_event_accrual!$K:$K,data_event_accrual!$A:$A,"Hatchling Hideaway",data_event_accrual!$B:$B,$AI$3,data_event_accrual!$C:$C,"20-39",data_event_accrual!$E:$E,$AH11),AVERAGEIFS(data_event_accrual!$J:$J,data_event_accrual!$A:$A,"Hatchling Hideaway",data_event_accrual!$B:$B,$AI$3,data_event_accrual!$C:$C,"20-39",data_event_accrual!$E:$E,$AH11),AVERAGEIFS(data_event_accrual!$L:$L,data_event_accrual!$A:$A,"Hatchling Hideaway",data_event_accrual!$B:$B,$AI$3,data_event_accrual!$C:$C,"20-39",data_event_accrual!$E:$E,$AH11)),1)),COUNTIF($AV$5:$AV$9,"&lt;="&amp;bal*shr)))</f>
        <v/>
      </c>
      <c r="AN11" s="238" t="str">
        <f t="array" ref="AN11">IF($AH11="","",IF(AM11=0,"{}",LET(m,AM11,s,MMULT(SEQUENCE(1,m,1,0),$B$12:$V$16),"{"&amp;TEXTJOIN(", ",TRUE,IF(s&gt;0,$B$11:$V$11&amp;": "&amp;ROUND(s,2),""))&amp;"}")))</f>
        <v/>
      </c>
      <c r="AO11" s="237" t="str">
        <f t="array" ref="AO11">IF($AH11="","",LET(bal,SUMIFS(data_event_inst!$N:$N,data_event_inst!$A:$A,"Hatchling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Hideaway",data_event_accrual!$B:$B,$AI$3,data_event_accrual!$C:$C,"40-99",data_event_accrual!$E:$E,$AH11),AVERAGEIFS(data_event_accrual!$K:$K,data_event_accrual!$A:$A,"Hatchling Hideaway",data_event_accrual!$B:$B,$AI$3,data_event_accrual!$C:$C,"40-99",data_event_accrual!$E:$E,$AH11),AVERAGEIFS(data_event_accrual!$J:$J,data_event_accrual!$A:$A,"Hatchling Hideaway",data_event_accrual!$B:$B,$AI$3,data_event_accrual!$C:$C,"40-99",data_event_accrual!$E:$E,$AH11),AVERAGEIFS(data_event_accrual!$L:$L,data_event_accrual!$A:$A,"Hatchling Hideaway",data_event_accrual!$B:$B,$AI$3,data_event_accrual!$C:$C,"40-99",data_event_accrual!$E:$E,$AH11)),1)),COUNTIF($AV$5:$AV$9,"&lt;="&amp;bal*shr)))</f>
        <v/>
      </c>
      <c r="AP11" s="238" t="str">
        <f t="array" ref="AP11">IF($AH11="","",IF(AO11=0,"{}",LET(m,AO11,s,MMULT(SEQUENCE(1,m,1,0),$B$12:$V$16),"{"&amp;TEXTJOIN(", ",TRUE,IF(s&gt;0,$B$11:$V$11&amp;": "&amp;ROUND(s,2),""))&amp;"}")))</f>
        <v/>
      </c>
      <c r="AQ11" s="237" t="str">
        <f t="array" ref="AQ11">IF($AH11="","",LET(bal,SUMIFS(data_event_inst!$N:$N,data_event_inst!$A:$A,"Hatchling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Hideaway",data_event_accrual!$B:$B,$AI$3,data_event_accrual!$C:$C,"100+",data_event_accrual!$E:$E,$AH11),AVERAGEIFS(data_event_accrual!$K:$K,data_event_accrual!$A:$A,"Hatchling Hideaway",data_event_accrual!$B:$B,$AI$3,data_event_accrual!$C:$C,"100+",data_event_accrual!$E:$E,$AH11),AVERAGEIFS(data_event_accrual!$J:$J,data_event_accrual!$A:$A,"Hatchling Hideaway",data_event_accrual!$B:$B,$AI$3,data_event_accrual!$C:$C,"100+",data_event_accrual!$E:$E,$AH11),AVERAGEIFS(data_event_accrual!$L:$L,data_event_accrual!$A:$A,"Hatchling Hideaway",data_event_accrual!$B:$B,$AI$3,data_event_accrual!$C:$C,"100+",data_event_accrual!$E:$E,$AH11)),1)),COUNTIF($AV$5:$AV$9,"&lt;="&amp;bal*shr)))</f>
        <v/>
      </c>
      <c r="AR11" s="238" t="str">
        <f t="array" ref="AR11">IF($AH11="","",IF(AQ11=0,"{}",LET(m,AQ11,s,MMULT(SEQUENCE(1,m,1,0),$B$12:$V$16),"{"&amp;TEXTJOIN(", ",TRUE,IF(s&gt;0,$B$11:$V$11&amp;": "&amp;ROUND(s,2),""))&amp;"}")))</f>
        <v/>
      </c>
      <c r="AT11" s="296"/>
    </row>
    <row r="12">
      <c r="A12" s="298" t="s">
        <v>196</v>
      </c>
      <c r="B12" s="221">
        <v>0.0</v>
      </c>
      <c r="C12" s="189">
        <v>0.0</v>
      </c>
      <c r="D12" s="189">
        <v>0.0</v>
      </c>
      <c r="E12" s="189">
        <v>1.0</v>
      </c>
      <c r="F12" s="189">
        <v>0.0</v>
      </c>
      <c r="G12" s="189">
        <v>0.0</v>
      </c>
      <c r="H12" s="189">
        <v>0.0</v>
      </c>
      <c r="I12" s="189">
        <v>0.0</v>
      </c>
      <c r="J12" s="189">
        <v>0.0</v>
      </c>
      <c r="K12" s="189">
        <v>60.0</v>
      </c>
      <c r="L12" s="189">
        <v>0.0</v>
      </c>
      <c r="M12" s="189">
        <v>0.0</v>
      </c>
      <c r="N12" s="189">
        <v>0.0</v>
      </c>
      <c r="O12" s="272">
        <v>5.0</v>
      </c>
      <c r="P12" s="272">
        <v>0.0</v>
      </c>
      <c r="Q12" s="189">
        <v>0.0</v>
      </c>
      <c r="R12" s="189">
        <v>0.0</v>
      </c>
      <c r="S12" s="189">
        <v>0.0</v>
      </c>
      <c r="T12" s="189">
        <v>0.0</v>
      </c>
      <c r="U12" s="189">
        <v>0.0</v>
      </c>
      <c r="V12" s="189">
        <v>0.0</v>
      </c>
      <c r="W12" s="1">
        <v>1.0</v>
      </c>
      <c r="AH12" s="227" t="str">
        <f>IF(7&lt;=$B$3,7,"")</f>
        <v/>
      </c>
      <c r="AI12" s="237" t="str">
        <f t="array" ref="AI12">IF($AH12="","",LET(bal,SUMIFS(data_event_inst!$N:$N,data_event_inst!$A:$A,"Hatchling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Hideaway",data_event_accrual!$B:$B,$AI$3,data_event_accrual!$C:$C,"0-9",data_event_accrual!$E:$E,$AH12),AVERAGEIFS(data_event_accrual!$K:$K,data_event_accrual!$A:$A,"Hatchling Hideaway",data_event_accrual!$B:$B,$AI$3,data_event_accrual!$C:$C,"0-9",data_event_accrual!$E:$E,$AH12),AVERAGEIFS(data_event_accrual!$J:$J,data_event_accrual!$A:$A,"Hatchling Hideaway",data_event_accrual!$B:$B,$AI$3,data_event_accrual!$C:$C,"0-9",data_event_accrual!$E:$E,$AH12),AVERAGEIFS(data_event_accrual!$L:$L,data_event_accrual!$A:$A,"Hatchling Hideaway",data_event_accrual!$B:$B,$AI$3,data_event_accrual!$C:$C,"0-9",data_event_accrual!$E:$E,$AH12)),1)),COUNTIF($AV$5:$AV$9,"&lt;="&amp;bal*shr)))</f>
        <v/>
      </c>
      <c r="AJ12" s="238" t="str">
        <f t="array" ref="AJ12">IF($AH12="","",IF(AI12=0,"{}",LET(m,AI12,s,MMULT(SEQUENCE(1,m,1,0),$B$12:$V$16),"{"&amp;TEXTJOIN(", ",TRUE,IF(s&gt;0,$B$11:$V$11&amp;": "&amp;ROUND(s,2),""))&amp;"}")))</f>
        <v/>
      </c>
      <c r="AK12" s="237" t="str">
        <f t="array" ref="AK12">IF($AH12="","",LET(bal,SUMIFS(data_event_inst!$N:$N,data_event_inst!$A:$A,"Hatchling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Hideaway",data_event_accrual!$B:$B,$AI$3,data_event_accrual!$C:$C,"10-19",data_event_accrual!$E:$E,$AH12),AVERAGEIFS(data_event_accrual!$K:$K,data_event_accrual!$A:$A,"Hatchling Hideaway",data_event_accrual!$B:$B,$AI$3,data_event_accrual!$C:$C,"10-19",data_event_accrual!$E:$E,$AH12),AVERAGEIFS(data_event_accrual!$J:$J,data_event_accrual!$A:$A,"Hatchling Hideaway",data_event_accrual!$B:$B,$AI$3,data_event_accrual!$C:$C,"10-19",data_event_accrual!$E:$E,$AH12),AVERAGEIFS(data_event_accrual!$L:$L,data_event_accrual!$A:$A,"Hatchling Hideaway",data_event_accrual!$B:$B,$AI$3,data_event_accrual!$C:$C,"10-19",data_event_accrual!$E:$E,$AH12)),1)),COUNTIF($AV$5:$AV$9,"&lt;="&amp;bal*shr)))</f>
        <v/>
      </c>
      <c r="AL12" s="238" t="str">
        <f t="array" ref="AL12">IF($AH12="","",IF(AK12=0,"{}",LET(m,AK12,s,MMULT(SEQUENCE(1,m,1,0),$B$12:$V$16),"{"&amp;TEXTJOIN(", ",TRUE,IF(s&gt;0,$B$11:$V$11&amp;": "&amp;ROUND(s,2),""))&amp;"}")))</f>
        <v/>
      </c>
      <c r="AM12" s="237" t="str">
        <f t="array" ref="AM12">IF($AH12="","",LET(bal,SUMIFS(data_event_inst!$N:$N,data_event_inst!$A:$A,"Hatchling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Hideaway",data_event_accrual!$B:$B,$AI$3,data_event_accrual!$C:$C,"20-39",data_event_accrual!$E:$E,$AH12),AVERAGEIFS(data_event_accrual!$K:$K,data_event_accrual!$A:$A,"Hatchling Hideaway",data_event_accrual!$B:$B,$AI$3,data_event_accrual!$C:$C,"20-39",data_event_accrual!$E:$E,$AH12),AVERAGEIFS(data_event_accrual!$J:$J,data_event_accrual!$A:$A,"Hatchling Hideaway",data_event_accrual!$B:$B,$AI$3,data_event_accrual!$C:$C,"20-39",data_event_accrual!$E:$E,$AH12),AVERAGEIFS(data_event_accrual!$L:$L,data_event_accrual!$A:$A,"Hatchling Hideaway",data_event_accrual!$B:$B,$AI$3,data_event_accrual!$C:$C,"20-39",data_event_accrual!$E:$E,$AH12)),1)),COUNTIF($AV$5:$AV$9,"&lt;="&amp;bal*shr)))</f>
        <v/>
      </c>
      <c r="AN12" s="238" t="str">
        <f t="array" ref="AN12">IF($AH12="","",IF(AM12=0,"{}",LET(m,AM12,s,MMULT(SEQUENCE(1,m,1,0),$B$12:$V$16),"{"&amp;TEXTJOIN(", ",TRUE,IF(s&gt;0,$B$11:$V$11&amp;": "&amp;ROUND(s,2),""))&amp;"}")))</f>
        <v/>
      </c>
      <c r="AO12" s="237" t="str">
        <f t="array" ref="AO12">IF($AH12="","",LET(bal,SUMIFS(data_event_inst!$N:$N,data_event_inst!$A:$A,"Hatchling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Hideaway",data_event_accrual!$B:$B,$AI$3,data_event_accrual!$C:$C,"40-99",data_event_accrual!$E:$E,$AH12),AVERAGEIFS(data_event_accrual!$K:$K,data_event_accrual!$A:$A,"Hatchling Hideaway",data_event_accrual!$B:$B,$AI$3,data_event_accrual!$C:$C,"40-99",data_event_accrual!$E:$E,$AH12),AVERAGEIFS(data_event_accrual!$J:$J,data_event_accrual!$A:$A,"Hatchling Hideaway",data_event_accrual!$B:$B,$AI$3,data_event_accrual!$C:$C,"40-99",data_event_accrual!$E:$E,$AH12),AVERAGEIFS(data_event_accrual!$L:$L,data_event_accrual!$A:$A,"Hatchling Hideaway",data_event_accrual!$B:$B,$AI$3,data_event_accrual!$C:$C,"40-99",data_event_accrual!$E:$E,$AH12)),1)),COUNTIF($AV$5:$AV$9,"&lt;="&amp;bal*shr)))</f>
        <v/>
      </c>
      <c r="AP12" s="238" t="str">
        <f t="array" ref="AP12">IF($AH12="","",IF(AO12=0,"{}",LET(m,AO12,s,MMULT(SEQUENCE(1,m,1,0),$B$12:$V$16),"{"&amp;TEXTJOIN(", ",TRUE,IF(s&gt;0,$B$11:$V$11&amp;": "&amp;ROUND(s,2),""))&amp;"}")))</f>
        <v/>
      </c>
      <c r="AQ12" s="237" t="str">
        <f t="array" ref="AQ12">IF($AH12="","",LET(bal,SUMIFS(data_event_inst!$N:$N,data_event_inst!$A:$A,"Hatchling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Hideaway",data_event_accrual!$B:$B,$AI$3,data_event_accrual!$C:$C,"100+",data_event_accrual!$E:$E,$AH12),AVERAGEIFS(data_event_accrual!$K:$K,data_event_accrual!$A:$A,"Hatchling Hideaway",data_event_accrual!$B:$B,$AI$3,data_event_accrual!$C:$C,"100+",data_event_accrual!$E:$E,$AH12),AVERAGEIFS(data_event_accrual!$J:$J,data_event_accrual!$A:$A,"Hatchling Hideaway",data_event_accrual!$B:$B,$AI$3,data_event_accrual!$C:$C,"100+",data_event_accrual!$E:$E,$AH12),AVERAGEIFS(data_event_accrual!$L:$L,data_event_accrual!$A:$A,"Hatchling Hideaway",data_event_accrual!$B:$B,$AI$3,data_event_accrual!$C:$C,"100+",data_event_accrual!$E:$E,$AH12)),1)),COUNTIF($AV$5:$AV$9,"&lt;="&amp;bal*shr)))</f>
        <v/>
      </c>
      <c r="AR12" s="238" t="str">
        <f t="array" ref="AR12">IF($AH12="","",IF(AQ12=0,"{}",LET(m,AQ12,s,MMULT(SEQUENCE(1,m,1,0),$B$12:$V$16),"{"&amp;TEXTJOIN(", ",TRUE,IF(s&gt;0,$B$11:$V$11&amp;": "&amp;ROUND(s,2),""))&amp;"}")))</f>
        <v/>
      </c>
    </row>
    <row r="13">
      <c r="A13" s="298" t="s">
        <v>197</v>
      </c>
      <c r="B13" s="221">
        <v>10.0</v>
      </c>
      <c r="C13" s="189">
        <v>0.0</v>
      </c>
      <c r="D13" s="189">
        <v>0.0</v>
      </c>
      <c r="E13" s="189">
        <v>0.0</v>
      </c>
      <c r="F13" s="189">
        <v>1.0</v>
      </c>
      <c r="G13" s="189">
        <v>0.0</v>
      </c>
      <c r="H13" s="189">
        <v>0.0</v>
      </c>
      <c r="I13" s="189">
        <v>0.0</v>
      </c>
      <c r="J13" s="189">
        <v>0.0</v>
      </c>
      <c r="K13" s="189">
        <v>0.0</v>
      </c>
      <c r="L13" s="189">
        <v>0.0</v>
      </c>
      <c r="M13" s="189">
        <v>0.0</v>
      </c>
      <c r="N13" s="189">
        <v>0.0</v>
      </c>
      <c r="O13" s="272">
        <v>10.0</v>
      </c>
      <c r="P13" s="189">
        <v>0.0</v>
      </c>
      <c r="Q13" s="189">
        <v>0.0</v>
      </c>
      <c r="R13" s="189">
        <v>0.0</v>
      </c>
      <c r="S13" s="189">
        <v>0.0</v>
      </c>
      <c r="T13" s="189">
        <v>0.0</v>
      </c>
      <c r="U13" s="189">
        <v>0.0</v>
      </c>
      <c r="V13" s="189">
        <v>0.0</v>
      </c>
      <c r="W13" s="1">
        <v>1.0</v>
      </c>
    </row>
    <row r="14">
      <c r="A14" s="298" t="s">
        <v>198</v>
      </c>
      <c r="B14" s="221">
        <v>0.0</v>
      </c>
      <c r="C14" s="189">
        <v>0.0</v>
      </c>
      <c r="D14" s="189">
        <v>0.0</v>
      </c>
      <c r="E14" s="189">
        <v>0.0</v>
      </c>
      <c r="F14" s="189">
        <v>0.0</v>
      </c>
      <c r="G14" s="189">
        <v>1.0</v>
      </c>
      <c r="H14" s="189">
        <v>0.0</v>
      </c>
      <c r="I14" s="189">
        <v>0.0</v>
      </c>
      <c r="J14" s="189">
        <v>1.0</v>
      </c>
      <c r="K14" s="189">
        <v>30.0</v>
      </c>
      <c r="L14" s="189">
        <v>0.0</v>
      </c>
      <c r="M14" s="189">
        <v>0.0</v>
      </c>
      <c r="N14" s="189">
        <v>0.0</v>
      </c>
      <c r="O14" s="272">
        <v>20.0</v>
      </c>
      <c r="P14" s="189">
        <v>0.0</v>
      </c>
      <c r="Q14" s="189">
        <v>0.0</v>
      </c>
      <c r="R14" s="189">
        <v>0.0</v>
      </c>
      <c r="S14" s="189">
        <v>0.0</v>
      </c>
      <c r="T14" s="189">
        <v>0.0</v>
      </c>
      <c r="U14" s="189">
        <v>0.0</v>
      </c>
      <c r="V14" s="189">
        <v>0.0</v>
      </c>
    </row>
    <row r="15">
      <c r="A15" s="298" t="s">
        <v>199</v>
      </c>
      <c r="B15" s="221">
        <v>15.0</v>
      </c>
      <c r="C15" s="189">
        <v>0.0</v>
      </c>
      <c r="D15" s="189">
        <v>0.0</v>
      </c>
      <c r="E15" s="189">
        <v>0.0</v>
      </c>
      <c r="F15" s="189">
        <v>0.0</v>
      </c>
      <c r="G15" s="189">
        <v>0.0</v>
      </c>
      <c r="H15" s="189">
        <v>0.0</v>
      </c>
      <c r="I15" s="189">
        <v>1.0</v>
      </c>
      <c r="J15" s="189">
        <v>0.0</v>
      </c>
      <c r="K15" s="189">
        <v>0.0</v>
      </c>
      <c r="L15" s="189">
        <v>10.0</v>
      </c>
      <c r="M15" s="189">
        <v>0.0</v>
      </c>
      <c r="N15" s="189">
        <v>0.0</v>
      </c>
      <c r="O15" s="272">
        <v>50.0</v>
      </c>
      <c r="P15" s="189">
        <v>0.0</v>
      </c>
      <c r="Q15" s="189">
        <v>0.0</v>
      </c>
      <c r="R15" s="189">
        <v>0.0</v>
      </c>
      <c r="S15" s="189">
        <v>0.0</v>
      </c>
      <c r="T15" s="189">
        <v>0.0</v>
      </c>
      <c r="U15" s="189">
        <v>0.0</v>
      </c>
      <c r="V15" s="189">
        <v>0.0</v>
      </c>
    </row>
    <row r="16">
      <c r="A16" s="298" t="s">
        <v>200</v>
      </c>
      <c r="B16" s="230">
        <v>40.0</v>
      </c>
      <c r="C16" s="189">
        <v>0.0</v>
      </c>
      <c r="D16" s="189">
        <v>0.0</v>
      </c>
      <c r="E16" s="189">
        <v>0.0</v>
      </c>
      <c r="F16" s="189">
        <v>0.0</v>
      </c>
      <c r="G16" s="189">
        <v>0.0</v>
      </c>
      <c r="H16" s="189">
        <v>1.0</v>
      </c>
      <c r="I16" s="189">
        <v>0.0</v>
      </c>
      <c r="J16" s="189">
        <v>0.0</v>
      </c>
      <c r="K16" s="189">
        <v>0.0</v>
      </c>
      <c r="L16" s="189">
        <v>0.0</v>
      </c>
      <c r="M16" s="189">
        <v>10.0</v>
      </c>
      <c r="N16" s="189">
        <v>0.0</v>
      </c>
      <c r="O16" s="272">
        <v>70.0</v>
      </c>
      <c r="P16" s="189">
        <v>0.0</v>
      </c>
      <c r="Q16" s="189">
        <v>0.0</v>
      </c>
      <c r="R16" s="189">
        <v>0.0</v>
      </c>
      <c r="S16" s="189">
        <v>0.0</v>
      </c>
      <c r="T16" s="189">
        <v>0.0</v>
      </c>
      <c r="U16" s="189">
        <v>0.0</v>
      </c>
      <c r="V16" s="189">
        <v>0.0</v>
      </c>
    </row>
    <row r="18">
      <c r="I18" s="1">
        <v>1.0</v>
      </c>
      <c r="J18" s="1">
        <v>2.0</v>
      </c>
    </row>
    <row r="21" ht="15.75" customHeight="1">
      <c r="A21" s="148"/>
    </row>
  </sheetData>
  <conditionalFormatting sqref="B12:V16">
    <cfRule type="cellIs" dxfId="4" priority="1" operator="greaterThan">
      <formula>0</formula>
    </cfRule>
  </conditionalFormatting>
  <conditionalFormatting sqref="A12:V16">
    <cfRule type="expression" dxfId="5" priority="2">
      <formula>ISEVEN(ROW()-12+1)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8.0"/>
    <col customWidth="1" min="3" max="23" width="4.5"/>
    <col customWidth="1" min="24" max="26" width="8.63"/>
  </cols>
  <sheetData>
    <row r="1" ht="21.75" customHeight="1">
      <c r="A1" s="148" t="s">
        <v>206</v>
      </c>
    </row>
    <row r="2" ht="19.5" customHeight="1">
      <c r="A2" s="149" t="s">
        <v>106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</row>
    <row r="3">
      <c r="A3" s="151" t="s">
        <v>207</v>
      </c>
      <c r="B3" s="154">
        <v>3.0</v>
      </c>
    </row>
    <row r="4">
      <c r="A4" s="151" t="s">
        <v>208</v>
      </c>
      <c r="B4" s="152">
        <v>5.0</v>
      </c>
    </row>
    <row r="5">
      <c r="A5" s="151" t="s">
        <v>209</v>
      </c>
      <c r="B5" s="152" t="b">
        <f>TRUE()</f>
        <v>1</v>
      </c>
    </row>
    <row r="7" ht="19.5" customHeight="1">
      <c r="A7" s="149" t="s">
        <v>133</v>
      </c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</row>
    <row r="8" ht="90.0" customHeight="1">
      <c r="A8" s="162" t="s">
        <v>210</v>
      </c>
      <c r="B8" s="163" t="s">
        <v>211</v>
      </c>
      <c r="C8" s="164" t="s">
        <v>76</v>
      </c>
      <c r="D8" s="165" t="s">
        <v>46</v>
      </c>
      <c r="E8" s="165" t="s">
        <v>121</v>
      </c>
      <c r="F8" s="165" t="s">
        <v>47</v>
      </c>
      <c r="G8" s="165" t="s">
        <v>48</v>
      </c>
      <c r="H8" s="165" t="s">
        <v>50</v>
      </c>
      <c r="I8" s="165" t="s">
        <v>52</v>
      </c>
      <c r="J8" s="165" t="s">
        <v>53</v>
      </c>
      <c r="K8" s="165" t="s">
        <v>54</v>
      </c>
      <c r="L8" s="165" t="s">
        <v>55</v>
      </c>
      <c r="M8" s="165" t="s">
        <v>56</v>
      </c>
      <c r="N8" s="165" t="s">
        <v>57</v>
      </c>
      <c r="O8" s="165" t="s">
        <v>58</v>
      </c>
      <c r="P8" s="165" t="s">
        <v>135</v>
      </c>
      <c r="Q8" s="165" t="s">
        <v>122</v>
      </c>
      <c r="R8" s="165" t="s">
        <v>123</v>
      </c>
      <c r="S8" s="165" t="s">
        <v>124</v>
      </c>
      <c r="T8" s="165" t="s">
        <v>125</v>
      </c>
      <c r="U8" s="165" t="s">
        <v>126</v>
      </c>
      <c r="V8" s="165" t="s">
        <v>127</v>
      </c>
      <c r="W8" s="165" t="s">
        <v>128</v>
      </c>
    </row>
    <row r="9">
      <c r="A9" s="167">
        <v>1.0</v>
      </c>
      <c r="B9" s="168">
        <v>15.0</v>
      </c>
      <c r="C9" s="219">
        <v>0.0</v>
      </c>
      <c r="D9" s="167">
        <v>0.0</v>
      </c>
      <c r="E9" s="167">
        <v>0.0</v>
      </c>
      <c r="F9" s="167">
        <v>0.0</v>
      </c>
      <c r="G9" s="167">
        <v>1.0</v>
      </c>
      <c r="H9" s="167">
        <v>0.0</v>
      </c>
      <c r="I9" s="167">
        <v>0.0</v>
      </c>
      <c r="J9" s="167">
        <v>0.0</v>
      </c>
      <c r="K9" s="167">
        <v>0.0</v>
      </c>
      <c r="L9" s="167">
        <v>0.0</v>
      </c>
      <c r="M9" s="167">
        <v>0.0</v>
      </c>
      <c r="N9" s="167">
        <v>0.0</v>
      </c>
      <c r="O9" s="167">
        <v>0.0</v>
      </c>
      <c r="P9" s="167">
        <v>0.0</v>
      </c>
      <c r="Q9" s="167">
        <v>0.0</v>
      </c>
      <c r="R9" s="167">
        <v>0.0</v>
      </c>
      <c r="S9" s="167">
        <v>0.0</v>
      </c>
      <c r="T9" s="167">
        <v>0.0</v>
      </c>
      <c r="U9" s="167">
        <v>0.0</v>
      </c>
      <c r="V9" s="167">
        <v>0.0</v>
      </c>
      <c r="W9" s="167">
        <v>0.0</v>
      </c>
    </row>
    <row r="10">
      <c r="A10" s="167">
        <v>2.0</v>
      </c>
      <c r="B10" s="168">
        <v>40.0</v>
      </c>
      <c r="C10" s="219">
        <v>0.0</v>
      </c>
      <c r="D10" s="167">
        <v>0.0</v>
      </c>
      <c r="E10" s="167">
        <v>0.0</v>
      </c>
      <c r="F10" s="167">
        <v>0.0</v>
      </c>
      <c r="G10" s="167">
        <v>0.0</v>
      </c>
      <c r="H10" s="167">
        <v>0.0</v>
      </c>
      <c r="I10" s="167">
        <v>0.0</v>
      </c>
      <c r="J10" s="167">
        <v>0.0</v>
      </c>
      <c r="K10" s="167">
        <v>0.0</v>
      </c>
      <c r="L10" s="167">
        <v>0.0</v>
      </c>
      <c r="M10" s="167">
        <v>10.0</v>
      </c>
      <c r="N10" s="167">
        <v>0.0</v>
      </c>
      <c r="O10" s="167">
        <v>0.0</v>
      </c>
      <c r="P10" s="167">
        <v>0.0</v>
      </c>
      <c r="Q10" s="167">
        <v>0.0</v>
      </c>
      <c r="R10" s="167">
        <v>0.0</v>
      </c>
      <c r="S10" s="167">
        <v>0.0</v>
      </c>
      <c r="T10" s="167">
        <v>0.0</v>
      </c>
      <c r="U10" s="167">
        <v>0.0</v>
      </c>
      <c r="V10" s="167">
        <v>0.0</v>
      </c>
      <c r="W10" s="167">
        <v>0.0</v>
      </c>
    </row>
    <row r="11">
      <c r="A11" s="167">
        <v>3.0</v>
      </c>
      <c r="B11" s="168">
        <v>70.0</v>
      </c>
      <c r="C11" s="219">
        <v>0.0</v>
      </c>
      <c r="D11" s="167">
        <v>0.0</v>
      </c>
      <c r="E11" s="167">
        <v>0.0</v>
      </c>
      <c r="F11" s="167">
        <v>0.0</v>
      </c>
      <c r="G11" s="167">
        <v>0.0</v>
      </c>
      <c r="H11" s="167">
        <v>0.0</v>
      </c>
      <c r="I11" s="167">
        <v>0.0</v>
      </c>
      <c r="J11" s="167">
        <v>0.0</v>
      </c>
      <c r="K11" s="167">
        <v>0.0</v>
      </c>
      <c r="L11" s="167">
        <v>0.0</v>
      </c>
      <c r="M11" s="167">
        <v>0.0</v>
      </c>
      <c r="N11" s="167">
        <v>10.0</v>
      </c>
      <c r="O11" s="167">
        <v>0.0</v>
      </c>
      <c r="P11" s="167">
        <v>0.0</v>
      </c>
      <c r="Q11" s="167">
        <v>0.0</v>
      </c>
      <c r="R11" s="167">
        <v>0.0</v>
      </c>
      <c r="S11" s="167">
        <v>0.0</v>
      </c>
      <c r="T11" s="167">
        <v>0.0</v>
      </c>
      <c r="U11" s="167">
        <v>0.0</v>
      </c>
      <c r="V11" s="167">
        <v>0.0</v>
      </c>
      <c r="W11" s="167">
        <v>0.0</v>
      </c>
    </row>
    <row r="12">
      <c r="A12" s="167">
        <v>4.0</v>
      </c>
      <c r="B12" s="168">
        <v>110.0</v>
      </c>
      <c r="C12" s="219">
        <v>0.0</v>
      </c>
      <c r="D12" s="167">
        <v>0.0</v>
      </c>
      <c r="E12" s="167">
        <v>0.0</v>
      </c>
      <c r="F12" s="167">
        <v>0.0</v>
      </c>
      <c r="G12" s="167">
        <v>0.0</v>
      </c>
      <c r="H12" s="167">
        <v>0.0</v>
      </c>
      <c r="I12" s="167">
        <v>0.0</v>
      </c>
      <c r="J12" s="167">
        <v>0.0</v>
      </c>
      <c r="K12" s="167">
        <v>0.0</v>
      </c>
      <c r="L12" s="167">
        <v>30.0</v>
      </c>
      <c r="M12" s="167">
        <v>0.0</v>
      </c>
      <c r="N12" s="167">
        <v>0.0</v>
      </c>
      <c r="O12" s="167">
        <v>0.0</v>
      </c>
      <c r="P12" s="167">
        <v>0.0</v>
      </c>
      <c r="Q12" s="167">
        <v>0.0</v>
      </c>
      <c r="R12" s="167">
        <v>0.0</v>
      </c>
      <c r="S12" s="167">
        <v>0.0</v>
      </c>
      <c r="T12" s="167">
        <v>0.0</v>
      </c>
      <c r="U12" s="167">
        <v>0.0</v>
      </c>
      <c r="V12" s="167">
        <v>0.0</v>
      </c>
      <c r="W12" s="167">
        <v>0.0</v>
      </c>
    </row>
    <row r="13">
      <c r="A13" s="167">
        <v>5.0</v>
      </c>
      <c r="B13" s="168">
        <v>160.0</v>
      </c>
      <c r="C13" s="219">
        <v>25.0</v>
      </c>
      <c r="D13" s="167">
        <v>0.0</v>
      </c>
      <c r="E13" s="167">
        <v>0.0</v>
      </c>
      <c r="F13" s="167">
        <v>0.0</v>
      </c>
      <c r="G13" s="167">
        <v>0.0</v>
      </c>
      <c r="H13" s="167">
        <v>0.0</v>
      </c>
      <c r="I13" s="167">
        <v>0.0</v>
      </c>
      <c r="J13" s="167">
        <v>0.0</v>
      </c>
      <c r="K13" s="167">
        <v>0.0</v>
      </c>
      <c r="L13" s="167">
        <v>0.0</v>
      </c>
      <c r="M13" s="167">
        <v>0.0</v>
      </c>
      <c r="N13" s="167">
        <v>0.0</v>
      </c>
      <c r="O13" s="167">
        <v>0.0</v>
      </c>
      <c r="P13" s="167">
        <v>0.0</v>
      </c>
      <c r="Q13" s="167">
        <v>0.0</v>
      </c>
      <c r="R13" s="167">
        <v>0.0</v>
      </c>
      <c r="S13" s="167">
        <v>0.0</v>
      </c>
      <c r="T13" s="167">
        <v>0.0</v>
      </c>
      <c r="U13" s="167">
        <v>0.0</v>
      </c>
      <c r="V13" s="167">
        <v>0.0</v>
      </c>
      <c r="W13" s="167">
        <v>0.0</v>
      </c>
    </row>
    <row r="14">
      <c r="A14" s="167">
        <v>6.0</v>
      </c>
      <c r="B14" s="168">
        <v>220.0</v>
      </c>
      <c r="C14" s="219">
        <v>0.0</v>
      </c>
      <c r="D14" s="167">
        <v>0.0</v>
      </c>
      <c r="E14" s="167">
        <v>0.0</v>
      </c>
      <c r="F14" s="167">
        <v>0.0</v>
      </c>
      <c r="G14" s="167">
        <v>0.0</v>
      </c>
      <c r="H14" s="167">
        <v>0.0</v>
      </c>
      <c r="I14" s="167">
        <v>0.0</v>
      </c>
      <c r="J14" s="167">
        <v>0.0</v>
      </c>
      <c r="K14" s="167">
        <v>0.0</v>
      </c>
      <c r="L14" s="167">
        <v>0.0</v>
      </c>
      <c r="M14" s="167">
        <v>0.0</v>
      </c>
      <c r="N14" s="167">
        <v>0.0</v>
      </c>
      <c r="O14" s="167">
        <v>10.0</v>
      </c>
      <c r="P14" s="167">
        <v>0.0</v>
      </c>
      <c r="Q14" s="167">
        <v>0.0</v>
      </c>
      <c r="R14" s="167">
        <v>0.0</v>
      </c>
      <c r="S14" s="167">
        <v>0.0</v>
      </c>
      <c r="T14" s="167">
        <v>0.0</v>
      </c>
      <c r="U14" s="167">
        <v>0.0</v>
      </c>
      <c r="V14" s="167">
        <v>0.0</v>
      </c>
      <c r="W14" s="167">
        <v>0.0</v>
      </c>
    </row>
    <row r="15">
      <c r="A15" s="167">
        <v>7.0</v>
      </c>
      <c r="B15" s="168">
        <v>290.0</v>
      </c>
      <c r="C15" s="219">
        <v>0.0</v>
      </c>
      <c r="D15" s="167">
        <v>0.0</v>
      </c>
      <c r="E15" s="167">
        <v>0.0</v>
      </c>
      <c r="F15" s="167">
        <v>1.0</v>
      </c>
      <c r="G15" s="167">
        <v>0.0</v>
      </c>
      <c r="H15" s="167">
        <v>0.0</v>
      </c>
      <c r="I15" s="167">
        <v>0.0</v>
      </c>
      <c r="J15" s="167">
        <v>0.0</v>
      </c>
      <c r="K15" s="167">
        <v>0.0</v>
      </c>
      <c r="L15" s="167">
        <v>0.0</v>
      </c>
      <c r="M15" s="167">
        <v>0.0</v>
      </c>
      <c r="N15" s="167">
        <v>0.0</v>
      </c>
      <c r="O15" s="167">
        <v>0.0</v>
      </c>
      <c r="P15" s="167">
        <v>0.0</v>
      </c>
      <c r="Q15" s="167">
        <v>0.0</v>
      </c>
      <c r="R15" s="167">
        <v>0.0</v>
      </c>
      <c r="S15" s="167">
        <v>0.0</v>
      </c>
      <c r="T15" s="167">
        <v>0.0</v>
      </c>
      <c r="U15" s="167">
        <v>0.0</v>
      </c>
      <c r="V15" s="167">
        <v>0.0</v>
      </c>
      <c r="W15" s="167">
        <v>0.0</v>
      </c>
    </row>
    <row r="16">
      <c r="A16" s="167">
        <v>8.0</v>
      </c>
      <c r="B16" s="168">
        <v>370.0</v>
      </c>
      <c r="C16" s="219">
        <v>0.0</v>
      </c>
      <c r="D16" s="167">
        <v>0.0</v>
      </c>
      <c r="E16" s="167">
        <v>0.0</v>
      </c>
      <c r="F16" s="167">
        <v>0.0</v>
      </c>
      <c r="G16" s="167">
        <v>0.0</v>
      </c>
      <c r="H16" s="167">
        <v>0.0</v>
      </c>
      <c r="I16" s="167">
        <v>0.0</v>
      </c>
      <c r="J16" s="167">
        <v>0.0</v>
      </c>
      <c r="K16" s="167">
        <v>0.0</v>
      </c>
      <c r="L16" s="167">
        <v>60.0</v>
      </c>
      <c r="M16" s="167">
        <v>0.0</v>
      </c>
      <c r="N16" s="167">
        <v>0.0</v>
      </c>
      <c r="O16" s="167">
        <v>0.0</v>
      </c>
      <c r="P16" s="167">
        <v>0.0</v>
      </c>
      <c r="Q16" s="167">
        <v>0.0</v>
      </c>
      <c r="R16" s="167">
        <v>0.0</v>
      </c>
      <c r="S16" s="167">
        <v>0.0</v>
      </c>
      <c r="T16" s="167">
        <v>0.0</v>
      </c>
      <c r="U16" s="167">
        <v>0.0</v>
      </c>
      <c r="V16" s="167">
        <v>0.0</v>
      </c>
      <c r="W16" s="167">
        <v>0.0</v>
      </c>
    </row>
    <row r="17">
      <c r="A17" s="167">
        <v>9.0</v>
      </c>
      <c r="B17" s="168">
        <v>460.0</v>
      </c>
      <c r="C17" s="219">
        <v>0.0</v>
      </c>
      <c r="D17" s="167">
        <v>0.0</v>
      </c>
      <c r="E17" s="167">
        <v>0.0</v>
      </c>
      <c r="F17" s="167">
        <v>0.0</v>
      </c>
      <c r="G17" s="167">
        <v>0.0</v>
      </c>
      <c r="H17" s="167">
        <v>0.0</v>
      </c>
      <c r="I17" s="167">
        <v>0.0</v>
      </c>
      <c r="J17" s="167">
        <v>0.0</v>
      </c>
      <c r="K17" s="167">
        <v>0.0</v>
      </c>
      <c r="L17" s="167">
        <v>0.0</v>
      </c>
      <c r="M17" s="167">
        <v>15.0</v>
      </c>
      <c r="N17" s="167">
        <v>0.0</v>
      </c>
      <c r="O17" s="167">
        <v>0.0</v>
      </c>
      <c r="P17" s="167">
        <v>0.0</v>
      </c>
      <c r="Q17" s="167">
        <v>0.0</v>
      </c>
      <c r="R17" s="167">
        <v>0.0</v>
      </c>
      <c r="S17" s="167">
        <v>0.0</v>
      </c>
      <c r="T17" s="167">
        <v>0.0</v>
      </c>
      <c r="U17" s="167">
        <v>0.0</v>
      </c>
      <c r="V17" s="167">
        <v>0.0</v>
      </c>
      <c r="W17" s="167">
        <v>0.0</v>
      </c>
    </row>
    <row r="18">
      <c r="A18" s="167">
        <v>10.0</v>
      </c>
      <c r="B18" s="168">
        <v>560.0</v>
      </c>
      <c r="C18" s="219">
        <v>25.0</v>
      </c>
      <c r="D18" s="167">
        <v>0.0</v>
      </c>
      <c r="E18" s="167">
        <v>0.0</v>
      </c>
      <c r="F18" s="167">
        <v>0.0</v>
      </c>
      <c r="G18" s="167">
        <v>0.0</v>
      </c>
      <c r="H18" s="167">
        <v>0.0</v>
      </c>
      <c r="I18" s="167">
        <v>0.0</v>
      </c>
      <c r="J18" s="167">
        <v>0.0</v>
      </c>
      <c r="K18" s="167">
        <v>0.0</v>
      </c>
      <c r="L18" s="167">
        <v>0.0</v>
      </c>
      <c r="M18" s="167">
        <v>0.0</v>
      </c>
      <c r="N18" s="167">
        <v>0.0</v>
      </c>
      <c r="O18" s="167">
        <v>0.0</v>
      </c>
      <c r="P18" s="167">
        <v>0.0</v>
      </c>
      <c r="Q18" s="167">
        <v>0.0</v>
      </c>
      <c r="R18" s="167">
        <v>0.0</v>
      </c>
      <c r="S18" s="167">
        <v>0.0</v>
      </c>
      <c r="T18" s="167">
        <v>0.0</v>
      </c>
      <c r="U18" s="167">
        <v>0.0</v>
      </c>
      <c r="V18" s="167">
        <v>0.0</v>
      </c>
      <c r="W18" s="167">
        <v>0.0</v>
      </c>
    </row>
    <row r="19">
      <c r="A19" s="167">
        <v>11.0</v>
      </c>
      <c r="B19" s="168">
        <v>670.0</v>
      </c>
      <c r="C19" s="219">
        <v>0.0</v>
      </c>
      <c r="D19" s="167">
        <v>0.0</v>
      </c>
      <c r="E19" s="167">
        <v>0.0</v>
      </c>
      <c r="F19" s="167">
        <v>0.0</v>
      </c>
      <c r="G19" s="167">
        <v>0.0</v>
      </c>
      <c r="H19" s="167">
        <v>0.0</v>
      </c>
      <c r="I19" s="167">
        <v>0.0</v>
      </c>
      <c r="J19" s="167">
        <v>0.0</v>
      </c>
      <c r="K19" s="167">
        <v>0.0</v>
      </c>
      <c r="L19" s="167">
        <v>0.0</v>
      </c>
      <c r="M19" s="167">
        <v>0.0</v>
      </c>
      <c r="N19" s="167">
        <v>15.0</v>
      </c>
      <c r="O19" s="167">
        <v>0.0</v>
      </c>
      <c r="P19" s="167">
        <v>0.0</v>
      </c>
      <c r="Q19" s="167">
        <v>0.0</v>
      </c>
      <c r="R19" s="167">
        <v>0.0</v>
      </c>
      <c r="S19" s="167">
        <v>0.0</v>
      </c>
      <c r="T19" s="167">
        <v>0.0</v>
      </c>
      <c r="U19" s="167">
        <v>0.0</v>
      </c>
      <c r="V19" s="167">
        <v>0.0</v>
      </c>
      <c r="W19" s="167">
        <v>0.0</v>
      </c>
    </row>
    <row r="20">
      <c r="A20" s="167">
        <v>12.0</v>
      </c>
      <c r="B20" s="168">
        <v>790.0</v>
      </c>
      <c r="C20" s="219">
        <v>0.0</v>
      </c>
      <c r="D20" s="167">
        <v>0.0</v>
      </c>
      <c r="E20" s="167">
        <v>0.0</v>
      </c>
      <c r="F20" s="167">
        <v>0.0</v>
      </c>
      <c r="G20" s="167">
        <v>0.0</v>
      </c>
      <c r="H20" s="167">
        <v>0.0</v>
      </c>
      <c r="I20" s="167">
        <v>0.0</v>
      </c>
      <c r="J20" s="167">
        <v>0.0</v>
      </c>
      <c r="K20" s="167">
        <v>0.0</v>
      </c>
      <c r="L20" s="167">
        <v>0.0</v>
      </c>
      <c r="M20" s="167">
        <v>0.0</v>
      </c>
      <c r="N20" s="167">
        <v>0.0</v>
      </c>
      <c r="O20" s="167">
        <v>15.0</v>
      </c>
      <c r="P20" s="167">
        <v>0.0</v>
      </c>
      <c r="Q20" s="167">
        <v>0.0</v>
      </c>
      <c r="R20" s="167">
        <v>0.0</v>
      </c>
      <c r="S20" s="167">
        <v>0.0</v>
      </c>
      <c r="T20" s="167">
        <v>0.0</v>
      </c>
      <c r="U20" s="167">
        <v>0.0</v>
      </c>
      <c r="V20" s="167">
        <v>0.0</v>
      </c>
      <c r="W20" s="167">
        <v>0.0</v>
      </c>
    </row>
    <row r="21" ht="15.75" customHeight="1">
      <c r="A21" s="167">
        <v>13.0</v>
      </c>
      <c r="B21" s="168">
        <v>920.0</v>
      </c>
      <c r="C21" s="219">
        <v>0.0</v>
      </c>
      <c r="D21" s="167">
        <v>0.0</v>
      </c>
      <c r="E21" s="167">
        <v>0.0</v>
      </c>
      <c r="F21" s="167">
        <v>0.0</v>
      </c>
      <c r="G21" s="167">
        <v>0.0</v>
      </c>
      <c r="H21" s="167">
        <v>0.0</v>
      </c>
      <c r="I21" s="167">
        <v>1.0</v>
      </c>
      <c r="J21" s="167">
        <v>0.0</v>
      </c>
      <c r="K21" s="167">
        <v>0.0</v>
      </c>
      <c r="L21" s="167">
        <v>0.0</v>
      </c>
      <c r="M21" s="167">
        <v>0.0</v>
      </c>
      <c r="N21" s="167">
        <v>0.0</v>
      </c>
      <c r="O21" s="167">
        <v>0.0</v>
      </c>
      <c r="P21" s="167">
        <v>0.0</v>
      </c>
      <c r="Q21" s="167">
        <v>0.0</v>
      </c>
      <c r="R21" s="167">
        <v>0.0</v>
      </c>
      <c r="S21" s="167">
        <v>0.0</v>
      </c>
      <c r="T21" s="167">
        <v>0.0</v>
      </c>
      <c r="U21" s="167">
        <v>0.0</v>
      </c>
      <c r="V21" s="167">
        <v>0.0</v>
      </c>
      <c r="W21" s="167">
        <v>0.0</v>
      </c>
    </row>
    <row r="22" ht="15.75" customHeight="1">
      <c r="A22" s="167">
        <v>14.0</v>
      </c>
      <c r="B22" s="168">
        <v>1060.0</v>
      </c>
      <c r="C22" s="219">
        <v>0.0</v>
      </c>
      <c r="D22" s="167">
        <v>0.0</v>
      </c>
      <c r="E22" s="167">
        <v>0.0</v>
      </c>
      <c r="F22" s="167">
        <v>0.0</v>
      </c>
      <c r="G22" s="167">
        <v>0.0</v>
      </c>
      <c r="H22" s="167">
        <v>0.0</v>
      </c>
      <c r="I22" s="167">
        <v>0.0</v>
      </c>
      <c r="J22" s="167">
        <v>0.0</v>
      </c>
      <c r="K22" s="167">
        <v>0.0</v>
      </c>
      <c r="L22" s="167">
        <v>60.0</v>
      </c>
      <c r="M22" s="167">
        <v>0.0</v>
      </c>
      <c r="N22" s="167">
        <v>0.0</v>
      </c>
      <c r="O22" s="167">
        <v>0.0</v>
      </c>
      <c r="P22" s="167">
        <v>0.0</v>
      </c>
      <c r="Q22" s="167">
        <v>0.0</v>
      </c>
      <c r="R22" s="167">
        <v>0.0</v>
      </c>
      <c r="S22" s="167">
        <v>0.0</v>
      </c>
      <c r="T22" s="167">
        <v>0.0</v>
      </c>
      <c r="U22" s="167">
        <v>0.0</v>
      </c>
      <c r="V22" s="167">
        <v>0.0</v>
      </c>
      <c r="W22" s="167">
        <v>0.0</v>
      </c>
    </row>
    <row r="23" ht="15.75" customHeight="1">
      <c r="A23" s="167">
        <v>15.0</v>
      </c>
      <c r="B23" s="168">
        <v>1210.0</v>
      </c>
      <c r="C23" s="219">
        <v>0.0</v>
      </c>
      <c r="D23" s="167">
        <v>0.0</v>
      </c>
      <c r="E23" s="167">
        <v>0.0</v>
      </c>
      <c r="F23" s="167">
        <v>0.0</v>
      </c>
      <c r="G23" s="167">
        <v>0.0</v>
      </c>
      <c r="H23" s="167">
        <v>0.0</v>
      </c>
      <c r="I23" s="167">
        <v>0.0</v>
      </c>
      <c r="J23" s="167">
        <v>1.0</v>
      </c>
      <c r="K23" s="167">
        <v>0.0</v>
      </c>
      <c r="L23" s="167">
        <v>0.0</v>
      </c>
      <c r="M23" s="167">
        <v>0.0</v>
      </c>
      <c r="N23" s="167">
        <v>0.0</v>
      </c>
      <c r="O23" s="167">
        <v>0.0</v>
      </c>
      <c r="P23" s="167">
        <v>0.0</v>
      </c>
      <c r="Q23" s="167">
        <v>0.0</v>
      </c>
      <c r="R23" s="167">
        <v>0.0</v>
      </c>
      <c r="S23" s="167">
        <v>0.0</v>
      </c>
      <c r="T23" s="167">
        <v>0.0</v>
      </c>
      <c r="U23" s="167">
        <v>0.0</v>
      </c>
      <c r="V23" s="167">
        <v>0.0</v>
      </c>
      <c r="W23" s="167">
        <v>0.0</v>
      </c>
    </row>
    <row r="24" ht="15.75" customHeight="1">
      <c r="A24" s="239" t="s">
        <v>212</v>
      </c>
      <c r="B24" s="168"/>
      <c r="C24" s="219">
        <v>50.0</v>
      </c>
      <c r="D24" s="167">
        <v>0.0</v>
      </c>
      <c r="E24" s="167">
        <v>0.0</v>
      </c>
      <c r="F24" s="167">
        <v>0.0</v>
      </c>
      <c r="G24" s="167">
        <v>0.0</v>
      </c>
      <c r="H24" s="167">
        <v>1.0</v>
      </c>
      <c r="I24" s="167">
        <v>0.0</v>
      </c>
      <c r="J24" s="167">
        <v>0.0</v>
      </c>
      <c r="K24" s="167">
        <v>1.0</v>
      </c>
      <c r="L24" s="167">
        <v>0.0</v>
      </c>
      <c r="M24" s="167">
        <v>0.0</v>
      </c>
      <c r="N24" s="167">
        <v>0.0</v>
      </c>
      <c r="O24" s="167">
        <v>0.0</v>
      </c>
      <c r="P24" s="167">
        <v>0.0</v>
      </c>
      <c r="Q24" s="167">
        <v>0.0</v>
      </c>
      <c r="R24" s="167">
        <v>0.0</v>
      </c>
      <c r="S24" s="167">
        <v>0.0</v>
      </c>
      <c r="T24" s="167">
        <v>0.0</v>
      </c>
      <c r="U24" s="167">
        <v>0.0</v>
      </c>
      <c r="V24" s="167">
        <v>0.0</v>
      </c>
      <c r="W24" s="167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4" priority="1" operator="greaterThan">
      <formula>0</formula>
    </cfRule>
  </conditionalFormatting>
  <conditionalFormatting sqref="A9:W24">
    <cfRule type="expression" dxfId="5" priority="2">
      <formula>ISEVEN(ROW()-9+1)</formula>
    </cfRule>
  </conditionalFormatting>
  <conditionalFormatting sqref="A1:B2 A4:B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7.0"/>
    <col customWidth="1" min="3" max="23" width="3.75"/>
    <col customWidth="1" min="24" max="24" width="7.5"/>
    <col customWidth="1" min="25" max="32" width="7.63"/>
    <col customWidth="1" min="33" max="33" width="2.5"/>
    <col customWidth="1" min="34" max="34" width="11.0"/>
    <col customWidth="1" min="35" max="35" width="5.5"/>
    <col customWidth="1" min="36" max="36" width="14.13"/>
    <col customWidth="1" min="37" max="37" width="5.5"/>
    <col customWidth="1" min="38" max="38" width="14.13"/>
    <col customWidth="1" min="39" max="39" width="5.5"/>
    <col customWidth="1" min="40" max="40" width="14.13"/>
    <col customWidth="1" min="41" max="41" width="5.5"/>
    <col customWidth="1" min="42" max="42" width="14.13"/>
    <col customWidth="1" min="43" max="43" width="5.5"/>
    <col customWidth="1" min="44" max="44" width="14.13"/>
  </cols>
  <sheetData>
    <row r="1" ht="21.75" customHeight="1">
      <c r="A1" s="171" t="s">
        <v>206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AH1" s="222" t="s">
        <v>176</v>
      </c>
    </row>
    <row r="2" ht="19.5" customHeight="1">
      <c r="A2" s="174" t="s">
        <v>106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AH2" s="223" t="s">
        <v>177</v>
      </c>
      <c r="AI2" s="224" t="s">
        <v>178</v>
      </c>
    </row>
    <row r="3">
      <c r="A3" s="176" t="s">
        <v>207</v>
      </c>
      <c r="B3" s="225">
        <v>3.0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AH3" s="223" t="s">
        <v>179</v>
      </c>
      <c r="AI3" s="232" t="s">
        <v>180</v>
      </c>
    </row>
    <row r="4">
      <c r="A4" s="176" t="s">
        <v>208</v>
      </c>
      <c r="B4" s="177">
        <v>5.0</v>
      </c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</row>
    <row r="5">
      <c r="A5" s="176" t="s">
        <v>209</v>
      </c>
      <c r="B5" s="177" t="b">
        <f>TRUE()</f>
        <v>1</v>
      </c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AH5" s="226" t="s">
        <v>181</v>
      </c>
      <c r="AI5" s="226" t="s">
        <v>182</v>
      </c>
      <c r="AJ5" s="226" t="s">
        <v>183</v>
      </c>
      <c r="AK5" s="226" t="s">
        <v>184</v>
      </c>
      <c r="AL5" s="226" t="s">
        <v>185</v>
      </c>
      <c r="AM5" s="226" t="s">
        <v>187</v>
      </c>
      <c r="AN5" s="226" t="s">
        <v>188</v>
      </c>
      <c r="AO5" s="226" t="s">
        <v>189</v>
      </c>
      <c r="AP5" s="226" t="s">
        <v>191</v>
      </c>
      <c r="AQ5" s="226" t="s">
        <v>192</v>
      </c>
      <c r="AR5" s="226" t="s">
        <v>194</v>
      </c>
    </row>
    <row r="6">
      <c r="A6" s="172"/>
      <c r="B6" s="172"/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AH6" s="227">
        <f>IF(1&lt;=$B$3,1,"")</f>
        <v>1</v>
      </c>
      <c r="AI6" s="237">
        <f t="array" ref="AI6">IF($AH6="","",LET(bal,SUMIFS(data_event_inst!$N:$N,data_event_inst!$A:$A,"Bombs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Ballet",data_event_accrual!$B:$B,$AI$3,data_event_accrual!$C:$C,"0-9",data_event_accrual!$E:$E,$AH6),AVERAGEIFS(data_event_accrual!$K:$K,data_event_accrual!$A:$A,"Bombs Ballet",data_event_accrual!$B:$B,$AI$3,data_event_accrual!$C:$C,"0-9",data_event_accrual!$E:$E,$AH6),AVERAGEIFS(data_event_accrual!$J:$J,data_event_accrual!$A:$A,"Bombs Ballet",data_event_accrual!$B:$B,$AI$3,data_event_accrual!$C:$C,"0-9",data_event_accrual!$E:$E,$AH6),AVERAGEIFS(data_event_accrual!$L:$L,data_event_accrual!$A:$A,"Bombs Ballet",data_event_accrual!$B:$B,$AI$3,data_event_accrual!$C:$C,"0-9",data_event_accrual!$E:$E,$AH6)),1)),COUNTIF($B$9:$B$23,"&lt;="&amp;bal*shr)))</f>
        <v>0</v>
      </c>
      <c r="AJ6" s="238" t="str">
        <f t="array" ref="AJ6">IF($AH6="","",IF(AI6=0,"{}",LET(m,IF(AI6=15,16,AI6),s,MMULT(SEQUENCE(1,m,1,0),$C$9:$W$24),"{"&amp;TEXTJOIN(", ",TRUE,IF(s&gt;0,$C$8:$W$8&amp;": "&amp;ROUND(s,2),""))&amp;"}")))</f>
        <v>{}</v>
      </c>
      <c r="AK6" s="237">
        <f t="array" ref="AK6">IF($AH6="","",LET(bal,SUMIFS(data_event_inst!$N:$N,data_event_inst!$A:$A,"Bombs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Ballet",data_event_accrual!$B:$B,$AI$3,data_event_accrual!$C:$C,"10-19",data_event_accrual!$E:$E,$AH6),AVERAGEIFS(data_event_accrual!$K:$K,data_event_accrual!$A:$A,"Bombs Ballet",data_event_accrual!$B:$B,$AI$3,data_event_accrual!$C:$C,"10-19",data_event_accrual!$E:$E,$AH6),AVERAGEIFS(data_event_accrual!$J:$J,data_event_accrual!$A:$A,"Bombs Ballet",data_event_accrual!$B:$B,$AI$3,data_event_accrual!$C:$C,"10-19",data_event_accrual!$E:$E,$AH6),AVERAGEIFS(data_event_accrual!$L:$L,data_event_accrual!$A:$A,"Bombs Ballet",data_event_accrual!$B:$B,$AI$3,data_event_accrual!$C:$C,"10-19",data_event_accrual!$E:$E,$AH6)),1)),COUNTIF($B$9:$B$23,"&lt;="&amp;bal*shr)))</f>
        <v>1</v>
      </c>
      <c r="AL6" s="238" t="str">
        <f t="array" ref="AL6">IF($AH6="","",IF(AK6=0,"{}",LET(m,IF(AK6=15,16,AK6),s,MMULT(SEQUENCE(1,m,1,0),$C$9:$W$24),"{"&amp;TEXTJOIN(", ",TRUE,IF(s&gt;0,$C$8:$W$8&amp;": "&amp;ROUND(s,2),""))&amp;"}")))</f>
        <v>{Chuck: 1}</v>
      </c>
      <c r="AM6" s="237">
        <f t="array" ref="AM6">IF($AH6="","",LET(bal,SUMIFS(data_event_inst!$N:$N,data_event_inst!$A:$A,"Bombs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Ballet",data_event_accrual!$B:$B,$AI$3,data_event_accrual!$C:$C,"20-39",data_event_accrual!$E:$E,$AH6),AVERAGEIFS(data_event_accrual!$K:$K,data_event_accrual!$A:$A,"Bombs Ballet",data_event_accrual!$B:$B,$AI$3,data_event_accrual!$C:$C,"20-39",data_event_accrual!$E:$E,$AH6),AVERAGEIFS(data_event_accrual!$J:$J,data_event_accrual!$A:$A,"Bombs Ballet",data_event_accrual!$B:$B,$AI$3,data_event_accrual!$C:$C,"20-39",data_event_accrual!$E:$E,$AH6),AVERAGEIFS(data_event_accrual!$L:$L,data_event_accrual!$A:$A,"Bombs Ballet",data_event_accrual!$B:$B,$AI$3,data_event_accrual!$C:$C,"20-39",data_event_accrual!$E:$E,$AH6)),1)),COUNTIF($B$9:$B$23,"&lt;="&amp;bal*shr)))</f>
        <v>1</v>
      </c>
      <c r="AN6" s="238" t="str">
        <f t="array" ref="AN6">IF($AH6="","",IF(AM6=0,"{}",LET(m,IF(AM6=15,16,AM6),s,MMULT(SEQUENCE(1,m,1,0),$C$9:$W$24),"{"&amp;TEXTJOIN(", ",TRUE,IF(s&gt;0,$C$8:$W$8&amp;": "&amp;ROUND(s,2),""))&amp;"}")))</f>
        <v>{Chuck: 1}</v>
      </c>
      <c r="AO6" s="237">
        <f t="array" ref="AO6">IF($AH6="","",LET(bal,SUMIFS(data_event_inst!$N:$N,data_event_inst!$A:$A,"Bombs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Ballet",data_event_accrual!$B:$B,$AI$3,data_event_accrual!$C:$C,"40-99",data_event_accrual!$E:$E,$AH6),AVERAGEIFS(data_event_accrual!$K:$K,data_event_accrual!$A:$A,"Bombs Ballet",data_event_accrual!$B:$B,$AI$3,data_event_accrual!$C:$C,"40-99",data_event_accrual!$E:$E,$AH6),AVERAGEIFS(data_event_accrual!$J:$J,data_event_accrual!$A:$A,"Bombs Ballet",data_event_accrual!$B:$B,$AI$3,data_event_accrual!$C:$C,"40-99",data_event_accrual!$E:$E,$AH6),AVERAGEIFS(data_event_accrual!$L:$L,data_event_accrual!$A:$A,"Bombs Ballet",data_event_accrual!$B:$B,$AI$3,data_event_accrual!$C:$C,"40-99",data_event_accrual!$E:$E,$AH6)),1)),COUNTIF($B$9:$B$23,"&lt;="&amp;bal*shr)))</f>
        <v>3</v>
      </c>
      <c r="AP6" s="238" t="str">
        <f t="array" ref="AP6">IF($AH6="","",IF(AO6=0,"{}",LET(m,IF(AO6=15,16,AO6),s,MMULT(SEQUENCE(1,m,1,0),$C$9:$W$24),"{"&amp;TEXTJOIN(", ",TRUE,IF(s&gt;0,$C$8:$W$8&amp;": "&amp;ROUND(s,2),""))&amp;"}")))</f>
        <v>{Chuck: 1, Unlimited Red: 10, Unlimited Chuck: 10}</v>
      </c>
      <c r="AQ6" s="237">
        <f t="array" ref="AQ6">IF($AH6="","",LET(bal,SUMIFS(data_event_inst!$N:$N,data_event_inst!$A:$A,"Bombs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Ballet",data_event_accrual!$B:$B,$AI$3,data_event_accrual!$C:$C,"100+",data_event_accrual!$E:$E,$AH6),AVERAGEIFS(data_event_accrual!$K:$K,data_event_accrual!$A:$A,"Bombs Ballet",data_event_accrual!$B:$B,$AI$3,data_event_accrual!$C:$C,"100+",data_event_accrual!$E:$E,$AH6),AVERAGEIFS(data_event_accrual!$J:$J,data_event_accrual!$A:$A,"Bombs Ballet",data_event_accrual!$B:$B,$AI$3,data_event_accrual!$C:$C,"100+",data_event_accrual!$E:$E,$AH6),AVERAGEIFS(data_event_accrual!$L:$L,data_event_accrual!$A:$A,"Bombs Ballet",data_event_accrual!$B:$B,$AI$3,data_event_accrual!$C:$C,"100+",data_event_accrual!$E:$E,$AH6)),1)),COUNTIF($B$9:$B$23,"&lt;="&amp;bal*shr)))</f>
        <v>6</v>
      </c>
      <c r="AR6" s="238" t="str">
        <f t="array" ref="AR6">IF($AH6="","",IF(AQ6=0,"{}",LET(m,IF(AQ6=15,16,AQ6),s,MMULT(SEQUENCE(1,m,1,0),$C$9:$W$24),"{"&amp;TEXTJOIN(", ",TRUE,IF(s&gt;0,$C$8:$W$8&amp;": "&amp;ROUND(s,2),""))&amp;"}")))</f>
        <v>{Coins: 25, Chuck: 1, Unlimited Lives: 30, Unlimited Red: 10, Unlimited Chuck: 10, Unlimited Bomb: 10}</v>
      </c>
    </row>
    <row r="7" ht="19.5" customHeight="1">
      <c r="A7" s="174" t="s">
        <v>133</v>
      </c>
      <c r="B7" s="174"/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AH7" s="227">
        <f>IF(2&lt;=$B$3,2,"")</f>
        <v>2</v>
      </c>
      <c r="AI7" s="237">
        <f t="array" ref="AI7">IF($AH7="","",LET(bal,SUMIFS(data_event_inst!$N:$N,data_event_inst!$A:$A,"Bombs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Ballet",data_event_accrual!$B:$B,$AI$3,data_event_accrual!$C:$C,"0-9",data_event_accrual!$E:$E,$AH7),AVERAGEIFS(data_event_accrual!$K:$K,data_event_accrual!$A:$A,"Bombs Ballet",data_event_accrual!$B:$B,$AI$3,data_event_accrual!$C:$C,"0-9",data_event_accrual!$E:$E,$AH7),AVERAGEIFS(data_event_accrual!$J:$J,data_event_accrual!$A:$A,"Bombs Ballet",data_event_accrual!$B:$B,$AI$3,data_event_accrual!$C:$C,"0-9",data_event_accrual!$E:$E,$AH7),AVERAGEIFS(data_event_accrual!$L:$L,data_event_accrual!$A:$A,"Bombs Ballet",data_event_accrual!$B:$B,$AI$3,data_event_accrual!$C:$C,"0-9",data_event_accrual!$E:$E,$AH7)),1)),COUNTIF($B$9:$B$23,"&lt;="&amp;bal*shr)))</f>
        <v>1</v>
      </c>
      <c r="AJ7" s="238" t="str">
        <f t="array" ref="AJ7">IF($AH7="","",IF(AI7=0,"{}",LET(m,IF(AI7=15,16,AI7),s,MMULT(SEQUENCE(1,m,1,0),$C$9:$W$24),"{"&amp;TEXTJOIN(", ",TRUE,IF(s&gt;0,$C$8:$W$8&amp;": "&amp;ROUND(s,2),""))&amp;"}")))</f>
        <v>{Chuck: 1}</v>
      </c>
      <c r="AK7" s="237">
        <f t="array" ref="AK7">IF($AH7="","",LET(bal,SUMIFS(data_event_inst!$N:$N,data_event_inst!$A:$A,"Bombs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Ballet",data_event_accrual!$B:$B,$AI$3,data_event_accrual!$C:$C,"10-19",data_event_accrual!$E:$E,$AH7),AVERAGEIFS(data_event_accrual!$K:$K,data_event_accrual!$A:$A,"Bombs Ballet",data_event_accrual!$B:$B,$AI$3,data_event_accrual!$C:$C,"10-19",data_event_accrual!$E:$E,$AH7),AVERAGEIFS(data_event_accrual!$J:$J,data_event_accrual!$A:$A,"Bombs Ballet",data_event_accrual!$B:$B,$AI$3,data_event_accrual!$C:$C,"10-19",data_event_accrual!$E:$E,$AH7),AVERAGEIFS(data_event_accrual!$L:$L,data_event_accrual!$A:$A,"Bombs Ballet",data_event_accrual!$B:$B,$AI$3,data_event_accrual!$C:$C,"10-19",data_event_accrual!$E:$E,$AH7)),1)),COUNTIF($B$9:$B$23,"&lt;="&amp;bal*shr)))</f>
        <v>3</v>
      </c>
      <c r="AL7" s="238" t="str">
        <f t="array" ref="AL7">IF($AH7="","",IF(AK7=0,"{}",LET(m,IF(AK7=15,16,AK7),s,MMULT(SEQUENCE(1,m,1,0),$C$9:$W$24),"{"&amp;TEXTJOIN(", ",TRUE,IF(s&gt;0,$C$8:$W$8&amp;": "&amp;ROUND(s,2),""))&amp;"}")))</f>
        <v>{Chuck: 1, Unlimited Red: 10, Unlimited Chuck: 10}</v>
      </c>
      <c r="AM7" s="237">
        <f t="array" ref="AM7">IF($AH7="","",LET(bal,SUMIFS(data_event_inst!$N:$N,data_event_inst!$A:$A,"Bombs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Ballet",data_event_accrual!$B:$B,$AI$3,data_event_accrual!$C:$C,"20-39",data_event_accrual!$E:$E,$AH7),AVERAGEIFS(data_event_accrual!$K:$K,data_event_accrual!$A:$A,"Bombs Ballet",data_event_accrual!$B:$B,$AI$3,data_event_accrual!$C:$C,"20-39",data_event_accrual!$E:$E,$AH7),AVERAGEIFS(data_event_accrual!$J:$J,data_event_accrual!$A:$A,"Bombs Ballet",data_event_accrual!$B:$B,$AI$3,data_event_accrual!$C:$C,"20-39",data_event_accrual!$E:$E,$AH7),AVERAGEIFS(data_event_accrual!$L:$L,data_event_accrual!$A:$A,"Bombs Ballet",data_event_accrual!$B:$B,$AI$3,data_event_accrual!$C:$C,"20-39",data_event_accrual!$E:$E,$AH7)),1)),COUNTIF($B$9:$B$23,"&lt;="&amp;bal*shr)))</f>
        <v>4</v>
      </c>
      <c r="AN7" s="238" t="str">
        <f t="array" ref="AN7">IF($AH7="","",IF(AM7=0,"{}",LET(m,IF(AM7=15,16,AM7),s,MMULT(SEQUENCE(1,m,1,0),$C$9:$W$24),"{"&amp;TEXTJOIN(", ",TRUE,IF(s&gt;0,$C$8:$W$8&amp;": "&amp;ROUND(s,2),""))&amp;"}")))</f>
        <v>{Chuck: 1, Unlimited Lives: 30, Unlimited Red: 10, Unlimited Chuck: 10}</v>
      </c>
      <c r="AO7" s="237">
        <f t="array" ref="AO7">IF($AH7="","",LET(bal,SUMIFS(data_event_inst!$N:$N,data_event_inst!$A:$A,"Bombs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Ballet",data_event_accrual!$B:$B,$AI$3,data_event_accrual!$C:$C,"40-99",data_event_accrual!$E:$E,$AH7),AVERAGEIFS(data_event_accrual!$K:$K,data_event_accrual!$A:$A,"Bombs Ballet",data_event_accrual!$B:$B,$AI$3,data_event_accrual!$C:$C,"40-99",data_event_accrual!$E:$E,$AH7),AVERAGEIFS(data_event_accrual!$J:$J,data_event_accrual!$A:$A,"Bombs Ballet",data_event_accrual!$B:$B,$AI$3,data_event_accrual!$C:$C,"40-99",data_event_accrual!$E:$E,$AH7),AVERAGEIFS(data_event_accrual!$L:$L,data_event_accrual!$A:$A,"Bombs Ballet",data_event_accrual!$B:$B,$AI$3,data_event_accrual!$C:$C,"40-99",data_event_accrual!$E:$E,$AH7)),1)),COUNTIF($B$9:$B$23,"&lt;="&amp;bal*shr)))</f>
        <v>7</v>
      </c>
      <c r="AP7" s="238" t="str">
        <f t="array" ref="AP7">IF($AH7="","",IF(AO7=0,"{}",LET(m,IF(AO7=15,16,AO7),s,MMULT(SEQUENCE(1,m,1,0),$C$9:$W$24),"{"&amp;TEXTJOIN(", ",TRUE,IF(s&gt;0,$C$8:$W$8&amp;": "&amp;ROUND(s,2),""))&amp;"}")))</f>
        <v>{Coins: 25, Red: 1, Chuck: 1, Unlimited Lives: 30, Unlimited Red: 10, Unlimited Chuck: 10, Unlimited Bomb: 10}</v>
      </c>
      <c r="AQ7" s="237">
        <f t="array" ref="AQ7">IF($AH7="","",LET(bal,SUMIFS(data_event_inst!$N:$N,data_event_inst!$A:$A,"Bombs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Ballet",data_event_accrual!$B:$B,$AI$3,data_event_accrual!$C:$C,"100+",data_event_accrual!$E:$E,$AH7),AVERAGEIFS(data_event_accrual!$K:$K,data_event_accrual!$A:$A,"Bombs Ballet",data_event_accrual!$B:$B,$AI$3,data_event_accrual!$C:$C,"100+",data_event_accrual!$E:$E,$AH7),AVERAGEIFS(data_event_accrual!$J:$J,data_event_accrual!$A:$A,"Bombs Ballet",data_event_accrual!$B:$B,$AI$3,data_event_accrual!$C:$C,"100+",data_event_accrual!$E:$E,$AH7),AVERAGEIFS(data_event_accrual!$L:$L,data_event_accrual!$A:$A,"Bombs Ballet",data_event_accrual!$B:$B,$AI$3,data_event_accrual!$C:$C,"100+",data_event_accrual!$E:$E,$AH7)),1)),COUNTIF($B$9:$B$23,"&lt;="&amp;bal*shr)))</f>
        <v>10</v>
      </c>
      <c r="AR7" s="238" t="str">
        <f t="array" ref="AR7">IF($AH7="","",IF(AQ7=0,"{}",LET(m,IF(AQ7=15,16,AQ7),s,MMULT(SEQUENCE(1,m,1,0),$C$9:$W$24),"{"&amp;TEXTJOIN(", ",TRUE,IF(s&gt;0,$C$8:$W$8&amp;": "&amp;ROUND(s,2),""))&amp;"}")))</f>
        <v>{Coins: 50, Red: 1, Chuck: 1, Unlimited Lives: 90, Unlimited Red: 25, Unlimited Chuck: 10, Unlimited Bomb: 10}</v>
      </c>
    </row>
    <row r="8" ht="90.0" customHeight="1">
      <c r="A8" s="184" t="s">
        <v>210</v>
      </c>
      <c r="B8" s="185" t="s">
        <v>211</v>
      </c>
      <c r="C8" s="186" t="s">
        <v>76</v>
      </c>
      <c r="D8" s="187" t="s">
        <v>46</v>
      </c>
      <c r="E8" s="187" t="s">
        <v>121</v>
      </c>
      <c r="F8" s="187" t="s">
        <v>47</v>
      </c>
      <c r="G8" s="187" t="s">
        <v>48</v>
      </c>
      <c r="H8" s="187" t="s">
        <v>50</v>
      </c>
      <c r="I8" s="187" t="s">
        <v>52</v>
      </c>
      <c r="J8" s="187" t="s">
        <v>53</v>
      </c>
      <c r="K8" s="187" t="s">
        <v>54</v>
      </c>
      <c r="L8" s="187" t="s">
        <v>55</v>
      </c>
      <c r="M8" s="187" t="s">
        <v>56</v>
      </c>
      <c r="N8" s="187" t="s">
        <v>57</v>
      </c>
      <c r="O8" s="187" t="s">
        <v>58</v>
      </c>
      <c r="P8" s="187" t="s">
        <v>135</v>
      </c>
      <c r="Q8" s="187" t="s">
        <v>122</v>
      </c>
      <c r="R8" s="187" t="s">
        <v>123</v>
      </c>
      <c r="S8" s="187" t="s">
        <v>124</v>
      </c>
      <c r="T8" s="187" t="s">
        <v>125</v>
      </c>
      <c r="U8" s="187" t="s">
        <v>126</v>
      </c>
      <c r="V8" s="187" t="s">
        <v>127</v>
      </c>
      <c r="W8" s="187" t="s">
        <v>128</v>
      </c>
      <c r="AH8" s="227">
        <f>IF(3&lt;=$B$3,3,"")</f>
        <v>3</v>
      </c>
      <c r="AI8" s="237">
        <f t="array" ref="AI8">IF($AH8="","",LET(bal,SUMIFS(data_event_inst!$N:$N,data_event_inst!$A:$A,"Bombs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Ballet",data_event_accrual!$B:$B,$AI$3,data_event_accrual!$C:$C,"0-9",data_event_accrual!$E:$E,$AH8),AVERAGEIFS(data_event_accrual!$K:$K,data_event_accrual!$A:$A,"Bombs Ballet",data_event_accrual!$B:$B,$AI$3,data_event_accrual!$C:$C,"0-9",data_event_accrual!$E:$E,$AH8),AVERAGEIFS(data_event_accrual!$J:$J,data_event_accrual!$A:$A,"Bombs Ballet",data_event_accrual!$B:$B,$AI$3,data_event_accrual!$C:$C,"0-9",data_event_accrual!$E:$E,$AH8),AVERAGEIFS(data_event_accrual!$L:$L,data_event_accrual!$A:$A,"Bombs Ballet",data_event_accrual!$B:$B,$AI$3,data_event_accrual!$C:$C,"0-9",data_event_accrual!$E:$E,$AH8)),1)),COUNTIF($B$9:$B$23,"&lt;="&amp;bal*shr)))</f>
        <v>2</v>
      </c>
      <c r="AJ8" s="238" t="str">
        <f t="array" ref="AJ8">IF($AH8="","",IF(AI8=0,"{}",LET(m,IF(AI8=15,16,AI8),s,MMULT(SEQUENCE(1,m,1,0),$C$9:$W$24),"{"&amp;TEXTJOIN(", ",TRUE,IF(s&gt;0,$C$8:$W$8&amp;": "&amp;ROUND(s,2),""))&amp;"}")))</f>
        <v>{Chuck: 1, Unlimited Red: 10}</v>
      </c>
      <c r="AK8" s="237">
        <f t="array" ref="AK8">IF($AH8="","",LET(bal,SUMIFS(data_event_inst!$N:$N,data_event_inst!$A:$A,"Bombs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Ballet",data_event_accrual!$B:$B,$AI$3,data_event_accrual!$C:$C,"10-19",data_event_accrual!$E:$E,$AH8),AVERAGEIFS(data_event_accrual!$K:$K,data_event_accrual!$A:$A,"Bombs Ballet",data_event_accrual!$B:$B,$AI$3,data_event_accrual!$C:$C,"10-19",data_event_accrual!$E:$E,$AH8),AVERAGEIFS(data_event_accrual!$J:$J,data_event_accrual!$A:$A,"Bombs Ballet",data_event_accrual!$B:$B,$AI$3,data_event_accrual!$C:$C,"10-19",data_event_accrual!$E:$E,$AH8),AVERAGEIFS(data_event_accrual!$L:$L,data_event_accrual!$A:$A,"Bombs Ballet",data_event_accrual!$B:$B,$AI$3,data_event_accrual!$C:$C,"10-19",data_event_accrual!$E:$E,$AH8)),1)),COUNTIF($B$9:$B$23,"&lt;="&amp;bal*shr)))</f>
        <v>3</v>
      </c>
      <c r="AL8" s="238" t="str">
        <f t="array" ref="AL8">IF($AH8="","",IF(AK8=0,"{}",LET(m,IF(AK8=15,16,AK8),s,MMULT(SEQUENCE(1,m,1,0),$C$9:$W$24),"{"&amp;TEXTJOIN(", ",TRUE,IF(s&gt;0,$C$8:$W$8&amp;": "&amp;ROUND(s,2),""))&amp;"}")))</f>
        <v>{Chuck: 1, Unlimited Red: 10, Unlimited Chuck: 10}</v>
      </c>
      <c r="AM8" s="237">
        <f t="array" ref="AM8">IF($AH8="","",LET(bal,SUMIFS(data_event_inst!$N:$N,data_event_inst!$A:$A,"Bombs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Ballet",data_event_accrual!$B:$B,$AI$3,data_event_accrual!$C:$C,"20-39",data_event_accrual!$E:$E,$AH8),AVERAGEIFS(data_event_accrual!$K:$K,data_event_accrual!$A:$A,"Bombs Ballet",data_event_accrual!$B:$B,$AI$3,data_event_accrual!$C:$C,"20-39",data_event_accrual!$E:$E,$AH8),AVERAGEIFS(data_event_accrual!$J:$J,data_event_accrual!$A:$A,"Bombs Ballet",data_event_accrual!$B:$B,$AI$3,data_event_accrual!$C:$C,"20-39",data_event_accrual!$E:$E,$AH8),AVERAGEIFS(data_event_accrual!$L:$L,data_event_accrual!$A:$A,"Bombs Ballet",data_event_accrual!$B:$B,$AI$3,data_event_accrual!$C:$C,"20-39",data_event_accrual!$E:$E,$AH8)),1)),COUNTIF($B$9:$B$23,"&lt;="&amp;bal*shr)))</f>
        <v>5</v>
      </c>
      <c r="AN8" s="238" t="str">
        <f t="array" ref="AN8">IF($AH8="","",IF(AM8=0,"{}",LET(m,IF(AM8=15,16,AM8),s,MMULT(SEQUENCE(1,m,1,0),$C$9:$W$24),"{"&amp;TEXTJOIN(", ",TRUE,IF(s&gt;0,$C$8:$W$8&amp;": "&amp;ROUND(s,2),""))&amp;"}")))</f>
        <v>{Coins: 25, Chuck: 1, Unlimited Lives: 30, Unlimited Red: 10, Unlimited Chuck: 10}</v>
      </c>
      <c r="AO8" s="237">
        <f t="array" ref="AO8">IF($AH8="","",LET(bal,SUMIFS(data_event_inst!$N:$N,data_event_inst!$A:$A,"Bombs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Ballet",data_event_accrual!$B:$B,$AI$3,data_event_accrual!$C:$C,"40-99",data_event_accrual!$E:$E,$AH8),AVERAGEIFS(data_event_accrual!$K:$K,data_event_accrual!$A:$A,"Bombs Ballet",data_event_accrual!$B:$B,$AI$3,data_event_accrual!$C:$C,"40-99",data_event_accrual!$E:$E,$AH8),AVERAGEIFS(data_event_accrual!$J:$J,data_event_accrual!$A:$A,"Bombs Ballet",data_event_accrual!$B:$B,$AI$3,data_event_accrual!$C:$C,"40-99",data_event_accrual!$E:$E,$AH8),AVERAGEIFS(data_event_accrual!$L:$L,data_event_accrual!$A:$A,"Bombs Ballet",data_event_accrual!$B:$B,$AI$3,data_event_accrual!$C:$C,"40-99",data_event_accrual!$E:$E,$AH8)),1)),COUNTIF($B$9:$B$23,"&lt;="&amp;bal*shr)))</f>
        <v>8</v>
      </c>
      <c r="AP8" s="238" t="str">
        <f t="array" ref="AP8">IF($AH8="","",IF(AO8=0,"{}",LET(m,IF(AO8=15,16,AO8),s,MMULT(SEQUENCE(1,m,1,0),$C$9:$W$24),"{"&amp;TEXTJOIN(", ",TRUE,IF(s&gt;0,$C$8:$W$8&amp;": "&amp;ROUND(s,2),""))&amp;"}")))</f>
        <v>{Coins: 25, Red: 1, Chuck: 1, Unlimited Lives: 90, Unlimited Red: 10, Unlimited Chuck: 10, Unlimited Bomb: 10}</v>
      </c>
      <c r="AQ8" s="237">
        <f t="array" ref="AQ8">IF($AH8="","",LET(bal,SUMIFS(data_event_inst!$N:$N,data_event_inst!$A:$A,"Bombs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Ballet",data_event_accrual!$B:$B,$AI$3,data_event_accrual!$C:$C,"100+",data_event_accrual!$E:$E,$AH8),AVERAGEIFS(data_event_accrual!$K:$K,data_event_accrual!$A:$A,"Bombs Ballet",data_event_accrual!$B:$B,$AI$3,data_event_accrual!$C:$C,"100+",data_event_accrual!$E:$E,$AH8),AVERAGEIFS(data_event_accrual!$J:$J,data_event_accrual!$A:$A,"Bombs Ballet",data_event_accrual!$B:$B,$AI$3,data_event_accrual!$C:$C,"100+",data_event_accrual!$E:$E,$AH8),AVERAGEIFS(data_event_accrual!$L:$L,data_event_accrual!$A:$A,"Bombs Ballet",data_event_accrual!$B:$B,$AI$3,data_event_accrual!$C:$C,"100+",data_event_accrual!$E:$E,$AH8)),1)),COUNTIF($B$9:$B$23,"&lt;="&amp;bal*shr)))</f>
        <v>11</v>
      </c>
      <c r="AR8" s="238" t="str">
        <f t="array" ref="AR8">IF($AH8="","",IF(AQ8=0,"{}",LET(m,IF(AQ8=15,16,AQ8),s,MMULT(SEQUENCE(1,m,1,0),$C$9:$W$24),"{"&amp;TEXTJOIN(", ",TRUE,IF(s&gt;0,$C$8:$W$8&amp;": "&amp;ROUND(s,2),""))&amp;"}")))</f>
        <v>{Coins: 50, Red: 1, Chuck: 1, Unlimited Lives: 90, Unlimited Red: 25, Unlimited Chuck: 25, Unlimited Bomb: 10}</v>
      </c>
    </row>
    <row r="9">
      <c r="A9" s="189">
        <v>1.0</v>
      </c>
      <c r="B9" s="190">
        <v>15.0</v>
      </c>
      <c r="C9" s="221">
        <v>0.0</v>
      </c>
      <c r="D9" s="189">
        <v>0.0</v>
      </c>
      <c r="E9" s="189">
        <v>0.0</v>
      </c>
      <c r="F9" s="189">
        <v>0.0</v>
      </c>
      <c r="G9" s="189">
        <v>1.0</v>
      </c>
      <c r="H9" s="189">
        <v>0.0</v>
      </c>
      <c r="I9" s="189">
        <v>0.0</v>
      </c>
      <c r="J9" s="189">
        <v>0.0</v>
      </c>
      <c r="K9" s="189">
        <v>0.0</v>
      </c>
      <c r="L9" s="189">
        <v>0.0</v>
      </c>
      <c r="M9" s="189">
        <v>0.0</v>
      </c>
      <c r="N9" s="189">
        <v>0.0</v>
      </c>
      <c r="O9" s="189">
        <v>0.0</v>
      </c>
      <c r="P9" s="189">
        <v>0.0</v>
      </c>
      <c r="Q9" s="189">
        <v>0.0</v>
      </c>
      <c r="R9" s="189">
        <v>0.0</v>
      </c>
      <c r="S9" s="189">
        <v>0.0</v>
      </c>
      <c r="T9" s="189">
        <v>0.0</v>
      </c>
      <c r="U9" s="189">
        <v>0.0</v>
      </c>
      <c r="V9" s="189">
        <v>0.0</v>
      </c>
      <c r="W9" s="189">
        <v>0.0</v>
      </c>
      <c r="AH9" s="227" t="str">
        <f>IF(4&lt;=$B$3,4,"")</f>
        <v/>
      </c>
      <c r="AI9" s="237" t="str">
        <f t="array" ref="AI9">IF($AH9="","",LET(bal,SUMIFS(data_event_inst!$N:$N,data_event_inst!$A:$A,"Bombs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Ballet",data_event_accrual!$B:$B,$AI$3,data_event_accrual!$C:$C,"0-9",data_event_accrual!$E:$E,$AH9),AVERAGEIFS(data_event_accrual!$K:$K,data_event_accrual!$A:$A,"Bombs Ballet",data_event_accrual!$B:$B,$AI$3,data_event_accrual!$C:$C,"0-9",data_event_accrual!$E:$E,$AH9),AVERAGEIFS(data_event_accrual!$J:$J,data_event_accrual!$A:$A,"Bombs Ballet",data_event_accrual!$B:$B,$AI$3,data_event_accrual!$C:$C,"0-9",data_event_accrual!$E:$E,$AH9),AVERAGEIFS(data_event_accrual!$L:$L,data_event_accrual!$A:$A,"Bombs Ballet",data_event_accrual!$B:$B,$AI$3,data_event_accrual!$C:$C,"0-9",data_event_accrual!$E:$E,$AH9)),1)),COUNTIF($B$9:$B$23,"&lt;="&amp;bal*shr)))</f>
        <v/>
      </c>
      <c r="AJ9" s="238" t="str">
        <f t="array" ref="AJ9">IF($AH9="","",IF(AI9=0,"{}",LET(m,IF(AI9=15,16,AI9),s,MMULT(SEQUENCE(1,m,1,0),$C$9:$W$24),"{"&amp;TEXTJOIN(", ",TRUE,IF(s&gt;0,$C$8:$W$8&amp;": "&amp;ROUND(s,2),""))&amp;"}")))</f>
        <v/>
      </c>
      <c r="AK9" s="237" t="str">
        <f t="array" ref="AK9">IF($AH9="","",LET(bal,SUMIFS(data_event_inst!$N:$N,data_event_inst!$A:$A,"Bombs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Ballet",data_event_accrual!$B:$B,$AI$3,data_event_accrual!$C:$C,"10-19",data_event_accrual!$E:$E,$AH9),AVERAGEIFS(data_event_accrual!$K:$K,data_event_accrual!$A:$A,"Bombs Ballet",data_event_accrual!$B:$B,$AI$3,data_event_accrual!$C:$C,"10-19",data_event_accrual!$E:$E,$AH9),AVERAGEIFS(data_event_accrual!$J:$J,data_event_accrual!$A:$A,"Bombs Ballet",data_event_accrual!$B:$B,$AI$3,data_event_accrual!$C:$C,"10-19",data_event_accrual!$E:$E,$AH9),AVERAGEIFS(data_event_accrual!$L:$L,data_event_accrual!$A:$A,"Bombs Ballet",data_event_accrual!$B:$B,$AI$3,data_event_accrual!$C:$C,"10-19",data_event_accrual!$E:$E,$AH9)),1)),COUNTIF($B$9:$B$23,"&lt;="&amp;bal*shr)))</f>
        <v/>
      </c>
      <c r="AL9" s="238" t="str">
        <f t="array" ref="AL9">IF($AH9="","",IF(AK9=0,"{}",LET(m,IF(AK9=15,16,AK9),s,MMULT(SEQUENCE(1,m,1,0),$C$9:$W$24),"{"&amp;TEXTJOIN(", ",TRUE,IF(s&gt;0,$C$8:$W$8&amp;": "&amp;ROUND(s,2),""))&amp;"}")))</f>
        <v/>
      </c>
      <c r="AM9" s="237" t="str">
        <f t="array" ref="AM9">IF($AH9="","",LET(bal,SUMIFS(data_event_inst!$N:$N,data_event_inst!$A:$A,"Bombs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Ballet",data_event_accrual!$B:$B,$AI$3,data_event_accrual!$C:$C,"20-39",data_event_accrual!$E:$E,$AH9),AVERAGEIFS(data_event_accrual!$K:$K,data_event_accrual!$A:$A,"Bombs Ballet",data_event_accrual!$B:$B,$AI$3,data_event_accrual!$C:$C,"20-39",data_event_accrual!$E:$E,$AH9),AVERAGEIFS(data_event_accrual!$J:$J,data_event_accrual!$A:$A,"Bombs Ballet",data_event_accrual!$B:$B,$AI$3,data_event_accrual!$C:$C,"20-39",data_event_accrual!$E:$E,$AH9),AVERAGEIFS(data_event_accrual!$L:$L,data_event_accrual!$A:$A,"Bombs Ballet",data_event_accrual!$B:$B,$AI$3,data_event_accrual!$C:$C,"20-39",data_event_accrual!$E:$E,$AH9)),1)),COUNTIF($B$9:$B$23,"&lt;="&amp;bal*shr)))</f>
        <v/>
      </c>
      <c r="AN9" s="238" t="str">
        <f t="array" ref="AN9">IF($AH9="","",IF(AM9=0,"{}",LET(m,IF(AM9=15,16,AM9),s,MMULT(SEQUENCE(1,m,1,0),$C$9:$W$24),"{"&amp;TEXTJOIN(", ",TRUE,IF(s&gt;0,$C$8:$W$8&amp;": "&amp;ROUND(s,2),""))&amp;"}")))</f>
        <v/>
      </c>
      <c r="AO9" s="237" t="str">
        <f t="array" ref="AO9">IF($AH9="","",LET(bal,SUMIFS(data_event_inst!$N:$N,data_event_inst!$A:$A,"Bombs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Ballet",data_event_accrual!$B:$B,$AI$3,data_event_accrual!$C:$C,"40-99",data_event_accrual!$E:$E,$AH9),AVERAGEIFS(data_event_accrual!$K:$K,data_event_accrual!$A:$A,"Bombs Ballet",data_event_accrual!$B:$B,$AI$3,data_event_accrual!$C:$C,"40-99",data_event_accrual!$E:$E,$AH9),AVERAGEIFS(data_event_accrual!$J:$J,data_event_accrual!$A:$A,"Bombs Ballet",data_event_accrual!$B:$B,$AI$3,data_event_accrual!$C:$C,"40-99",data_event_accrual!$E:$E,$AH9),AVERAGEIFS(data_event_accrual!$L:$L,data_event_accrual!$A:$A,"Bombs Ballet",data_event_accrual!$B:$B,$AI$3,data_event_accrual!$C:$C,"40-99",data_event_accrual!$E:$E,$AH9)),1)),COUNTIF($B$9:$B$23,"&lt;="&amp;bal*shr)))</f>
        <v/>
      </c>
      <c r="AP9" s="238" t="str">
        <f t="array" ref="AP9">IF($AH9="","",IF(AO9=0,"{}",LET(m,IF(AO9=15,16,AO9),s,MMULT(SEQUENCE(1,m,1,0),$C$9:$W$24),"{"&amp;TEXTJOIN(", ",TRUE,IF(s&gt;0,$C$8:$W$8&amp;": "&amp;ROUND(s,2),""))&amp;"}")))</f>
        <v/>
      </c>
      <c r="AQ9" s="237" t="str">
        <f t="array" ref="AQ9">IF($AH9="","",LET(bal,SUMIFS(data_event_inst!$N:$N,data_event_inst!$A:$A,"Bombs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Ballet",data_event_accrual!$B:$B,$AI$3,data_event_accrual!$C:$C,"100+",data_event_accrual!$E:$E,$AH9),AVERAGEIFS(data_event_accrual!$K:$K,data_event_accrual!$A:$A,"Bombs Ballet",data_event_accrual!$B:$B,$AI$3,data_event_accrual!$C:$C,"100+",data_event_accrual!$E:$E,$AH9),AVERAGEIFS(data_event_accrual!$J:$J,data_event_accrual!$A:$A,"Bombs Ballet",data_event_accrual!$B:$B,$AI$3,data_event_accrual!$C:$C,"100+",data_event_accrual!$E:$E,$AH9),AVERAGEIFS(data_event_accrual!$L:$L,data_event_accrual!$A:$A,"Bombs Ballet",data_event_accrual!$B:$B,$AI$3,data_event_accrual!$C:$C,"100+",data_event_accrual!$E:$E,$AH9)),1)),COUNTIF($B$9:$B$23,"&lt;="&amp;bal*shr)))</f>
        <v/>
      </c>
      <c r="AR9" s="238" t="str">
        <f t="array" ref="AR9">IF($AH9="","",IF(AQ9=0,"{}",LET(m,IF(AQ9=15,16,AQ9),s,MMULT(SEQUENCE(1,m,1,0),$C$9:$W$24),"{"&amp;TEXTJOIN(", ",TRUE,IF(s&gt;0,$C$8:$W$8&amp;": "&amp;ROUND(s,2),""))&amp;"}")))</f>
        <v/>
      </c>
    </row>
    <row r="10">
      <c r="A10" s="189">
        <v>2.0</v>
      </c>
      <c r="B10" s="190">
        <v>40.0</v>
      </c>
      <c r="C10" s="221">
        <v>0.0</v>
      </c>
      <c r="D10" s="189">
        <v>0.0</v>
      </c>
      <c r="E10" s="189">
        <v>0.0</v>
      </c>
      <c r="F10" s="189">
        <v>0.0</v>
      </c>
      <c r="G10" s="189">
        <v>0.0</v>
      </c>
      <c r="H10" s="189">
        <v>0.0</v>
      </c>
      <c r="I10" s="189">
        <v>0.0</v>
      </c>
      <c r="J10" s="189">
        <v>0.0</v>
      </c>
      <c r="K10" s="189">
        <v>0.0</v>
      </c>
      <c r="L10" s="189">
        <v>0.0</v>
      </c>
      <c r="M10" s="189">
        <v>10.0</v>
      </c>
      <c r="N10" s="189">
        <v>0.0</v>
      </c>
      <c r="O10" s="189">
        <v>0.0</v>
      </c>
      <c r="P10" s="189">
        <v>0.0</v>
      </c>
      <c r="Q10" s="189">
        <v>0.0</v>
      </c>
      <c r="R10" s="189">
        <v>0.0</v>
      </c>
      <c r="S10" s="189">
        <v>0.0</v>
      </c>
      <c r="T10" s="189">
        <v>0.0</v>
      </c>
      <c r="U10" s="189">
        <v>0.0</v>
      </c>
      <c r="V10" s="189">
        <v>0.0</v>
      </c>
      <c r="W10" s="189">
        <v>0.0</v>
      </c>
      <c r="Y10" s="1">
        <v>1.0</v>
      </c>
      <c r="AH10" s="227" t="str">
        <f>IF(5&lt;=$B$3,5,"")</f>
        <v/>
      </c>
      <c r="AI10" s="237" t="str">
        <f t="array" ref="AI10">IF($AH10="","",LET(bal,SUMIFS(data_event_inst!$N:$N,data_event_inst!$A:$A,"Bombs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Ballet",data_event_accrual!$B:$B,$AI$3,data_event_accrual!$C:$C,"0-9",data_event_accrual!$E:$E,$AH10),AVERAGEIFS(data_event_accrual!$K:$K,data_event_accrual!$A:$A,"Bombs Ballet",data_event_accrual!$B:$B,$AI$3,data_event_accrual!$C:$C,"0-9",data_event_accrual!$E:$E,$AH10),AVERAGEIFS(data_event_accrual!$J:$J,data_event_accrual!$A:$A,"Bombs Ballet",data_event_accrual!$B:$B,$AI$3,data_event_accrual!$C:$C,"0-9",data_event_accrual!$E:$E,$AH10),AVERAGEIFS(data_event_accrual!$L:$L,data_event_accrual!$A:$A,"Bombs Ballet",data_event_accrual!$B:$B,$AI$3,data_event_accrual!$C:$C,"0-9",data_event_accrual!$E:$E,$AH10)),1)),COUNTIF($B$9:$B$23,"&lt;="&amp;bal*shr)))</f>
        <v/>
      </c>
      <c r="AJ10" s="238" t="str">
        <f t="array" ref="AJ10">IF($AH10="","",IF(AI10=0,"{}",LET(m,IF(AI10=15,16,AI10),s,MMULT(SEQUENCE(1,m,1,0),$C$9:$W$24),"{"&amp;TEXTJOIN(", ",TRUE,IF(s&gt;0,$C$8:$W$8&amp;": "&amp;ROUND(s,2),""))&amp;"}")))</f>
        <v/>
      </c>
      <c r="AK10" s="237" t="str">
        <f t="array" ref="AK10">IF($AH10="","",LET(bal,SUMIFS(data_event_inst!$N:$N,data_event_inst!$A:$A,"Bombs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Ballet",data_event_accrual!$B:$B,$AI$3,data_event_accrual!$C:$C,"10-19",data_event_accrual!$E:$E,$AH10),AVERAGEIFS(data_event_accrual!$K:$K,data_event_accrual!$A:$A,"Bombs Ballet",data_event_accrual!$B:$B,$AI$3,data_event_accrual!$C:$C,"10-19",data_event_accrual!$E:$E,$AH10),AVERAGEIFS(data_event_accrual!$J:$J,data_event_accrual!$A:$A,"Bombs Ballet",data_event_accrual!$B:$B,$AI$3,data_event_accrual!$C:$C,"10-19",data_event_accrual!$E:$E,$AH10),AVERAGEIFS(data_event_accrual!$L:$L,data_event_accrual!$A:$A,"Bombs Ballet",data_event_accrual!$B:$B,$AI$3,data_event_accrual!$C:$C,"10-19",data_event_accrual!$E:$E,$AH10)),1)),COUNTIF($B$9:$B$23,"&lt;="&amp;bal*shr)))</f>
        <v/>
      </c>
      <c r="AL10" s="238" t="str">
        <f t="array" ref="AL10">IF($AH10="","",IF(AK10=0,"{}",LET(m,IF(AK10=15,16,AK10),s,MMULT(SEQUENCE(1,m,1,0),$C$9:$W$24),"{"&amp;TEXTJOIN(", ",TRUE,IF(s&gt;0,$C$8:$W$8&amp;": "&amp;ROUND(s,2),""))&amp;"}")))</f>
        <v/>
      </c>
      <c r="AM10" s="237" t="str">
        <f t="array" ref="AM10">IF($AH10="","",LET(bal,SUMIFS(data_event_inst!$N:$N,data_event_inst!$A:$A,"Bombs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Ballet",data_event_accrual!$B:$B,$AI$3,data_event_accrual!$C:$C,"20-39",data_event_accrual!$E:$E,$AH10),AVERAGEIFS(data_event_accrual!$K:$K,data_event_accrual!$A:$A,"Bombs Ballet",data_event_accrual!$B:$B,$AI$3,data_event_accrual!$C:$C,"20-39",data_event_accrual!$E:$E,$AH10),AVERAGEIFS(data_event_accrual!$J:$J,data_event_accrual!$A:$A,"Bombs Ballet",data_event_accrual!$B:$B,$AI$3,data_event_accrual!$C:$C,"20-39",data_event_accrual!$E:$E,$AH10),AVERAGEIFS(data_event_accrual!$L:$L,data_event_accrual!$A:$A,"Bombs Ballet",data_event_accrual!$B:$B,$AI$3,data_event_accrual!$C:$C,"20-39",data_event_accrual!$E:$E,$AH10)),1)),COUNTIF($B$9:$B$23,"&lt;="&amp;bal*shr)))</f>
        <v/>
      </c>
      <c r="AN10" s="238" t="str">
        <f t="array" ref="AN10">IF($AH10="","",IF(AM10=0,"{}",LET(m,IF(AM10=15,16,AM10),s,MMULT(SEQUENCE(1,m,1,0),$C$9:$W$24),"{"&amp;TEXTJOIN(", ",TRUE,IF(s&gt;0,$C$8:$W$8&amp;": "&amp;ROUND(s,2),""))&amp;"}")))</f>
        <v/>
      </c>
      <c r="AO10" s="237" t="str">
        <f t="array" ref="AO10">IF($AH10="","",LET(bal,SUMIFS(data_event_inst!$N:$N,data_event_inst!$A:$A,"Bombs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Ballet",data_event_accrual!$B:$B,$AI$3,data_event_accrual!$C:$C,"40-99",data_event_accrual!$E:$E,$AH10),AVERAGEIFS(data_event_accrual!$K:$K,data_event_accrual!$A:$A,"Bombs Ballet",data_event_accrual!$B:$B,$AI$3,data_event_accrual!$C:$C,"40-99",data_event_accrual!$E:$E,$AH10),AVERAGEIFS(data_event_accrual!$J:$J,data_event_accrual!$A:$A,"Bombs Ballet",data_event_accrual!$B:$B,$AI$3,data_event_accrual!$C:$C,"40-99",data_event_accrual!$E:$E,$AH10),AVERAGEIFS(data_event_accrual!$L:$L,data_event_accrual!$A:$A,"Bombs Ballet",data_event_accrual!$B:$B,$AI$3,data_event_accrual!$C:$C,"40-99",data_event_accrual!$E:$E,$AH10)),1)),COUNTIF($B$9:$B$23,"&lt;="&amp;bal*shr)))</f>
        <v/>
      </c>
      <c r="AP10" s="238" t="str">
        <f t="array" ref="AP10">IF($AH10="","",IF(AO10=0,"{}",LET(m,IF(AO10=15,16,AO10),s,MMULT(SEQUENCE(1,m,1,0),$C$9:$W$24),"{"&amp;TEXTJOIN(", ",TRUE,IF(s&gt;0,$C$8:$W$8&amp;": "&amp;ROUND(s,2),""))&amp;"}")))</f>
        <v/>
      </c>
      <c r="AQ10" s="237" t="str">
        <f t="array" ref="AQ10">IF($AH10="","",LET(bal,SUMIFS(data_event_inst!$N:$N,data_event_inst!$A:$A,"Bombs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Ballet",data_event_accrual!$B:$B,$AI$3,data_event_accrual!$C:$C,"100+",data_event_accrual!$E:$E,$AH10),AVERAGEIFS(data_event_accrual!$K:$K,data_event_accrual!$A:$A,"Bombs Ballet",data_event_accrual!$B:$B,$AI$3,data_event_accrual!$C:$C,"100+",data_event_accrual!$E:$E,$AH10),AVERAGEIFS(data_event_accrual!$J:$J,data_event_accrual!$A:$A,"Bombs Ballet",data_event_accrual!$B:$B,$AI$3,data_event_accrual!$C:$C,"100+",data_event_accrual!$E:$E,$AH10),AVERAGEIFS(data_event_accrual!$L:$L,data_event_accrual!$A:$A,"Bombs Ballet",data_event_accrual!$B:$B,$AI$3,data_event_accrual!$C:$C,"100+",data_event_accrual!$E:$E,$AH10)),1)),COUNTIF($B$9:$B$23,"&lt;="&amp;bal*shr)))</f>
        <v/>
      </c>
      <c r="AR10" s="238" t="str">
        <f t="array" ref="AR10">IF($AH10="","",IF(AQ10=0,"{}",LET(m,IF(AQ10=15,16,AQ10),s,MMULT(SEQUENCE(1,m,1,0),$C$9:$W$24),"{"&amp;TEXTJOIN(", ",TRUE,IF(s&gt;0,$C$8:$W$8&amp;": "&amp;ROUND(s,2),""))&amp;"}")))</f>
        <v/>
      </c>
    </row>
    <row r="11">
      <c r="A11" s="189">
        <v>3.0</v>
      </c>
      <c r="B11" s="190">
        <v>70.0</v>
      </c>
      <c r="C11" s="221">
        <v>0.0</v>
      </c>
      <c r="D11" s="189">
        <v>0.0</v>
      </c>
      <c r="E11" s="189">
        <v>0.0</v>
      </c>
      <c r="F11" s="189">
        <v>0.0</v>
      </c>
      <c r="G11" s="189">
        <v>0.0</v>
      </c>
      <c r="H11" s="189">
        <v>0.0</v>
      </c>
      <c r="I11" s="189">
        <v>0.0</v>
      </c>
      <c r="J11" s="189">
        <v>0.0</v>
      </c>
      <c r="K11" s="189">
        <v>0.0</v>
      </c>
      <c r="L11" s="189">
        <v>0.0</v>
      </c>
      <c r="M11" s="189">
        <v>0.0</v>
      </c>
      <c r="N11" s="189">
        <v>10.0</v>
      </c>
      <c r="O11" s="189">
        <v>0.0</v>
      </c>
      <c r="P11" s="189">
        <v>0.0</v>
      </c>
      <c r="Q11" s="189">
        <v>0.0</v>
      </c>
      <c r="R11" s="189">
        <v>0.0</v>
      </c>
      <c r="S11" s="189">
        <v>0.0</v>
      </c>
      <c r="T11" s="189">
        <v>0.0</v>
      </c>
      <c r="U11" s="189">
        <v>0.0</v>
      </c>
      <c r="V11" s="189">
        <v>0.0</v>
      </c>
      <c r="W11" s="189">
        <v>0.0</v>
      </c>
      <c r="Y11" s="1">
        <v>2.0</v>
      </c>
      <c r="AH11" s="227" t="str">
        <f>IF(6&lt;=$B$3,6,"")</f>
        <v/>
      </c>
      <c r="AI11" s="237" t="str">
        <f t="array" ref="AI11">IF($AH11="","",LET(bal,SUMIFS(data_event_inst!$N:$N,data_event_inst!$A:$A,"Bombs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Ballet",data_event_accrual!$B:$B,$AI$3,data_event_accrual!$C:$C,"0-9",data_event_accrual!$E:$E,$AH11),AVERAGEIFS(data_event_accrual!$K:$K,data_event_accrual!$A:$A,"Bombs Ballet",data_event_accrual!$B:$B,$AI$3,data_event_accrual!$C:$C,"0-9",data_event_accrual!$E:$E,$AH11),AVERAGEIFS(data_event_accrual!$J:$J,data_event_accrual!$A:$A,"Bombs Ballet",data_event_accrual!$B:$B,$AI$3,data_event_accrual!$C:$C,"0-9",data_event_accrual!$E:$E,$AH11),AVERAGEIFS(data_event_accrual!$L:$L,data_event_accrual!$A:$A,"Bombs Ballet",data_event_accrual!$B:$B,$AI$3,data_event_accrual!$C:$C,"0-9",data_event_accrual!$E:$E,$AH11)),1)),COUNTIF($B$9:$B$23,"&lt;="&amp;bal*shr)))</f>
        <v/>
      </c>
      <c r="AJ11" s="238" t="str">
        <f t="array" ref="AJ11">IF($AH11="","",IF(AI11=0,"{}",LET(m,IF(AI11=15,16,AI11),s,MMULT(SEQUENCE(1,m,1,0),$C$9:$W$24),"{"&amp;TEXTJOIN(", ",TRUE,IF(s&gt;0,$C$8:$W$8&amp;": "&amp;ROUND(s,2),""))&amp;"}")))</f>
        <v/>
      </c>
      <c r="AK11" s="237" t="str">
        <f t="array" ref="AK11">IF($AH11="","",LET(bal,SUMIFS(data_event_inst!$N:$N,data_event_inst!$A:$A,"Bombs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Ballet",data_event_accrual!$B:$B,$AI$3,data_event_accrual!$C:$C,"10-19",data_event_accrual!$E:$E,$AH11),AVERAGEIFS(data_event_accrual!$K:$K,data_event_accrual!$A:$A,"Bombs Ballet",data_event_accrual!$B:$B,$AI$3,data_event_accrual!$C:$C,"10-19",data_event_accrual!$E:$E,$AH11),AVERAGEIFS(data_event_accrual!$J:$J,data_event_accrual!$A:$A,"Bombs Ballet",data_event_accrual!$B:$B,$AI$3,data_event_accrual!$C:$C,"10-19",data_event_accrual!$E:$E,$AH11),AVERAGEIFS(data_event_accrual!$L:$L,data_event_accrual!$A:$A,"Bombs Ballet",data_event_accrual!$B:$B,$AI$3,data_event_accrual!$C:$C,"10-19",data_event_accrual!$E:$E,$AH11)),1)),COUNTIF($B$9:$B$23,"&lt;="&amp;bal*shr)))</f>
        <v/>
      </c>
      <c r="AL11" s="238" t="str">
        <f t="array" ref="AL11">IF($AH11="","",IF(AK11=0,"{}",LET(m,IF(AK11=15,16,AK11),s,MMULT(SEQUENCE(1,m,1,0),$C$9:$W$24),"{"&amp;TEXTJOIN(", ",TRUE,IF(s&gt;0,$C$8:$W$8&amp;": "&amp;ROUND(s,2),""))&amp;"}")))</f>
        <v/>
      </c>
      <c r="AM11" s="237" t="str">
        <f t="array" ref="AM11">IF($AH11="","",LET(bal,SUMIFS(data_event_inst!$N:$N,data_event_inst!$A:$A,"Bombs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Ballet",data_event_accrual!$B:$B,$AI$3,data_event_accrual!$C:$C,"20-39",data_event_accrual!$E:$E,$AH11),AVERAGEIFS(data_event_accrual!$K:$K,data_event_accrual!$A:$A,"Bombs Ballet",data_event_accrual!$B:$B,$AI$3,data_event_accrual!$C:$C,"20-39",data_event_accrual!$E:$E,$AH11),AVERAGEIFS(data_event_accrual!$J:$J,data_event_accrual!$A:$A,"Bombs Ballet",data_event_accrual!$B:$B,$AI$3,data_event_accrual!$C:$C,"20-39",data_event_accrual!$E:$E,$AH11),AVERAGEIFS(data_event_accrual!$L:$L,data_event_accrual!$A:$A,"Bombs Ballet",data_event_accrual!$B:$B,$AI$3,data_event_accrual!$C:$C,"20-39",data_event_accrual!$E:$E,$AH11)),1)),COUNTIF($B$9:$B$23,"&lt;="&amp;bal*shr)))</f>
        <v/>
      </c>
      <c r="AN11" s="238" t="str">
        <f t="array" ref="AN11">IF($AH11="","",IF(AM11=0,"{}",LET(m,IF(AM11=15,16,AM11),s,MMULT(SEQUENCE(1,m,1,0),$C$9:$W$24),"{"&amp;TEXTJOIN(", ",TRUE,IF(s&gt;0,$C$8:$W$8&amp;": "&amp;ROUND(s,2),""))&amp;"}")))</f>
        <v/>
      </c>
      <c r="AO11" s="237" t="str">
        <f t="array" ref="AO11">IF($AH11="","",LET(bal,SUMIFS(data_event_inst!$N:$N,data_event_inst!$A:$A,"Bombs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Ballet",data_event_accrual!$B:$B,$AI$3,data_event_accrual!$C:$C,"40-99",data_event_accrual!$E:$E,$AH11),AVERAGEIFS(data_event_accrual!$K:$K,data_event_accrual!$A:$A,"Bombs Ballet",data_event_accrual!$B:$B,$AI$3,data_event_accrual!$C:$C,"40-99",data_event_accrual!$E:$E,$AH11),AVERAGEIFS(data_event_accrual!$J:$J,data_event_accrual!$A:$A,"Bombs Ballet",data_event_accrual!$B:$B,$AI$3,data_event_accrual!$C:$C,"40-99",data_event_accrual!$E:$E,$AH11),AVERAGEIFS(data_event_accrual!$L:$L,data_event_accrual!$A:$A,"Bombs Ballet",data_event_accrual!$B:$B,$AI$3,data_event_accrual!$C:$C,"40-99",data_event_accrual!$E:$E,$AH11)),1)),COUNTIF($B$9:$B$23,"&lt;="&amp;bal*shr)))</f>
        <v/>
      </c>
      <c r="AP11" s="238" t="str">
        <f t="array" ref="AP11">IF($AH11="","",IF(AO11=0,"{}",LET(m,IF(AO11=15,16,AO11),s,MMULT(SEQUENCE(1,m,1,0),$C$9:$W$24),"{"&amp;TEXTJOIN(", ",TRUE,IF(s&gt;0,$C$8:$W$8&amp;": "&amp;ROUND(s,2),""))&amp;"}")))</f>
        <v/>
      </c>
      <c r="AQ11" s="237" t="str">
        <f t="array" ref="AQ11">IF($AH11="","",LET(bal,SUMIFS(data_event_inst!$N:$N,data_event_inst!$A:$A,"Bombs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Ballet",data_event_accrual!$B:$B,$AI$3,data_event_accrual!$C:$C,"100+",data_event_accrual!$E:$E,$AH11),AVERAGEIFS(data_event_accrual!$K:$K,data_event_accrual!$A:$A,"Bombs Ballet",data_event_accrual!$B:$B,$AI$3,data_event_accrual!$C:$C,"100+",data_event_accrual!$E:$E,$AH11),AVERAGEIFS(data_event_accrual!$J:$J,data_event_accrual!$A:$A,"Bombs Ballet",data_event_accrual!$B:$B,$AI$3,data_event_accrual!$C:$C,"100+",data_event_accrual!$E:$E,$AH11),AVERAGEIFS(data_event_accrual!$L:$L,data_event_accrual!$A:$A,"Bombs Ballet",data_event_accrual!$B:$B,$AI$3,data_event_accrual!$C:$C,"100+",data_event_accrual!$E:$E,$AH11)),1)),COUNTIF($B$9:$B$23,"&lt;="&amp;bal*shr)))</f>
        <v/>
      </c>
      <c r="AR11" s="238" t="str">
        <f t="array" ref="AR11">IF($AH11="","",IF(AQ11=0,"{}",LET(m,IF(AQ11=15,16,AQ11),s,MMULT(SEQUENCE(1,m,1,0),$C$9:$W$24),"{"&amp;TEXTJOIN(", ",TRUE,IF(s&gt;0,$C$8:$W$8&amp;": "&amp;ROUND(s,2),""))&amp;"}")))</f>
        <v/>
      </c>
    </row>
    <row r="12">
      <c r="A12" s="189">
        <v>4.0</v>
      </c>
      <c r="B12" s="190">
        <v>110.0</v>
      </c>
      <c r="C12" s="221">
        <v>0.0</v>
      </c>
      <c r="D12" s="189">
        <v>0.0</v>
      </c>
      <c r="E12" s="189">
        <v>0.0</v>
      </c>
      <c r="F12" s="189">
        <v>0.0</v>
      </c>
      <c r="G12" s="189">
        <v>0.0</v>
      </c>
      <c r="H12" s="189">
        <v>0.0</v>
      </c>
      <c r="I12" s="189">
        <v>0.0</v>
      </c>
      <c r="J12" s="189">
        <v>0.0</v>
      </c>
      <c r="K12" s="189">
        <v>0.0</v>
      </c>
      <c r="L12" s="189">
        <v>30.0</v>
      </c>
      <c r="M12" s="189">
        <v>0.0</v>
      </c>
      <c r="N12" s="189">
        <v>0.0</v>
      </c>
      <c r="O12" s="189">
        <v>0.0</v>
      </c>
      <c r="P12" s="189">
        <v>0.0</v>
      </c>
      <c r="Q12" s="189">
        <v>0.0</v>
      </c>
      <c r="R12" s="189">
        <v>0.0</v>
      </c>
      <c r="S12" s="189">
        <v>0.0</v>
      </c>
      <c r="T12" s="189">
        <v>0.0</v>
      </c>
      <c r="U12" s="189">
        <v>0.0</v>
      </c>
      <c r="V12" s="189">
        <v>0.0</v>
      </c>
      <c r="W12" s="189">
        <v>0.0</v>
      </c>
      <c r="Y12" s="1">
        <v>3.0</v>
      </c>
      <c r="AH12" s="227" t="str">
        <f>IF(7&lt;=$B$3,7,"")</f>
        <v/>
      </c>
      <c r="AI12" s="237" t="str">
        <f t="array" ref="AI12">IF($AH12="","",LET(bal,SUMIFS(data_event_inst!$N:$N,data_event_inst!$A:$A,"Bombs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Ballet",data_event_accrual!$B:$B,$AI$3,data_event_accrual!$C:$C,"0-9",data_event_accrual!$E:$E,$AH12),AVERAGEIFS(data_event_accrual!$K:$K,data_event_accrual!$A:$A,"Bombs Ballet",data_event_accrual!$B:$B,$AI$3,data_event_accrual!$C:$C,"0-9",data_event_accrual!$E:$E,$AH12),AVERAGEIFS(data_event_accrual!$J:$J,data_event_accrual!$A:$A,"Bombs Ballet",data_event_accrual!$B:$B,$AI$3,data_event_accrual!$C:$C,"0-9",data_event_accrual!$E:$E,$AH12),AVERAGEIFS(data_event_accrual!$L:$L,data_event_accrual!$A:$A,"Bombs Ballet",data_event_accrual!$B:$B,$AI$3,data_event_accrual!$C:$C,"0-9",data_event_accrual!$E:$E,$AH12)),1)),COUNTIF($B$9:$B$23,"&lt;="&amp;bal*shr)))</f>
        <v/>
      </c>
      <c r="AJ12" s="238" t="str">
        <f t="array" ref="AJ12">IF($AH12="","",IF(AI12=0,"{}",LET(m,IF(AI12=15,16,AI12),s,MMULT(SEQUENCE(1,m,1,0),$C$9:$W$24),"{"&amp;TEXTJOIN(", ",TRUE,IF(s&gt;0,$C$8:$W$8&amp;": "&amp;ROUND(s,2),""))&amp;"}")))</f>
        <v/>
      </c>
      <c r="AK12" s="237" t="str">
        <f t="array" ref="AK12">IF($AH12="","",LET(bal,SUMIFS(data_event_inst!$N:$N,data_event_inst!$A:$A,"Bombs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Ballet",data_event_accrual!$B:$B,$AI$3,data_event_accrual!$C:$C,"10-19",data_event_accrual!$E:$E,$AH12),AVERAGEIFS(data_event_accrual!$K:$K,data_event_accrual!$A:$A,"Bombs Ballet",data_event_accrual!$B:$B,$AI$3,data_event_accrual!$C:$C,"10-19",data_event_accrual!$E:$E,$AH12),AVERAGEIFS(data_event_accrual!$J:$J,data_event_accrual!$A:$A,"Bombs Ballet",data_event_accrual!$B:$B,$AI$3,data_event_accrual!$C:$C,"10-19",data_event_accrual!$E:$E,$AH12),AVERAGEIFS(data_event_accrual!$L:$L,data_event_accrual!$A:$A,"Bombs Ballet",data_event_accrual!$B:$B,$AI$3,data_event_accrual!$C:$C,"10-19",data_event_accrual!$E:$E,$AH12)),1)),COUNTIF($B$9:$B$23,"&lt;="&amp;bal*shr)))</f>
        <v/>
      </c>
      <c r="AL12" s="238" t="str">
        <f t="array" ref="AL12">IF($AH12="","",IF(AK12=0,"{}",LET(m,IF(AK12=15,16,AK12),s,MMULT(SEQUENCE(1,m,1,0),$C$9:$W$24),"{"&amp;TEXTJOIN(", ",TRUE,IF(s&gt;0,$C$8:$W$8&amp;": "&amp;ROUND(s,2),""))&amp;"}")))</f>
        <v/>
      </c>
      <c r="AM12" s="237" t="str">
        <f t="array" ref="AM12">IF($AH12="","",LET(bal,SUMIFS(data_event_inst!$N:$N,data_event_inst!$A:$A,"Bombs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Ballet",data_event_accrual!$B:$B,$AI$3,data_event_accrual!$C:$C,"20-39",data_event_accrual!$E:$E,$AH12),AVERAGEIFS(data_event_accrual!$K:$K,data_event_accrual!$A:$A,"Bombs Ballet",data_event_accrual!$B:$B,$AI$3,data_event_accrual!$C:$C,"20-39",data_event_accrual!$E:$E,$AH12),AVERAGEIFS(data_event_accrual!$J:$J,data_event_accrual!$A:$A,"Bombs Ballet",data_event_accrual!$B:$B,$AI$3,data_event_accrual!$C:$C,"20-39",data_event_accrual!$E:$E,$AH12),AVERAGEIFS(data_event_accrual!$L:$L,data_event_accrual!$A:$A,"Bombs Ballet",data_event_accrual!$B:$B,$AI$3,data_event_accrual!$C:$C,"20-39",data_event_accrual!$E:$E,$AH12)),1)),COUNTIF($B$9:$B$23,"&lt;="&amp;bal*shr)))</f>
        <v/>
      </c>
      <c r="AN12" s="238" t="str">
        <f t="array" ref="AN12">IF($AH12="","",IF(AM12=0,"{}",LET(m,IF(AM12=15,16,AM12),s,MMULT(SEQUENCE(1,m,1,0),$C$9:$W$24),"{"&amp;TEXTJOIN(", ",TRUE,IF(s&gt;0,$C$8:$W$8&amp;": "&amp;ROUND(s,2),""))&amp;"}")))</f>
        <v/>
      </c>
      <c r="AO12" s="237" t="str">
        <f t="array" ref="AO12">IF($AH12="","",LET(bal,SUMIFS(data_event_inst!$N:$N,data_event_inst!$A:$A,"Bombs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Ballet",data_event_accrual!$B:$B,$AI$3,data_event_accrual!$C:$C,"40-99",data_event_accrual!$E:$E,$AH12),AVERAGEIFS(data_event_accrual!$K:$K,data_event_accrual!$A:$A,"Bombs Ballet",data_event_accrual!$B:$B,$AI$3,data_event_accrual!$C:$C,"40-99",data_event_accrual!$E:$E,$AH12),AVERAGEIFS(data_event_accrual!$J:$J,data_event_accrual!$A:$A,"Bombs Ballet",data_event_accrual!$B:$B,$AI$3,data_event_accrual!$C:$C,"40-99",data_event_accrual!$E:$E,$AH12),AVERAGEIFS(data_event_accrual!$L:$L,data_event_accrual!$A:$A,"Bombs Ballet",data_event_accrual!$B:$B,$AI$3,data_event_accrual!$C:$C,"40-99",data_event_accrual!$E:$E,$AH12)),1)),COUNTIF($B$9:$B$23,"&lt;="&amp;bal*shr)))</f>
        <v/>
      </c>
      <c r="AP12" s="238" t="str">
        <f t="array" ref="AP12">IF($AH12="","",IF(AO12=0,"{}",LET(m,IF(AO12=15,16,AO12),s,MMULT(SEQUENCE(1,m,1,0),$C$9:$W$24),"{"&amp;TEXTJOIN(", ",TRUE,IF(s&gt;0,$C$8:$W$8&amp;": "&amp;ROUND(s,2),""))&amp;"}")))</f>
        <v/>
      </c>
      <c r="AQ12" s="237" t="str">
        <f t="array" ref="AQ12">IF($AH12="","",LET(bal,SUMIFS(data_event_inst!$N:$N,data_event_inst!$A:$A,"Bombs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Ballet",data_event_accrual!$B:$B,$AI$3,data_event_accrual!$C:$C,"100+",data_event_accrual!$E:$E,$AH12),AVERAGEIFS(data_event_accrual!$K:$K,data_event_accrual!$A:$A,"Bombs Ballet",data_event_accrual!$B:$B,$AI$3,data_event_accrual!$C:$C,"100+",data_event_accrual!$E:$E,$AH12),AVERAGEIFS(data_event_accrual!$J:$J,data_event_accrual!$A:$A,"Bombs Ballet",data_event_accrual!$B:$B,$AI$3,data_event_accrual!$C:$C,"100+",data_event_accrual!$E:$E,$AH12),AVERAGEIFS(data_event_accrual!$L:$L,data_event_accrual!$A:$A,"Bombs Ballet",data_event_accrual!$B:$B,$AI$3,data_event_accrual!$C:$C,"100+",data_event_accrual!$E:$E,$AH12)),1)),COUNTIF($B$9:$B$23,"&lt;="&amp;bal*shr)))</f>
        <v/>
      </c>
      <c r="AR12" s="238" t="str">
        <f t="array" ref="AR12">IF($AH12="","",IF(AQ12=0,"{}",LET(m,IF(AQ12=15,16,AQ12),s,MMULT(SEQUENCE(1,m,1,0),$C$9:$W$24),"{"&amp;TEXTJOIN(", ",TRUE,IF(s&gt;0,$C$8:$W$8&amp;": "&amp;ROUND(s,2),""))&amp;"}")))</f>
        <v/>
      </c>
    </row>
    <row r="13">
      <c r="A13" s="189">
        <v>5.0</v>
      </c>
      <c r="B13" s="190">
        <v>160.0</v>
      </c>
      <c r="C13" s="221">
        <v>25.0</v>
      </c>
      <c r="D13" s="189">
        <v>0.0</v>
      </c>
      <c r="E13" s="189">
        <v>0.0</v>
      </c>
      <c r="F13" s="189">
        <v>0.0</v>
      </c>
      <c r="G13" s="189">
        <v>0.0</v>
      </c>
      <c r="H13" s="189">
        <v>0.0</v>
      </c>
      <c r="I13" s="189">
        <v>0.0</v>
      </c>
      <c r="J13" s="189">
        <v>0.0</v>
      </c>
      <c r="K13" s="189">
        <v>0.0</v>
      </c>
      <c r="L13" s="189">
        <v>0.0</v>
      </c>
      <c r="M13" s="189">
        <v>0.0</v>
      </c>
      <c r="N13" s="189">
        <v>0.0</v>
      </c>
      <c r="O13" s="189">
        <v>0.0</v>
      </c>
      <c r="P13" s="189">
        <v>0.0</v>
      </c>
      <c r="Q13" s="189">
        <v>0.0</v>
      </c>
      <c r="R13" s="189">
        <v>0.0</v>
      </c>
      <c r="S13" s="189">
        <v>0.0</v>
      </c>
      <c r="T13" s="189">
        <v>0.0</v>
      </c>
      <c r="U13" s="189">
        <v>0.0</v>
      </c>
      <c r="V13" s="189">
        <v>0.0</v>
      </c>
      <c r="W13" s="189">
        <v>0.0</v>
      </c>
    </row>
    <row r="14">
      <c r="A14" s="189">
        <v>6.0</v>
      </c>
      <c r="B14" s="190">
        <v>220.0</v>
      </c>
      <c r="C14" s="221">
        <v>0.0</v>
      </c>
      <c r="D14" s="189">
        <v>0.0</v>
      </c>
      <c r="E14" s="189">
        <v>0.0</v>
      </c>
      <c r="F14" s="189">
        <v>0.0</v>
      </c>
      <c r="G14" s="189">
        <v>0.0</v>
      </c>
      <c r="H14" s="189">
        <v>0.0</v>
      </c>
      <c r="I14" s="189">
        <v>0.0</v>
      </c>
      <c r="J14" s="189">
        <v>0.0</v>
      </c>
      <c r="K14" s="189">
        <v>0.0</v>
      </c>
      <c r="L14" s="189">
        <v>0.0</v>
      </c>
      <c r="M14" s="189">
        <v>0.0</v>
      </c>
      <c r="N14" s="189">
        <v>0.0</v>
      </c>
      <c r="O14" s="189">
        <v>10.0</v>
      </c>
      <c r="P14" s="189">
        <v>0.0</v>
      </c>
      <c r="Q14" s="189">
        <v>0.0</v>
      </c>
      <c r="R14" s="189">
        <v>0.0</v>
      </c>
      <c r="S14" s="189">
        <v>0.0</v>
      </c>
      <c r="T14" s="189">
        <v>0.0</v>
      </c>
      <c r="U14" s="189">
        <v>0.0</v>
      </c>
      <c r="V14" s="189">
        <v>0.0</v>
      </c>
      <c r="W14" s="189">
        <v>0.0</v>
      </c>
    </row>
    <row r="15">
      <c r="A15" s="189">
        <v>7.0</v>
      </c>
      <c r="B15" s="190">
        <v>290.0</v>
      </c>
      <c r="C15" s="221">
        <v>0.0</v>
      </c>
      <c r="D15" s="189">
        <v>0.0</v>
      </c>
      <c r="E15" s="189">
        <v>0.0</v>
      </c>
      <c r="F15" s="189">
        <v>1.0</v>
      </c>
      <c r="G15" s="189">
        <v>0.0</v>
      </c>
      <c r="H15" s="189">
        <v>0.0</v>
      </c>
      <c r="I15" s="189">
        <v>0.0</v>
      </c>
      <c r="J15" s="189">
        <v>0.0</v>
      </c>
      <c r="K15" s="189">
        <v>0.0</v>
      </c>
      <c r="L15" s="189">
        <v>0.0</v>
      </c>
      <c r="M15" s="189">
        <v>0.0</v>
      </c>
      <c r="N15" s="189">
        <v>0.0</v>
      </c>
      <c r="O15" s="189">
        <v>0.0</v>
      </c>
      <c r="P15" s="189">
        <v>0.0</v>
      </c>
      <c r="Q15" s="189">
        <v>0.0</v>
      </c>
      <c r="R15" s="189">
        <v>0.0</v>
      </c>
      <c r="S15" s="189">
        <v>0.0</v>
      </c>
      <c r="T15" s="189">
        <v>0.0</v>
      </c>
      <c r="U15" s="189">
        <v>0.0</v>
      </c>
      <c r="V15" s="189">
        <v>0.0</v>
      </c>
      <c r="W15" s="189">
        <v>0.0</v>
      </c>
    </row>
    <row r="16">
      <c r="A16" s="189">
        <v>8.0</v>
      </c>
      <c r="B16" s="190">
        <v>370.0</v>
      </c>
      <c r="C16" s="221">
        <v>0.0</v>
      </c>
      <c r="D16" s="189">
        <v>0.0</v>
      </c>
      <c r="E16" s="189">
        <v>0.0</v>
      </c>
      <c r="F16" s="189">
        <v>0.0</v>
      </c>
      <c r="G16" s="189">
        <v>0.0</v>
      </c>
      <c r="H16" s="189">
        <v>0.0</v>
      </c>
      <c r="I16" s="189">
        <v>0.0</v>
      </c>
      <c r="J16" s="189">
        <v>0.0</v>
      </c>
      <c r="K16" s="189">
        <v>0.0</v>
      </c>
      <c r="L16" s="189">
        <v>60.0</v>
      </c>
      <c r="M16" s="189">
        <v>0.0</v>
      </c>
      <c r="N16" s="189">
        <v>0.0</v>
      </c>
      <c r="O16" s="189">
        <v>0.0</v>
      </c>
      <c r="P16" s="189">
        <v>0.0</v>
      </c>
      <c r="Q16" s="189">
        <v>0.0</v>
      </c>
      <c r="R16" s="189">
        <v>0.0</v>
      </c>
      <c r="S16" s="189">
        <v>0.0</v>
      </c>
      <c r="T16" s="189">
        <v>0.0</v>
      </c>
      <c r="U16" s="189">
        <v>0.0</v>
      </c>
      <c r="V16" s="189">
        <v>0.0</v>
      </c>
      <c r="W16" s="189">
        <v>0.0</v>
      </c>
    </row>
    <row r="17">
      <c r="A17" s="189">
        <v>9.0</v>
      </c>
      <c r="B17" s="190">
        <v>460.0</v>
      </c>
      <c r="C17" s="221">
        <v>0.0</v>
      </c>
      <c r="D17" s="189">
        <v>0.0</v>
      </c>
      <c r="E17" s="189">
        <v>0.0</v>
      </c>
      <c r="F17" s="189">
        <v>0.0</v>
      </c>
      <c r="G17" s="189">
        <v>0.0</v>
      </c>
      <c r="H17" s="189">
        <v>0.0</v>
      </c>
      <c r="I17" s="189">
        <v>0.0</v>
      </c>
      <c r="J17" s="189">
        <v>0.0</v>
      </c>
      <c r="K17" s="189">
        <v>0.0</v>
      </c>
      <c r="L17" s="189">
        <v>0.0</v>
      </c>
      <c r="M17" s="189">
        <v>15.0</v>
      </c>
      <c r="N17" s="189">
        <v>0.0</v>
      </c>
      <c r="O17" s="189">
        <v>0.0</v>
      </c>
      <c r="P17" s="189">
        <v>0.0</v>
      </c>
      <c r="Q17" s="189">
        <v>0.0</v>
      </c>
      <c r="R17" s="189">
        <v>0.0</v>
      </c>
      <c r="S17" s="189">
        <v>0.0</v>
      </c>
      <c r="T17" s="189">
        <v>0.0</v>
      </c>
      <c r="U17" s="189">
        <v>0.0</v>
      </c>
      <c r="V17" s="189">
        <v>0.0</v>
      </c>
      <c r="W17" s="189">
        <v>0.0</v>
      </c>
    </row>
    <row r="18">
      <c r="A18" s="189">
        <v>10.0</v>
      </c>
      <c r="B18" s="190">
        <v>560.0</v>
      </c>
      <c r="C18" s="221">
        <v>25.0</v>
      </c>
      <c r="D18" s="189">
        <v>0.0</v>
      </c>
      <c r="E18" s="189">
        <v>0.0</v>
      </c>
      <c r="F18" s="189">
        <v>0.0</v>
      </c>
      <c r="G18" s="189">
        <v>0.0</v>
      </c>
      <c r="H18" s="189">
        <v>0.0</v>
      </c>
      <c r="I18" s="189">
        <v>0.0</v>
      </c>
      <c r="J18" s="189">
        <v>0.0</v>
      </c>
      <c r="K18" s="189">
        <v>0.0</v>
      </c>
      <c r="L18" s="189">
        <v>0.0</v>
      </c>
      <c r="M18" s="189">
        <v>0.0</v>
      </c>
      <c r="N18" s="189">
        <v>0.0</v>
      </c>
      <c r="O18" s="189">
        <v>0.0</v>
      </c>
      <c r="P18" s="189">
        <v>0.0</v>
      </c>
      <c r="Q18" s="189">
        <v>0.0</v>
      </c>
      <c r="R18" s="189">
        <v>0.0</v>
      </c>
      <c r="S18" s="189">
        <v>0.0</v>
      </c>
      <c r="T18" s="189">
        <v>0.0</v>
      </c>
      <c r="U18" s="189">
        <v>0.0</v>
      </c>
      <c r="V18" s="189">
        <v>0.0</v>
      </c>
      <c r="W18" s="189">
        <v>0.0</v>
      </c>
    </row>
    <row r="19">
      <c r="A19" s="189">
        <v>11.0</v>
      </c>
      <c r="B19" s="190">
        <v>670.0</v>
      </c>
      <c r="C19" s="221">
        <v>0.0</v>
      </c>
      <c r="D19" s="189">
        <v>0.0</v>
      </c>
      <c r="E19" s="189">
        <v>0.0</v>
      </c>
      <c r="F19" s="189">
        <v>0.0</v>
      </c>
      <c r="G19" s="189">
        <v>0.0</v>
      </c>
      <c r="H19" s="189">
        <v>0.0</v>
      </c>
      <c r="I19" s="189">
        <v>0.0</v>
      </c>
      <c r="J19" s="189">
        <v>0.0</v>
      </c>
      <c r="K19" s="189">
        <v>0.0</v>
      </c>
      <c r="L19" s="189">
        <v>0.0</v>
      </c>
      <c r="M19" s="189">
        <v>0.0</v>
      </c>
      <c r="N19" s="189">
        <v>15.0</v>
      </c>
      <c r="O19" s="189">
        <v>0.0</v>
      </c>
      <c r="P19" s="189">
        <v>0.0</v>
      </c>
      <c r="Q19" s="189">
        <v>0.0</v>
      </c>
      <c r="R19" s="189">
        <v>0.0</v>
      </c>
      <c r="S19" s="189">
        <v>0.0</v>
      </c>
      <c r="T19" s="189">
        <v>0.0</v>
      </c>
      <c r="U19" s="189">
        <v>0.0</v>
      </c>
      <c r="V19" s="189">
        <v>0.0</v>
      </c>
      <c r="W19" s="189">
        <v>0.0</v>
      </c>
    </row>
    <row r="20">
      <c r="A20" s="189">
        <v>12.0</v>
      </c>
      <c r="B20" s="190">
        <v>790.0</v>
      </c>
      <c r="C20" s="221">
        <v>0.0</v>
      </c>
      <c r="D20" s="189">
        <v>0.0</v>
      </c>
      <c r="E20" s="189">
        <v>0.0</v>
      </c>
      <c r="F20" s="189">
        <v>0.0</v>
      </c>
      <c r="G20" s="189">
        <v>0.0</v>
      </c>
      <c r="H20" s="189">
        <v>0.0</v>
      </c>
      <c r="I20" s="189">
        <v>0.0</v>
      </c>
      <c r="J20" s="189">
        <v>0.0</v>
      </c>
      <c r="K20" s="189">
        <v>0.0</v>
      </c>
      <c r="L20" s="189">
        <v>0.0</v>
      </c>
      <c r="M20" s="189">
        <v>0.0</v>
      </c>
      <c r="N20" s="189">
        <v>0.0</v>
      </c>
      <c r="O20" s="189">
        <v>15.0</v>
      </c>
      <c r="P20" s="189">
        <v>0.0</v>
      </c>
      <c r="Q20" s="189">
        <v>0.0</v>
      </c>
      <c r="R20" s="189">
        <v>0.0</v>
      </c>
      <c r="S20" s="189">
        <v>0.0</v>
      </c>
      <c r="T20" s="189">
        <v>0.0</v>
      </c>
      <c r="U20" s="189">
        <v>0.0</v>
      </c>
      <c r="V20" s="189">
        <v>0.0</v>
      </c>
      <c r="W20" s="189">
        <v>0.0</v>
      </c>
    </row>
    <row r="21" ht="15.75" customHeight="1">
      <c r="A21" s="189">
        <v>13.0</v>
      </c>
      <c r="B21" s="190">
        <v>920.0</v>
      </c>
      <c r="C21" s="221">
        <v>0.0</v>
      </c>
      <c r="D21" s="189">
        <v>0.0</v>
      </c>
      <c r="E21" s="189">
        <v>0.0</v>
      </c>
      <c r="F21" s="189">
        <v>0.0</v>
      </c>
      <c r="G21" s="189">
        <v>0.0</v>
      </c>
      <c r="H21" s="189">
        <v>0.0</v>
      </c>
      <c r="I21" s="189">
        <v>1.0</v>
      </c>
      <c r="J21" s="189">
        <v>0.0</v>
      </c>
      <c r="K21" s="189">
        <v>0.0</v>
      </c>
      <c r="L21" s="189">
        <v>0.0</v>
      </c>
      <c r="M21" s="189">
        <v>0.0</v>
      </c>
      <c r="N21" s="189">
        <v>0.0</v>
      </c>
      <c r="O21" s="189">
        <v>0.0</v>
      </c>
      <c r="P21" s="189">
        <v>0.0</v>
      </c>
      <c r="Q21" s="189">
        <v>0.0</v>
      </c>
      <c r="R21" s="189">
        <v>0.0</v>
      </c>
      <c r="S21" s="189">
        <v>0.0</v>
      </c>
      <c r="T21" s="189">
        <v>0.0</v>
      </c>
      <c r="U21" s="189">
        <v>0.0</v>
      </c>
      <c r="V21" s="189">
        <v>0.0</v>
      </c>
      <c r="W21" s="189">
        <v>0.0</v>
      </c>
    </row>
    <row r="22" ht="15.75" customHeight="1">
      <c r="A22" s="189">
        <v>14.0</v>
      </c>
      <c r="B22" s="190">
        <v>1060.0</v>
      </c>
      <c r="C22" s="221">
        <v>0.0</v>
      </c>
      <c r="D22" s="189">
        <v>0.0</v>
      </c>
      <c r="E22" s="189">
        <v>0.0</v>
      </c>
      <c r="F22" s="189">
        <v>0.0</v>
      </c>
      <c r="G22" s="189">
        <v>0.0</v>
      </c>
      <c r="H22" s="189">
        <v>0.0</v>
      </c>
      <c r="I22" s="189">
        <v>0.0</v>
      </c>
      <c r="J22" s="189">
        <v>0.0</v>
      </c>
      <c r="K22" s="189">
        <v>0.0</v>
      </c>
      <c r="L22" s="189">
        <v>60.0</v>
      </c>
      <c r="M22" s="189">
        <v>0.0</v>
      </c>
      <c r="N22" s="189">
        <v>0.0</v>
      </c>
      <c r="O22" s="189">
        <v>0.0</v>
      </c>
      <c r="P22" s="189">
        <v>0.0</v>
      </c>
      <c r="Q22" s="189">
        <v>0.0</v>
      </c>
      <c r="R22" s="189">
        <v>0.0</v>
      </c>
      <c r="S22" s="189">
        <v>0.0</v>
      </c>
      <c r="T22" s="189">
        <v>0.0</v>
      </c>
      <c r="U22" s="189">
        <v>0.0</v>
      </c>
      <c r="V22" s="189">
        <v>0.0</v>
      </c>
      <c r="W22" s="189">
        <v>0.0</v>
      </c>
    </row>
    <row r="23" ht="15.75" customHeight="1">
      <c r="A23" s="189">
        <v>15.0</v>
      </c>
      <c r="B23" s="190">
        <v>1210.0</v>
      </c>
      <c r="C23" s="221">
        <v>0.0</v>
      </c>
      <c r="D23" s="189">
        <v>0.0</v>
      </c>
      <c r="E23" s="189">
        <v>0.0</v>
      </c>
      <c r="F23" s="189">
        <v>0.0</v>
      </c>
      <c r="G23" s="189">
        <v>0.0</v>
      </c>
      <c r="H23" s="189">
        <v>0.0</v>
      </c>
      <c r="I23" s="189">
        <v>0.0</v>
      </c>
      <c r="J23" s="189">
        <v>1.0</v>
      </c>
      <c r="K23" s="189">
        <v>0.0</v>
      </c>
      <c r="L23" s="189">
        <v>0.0</v>
      </c>
      <c r="M23" s="189">
        <v>0.0</v>
      </c>
      <c r="N23" s="189">
        <v>0.0</v>
      </c>
      <c r="O23" s="189">
        <v>0.0</v>
      </c>
      <c r="P23" s="189">
        <v>0.0</v>
      </c>
      <c r="Q23" s="189">
        <v>0.0</v>
      </c>
      <c r="R23" s="189">
        <v>0.0</v>
      </c>
      <c r="S23" s="189">
        <v>0.0</v>
      </c>
      <c r="T23" s="189">
        <v>0.0</v>
      </c>
      <c r="U23" s="189">
        <v>0.0</v>
      </c>
      <c r="V23" s="189">
        <v>0.0</v>
      </c>
      <c r="W23" s="189">
        <v>0.0</v>
      </c>
    </row>
    <row r="24" ht="15.75" customHeight="1">
      <c r="A24" s="292" t="s">
        <v>212</v>
      </c>
      <c r="B24" s="190"/>
      <c r="C24" s="221">
        <v>50.0</v>
      </c>
      <c r="D24" s="189">
        <v>0.0</v>
      </c>
      <c r="E24" s="189">
        <v>0.0</v>
      </c>
      <c r="F24" s="189">
        <v>0.0</v>
      </c>
      <c r="G24" s="189">
        <v>0.0</v>
      </c>
      <c r="H24" s="189">
        <v>1.0</v>
      </c>
      <c r="I24" s="189">
        <v>0.0</v>
      </c>
      <c r="J24" s="189">
        <v>0.0</v>
      </c>
      <c r="K24" s="189">
        <v>1.0</v>
      </c>
      <c r="L24" s="189">
        <v>0.0</v>
      </c>
      <c r="M24" s="189">
        <v>0.0</v>
      </c>
      <c r="N24" s="189">
        <v>0.0</v>
      </c>
      <c r="O24" s="189">
        <v>0.0</v>
      </c>
      <c r="P24" s="189">
        <v>0.0</v>
      </c>
      <c r="Q24" s="189">
        <v>0.0</v>
      </c>
      <c r="R24" s="189">
        <v>0.0</v>
      </c>
      <c r="S24" s="189">
        <v>0.0</v>
      </c>
      <c r="T24" s="189">
        <v>0.0</v>
      </c>
      <c r="U24" s="189">
        <v>0.0</v>
      </c>
      <c r="V24" s="189">
        <v>0.0</v>
      </c>
      <c r="W24" s="189">
        <v>0.0</v>
      </c>
    </row>
    <row r="25" ht="15.75" customHeight="1"/>
    <row r="26" ht="15.75" customHeight="1"/>
    <row r="27" ht="15.75" customHeight="1">
      <c r="N27" s="1">
        <v>1.0</v>
      </c>
      <c r="O27" s="1">
        <v>3.0</v>
      </c>
      <c r="P27" s="1">
        <v>2.0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4" priority="1" operator="greaterThan">
      <formula>0</formula>
    </cfRule>
  </conditionalFormatting>
  <conditionalFormatting sqref="A9:W24">
    <cfRule type="expression" dxfId="5" priority="2">
      <formula>ISEVEN(ROW()-9+1)</formula>
    </cfRule>
  </conditionalFormatting>
  <conditionalFormatting sqref="A1:B2 A4:B24">
    <cfRule type="expression" dxfId="3" priority="3">
      <formula>ISFORMULA(A1)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0.88"/>
    <col customWidth="1" min="3" max="23" width="5.25"/>
    <col customWidth="1" min="24" max="26" width="7.63"/>
  </cols>
  <sheetData>
    <row r="1" ht="21.75" customHeight="1">
      <c r="A1" s="240" t="s">
        <v>7</v>
      </c>
    </row>
    <row r="2" ht="19.5" customHeight="1">
      <c r="A2" s="150" t="s">
        <v>106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</row>
    <row r="3">
      <c r="A3" s="241" t="s">
        <v>170</v>
      </c>
      <c r="B3" s="242">
        <v>1.0</v>
      </c>
    </row>
    <row r="4">
      <c r="A4" s="241" t="s">
        <v>171</v>
      </c>
      <c r="B4" s="242">
        <v>42.0</v>
      </c>
    </row>
    <row r="5">
      <c r="A5" s="241" t="s">
        <v>213</v>
      </c>
      <c r="B5" s="242">
        <v>60.0</v>
      </c>
    </row>
    <row r="6">
      <c r="A6" s="241" t="s">
        <v>214</v>
      </c>
      <c r="B6" s="243">
        <v>3.0</v>
      </c>
    </row>
    <row r="7">
      <c r="A7" s="241" t="s">
        <v>215</v>
      </c>
      <c r="B7" s="242">
        <v>1.0</v>
      </c>
    </row>
    <row r="8">
      <c r="A8" s="241" t="s">
        <v>216</v>
      </c>
      <c r="B8" s="242">
        <v>1000.0</v>
      </c>
    </row>
    <row r="9">
      <c r="A9" s="241" t="s">
        <v>217</v>
      </c>
      <c r="B9" s="242" t="s">
        <v>218</v>
      </c>
    </row>
    <row r="10">
      <c r="A10" s="241" t="s">
        <v>219</v>
      </c>
      <c r="B10" s="242" t="s">
        <v>220</v>
      </c>
    </row>
    <row r="12" ht="19.5" customHeight="1">
      <c r="A12" s="150" t="s">
        <v>221</v>
      </c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</row>
    <row r="13">
      <c r="A13" s="162" t="s">
        <v>222</v>
      </c>
      <c r="B13" s="162" t="s">
        <v>223</v>
      </c>
    </row>
    <row r="14">
      <c r="A14" s="244" t="s">
        <v>224</v>
      </c>
      <c r="B14" s="245">
        <v>1.0</v>
      </c>
    </row>
    <row r="15">
      <c r="A15" s="244" t="s">
        <v>225</v>
      </c>
      <c r="B15" s="245">
        <v>10.0</v>
      </c>
    </row>
    <row r="16">
      <c r="A16" s="244" t="s">
        <v>226</v>
      </c>
      <c r="B16" s="245">
        <v>100.0</v>
      </c>
    </row>
    <row r="17">
      <c r="A17" s="244" t="s">
        <v>227</v>
      </c>
      <c r="B17" s="245">
        <v>200.0</v>
      </c>
    </row>
    <row r="18">
      <c r="A18" s="244" t="s">
        <v>228</v>
      </c>
      <c r="B18" s="245">
        <v>500.0</v>
      </c>
    </row>
    <row r="19">
      <c r="A19" s="244" t="s">
        <v>229</v>
      </c>
      <c r="B19" s="245">
        <v>1000.0</v>
      </c>
    </row>
    <row r="21" ht="19.5" customHeight="1">
      <c r="A21" s="150" t="s">
        <v>230</v>
      </c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</row>
    <row r="22" ht="90.0" customHeight="1">
      <c r="A22" s="162" t="s">
        <v>174</v>
      </c>
      <c r="B22" s="162" t="s">
        <v>231</v>
      </c>
      <c r="C22" s="246" t="s">
        <v>76</v>
      </c>
      <c r="D22" s="246" t="s">
        <v>46</v>
      </c>
      <c r="E22" s="246" t="s">
        <v>121</v>
      </c>
      <c r="F22" s="246" t="s">
        <v>47</v>
      </c>
      <c r="G22" s="246" t="s">
        <v>48</v>
      </c>
      <c r="H22" s="246" t="s">
        <v>50</v>
      </c>
      <c r="I22" s="246" t="s">
        <v>52</v>
      </c>
      <c r="J22" s="246" t="s">
        <v>53</v>
      </c>
      <c r="K22" s="246" t="s">
        <v>54</v>
      </c>
      <c r="L22" s="246" t="s">
        <v>55</v>
      </c>
      <c r="M22" s="246" t="s">
        <v>56</v>
      </c>
      <c r="N22" s="246" t="s">
        <v>57</v>
      </c>
      <c r="O22" s="246" t="s">
        <v>58</v>
      </c>
      <c r="P22" s="246" t="s">
        <v>135</v>
      </c>
      <c r="Q22" s="246" t="s">
        <v>122</v>
      </c>
      <c r="R22" s="246" t="s">
        <v>123</v>
      </c>
      <c r="S22" s="246" t="s">
        <v>124</v>
      </c>
      <c r="T22" s="246" t="s">
        <v>125</v>
      </c>
      <c r="U22" s="246" t="s">
        <v>126</v>
      </c>
      <c r="V22" s="246" t="s">
        <v>127</v>
      </c>
      <c r="W22" s="246" t="s">
        <v>128</v>
      </c>
    </row>
    <row r="23" ht="15.75" customHeight="1">
      <c r="A23" s="244">
        <v>1.0</v>
      </c>
      <c r="B23" s="244">
        <v>100.0</v>
      </c>
      <c r="C23" s="244">
        <v>0.0</v>
      </c>
      <c r="D23" s="244">
        <v>0.0</v>
      </c>
      <c r="E23" s="244">
        <v>0.0</v>
      </c>
      <c r="F23" s="244">
        <v>0.0</v>
      </c>
      <c r="G23" s="244">
        <v>0.0</v>
      </c>
      <c r="H23" s="244">
        <v>0.0</v>
      </c>
      <c r="I23" s="244">
        <v>0.0</v>
      </c>
      <c r="J23" s="244">
        <v>0.0</v>
      </c>
      <c r="K23" s="244">
        <v>0.0</v>
      </c>
      <c r="L23" s="244">
        <v>30.0</v>
      </c>
      <c r="M23" s="244">
        <v>0.0</v>
      </c>
      <c r="N23" s="244">
        <v>0.0</v>
      </c>
      <c r="O23" s="244">
        <v>0.0</v>
      </c>
      <c r="P23" s="244">
        <v>0.0</v>
      </c>
      <c r="Q23" s="244">
        <v>0.0</v>
      </c>
      <c r="R23" s="244">
        <v>0.0</v>
      </c>
      <c r="S23" s="244">
        <v>0.0</v>
      </c>
      <c r="T23" s="244">
        <v>0.0</v>
      </c>
      <c r="U23" s="244">
        <v>0.0</v>
      </c>
      <c r="V23" s="244">
        <v>0.0</v>
      </c>
      <c r="W23" s="244">
        <v>0.0</v>
      </c>
    </row>
    <row r="24" ht="15.75" customHeight="1"/>
    <row r="25" ht="19.5" customHeight="1">
      <c r="A25" s="150" t="s">
        <v>232</v>
      </c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</row>
    <row r="26" ht="90.0" customHeight="1">
      <c r="A26" s="162" t="s">
        <v>233</v>
      </c>
      <c r="C26" s="246" t="s">
        <v>76</v>
      </c>
      <c r="D26" s="246" t="s">
        <v>46</v>
      </c>
      <c r="E26" s="246" t="s">
        <v>121</v>
      </c>
      <c r="F26" s="246" t="s">
        <v>47</v>
      </c>
      <c r="G26" s="246" t="s">
        <v>48</v>
      </c>
      <c r="H26" s="246" t="s">
        <v>50</v>
      </c>
      <c r="I26" s="246" t="s">
        <v>52</v>
      </c>
      <c r="J26" s="246" t="s">
        <v>53</v>
      </c>
      <c r="K26" s="246" t="s">
        <v>54</v>
      </c>
      <c r="L26" s="246" t="s">
        <v>55</v>
      </c>
      <c r="M26" s="246" t="s">
        <v>56</v>
      </c>
      <c r="N26" s="246" t="s">
        <v>57</v>
      </c>
      <c r="O26" s="246" t="s">
        <v>58</v>
      </c>
      <c r="P26" s="246" t="s">
        <v>135</v>
      </c>
      <c r="Q26" s="246" t="s">
        <v>122</v>
      </c>
      <c r="R26" s="246" t="s">
        <v>123</v>
      </c>
      <c r="S26" s="246" t="s">
        <v>124</v>
      </c>
      <c r="T26" s="246" t="s">
        <v>125</v>
      </c>
      <c r="U26" s="246" t="s">
        <v>126</v>
      </c>
      <c r="V26" s="246" t="s">
        <v>127</v>
      </c>
      <c r="W26" s="246" t="s">
        <v>128</v>
      </c>
    </row>
    <row r="27" ht="15.75" customHeight="1">
      <c r="A27" s="244">
        <v>1.0</v>
      </c>
      <c r="C27" s="247">
        <v>250.0</v>
      </c>
      <c r="D27" s="247">
        <v>260.0</v>
      </c>
      <c r="E27" s="247">
        <v>0.0</v>
      </c>
      <c r="F27" s="247">
        <v>0.0</v>
      </c>
      <c r="G27" s="247">
        <v>0.0</v>
      </c>
      <c r="H27" s="247">
        <v>0.0</v>
      </c>
      <c r="I27" s="247">
        <v>0.0</v>
      </c>
      <c r="J27" s="247">
        <v>0.0</v>
      </c>
      <c r="K27" s="247">
        <v>1.0</v>
      </c>
      <c r="L27" s="248">
        <v>0.0</v>
      </c>
      <c r="M27" s="248">
        <v>0.0</v>
      </c>
      <c r="N27" s="244">
        <v>0.0</v>
      </c>
      <c r="O27" s="244">
        <v>0.0</v>
      </c>
      <c r="P27" s="244">
        <v>0.0</v>
      </c>
      <c r="Q27" s="244">
        <v>0.0</v>
      </c>
      <c r="R27" s="244">
        <v>0.0</v>
      </c>
      <c r="S27" s="244">
        <v>0.0</v>
      </c>
      <c r="T27" s="244">
        <v>0.0</v>
      </c>
      <c r="U27" s="244">
        <v>0.0</v>
      </c>
      <c r="V27" s="244">
        <v>0.0</v>
      </c>
      <c r="W27" s="244">
        <v>0.0</v>
      </c>
      <c r="Y27" s="249"/>
    </row>
    <row r="28" ht="15.75" customHeight="1">
      <c r="A28" s="244">
        <f t="shared" ref="A28:A86" si="1">A27+1</f>
        <v>2</v>
      </c>
      <c r="B28" s="250"/>
      <c r="C28" s="247">
        <v>150.0</v>
      </c>
      <c r="D28" s="247">
        <v>190.0</v>
      </c>
      <c r="E28" s="247">
        <v>0.0</v>
      </c>
      <c r="F28" s="247">
        <v>0.0</v>
      </c>
      <c r="G28" s="247">
        <v>0.0</v>
      </c>
      <c r="H28" s="247">
        <v>0.0</v>
      </c>
      <c r="I28" s="247">
        <v>0.0</v>
      </c>
      <c r="J28" s="247">
        <v>1.0</v>
      </c>
      <c r="K28" s="247">
        <v>0.0</v>
      </c>
      <c r="L28" s="248">
        <v>0.0</v>
      </c>
      <c r="M28" s="248">
        <v>0.0</v>
      </c>
      <c r="N28" s="244">
        <v>0.0</v>
      </c>
      <c r="O28" s="244">
        <v>0.0</v>
      </c>
      <c r="P28" s="244">
        <v>0.0</v>
      </c>
      <c r="Q28" s="244">
        <v>0.0</v>
      </c>
      <c r="R28" s="244">
        <v>0.0</v>
      </c>
      <c r="S28" s="244">
        <v>0.0</v>
      </c>
      <c r="T28" s="244">
        <v>0.0</v>
      </c>
      <c r="U28" s="244">
        <v>0.0</v>
      </c>
      <c r="V28" s="244">
        <v>0.0</v>
      </c>
      <c r="W28" s="244">
        <v>0.0</v>
      </c>
      <c r="Y28" s="249"/>
    </row>
    <row r="29" ht="15.75" customHeight="1">
      <c r="A29" s="244">
        <f t="shared" si="1"/>
        <v>3</v>
      </c>
      <c r="C29" s="247">
        <v>125.0</v>
      </c>
      <c r="D29" s="247">
        <v>150.0</v>
      </c>
      <c r="E29" s="247">
        <v>0.0</v>
      </c>
      <c r="F29" s="247">
        <v>0.0</v>
      </c>
      <c r="G29" s="247">
        <v>0.0</v>
      </c>
      <c r="H29" s="247">
        <v>0.0</v>
      </c>
      <c r="I29" s="247">
        <v>0.0</v>
      </c>
      <c r="J29" s="247">
        <v>1.0</v>
      </c>
      <c r="K29" s="247">
        <v>0.0</v>
      </c>
      <c r="L29" s="248">
        <v>0.0</v>
      </c>
      <c r="M29" s="248">
        <v>0.0</v>
      </c>
      <c r="N29" s="244">
        <v>0.0</v>
      </c>
      <c r="O29" s="244">
        <v>0.0</v>
      </c>
      <c r="P29" s="244">
        <v>0.0</v>
      </c>
      <c r="Q29" s="244">
        <v>0.0</v>
      </c>
      <c r="R29" s="244">
        <v>0.0</v>
      </c>
      <c r="S29" s="244">
        <v>0.0</v>
      </c>
      <c r="T29" s="244">
        <v>0.0</v>
      </c>
      <c r="U29" s="244">
        <v>0.0</v>
      </c>
      <c r="V29" s="244">
        <v>0.0</v>
      </c>
      <c r="W29" s="244">
        <v>0.0</v>
      </c>
      <c r="Y29" s="249"/>
    </row>
    <row r="30" ht="15.75" customHeight="1">
      <c r="A30" s="244">
        <f t="shared" si="1"/>
        <v>4</v>
      </c>
      <c r="B30" s="250"/>
      <c r="C30" s="247">
        <v>100.0</v>
      </c>
      <c r="D30" s="247">
        <v>130.0</v>
      </c>
      <c r="E30" s="247">
        <v>0.0</v>
      </c>
      <c r="F30" s="247">
        <v>0.0</v>
      </c>
      <c r="G30" s="247">
        <v>0.0</v>
      </c>
      <c r="H30" s="247">
        <v>0.0</v>
      </c>
      <c r="I30" s="247">
        <v>1.0</v>
      </c>
      <c r="J30" s="247">
        <v>0.0</v>
      </c>
      <c r="K30" s="247">
        <v>0.0</v>
      </c>
      <c r="L30" s="248">
        <v>0.0</v>
      </c>
      <c r="M30" s="248">
        <v>0.0</v>
      </c>
      <c r="N30" s="244">
        <v>0.0</v>
      </c>
      <c r="O30" s="244">
        <v>0.0</v>
      </c>
      <c r="P30" s="244">
        <v>0.0</v>
      </c>
      <c r="Q30" s="244">
        <v>0.0</v>
      </c>
      <c r="R30" s="244">
        <v>0.0</v>
      </c>
      <c r="S30" s="244">
        <v>0.0</v>
      </c>
      <c r="T30" s="244">
        <v>0.0</v>
      </c>
      <c r="U30" s="244">
        <v>0.0</v>
      </c>
      <c r="V30" s="244">
        <v>0.0</v>
      </c>
      <c r="W30" s="244">
        <v>0.0</v>
      </c>
      <c r="Y30" s="249"/>
    </row>
    <row r="31" ht="15.75" customHeight="1">
      <c r="A31" s="244">
        <f t="shared" si="1"/>
        <v>5</v>
      </c>
      <c r="C31" s="247">
        <v>75.0</v>
      </c>
      <c r="D31" s="247">
        <v>100.0</v>
      </c>
      <c r="E31" s="247">
        <v>0.0</v>
      </c>
      <c r="F31" s="247">
        <v>0.0</v>
      </c>
      <c r="G31" s="247">
        <v>0.0</v>
      </c>
      <c r="H31" s="247">
        <v>0.0</v>
      </c>
      <c r="I31" s="247">
        <v>1.0</v>
      </c>
      <c r="J31" s="247">
        <v>0.0</v>
      </c>
      <c r="K31" s="247">
        <v>0.0</v>
      </c>
      <c r="L31" s="248">
        <v>0.0</v>
      </c>
      <c r="M31" s="248">
        <v>0.0</v>
      </c>
      <c r="N31" s="244">
        <v>0.0</v>
      </c>
      <c r="O31" s="244">
        <v>0.0</v>
      </c>
      <c r="P31" s="244">
        <v>0.0</v>
      </c>
      <c r="Q31" s="244">
        <v>0.0</v>
      </c>
      <c r="R31" s="244">
        <v>0.0</v>
      </c>
      <c r="S31" s="244">
        <v>0.0</v>
      </c>
      <c r="T31" s="244">
        <v>0.0</v>
      </c>
      <c r="U31" s="244">
        <v>0.0</v>
      </c>
      <c r="V31" s="244">
        <v>0.0</v>
      </c>
      <c r="W31" s="244">
        <v>0.0</v>
      </c>
      <c r="Y31" s="249"/>
    </row>
    <row r="32" ht="15.75" customHeight="1">
      <c r="A32" s="244">
        <f t="shared" si="1"/>
        <v>6</v>
      </c>
      <c r="B32" s="250"/>
      <c r="C32" s="247">
        <v>0.0</v>
      </c>
      <c r="D32" s="247">
        <v>90.0</v>
      </c>
      <c r="E32" s="247">
        <v>0.0</v>
      </c>
      <c r="F32" s="247">
        <v>0.0</v>
      </c>
      <c r="G32" s="247">
        <v>0.0</v>
      </c>
      <c r="H32" s="247">
        <v>1.0</v>
      </c>
      <c r="I32" s="247">
        <v>0.0</v>
      </c>
      <c r="J32" s="247">
        <v>0.0</v>
      </c>
      <c r="K32" s="247">
        <v>0.0</v>
      </c>
      <c r="L32" s="248">
        <v>0.0</v>
      </c>
      <c r="M32" s="248">
        <v>0.0</v>
      </c>
      <c r="N32" s="244">
        <v>0.0</v>
      </c>
      <c r="O32" s="244">
        <v>0.0</v>
      </c>
      <c r="P32" s="244">
        <v>0.0</v>
      </c>
      <c r="Q32" s="244">
        <v>0.0</v>
      </c>
      <c r="R32" s="244">
        <v>0.0</v>
      </c>
      <c r="S32" s="244">
        <v>0.0</v>
      </c>
      <c r="T32" s="244">
        <v>0.0</v>
      </c>
      <c r="U32" s="244">
        <v>0.0</v>
      </c>
      <c r="V32" s="244">
        <v>0.0</v>
      </c>
      <c r="W32" s="244">
        <v>0.0</v>
      </c>
      <c r="Y32" s="249"/>
    </row>
    <row r="33" ht="15.75" customHeight="1">
      <c r="A33" s="244">
        <f t="shared" si="1"/>
        <v>7</v>
      </c>
      <c r="C33" s="247">
        <v>0.0</v>
      </c>
      <c r="D33" s="247">
        <v>80.0</v>
      </c>
      <c r="E33" s="247">
        <v>0.0</v>
      </c>
      <c r="F33" s="247">
        <v>0.0</v>
      </c>
      <c r="G33" s="247">
        <v>0.0</v>
      </c>
      <c r="H33" s="247">
        <v>1.0</v>
      </c>
      <c r="I33" s="247">
        <v>0.0</v>
      </c>
      <c r="J33" s="247">
        <v>0.0</v>
      </c>
      <c r="K33" s="247">
        <v>0.0</v>
      </c>
      <c r="L33" s="248">
        <v>0.0</v>
      </c>
      <c r="M33" s="248">
        <v>0.0</v>
      </c>
      <c r="N33" s="244">
        <v>0.0</v>
      </c>
      <c r="O33" s="244">
        <v>0.0</v>
      </c>
      <c r="P33" s="244">
        <v>0.0</v>
      </c>
      <c r="Q33" s="244">
        <v>0.0</v>
      </c>
      <c r="R33" s="244">
        <v>0.0</v>
      </c>
      <c r="S33" s="244">
        <v>0.0</v>
      </c>
      <c r="T33" s="244">
        <v>0.0</v>
      </c>
      <c r="U33" s="244">
        <v>0.0</v>
      </c>
      <c r="V33" s="244">
        <v>0.0</v>
      </c>
      <c r="W33" s="244">
        <v>0.0</v>
      </c>
      <c r="Y33" s="249"/>
    </row>
    <row r="34" ht="15.75" customHeight="1">
      <c r="A34" s="244">
        <f t="shared" si="1"/>
        <v>8</v>
      </c>
      <c r="B34" s="250"/>
      <c r="C34" s="247">
        <v>0.0</v>
      </c>
      <c r="D34" s="247">
        <v>80.0</v>
      </c>
      <c r="E34" s="247">
        <v>0.0</v>
      </c>
      <c r="F34" s="247">
        <v>0.0</v>
      </c>
      <c r="G34" s="247">
        <v>0.0</v>
      </c>
      <c r="H34" s="247">
        <v>1.0</v>
      </c>
      <c r="I34" s="247">
        <v>0.0</v>
      </c>
      <c r="J34" s="247">
        <v>0.0</v>
      </c>
      <c r="K34" s="247">
        <v>0.0</v>
      </c>
      <c r="L34" s="248">
        <v>0.0</v>
      </c>
      <c r="M34" s="248">
        <v>0.0</v>
      </c>
      <c r="N34" s="244">
        <v>0.0</v>
      </c>
      <c r="O34" s="244">
        <v>0.0</v>
      </c>
      <c r="P34" s="244">
        <v>0.0</v>
      </c>
      <c r="Q34" s="244">
        <v>0.0</v>
      </c>
      <c r="R34" s="244">
        <v>0.0</v>
      </c>
      <c r="S34" s="244">
        <v>0.0</v>
      </c>
      <c r="T34" s="244">
        <v>0.0</v>
      </c>
      <c r="U34" s="244">
        <v>0.0</v>
      </c>
      <c r="V34" s="244">
        <v>0.0</v>
      </c>
      <c r="W34" s="244">
        <v>0.0</v>
      </c>
      <c r="Y34" s="249"/>
    </row>
    <row r="35" ht="15.75" customHeight="1">
      <c r="A35" s="244">
        <f t="shared" si="1"/>
        <v>9</v>
      </c>
      <c r="C35" s="247">
        <v>0.0</v>
      </c>
      <c r="D35" s="247">
        <v>70.0</v>
      </c>
      <c r="E35" s="247">
        <v>0.0</v>
      </c>
      <c r="F35" s="247">
        <v>0.0</v>
      </c>
      <c r="G35" s="247">
        <v>0.0</v>
      </c>
      <c r="H35" s="247">
        <v>1.0</v>
      </c>
      <c r="I35" s="247">
        <v>0.0</v>
      </c>
      <c r="J35" s="247">
        <v>0.0</v>
      </c>
      <c r="K35" s="247">
        <v>0.0</v>
      </c>
      <c r="L35" s="248">
        <v>0.0</v>
      </c>
      <c r="M35" s="248">
        <v>0.0</v>
      </c>
      <c r="N35" s="244">
        <v>0.0</v>
      </c>
      <c r="O35" s="244">
        <v>0.0</v>
      </c>
      <c r="P35" s="244">
        <v>0.0</v>
      </c>
      <c r="Q35" s="244">
        <v>0.0</v>
      </c>
      <c r="R35" s="244">
        <v>0.0</v>
      </c>
      <c r="S35" s="244">
        <v>0.0</v>
      </c>
      <c r="T35" s="244">
        <v>0.0</v>
      </c>
      <c r="U35" s="244">
        <v>0.0</v>
      </c>
      <c r="V35" s="244">
        <v>0.0</v>
      </c>
      <c r="W35" s="244">
        <v>0.0</v>
      </c>
      <c r="Y35" s="249"/>
    </row>
    <row r="36" ht="15.75" customHeight="1">
      <c r="A36" s="244">
        <f t="shared" si="1"/>
        <v>10</v>
      </c>
      <c r="B36" s="250"/>
      <c r="C36" s="247">
        <v>0.0</v>
      </c>
      <c r="D36" s="247">
        <v>70.0</v>
      </c>
      <c r="E36" s="247">
        <v>0.0</v>
      </c>
      <c r="F36" s="247">
        <v>0.0</v>
      </c>
      <c r="G36" s="247">
        <v>0.0</v>
      </c>
      <c r="H36" s="247">
        <v>1.0</v>
      </c>
      <c r="I36" s="247">
        <v>0.0</v>
      </c>
      <c r="J36" s="247">
        <v>0.0</v>
      </c>
      <c r="K36" s="247">
        <v>0.0</v>
      </c>
      <c r="L36" s="248">
        <v>0.0</v>
      </c>
      <c r="M36" s="248">
        <v>0.0</v>
      </c>
      <c r="N36" s="244">
        <v>0.0</v>
      </c>
      <c r="O36" s="244">
        <v>0.0</v>
      </c>
      <c r="P36" s="244">
        <v>0.0</v>
      </c>
      <c r="Q36" s="244">
        <v>0.0</v>
      </c>
      <c r="R36" s="244">
        <v>0.0</v>
      </c>
      <c r="S36" s="244">
        <v>0.0</v>
      </c>
      <c r="T36" s="244">
        <v>0.0</v>
      </c>
      <c r="U36" s="244">
        <v>0.0</v>
      </c>
      <c r="V36" s="244">
        <v>0.0</v>
      </c>
      <c r="W36" s="244">
        <v>0.0</v>
      </c>
      <c r="Y36" s="249"/>
    </row>
    <row r="37" ht="15.75" customHeight="1">
      <c r="A37" s="244">
        <f t="shared" si="1"/>
        <v>11</v>
      </c>
      <c r="C37" s="247">
        <v>0.0</v>
      </c>
      <c r="D37" s="247">
        <v>70.0</v>
      </c>
      <c r="E37" s="247">
        <v>0.0</v>
      </c>
      <c r="F37" s="247">
        <v>0.0</v>
      </c>
      <c r="G37" s="247">
        <v>1.0</v>
      </c>
      <c r="H37" s="247">
        <v>0.0</v>
      </c>
      <c r="I37" s="247">
        <v>0.0</v>
      </c>
      <c r="J37" s="247">
        <v>0.0</v>
      </c>
      <c r="K37" s="247">
        <v>0.0</v>
      </c>
      <c r="L37" s="248">
        <v>0.0</v>
      </c>
      <c r="M37" s="248">
        <v>0.0</v>
      </c>
      <c r="N37" s="244">
        <v>0.0</v>
      </c>
      <c r="O37" s="244">
        <v>0.0</v>
      </c>
      <c r="P37" s="244">
        <v>0.0</v>
      </c>
      <c r="Q37" s="244">
        <v>0.0</v>
      </c>
      <c r="R37" s="244">
        <v>0.0</v>
      </c>
      <c r="S37" s="244">
        <v>0.0</v>
      </c>
      <c r="T37" s="244">
        <v>0.0</v>
      </c>
      <c r="U37" s="244">
        <v>0.0</v>
      </c>
      <c r="V37" s="244">
        <v>0.0</v>
      </c>
      <c r="W37" s="244">
        <v>0.0</v>
      </c>
      <c r="Y37" s="249"/>
    </row>
    <row r="38" ht="15.75" customHeight="1">
      <c r="A38" s="244">
        <f t="shared" si="1"/>
        <v>12</v>
      </c>
      <c r="B38" s="250"/>
      <c r="C38" s="247">
        <v>0.0</v>
      </c>
      <c r="D38" s="247">
        <v>60.0</v>
      </c>
      <c r="E38" s="247">
        <v>0.0</v>
      </c>
      <c r="F38" s="247">
        <v>0.0</v>
      </c>
      <c r="G38" s="247">
        <v>1.0</v>
      </c>
      <c r="H38" s="247">
        <v>0.0</v>
      </c>
      <c r="I38" s="247">
        <v>0.0</v>
      </c>
      <c r="J38" s="247">
        <v>0.0</v>
      </c>
      <c r="K38" s="247">
        <v>0.0</v>
      </c>
      <c r="L38" s="248">
        <v>0.0</v>
      </c>
      <c r="M38" s="248">
        <v>0.0</v>
      </c>
      <c r="N38" s="244">
        <v>0.0</v>
      </c>
      <c r="O38" s="244">
        <v>0.0</v>
      </c>
      <c r="P38" s="244">
        <v>0.0</v>
      </c>
      <c r="Q38" s="244">
        <v>0.0</v>
      </c>
      <c r="R38" s="244">
        <v>0.0</v>
      </c>
      <c r="S38" s="244">
        <v>0.0</v>
      </c>
      <c r="T38" s="244">
        <v>0.0</v>
      </c>
      <c r="U38" s="244">
        <v>0.0</v>
      </c>
      <c r="V38" s="244">
        <v>0.0</v>
      </c>
      <c r="W38" s="244">
        <v>0.0</v>
      </c>
      <c r="Y38" s="249"/>
    </row>
    <row r="39" ht="15.75" customHeight="1">
      <c r="A39" s="244">
        <f t="shared" si="1"/>
        <v>13</v>
      </c>
      <c r="C39" s="247">
        <v>0.0</v>
      </c>
      <c r="D39" s="247">
        <v>60.0</v>
      </c>
      <c r="E39" s="247">
        <v>0.0</v>
      </c>
      <c r="F39" s="247">
        <v>1.0</v>
      </c>
      <c r="G39" s="247">
        <v>0.0</v>
      </c>
      <c r="H39" s="247">
        <v>0.0</v>
      </c>
      <c r="I39" s="247">
        <v>0.0</v>
      </c>
      <c r="J39" s="247">
        <v>0.0</v>
      </c>
      <c r="K39" s="247">
        <v>0.0</v>
      </c>
      <c r="L39" s="248">
        <v>0.0</v>
      </c>
      <c r="M39" s="248">
        <v>0.0</v>
      </c>
      <c r="N39" s="244">
        <v>0.0</v>
      </c>
      <c r="O39" s="244">
        <v>0.0</v>
      </c>
      <c r="P39" s="244">
        <v>0.0</v>
      </c>
      <c r="Q39" s="244">
        <v>0.0</v>
      </c>
      <c r="R39" s="244">
        <v>0.0</v>
      </c>
      <c r="S39" s="244">
        <v>0.0</v>
      </c>
      <c r="T39" s="244">
        <v>0.0</v>
      </c>
      <c r="U39" s="244">
        <v>0.0</v>
      </c>
      <c r="V39" s="244">
        <v>0.0</v>
      </c>
      <c r="W39" s="244">
        <v>0.0</v>
      </c>
      <c r="Y39" s="249"/>
    </row>
    <row r="40" ht="15.75" customHeight="1">
      <c r="A40" s="244">
        <f t="shared" si="1"/>
        <v>14</v>
      </c>
      <c r="B40" s="250"/>
      <c r="C40" s="247">
        <v>0.0</v>
      </c>
      <c r="D40" s="247">
        <v>60.0</v>
      </c>
      <c r="E40" s="247">
        <v>0.0</v>
      </c>
      <c r="F40" s="247">
        <v>1.0</v>
      </c>
      <c r="G40" s="247">
        <v>0.0</v>
      </c>
      <c r="H40" s="247">
        <v>0.0</v>
      </c>
      <c r="I40" s="247">
        <v>0.0</v>
      </c>
      <c r="J40" s="247">
        <v>0.0</v>
      </c>
      <c r="K40" s="247">
        <v>0.0</v>
      </c>
      <c r="L40" s="248">
        <v>0.0</v>
      </c>
      <c r="M40" s="248">
        <v>0.0</v>
      </c>
      <c r="N40" s="244">
        <v>0.0</v>
      </c>
      <c r="O40" s="244">
        <v>0.0</v>
      </c>
      <c r="P40" s="244">
        <v>0.0</v>
      </c>
      <c r="Q40" s="244">
        <v>0.0</v>
      </c>
      <c r="R40" s="244">
        <v>0.0</v>
      </c>
      <c r="S40" s="244">
        <v>0.0</v>
      </c>
      <c r="T40" s="244">
        <v>0.0</v>
      </c>
      <c r="U40" s="244">
        <v>0.0</v>
      </c>
      <c r="V40" s="244">
        <v>0.0</v>
      </c>
      <c r="W40" s="244">
        <v>0.0</v>
      </c>
      <c r="Y40" s="249"/>
    </row>
    <row r="41" ht="15.75" customHeight="1">
      <c r="A41" s="244">
        <f t="shared" si="1"/>
        <v>15</v>
      </c>
      <c r="C41" s="247">
        <v>0.0</v>
      </c>
      <c r="D41" s="247">
        <v>60.0</v>
      </c>
      <c r="E41" s="247">
        <v>0.0</v>
      </c>
      <c r="F41" s="247">
        <v>1.0</v>
      </c>
      <c r="G41" s="247">
        <v>0.0</v>
      </c>
      <c r="H41" s="247">
        <v>0.0</v>
      </c>
      <c r="I41" s="247">
        <v>0.0</v>
      </c>
      <c r="J41" s="247">
        <v>0.0</v>
      </c>
      <c r="K41" s="247">
        <v>0.0</v>
      </c>
      <c r="L41" s="248">
        <v>0.0</v>
      </c>
      <c r="M41" s="248">
        <v>0.0</v>
      </c>
      <c r="N41" s="244">
        <v>0.0</v>
      </c>
      <c r="O41" s="244">
        <v>0.0</v>
      </c>
      <c r="P41" s="244">
        <v>0.0</v>
      </c>
      <c r="Q41" s="244">
        <v>0.0</v>
      </c>
      <c r="R41" s="244">
        <v>0.0</v>
      </c>
      <c r="S41" s="244">
        <v>0.0</v>
      </c>
      <c r="T41" s="244">
        <v>0.0</v>
      </c>
      <c r="U41" s="244">
        <v>0.0</v>
      </c>
      <c r="V41" s="244">
        <v>0.0</v>
      </c>
      <c r="W41" s="244">
        <v>0.0</v>
      </c>
      <c r="Y41" s="249"/>
    </row>
    <row r="42" ht="15.75" customHeight="1">
      <c r="A42" s="244">
        <f t="shared" si="1"/>
        <v>16</v>
      </c>
      <c r="B42" s="250"/>
      <c r="C42" s="247">
        <v>0.0</v>
      </c>
      <c r="D42" s="247">
        <v>50.0</v>
      </c>
      <c r="E42" s="247">
        <v>0.0</v>
      </c>
      <c r="F42" s="247">
        <v>1.0</v>
      </c>
      <c r="G42" s="247">
        <v>0.0</v>
      </c>
      <c r="H42" s="247">
        <v>0.0</v>
      </c>
      <c r="I42" s="247">
        <v>0.0</v>
      </c>
      <c r="J42" s="247">
        <v>0.0</v>
      </c>
      <c r="K42" s="247">
        <v>0.0</v>
      </c>
      <c r="L42" s="248">
        <v>0.0</v>
      </c>
      <c r="M42" s="248">
        <v>0.0</v>
      </c>
      <c r="N42" s="244">
        <v>0.0</v>
      </c>
      <c r="O42" s="244">
        <v>0.0</v>
      </c>
      <c r="P42" s="244">
        <v>0.0</v>
      </c>
      <c r="Q42" s="244">
        <v>0.0</v>
      </c>
      <c r="R42" s="244">
        <v>0.0</v>
      </c>
      <c r="S42" s="244">
        <v>0.0</v>
      </c>
      <c r="T42" s="244">
        <v>0.0</v>
      </c>
      <c r="U42" s="244">
        <v>0.0</v>
      </c>
      <c r="V42" s="244">
        <v>0.0</v>
      </c>
      <c r="W42" s="244">
        <v>0.0</v>
      </c>
      <c r="Y42" s="249"/>
    </row>
    <row r="43" ht="15.75" customHeight="1">
      <c r="A43" s="244">
        <f t="shared" si="1"/>
        <v>17</v>
      </c>
      <c r="C43" s="247">
        <v>0.0</v>
      </c>
      <c r="D43" s="247">
        <v>50.0</v>
      </c>
      <c r="E43" s="247">
        <v>0.0</v>
      </c>
      <c r="F43" s="247">
        <v>0.0</v>
      </c>
      <c r="G43" s="247">
        <v>0.0</v>
      </c>
      <c r="H43" s="247">
        <v>0.0</v>
      </c>
      <c r="I43" s="247">
        <v>0.0</v>
      </c>
      <c r="J43" s="247">
        <v>0.0</v>
      </c>
      <c r="K43" s="247">
        <v>0.0</v>
      </c>
      <c r="L43" s="248">
        <v>0.0</v>
      </c>
      <c r="M43" s="248">
        <v>0.0</v>
      </c>
      <c r="N43" s="244">
        <v>0.0</v>
      </c>
      <c r="O43" s="244">
        <v>0.0</v>
      </c>
      <c r="P43" s="244">
        <v>0.0</v>
      </c>
      <c r="Q43" s="244">
        <v>0.0</v>
      </c>
      <c r="R43" s="244">
        <v>0.0</v>
      </c>
      <c r="S43" s="244">
        <v>0.0</v>
      </c>
      <c r="T43" s="244">
        <v>0.0</v>
      </c>
      <c r="U43" s="244">
        <v>0.0</v>
      </c>
      <c r="V43" s="244">
        <v>0.0</v>
      </c>
      <c r="W43" s="244">
        <v>0.0</v>
      </c>
      <c r="Y43" s="249"/>
    </row>
    <row r="44" ht="15.75" customHeight="1">
      <c r="A44" s="244">
        <f t="shared" si="1"/>
        <v>18</v>
      </c>
      <c r="B44" s="250"/>
      <c r="C44" s="247">
        <v>0.0</v>
      </c>
      <c r="D44" s="247">
        <v>40.0</v>
      </c>
      <c r="E44" s="247">
        <v>0.0</v>
      </c>
      <c r="F44" s="247">
        <v>0.0</v>
      </c>
      <c r="G44" s="247">
        <v>0.0</v>
      </c>
      <c r="H44" s="247">
        <v>0.0</v>
      </c>
      <c r="I44" s="247">
        <v>0.0</v>
      </c>
      <c r="J44" s="247">
        <v>0.0</v>
      </c>
      <c r="K44" s="247">
        <v>0.0</v>
      </c>
      <c r="L44" s="248">
        <v>0.0</v>
      </c>
      <c r="M44" s="248">
        <v>0.0</v>
      </c>
      <c r="N44" s="244">
        <v>0.0</v>
      </c>
      <c r="O44" s="244">
        <v>0.0</v>
      </c>
      <c r="P44" s="244">
        <v>0.0</v>
      </c>
      <c r="Q44" s="244">
        <v>0.0</v>
      </c>
      <c r="R44" s="244">
        <v>0.0</v>
      </c>
      <c r="S44" s="244">
        <v>0.0</v>
      </c>
      <c r="T44" s="244">
        <v>0.0</v>
      </c>
      <c r="U44" s="244">
        <v>0.0</v>
      </c>
      <c r="V44" s="244">
        <v>0.0</v>
      </c>
      <c r="W44" s="244">
        <v>0.0</v>
      </c>
      <c r="Y44" s="249"/>
    </row>
    <row r="45" ht="15.75" customHeight="1">
      <c r="A45" s="244">
        <f t="shared" si="1"/>
        <v>19</v>
      </c>
      <c r="C45" s="247">
        <v>0.0</v>
      </c>
      <c r="D45" s="247">
        <v>40.0</v>
      </c>
      <c r="E45" s="247">
        <v>0.0</v>
      </c>
      <c r="F45" s="247">
        <v>0.0</v>
      </c>
      <c r="G45" s="247">
        <v>0.0</v>
      </c>
      <c r="H45" s="247">
        <v>0.0</v>
      </c>
      <c r="I45" s="247">
        <v>0.0</v>
      </c>
      <c r="J45" s="247">
        <v>0.0</v>
      </c>
      <c r="K45" s="247">
        <v>0.0</v>
      </c>
      <c r="L45" s="248">
        <v>0.0</v>
      </c>
      <c r="M45" s="248">
        <v>0.0</v>
      </c>
      <c r="N45" s="244">
        <v>0.0</v>
      </c>
      <c r="O45" s="244">
        <v>0.0</v>
      </c>
      <c r="P45" s="244">
        <v>0.0</v>
      </c>
      <c r="Q45" s="244">
        <v>0.0</v>
      </c>
      <c r="R45" s="244">
        <v>0.0</v>
      </c>
      <c r="S45" s="244">
        <v>0.0</v>
      </c>
      <c r="T45" s="244">
        <v>0.0</v>
      </c>
      <c r="U45" s="244">
        <v>0.0</v>
      </c>
      <c r="V45" s="244">
        <v>0.0</v>
      </c>
      <c r="W45" s="244">
        <v>0.0</v>
      </c>
      <c r="Y45" s="249"/>
    </row>
    <row r="46" ht="15.75" customHeight="1">
      <c r="A46" s="244">
        <f t="shared" si="1"/>
        <v>20</v>
      </c>
      <c r="B46" s="250"/>
      <c r="C46" s="247">
        <v>0.0</v>
      </c>
      <c r="D46" s="247">
        <v>40.0</v>
      </c>
      <c r="E46" s="247">
        <v>0.0</v>
      </c>
      <c r="F46" s="247">
        <v>0.0</v>
      </c>
      <c r="G46" s="247">
        <v>0.0</v>
      </c>
      <c r="H46" s="247">
        <v>0.0</v>
      </c>
      <c r="I46" s="247">
        <v>0.0</v>
      </c>
      <c r="J46" s="247">
        <v>0.0</v>
      </c>
      <c r="K46" s="247">
        <v>0.0</v>
      </c>
      <c r="L46" s="248">
        <v>0.0</v>
      </c>
      <c r="M46" s="248">
        <v>0.0</v>
      </c>
      <c r="N46" s="244">
        <v>0.0</v>
      </c>
      <c r="O46" s="244">
        <v>0.0</v>
      </c>
      <c r="P46" s="244">
        <v>0.0</v>
      </c>
      <c r="Q46" s="244">
        <v>0.0</v>
      </c>
      <c r="R46" s="244">
        <v>0.0</v>
      </c>
      <c r="S46" s="244">
        <v>0.0</v>
      </c>
      <c r="T46" s="244">
        <v>0.0</v>
      </c>
      <c r="U46" s="244">
        <v>0.0</v>
      </c>
      <c r="V46" s="244">
        <v>0.0</v>
      </c>
      <c r="W46" s="244">
        <v>0.0</v>
      </c>
    </row>
    <row r="47" ht="15.75" customHeight="1">
      <c r="A47" s="244">
        <f t="shared" si="1"/>
        <v>21</v>
      </c>
      <c r="C47" s="247">
        <v>0.0</v>
      </c>
      <c r="D47" s="247">
        <v>40.0</v>
      </c>
      <c r="E47" s="247">
        <v>0.0</v>
      </c>
      <c r="F47" s="247">
        <v>0.0</v>
      </c>
      <c r="G47" s="247">
        <v>0.0</v>
      </c>
      <c r="H47" s="247">
        <v>0.0</v>
      </c>
      <c r="I47" s="247">
        <v>0.0</v>
      </c>
      <c r="J47" s="247">
        <v>0.0</v>
      </c>
      <c r="K47" s="247">
        <v>0.0</v>
      </c>
      <c r="L47" s="248">
        <v>0.0</v>
      </c>
      <c r="M47" s="248">
        <v>0.0</v>
      </c>
      <c r="N47" s="244">
        <v>0.0</v>
      </c>
      <c r="O47" s="244">
        <v>0.0</v>
      </c>
      <c r="P47" s="244">
        <v>0.0</v>
      </c>
      <c r="Q47" s="244">
        <v>0.0</v>
      </c>
      <c r="R47" s="244">
        <v>0.0</v>
      </c>
      <c r="S47" s="244">
        <v>0.0</v>
      </c>
      <c r="T47" s="244">
        <v>0.0</v>
      </c>
      <c r="U47" s="244">
        <v>0.0</v>
      </c>
      <c r="V47" s="244">
        <v>0.0</v>
      </c>
      <c r="W47" s="244">
        <v>0.0</v>
      </c>
    </row>
    <row r="48" ht="15.75" customHeight="1">
      <c r="A48" s="244">
        <f t="shared" si="1"/>
        <v>22</v>
      </c>
      <c r="B48" s="250"/>
      <c r="C48" s="247">
        <v>0.0</v>
      </c>
      <c r="D48" s="247">
        <v>30.0</v>
      </c>
      <c r="E48" s="247">
        <v>0.0</v>
      </c>
      <c r="F48" s="247">
        <v>0.0</v>
      </c>
      <c r="G48" s="247">
        <v>0.0</v>
      </c>
      <c r="H48" s="247">
        <v>0.0</v>
      </c>
      <c r="I48" s="247">
        <v>0.0</v>
      </c>
      <c r="J48" s="247">
        <v>0.0</v>
      </c>
      <c r="K48" s="247">
        <v>0.0</v>
      </c>
      <c r="L48" s="248">
        <v>0.0</v>
      </c>
      <c r="M48" s="248">
        <v>0.0</v>
      </c>
      <c r="N48" s="244">
        <v>0.0</v>
      </c>
      <c r="O48" s="244">
        <v>0.0</v>
      </c>
      <c r="P48" s="244">
        <v>0.0</v>
      </c>
      <c r="Q48" s="244">
        <v>0.0</v>
      </c>
      <c r="R48" s="244">
        <v>0.0</v>
      </c>
      <c r="S48" s="244">
        <v>0.0</v>
      </c>
      <c r="T48" s="244">
        <v>0.0</v>
      </c>
      <c r="U48" s="244">
        <v>0.0</v>
      </c>
      <c r="V48" s="244">
        <v>0.0</v>
      </c>
      <c r="W48" s="244">
        <v>0.0</v>
      </c>
    </row>
    <row r="49" ht="15.75" customHeight="1">
      <c r="A49" s="244">
        <f t="shared" si="1"/>
        <v>23</v>
      </c>
      <c r="C49" s="247">
        <v>0.0</v>
      </c>
      <c r="D49" s="247">
        <v>30.0</v>
      </c>
      <c r="E49" s="247">
        <v>0.0</v>
      </c>
      <c r="F49" s="247">
        <v>0.0</v>
      </c>
      <c r="G49" s="247">
        <v>0.0</v>
      </c>
      <c r="H49" s="247">
        <v>0.0</v>
      </c>
      <c r="I49" s="247">
        <v>0.0</v>
      </c>
      <c r="J49" s="247">
        <v>0.0</v>
      </c>
      <c r="K49" s="247">
        <v>0.0</v>
      </c>
      <c r="L49" s="248">
        <v>0.0</v>
      </c>
      <c r="M49" s="248">
        <v>0.0</v>
      </c>
      <c r="N49" s="244">
        <v>0.0</v>
      </c>
      <c r="O49" s="244">
        <v>0.0</v>
      </c>
      <c r="P49" s="244">
        <v>0.0</v>
      </c>
      <c r="Q49" s="244">
        <v>0.0</v>
      </c>
      <c r="R49" s="244">
        <v>0.0</v>
      </c>
      <c r="S49" s="244">
        <v>0.0</v>
      </c>
      <c r="T49" s="244">
        <v>0.0</v>
      </c>
      <c r="U49" s="244">
        <v>0.0</v>
      </c>
      <c r="V49" s="244">
        <v>0.0</v>
      </c>
      <c r="W49" s="244">
        <v>0.0</v>
      </c>
    </row>
    <row r="50" ht="15.75" customHeight="1">
      <c r="A50" s="244">
        <f t="shared" si="1"/>
        <v>24</v>
      </c>
      <c r="B50" s="250"/>
      <c r="C50" s="247">
        <v>0.0</v>
      </c>
      <c r="D50" s="247">
        <v>20.0</v>
      </c>
      <c r="E50" s="247">
        <v>0.0</v>
      </c>
      <c r="F50" s="247">
        <v>0.0</v>
      </c>
      <c r="G50" s="247">
        <v>0.0</v>
      </c>
      <c r="H50" s="247">
        <v>0.0</v>
      </c>
      <c r="I50" s="247">
        <v>0.0</v>
      </c>
      <c r="J50" s="247">
        <v>0.0</v>
      </c>
      <c r="K50" s="247">
        <v>0.0</v>
      </c>
      <c r="L50" s="248">
        <v>0.0</v>
      </c>
      <c r="M50" s="248">
        <v>0.0</v>
      </c>
      <c r="N50" s="244">
        <v>0.0</v>
      </c>
      <c r="O50" s="244">
        <v>0.0</v>
      </c>
      <c r="P50" s="244">
        <v>0.0</v>
      </c>
      <c r="Q50" s="244">
        <v>0.0</v>
      </c>
      <c r="R50" s="244">
        <v>0.0</v>
      </c>
      <c r="S50" s="244">
        <v>0.0</v>
      </c>
      <c r="T50" s="244">
        <v>0.0</v>
      </c>
      <c r="U50" s="244">
        <v>0.0</v>
      </c>
      <c r="V50" s="244">
        <v>0.0</v>
      </c>
      <c r="W50" s="244">
        <v>0.0</v>
      </c>
    </row>
    <row r="51" ht="15.75" customHeight="1">
      <c r="A51" s="244">
        <f t="shared" si="1"/>
        <v>25</v>
      </c>
      <c r="C51" s="247">
        <v>0.0</v>
      </c>
      <c r="D51" s="247">
        <v>20.0</v>
      </c>
      <c r="E51" s="247">
        <v>0.0</v>
      </c>
      <c r="F51" s="247">
        <v>0.0</v>
      </c>
      <c r="G51" s="247">
        <v>0.0</v>
      </c>
      <c r="H51" s="247">
        <v>0.0</v>
      </c>
      <c r="I51" s="247">
        <v>0.0</v>
      </c>
      <c r="J51" s="247">
        <v>0.0</v>
      </c>
      <c r="K51" s="247">
        <v>0.0</v>
      </c>
      <c r="L51" s="248">
        <v>0.0</v>
      </c>
      <c r="M51" s="248">
        <v>0.0</v>
      </c>
      <c r="N51" s="244">
        <v>0.0</v>
      </c>
      <c r="O51" s="244">
        <v>0.0</v>
      </c>
      <c r="P51" s="244">
        <v>0.0</v>
      </c>
      <c r="Q51" s="244">
        <v>0.0</v>
      </c>
      <c r="R51" s="244">
        <v>0.0</v>
      </c>
      <c r="S51" s="244">
        <v>0.0</v>
      </c>
      <c r="T51" s="244">
        <v>0.0</v>
      </c>
      <c r="U51" s="244">
        <v>0.0</v>
      </c>
      <c r="V51" s="244">
        <v>0.0</v>
      </c>
      <c r="W51" s="244">
        <v>0.0</v>
      </c>
    </row>
    <row r="52" ht="15.75" customHeight="1">
      <c r="A52" s="244">
        <f t="shared" si="1"/>
        <v>26</v>
      </c>
      <c r="B52" s="250"/>
      <c r="C52" s="247">
        <v>0.0</v>
      </c>
      <c r="D52" s="247">
        <v>0.0</v>
      </c>
      <c r="E52" s="247">
        <v>0.0</v>
      </c>
      <c r="F52" s="247">
        <v>0.0</v>
      </c>
      <c r="G52" s="247">
        <v>0.0</v>
      </c>
      <c r="H52" s="247">
        <v>0.0</v>
      </c>
      <c r="I52" s="247">
        <v>0.0</v>
      </c>
      <c r="J52" s="247">
        <v>0.0</v>
      </c>
      <c r="K52" s="247">
        <v>0.0</v>
      </c>
      <c r="L52" s="248">
        <v>0.0</v>
      </c>
      <c r="M52" s="248">
        <v>0.0</v>
      </c>
      <c r="N52" s="244">
        <v>0.0</v>
      </c>
      <c r="O52" s="244">
        <v>0.0</v>
      </c>
      <c r="P52" s="244">
        <v>0.0</v>
      </c>
      <c r="Q52" s="244">
        <v>0.0</v>
      </c>
      <c r="R52" s="244">
        <v>0.0</v>
      </c>
      <c r="S52" s="244">
        <v>0.0</v>
      </c>
      <c r="T52" s="244">
        <v>0.0</v>
      </c>
      <c r="U52" s="244">
        <v>0.0</v>
      </c>
      <c r="V52" s="244">
        <v>0.0</v>
      </c>
      <c r="W52" s="244">
        <v>0.0</v>
      </c>
    </row>
    <row r="53" ht="15.75" customHeight="1">
      <c r="A53" s="244">
        <f t="shared" si="1"/>
        <v>27</v>
      </c>
      <c r="C53" s="244">
        <v>0.0</v>
      </c>
      <c r="D53" s="244">
        <v>0.0</v>
      </c>
      <c r="E53" s="244">
        <v>0.0</v>
      </c>
      <c r="F53" s="244">
        <v>0.0</v>
      </c>
      <c r="G53" s="244">
        <v>0.0</v>
      </c>
      <c r="H53" s="244">
        <v>0.0</v>
      </c>
      <c r="I53" s="244">
        <v>0.0</v>
      </c>
      <c r="J53" s="244">
        <v>0.0</v>
      </c>
      <c r="K53" s="244">
        <v>0.0</v>
      </c>
      <c r="L53" s="244">
        <v>0.0</v>
      </c>
      <c r="M53" s="244">
        <v>0.0</v>
      </c>
      <c r="N53" s="244">
        <v>0.0</v>
      </c>
      <c r="O53" s="244">
        <v>0.0</v>
      </c>
      <c r="P53" s="244">
        <v>0.0</v>
      </c>
      <c r="Q53" s="244">
        <v>0.0</v>
      </c>
      <c r="R53" s="244">
        <v>0.0</v>
      </c>
      <c r="S53" s="244">
        <v>0.0</v>
      </c>
      <c r="T53" s="244">
        <v>0.0</v>
      </c>
      <c r="U53" s="244">
        <v>0.0</v>
      </c>
      <c r="V53" s="244">
        <v>0.0</v>
      </c>
      <c r="W53" s="244">
        <v>0.0</v>
      </c>
    </row>
    <row r="54" ht="15.75" customHeight="1">
      <c r="A54" s="244">
        <f t="shared" si="1"/>
        <v>28</v>
      </c>
      <c r="B54" s="250"/>
      <c r="C54" s="244">
        <v>0.0</v>
      </c>
      <c r="D54" s="244">
        <v>0.0</v>
      </c>
      <c r="E54" s="244">
        <v>0.0</v>
      </c>
      <c r="F54" s="244">
        <v>0.0</v>
      </c>
      <c r="G54" s="244">
        <v>0.0</v>
      </c>
      <c r="H54" s="244">
        <v>0.0</v>
      </c>
      <c r="I54" s="244">
        <v>0.0</v>
      </c>
      <c r="J54" s="244">
        <v>0.0</v>
      </c>
      <c r="K54" s="244">
        <v>0.0</v>
      </c>
      <c r="L54" s="244">
        <v>0.0</v>
      </c>
      <c r="M54" s="244">
        <v>0.0</v>
      </c>
      <c r="N54" s="244">
        <v>0.0</v>
      </c>
      <c r="O54" s="244">
        <v>0.0</v>
      </c>
      <c r="P54" s="244">
        <v>0.0</v>
      </c>
      <c r="Q54" s="244">
        <v>0.0</v>
      </c>
      <c r="R54" s="244">
        <v>0.0</v>
      </c>
      <c r="S54" s="244">
        <v>0.0</v>
      </c>
      <c r="T54" s="244">
        <v>0.0</v>
      </c>
      <c r="U54" s="244">
        <v>0.0</v>
      </c>
      <c r="V54" s="244">
        <v>0.0</v>
      </c>
      <c r="W54" s="244">
        <v>0.0</v>
      </c>
    </row>
    <row r="55" ht="15.75" customHeight="1">
      <c r="A55" s="244">
        <f t="shared" si="1"/>
        <v>29</v>
      </c>
      <c r="C55" s="244">
        <v>0.0</v>
      </c>
      <c r="D55" s="244">
        <v>0.0</v>
      </c>
      <c r="E55" s="244">
        <v>0.0</v>
      </c>
      <c r="F55" s="244">
        <v>0.0</v>
      </c>
      <c r="G55" s="244">
        <v>0.0</v>
      </c>
      <c r="H55" s="244">
        <v>0.0</v>
      </c>
      <c r="I55" s="244">
        <v>0.0</v>
      </c>
      <c r="J55" s="244">
        <v>0.0</v>
      </c>
      <c r="K55" s="244">
        <v>0.0</v>
      </c>
      <c r="L55" s="244">
        <v>0.0</v>
      </c>
      <c r="M55" s="244">
        <v>0.0</v>
      </c>
      <c r="N55" s="244">
        <v>0.0</v>
      </c>
      <c r="O55" s="244">
        <v>0.0</v>
      </c>
      <c r="P55" s="244">
        <v>0.0</v>
      </c>
      <c r="Q55" s="244">
        <v>0.0</v>
      </c>
      <c r="R55" s="244">
        <v>0.0</v>
      </c>
      <c r="S55" s="244">
        <v>0.0</v>
      </c>
      <c r="T55" s="244">
        <v>0.0</v>
      </c>
      <c r="U55" s="244">
        <v>0.0</v>
      </c>
      <c r="V55" s="244">
        <v>0.0</v>
      </c>
      <c r="W55" s="244">
        <v>0.0</v>
      </c>
    </row>
    <row r="56" ht="15.75" customHeight="1">
      <c r="A56" s="244">
        <f t="shared" si="1"/>
        <v>30</v>
      </c>
      <c r="B56" s="250"/>
      <c r="C56" s="244">
        <v>0.0</v>
      </c>
      <c r="D56" s="244">
        <v>0.0</v>
      </c>
      <c r="E56" s="244">
        <v>0.0</v>
      </c>
      <c r="F56" s="244">
        <v>0.0</v>
      </c>
      <c r="G56" s="244">
        <v>0.0</v>
      </c>
      <c r="H56" s="244">
        <v>0.0</v>
      </c>
      <c r="I56" s="244">
        <v>0.0</v>
      </c>
      <c r="J56" s="244">
        <v>0.0</v>
      </c>
      <c r="K56" s="244">
        <v>0.0</v>
      </c>
      <c r="L56" s="244">
        <v>0.0</v>
      </c>
      <c r="M56" s="244">
        <v>0.0</v>
      </c>
      <c r="N56" s="244">
        <v>0.0</v>
      </c>
      <c r="O56" s="244">
        <v>0.0</v>
      </c>
      <c r="P56" s="244">
        <v>0.0</v>
      </c>
      <c r="Q56" s="244">
        <v>0.0</v>
      </c>
      <c r="R56" s="244">
        <v>0.0</v>
      </c>
      <c r="S56" s="244">
        <v>0.0</v>
      </c>
      <c r="T56" s="244">
        <v>0.0</v>
      </c>
      <c r="U56" s="244">
        <v>0.0</v>
      </c>
      <c r="V56" s="244">
        <v>0.0</v>
      </c>
      <c r="W56" s="244">
        <v>0.0</v>
      </c>
    </row>
    <row r="57" ht="15.75" customHeight="1">
      <c r="A57" s="244">
        <f t="shared" si="1"/>
        <v>31</v>
      </c>
      <c r="C57" s="244">
        <v>0.0</v>
      </c>
      <c r="D57" s="244">
        <v>0.0</v>
      </c>
      <c r="E57" s="244">
        <v>0.0</v>
      </c>
      <c r="F57" s="244">
        <v>0.0</v>
      </c>
      <c r="G57" s="244">
        <v>0.0</v>
      </c>
      <c r="H57" s="244">
        <v>0.0</v>
      </c>
      <c r="I57" s="244">
        <v>0.0</v>
      </c>
      <c r="J57" s="244">
        <v>0.0</v>
      </c>
      <c r="K57" s="244">
        <v>0.0</v>
      </c>
      <c r="L57" s="244">
        <v>0.0</v>
      </c>
      <c r="M57" s="244">
        <v>0.0</v>
      </c>
      <c r="N57" s="244">
        <v>0.0</v>
      </c>
      <c r="O57" s="244">
        <v>0.0</v>
      </c>
      <c r="P57" s="244">
        <v>0.0</v>
      </c>
      <c r="Q57" s="244">
        <v>0.0</v>
      </c>
      <c r="R57" s="244">
        <v>0.0</v>
      </c>
      <c r="S57" s="244">
        <v>0.0</v>
      </c>
      <c r="T57" s="244">
        <v>0.0</v>
      </c>
      <c r="U57" s="244">
        <v>0.0</v>
      </c>
      <c r="V57" s="244">
        <v>0.0</v>
      </c>
      <c r="W57" s="244">
        <v>0.0</v>
      </c>
    </row>
    <row r="58" ht="15.75" customHeight="1">
      <c r="A58" s="244">
        <f t="shared" si="1"/>
        <v>32</v>
      </c>
      <c r="B58" s="250"/>
      <c r="C58" s="244">
        <v>0.0</v>
      </c>
      <c r="D58" s="244">
        <v>0.0</v>
      </c>
      <c r="E58" s="244">
        <v>0.0</v>
      </c>
      <c r="F58" s="244">
        <v>0.0</v>
      </c>
      <c r="G58" s="244">
        <v>0.0</v>
      </c>
      <c r="H58" s="244">
        <v>0.0</v>
      </c>
      <c r="I58" s="244">
        <v>0.0</v>
      </c>
      <c r="J58" s="244">
        <v>0.0</v>
      </c>
      <c r="K58" s="244">
        <v>0.0</v>
      </c>
      <c r="L58" s="244">
        <v>0.0</v>
      </c>
      <c r="M58" s="244">
        <v>0.0</v>
      </c>
      <c r="N58" s="244">
        <v>0.0</v>
      </c>
      <c r="O58" s="244">
        <v>0.0</v>
      </c>
      <c r="P58" s="244">
        <v>0.0</v>
      </c>
      <c r="Q58" s="244">
        <v>0.0</v>
      </c>
      <c r="R58" s="244">
        <v>0.0</v>
      </c>
      <c r="S58" s="244">
        <v>0.0</v>
      </c>
      <c r="T58" s="244">
        <v>0.0</v>
      </c>
      <c r="U58" s="244">
        <v>0.0</v>
      </c>
      <c r="V58" s="244">
        <v>0.0</v>
      </c>
      <c r="W58" s="244">
        <v>0.0</v>
      </c>
    </row>
    <row r="59" ht="15.75" customHeight="1">
      <c r="A59" s="244">
        <f t="shared" si="1"/>
        <v>33</v>
      </c>
      <c r="C59" s="244">
        <v>0.0</v>
      </c>
      <c r="D59" s="244">
        <v>0.0</v>
      </c>
      <c r="E59" s="244">
        <v>0.0</v>
      </c>
      <c r="F59" s="244">
        <v>0.0</v>
      </c>
      <c r="G59" s="244">
        <v>0.0</v>
      </c>
      <c r="H59" s="244">
        <v>0.0</v>
      </c>
      <c r="I59" s="244">
        <v>0.0</v>
      </c>
      <c r="J59" s="244">
        <v>0.0</v>
      </c>
      <c r="K59" s="244">
        <v>0.0</v>
      </c>
      <c r="L59" s="244">
        <v>0.0</v>
      </c>
      <c r="M59" s="244">
        <v>0.0</v>
      </c>
      <c r="N59" s="244">
        <v>0.0</v>
      </c>
      <c r="O59" s="244">
        <v>0.0</v>
      </c>
      <c r="P59" s="244">
        <v>0.0</v>
      </c>
      <c r="Q59" s="244">
        <v>0.0</v>
      </c>
      <c r="R59" s="244">
        <v>0.0</v>
      </c>
      <c r="S59" s="244">
        <v>0.0</v>
      </c>
      <c r="T59" s="244">
        <v>0.0</v>
      </c>
      <c r="U59" s="244">
        <v>0.0</v>
      </c>
      <c r="V59" s="244">
        <v>0.0</v>
      </c>
      <c r="W59" s="244">
        <v>0.0</v>
      </c>
    </row>
    <row r="60" ht="15.75" customHeight="1">
      <c r="A60" s="244">
        <f t="shared" si="1"/>
        <v>34</v>
      </c>
      <c r="B60" s="250"/>
      <c r="C60" s="244">
        <v>0.0</v>
      </c>
      <c r="D60" s="244">
        <v>0.0</v>
      </c>
      <c r="E60" s="244">
        <v>0.0</v>
      </c>
      <c r="F60" s="244">
        <v>0.0</v>
      </c>
      <c r="G60" s="244">
        <v>0.0</v>
      </c>
      <c r="H60" s="244">
        <v>0.0</v>
      </c>
      <c r="I60" s="244">
        <v>0.0</v>
      </c>
      <c r="J60" s="244">
        <v>0.0</v>
      </c>
      <c r="K60" s="244">
        <v>0.0</v>
      </c>
      <c r="L60" s="244">
        <v>0.0</v>
      </c>
      <c r="M60" s="244">
        <v>0.0</v>
      </c>
      <c r="N60" s="244">
        <v>0.0</v>
      </c>
      <c r="O60" s="244">
        <v>0.0</v>
      </c>
      <c r="P60" s="244">
        <v>0.0</v>
      </c>
      <c r="Q60" s="244">
        <v>0.0</v>
      </c>
      <c r="R60" s="244">
        <v>0.0</v>
      </c>
      <c r="S60" s="244">
        <v>0.0</v>
      </c>
      <c r="T60" s="244">
        <v>0.0</v>
      </c>
      <c r="U60" s="244">
        <v>0.0</v>
      </c>
      <c r="V60" s="244">
        <v>0.0</v>
      </c>
      <c r="W60" s="244">
        <v>0.0</v>
      </c>
    </row>
    <row r="61" ht="15.75" customHeight="1">
      <c r="A61" s="244">
        <f t="shared" si="1"/>
        <v>35</v>
      </c>
      <c r="C61" s="244">
        <v>0.0</v>
      </c>
      <c r="D61" s="244">
        <v>0.0</v>
      </c>
      <c r="E61" s="244">
        <v>0.0</v>
      </c>
      <c r="F61" s="244">
        <v>0.0</v>
      </c>
      <c r="G61" s="244">
        <v>0.0</v>
      </c>
      <c r="H61" s="244">
        <v>0.0</v>
      </c>
      <c r="I61" s="244">
        <v>0.0</v>
      </c>
      <c r="J61" s="244">
        <v>0.0</v>
      </c>
      <c r="K61" s="244">
        <v>0.0</v>
      </c>
      <c r="L61" s="244">
        <v>0.0</v>
      </c>
      <c r="M61" s="244">
        <v>0.0</v>
      </c>
      <c r="N61" s="244">
        <v>0.0</v>
      </c>
      <c r="O61" s="244">
        <v>0.0</v>
      </c>
      <c r="P61" s="244">
        <v>0.0</v>
      </c>
      <c r="Q61" s="244">
        <v>0.0</v>
      </c>
      <c r="R61" s="244">
        <v>0.0</v>
      </c>
      <c r="S61" s="244">
        <v>0.0</v>
      </c>
      <c r="T61" s="244">
        <v>0.0</v>
      </c>
      <c r="U61" s="244">
        <v>0.0</v>
      </c>
      <c r="V61" s="244">
        <v>0.0</v>
      </c>
      <c r="W61" s="244">
        <v>0.0</v>
      </c>
    </row>
    <row r="62" ht="15.75" customHeight="1">
      <c r="A62" s="244">
        <f t="shared" si="1"/>
        <v>36</v>
      </c>
      <c r="B62" s="250"/>
      <c r="C62" s="244">
        <v>0.0</v>
      </c>
      <c r="D62" s="244">
        <v>0.0</v>
      </c>
      <c r="E62" s="244">
        <v>0.0</v>
      </c>
      <c r="F62" s="244">
        <v>0.0</v>
      </c>
      <c r="G62" s="244">
        <v>0.0</v>
      </c>
      <c r="H62" s="244">
        <v>0.0</v>
      </c>
      <c r="I62" s="244">
        <v>0.0</v>
      </c>
      <c r="J62" s="244">
        <v>0.0</v>
      </c>
      <c r="K62" s="244">
        <v>0.0</v>
      </c>
      <c r="L62" s="244">
        <v>0.0</v>
      </c>
      <c r="M62" s="244">
        <v>0.0</v>
      </c>
      <c r="N62" s="244">
        <v>0.0</v>
      </c>
      <c r="O62" s="244">
        <v>0.0</v>
      </c>
      <c r="P62" s="244">
        <v>0.0</v>
      </c>
      <c r="Q62" s="244">
        <v>0.0</v>
      </c>
      <c r="R62" s="244">
        <v>0.0</v>
      </c>
      <c r="S62" s="244">
        <v>0.0</v>
      </c>
      <c r="T62" s="244">
        <v>0.0</v>
      </c>
      <c r="U62" s="244">
        <v>0.0</v>
      </c>
      <c r="V62" s="244">
        <v>0.0</v>
      </c>
      <c r="W62" s="244">
        <v>0.0</v>
      </c>
    </row>
    <row r="63" ht="15.75" customHeight="1">
      <c r="A63" s="244">
        <f t="shared" si="1"/>
        <v>37</v>
      </c>
      <c r="C63" s="251">
        <v>0.0</v>
      </c>
      <c r="D63" s="251">
        <v>0.0</v>
      </c>
      <c r="E63" s="251">
        <v>0.0</v>
      </c>
      <c r="F63" s="244">
        <v>0.0</v>
      </c>
      <c r="G63" s="244">
        <v>0.0</v>
      </c>
      <c r="H63" s="244">
        <v>0.0</v>
      </c>
      <c r="I63" s="244">
        <v>0.0</v>
      </c>
      <c r="J63" s="244">
        <v>0.0</v>
      </c>
      <c r="K63" s="244">
        <v>0.0</v>
      </c>
      <c r="L63" s="244">
        <v>0.0</v>
      </c>
      <c r="M63" s="244">
        <v>0.0</v>
      </c>
      <c r="N63" s="244">
        <v>0.0</v>
      </c>
      <c r="O63" s="244">
        <v>0.0</v>
      </c>
      <c r="P63" s="244">
        <v>0.0</v>
      </c>
      <c r="Q63" s="244">
        <v>0.0</v>
      </c>
      <c r="R63" s="244">
        <v>0.0</v>
      </c>
      <c r="S63" s="244">
        <v>0.0</v>
      </c>
      <c r="T63" s="244">
        <v>0.0</v>
      </c>
      <c r="U63" s="244">
        <v>0.0</v>
      </c>
      <c r="V63" s="244">
        <v>0.0</v>
      </c>
      <c r="W63" s="244">
        <v>0.0</v>
      </c>
    </row>
    <row r="64" ht="15.75" customHeight="1">
      <c r="A64" s="244">
        <f t="shared" si="1"/>
        <v>38</v>
      </c>
      <c r="B64" s="250"/>
      <c r="C64" s="244">
        <v>0.0</v>
      </c>
      <c r="D64" s="244">
        <v>0.0</v>
      </c>
      <c r="E64" s="244">
        <v>0.0</v>
      </c>
      <c r="F64" s="244">
        <v>0.0</v>
      </c>
      <c r="G64" s="244">
        <v>0.0</v>
      </c>
      <c r="H64" s="244">
        <v>0.0</v>
      </c>
      <c r="I64" s="244">
        <v>0.0</v>
      </c>
      <c r="J64" s="244">
        <v>0.0</v>
      </c>
      <c r="K64" s="244">
        <v>0.0</v>
      </c>
      <c r="L64" s="244">
        <v>0.0</v>
      </c>
      <c r="M64" s="244">
        <v>0.0</v>
      </c>
      <c r="N64" s="244">
        <v>0.0</v>
      </c>
      <c r="O64" s="244">
        <v>0.0</v>
      </c>
      <c r="P64" s="244">
        <v>0.0</v>
      </c>
      <c r="Q64" s="244">
        <v>0.0</v>
      </c>
      <c r="R64" s="244">
        <v>0.0</v>
      </c>
      <c r="S64" s="244">
        <v>0.0</v>
      </c>
      <c r="T64" s="244">
        <v>0.0</v>
      </c>
      <c r="U64" s="244">
        <v>0.0</v>
      </c>
      <c r="V64" s="244">
        <v>0.0</v>
      </c>
      <c r="W64" s="244">
        <v>0.0</v>
      </c>
    </row>
    <row r="65" ht="15.75" customHeight="1">
      <c r="A65" s="244">
        <f t="shared" si="1"/>
        <v>39</v>
      </c>
      <c r="C65" s="244">
        <v>0.0</v>
      </c>
      <c r="D65" s="244">
        <v>0.0</v>
      </c>
      <c r="E65" s="244">
        <v>0.0</v>
      </c>
      <c r="F65" s="244">
        <v>0.0</v>
      </c>
      <c r="G65" s="244">
        <v>0.0</v>
      </c>
      <c r="H65" s="244">
        <v>0.0</v>
      </c>
      <c r="I65" s="244">
        <v>0.0</v>
      </c>
      <c r="J65" s="244">
        <v>0.0</v>
      </c>
      <c r="K65" s="244">
        <v>0.0</v>
      </c>
      <c r="L65" s="244">
        <v>0.0</v>
      </c>
      <c r="M65" s="244">
        <v>0.0</v>
      </c>
      <c r="N65" s="244">
        <v>0.0</v>
      </c>
      <c r="O65" s="244">
        <v>0.0</v>
      </c>
      <c r="P65" s="244">
        <v>0.0</v>
      </c>
      <c r="Q65" s="244">
        <v>0.0</v>
      </c>
      <c r="R65" s="244">
        <v>0.0</v>
      </c>
      <c r="S65" s="244">
        <v>0.0</v>
      </c>
      <c r="T65" s="244">
        <v>0.0</v>
      </c>
      <c r="U65" s="244">
        <v>0.0</v>
      </c>
      <c r="V65" s="244">
        <v>0.0</v>
      </c>
      <c r="W65" s="244">
        <v>0.0</v>
      </c>
    </row>
    <row r="66" ht="15.75" customHeight="1">
      <c r="A66" s="244">
        <f t="shared" si="1"/>
        <v>40</v>
      </c>
      <c r="B66" s="250"/>
      <c r="C66" s="244">
        <v>0.0</v>
      </c>
      <c r="D66" s="244">
        <v>0.0</v>
      </c>
      <c r="E66" s="244">
        <v>0.0</v>
      </c>
      <c r="F66" s="244">
        <v>0.0</v>
      </c>
      <c r="G66" s="244">
        <v>0.0</v>
      </c>
      <c r="H66" s="244">
        <v>0.0</v>
      </c>
      <c r="I66" s="244">
        <v>0.0</v>
      </c>
      <c r="J66" s="244">
        <v>0.0</v>
      </c>
      <c r="K66" s="244">
        <v>0.0</v>
      </c>
      <c r="L66" s="244">
        <v>0.0</v>
      </c>
      <c r="M66" s="244">
        <v>0.0</v>
      </c>
      <c r="N66" s="244">
        <v>0.0</v>
      </c>
      <c r="O66" s="244">
        <v>0.0</v>
      </c>
      <c r="P66" s="244">
        <v>0.0</v>
      </c>
      <c r="Q66" s="244">
        <v>0.0</v>
      </c>
      <c r="R66" s="244">
        <v>0.0</v>
      </c>
      <c r="S66" s="244">
        <v>0.0</v>
      </c>
      <c r="T66" s="244">
        <v>0.0</v>
      </c>
      <c r="U66" s="244">
        <v>0.0</v>
      </c>
      <c r="V66" s="244">
        <v>0.0</v>
      </c>
      <c r="W66" s="244">
        <v>0.0</v>
      </c>
    </row>
    <row r="67" ht="15.75" customHeight="1">
      <c r="A67" s="244">
        <f t="shared" si="1"/>
        <v>41</v>
      </c>
      <c r="C67" s="244">
        <v>0.0</v>
      </c>
      <c r="D67" s="244">
        <v>0.0</v>
      </c>
      <c r="E67" s="244">
        <v>0.0</v>
      </c>
      <c r="F67" s="244">
        <v>0.0</v>
      </c>
      <c r="G67" s="244">
        <v>0.0</v>
      </c>
      <c r="H67" s="244">
        <v>0.0</v>
      </c>
      <c r="I67" s="244">
        <v>0.0</v>
      </c>
      <c r="J67" s="244">
        <v>0.0</v>
      </c>
      <c r="K67" s="244">
        <v>0.0</v>
      </c>
      <c r="L67" s="244">
        <v>0.0</v>
      </c>
      <c r="M67" s="244">
        <v>0.0</v>
      </c>
      <c r="N67" s="244">
        <v>0.0</v>
      </c>
      <c r="O67" s="244">
        <v>0.0</v>
      </c>
      <c r="P67" s="244">
        <v>0.0</v>
      </c>
      <c r="Q67" s="244">
        <v>0.0</v>
      </c>
      <c r="R67" s="244">
        <v>0.0</v>
      </c>
      <c r="S67" s="244">
        <v>0.0</v>
      </c>
      <c r="T67" s="244">
        <v>0.0</v>
      </c>
      <c r="U67" s="244">
        <v>0.0</v>
      </c>
      <c r="V67" s="244">
        <v>0.0</v>
      </c>
      <c r="W67" s="244">
        <v>0.0</v>
      </c>
    </row>
    <row r="68" ht="15.75" customHeight="1">
      <c r="A68" s="244">
        <f t="shared" si="1"/>
        <v>42</v>
      </c>
      <c r="B68" s="250"/>
      <c r="C68" s="244">
        <v>0.0</v>
      </c>
      <c r="D68" s="244">
        <v>0.0</v>
      </c>
      <c r="E68" s="244">
        <v>0.0</v>
      </c>
      <c r="F68" s="244">
        <v>0.0</v>
      </c>
      <c r="G68" s="244">
        <v>0.0</v>
      </c>
      <c r="H68" s="244">
        <v>0.0</v>
      </c>
      <c r="I68" s="244">
        <v>0.0</v>
      </c>
      <c r="J68" s="244">
        <v>0.0</v>
      </c>
      <c r="K68" s="244">
        <v>0.0</v>
      </c>
      <c r="L68" s="244">
        <v>0.0</v>
      </c>
      <c r="M68" s="244">
        <v>0.0</v>
      </c>
      <c r="N68" s="244">
        <v>0.0</v>
      </c>
      <c r="O68" s="244">
        <v>0.0</v>
      </c>
      <c r="P68" s="244">
        <v>0.0</v>
      </c>
      <c r="Q68" s="244">
        <v>0.0</v>
      </c>
      <c r="R68" s="244">
        <v>0.0</v>
      </c>
      <c r="S68" s="244">
        <v>0.0</v>
      </c>
      <c r="T68" s="244">
        <v>0.0</v>
      </c>
      <c r="U68" s="244">
        <v>0.0</v>
      </c>
      <c r="V68" s="244">
        <v>0.0</v>
      </c>
      <c r="W68" s="244">
        <v>0.0</v>
      </c>
    </row>
    <row r="69" ht="15.75" customHeight="1">
      <c r="A69" s="244">
        <f t="shared" si="1"/>
        <v>43</v>
      </c>
      <c r="C69" s="244">
        <v>0.0</v>
      </c>
      <c r="D69" s="244">
        <v>0.0</v>
      </c>
      <c r="E69" s="244">
        <v>0.0</v>
      </c>
      <c r="F69" s="244">
        <v>0.0</v>
      </c>
      <c r="G69" s="244">
        <v>0.0</v>
      </c>
      <c r="H69" s="244">
        <v>0.0</v>
      </c>
      <c r="I69" s="244">
        <v>0.0</v>
      </c>
      <c r="J69" s="244">
        <v>0.0</v>
      </c>
      <c r="K69" s="244">
        <v>0.0</v>
      </c>
      <c r="L69" s="244">
        <v>0.0</v>
      </c>
      <c r="M69" s="244">
        <v>0.0</v>
      </c>
      <c r="N69" s="244">
        <v>0.0</v>
      </c>
      <c r="O69" s="244">
        <v>0.0</v>
      </c>
      <c r="P69" s="244">
        <v>0.0</v>
      </c>
      <c r="Q69" s="244">
        <v>0.0</v>
      </c>
      <c r="R69" s="244">
        <v>0.0</v>
      </c>
      <c r="S69" s="244">
        <v>0.0</v>
      </c>
      <c r="T69" s="244">
        <v>0.0</v>
      </c>
      <c r="U69" s="244">
        <v>0.0</v>
      </c>
      <c r="V69" s="244">
        <v>0.0</v>
      </c>
      <c r="W69" s="244">
        <v>0.0</v>
      </c>
    </row>
    <row r="70" ht="15.75" customHeight="1">
      <c r="A70" s="244">
        <f t="shared" si="1"/>
        <v>44</v>
      </c>
      <c r="B70" s="250"/>
      <c r="C70" s="244">
        <v>0.0</v>
      </c>
      <c r="D70" s="244">
        <v>0.0</v>
      </c>
      <c r="E70" s="244">
        <v>0.0</v>
      </c>
      <c r="F70" s="244">
        <v>0.0</v>
      </c>
      <c r="G70" s="244">
        <v>0.0</v>
      </c>
      <c r="H70" s="244">
        <v>0.0</v>
      </c>
      <c r="I70" s="244">
        <v>0.0</v>
      </c>
      <c r="J70" s="244">
        <v>0.0</v>
      </c>
      <c r="K70" s="244">
        <v>0.0</v>
      </c>
      <c r="L70" s="244">
        <v>0.0</v>
      </c>
      <c r="M70" s="244">
        <v>0.0</v>
      </c>
      <c r="N70" s="244">
        <v>0.0</v>
      </c>
      <c r="O70" s="244">
        <v>0.0</v>
      </c>
      <c r="P70" s="244">
        <v>0.0</v>
      </c>
      <c r="Q70" s="244">
        <v>0.0</v>
      </c>
      <c r="R70" s="244">
        <v>0.0</v>
      </c>
      <c r="S70" s="244">
        <v>0.0</v>
      </c>
      <c r="T70" s="244">
        <v>0.0</v>
      </c>
      <c r="U70" s="244">
        <v>0.0</v>
      </c>
      <c r="V70" s="244">
        <v>0.0</v>
      </c>
      <c r="W70" s="244">
        <v>0.0</v>
      </c>
    </row>
    <row r="71" ht="15.75" customHeight="1">
      <c r="A71" s="244">
        <f t="shared" si="1"/>
        <v>45</v>
      </c>
      <c r="C71" s="244">
        <v>0.0</v>
      </c>
      <c r="D71" s="244">
        <v>0.0</v>
      </c>
      <c r="E71" s="244">
        <v>0.0</v>
      </c>
      <c r="F71" s="244">
        <v>0.0</v>
      </c>
      <c r="G71" s="244">
        <v>0.0</v>
      </c>
      <c r="H71" s="244">
        <v>0.0</v>
      </c>
      <c r="I71" s="244">
        <v>0.0</v>
      </c>
      <c r="J71" s="244">
        <v>0.0</v>
      </c>
      <c r="K71" s="244">
        <v>0.0</v>
      </c>
      <c r="L71" s="244">
        <v>0.0</v>
      </c>
      <c r="M71" s="244">
        <v>0.0</v>
      </c>
      <c r="N71" s="244">
        <v>0.0</v>
      </c>
      <c r="O71" s="244">
        <v>0.0</v>
      </c>
      <c r="P71" s="244">
        <v>0.0</v>
      </c>
      <c r="Q71" s="244">
        <v>0.0</v>
      </c>
      <c r="R71" s="244">
        <v>0.0</v>
      </c>
      <c r="S71" s="244">
        <v>0.0</v>
      </c>
      <c r="T71" s="244">
        <v>0.0</v>
      </c>
      <c r="U71" s="244">
        <v>0.0</v>
      </c>
      <c r="V71" s="244">
        <v>0.0</v>
      </c>
      <c r="W71" s="244">
        <v>0.0</v>
      </c>
    </row>
    <row r="72" ht="15.75" customHeight="1">
      <c r="A72" s="244">
        <f t="shared" si="1"/>
        <v>46</v>
      </c>
      <c r="B72" s="250"/>
      <c r="C72" s="244">
        <v>0.0</v>
      </c>
      <c r="D72" s="244">
        <v>0.0</v>
      </c>
      <c r="E72" s="244">
        <v>0.0</v>
      </c>
      <c r="F72" s="244">
        <v>0.0</v>
      </c>
      <c r="G72" s="244">
        <v>0.0</v>
      </c>
      <c r="H72" s="244">
        <v>0.0</v>
      </c>
      <c r="I72" s="244">
        <v>0.0</v>
      </c>
      <c r="J72" s="244">
        <v>0.0</v>
      </c>
      <c r="K72" s="244">
        <v>0.0</v>
      </c>
      <c r="L72" s="244">
        <v>0.0</v>
      </c>
      <c r="M72" s="244">
        <v>0.0</v>
      </c>
      <c r="N72" s="244">
        <v>0.0</v>
      </c>
      <c r="O72" s="244">
        <v>0.0</v>
      </c>
      <c r="P72" s="244">
        <v>0.0</v>
      </c>
      <c r="Q72" s="244">
        <v>0.0</v>
      </c>
      <c r="R72" s="244">
        <v>0.0</v>
      </c>
      <c r="S72" s="244">
        <v>0.0</v>
      </c>
      <c r="T72" s="244">
        <v>0.0</v>
      </c>
      <c r="U72" s="244">
        <v>0.0</v>
      </c>
      <c r="V72" s="244">
        <v>0.0</v>
      </c>
      <c r="W72" s="244">
        <v>0.0</v>
      </c>
    </row>
    <row r="73" ht="15.75" customHeight="1">
      <c r="A73" s="244">
        <f t="shared" si="1"/>
        <v>47</v>
      </c>
      <c r="C73" s="244">
        <v>0.0</v>
      </c>
      <c r="D73" s="244">
        <v>0.0</v>
      </c>
      <c r="E73" s="244">
        <v>0.0</v>
      </c>
      <c r="F73" s="244">
        <v>0.0</v>
      </c>
      <c r="G73" s="244">
        <v>0.0</v>
      </c>
      <c r="H73" s="244">
        <v>0.0</v>
      </c>
      <c r="I73" s="244">
        <v>0.0</v>
      </c>
      <c r="J73" s="244">
        <v>0.0</v>
      </c>
      <c r="K73" s="244">
        <v>0.0</v>
      </c>
      <c r="L73" s="244">
        <v>0.0</v>
      </c>
      <c r="M73" s="244">
        <v>0.0</v>
      </c>
      <c r="N73" s="244">
        <v>0.0</v>
      </c>
      <c r="O73" s="244">
        <v>0.0</v>
      </c>
      <c r="P73" s="244">
        <v>0.0</v>
      </c>
      <c r="Q73" s="244">
        <v>0.0</v>
      </c>
      <c r="R73" s="244">
        <v>0.0</v>
      </c>
      <c r="S73" s="244">
        <v>0.0</v>
      </c>
      <c r="T73" s="244">
        <v>0.0</v>
      </c>
      <c r="U73" s="244">
        <v>0.0</v>
      </c>
      <c r="V73" s="244">
        <v>0.0</v>
      </c>
      <c r="W73" s="244">
        <v>0.0</v>
      </c>
    </row>
    <row r="74" ht="15.75" customHeight="1">
      <c r="A74" s="244">
        <f t="shared" si="1"/>
        <v>48</v>
      </c>
      <c r="B74" s="250"/>
      <c r="C74" s="244">
        <v>0.0</v>
      </c>
      <c r="D74" s="244">
        <v>0.0</v>
      </c>
      <c r="E74" s="244">
        <v>0.0</v>
      </c>
      <c r="F74" s="244">
        <v>0.0</v>
      </c>
      <c r="G74" s="244">
        <v>0.0</v>
      </c>
      <c r="H74" s="244">
        <v>0.0</v>
      </c>
      <c r="I74" s="244">
        <v>0.0</v>
      </c>
      <c r="J74" s="244">
        <v>0.0</v>
      </c>
      <c r="K74" s="244">
        <v>0.0</v>
      </c>
      <c r="L74" s="244">
        <v>0.0</v>
      </c>
      <c r="M74" s="244">
        <v>0.0</v>
      </c>
      <c r="N74" s="244">
        <v>0.0</v>
      </c>
      <c r="O74" s="244">
        <v>0.0</v>
      </c>
      <c r="P74" s="244">
        <v>0.0</v>
      </c>
      <c r="Q74" s="244">
        <v>0.0</v>
      </c>
      <c r="R74" s="244">
        <v>0.0</v>
      </c>
      <c r="S74" s="244">
        <v>0.0</v>
      </c>
      <c r="T74" s="244">
        <v>0.0</v>
      </c>
      <c r="U74" s="244">
        <v>0.0</v>
      </c>
      <c r="V74" s="244">
        <v>0.0</v>
      </c>
      <c r="W74" s="244">
        <v>0.0</v>
      </c>
    </row>
    <row r="75" ht="15.75" customHeight="1">
      <c r="A75" s="244">
        <f t="shared" si="1"/>
        <v>49</v>
      </c>
      <c r="C75" s="244">
        <v>0.0</v>
      </c>
      <c r="D75" s="244">
        <v>0.0</v>
      </c>
      <c r="E75" s="244">
        <v>0.0</v>
      </c>
      <c r="F75" s="244">
        <v>0.0</v>
      </c>
      <c r="G75" s="244">
        <v>0.0</v>
      </c>
      <c r="H75" s="244">
        <v>0.0</v>
      </c>
      <c r="I75" s="244">
        <v>0.0</v>
      </c>
      <c r="J75" s="244">
        <v>0.0</v>
      </c>
      <c r="K75" s="244">
        <v>0.0</v>
      </c>
      <c r="L75" s="244">
        <v>0.0</v>
      </c>
      <c r="M75" s="244">
        <v>0.0</v>
      </c>
      <c r="N75" s="244">
        <v>0.0</v>
      </c>
      <c r="O75" s="244">
        <v>0.0</v>
      </c>
      <c r="P75" s="244">
        <v>0.0</v>
      </c>
      <c r="Q75" s="244">
        <v>0.0</v>
      </c>
      <c r="R75" s="244">
        <v>0.0</v>
      </c>
      <c r="S75" s="244">
        <v>0.0</v>
      </c>
      <c r="T75" s="244">
        <v>0.0</v>
      </c>
      <c r="U75" s="244">
        <v>0.0</v>
      </c>
      <c r="V75" s="244">
        <v>0.0</v>
      </c>
      <c r="W75" s="244">
        <v>0.0</v>
      </c>
    </row>
    <row r="76" ht="15.75" customHeight="1">
      <c r="A76" s="244">
        <f t="shared" si="1"/>
        <v>50</v>
      </c>
      <c r="B76" s="250"/>
      <c r="C76" s="244">
        <v>0.0</v>
      </c>
      <c r="D76" s="244">
        <v>0.0</v>
      </c>
      <c r="E76" s="244">
        <v>0.0</v>
      </c>
      <c r="F76" s="244">
        <v>0.0</v>
      </c>
      <c r="G76" s="244">
        <v>0.0</v>
      </c>
      <c r="H76" s="244">
        <v>0.0</v>
      </c>
      <c r="I76" s="244">
        <v>0.0</v>
      </c>
      <c r="J76" s="244">
        <v>0.0</v>
      </c>
      <c r="K76" s="244">
        <v>0.0</v>
      </c>
      <c r="L76" s="244">
        <v>0.0</v>
      </c>
      <c r="M76" s="244">
        <v>0.0</v>
      </c>
      <c r="N76" s="244">
        <v>0.0</v>
      </c>
      <c r="O76" s="244">
        <v>0.0</v>
      </c>
      <c r="P76" s="244">
        <v>0.0</v>
      </c>
      <c r="Q76" s="244">
        <v>0.0</v>
      </c>
      <c r="R76" s="244">
        <v>0.0</v>
      </c>
      <c r="S76" s="244">
        <v>0.0</v>
      </c>
      <c r="T76" s="244">
        <v>0.0</v>
      </c>
      <c r="U76" s="244">
        <v>0.0</v>
      </c>
      <c r="V76" s="244">
        <v>0.0</v>
      </c>
      <c r="W76" s="244">
        <v>0.0</v>
      </c>
    </row>
    <row r="77" ht="15.75" customHeight="1">
      <c r="A77" s="244">
        <f t="shared" si="1"/>
        <v>51</v>
      </c>
      <c r="C77" s="244">
        <v>0.0</v>
      </c>
      <c r="D77" s="244">
        <v>0.0</v>
      </c>
      <c r="E77" s="244">
        <v>0.0</v>
      </c>
      <c r="F77" s="244">
        <v>0.0</v>
      </c>
      <c r="G77" s="244">
        <v>0.0</v>
      </c>
      <c r="H77" s="244">
        <v>0.0</v>
      </c>
      <c r="I77" s="244">
        <v>0.0</v>
      </c>
      <c r="J77" s="244">
        <v>0.0</v>
      </c>
      <c r="K77" s="244">
        <v>0.0</v>
      </c>
      <c r="L77" s="244">
        <v>0.0</v>
      </c>
      <c r="M77" s="244">
        <v>0.0</v>
      </c>
      <c r="N77" s="244">
        <v>0.0</v>
      </c>
      <c r="O77" s="244">
        <v>0.0</v>
      </c>
      <c r="P77" s="244">
        <v>0.0</v>
      </c>
      <c r="Q77" s="244">
        <v>0.0</v>
      </c>
      <c r="R77" s="244">
        <v>0.0</v>
      </c>
      <c r="S77" s="244">
        <v>0.0</v>
      </c>
      <c r="T77" s="244">
        <v>0.0</v>
      </c>
      <c r="U77" s="244">
        <v>0.0</v>
      </c>
      <c r="V77" s="244">
        <v>0.0</v>
      </c>
      <c r="W77" s="244">
        <v>0.0</v>
      </c>
    </row>
    <row r="78" ht="15.75" customHeight="1">
      <c r="A78" s="244">
        <f t="shared" si="1"/>
        <v>52</v>
      </c>
      <c r="B78" s="250"/>
      <c r="C78" s="244">
        <v>0.0</v>
      </c>
      <c r="D78" s="244">
        <v>0.0</v>
      </c>
      <c r="E78" s="244">
        <v>0.0</v>
      </c>
      <c r="F78" s="244">
        <v>0.0</v>
      </c>
      <c r="G78" s="244">
        <v>0.0</v>
      </c>
      <c r="H78" s="244">
        <v>0.0</v>
      </c>
      <c r="I78" s="244">
        <v>0.0</v>
      </c>
      <c r="J78" s="244">
        <v>0.0</v>
      </c>
      <c r="K78" s="244">
        <v>0.0</v>
      </c>
      <c r="L78" s="244">
        <v>0.0</v>
      </c>
      <c r="M78" s="244">
        <v>0.0</v>
      </c>
      <c r="N78" s="244">
        <v>0.0</v>
      </c>
      <c r="O78" s="244">
        <v>0.0</v>
      </c>
      <c r="P78" s="244">
        <v>0.0</v>
      </c>
      <c r="Q78" s="244">
        <v>0.0</v>
      </c>
      <c r="R78" s="244">
        <v>0.0</v>
      </c>
      <c r="S78" s="244">
        <v>0.0</v>
      </c>
      <c r="T78" s="244">
        <v>0.0</v>
      </c>
      <c r="U78" s="244">
        <v>0.0</v>
      </c>
      <c r="V78" s="244">
        <v>0.0</v>
      </c>
      <c r="W78" s="244">
        <v>0.0</v>
      </c>
    </row>
    <row r="79" ht="15.75" customHeight="1">
      <c r="A79" s="244">
        <f t="shared" si="1"/>
        <v>53</v>
      </c>
      <c r="C79" s="244">
        <v>0.0</v>
      </c>
      <c r="D79" s="244">
        <v>0.0</v>
      </c>
      <c r="E79" s="244">
        <v>0.0</v>
      </c>
      <c r="F79" s="244">
        <v>0.0</v>
      </c>
      <c r="G79" s="244">
        <v>0.0</v>
      </c>
      <c r="H79" s="244">
        <v>0.0</v>
      </c>
      <c r="I79" s="244">
        <v>0.0</v>
      </c>
      <c r="J79" s="244">
        <v>0.0</v>
      </c>
      <c r="K79" s="244">
        <v>0.0</v>
      </c>
      <c r="L79" s="244">
        <v>0.0</v>
      </c>
      <c r="M79" s="244">
        <v>0.0</v>
      </c>
      <c r="N79" s="244">
        <v>0.0</v>
      </c>
      <c r="O79" s="244">
        <v>0.0</v>
      </c>
      <c r="P79" s="244">
        <v>0.0</v>
      </c>
      <c r="Q79" s="244">
        <v>0.0</v>
      </c>
      <c r="R79" s="244">
        <v>0.0</v>
      </c>
      <c r="S79" s="244">
        <v>0.0</v>
      </c>
      <c r="T79" s="244">
        <v>0.0</v>
      </c>
      <c r="U79" s="244">
        <v>0.0</v>
      </c>
      <c r="V79" s="244">
        <v>0.0</v>
      </c>
      <c r="W79" s="244">
        <v>0.0</v>
      </c>
    </row>
    <row r="80" ht="15.75" customHeight="1">
      <c r="A80" s="244">
        <f t="shared" si="1"/>
        <v>54</v>
      </c>
      <c r="B80" s="250"/>
      <c r="C80" s="244">
        <v>0.0</v>
      </c>
      <c r="D80" s="244">
        <v>0.0</v>
      </c>
      <c r="E80" s="244">
        <v>0.0</v>
      </c>
      <c r="F80" s="244">
        <v>0.0</v>
      </c>
      <c r="G80" s="244">
        <v>0.0</v>
      </c>
      <c r="H80" s="244">
        <v>0.0</v>
      </c>
      <c r="I80" s="244">
        <v>0.0</v>
      </c>
      <c r="J80" s="244">
        <v>0.0</v>
      </c>
      <c r="K80" s="244">
        <v>0.0</v>
      </c>
      <c r="L80" s="244">
        <v>0.0</v>
      </c>
      <c r="M80" s="244">
        <v>0.0</v>
      </c>
      <c r="N80" s="244">
        <v>0.0</v>
      </c>
      <c r="O80" s="244">
        <v>0.0</v>
      </c>
      <c r="P80" s="244">
        <v>0.0</v>
      </c>
      <c r="Q80" s="244">
        <v>0.0</v>
      </c>
      <c r="R80" s="244">
        <v>0.0</v>
      </c>
      <c r="S80" s="244">
        <v>0.0</v>
      </c>
      <c r="T80" s="244">
        <v>0.0</v>
      </c>
      <c r="U80" s="244">
        <v>0.0</v>
      </c>
      <c r="V80" s="244">
        <v>0.0</v>
      </c>
      <c r="W80" s="244">
        <v>0.0</v>
      </c>
    </row>
    <row r="81" ht="15.75" customHeight="1">
      <c r="A81" s="244">
        <f t="shared" si="1"/>
        <v>55</v>
      </c>
      <c r="C81" s="244">
        <v>0.0</v>
      </c>
      <c r="D81" s="244">
        <v>0.0</v>
      </c>
      <c r="E81" s="244">
        <v>0.0</v>
      </c>
      <c r="F81" s="244">
        <v>0.0</v>
      </c>
      <c r="G81" s="244">
        <v>0.0</v>
      </c>
      <c r="H81" s="244">
        <v>0.0</v>
      </c>
      <c r="I81" s="244">
        <v>0.0</v>
      </c>
      <c r="J81" s="244">
        <v>0.0</v>
      </c>
      <c r="K81" s="244">
        <v>0.0</v>
      </c>
      <c r="L81" s="244">
        <v>0.0</v>
      </c>
      <c r="M81" s="244">
        <v>0.0</v>
      </c>
      <c r="N81" s="244">
        <v>0.0</v>
      </c>
      <c r="O81" s="244">
        <v>0.0</v>
      </c>
      <c r="P81" s="244">
        <v>0.0</v>
      </c>
      <c r="Q81" s="244">
        <v>0.0</v>
      </c>
      <c r="R81" s="244">
        <v>0.0</v>
      </c>
      <c r="S81" s="244">
        <v>0.0</v>
      </c>
      <c r="T81" s="244">
        <v>0.0</v>
      </c>
      <c r="U81" s="244">
        <v>0.0</v>
      </c>
      <c r="V81" s="244">
        <v>0.0</v>
      </c>
      <c r="W81" s="244">
        <v>0.0</v>
      </c>
    </row>
    <row r="82" ht="15.75" customHeight="1">
      <c r="A82" s="244">
        <f t="shared" si="1"/>
        <v>56</v>
      </c>
      <c r="B82" s="250"/>
      <c r="C82" s="244">
        <v>0.0</v>
      </c>
      <c r="D82" s="244">
        <v>0.0</v>
      </c>
      <c r="E82" s="244">
        <v>0.0</v>
      </c>
      <c r="F82" s="244">
        <v>0.0</v>
      </c>
      <c r="G82" s="244">
        <v>0.0</v>
      </c>
      <c r="H82" s="244">
        <v>0.0</v>
      </c>
      <c r="I82" s="244">
        <v>0.0</v>
      </c>
      <c r="J82" s="244">
        <v>0.0</v>
      </c>
      <c r="K82" s="244">
        <v>0.0</v>
      </c>
      <c r="L82" s="244">
        <v>0.0</v>
      </c>
      <c r="M82" s="244">
        <v>0.0</v>
      </c>
      <c r="N82" s="244">
        <v>0.0</v>
      </c>
      <c r="O82" s="244">
        <v>0.0</v>
      </c>
      <c r="P82" s="244">
        <v>0.0</v>
      </c>
      <c r="Q82" s="244">
        <v>0.0</v>
      </c>
      <c r="R82" s="244">
        <v>0.0</v>
      </c>
      <c r="S82" s="244">
        <v>0.0</v>
      </c>
      <c r="T82" s="244">
        <v>0.0</v>
      </c>
      <c r="U82" s="244">
        <v>0.0</v>
      </c>
      <c r="V82" s="244">
        <v>0.0</v>
      </c>
      <c r="W82" s="244">
        <v>0.0</v>
      </c>
    </row>
    <row r="83" ht="15.75" customHeight="1">
      <c r="A83" s="244">
        <f t="shared" si="1"/>
        <v>57</v>
      </c>
      <c r="C83" s="244">
        <v>0.0</v>
      </c>
      <c r="D83" s="244">
        <v>0.0</v>
      </c>
      <c r="E83" s="244">
        <v>0.0</v>
      </c>
      <c r="F83" s="244">
        <v>0.0</v>
      </c>
      <c r="G83" s="244">
        <v>0.0</v>
      </c>
      <c r="H83" s="244">
        <v>0.0</v>
      </c>
      <c r="I83" s="244">
        <v>0.0</v>
      </c>
      <c r="J83" s="244">
        <v>0.0</v>
      </c>
      <c r="K83" s="251">
        <v>0.0</v>
      </c>
      <c r="L83" s="251">
        <v>0.0</v>
      </c>
      <c r="M83" s="251">
        <v>0.0</v>
      </c>
      <c r="N83" s="251">
        <v>0.0</v>
      </c>
      <c r="O83" s="251">
        <v>0.0</v>
      </c>
      <c r="P83" s="244">
        <v>0.0</v>
      </c>
      <c r="Q83" s="244">
        <v>0.0</v>
      </c>
      <c r="R83" s="244">
        <v>0.0</v>
      </c>
      <c r="S83" s="244">
        <v>0.0</v>
      </c>
      <c r="T83" s="244">
        <v>0.0</v>
      </c>
      <c r="U83" s="244">
        <v>0.0</v>
      </c>
      <c r="V83" s="244">
        <v>0.0</v>
      </c>
      <c r="W83" s="244">
        <v>0.0</v>
      </c>
    </row>
    <row r="84" ht="15.75" customHeight="1">
      <c r="A84" s="244">
        <f t="shared" si="1"/>
        <v>58</v>
      </c>
      <c r="B84" s="250"/>
      <c r="C84" s="244">
        <v>0.0</v>
      </c>
      <c r="D84" s="244">
        <v>0.0</v>
      </c>
      <c r="E84" s="244">
        <v>0.0</v>
      </c>
      <c r="F84" s="244">
        <v>0.0</v>
      </c>
      <c r="G84" s="244">
        <v>0.0</v>
      </c>
      <c r="H84" s="244">
        <v>0.0</v>
      </c>
      <c r="I84" s="244">
        <v>0.0</v>
      </c>
      <c r="J84" s="244">
        <v>0.0</v>
      </c>
      <c r="K84" s="244">
        <v>0.0</v>
      </c>
      <c r="L84" s="244">
        <v>0.0</v>
      </c>
      <c r="M84" s="244">
        <v>0.0</v>
      </c>
      <c r="N84" s="244">
        <v>0.0</v>
      </c>
      <c r="O84" s="244">
        <v>0.0</v>
      </c>
      <c r="P84" s="244">
        <v>0.0</v>
      </c>
      <c r="Q84" s="244">
        <v>0.0</v>
      </c>
      <c r="R84" s="244">
        <v>0.0</v>
      </c>
      <c r="S84" s="244">
        <v>0.0</v>
      </c>
      <c r="T84" s="244">
        <v>0.0</v>
      </c>
      <c r="U84" s="244">
        <v>0.0</v>
      </c>
      <c r="V84" s="244">
        <v>0.0</v>
      </c>
      <c r="W84" s="244">
        <v>0.0</v>
      </c>
    </row>
    <row r="85" ht="15.75" customHeight="1">
      <c r="A85" s="244">
        <f t="shared" si="1"/>
        <v>59</v>
      </c>
      <c r="C85" s="244">
        <v>0.0</v>
      </c>
      <c r="D85" s="244">
        <v>0.0</v>
      </c>
      <c r="E85" s="244">
        <v>0.0</v>
      </c>
      <c r="F85" s="244">
        <v>0.0</v>
      </c>
      <c r="G85" s="244">
        <v>0.0</v>
      </c>
      <c r="H85" s="244">
        <v>0.0</v>
      </c>
      <c r="I85" s="244">
        <v>0.0</v>
      </c>
      <c r="J85" s="244">
        <v>0.0</v>
      </c>
      <c r="K85" s="244">
        <v>0.0</v>
      </c>
      <c r="L85" s="244">
        <v>0.0</v>
      </c>
      <c r="M85" s="244">
        <v>0.0</v>
      </c>
      <c r="N85" s="244">
        <v>0.0</v>
      </c>
      <c r="O85" s="244">
        <v>0.0</v>
      </c>
      <c r="P85" s="244">
        <v>0.0</v>
      </c>
      <c r="Q85" s="244">
        <v>0.0</v>
      </c>
      <c r="R85" s="244">
        <v>0.0</v>
      </c>
      <c r="S85" s="244">
        <v>0.0</v>
      </c>
      <c r="T85" s="244">
        <v>0.0</v>
      </c>
      <c r="U85" s="244">
        <v>0.0</v>
      </c>
      <c r="V85" s="244">
        <v>0.0</v>
      </c>
      <c r="W85" s="244">
        <v>0.0</v>
      </c>
    </row>
    <row r="86" ht="15.75" customHeight="1">
      <c r="A86" s="244">
        <f t="shared" si="1"/>
        <v>60</v>
      </c>
      <c r="B86" s="250"/>
      <c r="C86" s="244">
        <v>0.0</v>
      </c>
      <c r="D86" s="244">
        <v>0.0</v>
      </c>
      <c r="E86" s="244">
        <v>0.0</v>
      </c>
      <c r="F86" s="244">
        <v>0.0</v>
      </c>
      <c r="G86" s="244">
        <v>0.0</v>
      </c>
      <c r="H86" s="244">
        <v>0.0</v>
      </c>
      <c r="I86" s="244">
        <v>0.0</v>
      </c>
      <c r="J86" s="244">
        <v>0.0</v>
      </c>
      <c r="K86" s="244">
        <v>0.0</v>
      </c>
      <c r="L86" s="244">
        <v>0.0</v>
      </c>
      <c r="M86" s="244">
        <v>0.0</v>
      </c>
      <c r="N86" s="244">
        <v>0.0</v>
      </c>
      <c r="O86" s="244">
        <v>0.0</v>
      </c>
      <c r="P86" s="244">
        <v>0.0</v>
      </c>
      <c r="Q86" s="244">
        <v>0.0</v>
      </c>
      <c r="R86" s="244">
        <v>0.0</v>
      </c>
      <c r="S86" s="244">
        <v>0.0</v>
      </c>
      <c r="T86" s="244">
        <v>0.0</v>
      </c>
      <c r="U86" s="244">
        <v>0.0</v>
      </c>
      <c r="V86" s="244">
        <v>0.0</v>
      </c>
      <c r="W86" s="244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4" priority="1" stopIfTrue="1" operator="greaterThan">
      <formula>0</formula>
    </cfRule>
  </conditionalFormatting>
  <conditionalFormatting sqref="B27:W86">
    <cfRule type="cellIs" dxfId="4" priority="2" stopIfTrue="1" operator="greaterThan">
      <formula>0</formula>
    </cfRule>
  </conditionalFormatting>
  <conditionalFormatting sqref="A27:W86">
    <cfRule type="expression" dxfId="5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23" width="5.25"/>
    <col customWidth="1" min="24" max="42" width="7.63"/>
  </cols>
  <sheetData>
    <row r="1" ht="21.75" customHeight="1">
      <c r="A1" s="252" t="s">
        <v>7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</row>
    <row r="2" ht="19.5" customHeight="1">
      <c r="A2" s="175" t="s">
        <v>106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</row>
    <row r="3">
      <c r="A3" s="253" t="s">
        <v>170</v>
      </c>
      <c r="B3" s="254">
        <v>1.0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</row>
    <row r="4">
      <c r="A4" s="253" t="s">
        <v>171</v>
      </c>
      <c r="B4" s="254">
        <v>42.0</v>
      </c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</row>
    <row r="5">
      <c r="A5" s="253" t="s">
        <v>213</v>
      </c>
      <c r="B5" s="254">
        <v>60.0</v>
      </c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</row>
    <row r="6">
      <c r="A6" s="253" t="s">
        <v>214</v>
      </c>
      <c r="B6" s="255">
        <v>3.0</v>
      </c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</row>
    <row r="7">
      <c r="A7" s="253" t="s">
        <v>215</v>
      </c>
      <c r="B7" s="254">
        <v>1.0</v>
      </c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</row>
    <row r="8">
      <c r="A8" s="253" t="s">
        <v>216</v>
      </c>
      <c r="B8" s="254">
        <v>1000.0</v>
      </c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</row>
    <row r="9">
      <c r="A9" s="253" t="s">
        <v>217</v>
      </c>
      <c r="B9" s="254" t="s">
        <v>218</v>
      </c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</row>
    <row r="10">
      <c r="A10" s="253" t="s">
        <v>219</v>
      </c>
      <c r="B10" s="254" t="s">
        <v>220</v>
      </c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</row>
    <row r="11">
      <c r="A11" s="172"/>
      <c r="B11" s="172"/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</row>
    <row r="12" ht="19.5" customHeight="1">
      <c r="A12" s="175" t="s">
        <v>221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</row>
    <row r="13">
      <c r="A13" s="184" t="s">
        <v>222</v>
      </c>
      <c r="B13" s="184" t="s">
        <v>223</v>
      </c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</row>
    <row r="14">
      <c r="A14" s="248" t="s">
        <v>224</v>
      </c>
      <c r="B14" s="256">
        <v>1.0</v>
      </c>
      <c r="C14" s="172"/>
      <c r="D14" s="172"/>
      <c r="E14" s="172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</row>
    <row r="15">
      <c r="A15" s="248" t="s">
        <v>225</v>
      </c>
      <c r="B15" s="256">
        <v>10.0</v>
      </c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</row>
    <row r="16">
      <c r="A16" s="248" t="s">
        <v>226</v>
      </c>
      <c r="B16" s="256">
        <v>100.0</v>
      </c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/>
    </row>
    <row r="17">
      <c r="A17" s="248" t="s">
        <v>227</v>
      </c>
      <c r="B17" s="256">
        <v>200.0</v>
      </c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</row>
    <row r="18">
      <c r="A18" s="248" t="s">
        <v>228</v>
      </c>
      <c r="B18" s="256">
        <v>500.0</v>
      </c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</row>
    <row r="19">
      <c r="A19" s="248" t="s">
        <v>229</v>
      </c>
      <c r="B19" s="256">
        <v>1000.0</v>
      </c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</row>
    <row r="20">
      <c r="A20" s="172"/>
      <c r="B20" s="172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</row>
    <row r="21" ht="19.5" customHeight="1">
      <c r="A21" s="175" t="s">
        <v>230</v>
      </c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</row>
    <row r="22" ht="90.0" customHeight="1">
      <c r="A22" s="184" t="s">
        <v>174</v>
      </c>
      <c r="B22" s="184" t="s">
        <v>231</v>
      </c>
      <c r="C22" s="257" t="s">
        <v>76</v>
      </c>
      <c r="D22" s="257" t="s">
        <v>46</v>
      </c>
      <c r="E22" s="257" t="s">
        <v>121</v>
      </c>
      <c r="F22" s="257" t="s">
        <v>47</v>
      </c>
      <c r="G22" s="257" t="s">
        <v>48</v>
      </c>
      <c r="H22" s="257" t="s">
        <v>50</v>
      </c>
      <c r="I22" s="257" t="s">
        <v>52</v>
      </c>
      <c r="J22" s="257" t="s">
        <v>53</v>
      </c>
      <c r="K22" s="257" t="s">
        <v>54</v>
      </c>
      <c r="L22" s="257" t="s">
        <v>55</v>
      </c>
      <c r="M22" s="257" t="s">
        <v>56</v>
      </c>
      <c r="N22" s="257" t="s">
        <v>57</v>
      </c>
      <c r="O22" s="257" t="s">
        <v>58</v>
      </c>
      <c r="P22" s="257" t="s">
        <v>135</v>
      </c>
      <c r="Q22" s="257" t="s">
        <v>122</v>
      </c>
      <c r="R22" s="257" t="s">
        <v>123</v>
      </c>
      <c r="S22" s="257" t="s">
        <v>124</v>
      </c>
      <c r="T22" s="257" t="s">
        <v>125</v>
      </c>
      <c r="U22" s="257" t="s">
        <v>126</v>
      </c>
      <c r="V22" s="257" t="s">
        <v>127</v>
      </c>
      <c r="W22" s="257" t="s">
        <v>128</v>
      </c>
    </row>
    <row r="23" ht="15.75" customHeight="1">
      <c r="A23" s="248">
        <v>1.0</v>
      </c>
      <c r="B23" s="248">
        <v>100.0</v>
      </c>
      <c r="C23" s="248">
        <v>0.0</v>
      </c>
      <c r="D23" s="248">
        <v>0.0</v>
      </c>
      <c r="E23" s="248">
        <v>0.0</v>
      </c>
      <c r="F23" s="248">
        <v>0.0</v>
      </c>
      <c r="G23" s="248">
        <v>0.0</v>
      </c>
      <c r="H23" s="248">
        <v>0.0</v>
      </c>
      <c r="I23" s="248">
        <v>0.0</v>
      </c>
      <c r="J23" s="248">
        <v>0.0</v>
      </c>
      <c r="K23" s="248">
        <v>0.0</v>
      </c>
      <c r="L23" s="248">
        <v>30.0</v>
      </c>
      <c r="M23" s="248">
        <v>0.0</v>
      </c>
      <c r="N23" s="248">
        <v>0.0</v>
      </c>
      <c r="O23" s="248">
        <v>0.0</v>
      </c>
      <c r="P23" s="248">
        <v>0.0</v>
      </c>
      <c r="Q23" s="248">
        <v>0.0</v>
      </c>
      <c r="R23" s="248">
        <v>0.0</v>
      </c>
      <c r="S23" s="248">
        <v>0.0</v>
      </c>
      <c r="T23" s="248">
        <v>0.0</v>
      </c>
      <c r="U23" s="248">
        <v>0.0</v>
      </c>
      <c r="V23" s="248">
        <v>0.0</v>
      </c>
      <c r="W23" s="248">
        <v>0.0</v>
      </c>
    </row>
    <row r="24" ht="15.75" customHeight="1">
      <c r="A24" s="172"/>
      <c r="B24" s="172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</row>
    <row r="25" ht="19.5" customHeight="1">
      <c r="A25" s="175" t="s">
        <v>232</v>
      </c>
      <c r="B25" s="175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/>
    </row>
    <row r="26" ht="90.0" customHeight="1">
      <c r="A26" s="184" t="s">
        <v>233</v>
      </c>
      <c r="B26" s="172"/>
      <c r="C26" s="257" t="s">
        <v>76</v>
      </c>
      <c r="D26" s="257" t="s">
        <v>46</v>
      </c>
      <c r="E26" s="257" t="s">
        <v>121</v>
      </c>
      <c r="F26" s="257" t="s">
        <v>47</v>
      </c>
      <c r="G26" s="257" t="s">
        <v>48</v>
      </c>
      <c r="H26" s="257" t="s">
        <v>50</v>
      </c>
      <c r="I26" s="257" t="s">
        <v>52</v>
      </c>
      <c r="J26" s="257" t="s">
        <v>53</v>
      </c>
      <c r="K26" s="257" t="s">
        <v>54</v>
      </c>
      <c r="L26" s="257" t="s">
        <v>55</v>
      </c>
      <c r="M26" s="257" t="s">
        <v>56</v>
      </c>
      <c r="N26" s="257" t="s">
        <v>57</v>
      </c>
      <c r="O26" s="257" t="s">
        <v>58</v>
      </c>
      <c r="P26" s="257" t="s">
        <v>135</v>
      </c>
      <c r="Q26" s="257" t="s">
        <v>122</v>
      </c>
      <c r="R26" s="257" t="s">
        <v>123</v>
      </c>
      <c r="S26" s="257" t="s">
        <v>124</v>
      </c>
      <c r="T26" s="257" t="s">
        <v>125</v>
      </c>
      <c r="U26" s="257" t="s">
        <v>126</v>
      </c>
      <c r="V26" s="257" t="s">
        <v>127</v>
      </c>
      <c r="W26" s="257" t="s">
        <v>128</v>
      </c>
      <c r="Y26" s="258" t="s">
        <v>234</v>
      </c>
    </row>
    <row r="27" ht="15.75" customHeight="1">
      <c r="A27" s="248">
        <v>1.0</v>
      </c>
      <c r="B27" s="153"/>
      <c r="C27" s="247">
        <v>250.0</v>
      </c>
      <c r="D27" s="247">
        <v>260.0</v>
      </c>
      <c r="E27" s="247">
        <v>0.0</v>
      </c>
      <c r="F27" s="247">
        <v>0.0</v>
      </c>
      <c r="G27" s="247">
        <v>0.0</v>
      </c>
      <c r="H27" s="247">
        <v>0.0</v>
      </c>
      <c r="I27" s="247">
        <v>0.0</v>
      </c>
      <c r="J27" s="247">
        <v>0.0</v>
      </c>
      <c r="K27" s="247">
        <v>1.0</v>
      </c>
      <c r="L27" s="248">
        <v>0.0</v>
      </c>
      <c r="M27" s="248">
        <v>0.0</v>
      </c>
      <c r="N27" s="248">
        <v>0.0</v>
      </c>
      <c r="O27" s="248">
        <v>0.0</v>
      </c>
      <c r="P27" s="248">
        <v>0.0</v>
      </c>
      <c r="Q27" s="248">
        <v>0.0</v>
      </c>
      <c r="R27" s="248">
        <v>0.0</v>
      </c>
      <c r="S27" s="248">
        <v>0.0</v>
      </c>
      <c r="T27" s="248">
        <v>0.0</v>
      </c>
      <c r="U27" s="248">
        <v>0.0</v>
      </c>
      <c r="V27" s="248">
        <v>0.0</v>
      </c>
      <c r="W27" s="248">
        <v>0.0</v>
      </c>
      <c r="Y27" s="249">
        <f t="array" ref="Y27">SUMPRODUCT({C27:H27, K27, J27, I27, L27:O27}, item_vals!$B$3:$N$3)</f>
        <v>417</v>
      </c>
    </row>
    <row r="28" ht="15.75" customHeight="1">
      <c r="A28" s="248">
        <f t="shared" ref="A28:A86" si="1">A27+1</f>
        <v>2</v>
      </c>
      <c r="B28" s="153"/>
      <c r="C28" s="247">
        <v>150.0</v>
      </c>
      <c r="D28" s="247">
        <v>190.0</v>
      </c>
      <c r="E28" s="247">
        <v>0.0</v>
      </c>
      <c r="F28" s="247">
        <v>0.0</v>
      </c>
      <c r="G28" s="247">
        <v>0.0</v>
      </c>
      <c r="H28" s="247">
        <v>0.0</v>
      </c>
      <c r="I28" s="247">
        <v>0.0</v>
      </c>
      <c r="J28" s="247">
        <v>1.0</v>
      </c>
      <c r="K28" s="247">
        <v>0.0</v>
      </c>
      <c r="L28" s="248">
        <v>0.0</v>
      </c>
      <c r="M28" s="248">
        <v>0.0</v>
      </c>
      <c r="N28" s="248">
        <v>0.0</v>
      </c>
      <c r="O28" s="248">
        <v>0.0</v>
      </c>
      <c r="P28" s="248">
        <v>0.0</v>
      </c>
      <c r="Q28" s="248">
        <v>0.0</v>
      </c>
      <c r="R28" s="248">
        <v>0.0</v>
      </c>
      <c r="S28" s="248">
        <v>0.0</v>
      </c>
      <c r="T28" s="248">
        <v>0.0</v>
      </c>
      <c r="U28" s="248">
        <v>0.0</v>
      </c>
      <c r="V28" s="248">
        <v>0.0</v>
      </c>
      <c r="W28" s="248">
        <v>0.0</v>
      </c>
      <c r="Y28" s="249">
        <f t="array" ref="Y28">SUMPRODUCT({C28:H28, K28, J28, I28, L28:O28}, item_vals!$B$3:$N$3)</f>
        <v>217</v>
      </c>
    </row>
    <row r="29" ht="15.75" customHeight="1">
      <c r="A29" s="248">
        <f t="shared" si="1"/>
        <v>3</v>
      </c>
      <c r="B29" s="153"/>
      <c r="C29" s="247">
        <v>125.0</v>
      </c>
      <c r="D29" s="247">
        <v>150.0</v>
      </c>
      <c r="E29" s="247">
        <v>0.0</v>
      </c>
      <c r="F29" s="247">
        <v>0.0</v>
      </c>
      <c r="G29" s="247">
        <v>0.0</v>
      </c>
      <c r="H29" s="247">
        <v>0.0</v>
      </c>
      <c r="I29" s="247">
        <v>0.0</v>
      </c>
      <c r="J29" s="247">
        <v>1.0</v>
      </c>
      <c r="K29" s="247">
        <v>0.0</v>
      </c>
      <c r="L29" s="248">
        <v>0.0</v>
      </c>
      <c r="M29" s="248">
        <v>0.0</v>
      </c>
      <c r="N29" s="248">
        <v>0.0</v>
      </c>
      <c r="O29" s="248">
        <v>0.0</v>
      </c>
      <c r="P29" s="248">
        <v>0.0</v>
      </c>
      <c r="Q29" s="248">
        <v>0.0</v>
      </c>
      <c r="R29" s="248">
        <v>0.0</v>
      </c>
      <c r="S29" s="248">
        <v>0.0</v>
      </c>
      <c r="T29" s="248">
        <v>0.0</v>
      </c>
      <c r="U29" s="248">
        <v>0.0</v>
      </c>
      <c r="V29" s="248">
        <v>0.0</v>
      </c>
      <c r="W29" s="248">
        <v>0.0</v>
      </c>
      <c r="Y29" s="249">
        <f t="array" ref="Y29">SUMPRODUCT({C29:H29, K29, J29, I29, L29:O29}, item_vals!$B$3:$N$3)</f>
        <v>192</v>
      </c>
    </row>
    <row r="30" ht="15.75" customHeight="1">
      <c r="A30" s="248">
        <f t="shared" si="1"/>
        <v>4</v>
      </c>
      <c r="B30" s="153"/>
      <c r="C30" s="247">
        <v>100.0</v>
      </c>
      <c r="D30" s="247">
        <v>130.0</v>
      </c>
      <c r="E30" s="247">
        <v>0.0</v>
      </c>
      <c r="F30" s="247">
        <v>0.0</v>
      </c>
      <c r="G30" s="247">
        <v>0.0</v>
      </c>
      <c r="H30" s="247">
        <v>0.0</v>
      </c>
      <c r="I30" s="247">
        <v>1.0</v>
      </c>
      <c r="J30" s="247">
        <v>0.0</v>
      </c>
      <c r="K30" s="247">
        <v>0.0</v>
      </c>
      <c r="L30" s="248">
        <v>0.0</v>
      </c>
      <c r="M30" s="248">
        <v>0.0</v>
      </c>
      <c r="N30" s="248">
        <v>0.0</v>
      </c>
      <c r="O30" s="248">
        <v>0.0</v>
      </c>
      <c r="P30" s="248">
        <v>0.0</v>
      </c>
      <c r="Q30" s="248">
        <v>0.0</v>
      </c>
      <c r="R30" s="248">
        <v>0.0</v>
      </c>
      <c r="S30" s="248">
        <v>0.0</v>
      </c>
      <c r="T30" s="248">
        <v>0.0</v>
      </c>
      <c r="U30" s="248">
        <v>0.0</v>
      </c>
      <c r="V30" s="248">
        <v>0.0</v>
      </c>
      <c r="W30" s="248">
        <v>0.0</v>
      </c>
      <c r="Y30" s="249">
        <f t="array" ref="Y30">SUMPRODUCT({C30:H30, K30, J30, I30, L30:O30}, item_vals!$B$3:$N$3)</f>
        <v>150</v>
      </c>
    </row>
    <row r="31" ht="15.75" customHeight="1">
      <c r="A31" s="248">
        <f t="shared" si="1"/>
        <v>5</v>
      </c>
      <c r="B31" s="153"/>
      <c r="C31" s="247">
        <v>75.0</v>
      </c>
      <c r="D31" s="247">
        <v>100.0</v>
      </c>
      <c r="E31" s="247">
        <v>0.0</v>
      </c>
      <c r="F31" s="247">
        <v>0.0</v>
      </c>
      <c r="G31" s="247">
        <v>0.0</v>
      </c>
      <c r="H31" s="247">
        <v>0.0</v>
      </c>
      <c r="I31" s="247">
        <v>1.0</v>
      </c>
      <c r="J31" s="247">
        <v>0.0</v>
      </c>
      <c r="K31" s="247">
        <v>0.0</v>
      </c>
      <c r="L31" s="248">
        <v>0.0</v>
      </c>
      <c r="M31" s="248">
        <v>0.0</v>
      </c>
      <c r="N31" s="248">
        <v>0.0</v>
      </c>
      <c r="O31" s="248">
        <v>0.0</v>
      </c>
      <c r="P31" s="248">
        <v>0.0</v>
      </c>
      <c r="Q31" s="248">
        <v>0.0</v>
      </c>
      <c r="R31" s="248">
        <v>0.0</v>
      </c>
      <c r="S31" s="248">
        <v>0.0</v>
      </c>
      <c r="T31" s="248">
        <v>0.0</v>
      </c>
      <c r="U31" s="248">
        <v>0.0</v>
      </c>
      <c r="V31" s="248">
        <v>0.0</v>
      </c>
      <c r="W31" s="248">
        <v>0.0</v>
      </c>
      <c r="Y31" s="249">
        <f t="array" ref="Y31">SUMPRODUCT({C31:H31, K31, J31, I31, L31:O31}, item_vals!$B$3:$N$3)</f>
        <v>125</v>
      </c>
    </row>
    <row r="32" ht="15.75" customHeight="1">
      <c r="A32" s="248">
        <f t="shared" si="1"/>
        <v>6</v>
      </c>
      <c r="B32" s="172"/>
      <c r="C32" s="247">
        <v>0.0</v>
      </c>
      <c r="D32" s="247">
        <v>90.0</v>
      </c>
      <c r="E32" s="247">
        <v>0.0</v>
      </c>
      <c r="F32" s="247">
        <v>0.0</v>
      </c>
      <c r="G32" s="247">
        <v>0.0</v>
      </c>
      <c r="H32" s="247">
        <v>1.0</v>
      </c>
      <c r="I32" s="247">
        <v>0.0</v>
      </c>
      <c r="J32" s="247">
        <v>0.0</v>
      </c>
      <c r="K32" s="247">
        <v>0.0</v>
      </c>
      <c r="L32" s="248">
        <v>0.0</v>
      </c>
      <c r="M32" s="248">
        <v>0.0</v>
      </c>
      <c r="N32" s="248">
        <v>0.0</v>
      </c>
      <c r="O32" s="248">
        <v>0.0</v>
      </c>
      <c r="P32" s="248">
        <v>0.0</v>
      </c>
      <c r="Q32" s="248">
        <v>0.0</v>
      </c>
      <c r="R32" s="248">
        <v>0.0</v>
      </c>
      <c r="S32" s="248">
        <v>0.0</v>
      </c>
      <c r="T32" s="248">
        <v>0.0</v>
      </c>
      <c r="U32" s="248">
        <v>0.0</v>
      </c>
      <c r="V32" s="248">
        <v>0.0</v>
      </c>
      <c r="W32" s="248">
        <v>0.0</v>
      </c>
      <c r="Y32" s="249">
        <f t="array" ref="Y32">SUMPRODUCT({C32:H32, K32, J32, I32, L32:O32}, item_vals!$B$3:$N$3)</f>
        <v>67</v>
      </c>
    </row>
    <row r="33" ht="15.75" customHeight="1">
      <c r="A33" s="248">
        <f t="shared" si="1"/>
        <v>7</v>
      </c>
      <c r="B33" s="172"/>
      <c r="C33" s="247">
        <v>0.0</v>
      </c>
      <c r="D33" s="247">
        <v>80.0</v>
      </c>
      <c r="E33" s="247">
        <v>0.0</v>
      </c>
      <c r="F33" s="247">
        <v>0.0</v>
      </c>
      <c r="G33" s="247">
        <v>0.0</v>
      </c>
      <c r="H33" s="247">
        <v>1.0</v>
      </c>
      <c r="I33" s="247">
        <v>0.0</v>
      </c>
      <c r="J33" s="247">
        <v>0.0</v>
      </c>
      <c r="K33" s="247">
        <v>0.0</v>
      </c>
      <c r="L33" s="248">
        <v>0.0</v>
      </c>
      <c r="M33" s="248">
        <v>0.0</v>
      </c>
      <c r="N33" s="248">
        <v>0.0</v>
      </c>
      <c r="O33" s="248">
        <v>0.0</v>
      </c>
      <c r="P33" s="248">
        <v>0.0</v>
      </c>
      <c r="Q33" s="248">
        <v>0.0</v>
      </c>
      <c r="R33" s="248">
        <v>0.0</v>
      </c>
      <c r="S33" s="248">
        <v>0.0</v>
      </c>
      <c r="T33" s="248">
        <v>0.0</v>
      </c>
      <c r="U33" s="248">
        <v>0.0</v>
      </c>
      <c r="V33" s="248">
        <v>0.0</v>
      </c>
      <c r="W33" s="248">
        <v>0.0</v>
      </c>
      <c r="Y33" s="249">
        <f t="array" ref="Y33">SUMPRODUCT({C33:H33, K33, J33, I33, L33:O33}, item_vals!$B$3:$N$3)</f>
        <v>67</v>
      </c>
    </row>
    <row r="34" ht="15.75" customHeight="1">
      <c r="A34" s="248">
        <f t="shared" si="1"/>
        <v>8</v>
      </c>
      <c r="B34" s="172"/>
      <c r="C34" s="247">
        <v>0.0</v>
      </c>
      <c r="D34" s="247">
        <v>80.0</v>
      </c>
      <c r="E34" s="247">
        <v>0.0</v>
      </c>
      <c r="F34" s="247">
        <v>0.0</v>
      </c>
      <c r="G34" s="247">
        <v>0.0</v>
      </c>
      <c r="H34" s="247">
        <v>1.0</v>
      </c>
      <c r="I34" s="247">
        <v>0.0</v>
      </c>
      <c r="J34" s="247">
        <v>0.0</v>
      </c>
      <c r="K34" s="247">
        <v>0.0</v>
      </c>
      <c r="L34" s="248">
        <v>0.0</v>
      </c>
      <c r="M34" s="248">
        <v>0.0</v>
      </c>
      <c r="N34" s="248">
        <v>0.0</v>
      </c>
      <c r="O34" s="248">
        <v>0.0</v>
      </c>
      <c r="P34" s="248">
        <v>0.0</v>
      </c>
      <c r="Q34" s="248">
        <v>0.0</v>
      </c>
      <c r="R34" s="248">
        <v>0.0</v>
      </c>
      <c r="S34" s="248">
        <v>0.0</v>
      </c>
      <c r="T34" s="248">
        <v>0.0</v>
      </c>
      <c r="U34" s="248">
        <v>0.0</v>
      </c>
      <c r="V34" s="248">
        <v>0.0</v>
      </c>
      <c r="W34" s="248">
        <v>0.0</v>
      </c>
      <c r="Y34" s="249">
        <f t="array" ref="Y34">SUMPRODUCT({C34:H34, K34, J34, I34, L34:O34}, item_vals!$B$3:$N$3)</f>
        <v>67</v>
      </c>
    </row>
    <row r="35" ht="15.75" customHeight="1">
      <c r="A35" s="248">
        <f t="shared" si="1"/>
        <v>9</v>
      </c>
      <c r="B35" s="172"/>
      <c r="C35" s="247">
        <v>0.0</v>
      </c>
      <c r="D35" s="247">
        <v>70.0</v>
      </c>
      <c r="E35" s="247">
        <v>0.0</v>
      </c>
      <c r="F35" s="247">
        <v>0.0</v>
      </c>
      <c r="G35" s="247">
        <v>0.0</v>
      </c>
      <c r="H35" s="247">
        <v>1.0</v>
      </c>
      <c r="I35" s="247">
        <v>0.0</v>
      </c>
      <c r="J35" s="247">
        <v>0.0</v>
      </c>
      <c r="K35" s="247">
        <v>0.0</v>
      </c>
      <c r="L35" s="248">
        <v>0.0</v>
      </c>
      <c r="M35" s="248">
        <v>0.0</v>
      </c>
      <c r="N35" s="248">
        <v>0.0</v>
      </c>
      <c r="O35" s="248">
        <v>0.0</v>
      </c>
      <c r="P35" s="248">
        <v>0.0</v>
      </c>
      <c r="Q35" s="248">
        <v>0.0</v>
      </c>
      <c r="R35" s="248">
        <v>0.0</v>
      </c>
      <c r="S35" s="248">
        <v>0.0</v>
      </c>
      <c r="T35" s="248">
        <v>0.0</v>
      </c>
      <c r="U35" s="248">
        <v>0.0</v>
      </c>
      <c r="V35" s="248">
        <v>0.0</v>
      </c>
      <c r="W35" s="248">
        <v>0.0</v>
      </c>
      <c r="Y35" s="249">
        <f t="array" ref="Y35">SUMPRODUCT({C35:H35, K35, J35, I35, L35:O35}, item_vals!$B$3:$N$3)</f>
        <v>67</v>
      </c>
    </row>
    <row r="36" ht="15.75" customHeight="1">
      <c r="A36" s="248">
        <f t="shared" si="1"/>
        <v>10</v>
      </c>
      <c r="B36" s="172"/>
      <c r="C36" s="247">
        <v>0.0</v>
      </c>
      <c r="D36" s="247">
        <v>70.0</v>
      </c>
      <c r="E36" s="247">
        <v>0.0</v>
      </c>
      <c r="F36" s="247">
        <v>0.0</v>
      </c>
      <c r="G36" s="247">
        <v>0.0</v>
      </c>
      <c r="H36" s="247">
        <v>1.0</v>
      </c>
      <c r="I36" s="247">
        <v>0.0</v>
      </c>
      <c r="J36" s="247">
        <v>0.0</v>
      </c>
      <c r="K36" s="247">
        <v>0.0</v>
      </c>
      <c r="L36" s="248">
        <v>0.0</v>
      </c>
      <c r="M36" s="248">
        <v>0.0</v>
      </c>
      <c r="N36" s="248">
        <v>0.0</v>
      </c>
      <c r="O36" s="248">
        <v>0.0</v>
      </c>
      <c r="P36" s="248">
        <v>0.0</v>
      </c>
      <c r="Q36" s="248">
        <v>0.0</v>
      </c>
      <c r="R36" s="248">
        <v>0.0</v>
      </c>
      <c r="S36" s="248">
        <v>0.0</v>
      </c>
      <c r="T36" s="248">
        <v>0.0</v>
      </c>
      <c r="U36" s="248">
        <v>0.0</v>
      </c>
      <c r="V36" s="248">
        <v>0.0</v>
      </c>
      <c r="W36" s="248">
        <v>0.0</v>
      </c>
      <c r="Y36" s="249">
        <f t="array" ref="Y36">SUMPRODUCT({C36:H36, K36, J36, I36, L36:O36}, item_vals!$B$3:$N$3)</f>
        <v>67</v>
      </c>
    </row>
    <row r="37" ht="15.75" customHeight="1">
      <c r="A37" s="248">
        <f t="shared" si="1"/>
        <v>11</v>
      </c>
      <c r="B37" s="172"/>
      <c r="C37" s="247">
        <v>0.0</v>
      </c>
      <c r="D37" s="247">
        <v>70.0</v>
      </c>
      <c r="E37" s="247">
        <v>0.0</v>
      </c>
      <c r="F37" s="247">
        <v>0.0</v>
      </c>
      <c r="G37" s="247">
        <v>1.0</v>
      </c>
      <c r="H37" s="247">
        <v>0.0</v>
      </c>
      <c r="I37" s="247">
        <v>0.0</v>
      </c>
      <c r="J37" s="247">
        <v>0.0</v>
      </c>
      <c r="K37" s="247">
        <v>0.0</v>
      </c>
      <c r="L37" s="248">
        <v>0.0</v>
      </c>
      <c r="M37" s="248">
        <v>0.0</v>
      </c>
      <c r="N37" s="248">
        <v>0.0</v>
      </c>
      <c r="O37" s="248">
        <v>0.0</v>
      </c>
      <c r="P37" s="248">
        <v>0.0</v>
      </c>
      <c r="Q37" s="248">
        <v>0.0</v>
      </c>
      <c r="R37" s="248">
        <v>0.0</v>
      </c>
      <c r="S37" s="248">
        <v>0.0</v>
      </c>
      <c r="T37" s="248">
        <v>0.0</v>
      </c>
      <c r="U37" s="248">
        <v>0.0</v>
      </c>
      <c r="V37" s="248">
        <v>0.0</v>
      </c>
      <c r="W37" s="248">
        <v>0.0</v>
      </c>
      <c r="Y37" s="249">
        <f t="array" ref="Y37">SUMPRODUCT({C37:H37, K37, J37, I37, L37:O37}, item_vals!$B$3:$N$3)</f>
        <v>50</v>
      </c>
    </row>
    <row r="38" ht="15.75" customHeight="1">
      <c r="A38" s="248">
        <f t="shared" si="1"/>
        <v>12</v>
      </c>
      <c r="B38" s="172"/>
      <c r="C38" s="247">
        <v>0.0</v>
      </c>
      <c r="D38" s="247">
        <v>60.0</v>
      </c>
      <c r="E38" s="247">
        <v>0.0</v>
      </c>
      <c r="F38" s="247">
        <v>0.0</v>
      </c>
      <c r="G38" s="247">
        <v>1.0</v>
      </c>
      <c r="H38" s="247">
        <v>0.0</v>
      </c>
      <c r="I38" s="247">
        <v>0.0</v>
      </c>
      <c r="J38" s="247">
        <v>0.0</v>
      </c>
      <c r="K38" s="247">
        <v>0.0</v>
      </c>
      <c r="L38" s="248">
        <v>0.0</v>
      </c>
      <c r="M38" s="248">
        <v>0.0</v>
      </c>
      <c r="N38" s="248">
        <v>0.0</v>
      </c>
      <c r="O38" s="248">
        <v>0.0</v>
      </c>
      <c r="P38" s="248">
        <v>0.0</v>
      </c>
      <c r="Q38" s="248">
        <v>0.0</v>
      </c>
      <c r="R38" s="248">
        <v>0.0</v>
      </c>
      <c r="S38" s="248">
        <v>0.0</v>
      </c>
      <c r="T38" s="248">
        <v>0.0</v>
      </c>
      <c r="U38" s="248">
        <v>0.0</v>
      </c>
      <c r="V38" s="248">
        <v>0.0</v>
      </c>
      <c r="W38" s="248">
        <v>0.0</v>
      </c>
      <c r="Y38" s="249">
        <f t="array" ref="Y38">SUMPRODUCT({C38:H38, K38, J38, I38, L38:O38}, item_vals!$B$3:$N$3)</f>
        <v>50</v>
      </c>
    </row>
    <row r="39" ht="15.75" customHeight="1">
      <c r="A39" s="248">
        <f t="shared" si="1"/>
        <v>13</v>
      </c>
      <c r="B39" s="172"/>
      <c r="C39" s="247">
        <v>0.0</v>
      </c>
      <c r="D39" s="247">
        <v>60.0</v>
      </c>
      <c r="E39" s="247">
        <v>0.0</v>
      </c>
      <c r="F39" s="247">
        <v>1.0</v>
      </c>
      <c r="G39" s="247">
        <v>0.0</v>
      </c>
      <c r="H39" s="247">
        <v>0.0</v>
      </c>
      <c r="I39" s="247">
        <v>0.0</v>
      </c>
      <c r="J39" s="247">
        <v>0.0</v>
      </c>
      <c r="K39" s="247">
        <v>0.0</v>
      </c>
      <c r="L39" s="248">
        <v>0.0</v>
      </c>
      <c r="M39" s="248">
        <v>0.0</v>
      </c>
      <c r="N39" s="248">
        <v>0.0</v>
      </c>
      <c r="O39" s="248">
        <v>0.0</v>
      </c>
      <c r="P39" s="248">
        <v>0.0</v>
      </c>
      <c r="Q39" s="248">
        <v>0.0</v>
      </c>
      <c r="R39" s="248">
        <v>0.0</v>
      </c>
      <c r="S39" s="248">
        <v>0.0</v>
      </c>
      <c r="T39" s="248">
        <v>0.0</v>
      </c>
      <c r="U39" s="248">
        <v>0.0</v>
      </c>
      <c r="V39" s="248">
        <v>0.0</v>
      </c>
      <c r="W39" s="248">
        <v>0.0</v>
      </c>
      <c r="Y39" s="249">
        <f t="array" ref="Y39">SUMPRODUCT({C39:H39, K39, J39, I39, L39:O39}, item_vals!$B$3:$N$3)</f>
        <v>33</v>
      </c>
    </row>
    <row r="40" ht="15.75" customHeight="1">
      <c r="A40" s="248">
        <f t="shared" si="1"/>
        <v>14</v>
      </c>
      <c r="B40" s="172"/>
      <c r="C40" s="247">
        <v>0.0</v>
      </c>
      <c r="D40" s="247">
        <v>60.0</v>
      </c>
      <c r="E40" s="247">
        <v>0.0</v>
      </c>
      <c r="F40" s="247">
        <v>1.0</v>
      </c>
      <c r="G40" s="247">
        <v>0.0</v>
      </c>
      <c r="H40" s="247">
        <v>0.0</v>
      </c>
      <c r="I40" s="247">
        <v>0.0</v>
      </c>
      <c r="J40" s="247">
        <v>0.0</v>
      </c>
      <c r="K40" s="247">
        <v>0.0</v>
      </c>
      <c r="L40" s="248">
        <v>0.0</v>
      </c>
      <c r="M40" s="248">
        <v>0.0</v>
      </c>
      <c r="N40" s="248">
        <v>0.0</v>
      </c>
      <c r="O40" s="248">
        <v>0.0</v>
      </c>
      <c r="P40" s="248">
        <v>0.0</v>
      </c>
      <c r="Q40" s="248">
        <v>0.0</v>
      </c>
      <c r="R40" s="248">
        <v>0.0</v>
      </c>
      <c r="S40" s="248">
        <v>0.0</v>
      </c>
      <c r="T40" s="248">
        <v>0.0</v>
      </c>
      <c r="U40" s="248">
        <v>0.0</v>
      </c>
      <c r="V40" s="248">
        <v>0.0</v>
      </c>
      <c r="W40" s="248">
        <v>0.0</v>
      </c>
      <c r="Y40" s="249">
        <f t="array" ref="Y40">SUMPRODUCT({C40:H40, K40, J40, I40, L40:O40}, item_vals!$B$3:$N$3)</f>
        <v>33</v>
      </c>
    </row>
    <row r="41" ht="15.75" customHeight="1">
      <c r="A41" s="248">
        <f t="shared" si="1"/>
        <v>15</v>
      </c>
      <c r="B41" s="172"/>
      <c r="C41" s="247">
        <v>0.0</v>
      </c>
      <c r="D41" s="247">
        <v>60.0</v>
      </c>
      <c r="E41" s="247">
        <v>0.0</v>
      </c>
      <c r="F41" s="247">
        <v>1.0</v>
      </c>
      <c r="G41" s="247">
        <v>0.0</v>
      </c>
      <c r="H41" s="247">
        <v>0.0</v>
      </c>
      <c r="I41" s="247">
        <v>0.0</v>
      </c>
      <c r="J41" s="247">
        <v>0.0</v>
      </c>
      <c r="K41" s="247">
        <v>0.0</v>
      </c>
      <c r="L41" s="248">
        <v>0.0</v>
      </c>
      <c r="M41" s="248">
        <v>0.0</v>
      </c>
      <c r="N41" s="248">
        <v>0.0</v>
      </c>
      <c r="O41" s="248">
        <v>0.0</v>
      </c>
      <c r="P41" s="248">
        <v>0.0</v>
      </c>
      <c r="Q41" s="248">
        <v>0.0</v>
      </c>
      <c r="R41" s="248">
        <v>0.0</v>
      </c>
      <c r="S41" s="248">
        <v>0.0</v>
      </c>
      <c r="T41" s="248">
        <v>0.0</v>
      </c>
      <c r="U41" s="248">
        <v>0.0</v>
      </c>
      <c r="V41" s="248">
        <v>0.0</v>
      </c>
      <c r="W41" s="248">
        <v>0.0</v>
      </c>
      <c r="Y41" s="249">
        <f t="array" ref="Y41">SUMPRODUCT({C41:H41, K41, J41, I41, L41:O41}, item_vals!$B$3:$N$3)</f>
        <v>33</v>
      </c>
    </row>
    <row r="42" ht="15.75" customHeight="1">
      <c r="A42" s="248">
        <f t="shared" si="1"/>
        <v>16</v>
      </c>
      <c r="B42" s="172"/>
      <c r="C42" s="247">
        <v>0.0</v>
      </c>
      <c r="D42" s="247">
        <v>50.0</v>
      </c>
      <c r="E42" s="247">
        <v>0.0</v>
      </c>
      <c r="F42" s="247">
        <v>1.0</v>
      </c>
      <c r="G42" s="247">
        <v>0.0</v>
      </c>
      <c r="H42" s="247">
        <v>0.0</v>
      </c>
      <c r="I42" s="247">
        <v>0.0</v>
      </c>
      <c r="J42" s="247">
        <v>0.0</v>
      </c>
      <c r="K42" s="247">
        <v>0.0</v>
      </c>
      <c r="L42" s="248">
        <v>0.0</v>
      </c>
      <c r="M42" s="248">
        <v>0.0</v>
      </c>
      <c r="N42" s="248">
        <v>0.0</v>
      </c>
      <c r="O42" s="248">
        <v>0.0</v>
      </c>
      <c r="P42" s="248">
        <v>0.0</v>
      </c>
      <c r="Q42" s="248">
        <v>0.0</v>
      </c>
      <c r="R42" s="248">
        <v>0.0</v>
      </c>
      <c r="S42" s="248">
        <v>0.0</v>
      </c>
      <c r="T42" s="248">
        <v>0.0</v>
      </c>
      <c r="U42" s="248">
        <v>0.0</v>
      </c>
      <c r="V42" s="248">
        <v>0.0</v>
      </c>
      <c r="W42" s="248">
        <v>0.0</v>
      </c>
      <c r="Y42" s="249">
        <f t="array" ref="Y42">SUMPRODUCT({C42:H42, K42, J42, I42, L42:O42}, item_vals!$B$3:$N$3)</f>
        <v>33</v>
      </c>
    </row>
    <row r="43" ht="15.75" customHeight="1">
      <c r="A43" s="248">
        <f t="shared" si="1"/>
        <v>17</v>
      </c>
      <c r="B43" s="172"/>
      <c r="C43" s="247">
        <v>0.0</v>
      </c>
      <c r="D43" s="247">
        <v>50.0</v>
      </c>
      <c r="E43" s="247">
        <v>0.0</v>
      </c>
      <c r="F43" s="247">
        <v>0.0</v>
      </c>
      <c r="G43" s="247">
        <v>0.0</v>
      </c>
      <c r="H43" s="247">
        <v>0.0</v>
      </c>
      <c r="I43" s="247">
        <v>0.0</v>
      </c>
      <c r="J43" s="247">
        <v>0.0</v>
      </c>
      <c r="K43" s="247">
        <v>0.0</v>
      </c>
      <c r="L43" s="248">
        <v>0.0</v>
      </c>
      <c r="M43" s="248">
        <v>0.0</v>
      </c>
      <c r="N43" s="248">
        <v>0.0</v>
      </c>
      <c r="O43" s="248">
        <v>0.0</v>
      </c>
      <c r="P43" s="248">
        <v>0.0</v>
      </c>
      <c r="Q43" s="248">
        <v>0.0</v>
      </c>
      <c r="R43" s="248">
        <v>0.0</v>
      </c>
      <c r="S43" s="248">
        <v>0.0</v>
      </c>
      <c r="T43" s="248">
        <v>0.0</v>
      </c>
      <c r="U43" s="248">
        <v>0.0</v>
      </c>
      <c r="V43" s="248">
        <v>0.0</v>
      </c>
      <c r="W43" s="248">
        <v>0.0</v>
      </c>
      <c r="Y43" s="249">
        <f t="array" ref="Y43">SUMPRODUCT({C43:H43, K43, J43, I43, L43:O43}, item_vals!$B$3:$N$3)</f>
        <v>0</v>
      </c>
    </row>
    <row r="44" ht="15.75" customHeight="1">
      <c r="A44" s="248">
        <f t="shared" si="1"/>
        <v>18</v>
      </c>
      <c r="B44" s="172"/>
      <c r="C44" s="247">
        <v>0.0</v>
      </c>
      <c r="D44" s="247">
        <v>40.0</v>
      </c>
      <c r="E44" s="247">
        <v>0.0</v>
      </c>
      <c r="F44" s="247">
        <v>0.0</v>
      </c>
      <c r="G44" s="247">
        <v>0.0</v>
      </c>
      <c r="H44" s="247">
        <v>0.0</v>
      </c>
      <c r="I44" s="247">
        <v>0.0</v>
      </c>
      <c r="J44" s="247">
        <v>0.0</v>
      </c>
      <c r="K44" s="247">
        <v>0.0</v>
      </c>
      <c r="L44" s="248">
        <v>0.0</v>
      </c>
      <c r="M44" s="248">
        <v>0.0</v>
      </c>
      <c r="N44" s="248">
        <v>0.0</v>
      </c>
      <c r="O44" s="248">
        <v>0.0</v>
      </c>
      <c r="P44" s="248">
        <v>0.0</v>
      </c>
      <c r="Q44" s="248">
        <v>0.0</v>
      </c>
      <c r="R44" s="248">
        <v>0.0</v>
      </c>
      <c r="S44" s="248">
        <v>0.0</v>
      </c>
      <c r="T44" s="248">
        <v>0.0</v>
      </c>
      <c r="U44" s="248">
        <v>0.0</v>
      </c>
      <c r="V44" s="248">
        <v>0.0</v>
      </c>
      <c r="W44" s="248">
        <v>0.0</v>
      </c>
      <c r="Y44" s="249">
        <f t="array" ref="Y44">SUMPRODUCT({C44:H44, K44, J44, I44, L44:O44}, item_vals!$B$3:$N$3)</f>
        <v>0</v>
      </c>
    </row>
    <row r="45" ht="15.75" customHeight="1">
      <c r="A45" s="248">
        <f t="shared" si="1"/>
        <v>19</v>
      </c>
      <c r="B45" s="172"/>
      <c r="C45" s="247">
        <v>0.0</v>
      </c>
      <c r="D45" s="247">
        <v>40.0</v>
      </c>
      <c r="E45" s="247">
        <v>0.0</v>
      </c>
      <c r="F45" s="247">
        <v>0.0</v>
      </c>
      <c r="G45" s="247">
        <v>0.0</v>
      </c>
      <c r="H45" s="247">
        <v>0.0</v>
      </c>
      <c r="I45" s="247">
        <v>0.0</v>
      </c>
      <c r="J45" s="247">
        <v>0.0</v>
      </c>
      <c r="K45" s="247">
        <v>0.0</v>
      </c>
      <c r="L45" s="248">
        <v>0.0</v>
      </c>
      <c r="M45" s="248">
        <v>0.0</v>
      </c>
      <c r="N45" s="248">
        <v>0.0</v>
      </c>
      <c r="O45" s="248">
        <v>0.0</v>
      </c>
      <c r="P45" s="248">
        <v>0.0</v>
      </c>
      <c r="Q45" s="248">
        <v>0.0</v>
      </c>
      <c r="R45" s="248">
        <v>0.0</v>
      </c>
      <c r="S45" s="248">
        <v>0.0</v>
      </c>
      <c r="T45" s="248">
        <v>0.0</v>
      </c>
      <c r="U45" s="248">
        <v>0.0</v>
      </c>
      <c r="V45" s="248">
        <v>0.0</v>
      </c>
      <c r="W45" s="248">
        <v>0.0</v>
      </c>
      <c r="Y45" s="249">
        <f t="array" ref="Y45">SUMPRODUCT({C45:H45, K45, J45, I45, L45:O45}, item_vals!$B$3:$N$3)</f>
        <v>0</v>
      </c>
    </row>
    <row r="46" ht="15.75" customHeight="1">
      <c r="A46" s="248">
        <f t="shared" si="1"/>
        <v>20</v>
      </c>
      <c r="B46" s="172"/>
      <c r="C46" s="247">
        <v>0.0</v>
      </c>
      <c r="D46" s="247">
        <v>40.0</v>
      </c>
      <c r="E46" s="247">
        <v>0.0</v>
      </c>
      <c r="F46" s="247">
        <v>0.0</v>
      </c>
      <c r="G46" s="247">
        <v>0.0</v>
      </c>
      <c r="H46" s="247">
        <v>0.0</v>
      </c>
      <c r="I46" s="247">
        <v>0.0</v>
      </c>
      <c r="J46" s="247">
        <v>0.0</v>
      </c>
      <c r="K46" s="247">
        <v>0.0</v>
      </c>
      <c r="L46" s="248">
        <v>0.0</v>
      </c>
      <c r="M46" s="248">
        <v>0.0</v>
      </c>
      <c r="N46" s="248">
        <v>0.0</v>
      </c>
      <c r="O46" s="248">
        <v>0.0</v>
      </c>
      <c r="P46" s="248">
        <v>0.0</v>
      </c>
      <c r="Q46" s="248">
        <v>0.0</v>
      </c>
      <c r="R46" s="248">
        <v>0.0</v>
      </c>
      <c r="S46" s="248">
        <v>0.0</v>
      </c>
      <c r="T46" s="248">
        <v>0.0</v>
      </c>
      <c r="U46" s="248">
        <v>0.0</v>
      </c>
      <c r="V46" s="248">
        <v>0.0</v>
      </c>
      <c r="W46" s="248">
        <v>0.0</v>
      </c>
      <c r="Y46" s="249">
        <f t="array" ref="Y46">SUMPRODUCT({C46:H46, K46, J46, I46, L46:O46}, item_vals!$B$3:$N$3)</f>
        <v>0</v>
      </c>
    </row>
    <row r="47" ht="15.75" customHeight="1">
      <c r="A47" s="248">
        <f t="shared" si="1"/>
        <v>21</v>
      </c>
      <c r="B47" s="172"/>
      <c r="C47" s="247">
        <v>0.0</v>
      </c>
      <c r="D47" s="247">
        <v>40.0</v>
      </c>
      <c r="E47" s="247">
        <v>0.0</v>
      </c>
      <c r="F47" s="247">
        <v>0.0</v>
      </c>
      <c r="G47" s="247">
        <v>0.0</v>
      </c>
      <c r="H47" s="247">
        <v>0.0</v>
      </c>
      <c r="I47" s="247">
        <v>0.0</v>
      </c>
      <c r="J47" s="247">
        <v>0.0</v>
      </c>
      <c r="K47" s="247">
        <v>0.0</v>
      </c>
      <c r="L47" s="248">
        <v>0.0</v>
      </c>
      <c r="M47" s="248">
        <v>0.0</v>
      </c>
      <c r="N47" s="248">
        <v>0.0</v>
      </c>
      <c r="O47" s="248">
        <v>0.0</v>
      </c>
      <c r="P47" s="248">
        <v>0.0</v>
      </c>
      <c r="Q47" s="248">
        <v>0.0</v>
      </c>
      <c r="R47" s="248">
        <v>0.0</v>
      </c>
      <c r="S47" s="248">
        <v>0.0</v>
      </c>
      <c r="T47" s="248">
        <v>0.0</v>
      </c>
      <c r="U47" s="248">
        <v>0.0</v>
      </c>
      <c r="V47" s="248">
        <v>0.0</v>
      </c>
      <c r="W47" s="248">
        <v>0.0</v>
      </c>
      <c r="Y47" s="249">
        <f t="array" ref="Y47">SUMPRODUCT({C47:H47, K47, J47, I47, L47:O47}, item_vals!$B$3:$N$3)</f>
        <v>0</v>
      </c>
    </row>
    <row r="48" ht="15.75" customHeight="1">
      <c r="A48" s="248">
        <f t="shared" si="1"/>
        <v>22</v>
      </c>
      <c r="B48" s="172"/>
      <c r="C48" s="247">
        <v>0.0</v>
      </c>
      <c r="D48" s="247">
        <v>30.0</v>
      </c>
      <c r="E48" s="247">
        <v>0.0</v>
      </c>
      <c r="F48" s="247">
        <v>0.0</v>
      </c>
      <c r="G48" s="247">
        <v>0.0</v>
      </c>
      <c r="H48" s="247">
        <v>0.0</v>
      </c>
      <c r="I48" s="247">
        <v>0.0</v>
      </c>
      <c r="J48" s="247">
        <v>0.0</v>
      </c>
      <c r="K48" s="247">
        <v>0.0</v>
      </c>
      <c r="L48" s="248">
        <v>0.0</v>
      </c>
      <c r="M48" s="248">
        <v>0.0</v>
      </c>
      <c r="N48" s="248">
        <v>0.0</v>
      </c>
      <c r="O48" s="248">
        <v>0.0</v>
      </c>
      <c r="P48" s="248">
        <v>0.0</v>
      </c>
      <c r="Q48" s="248">
        <v>0.0</v>
      </c>
      <c r="R48" s="248">
        <v>0.0</v>
      </c>
      <c r="S48" s="248">
        <v>0.0</v>
      </c>
      <c r="T48" s="248">
        <v>0.0</v>
      </c>
      <c r="U48" s="248">
        <v>0.0</v>
      </c>
      <c r="V48" s="248">
        <v>0.0</v>
      </c>
      <c r="W48" s="248">
        <v>0.0</v>
      </c>
      <c r="Y48" s="249">
        <f t="array" ref="Y48">SUMPRODUCT({C48:H48, K48, J48, I48, L48:O48}, item_vals!$B$3:$N$3)</f>
        <v>0</v>
      </c>
    </row>
    <row r="49" ht="15.75" customHeight="1">
      <c r="A49" s="248">
        <f t="shared" si="1"/>
        <v>23</v>
      </c>
      <c r="B49" s="172"/>
      <c r="C49" s="247">
        <v>0.0</v>
      </c>
      <c r="D49" s="247">
        <v>30.0</v>
      </c>
      <c r="E49" s="247">
        <v>0.0</v>
      </c>
      <c r="F49" s="247">
        <v>0.0</v>
      </c>
      <c r="G49" s="247">
        <v>0.0</v>
      </c>
      <c r="H49" s="247">
        <v>0.0</v>
      </c>
      <c r="I49" s="247">
        <v>0.0</v>
      </c>
      <c r="J49" s="247">
        <v>0.0</v>
      </c>
      <c r="K49" s="247">
        <v>0.0</v>
      </c>
      <c r="L49" s="248">
        <v>0.0</v>
      </c>
      <c r="M49" s="248">
        <v>0.0</v>
      </c>
      <c r="N49" s="248">
        <v>0.0</v>
      </c>
      <c r="O49" s="248">
        <v>0.0</v>
      </c>
      <c r="P49" s="248">
        <v>0.0</v>
      </c>
      <c r="Q49" s="248">
        <v>0.0</v>
      </c>
      <c r="R49" s="248">
        <v>0.0</v>
      </c>
      <c r="S49" s="248">
        <v>0.0</v>
      </c>
      <c r="T49" s="248">
        <v>0.0</v>
      </c>
      <c r="U49" s="248">
        <v>0.0</v>
      </c>
      <c r="V49" s="248">
        <v>0.0</v>
      </c>
      <c r="W49" s="248">
        <v>0.0</v>
      </c>
      <c r="Y49" s="249">
        <f t="array" ref="Y49">SUMPRODUCT({C49:H49, K49, J49, I49, L49:O49}, item_vals!$B$3:$N$3)</f>
        <v>0</v>
      </c>
    </row>
    <row r="50" ht="15.75" customHeight="1">
      <c r="A50" s="248">
        <f t="shared" si="1"/>
        <v>24</v>
      </c>
      <c r="B50" s="172"/>
      <c r="C50" s="247">
        <v>0.0</v>
      </c>
      <c r="D50" s="247">
        <v>20.0</v>
      </c>
      <c r="E50" s="247">
        <v>0.0</v>
      </c>
      <c r="F50" s="247">
        <v>0.0</v>
      </c>
      <c r="G50" s="247">
        <v>0.0</v>
      </c>
      <c r="H50" s="247">
        <v>0.0</v>
      </c>
      <c r="I50" s="247">
        <v>0.0</v>
      </c>
      <c r="J50" s="247">
        <v>0.0</v>
      </c>
      <c r="K50" s="247">
        <v>0.0</v>
      </c>
      <c r="L50" s="248">
        <v>0.0</v>
      </c>
      <c r="M50" s="248">
        <v>0.0</v>
      </c>
      <c r="N50" s="248">
        <v>0.0</v>
      </c>
      <c r="O50" s="248">
        <v>0.0</v>
      </c>
      <c r="P50" s="248">
        <v>0.0</v>
      </c>
      <c r="Q50" s="248">
        <v>0.0</v>
      </c>
      <c r="R50" s="248">
        <v>0.0</v>
      </c>
      <c r="S50" s="248">
        <v>0.0</v>
      </c>
      <c r="T50" s="248">
        <v>0.0</v>
      </c>
      <c r="U50" s="248">
        <v>0.0</v>
      </c>
      <c r="V50" s="248">
        <v>0.0</v>
      </c>
      <c r="W50" s="248">
        <v>0.0</v>
      </c>
      <c r="Y50" s="249">
        <f t="array" ref="Y50">SUMPRODUCT({C50:H50, K50, J50, I50, L50:O50}, item_vals!$B$3:$N$3)</f>
        <v>0</v>
      </c>
    </row>
    <row r="51" ht="15.75" customHeight="1">
      <c r="A51" s="248">
        <f t="shared" si="1"/>
        <v>25</v>
      </c>
      <c r="B51" s="172"/>
      <c r="C51" s="247">
        <v>0.0</v>
      </c>
      <c r="D51" s="247">
        <v>20.0</v>
      </c>
      <c r="E51" s="247">
        <v>0.0</v>
      </c>
      <c r="F51" s="247">
        <v>0.0</v>
      </c>
      <c r="G51" s="247">
        <v>0.0</v>
      </c>
      <c r="H51" s="247">
        <v>0.0</v>
      </c>
      <c r="I51" s="247">
        <v>0.0</v>
      </c>
      <c r="J51" s="247">
        <v>0.0</v>
      </c>
      <c r="K51" s="247">
        <v>0.0</v>
      </c>
      <c r="L51" s="248">
        <v>0.0</v>
      </c>
      <c r="M51" s="248">
        <v>0.0</v>
      </c>
      <c r="N51" s="248">
        <v>0.0</v>
      </c>
      <c r="O51" s="248">
        <v>0.0</v>
      </c>
      <c r="P51" s="248">
        <v>0.0</v>
      </c>
      <c r="Q51" s="248">
        <v>0.0</v>
      </c>
      <c r="R51" s="248">
        <v>0.0</v>
      </c>
      <c r="S51" s="248">
        <v>0.0</v>
      </c>
      <c r="T51" s="248">
        <v>0.0</v>
      </c>
      <c r="U51" s="248">
        <v>0.0</v>
      </c>
      <c r="V51" s="248">
        <v>0.0</v>
      </c>
      <c r="W51" s="248">
        <v>0.0</v>
      </c>
      <c r="Y51" s="249">
        <f t="array" ref="Y51">SUMPRODUCT({C51:H51, K51, J51, I51, L51:O51}, item_vals!$B$3:$N$3)</f>
        <v>0</v>
      </c>
    </row>
    <row r="52" ht="15.75" customHeight="1">
      <c r="A52" s="248">
        <f t="shared" si="1"/>
        <v>26</v>
      </c>
      <c r="B52" s="172"/>
      <c r="C52" s="247">
        <v>0.0</v>
      </c>
      <c r="D52" s="247">
        <v>0.0</v>
      </c>
      <c r="E52" s="247">
        <v>0.0</v>
      </c>
      <c r="F52" s="247">
        <v>0.0</v>
      </c>
      <c r="G52" s="247">
        <v>0.0</v>
      </c>
      <c r="H52" s="247">
        <v>0.0</v>
      </c>
      <c r="I52" s="247">
        <v>0.0</v>
      </c>
      <c r="J52" s="247">
        <v>0.0</v>
      </c>
      <c r="K52" s="247">
        <v>0.0</v>
      </c>
      <c r="L52" s="248">
        <v>0.0</v>
      </c>
      <c r="M52" s="248">
        <v>0.0</v>
      </c>
      <c r="N52" s="248">
        <v>0.0</v>
      </c>
      <c r="O52" s="248">
        <v>0.0</v>
      </c>
      <c r="P52" s="248">
        <v>0.0</v>
      </c>
      <c r="Q52" s="248">
        <v>0.0</v>
      </c>
      <c r="R52" s="248">
        <v>0.0</v>
      </c>
      <c r="S52" s="248">
        <v>0.0</v>
      </c>
      <c r="T52" s="248">
        <v>0.0</v>
      </c>
      <c r="U52" s="248">
        <v>0.0</v>
      </c>
      <c r="V52" s="248">
        <v>0.0</v>
      </c>
      <c r="W52" s="248">
        <v>0.0</v>
      </c>
      <c r="Y52" s="249">
        <f t="array" ref="Y52">SUMPRODUCT({C52:H52, K52, J52, I52, L52:O52}, item_vals!$B$3:$N$3)</f>
        <v>0</v>
      </c>
    </row>
    <row r="53" ht="15.75" customHeight="1">
      <c r="A53" s="248">
        <f t="shared" si="1"/>
        <v>27</v>
      </c>
      <c r="B53" s="172"/>
      <c r="C53" s="248">
        <v>0.0</v>
      </c>
      <c r="D53" s="248">
        <v>0.0</v>
      </c>
      <c r="E53" s="248">
        <v>0.0</v>
      </c>
      <c r="F53" s="248">
        <v>0.0</v>
      </c>
      <c r="G53" s="248">
        <v>0.0</v>
      </c>
      <c r="H53" s="248">
        <v>0.0</v>
      </c>
      <c r="I53" s="248">
        <v>0.0</v>
      </c>
      <c r="J53" s="248">
        <v>0.0</v>
      </c>
      <c r="K53" s="248">
        <v>0.0</v>
      </c>
      <c r="L53" s="248">
        <v>0.0</v>
      </c>
      <c r="M53" s="248">
        <v>0.0</v>
      </c>
      <c r="N53" s="248">
        <v>0.0</v>
      </c>
      <c r="O53" s="248">
        <v>0.0</v>
      </c>
      <c r="P53" s="248">
        <v>0.0</v>
      </c>
      <c r="Q53" s="248">
        <v>0.0</v>
      </c>
      <c r="R53" s="248">
        <v>0.0</v>
      </c>
      <c r="S53" s="248">
        <v>0.0</v>
      </c>
      <c r="T53" s="248">
        <v>0.0</v>
      </c>
      <c r="U53" s="248">
        <v>0.0</v>
      </c>
      <c r="V53" s="248">
        <v>0.0</v>
      </c>
      <c r="W53" s="248">
        <v>0.0</v>
      </c>
      <c r="Y53" s="249">
        <f t="array" ref="Y53">SUMPRODUCT({C53:H53, K53, J53, I53, L53:O53}, item_vals!$B$3:$N$3)</f>
        <v>0</v>
      </c>
    </row>
    <row r="54" ht="15.75" customHeight="1">
      <c r="A54" s="248">
        <f t="shared" si="1"/>
        <v>28</v>
      </c>
      <c r="B54" s="172"/>
      <c r="C54" s="248">
        <v>0.0</v>
      </c>
      <c r="D54" s="248">
        <v>0.0</v>
      </c>
      <c r="E54" s="248">
        <v>0.0</v>
      </c>
      <c r="F54" s="248">
        <v>0.0</v>
      </c>
      <c r="G54" s="248">
        <v>0.0</v>
      </c>
      <c r="H54" s="248">
        <v>0.0</v>
      </c>
      <c r="I54" s="248">
        <v>0.0</v>
      </c>
      <c r="J54" s="248">
        <v>0.0</v>
      </c>
      <c r="K54" s="248">
        <v>0.0</v>
      </c>
      <c r="L54" s="248">
        <v>0.0</v>
      </c>
      <c r="M54" s="248">
        <v>0.0</v>
      </c>
      <c r="N54" s="248">
        <v>0.0</v>
      </c>
      <c r="O54" s="248">
        <v>0.0</v>
      </c>
      <c r="P54" s="248">
        <v>0.0</v>
      </c>
      <c r="Q54" s="248">
        <v>0.0</v>
      </c>
      <c r="R54" s="248">
        <v>0.0</v>
      </c>
      <c r="S54" s="248">
        <v>0.0</v>
      </c>
      <c r="T54" s="248">
        <v>0.0</v>
      </c>
      <c r="U54" s="248">
        <v>0.0</v>
      </c>
      <c r="V54" s="248">
        <v>0.0</v>
      </c>
      <c r="W54" s="248">
        <v>0.0</v>
      </c>
    </row>
    <row r="55" ht="15.75" customHeight="1">
      <c r="A55" s="248">
        <f t="shared" si="1"/>
        <v>29</v>
      </c>
      <c r="B55" s="172"/>
      <c r="C55" s="248">
        <v>0.0</v>
      </c>
      <c r="D55" s="248">
        <v>0.0</v>
      </c>
      <c r="E55" s="248">
        <v>0.0</v>
      </c>
      <c r="F55" s="248">
        <v>0.0</v>
      </c>
      <c r="G55" s="248">
        <v>0.0</v>
      </c>
      <c r="H55" s="248">
        <v>0.0</v>
      </c>
      <c r="I55" s="248">
        <v>0.0</v>
      </c>
      <c r="J55" s="248">
        <v>0.0</v>
      </c>
      <c r="K55" s="248">
        <v>0.0</v>
      </c>
      <c r="L55" s="248">
        <v>0.0</v>
      </c>
      <c r="M55" s="248">
        <v>0.0</v>
      </c>
      <c r="N55" s="248">
        <v>0.0</v>
      </c>
      <c r="O55" s="248">
        <v>0.0</v>
      </c>
      <c r="P55" s="248">
        <v>0.0</v>
      </c>
      <c r="Q55" s="248">
        <v>0.0</v>
      </c>
      <c r="R55" s="248">
        <v>0.0</v>
      </c>
      <c r="S55" s="248">
        <v>0.0</v>
      </c>
      <c r="T55" s="248">
        <v>0.0</v>
      </c>
      <c r="U55" s="248">
        <v>0.0</v>
      </c>
      <c r="V55" s="248">
        <v>0.0</v>
      </c>
      <c r="W55" s="248">
        <v>0.0</v>
      </c>
    </row>
    <row r="56" ht="15.75" customHeight="1">
      <c r="A56" s="248">
        <f t="shared" si="1"/>
        <v>30</v>
      </c>
      <c r="B56" s="172"/>
      <c r="C56" s="248">
        <v>0.0</v>
      </c>
      <c r="D56" s="248">
        <v>0.0</v>
      </c>
      <c r="E56" s="248">
        <v>0.0</v>
      </c>
      <c r="F56" s="248">
        <v>0.0</v>
      </c>
      <c r="G56" s="248">
        <v>0.0</v>
      </c>
      <c r="H56" s="248">
        <v>0.0</v>
      </c>
      <c r="I56" s="248">
        <v>0.0</v>
      </c>
      <c r="J56" s="248">
        <v>0.0</v>
      </c>
      <c r="K56" s="248">
        <v>0.0</v>
      </c>
      <c r="L56" s="248">
        <v>0.0</v>
      </c>
      <c r="M56" s="248">
        <v>0.0</v>
      </c>
      <c r="N56" s="248">
        <v>0.0</v>
      </c>
      <c r="O56" s="248">
        <v>0.0</v>
      </c>
      <c r="P56" s="248">
        <v>0.0</v>
      </c>
      <c r="Q56" s="248">
        <v>0.0</v>
      </c>
      <c r="R56" s="248">
        <v>0.0</v>
      </c>
      <c r="S56" s="248">
        <v>0.0</v>
      </c>
      <c r="T56" s="248">
        <v>0.0</v>
      </c>
      <c r="U56" s="248">
        <v>0.0</v>
      </c>
      <c r="V56" s="248">
        <v>0.0</v>
      </c>
      <c r="W56" s="248">
        <v>0.0</v>
      </c>
    </row>
    <row r="57" ht="15.75" customHeight="1">
      <c r="A57" s="248">
        <f t="shared" si="1"/>
        <v>31</v>
      </c>
      <c r="B57" s="172"/>
      <c r="C57" s="248">
        <v>0.0</v>
      </c>
      <c r="D57" s="248">
        <v>0.0</v>
      </c>
      <c r="E57" s="248">
        <v>0.0</v>
      </c>
      <c r="F57" s="248">
        <v>0.0</v>
      </c>
      <c r="G57" s="248">
        <v>0.0</v>
      </c>
      <c r="H57" s="248">
        <v>0.0</v>
      </c>
      <c r="I57" s="248">
        <v>0.0</v>
      </c>
      <c r="J57" s="248">
        <v>0.0</v>
      </c>
      <c r="K57" s="248">
        <v>0.0</v>
      </c>
      <c r="L57" s="248">
        <v>0.0</v>
      </c>
      <c r="M57" s="248">
        <v>0.0</v>
      </c>
      <c r="N57" s="248">
        <v>0.0</v>
      </c>
      <c r="O57" s="248">
        <v>0.0</v>
      </c>
      <c r="P57" s="248">
        <v>0.0</v>
      </c>
      <c r="Q57" s="248">
        <v>0.0</v>
      </c>
      <c r="R57" s="248">
        <v>0.0</v>
      </c>
      <c r="S57" s="248">
        <v>0.0</v>
      </c>
      <c r="T57" s="248">
        <v>0.0</v>
      </c>
      <c r="U57" s="248">
        <v>0.0</v>
      </c>
      <c r="V57" s="248">
        <v>0.0</v>
      </c>
      <c r="W57" s="248">
        <v>0.0</v>
      </c>
    </row>
    <row r="58" ht="15.75" customHeight="1">
      <c r="A58" s="248">
        <f t="shared" si="1"/>
        <v>32</v>
      </c>
      <c r="B58" s="172"/>
      <c r="C58" s="248">
        <v>0.0</v>
      </c>
      <c r="D58" s="248">
        <v>0.0</v>
      </c>
      <c r="E58" s="248">
        <v>0.0</v>
      </c>
      <c r="F58" s="248">
        <v>0.0</v>
      </c>
      <c r="G58" s="248">
        <v>0.0</v>
      </c>
      <c r="H58" s="248">
        <v>0.0</v>
      </c>
      <c r="I58" s="248">
        <v>0.0</v>
      </c>
      <c r="J58" s="248">
        <v>0.0</v>
      </c>
      <c r="K58" s="248">
        <v>0.0</v>
      </c>
      <c r="L58" s="248">
        <v>0.0</v>
      </c>
      <c r="M58" s="248">
        <v>0.0</v>
      </c>
      <c r="N58" s="248">
        <v>0.0</v>
      </c>
      <c r="O58" s="248">
        <v>0.0</v>
      </c>
      <c r="P58" s="248">
        <v>0.0</v>
      </c>
      <c r="Q58" s="248">
        <v>0.0</v>
      </c>
      <c r="R58" s="248">
        <v>0.0</v>
      </c>
      <c r="S58" s="248">
        <v>0.0</v>
      </c>
      <c r="T58" s="248">
        <v>0.0</v>
      </c>
      <c r="U58" s="248">
        <v>0.0</v>
      </c>
      <c r="V58" s="248">
        <v>0.0</v>
      </c>
      <c r="W58" s="248">
        <v>0.0</v>
      </c>
    </row>
    <row r="59" ht="15.75" customHeight="1">
      <c r="A59" s="248">
        <f t="shared" si="1"/>
        <v>33</v>
      </c>
      <c r="B59" s="172"/>
      <c r="C59" s="248">
        <v>0.0</v>
      </c>
      <c r="D59" s="248">
        <v>0.0</v>
      </c>
      <c r="E59" s="248">
        <v>0.0</v>
      </c>
      <c r="F59" s="248">
        <v>0.0</v>
      </c>
      <c r="G59" s="248">
        <v>0.0</v>
      </c>
      <c r="H59" s="248">
        <v>0.0</v>
      </c>
      <c r="I59" s="248">
        <v>0.0</v>
      </c>
      <c r="J59" s="248">
        <v>0.0</v>
      </c>
      <c r="K59" s="248">
        <v>0.0</v>
      </c>
      <c r="L59" s="248">
        <v>0.0</v>
      </c>
      <c r="M59" s="248">
        <v>0.0</v>
      </c>
      <c r="N59" s="248">
        <v>0.0</v>
      </c>
      <c r="O59" s="248">
        <v>0.0</v>
      </c>
      <c r="P59" s="248">
        <v>0.0</v>
      </c>
      <c r="Q59" s="248">
        <v>0.0</v>
      </c>
      <c r="R59" s="248">
        <v>0.0</v>
      </c>
      <c r="S59" s="248">
        <v>0.0</v>
      </c>
      <c r="T59" s="248">
        <v>0.0</v>
      </c>
      <c r="U59" s="248">
        <v>0.0</v>
      </c>
      <c r="V59" s="248">
        <v>0.0</v>
      </c>
      <c r="W59" s="248">
        <v>0.0</v>
      </c>
    </row>
    <row r="60" ht="15.75" customHeight="1">
      <c r="A60" s="248">
        <f t="shared" si="1"/>
        <v>34</v>
      </c>
      <c r="B60" s="172"/>
      <c r="C60" s="248">
        <v>0.0</v>
      </c>
      <c r="D60" s="248">
        <v>0.0</v>
      </c>
      <c r="E60" s="248">
        <v>0.0</v>
      </c>
      <c r="F60" s="248">
        <v>0.0</v>
      </c>
      <c r="G60" s="248">
        <v>0.0</v>
      </c>
      <c r="H60" s="248">
        <v>0.0</v>
      </c>
      <c r="I60" s="248">
        <v>0.0</v>
      </c>
      <c r="J60" s="248">
        <v>0.0</v>
      </c>
      <c r="K60" s="248">
        <v>0.0</v>
      </c>
      <c r="L60" s="248">
        <v>0.0</v>
      </c>
      <c r="M60" s="248">
        <v>0.0</v>
      </c>
      <c r="N60" s="248">
        <v>0.0</v>
      </c>
      <c r="O60" s="248">
        <v>0.0</v>
      </c>
      <c r="P60" s="248">
        <v>0.0</v>
      </c>
      <c r="Q60" s="248">
        <v>0.0</v>
      </c>
      <c r="R60" s="248">
        <v>0.0</v>
      </c>
      <c r="S60" s="248">
        <v>0.0</v>
      </c>
      <c r="T60" s="248">
        <v>0.0</v>
      </c>
      <c r="U60" s="248">
        <v>0.0</v>
      </c>
      <c r="V60" s="248">
        <v>0.0</v>
      </c>
      <c r="W60" s="248">
        <v>0.0</v>
      </c>
    </row>
    <row r="61" ht="15.75" customHeight="1">
      <c r="A61" s="248">
        <f t="shared" si="1"/>
        <v>35</v>
      </c>
      <c r="B61" s="172"/>
      <c r="C61" s="248">
        <v>0.0</v>
      </c>
      <c r="D61" s="248">
        <v>0.0</v>
      </c>
      <c r="E61" s="248">
        <v>0.0</v>
      </c>
      <c r="F61" s="248">
        <v>0.0</v>
      </c>
      <c r="G61" s="248">
        <v>0.0</v>
      </c>
      <c r="H61" s="248">
        <v>0.0</v>
      </c>
      <c r="I61" s="248">
        <v>0.0</v>
      </c>
      <c r="J61" s="248">
        <v>0.0</v>
      </c>
      <c r="K61" s="248">
        <v>0.0</v>
      </c>
      <c r="L61" s="248">
        <v>0.0</v>
      </c>
      <c r="M61" s="248">
        <v>0.0</v>
      </c>
      <c r="N61" s="248">
        <v>0.0</v>
      </c>
      <c r="O61" s="248">
        <v>0.0</v>
      </c>
      <c r="P61" s="248">
        <v>0.0</v>
      </c>
      <c r="Q61" s="248">
        <v>0.0</v>
      </c>
      <c r="R61" s="248">
        <v>0.0</v>
      </c>
      <c r="S61" s="248">
        <v>0.0</v>
      </c>
      <c r="T61" s="248">
        <v>0.0</v>
      </c>
      <c r="U61" s="248">
        <v>0.0</v>
      </c>
      <c r="V61" s="248">
        <v>0.0</v>
      </c>
      <c r="W61" s="248">
        <v>0.0</v>
      </c>
    </row>
    <row r="62" ht="15.75" customHeight="1">
      <c r="A62" s="248">
        <f t="shared" si="1"/>
        <v>36</v>
      </c>
      <c r="B62" s="172"/>
      <c r="C62" s="248">
        <v>0.0</v>
      </c>
      <c r="D62" s="248">
        <v>0.0</v>
      </c>
      <c r="E62" s="248">
        <v>0.0</v>
      </c>
      <c r="F62" s="248">
        <v>0.0</v>
      </c>
      <c r="G62" s="248">
        <v>0.0</v>
      </c>
      <c r="H62" s="248">
        <v>0.0</v>
      </c>
      <c r="I62" s="248">
        <v>0.0</v>
      </c>
      <c r="J62" s="248">
        <v>0.0</v>
      </c>
      <c r="K62" s="248">
        <v>0.0</v>
      </c>
      <c r="L62" s="248">
        <v>0.0</v>
      </c>
      <c r="M62" s="248">
        <v>0.0</v>
      </c>
      <c r="N62" s="248">
        <v>0.0</v>
      </c>
      <c r="O62" s="248">
        <v>0.0</v>
      </c>
      <c r="P62" s="248">
        <v>0.0</v>
      </c>
      <c r="Q62" s="248">
        <v>0.0</v>
      </c>
      <c r="R62" s="248">
        <v>0.0</v>
      </c>
      <c r="S62" s="248">
        <v>0.0</v>
      </c>
      <c r="T62" s="248">
        <v>0.0</v>
      </c>
      <c r="U62" s="248">
        <v>0.0</v>
      </c>
      <c r="V62" s="248">
        <v>0.0</v>
      </c>
      <c r="W62" s="248">
        <v>0.0</v>
      </c>
    </row>
    <row r="63" ht="15.75" customHeight="1">
      <c r="A63" s="248">
        <f t="shared" si="1"/>
        <v>37</v>
      </c>
      <c r="B63" s="172"/>
      <c r="C63" s="247">
        <v>0.0</v>
      </c>
      <c r="D63" s="247">
        <v>0.0</v>
      </c>
      <c r="E63" s="247">
        <v>0.0</v>
      </c>
      <c r="F63" s="248">
        <v>0.0</v>
      </c>
      <c r="G63" s="248">
        <v>0.0</v>
      </c>
      <c r="H63" s="248">
        <v>0.0</v>
      </c>
      <c r="I63" s="248">
        <v>0.0</v>
      </c>
      <c r="J63" s="248">
        <v>0.0</v>
      </c>
      <c r="K63" s="248">
        <v>0.0</v>
      </c>
      <c r="L63" s="248">
        <v>0.0</v>
      </c>
      <c r="M63" s="248">
        <v>0.0</v>
      </c>
      <c r="N63" s="248">
        <v>0.0</v>
      </c>
      <c r="O63" s="248">
        <v>0.0</v>
      </c>
      <c r="P63" s="248">
        <v>0.0</v>
      </c>
      <c r="Q63" s="248">
        <v>0.0</v>
      </c>
      <c r="R63" s="248">
        <v>0.0</v>
      </c>
      <c r="S63" s="248">
        <v>0.0</v>
      </c>
      <c r="T63" s="248">
        <v>0.0</v>
      </c>
      <c r="U63" s="248">
        <v>0.0</v>
      </c>
      <c r="V63" s="248">
        <v>0.0</v>
      </c>
      <c r="W63" s="248">
        <v>0.0</v>
      </c>
    </row>
    <row r="64" ht="15.75" customHeight="1">
      <c r="A64" s="248">
        <f t="shared" si="1"/>
        <v>38</v>
      </c>
      <c r="B64" s="172"/>
      <c r="C64" s="248">
        <v>0.0</v>
      </c>
      <c r="D64" s="248">
        <v>0.0</v>
      </c>
      <c r="E64" s="248">
        <v>0.0</v>
      </c>
      <c r="F64" s="248">
        <v>0.0</v>
      </c>
      <c r="G64" s="248">
        <v>0.0</v>
      </c>
      <c r="H64" s="248">
        <v>0.0</v>
      </c>
      <c r="I64" s="248">
        <v>0.0</v>
      </c>
      <c r="J64" s="248">
        <v>0.0</v>
      </c>
      <c r="K64" s="248">
        <v>0.0</v>
      </c>
      <c r="L64" s="248">
        <v>0.0</v>
      </c>
      <c r="M64" s="248">
        <v>0.0</v>
      </c>
      <c r="N64" s="248">
        <v>0.0</v>
      </c>
      <c r="O64" s="248">
        <v>0.0</v>
      </c>
      <c r="P64" s="248">
        <v>0.0</v>
      </c>
      <c r="Q64" s="248">
        <v>0.0</v>
      </c>
      <c r="R64" s="248">
        <v>0.0</v>
      </c>
      <c r="S64" s="248">
        <v>0.0</v>
      </c>
      <c r="T64" s="248">
        <v>0.0</v>
      </c>
      <c r="U64" s="248">
        <v>0.0</v>
      </c>
      <c r="V64" s="248">
        <v>0.0</v>
      </c>
      <c r="W64" s="248">
        <v>0.0</v>
      </c>
    </row>
    <row r="65" ht="15.75" customHeight="1">
      <c r="A65" s="248">
        <f t="shared" si="1"/>
        <v>39</v>
      </c>
      <c r="B65" s="172"/>
      <c r="C65" s="248">
        <v>0.0</v>
      </c>
      <c r="D65" s="248">
        <v>0.0</v>
      </c>
      <c r="E65" s="248">
        <v>0.0</v>
      </c>
      <c r="F65" s="248">
        <v>0.0</v>
      </c>
      <c r="G65" s="248">
        <v>0.0</v>
      </c>
      <c r="H65" s="248">
        <v>0.0</v>
      </c>
      <c r="I65" s="248">
        <v>0.0</v>
      </c>
      <c r="J65" s="248">
        <v>0.0</v>
      </c>
      <c r="K65" s="248">
        <v>0.0</v>
      </c>
      <c r="L65" s="248">
        <v>0.0</v>
      </c>
      <c r="M65" s="248">
        <v>0.0</v>
      </c>
      <c r="N65" s="248">
        <v>0.0</v>
      </c>
      <c r="O65" s="248">
        <v>0.0</v>
      </c>
      <c r="P65" s="248">
        <v>0.0</v>
      </c>
      <c r="Q65" s="248">
        <v>0.0</v>
      </c>
      <c r="R65" s="248">
        <v>0.0</v>
      </c>
      <c r="S65" s="248">
        <v>0.0</v>
      </c>
      <c r="T65" s="248">
        <v>0.0</v>
      </c>
      <c r="U65" s="248">
        <v>0.0</v>
      </c>
      <c r="V65" s="248">
        <v>0.0</v>
      </c>
      <c r="W65" s="248">
        <v>0.0</v>
      </c>
    </row>
    <row r="66" ht="15.75" customHeight="1">
      <c r="A66" s="248">
        <f t="shared" si="1"/>
        <v>40</v>
      </c>
      <c r="B66" s="172"/>
      <c r="C66" s="248">
        <v>0.0</v>
      </c>
      <c r="D66" s="248">
        <v>0.0</v>
      </c>
      <c r="E66" s="248">
        <v>0.0</v>
      </c>
      <c r="F66" s="248">
        <v>0.0</v>
      </c>
      <c r="G66" s="248">
        <v>0.0</v>
      </c>
      <c r="H66" s="248">
        <v>0.0</v>
      </c>
      <c r="I66" s="248">
        <v>0.0</v>
      </c>
      <c r="J66" s="248">
        <v>0.0</v>
      </c>
      <c r="K66" s="248">
        <v>0.0</v>
      </c>
      <c r="L66" s="248">
        <v>0.0</v>
      </c>
      <c r="M66" s="248">
        <v>0.0</v>
      </c>
      <c r="N66" s="248">
        <v>0.0</v>
      </c>
      <c r="O66" s="248">
        <v>0.0</v>
      </c>
      <c r="P66" s="248">
        <v>0.0</v>
      </c>
      <c r="Q66" s="248">
        <v>0.0</v>
      </c>
      <c r="R66" s="248">
        <v>0.0</v>
      </c>
      <c r="S66" s="248">
        <v>0.0</v>
      </c>
      <c r="T66" s="248">
        <v>0.0</v>
      </c>
      <c r="U66" s="248">
        <v>0.0</v>
      </c>
      <c r="V66" s="248">
        <v>0.0</v>
      </c>
      <c r="W66" s="248">
        <v>0.0</v>
      </c>
    </row>
    <row r="67" ht="15.75" customHeight="1">
      <c r="A67" s="248">
        <f t="shared" si="1"/>
        <v>41</v>
      </c>
      <c r="B67" s="172"/>
      <c r="C67" s="248">
        <v>0.0</v>
      </c>
      <c r="D67" s="248">
        <v>0.0</v>
      </c>
      <c r="E67" s="248">
        <v>0.0</v>
      </c>
      <c r="F67" s="248">
        <v>0.0</v>
      </c>
      <c r="G67" s="248">
        <v>0.0</v>
      </c>
      <c r="H67" s="248">
        <v>0.0</v>
      </c>
      <c r="I67" s="248">
        <v>0.0</v>
      </c>
      <c r="J67" s="248">
        <v>0.0</v>
      </c>
      <c r="K67" s="248">
        <v>0.0</v>
      </c>
      <c r="L67" s="248">
        <v>0.0</v>
      </c>
      <c r="M67" s="248">
        <v>0.0</v>
      </c>
      <c r="N67" s="248">
        <v>0.0</v>
      </c>
      <c r="O67" s="248">
        <v>0.0</v>
      </c>
      <c r="P67" s="248">
        <v>0.0</v>
      </c>
      <c r="Q67" s="248">
        <v>0.0</v>
      </c>
      <c r="R67" s="248">
        <v>0.0</v>
      </c>
      <c r="S67" s="248">
        <v>0.0</v>
      </c>
      <c r="T67" s="248">
        <v>0.0</v>
      </c>
      <c r="U67" s="248">
        <v>0.0</v>
      </c>
      <c r="V67" s="248">
        <v>0.0</v>
      </c>
      <c r="W67" s="248">
        <v>0.0</v>
      </c>
    </row>
    <row r="68" ht="15.75" customHeight="1">
      <c r="A68" s="248">
        <f t="shared" si="1"/>
        <v>42</v>
      </c>
      <c r="B68" s="172"/>
      <c r="C68" s="248">
        <v>0.0</v>
      </c>
      <c r="D68" s="248">
        <v>0.0</v>
      </c>
      <c r="E68" s="248">
        <v>0.0</v>
      </c>
      <c r="F68" s="248">
        <v>0.0</v>
      </c>
      <c r="G68" s="248">
        <v>0.0</v>
      </c>
      <c r="H68" s="248">
        <v>0.0</v>
      </c>
      <c r="I68" s="248">
        <v>0.0</v>
      </c>
      <c r="J68" s="248">
        <v>0.0</v>
      </c>
      <c r="K68" s="248">
        <v>0.0</v>
      </c>
      <c r="L68" s="248">
        <v>0.0</v>
      </c>
      <c r="M68" s="248">
        <v>0.0</v>
      </c>
      <c r="N68" s="248">
        <v>0.0</v>
      </c>
      <c r="O68" s="248">
        <v>0.0</v>
      </c>
      <c r="P68" s="248">
        <v>0.0</v>
      </c>
      <c r="Q68" s="248">
        <v>0.0</v>
      </c>
      <c r="R68" s="248">
        <v>0.0</v>
      </c>
      <c r="S68" s="248">
        <v>0.0</v>
      </c>
      <c r="T68" s="248">
        <v>0.0</v>
      </c>
      <c r="U68" s="248">
        <v>0.0</v>
      </c>
      <c r="V68" s="248">
        <v>0.0</v>
      </c>
      <c r="W68" s="248">
        <v>0.0</v>
      </c>
    </row>
    <row r="69" ht="15.75" customHeight="1">
      <c r="A69" s="248">
        <f t="shared" si="1"/>
        <v>43</v>
      </c>
      <c r="B69" s="172"/>
      <c r="C69" s="248">
        <v>0.0</v>
      </c>
      <c r="D69" s="248">
        <v>0.0</v>
      </c>
      <c r="E69" s="248">
        <v>0.0</v>
      </c>
      <c r="F69" s="248">
        <v>0.0</v>
      </c>
      <c r="G69" s="248">
        <v>0.0</v>
      </c>
      <c r="H69" s="248">
        <v>0.0</v>
      </c>
      <c r="I69" s="248">
        <v>0.0</v>
      </c>
      <c r="J69" s="248">
        <v>0.0</v>
      </c>
      <c r="K69" s="248">
        <v>0.0</v>
      </c>
      <c r="L69" s="248">
        <v>0.0</v>
      </c>
      <c r="M69" s="248">
        <v>0.0</v>
      </c>
      <c r="N69" s="248">
        <v>0.0</v>
      </c>
      <c r="O69" s="248">
        <v>0.0</v>
      </c>
      <c r="P69" s="248">
        <v>0.0</v>
      </c>
      <c r="Q69" s="248">
        <v>0.0</v>
      </c>
      <c r="R69" s="248">
        <v>0.0</v>
      </c>
      <c r="S69" s="248">
        <v>0.0</v>
      </c>
      <c r="T69" s="248">
        <v>0.0</v>
      </c>
      <c r="U69" s="248">
        <v>0.0</v>
      </c>
      <c r="V69" s="248">
        <v>0.0</v>
      </c>
      <c r="W69" s="248">
        <v>0.0</v>
      </c>
    </row>
    <row r="70" ht="15.75" customHeight="1">
      <c r="A70" s="248">
        <f t="shared" si="1"/>
        <v>44</v>
      </c>
      <c r="B70" s="172"/>
      <c r="C70" s="248">
        <v>0.0</v>
      </c>
      <c r="D70" s="248">
        <v>0.0</v>
      </c>
      <c r="E70" s="248">
        <v>0.0</v>
      </c>
      <c r="F70" s="248">
        <v>0.0</v>
      </c>
      <c r="G70" s="248">
        <v>0.0</v>
      </c>
      <c r="H70" s="248">
        <v>0.0</v>
      </c>
      <c r="I70" s="248">
        <v>0.0</v>
      </c>
      <c r="J70" s="248">
        <v>0.0</v>
      </c>
      <c r="K70" s="248">
        <v>0.0</v>
      </c>
      <c r="L70" s="248">
        <v>0.0</v>
      </c>
      <c r="M70" s="248">
        <v>0.0</v>
      </c>
      <c r="N70" s="248">
        <v>0.0</v>
      </c>
      <c r="O70" s="248">
        <v>0.0</v>
      </c>
      <c r="P70" s="248">
        <v>0.0</v>
      </c>
      <c r="Q70" s="248">
        <v>0.0</v>
      </c>
      <c r="R70" s="248">
        <v>0.0</v>
      </c>
      <c r="S70" s="248">
        <v>0.0</v>
      </c>
      <c r="T70" s="248">
        <v>0.0</v>
      </c>
      <c r="U70" s="248">
        <v>0.0</v>
      </c>
      <c r="V70" s="248">
        <v>0.0</v>
      </c>
      <c r="W70" s="248">
        <v>0.0</v>
      </c>
    </row>
    <row r="71" ht="15.75" customHeight="1">
      <c r="A71" s="248">
        <f t="shared" si="1"/>
        <v>45</v>
      </c>
      <c r="B71" s="172"/>
      <c r="C71" s="248">
        <v>0.0</v>
      </c>
      <c r="D71" s="248">
        <v>0.0</v>
      </c>
      <c r="E71" s="248">
        <v>0.0</v>
      </c>
      <c r="F71" s="248">
        <v>0.0</v>
      </c>
      <c r="G71" s="248">
        <v>0.0</v>
      </c>
      <c r="H71" s="248">
        <v>0.0</v>
      </c>
      <c r="I71" s="248">
        <v>0.0</v>
      </c>
      <c r="J71" s="248">
        <v>0.0</v>
      </c>
      <c r="K71" s="248">
        <v>0.0</v>
      </c>
      <c r="L71" s="248">
        <v>0.0</v>
      </c>
      <c r="M71" s="248">
        <v>0.0</v>
      </c>
      <c r="N71" s="248">
        <v>0.0</v>
      </c>
      <c r="O71" s="248">
        <v>0.0</v>
      </c>
      <c r="P71" s="248">
        <v>0.0</v>
      </c>
      <c r="Q71" s="248">
        <v>0.0</v>
      </c>
      <c r="R71" s="248">
        <v>0.0</v>
      </c>
      <c r="S71" s="248">
        <v>0.0</v>
      </c>
      <c r="T71" s="248">
        <v>0.0</v>
      </c>
      <c r="U71" s="248">
        <v>0.0</v>
      </c>
      <c r="V71" s="248">
        <v>0.0</v>
      </c>
      <c r="W71" s="248">
        <v>0.0</v>
      </c>
    </row>
    <row r="72" ht="15.75" customHeight="1">
      <c r="A72" s="248">
        <f t="shared" si="1"/>
        <v>46</v>
      </c>
      <c r="B72" s="172"/>
      <c r="C72" s="248">
        <v>0.0</v>
      </c>
      <c r="D72" s="248">
        <v>0.0</v>
      </c>
      <c r="E72" s="248">
        <v>0.0</v>
      </c>
      <c r="F72" s="248">
        <v>0.0</v>
      </c>
      <c r="G72" s="248">
        <v>0.0</v>
      </c>
      <c r="H72" s="248">
        <v>0.0</v>
      </c>
      <c r="I72" s="248">
        <v>0.0</v>
      </c>
      <c r="J72" s="248">
        <v>0.0</v>
      </c>
      <c r="K72" s="248">
        <v>0.0</v>
      </c>
      <c r="L72" s="248">
        <v>0.0</v>
      </c>
      <c r="M72" s="248">
        <v>0.0</v>
      </c>
      <c r="N72" s="248">
        <v>0.0</v>
      </c>
      <c r="O72" s="248">
        <v>0.0</v>
      </c>
      <c r="P72" s="248">
        <v>0.0</v>
      </c>
      <c r="Q72" s="248">
        <v>0.0</v>
      </c>
      <c r="R72" s="248">
        <v>0.0</v>
      </c>
      <c r="S72" s="248">
        <v>0.0</v>
      </c>
      <c r="T72" s="248">
        <v>0.0</v>
      </c>
      <c r="U72" s="248">
        <v>0.0</v>
      </c>
      <c r="V72" s="248">
        <v>0.0</v>
      </c>
      <c r="W72" s="248">
        <v>0.0</v>
      </c>
    </row>
    <row r="73" ht="15.75" customHeight="1">
      <c r="A73" s="248">
        <f t="shared" si="1"/>
        <v>47</v>
      </c>
      <c r="B73" s="172"/>
      <c r="C73" s="248">
        <v>0.0</v>
      </c>
      <c r="D73" s="248">
        <v>0.0</v>
      </c>
      <c r="E73" s="248">
        <v>0.0</v>
      </c>
      <c r="F73" s="248">
        <v>0.0</v>
      </c>
      <c r="G73" s="248">
        <v>0.0</v>
      </c>
      <c r="H73" s="248">
        <v>0.0</v>
      </c>
      <c r="I73" s="248">
        <v>0.0</v>
      </c>
      <c r="J73" s="248">
        <v>0.0</v>
      </c>
      <c r="K73" s="248">
        <v>0.0</v>
      </c>
      <c r="L73" s="248">
        <v>0.0</v>
      </c>
      <c r="M73" s="248">
        <v>0.0</v>
      </c>
      <c r="N73" s="248">
        <v>0.0</v>
      </c>
      <c r="O73" s="248">
        <v>0.0</v>
      </c>
      <c r="P73" s="248">
        <v>0.0</v>
      </c>
      <c r="Q73" s="248">
        <v>0.0</v>
      </c>
      <c r="R73" s="248">
        <v>0.0</v>
      </c>
      <c r="S73" s="248">
        <v>0.0</v>
      </c>
      <c r="T73" s="248">
        <v>0.0</v>
      </c>
      <c r="U73" s="248">
        <v>0.0</v>
      </c>
      <c r="V73" s="248">
        <v>0.0</v>
      </c>
      <c r="W73" s="248">
        <v>0.0</v>
      </c>
    </row>
    <row r="74" ht="15.75" customHeight="1">
      <c r="A74" s="248">
        <f t="shared" si="1"/>
        <v>48</v>
      </c>
      <c r="B74" s="172"/>
      <c r="C74" s="248">
        <v>0.0</v>
      </c>
      <c r="D74" s="248">
        <v>0.0</v>
      </c>
      <c r="E74" s="248">
        <v>0.0</v>
      </c>
      <c r="F74" s="248">
        <v>0.0</v>
      </c>
      <c r="G74" s="248">
        <v>0.0</v>
      </c>
      <c r="H74" s="248">
        <v>0.0</v>
      </c>
      <c r="I74" s="248">
        <v>0.0</v>
      </c>
      <c r="J74" s="248">
        <v>0.0</v>
      </c>
      <c r="K74" s="248">
        <v>0.0</v>
      </c>
      <c r="L74" s="248">
        <v>0.0</v>
      </c>
      <c r="M74" s="248">
        <v>0.0</v>
      </c>
      <c r="N74" s="248">
        <v>0.0</v>
      </c>
      <c r="O74" s="248">
        <v>0.0</v>
      </c>
      <c r="P74" s="248">
        <v>0.0</v>
      </c>
      <c r="Q74" s="248">
        <v>0.0</v>
      </c>
      <c r="R74" s="248">
        <v>0.0</v>
      </c>
      <c r="S74" s="248">
        <v>0.0</v>
      </c>
      <c r="T74" s="248">
        <v>0.0</v>
      </c>
      <c r="U74" s="248">
        <v>0.0</v>
      </c>
      <c r="V74" s="248">
        <v>0.0</v>
      </c>
      <c r="W74" s="248">
        <v>0.0</v>
      </c>
    </row>
    <row r="75" ht="15.75" customHeight="1">
      <c r="A75" s="248">
        <f t="shared" si="1"/>
        <v>49</v>
      </c>
      <c r="B75" s="172"/>
      <c r="C75" s="248">
        <v>0.0</v>
      </c>
      <c r="D75" s="248">
        <v>0.0</v>
      </c>
      <c r="E75" s="248">
        <v>0.0</v>
      </c>
      <c r="F75" s="248">
        <v>0.0</v>
      </c>
      <c r="G75" s="248">
        <v>0.0</v>
      </c>
      <c r="H75" s="248">
        <v>0.0</v>
      </c>
      <c r="I75" s="248">
        <v>0.0</v>
      </c>
      <c r="J75" s="248">
        <v>0.0</v>
      </c>
      <c r="K75" s="248">
        <v>0.0</v>
      </c>
      <c r="L75" s="248">
        <v>0.0</v>
      </c>
      <c r="M75" s="248">
        <v>0.0</v>
      </c>
      <c r="N75" s="248">
        <v>0.0</v>
      </c>
      <c r="O75" s="248">
        <v>0.0</v>
      </c>
      <c r="P75" s="248">
        <v>0.0</v>
      </c>
      <c r="Q75" s="248">
        <v>0.0</v>
      </c>
      <c r="R75" s="248">
        <v>0.0</v>
      </c>
      <c r="S75" s="248">
        <v>0.0</v>
      </c>
      <c r="T75" s="248">
        <v>0.0</v>
      </c>
      <c r="U75" s="248">
        <v>0.0</v>
      </c>
      <c r="V75" s="248">
        <v>0.0</v>
      </c>
      <c r="W75" s="248">
        <v>0.0</v>
      </c>
    </row>
    <row r="76" ht="15.75" customHeight="1">
      <c r="A76" s="248">
        <f t="shared" si="1"/>
        <v>50</v>
      </c>
      <c r="B76" s="172"/>
      <c r="C76" s="248">
        <v>0.0</v>
      </c>
      <c r="D76" s="248">
        <v>0.0</v>
      </c>
      <c r="E76" s="248">
        <v>0.0</v>
      </c>
      <c r="F76" s="248">
        <v>0.0</v>
      </c>
      <c r="G76" s="248">
        <v>0.0</v>
      </c>
      <c r="H76" s="248">
        <v>0.0</v>
      </c>
      <c r="I76" s="248">
        <v>0.0</v>
      </c>
      <c r="J76" s="248">
        <v>0.0</v>
      </c>
      <c r="K76" s="248">
        <v>0.0</v>
      </c>
      <c r="L76" s="248">
        <v>0.0</v>
      </c>
      <c r="M76" s="248">
        <v>0.0</v>
      </c>
      <c r="N76" s="248">
        <v>0.0</v>
      </c>
      <c r="O76" s="248">
        <v>0.0</v>
      </c>
      <c r="P76" s="248">
        <v>0.0</v>
      </c>
      <c r="Q76" s="248">
        <v>0.0</v>
      </c>
      <c r="R76" s="248">
        <v>0.0</v>
      </c>
      <c r="S76" s="248">
        <v>0.0</v>
      </c>
      <c r="T76" s="248">
        <v>0.0</v>
      </c>
      <c r="U76" s="248">
        <v>0.0</v>
      </c>
      <c r="V76" s="248">
        <v>0.0</v>
      </c>
      <c r="W76" s="248">
        <v>0.0</v>
      </c>
    </row>
    <row r="77" ht="15.75" customHeight="1">
      <c r="A77" s="248">
        <f t="shared" si="1"/>
        <v>51</v>
      </c>
      <c r="B77" s="172"/>
      <c r="C77" s="248">
        <v>0.0</v>
      </c>
      <c r="D77" s="248">
        <v>0.0</v>
      </c>
      <c r="E77" s="248">
        <v>0.0</v>
      </c>
      <c r="F77" s="248">
        <v>0.0</v>
      </c>
      <c r="G77" s="248">
        <v>0.0</v>
      </c>
      <c r="H77" s="248">
        <v>0.0</v>
      </c>
      <c r="I77" s="248">
        <v>0.0</v>
      </c>
      <c r="J77" s="248">
        <v>0.0</v>
      </c>
      <c r="K77" s="248">
        <v>0.0</v>
      </c>
      <c r="L77" s="248">
        <v>0.0</v>
      </c>
      <c r="M77" s="248">
        <v>0.0</v>
      </c>
      <c r="N77" s="248">
        <v>0.0</v>
      </c>
      <c r="O77" s="248">
        <v>0.0</v>
      </c>
      <c r="P77" s="248">
        <v>0.0</v>
      </c>
      <c r="Q77" s="248">
        <v>0.0</v>
      </c>
      <c r="R77" s="248">
        <v>0.0</v>
      </c>
      <c r="S77" s="248">
        <v>0.0</v>
      </c>
      <c r="T77" s="248">
        <v>0.0</v>
      </c>
      <c r="U77" s="248">
        <v>0.0</v>
      </c>
      <c r="V77" s="248">
        <v>0.0</v>
      </c>
      <c r="W77" s="248">
        <v>0.0</v>
      </c>
    </row>
    <row r="78" ht="15.75" customHeight="1">
      <c r="A78" s="248">
        <f t="shared" si="1"/>
        <v>52</v>
      </c>
      <c r="B78" s="172"/>
      <c r="C78" s="248">
        <v>0.0</v>
      </c>
      <c r="D78" s="248">
        <v>0.0</v>
      </c>
      <c r="E78" s="248">
        <v>0.0</v>
      </c>
      <c r="F78" s="248">
        <v>0.0</v>
      </c>
      <c r="G78" s="248">
        <v>0.0</v>
      </c>
      <c r="H78" s="248">
        <v>0.0</v>
      </c>
      <c r="I78" s="248">
        <v>0.0</v>
      </c>
      <c r="J78" s="248">
        <v>0.0</v>
      </c>
      <c r="K78" s="248">
        <v>0.0</v>
      </c>
      <c r="L78" s="248">
        <v>0.0</v>
      </c>
      <c r="M78" s="248">
        <v>0.0</v>
      </c>
      <c r="N78" s="248">
        <v>0.0</v>
      </c>
      <c r="O78" s="248">
        <v>0.0</v>
      </c>
      <c r="P78" s="248">
        <v>0.0</v>
      </c>
      <c r="Q78" s="248">
        <v>0.0</v>
      </c>
      <c r="R78" s="248">
        <v>0.0</v>
      </c>
      <c r="S78" s="248">
        <v>0.0</v>
      </c>
      <c r="T78" s="248">
        <v>0.0</v>
      </c>
      <c r="U78" s="248">
        <v>0.0</v>
      </c>
      <c r="V78" s="248">
        <v>0.0</v>
      </c>
      <c r="W78" s="248">
        <v>0.0</v>
      </c>
    </row>
    <row r="79" ht="15.75" customHeight="1">
      <c r="A79" s="248">
        <f t="shared" si="1"/>
        <v>53</v>
      </c>
      <c r="B79" s="172"/>
      <c r="C79" s="248">
        <v>0.0</v>
      </c>
      <c r="D79" s="248">
        <v>0.0</v>
      </c>
      <c r="E79" s="248">
        <v>0.0</v>
      </c>
      <c r="F79" s="248">
        <v>0.0</v>
      </c>
      <c r="G79" s="248">
        <v>0.0</v>
      </c>
      <c r="H79" s="248">
        <v>0.0</v>
      </c>
      <c r="I79" s="248">
        <v>0.0</v>
      </c>
      <c r="J79" s="248">
        <v>0.0</v>
      </c>
      <c r="K79" s="248">
        <v>0.0</v>
      </c>
      <c r="L79" s="248">
        <v>0.0</v>
      </c>
      <c r="M79" s="248">
        <v>0.0</v>
      </c>
      <c r="N79" s="248">
        <v>0.0</v>
      </c>
      <c r="O79" s="248">
        <v>0.0</v>
      </c>
      <c r="P79" s="248">
        <v>0.0</v>
      </c>
      <c r="Q79" s="248">
        <v>0.0</v>
      </c>
      <c r="R79" s="248">
        <v>0.0</v>
      </c>
      <c r="S79" s="248">
        <v>0.0</v>
      </c>
      <c r="T79" s="248">
        <v>0.0</v>
      </c>
      <c r="U79" s="248">
        <v>0.0</v>
      </c>
      <c r="V79" s="248">
        <v>0.0</v>
      </c>
      <c r="W79" s="248">
        <v>0.0</v>
      </c>
    </row>
    <row r="80" ht="15.75" customHeight="1">
      <c r="A80" s="248">
        <f t="shared" si="1"/>
        <v>54</v>
      </c>
      <c r="B80" s="172"/>
      <c r="C80" s="248">
        <v>0.0</v>
      </c>
      <c r="D80" s="248">
        <v>0.0</v>
      </c>
      <c r="E80" s="248">
        <v>0.0</v>
      </c>
      <c r="F80" s="248">
        <v>0.0</v>
      </c>
      <c r="G80" s="248">
        <v>0.0</v>
      </c>
      <c r="H80" s="248">
        <v>0.0</v>
      </c>
      <c r="I80" s="248">
        <v>0.0</v>
      </c>
      <c r="J80" s="248">
        <v>0.0</v>
      </c>
      <c r="K80" s="248">
        <v>0.0</v>
      </c>
      <c r="L80" s="248">
        <v>0.0</v>
      </c>
      <c r="M80" s="248">
        <v>0.0</v>
      </c>
      <c r="N80" s="248">
        <v>0.0</v>
      </c>
      <c r="O80" s="248">
        <v>0.0</v>
      </c>
      <c r="P80" s="248">
        <v>0.0</v>
      </c>
      <c r="Q80" s="248">
        <v>0.0</v>
      </c>
      <c r="R80" s="248">
        <v>0.0</v>
      </c>
      <c r="S80" s="248">
        <v>0.0</v>
      </c>
      <c r="T80" s="248">
        <v>0.0</v>
      </c>
      <c r="U80" s="248">
        <v>0.0</v>
      </c>
      <c r="V80" s="248">
        <v>0.0</v>
      </c>
      <c r="W80" s="248">
        <v>0.0</v>
      </c>
    </row>
    <row r="81" ht="15.75" customHeight="1">
      <c r="A81" s="248">
        <f t="shared" si="1"/>
        <v>55</v>
      </c>
      <c r="B81" s="172"/>
      <c r="C81" s="248">
        <v>0.0</v>
      </c>
      <c r="D81" s="248">
        <v>0.0</v>
      </c>
      <c r="E81" s="248">
        <v>0.0</v>
      </c>
      <c r="F81" s="248">
        <v>0.0</v>
      </c>
      <c r="G81" s="248">
        <v>0.0</v>
      </c>
      <c r="H81" s="248">
        <v>0.0</v>
      </c>
      <c r="I81" s="248">
        <v>0.0</v>
      </c>
      <c r="J81" s="248">
        <v>0.0</v>
      </c>
      <c r="K81" s="248">
        <v>0.0</v>
      </c>
      <c r="L81" s="248">
        <v>0.0</v>
      </c>
      <c r="M81" s="248">
        <v>0.0</v>
      </c>
      <c r="N81" s="248">
        <v>0.0</v>
      </c>
      <c r="O81" s="248">
        <v>0.0</v>
      </c>
      <c r="P81" s="248">
        <v>0.0</v>
      </c>
      <c r="Q81" s="248">
        <v>0.0</v>
      </c>
      <c r="R81" s="248">
        <v>0.0</v>
      </c>
      <c r="S81" s="248">
        <v>0.0</v>
      </c>
      <c r="T81" s="248">
        <v>0.0</v>
      </c>
      <c r="U81" s="248">
        <v>0.0</v>
      </c>
      <c r="V81" s="248">
        <v>0.0</v>
      </c>
      <c r="W81" s="248">
        <v>0.0</v>
      </c>
    </row>
    <row r="82" ht="15.75" customHeight="1">
      <c r="A82" s="248">
        <f t="shared" si="1"/>
        <v>56</v>
      </c>
      <c r="B82" s="172"/>
      <c r="C82" s="248">
        <v>0.0</v>
      </c>
      <c r="D82" s="248">
        <v>0.0</v>
      </c>
      <c r="E82" s="248">
        <v>0.0</v>
      </c>
      <c r="F82" s="248">
        <v>0.0</v>
      </c>
      <c r="G82" s="248">
        <v>0.0</v>
      </c>
      <c r="H82" s="248">
        <v>0.0</v>
      </c>
      <c r="I82" s="248">
        <v>0.0</v>
      </c>
      <c r="J82" s="248">
        <v>0.0</v>
      </c>
      <c r="K82" s="248">
        <v>0.0</v>
      </c>
      <c r="L82" s="248">
        <v>0.0</v>
      </c>
      <c r="M82" s="248">
        <v>0.0</v>
      </c>
      <c r="N82" s="248">
        <v>0.0</v>
      </c>
      <c r="O82" s="248">
        <v>0.0</v>
      </c>
      <c r="P82" s="248">
        <v>0.0</v>
      </c>
      <c r="Q82" s="248">
        <v>0.0</v>
      </c>
      <c r="R82" s="248">
        <v>0.0</v>
      </c>
      <c r="S82" s="248">
        <v>0.0</v>
      </c>
      <c r="T82" s="248">
        <v>0.0</v>
      </c>
      <c r="U82" s="248">
        <v>0.0</v>
      </c>
      <c r="V82" s="248">
        <v>0.0</v>
      </c>
      <c r="W82" s="248">
        <v>0.0</v>
      </c>
    </row>
    <row r="83" ht="15.75" customHeight="1">
      <c r="A83" s="248">
        <f t="shared" si="1"/>
        <v>57</v>
      </c>
      <c r="B83" s="172"/>
      <c r="C83" s="248">
        <v>0.0</v>
      </c>
      <c r="D83" s="248">
        <v>0.0</v>
      </c>
      <c r="E83" s="248">
        <v>0.0</v>
      </c>
      <c r="F83" s="248">
        <v>0.0</v>
      </c>
      <c r="G83" s="248">
        <v>0.0</v>
      </c>
      <c r="H83" s="248">
        <v>0.0</v>
      </c>
      <c r="I83" s="248">
        <v>0.0</v>
      </c>
      <c r="J83" s="248">
        <v>0.0</v>
      </c>
      <c r="K83" s="247">
        <v>0.0</v>
      </c>
      <c r="L83" s="247">
        <v>0.0</v>
      </c>
      <c r="M83" s="247">
        <v>0.0</v>
      </c>
      <c r="N83" s="247">
        <v>0.0</v>
      </c>
      <c r="O83" s="247">
        <v>0.0</v>
      </c>
      <c r="P83" s="248">
        <v>0.0</v>
      </c>
      <c r="Q83" s="248">
        <v>0.0</v>
      </c>
      <c r="R83" s="248">
        <v>0.0</v>
      </c>
      <c r="S83" s="248">
        <v>0.0</v>
      </c>
      <c r="T83" s="248">
        <v>0.0</v>
      </c>
      <c r="U83" s="248">
        <v>0.0</v>
      </c>
      <c r="V83" s="248">
        <v>0.0</v>
      </c>
      <c r="W83" s="248">
        <v>0.0</v>
      </c>
    </row>
    <row r="84" ht="15.75" customHeight="1">
      <c r="A84" s="248">
        <f t="shared" si="1"/>
        <v>58</v>
      </c>
      <c r="B84" s="172"/>
      <c r="C84" s="248">
        <v>0.0</v>
      </c>
      <c r="D84" s="248">
        <v>0.0</v>
      </c>
      <c r="E84" s="248">
        <v>0.0</v>
      </c>
      <c r="F84" s="248">
        <v>0.0</v>
      </c>
      <c r="G84" s="248">
        <v>0.0</v>
      </c>
      <c r="H84" s="248">
        <v>0.0</v>
      </c>
      <c r="I84" s="248">
        <v>0.0</v>
      </c>
      <c r="J84" s="248">
        <v>0.0</v>
      </c>
      <c r="K84" s="248">
        <v>0.0</v>
      </c>
      <c r="L84" s="248">
        <v>0.0</v>
      </c>
      <c r="M84" s="248">
        <v>0.0</v>
      </c>
      <c r="N84" s="248">
        <v>0.0</v>
      </c>
      <c r="O84" s="248">
        <v>0.0</v>
      </c>
      <c r="P84" s="248">
        <v>0.0</v>
      </c>
      <c r="Q84" s="248">
        <v>0.0</v>
      </c>
      <c r="R84" s="248">
        <v>0.0</v>
      </c>
      <c r="S84" s="248">
        <v>0.0</v>
      </c>
      <c r="T84" s="248">
        <v>0.0</v>
      </c>
      <c r="U84" s="248">
        <v>0.0</v>
      </c>
      <c r="V84" s="248">
        <v>0.0</v>
      </c>
      <c r="W84" s="248">
        <v>0.0</v>
      </c>
    </row>
    <row r="85" ht="15.75" customHeight="1">
      <c r="A85" s="248">
        <f t="shared" si="1"/>
        <v>59</v>
      </c>
      <c r="B85" s="172"/>
      <c r="C85" s="248">
        <v>0.0</v>
      </c>
      <c r="D85" s="248">
        <v>0.0</v>
      </c>
      <c r="E85" s="248">
        <v>0.0</v>
      </c>
      <c r="F85" s="248">
        <v>0.0</v>
      </c>
      <c r="G85" s="248">
        <v>0.0</v>
      </c>
      <c r="H85" s="248">
        <v>0.0</v>
      </c>
      <c r="I85" s="248">
        <v>0.0</v>
      </c>
      <c r="J85" s="248">
        <v>0.0</v>
      </c>
      <c r="K85" s="248">
        <v>0.0</v>
      </c>
      <c r="L85" s="248">
        <v>0.0</v>
      </c>
      <c r="M85" s="248">
        <v>0.0</v>
      </c>
      <c r="N85" s="248">
        <v>0.0</v>
      </c>
      <c r="O85" s="248">
        <v>0.0</v>
      </c>
      <c r="P85" s="248">
        <v>0.0</v>
      </c>
      <c r="Q85" s="248">
        <v>0.0</v>
      </c>
      <c r="R85" s="248">
        <v>0.0</v>
      </c>
      <c r="S85" s="248">
        <v>0.0</v>
      </c>
      <c r="T85" s="248">
        <v>0.0</v>
      </c>
      <c r="U85" s="248">
        <v>0.0</v>
      </c>
      <c r="V85" s="248">
        <v>0.0</v>
      </c>
      <c r="W85" s="248">
        <v>0.0</v>
      </c>
    </row>
    <row r="86" ht="15.75" customHeight="1">
      <c r="A86" s="248">
        <f t="shared" si="1"/>
        <v>60</v>
      </c>
      <c r="B86" s="172"/>
      <c r="C86" s="248">
        <v>0.0</v>
      </c>
      <c r="D86" s="248">
        <v>0.0</v>
      </c>
      <c r="E86" s="248">
        <v>0.0</v>
      </c>
      <c r="F86" s="248">
        <v>0.0</v>
      </c>
      <c r="G86" s="248">
        <v>0.0</v>
      </c>
      <c r="H86" s="248">
        <v>0.0</v>
      </c>
      <c r="I86" s="248">
        <v>0.0</v>
      </c>
      <c r="J86" s="248">
        <v>0.0</v>
      </c>
      <c r="K86" s="248">
        <v>0.0</v>
      </c>
      <c r="L86" s="248">
        <v>0.0</v>
      </c>
      <c r="M86" s="248">
        <v>0.0</v>
      </c>
      <c r="N86" s="248">
        <v>0.0</v>
      </c>
      <c r="O86" s="248">
        <v>0.0</v>
      </c>
      <c r="P86" s="248">
        <v>0.0</v>
      </c>
      <c r="Q86" s="248">
        <v>0.0</v>
      </c>
      <c r="R86" s="248">
        <v>0.0</v>
      </c>
      <c r="S86" s="248">
        <v>0.0</v>
      </c>
      <c r="T86" s="248">
        <v>0.0</v>
      </c>
      <c r="U86" s="248">
        <v>0.0</v>
      </c>
      <c r="V86" s="248">
        <v>0.0</v>
      </c>
      <c r="W86" s="248">
        <v>0.0</v>
      </c>
    </row>
    <row r="87" ht="15.75" customHeight="1"/>
    <row r="88" ht="15.75" customHeight="1"/>
    <row r="89" ht="15.75" customHeight="1">
      <c r="N89" s="1">
        <v>1.0</v>
      </c>
      <c r="O89" s="1">
        <v>1.0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4" priority="1" stopIfTrue="1" operator="greaterThan">
      <formula>0</formula>
    </cfRule>
  </conditionalFormatting>
  <conditionalFormatting sqref="B27:W86">
    <cfRule type="cellIs" dxfId="4" priority="2" stopIfTrue="1" operator="greaterThan">
      <formula>0</formula>
    </cfRule>
  </conditionalFormatting>
  <conditionalFormatting sqref="A27:W86">
    <cfRule type="expression" dxfId="5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2" t="s">
        <v>235</v>
      </c>
      <c r="G1" s="259"/>
    </row>
    <row r="2" ht="19.5" customHeight="1">
      <c r="A2" s="149" t="s">
        <v>106</v>
      </c>
      <c r="B2" s="149"/>
      <c r="C2" s="149"/>
      <c r="D2" s="149"/>
      <c r="E2" s="149"/>
      <c r="F2" s="149"/>
      <c r="G2" s="260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</row>
    <row r="3">
      <c r="A3" s="151" t="s">
        <v>236</v>
      </c>
      <c r="B3" s="152">
        <v>5.0</v>
      </c>
      <c r="G3" s="259"/>
    </row>
    <row r="4">
      <c r="A4" s="151" t="s">
        <v>237</v>
      </c>
      <c r="B4" s="152">
        <v>3.0</v>
      </c>
      <c r="G4" s="259"/>
    </row>
    <row r="5">
      <c r="A5" s="151" t="s">
        <v>238</v>
      </c>
      <c r="B5" s="152">
        <v>1.0</v>
      </c>
      <c r="G5" s="259"/>
    </row>
    <row r="6">
      <c r="G6" s="259"/>
    </row>
    <row r="7" ht="19.5" customHeight="1">
      <c r="A7" s="261" t="s">
        <v>133</v>
      </c>
      <c r="B7" s="261"/>
      <c r="C7" s="261"/>
      <c r="D7" s="261"/>
      <c r="E7" s="261"/>
      <c r="F7" s="261"/>
      <c r="G7" s="262"/>
      <c r="H7" s="261"/>
      <c r="I7" s="261"/>
      <c r="J7" s="261"/>
      <c r="K7" s="261"/>
      <c r="L7" s="261"/>
      <c r="M7" s="261"/>
      <c r="N7" s="261"/>
      <c r="O7" s="261"/>
      <c r="P7" s="261"/>
      <c r="Q7" s="261"/>
      <c r="R7" s="261"/>
      <c r="S7" s="261"/>
      <c r="T7" s="261"/>
      <c r="U7" s="261"/>
      <c r="V7" s="261"/>
      <c r="W7" s="261"/>
      <c r="X7" s="261"/>
      <c r="Y7" s="261"/>
      <c r="Z7" s="261"/>
      <c r="AA7" s="261"/>
      <c r="AB7" s="261"/>
      <c r="AC7" s="261"/>
    </row>
    <row r="8" ht="17.25" customHeight="1">
      <c r="A8" s="263" t="s">
        <v>19</v>
      </c>
      <c r="B8" s="264"/>
      <c r="C8" s="264"/>
      <c r="D8" s="264"/>
      <c r="E8" s="264"/>
      <c r="F8" s="264"/>
      <c r="G8" s="265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  <c r="X8" s="264"/>
      <c r="Y8" s="264"/>
      <c r="Z8" s="264"/>
      <c r="AA8" s="264"/>
      <c r="AB8" s="264"/>
      <c r="AC8" s="264"/>
    </row>
    <row r="9" ht="90.0" customHeight="1">
      <c r="A9" s="266" t="s">
        <v>160</v>
      </c>
      <c r="B9" s="266" t="s">
        <v>174</v>
      </c>
      <c r="C9" s="266" t="s">
        <v>239</v>
      </c>
      <c r="D9" s="267" t="s">
        <v>240</v>
      </c>
      <c r="E9" s="267" t="s">
        <v>241</v>
      </c>
      <c r="F9" s="266" t="s">
        <v>34</v>
      </c>
      <c r="G9" s="268" t="s">
        <v>242</v>
      </c>
      <c r="I9" s="269" t="s">
        <v>46</v>
      </c>
      <c r="J9" s="269" t="s">
        <v>47</v>
      </c>
      <c r="K9" s="269" t="s">
        <v>48</v>
      </c>
      <c r="L9" s="269" t="s">
        <v>50</v>
      </c>
      <c r="M9" s="269" t="s">
        <v>52</v>
      </c>
      <c r="N9" s="269" t="s">
        <v>53</v>
      </c>
      <c r="O9" s="269" t="s">
        <v>54</v>
      </c>
      <c r="P9" s="269" t="s">
        <v>55</v>
      </c>
      <c r="Q9" s="269" t="s">
        <v>56</v>
      </c>
      <c r="R9" s="269" t="s">
        <v>57</v>
      </c>
      <c r="S9" s="269" t="s">
        <v>58</v>
      </c>
      <c r="T9" s="270" t="s">
        <v>121</v>
      </c>
      <c r="U9" s="270" t="s">
        <v>135</v>
      </c>
      <c r="V9" s="270" t="s">
        <v>122</v>
      </c>
      <c r="W9" s="270" t="s">
        <v>123</v>
      </c>
      <c r="X9" s="270" t="s">
        <v>124</v>
      </c>
      <c r="Y9" s="270" t="s">
        <v>125</v>
      </c>
      <c r="Z9" s="270" t="s">
        <v>126</v>
      </c>
      <c r="AA9" s="270" t="s">
        <v>127</v>
      </c>
      <c r="AB9" s="270" t="s">
        <v>128</v>
      </c>
      <c r="AC9" s="266" t="s">
        <v>243</v>
      </c>
    </row>
    <row r="10">
      <c r="A10" s="167">
        <v>1.0</v>
      </c>
      <c r="B10" s="167">
        <v>1.0</v>
      </c>
      <c r="C10" s="167" t="s">
        <v>244</v>
      </c>
      <c r="D10" s="229">
        <v>2.0</v>
      </c>
      <c r="E10" s="229">
        <v>2.0</v>
      </c>
      <c r="F10" s="229">
        <v>0.0</v>
      </c>
      <c r="G10" s="271">
        <v>0.0</v>
      </c>
      <c r="I10" s="272">
        <v>0.0</v>
      </c>
      <c r="J10" s="272">
        <v>0.0</v>
      </c>
      <c r="K10" s="272">
        <v>0.0</v>
      </c>
      <c r="L10" s="272">
        <v>0.0</v>
      </c>
      <c r="M10" s="272">
        <v>0.0</v>
      </c>
      <c r="N10" s="272">
        <v>0.0</v>
      </c>
      <c r="O10" s="272">
        <v>0.0</v>
      </c>
      <c r="P10" s="272">
        <v>20.0</v>
      </c>
      <c r="Q10" s="272">
        <v>0.0</v>
      </c>
      <c r="R10" s="272">
        <v>0.0</v>
      </c>
      <c r="S10" s="272">
        <v>0.0</v>
      </c>
      <c r="T10" s="189">
        <v>0.0</v>
      </c>
      <c r="U10" s="189">
        <v>0.0</v>
      </c>
      <c r="V10" s="189">
        <v>0.0</v>
      </c>
      <c r="W10" s="189">
        <v>0.0</v>
      </c>
      <c r="X10" s="189">
        <v>0.0</v>
      </c>
      <c r="Y10" s="189">
        <v>0.0</v>
      </c>
      <c r="Z10" s="189">
        <v>0.0</v>
      </c>
      <c r="AA10" s="189">
        <v>0.0</v>
      </c>
      <c r="AB10" s="189">
        <v>0.0</v>
      </c>
      <c r="AC10" s="167">
        <v>83.4</v>
      </c>
    </row>
    <row r="11">
      <c r="A11" s="167">
        <v>2.0</v>
      </c>
      <c r="B11" s="167">
        <v>1.0</v>
      </c>
      <c r="C11" s="167" t="s">
        <v>244</v>
      </c>
      <c r="D11" s="229">
        <v>3.0</v>
      </c>
      <c r="E11" s="229">
        <v>5.0</v>
      </c>
      <c r="F11" s="229">
        <v>10.0</v>
      </c>
      <c r="G11" s="271">
        <v>3.3333333333333335</v>
      </c>
      <c r="H11" s="250"/>
      <c r="I11" s="272">
        <v>0.0</v>
      </c>
      <c r="J11" s="272">
        <v>1.0</v>
      </c>
      <c r="K11" s="272">
        <v>0.0</v>
      </c>
      <c r="L11" s="272">
        <v>0.0</v>
      </c>
      <c r="M11" s="272">
        <v>0.0</v>
      </c>
      <c r="N11" s="272">
        <v>0.0</v>
      </c>
      <c r="O11" s="272">
        <v>0.0</v>
      </c>
      <c r="P11" s="272">
        <v>0.0</v>
      </c>
      <c r="Q11" s="272">
        <v>0.0</v>
      </c>
      <c r="R11" s="272">
        <v>0.0</v>
      </c>
      <c r="S11" s="272">
        <v>0.0</v>
      </c>
      <c r="T11" s="189">
        <v>0.0</v>
      </c>
      <c r="U11" s="189">
        <v>0.0</v>
      </c>
      <c r="V11" s="189">
        <v>0.0</v>
      </c>
      <c r="W11" s="189">
        <v>0.0</v>
      </c>
      <c r="X11" s="189">
        <v>0.0</v>
      </c>
      <c r="Y11" s="189">
        <v>0.0</v>
      </c>
      <c r="Z11" s="189">
        <v>0.0</v>
      </c>
      <c r="AA11" s="189">
        <v>0.0</v>
      </c>
      <c r="AB11" s="189">
        <v>0.0</v>
      </c>
      <c r="AC11" s="167">
        <v>33.0</v>
      </c>
    </row>
    <row r="12">
      <c r="A12" s="167">
        <v>3.0</v>
      </c>
      <c r="B12" s="167">
        <v>1.0</v>
      </c>
      <c r="C12" s="167" t="s">
        <v>244</v>
      </c>
      <c r="D12" s="229">
        <v>5.0</v>
      </c>
      <c r="E12" s="229">
        <v>10.0</v>
      </c>
      <c r="F12" s="229">
        <v>15.0</v>
      </c>
      <c r="G12" s="271">
        <v>3.0</v>
      </c>
      <c r="I12" s="272">
        <v>0.0</v>
      </c>
      <c r="J12" s="272">
        <v>0.0</v>
      </c>
      <c r="K12" s="272">
        <v>0.0</v>
      </c>
      <c r="L12" s="272">
        <v>1.0</v>
      </c>
      <c r="M12" s="272">
        <v>1.0</v>
      </c>
      <c r="N12" s="272">
        <v>0.0</v>
      </c>
      <c r="O12" s="272">
        <v>0.0</v>
      </c>
      <c r="P12" s="272">
        <v>0.0</v>
      </c>
      <c r="Q12" s="272">
        <v>0.0</v>
      </c>
      <c r="R12" s="272">
        <v>0.0</v>
      </c>
      <c r="S12" s="272">
        <v>0.0</v>
      </c>
      <c r="T12" s="189">
        <v>0.0</v>
      </c>
      <c r="U12" s="189">
        <v>0.0</v>
      </c>
      <c r="V12" s="189">
        <v>0.0</v>
      </c>
      <c r="W12" s="189">
        <v>0.0</v>
      </c>
      <c r="X12" s="189">
        <v>0.0</v>
      </c>
      <c r="Y12" s="189">
        <v>0.0</v>
      </c>
      <c r="Z12" s="189">
        <v>0.0</v>
      </c>
      <c r="AA12" s="189">
        <v>0.0</v>
      </c>
      <c r="AB12" s="189">
        <v>0.0</v>
      </c>
      <c r="AC12" s="167">
        <v>217.0</v>
      </c>
    </row>
    <row r="13">
      <c r="G13" s="259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</row>
    <row r="14" ht="17.25" customHeight="1">
      <c r="A14" s="263" t="s">
        <v>21</v>
      </c>
      <c r="B14" s="264"/>
      <c r="C14" s="264"/>
      <c r="D14" s="264"/>
      <c r="E14" s="264"/>
      <c r="F14" s="264"/>
      <c r="G14" s="265"/>
      <c r="H14" s="264"/>
      <c r="I14" s="273"/>
      <c r="J14" s="273"/>
      <c r="K14" s="273"/>
      <c r="L14" s="273"/>
      <c r="M14" s="273"/>
      <c r="N14" s="273"/>
      <c r="O14" s="273"/>
      <c r="P14" s="273"/>
      <c r="Q14" s="273"/>
      <c r="R14" s="273"/>
      <c r="S14" s="273"/>
      <c r="T14" s="273"/>
      <c r="U14" s="273"/>
      <c r="V14" s="273"/>
      <c r="W14" s="273"/>
      <c r="X14" s="273"/>
      <c r="Y14" s="273"/>
      <c r="Z14" s="273"/>
      <c r="AA14" s="273"/>
      <c r="AB14" s="273"/>
      <c r="AC14" s="264"/>
    </row>
    <row r="15" ht="90.0" customHeight="1">
      <c r="A15" s="162" t="s">
        <v>160</v>
      </c>
      <c r="B15" s="162" t="s">
        <v>174</v>
      </c>
      <c r="C15" s="162" t="s">
        <v>239</v>
      </c>
      <c r="D15" s="274" t="s">
        <v>240</v>
      </c>
      <c r="E15" s="274" t="s">
        <v>241</v>
      </c>
      <c r="F15" s="162" t="s">
        <v>34</v>
      </c>
      <c r="G15" s="275" t="s">
        <v>242</v>
      </c>
      <c r="I15" s="276" t="s">
        <v>46</v>
      </c>
      <c r="J15" s="276" t="s">
        <v>47</v>
      </c>
      <c r="K15" s="276" t="s">
        <v>48</v>
      </c>
      <c r="L15" s="276" t="s">
        <v>50</v>
      </c>
      <c r="M15" s="276" t="s">
        <v>52</v>
      </c>
      <c r="N15" s="276" t="s">
        <v>53</v>
      </c>
      <c r="O15" s="276" t="s">
        <v>54</v>
      </c>
      <c r="P15" s="276" t="s">
        <v>55</v>
      </c>
      <c r="Q15" s="276" t="s">
        <v>56</v>
      </c>
      <c r="R15" s="276" t="s">
        <v>57</v>
      </c>
      <c r="S15" s="276" t="s">
        <v>58</v>
      </c>
      <c r="T15" s="187" t="s">
        <v>121</v>
      </c>
      <c r="U15" s="187" t="s">
        <v>135</v>
      </c>
      <c r="V15" s="187" t="s">
        <v>122</v>
      </c>
      <c r="W15" s="187" t="s">
        <v>123</v>
      </c>
      <c r="X15" s="187" t="s">
        <v>124</v>
      </c>
      <c r="Y15" s="187" t="s">
        <v>125</v>
      </c>
      <c r="Z15" s="187" t="s">
        <v>126</v>
      </c>
      <c r="AA15" s="187" t="s">
        <v>127</v>
      </c>
      <c r="AB15" s="187" t="s">
        <v>128</v>
      </c>
      <c r="AC15" s="162" t="s">
        <v>243</v>
      </c>
    </row>
    <row r="16">
      <c r="A16" s="167">
        <v>1.0</v>
      </c>
      <c r="B16" s="167">
        <v>1.0</v>
      </c>
      <c r="C16" s="167" t="s">
        <v>244</v>
      </c>
      <c r="D16" s="229">
        <v>6.0</v>
      </c>
      <c r="E16" s="229">
        <v>6.0</v>
      </c>
      <c r="F16" s="229">
        <v>15.0</v>
      </c>
      <c r="G16" s="271">
        <v>2.5</v>
      </c>
      <c r="I16" s="272">
        <v>0.0</v>
      </c>
      <c r="J16" s="272">
        <v>0.0</v>
      </c>
      <c r="K16" s="272">
        <v>0.0</v>
      </c>
      <c r="L16" s="272">
        <v>0.0</v>
      </c>
      <c r="M16" s="272">
        <v>0.0</v>
      </c>
      <c r="N16" s="272">
        <v>0.0</v>
      </c>
      <c r="O16" s="272">
        <v>0.0</v>
      </c>
      <c r="P16" s="272">
        <v>20.0</v>
      </c>
      <c r="Q16" s="272">
        <v>0.0</v>
      </c>
      <c r="R16" s="272">
        <v>0.0</v>
      </c>
      <c r="S16" s="272">
        <v>0.0</v>
      </c>
      <c r="T16" s="189">
        <v>0.0</v>
      </c>
      <c r="U16" s="189">
        <v>0.0</v>
      </c>
      <c r="V16" s="189">
        <v>0.0</v>
      </c>
      <c r="W16" s="189">
        <v>0.0</v>
      </c>
      <c r="X16" s="189">
        <v>0.0</v>
      </c>
      <c r="Y16" s="189">
        <v>0.0</v>
      </c>
      <c r="Z16" s="189">
        <v>0.0</v>
      </c>
      <c r="AA16" s="189">
        <v>0.0</v>
      </c>
      <c r="AB16" s="189">
        <v>0.0</v>
      </c>
      <c r="AC16" s="167">
        <v>83.4</v>
      </c>
    </row>
    <row r="17">
      <c r="A17" s="167">
        <v>2.0</v>
      </c>
      <c r="B17" s="167">
        <v>1.0</v>
      </c>
      <c r="C17" s="167" t="s">
        <v>244</v>
      </c>
      <c r="D17" s="229">
        <v>7.0</v>
      </c>
      <c r="E17" s="229">
        <v>13.0</v>
      </c>
      <c r="F17" s="229">
        <v>35.0</v>
      </c>
      <c r="G17" s="271">
        <v>5.0</v>
      </c>
      <c r="H17" s="250"/>
      <c r="I17" s="272">
        <v>0.0</v>
      </c>
      <c r="J17" s="272">
        <v>1.0</v>
      </c>
      <c r="K17" s="272">
        <v>0.0</v>
      </c>
      <c r="L17" s="272">
        <v>0.0</v>
      </c>
      <c r="M17" s="272">
        <v>0.0</v>
      </c>
      <c r="N17" s="272">
        <v>0.0</v>
      </c>
      <c r="O17" s="272">
        <v>0.0</v>
      </c>
      <c r="P17" s="272">
        <v>0.0</v>
      </c>
      <c r="Q17" s="272">
        <v>0.0</v>
      </c>
      <c r="R17" s="272">
        <v>0.0</v>
      </c>
      <c r="S17" s="272">
        <v>0.0</v>
      </c>
      <c r="T17" s="189">
        <v>0.0</v>
      </c>
      <c r="U17" s="189">
        <v>0.0</v>
      </c>
      <c r="V17" s="189">
        <v>0.0</v>
      </c>
      <c r="W17" s="189">
        <v>0.0</v>
      </c>
      <c r="X17" s="189">
        <v>0.0</v>
      </c>
      <c r="Y17" s="189">
        <v>0.0</v>
      </c>
      <c r="Z17" s="189">
        <v>0.0</v>
      </c>
      <c r="AA17" s="189">
        <v>0.0</v>
      </c>
      <c r="AB17" s="189">
        <v>0.0</v>
      </c>
      <c r="AC17" s="167">
        <v>33.0</v>
      </c>
    </row>
    <row r="18">
      <c r="A18" s="167">
        <v>3.0</v>
      </c>
      <c r="B18" s="167">
        <v>1.0</v>
      </c>
      <c r="C18" s="167" t="s">
        <v>244</v>
      </c>
      <c r="D18" s="229">
        <v>13.0</v>
      </c>
      <c r="E18" s="229">
        <v>26.0</v>
      </c>
      <c r="F18" s="229">
        <v>70.0</v>
      </c>
      <c r="G18" s="271">
        <v>5.384615384615385</v>
      </c>
      <c r="I18" s="272">
        <v>0.0</v>
      </c>
      <c r="J18" s="272">
        <v>0.0</v>
      </c>
      <c r="K18" s="272">
        <v>0.0</v>
      </c>
      <c r="L18" s="272">
        <v>1.0</v>
      </c>
      <c r="M18" s="272">
        <v>1.0</v>
      </c>
      <c r="N18" s="272">
        <v>0.0</v>
      </c>
      <c r="O18" s="272">
        <v>0.0</v>
      </c>
      <c r="P18" s="272">
        <v>0.0</v>
      </c>
      <c r="Q18" s="272">
        <v>0.0</v>
      </c>
      <c r="R18" s="272">
        <v>0.0</v>
      </c>
      <c r="S18" s="272">
        <v>0.0</v>
      </c>
      <c r="T18" s="189">
        <v>0.0</v>
      </c>
      <c r="U18" s="189">
        <v>0.0</v>
      </c>
      <c r="V18" s="189">
        <v>0.0</v>
      </c>
      <c r="W18" s="189">
        <v>0.0</v>
      </c>
      <c r="X18" s="189">
        <v>0.0</v>
      </c>
      <c r="Y18" s="189">
        <v>0.0</v>
      </c>
      <c r="Z18" s="189">
        <v>0.0</v>
      </c>
      <c r="AA18" s="189">
        <v>0.0</v>
      </c>
      <c r="AB18" s="189">
        <v>0.0</v>
      </c>
      <c r="AC18" s="167">
        <v>217.0</v>
      </c>
    </row>
    <row r="19">
      <c r="G19" s="259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</row>
    <row r="20" ht="17.25" customHeight="1">
      <c r="A20" s="263" t="s">
        <v>22</v>
      </c>
      <c r="B20" s="264"/>
      <c r="C20" s="264"/>
      <c r="D20" s="264"/>
      <c r="E20" s="264"/>
      <c r="F20" s="264"/>
      <c r="G20" s="265"/>
      <c r="H20" s="264"/>
      <c r="I20" s="273"/>
      <c r="J20" s="273"/>
      <c r="K20" s="273"/>
      <c r="L20" s="273"/>
      <c r="M20" s="273"/>
      <c r="N20" s="273"/>
      <c r="O20" s="273"/>
      <c r="P20" s="273"/>
      <c r="Q20" s="273"/>
      <c r="R20" s="273"/>
      <c r="S20" s="273"/>
      <c r="T20" s="273"/>
      <c r="U20" s="273"/>
      <c r="V20" s="273"/>
      <c r="W20" s="273"/>
      <c r="X20" s="273"/>
      <c r="Y20" s="273"/>
      <c r="Z20" s="273"/>
      <c r="AA20" s="273"/>
      <c r="AB20" s="273"/>
      <c r="AC20" s="264"/>
    </row>
    <row r="21" ht="90.0" customHeight="1">
      <c r="A21" s="162" t="s">
        <v>160</v>
      </c>
      <c r="B21" s="162" t="s">
        <v>174</v>
      </c>
      <c r="C21" s="162" t="s">
        <v>239</v>
      </c>
      <c r="D21" s="274" t="s">
        <v>240</v>
      </c>
      <c r="E21" s="274" t="s">
        <v>241</v>
      </c>
      <c r="F21" s="162" t="s">
        <v>34</v>
      </c>
      <c r="G21" s="275" t="s">
        <v>242</v>
      </c>
      <c r="I21" s="276" t="s">
        <v>46</v>
      </c>
      <c r="J21" s="276" t="s">
        <v>47</v>
      </c>
      <c r="K21" s="276" t="s">
        <v>48</v>
      </c>
      <c r="L21" s="276" t="s">
        <v>50</v>
      </c>
      <c r="M21" s="276" t="s">
        <v>52</v>
      </c>
      <c r="N21" s="276" t="s">
        <v>53</v>
      </c>
      <c r="O21" s="276" t="s">
        <v>54</v>
      </c>
      <c r="P21" s="276" t="s">
        <v>55</v>
      </c>
      <c r="Q21" s="276" t="s">
        <v>56</v>
      </c>
      <c r="R21" s="276" t="s">
        <v>57</v>
      </c>
      <c r="S21" s="276" t="s">
        <v>58</v>
      </c>
      <c r="T21" s="187" t="s">
        <v>121</v>
      </c>
      <c r="U21" s="187" t="s">
        <v>135</v>
      </c>
      <c r="V21" s="187" t="s">
        <v>122</v>
      </c>
      <c r="W21" s="187" t="s">
        <v>123</v>
      </c>
      <c r="X21" s="187" t="s">
        <v>124</v>
      </c>
      <c r="Y21" s="187" t="s">
        <v>125</v>
      </c>
      <c r="Z21" s="187" t="s">
        <v>126</v>
      </c>
      <c r="AA21" s="187" t="s">
        <v>127</v>
      </c>
      <c r="AB21" s="187" t="s">
        <v>128</v>
      </c>
      <c r="AC21" s="162" t="s">
        <v>243</v>
      </c>
    </row>
    <row r="22" ht="15.75" customHeight="1">
      <c r="A22" s="167">
        <v>1.0</v>
      </c>
      <c r="B22" s="167">
        <v>1.0</v>
      </c>
      <c r="C22" s="167" t="s">
        <v>244</v>
      </c>
      <c r="D22" s="229">
        <v>11.0</v>
      </c>
      <c r="E22" s="229">
        <v>11.0</v>
      </c>
      <c r="F22" s="229">
        <v>25.0</v>
      </c>
      <c r="G22" s="271">
        <v>2.272727272727273</v>
      </c>
      <c r="I22" s="272">
        <v>0.0</v>
      </c>
      <c r="J22" s="272">
        <v>0.0</v>
      </c>
      <c r="K22" s="272">
        <v>0.0</v>
      </c>
      <c r="L22" s="272">
        <v>0.0</v>
      </c>
      <c r="M22" s="272">
        <v>0.0</v>
      </c>
      <c r="N22" s="272">
        <v>0.0</v>
      </c>
      <c r="O22" s="272">
        <v>0.0</v>
      </c>
      <c r="P22" s="272">
        <v>20.0</v>
      </c>
      <c r="Q22" s="272">
        <v>0.0</v>
      </c>
      <c r="R22" s="272">
        <v>0.0</v>
      </c>
      <c r="S22" s="272">
        <v>0.0</v>
      </c>
      <c r="T22" s="189">
        <v>0.0</v>
      </c>
      <c r="U22" s="189">
        <v>0.0</v>
      </c>
      <c r="V22" s="189">
        <v>0.0</v>
      </c>
      <c r="W22" s="189">
        <v>0.0</v>
      </c>
      <c r="X22" s="189">
        <v>0.0</v>
      </c>
      <c r="Y22" s="189">
        <v>0.0</v>
      </c>
      <c r="Z22" s="189">
        <v>0.0</v>
      </c>
      <c r="AA22" s="189">
        <v>0.0</v>
      </c>
      <c r="AB22" s="189">
        <v>0.0</v>
      </c>
      <c r="AC22" s="167">
        <v>83.4</v>
      </c>
    </row>
    <row r="23" ht="15.75" customHeight="1">
      <c r="A23" s="167">
        <v>2.0</v>
      </c>
      <c r="B23" s="167">
        <v>1.0</v>
      </c>
      <c r="C23" s="167" t="s">
        <v>244</v>
      </c>
      <c r="D23" s="229">
        <v>15.0</v>
      </c>
      <c r="E23" s="229">
        <v>26.0</v>
      </c>
      <c r="F23" s="229">
        <v>75.0</v>
      </c>
      <c r="G23" s="271">
        <v>5.0</v>
      </c>
      <c r="H23" s="250"/>
      <c r="I23" s="272">
        <v>0.0</v>
      </c>
      <c r="J23" s="272">
        <v>1.0</v>
      </c>
      <c r="K23" s="272">
        <v>0.0</v>
      </c>
      <c r="L23" s="272">
        <v>0.0</v>
      </c>
      <c r="M23" s="272">
        <v>0.0</v>
      </c>
      <c r="N23" s="272">
        <v>0.0</v>
      </c>
      <c r="O23" s="272">
        <v>0.0</v>
      </c>
      <c r="P23" s="272">
        <v>0.0</v>
      </c>
      <c r="Q23" s="272">
        <v>0.0</v>
      </c>
      <c r="R23" s="272">
        <v>0.0</v>
      </c>
      <c r="S23" s="272">
        <v>0.0</v>
      </c>
      <c r="T23" s="189">
        <v>0.0</v>
      </c>
      <c r="U23" s="189">
        <v>0.0</v>
      </c>
      <c r="V23" s="189">
        <v>0.0</v>
      </c>
      <c r="W23" s="189">
        <v>0.0</v>
      </c>
      <c r="X23" s="189">
        <v>0.0</v>
      </c>
      <c r="Y23" s="189">
        <v>0.0</v>
      </c>
      <c r="Z23" s="189">
        <v>0.0</v>
      </c>
      <c r="AA23" s="189">
        <v>0.0</v>
      </c>
      <c r="AB23" s="189">
        <v>0.0</v>
      </c>
      <c r="AC23" s="167">
        <v>33.0</v>
      </c>
    </row>
    <row r="24" ht="15.75" customHeight="1">
      <c r="A24" s="167">
        <v>3.0</v>
      </c>
      <c r="B24" s="167">
        <v>1.0</v>
      </c>
      <c r="C24" s="167" t="s">
        <v>244</v>
      </c>
      <c r="D24" s="229">
        <v>16.0</v>
      </c>
      <c r="E24" s="229">
        <v>42.0</v>
      </c>
      <c r="F24" s="229">
        <v>140.0</v>
      </c>
      <c r="G24" s="271">
        <v>8.75</v>
      </c>
      <c r="I24" s="272">
        <v>0.0</v>
      </c>
      <c r="J24" s="272">
        <v>0.0</v>
      </c>
      <c r="K24" s="272">
        <v>0.0</v>
      </c>
      <c r="L24" s="272">
        <v>1.0</v>
      </c>
      <c r="M24" s="272">
        <v>1.0</v>
      </c>
      <c r="N24" s="272">
        <v>0.0</v>
      </c>
      <c r="O24" s="272">
        <v>0.0</v>
      </c>
      <c r="P24" s="272">
        <v>0.0</v>
      </c>
      <c r="Q24" s="272">
        <v>0.0</v>
      </c>
      <c r="R24" s="272">
        <v>0.0</v>
      </c>
      <c r="S24" s="272">
        <v>0.0</v>
      </c>
      <c r="T24" s="189">
        <v>0.0</v>
      </c>
      <c r="U24" s="189">
        <v>0.0</v>
      </c>
      <c r="V24" s="189">
        <v>0.0</v>
      </c>
      <c r="W24" s="189">
        <v>0.0</v>
      </c>
      <c r="X24" s="189">
        <v>0.0</v>
      </c>
      <c r="Y24" s="189">
        <v>0.0</v>
      </c>
      <c r="Z24" s="189">
        <v>0.0</v>
      </c>
      <c r="AA24" s="189">
        <v>0.0</v>
      </c>
      <c r="AB24" s="189">
        <v>0.0</v>
      </c>
      <c r="AC24" s="167">
        <v>217.0</v>
      </c>
    </row>
    <row r="25" ht="15.75" customHeight="1">
      <c r="G25" s="259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</row>
    <row r="26" ht="17.25" customHeight="1">
      <c r="A26" s="263" t="s">
        <v>24</v>
      </c>
      <c r="B26" s="264"/>
      <c r="C26" s="264"/>
      <c r="D26" s="264"/>
      <c r="E26" s="264"/>
      <c r="F26" s="264"/>
      <c r="G26" s="265"/>
      <c r="H26" s="264"/>
      <c r="I26" s="273"/>
      <c r="J26" s="273"/>
      <c r="K26" s="273"/>
      <c r="L26" s="273"/>
      <c r="M26" s="273"/>
      <c r="N26" s="273"/>
      <c r="O26" s="273"/>
      <c r="P26" s="273"/>
      <c r="Q26" s="273"/>
      <c r="R26" s="273"/>
      <c r="S26" s="273"/>
      <c r="T26" s="273"/>
      <c r="U26" s="273"/>
      <c r="V26" s="273"/>
      <c r="W26" s="273"/>
      <c r="X26" s="273"/>
      <c r="Y26" s="273"/>
      <c r="Z26" s="273"/>
      <c r="AA26" s="273"/>
      <c r="AB26" s="273"/>
      <c r="AC26" s="264"/>
    </row>
    <row r="27" ht="90.0" customHeight="1">
      <c r="A27" s="162" t="s">
        <v>160</v>
      </c>
      <c r="B27" s="162" t="s">
        <v>174</v>
      </c>
      <c r="C27" s="162" t="s">
        <v>239</v>
      </c>
      <c r="D27" s="274" t="s">
        <v>240</v>
      </c>
      <c r="E27" s="274" t="s">
        <v>241</v>
      </c>
      <c r="F27" s="162" t="s">
        <v>34</v>
      </c>
      <c r="G27" s="275" t="s">
        <v>242</v>
      </c>
      <c r="I27" s="276" t="s">
        <v>46</v>
      </c>
      <c r="J27" s="276" t="s">
        <v>47</v>
      </c>
      <c r="K27" s="276" t="s">
        <v>48</v>
      </c>
      <c r="L27" s="276" t="s">
        <v>50</v>
      </c>
      <c r="M27" s="276" t="s">
        <v>52</v>
      </c>
      <c r="N27" s="276" t="s">
        <v>53</v>
      </c>
      <c r="O27" s="276" t="s">
        <v>54</v>
      </c>
      <c r="P27" s="276" t="s">
        <v>55</v>
      </c>
      <c r="Q27" s="276" t="s">
        <v>56</v>
      </c>
      <c r="R27" s="276" t="s">
        <v>57</v>
      </c>
      <c r="S27" s="276" t="s">
        <v>58</v>
      </c>
      <c r="T27" s="187" t="s">
        <v>121</v>
      </c>
      <c r="U27" s="187" t="s">
        <v>135</v>
      </c>
      <c r="V27" s="187" t="s">
        <v>122</v>
      </c>
      <c r="W27" s="187" t="s">
        <v>123</v>
      </c>
      <c r="X27" s="187" t="s">
        <v>124</v>
      </c>
      <c r="Y27" s="187" t="s">
        <v>125</v>
      </c>
      <c r="Z27" s="187" t="s">
        <v>126</v>
      </c>
      <c r="AA27" s="187" t="s">
        <v>127</v>
      </c>
      <c r="AB27" s="187" t="s">
        <v>128</v>
      </c>
      <c r="AC27" s="162" t="s">
        <v>243</v>
      </c>
    </row>
    <row r="28" ht="15.75" customHeight="1">
      <c r="A28" s="167">
        <v>1.0</v>
      </c>
      <c r="B28" s="167">
        <v>1.0</v>
      </c>
      <c r="C28" s="167" t="s">
        <v>244</v>
      </c>
      <c r="D28" s="229">
        <v>28.0</v>
      </c>
      <c r="E28" s="229">
        <v>28.0</v>
      </c>
      <c r="F28" s="229">
        <v>65.0</v>
      </c>
      <c r="G28" s="271">
        <v>2.3214285714285716</v>
      </c>
      <c r="I28" s="272">
        <v>0.0</v>
      </c>
      <c r="J28" s="272">
        <v>1.0</v>
      </c>
      <c r="K28" s="272">
        <v>1.0</v>
      </c>
      <c r="L28" s="272">
        <v>0.0</v>
      </c>
      <c r="M28" s="272">
        <v>0.0</v>
      </c>
      <c r="N28" s="272">
        <v>0.0</v>
      </c>
      <c r="O28" s="272">
        <v>0.0</v>
      </c>
      <c r="P28" s="272">
        <v>30.0</v>
      </c>
      <c r="Q28" s="272">
        <v>0.0</v>
      </c>
      <c r="R28" s="272">
        <v>0.0</v>
      </c>
      <c r="S28" s="272">
        <v>0.0</v>
      </c>
      <c r="T28" s="189">
        <v>0.0</v>
      </c>
      <c r="U28" s="189">
        <v>0.0</v>
      </c>
      <c r="V28" s="189">
        <v>0.0</v>
      </c>
      <c r="W28" s="189">
        <v>0.0</v>
      </c>
      <c r="X28" s="189">
        <v>0.0</v>
      </c>
      <c r="Y28" s="189">
        <v>0.0</v>
      </c>
      <c r="Z28" s="189">
        <v>0.0</v>
      </c>
      <c r="AA28" s="189">
        <v>0.0</v>
      </c>
      <c r="AB28" s="189">
        <v>0.0</v>
      </c>
      <c r="AC28" s="167">
        <v>125.1</v>
      </c>
    </row>
    <row r="29" ht="15.75" customHeight="1">
      <c r="A29" s="167">
        <v>2.0</v>
      </c>
      <c r="B29" s="167">
        <v>1.0</v>
      </c>
      <c r="C29" s="167" t="s">
        <v>244</v>
      </c>
      <c r="D29" s="229">
        <v>32.0</v>
      </c>
      <c r="E29" s="229">
        <v>60.0</v>
      </c>
      <c r="F29" s="229">
        <v>160.0</v>
      </c>
      <c r="G29" s="271">
        <v>5.0</v>
      </c>
      <c r="H29" s="250"/>
      <c r="I29" s="272">
        <v>0.0</v>
      </c>
      <c r="J29" s="272">
        <v>1.0</v>
      </c>
      <c r="K29" s="272">
        <v>0.0</v>
      </c>
      <c r="L29" s="272">
        <v>1.0</v>
      </c>
      <c r="M29" s="272">
        <v>0.0</v>
      </c>
      <c r="N29" s="272">
        <v>0.0</v>
      </c>
      <c r="O29" s="272">
        <v>0.0</v>
      </c>
      <c r="P29" s="272">
        <v>0.0</v>
      </c>
      <c r="Q29" s="272">
        <v>0.0</v>
      </c>
      <c r="R29" s="272">
        <v>0.0</v>
      </c>
      <c r="S29" s="272">
        <v>0.0</v>
      </c>
      <c r="T29" s="189">
        <v>0.0</v>
      </c>
      <c r="U29" s="189">
        <v>0.0</v>
      </c>
      <c r="V29" s="189">
        <v>0.0</v>
      </c>
      <c r="W29" s="189">
        <v>0.0</v>
      </c>
      <c r="X29" s="189">
        <v>0.0</v>
      </c>
      <c r="Y29" s="189">
        <v>0.0</v>
      </c>
      <c r="Z29" s="189">
        <v>0.0</v>
      </c>
      <c r="AA29" s="189">
        <v>0.0</v>
      </c>
      <c r="AB29" s="189">
        <v>0.0</v>
      </c>
      <c r="AC29" s="167">
        <v>33.0</v>
      </c>
    </row>
    <row r="30" ht="15.75" customHeight="1">
      <c r="A30" s="167">
        <v>3.0</v>
      </c>
      <c r="B30" s="167">
        <v>1.0</v>
      </c>
      <c r="C30" s="167" t="s">
        <v>244</v>
      </c>
      <c r="D30" s="229">
        <v>40.0</v>
      </c>
      <c r="E30" s="229">
        <v>100.0</v>
      </c>
      <c r="F30" s="229">
        <v>300.0</v>
      </c>
      <c r="G30" s="271">
        <v>7.5</v>
      </c>
      <c r="I30" s="272">
        <v>0.0</v>
      </c>
      <c r="J30" s="272">
        <v>0.0</v>
      </c>
      <c r="K30" s="272">
        <v>0.0</v>
      </c>
      <c r="L30" s="272">
        <v>0.0</v>
      </c>
      <c r="M30" s="272">
        <v>1.0</v>
      </c>
      <c r="N30" s="272">
        <v>0.0</v>
      </c>
      <c r="O30" s="272">
        <v>1.0</v>
      </c>
      <c r="P30" s="272">
        <v>0.0</v>
      </c>
      <c r="Q30" s="272">
        <v>0.0</v>
      </c>
      <c r="R30" s="272">
        <v>0.0</v>
      </c>
      <c r="S30" s="272">
        <v>0.0</v>
      </c>
      <c r="T30" s="189">
        <v>0.0</v>
      </c>
      <c r="U30" s="189">
        <v>0.0</v>
      </c>
      <c r="V30" s="189">
        <v>0.0</v>
      </c>
      <c r="W30" s="189">
        <v>0.0</v>
      </c>
      <c r="X30" s="189">
        <v>0.0</v>
      </c>
      <c r="Y30" s="189">
        <v>0.0</v>
      </c>
      <c r="Z30" s="189">
        <v>0.0</v>
      </c>
      <c r="AA30" s="189">
        <v>0.0</v>
      </c>
      <c r="AB30" s="189">
        <v>0.0</v>
      </c>
      <c r="AC30" s="167">
        <v>217.0</v>
      </c>
    </row>
    <row r="31" ht="15.75" customHeight="1">
      <c r="G31" s="259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172"/>
      <c r="AA31" s="172"/>
      <c r="AB31" s="172"/>
    </row>
    <row r="32" ht="17.25" customHeight="1">
      <c r="A32" s="263" t="s">
        <v>26</v>
      </c>
      <c r="B32" s="264"/>
      <c r="C32" s="264"/>
      <c r="D32" s="264"/>
      <c r="E32" s="264"/>
      <c r="F32" s="264"/>
      <c r="G32" s="265"/>
      <c r="H32" s="264"/>
      <c r="I32" s="273"/>
      <c r="J32" s="273"/>
      <c r="K32" s="273"/>
      <c r="L32" s="273"/>
      <c r="M32" s="273"/>
      <c r="N32" s="273"/>
      <c r="O32" s="273"/>
      <c r="P32" s="273"/>
      <c r="Q32" s="273"/>
      <c r="R32" s="273"/>
      <c r="S32" s="273"/>
      <c r="T32" s="273"/>
      <c r="U32" s="273"/>
      <c r="V32" s="273"/>
      <c r="W32" s="273"/>
      <c r="X32" s="273"/>
      <c r="Y32" s="273"/>
      <c r="Z32" s="273"/>
      <c r="AA32" s="273"/>
      <c r="AB32" s="273"/>
      <c r="AC32" s="264"/>
    </row>
    <row r="33" ht="90.0" customHeight="1">
      <c r="A33" s="162" t="s">
        <v>160</v>
      </c>
      <c r="B33" s="162" t="s">
        <v>174</v>
      </c>
      <c r="C33" s="162" t="s">
        <v>239</v>
      </c>
      <c r="D33" s="274" t="s">
        <v>240</v>
      </c>
      <c r="E33" s="274" t="s">
        <v>241</v>
      </c>
      <c r="F33" s="162" t="s">
        <v>34</v>
      </c>
      <c r="G33" s="275" t="s">
        <v>242</v>
      </c>
      <c r="I33" s="276" t="s">
        <v>46</v>
      </c>
      <c r="J33" s="276" t="s">
        <v>47</v>
      </c>
      <c r="K33" s="276" t="s">
        <v>48</v>
      </c>
      <c r="L33" s="276" t="s">
        <v>50</v>
      </c>
      <c r="M33" s="276" t="s">
        <v>52</v>
      </c>
      <c r="N33" s="276" t="s">
        <v>53</v>
      </c>
      <c r="O33" s="276" t="s">
        <v>54</v>
      </c>
      <c r="P33" s="276" t="s">
        <v>55</v>
      </c>
      <c r="Q33" s="276" t="s">
        <v>56</v>
      </c>
      <c r="R33" s="276" t="s">
        <v>57</v>
      </c>
      <c r="S33" s="276" t="s">
        <v>58</v>
      </c>
      <c r="T33" s="187" t="s">
        <v>121</v>
      </c>
      <c r="U33" s="187" t="s">
        <v>135</v>
      </c>
      <c r="V33" s="187" t="s">
        <v>122</v>
      </c>
      <c r="W33" s="187" t="s">
        <v>123</v>
      </c>
      <c r="X33" s="187" t="s">
        <v>124</v>
      </c>
      <c r="Y33" s="187" t="s">
        <v>125</v>
      </c>
      <c r="Z33" s="187" t="s">
        <v>126</v>
      </c>
      <c r="AA33" s="187" t="s">
        <v>127</v>
      </c>
      <c r="AB33" s="187" t="s">
        <v>128</v>
      </c>
      <c r="AC33" s="162" t="s">
        <v>243</v>
      </c>
    </row>
    <row r="34" ht="15.75" customHeight="1">
      <c r="A34" s="167">
        <v>1.0</v>
      </c>
      <c r="B34" s="167">
        <v>1.0</v>
      </c>
      <c r="C34" s="167" t="s">
        <v>244</v>
      </c>
      <c r="D34" s="229">
        <v>80.0</v>
      </c>
      <c r="E34" s="229">
        <v>80.0</v>
      </c>
      <c r="F34" s="229">
        <v>160.0</v>
      </c>
      <c r="G34" s="271">
        <v>2.0</v>
      </c>
      <c r="I34" s="272">
        <v>0.0</v>
      </c>
      <c r="J34" s="272">
        <v>1.0</v>
      </c>
      <c r="K34" s="272">
        <v>1.0</v>
      </c>
      <c r="L34" s="272">
        <v>0.0</v>
      </c>
      <c r="M34" s="272">
        <v>0.0</v>
      </c>
      <c r="N34" s="272">
        <v>0.0</v>
      </c>
      <c r="O34" s="272">
        <v>0.0</v>
      </c>
      <c r="P34" s="272">
        <v>60.0</v>
      </c>
      <c r="Q34" s="272">
        <v>0.0</v>
      </c>
      <c r="R34" s="272">
        <v>0.0</v>
      </c>
      <c r="S34" s="272">
        <v>0.0</v>
      </c>
      <c r="T34" s="189">
        <v>0.0</v>
      </c>
      <c r="U34" s="189">
        <v>0.0</v>
      </c>
      <c r="V34" s="189">
        <v>0.0</v>
      </c>
      <c r="W34" s="189">
        <v>0.0</v>
      </c>
      <c r="X34" s="189">
        <v>0.0</v>
      </c>
      <c r="Y34" s="189">
        <v>0.0</v>
      </c>
      <c r="Z34" s="189">
        <v>0.0</v>
      </c>
      <c r="AA34" s="189">
        <v>0.0</v>
      </c>
      <c r="AB34" s="189">
        <v>0.0</v>
      </c>
      <c r="AC34" s="167">
        <v>250.2</v>
      </c>
    </row>
    <row r="35" ht="15.75" customHeight="1">
      <c r="A35" s="167">
        <v>2.0</v>
      </c>
      <c r="B35" s="167">
        <v>1.0</v>
      </c>
      <c r="C35" s="167" t="s">
        <v>244</v>
      </c>
      <c r="D35" s="229">
        <v>95.0</v>
      </c>
      <c r="E35" s="229">
        <v>175.0</v>
      </c>
      <c r="F35" s="229">
        <v>350.0</v>
      </c>
      <c r="G35" s="271">
        <v>3.6842105263157894</v>
      </c>
      <c r="H35" s="250"/>
      <c r="I35" s="272">
        <v>0.0</v>
      </c>
      <c r="J35" s="272">
        <v>1.0</v>
      </c>
      <c r="K35" s="272">
        <v>0.0</v>
      </c>
      <c r="L35" s="272">
        <v>1.0</v>
      </c>
      <c r="M35" s="272">
        <v>0.0</v>
      </c>
      <c r="N35" s="272">
        <v>0.0</v>
      </c>
      <c r="O35" s="272">
        <v>0.0</v>
      </c>
      <c r="P35" s="272">
        <v>0.0</v>
      </c>
      <c r="Q35" s="272">
        <v>0.0</v>
      </c>
      <c r="R35" s="272">
        <v>0.0</v>
      </c>
      <c r="S35" s="272">
        <v>0.0</v>
      </c>
      <c r="T35" s="189">
        <v>0.0</v>
      </c>
      <c r="U35" s="189">
        <v>0.0</v>
      </c>
      <c r="V35" s="189">
        <v>0.0</v>
      </c>
      <c r="W35" s="189">
        <v>0.0</v>
      </c>
      <c r="X35" s="189">
        <v>0.0</v>
      </c>
      <c r="Y35" s="189">
        <v>0.0</v>
      </c>
      <c r="Z35" s="189">
        <v>0.0</v>
      </c>
      <c r="AA35" s="189">
        <v>0.0</v>
      </c>
      <c r="AB35" s="189">
        <v>0.0</v>
      </c>
      <c r="AC35" s="167">
        <v>33.0</v>
      </c>
    </row>
    <row r="36" ht="15.75" customHeight="1">
      <c r="A36" s="167">
        <v>3.0</v>
      </c>
      <c r="B36" s="167">
        <v>1.0</v>
      </c>
      <c r="C36" s="167" t="s">
        <v>244</v>
      </c>
      <c r="D36" s="229">
        <v>105.0</v>
      </c>
      <c r="E36" s="229">
        <v>280.0</v>
      </c>
      <c r="F36" s="229">
        <v>500.0</v>
      </c>
      <c r="G36" s="271">
        <v>4.761904761904762</v>
      </c>
      <c r="I36" s="272">
        <v>0.0</v>
      </c>
      <c r="J36" s="272">
        <v>0.0</v>
      </c>
      <c r="K36" s="272">
        <v>0.0</v>
      </c>
      <c r="L36" s="272">
        <v>0.0</v>
      </c>
      <c r="M36" s="272">
        <v>1.0</v>
      </c>
      <c r="N36" s="272">
        <v>0.0</v>
      </c>
      <c r="O36" s="272">
        <v>1.0</v>
      </c>
      <c r="P36" s="272">
        <v>0.0</v>
      </c>
      <c r="Q36" s="272">
        <v>0.0</v>
      </c>
      <c r="R36" s="272">
        <v>0.0</v>
      </c>
      <c r="S36" s="272">
        <v>0.0</v>
      </c>
      <c r="T36" s="189">
        <v>0.0</v>
      </c>
      <c r="U36" s="189">
        <v>0.0</v>
      </c>
      <c r="V36" s="189">
        <v>0.0</v>
      </c>
      <c r="W36" s="189">
        <v>0.0</v>
      </c>
      <c r="X36" s="189">
        <v>0.0</v>
      </c>
      <c r="Y36" s="189">
        <v>0.0</v>
      </c>
      <c r="Z36" s="189">
        <v>0.0</v>
      </c>
      <c r="AA36" s="189">
        <v>0.0</v>
      </c>
      <c r="AB36" s="189">
        <v>0.0</v>
      </c>
      <c r="AC36" s="167">
        <v>217.0</v>
      </c>
    </row>
    <row r="37" ht="15.75" customHeight="1">
      <c r="G37" s="259"/>
    </row>
    <row r="38" ht="15.75" customHeight="1">
      <c r="G38" s="259"/>
    </row>
    <row r="39" ht="15.75" customHeight="1">
      <c r="G39" s="259"/>
    </row>
    <row r="40" ht="15.75" customHeight="1">
      <c r="G40" s="259"/>
    </row>
    <row r="41" ht="15.75" customHeight="1">
      <c r="G41" s="259"/>
    </row>
    <row r="42" ht="15.75" customHeight="1">
      <c r="G42" s="259"/>
    </row>
    <row r="43" ht="15.75" customHeight="1">
      <c r="G43" s="259"/>
    </row>
    <row r="44" ht="15.75" customHeight="1">
      <c r="G44" s="259"/>
    </row>
    <row r="45" ht="15.75" customHeight="1">
      <c r="G45" s="259"/>
    </row>
    <row r="46" ht="15.75" customHeight="1">
      <c r="G46" s="259"/>
    </row>
    <row r="47" ht="15.75" customHeight="1">
      <c r="G47" s="259"/>
    </row>
    <row r="48" ht="15.75" customHeight="1">
      <c r="G48" s="259"/>
    </row>
    <row r="49" ht="15.75" customHeight="1">
      <c r="G49" s="259"/>
    </row>
    <row r="50" ht="15.75" customHeight="1">
      <c r="G50" s="259"/>
    </row>
    <row r="51" ht="15.75" customHeight="1">
      <c r="G51" s="259"/>
    </row>
    <row r="52" ht="15.75" customHeight="1">
      <c r="G52" s="259"/>
    </row>
    <row r="53" ht="15.75" customHeight="1">
      <c r="G53" s="259"/>
    </row>
    <row r="54" ht="15.75" customHeight="1">
      <c r="G54" s="259"/>
    </row>
    <row r="55" ht="15.75" customHeight="1">
      <c r="G55" s="259"/>
    </row>
    <row r="56" ht="15.75" customHeight="1">
      <c r="G56" s="259"/>
    </row>
    <row r="57" ht="15.75" customHeight="1">
      <c r="G57" s="259"/>
    </row>
    <row r="58" ht="15.75" customHeight="1">
      <c r="G58" s="259"/>
    </row>
    <row r="59" ht="15.75" customHeight="1">
      <c r="G59" s="259"/>
    </row>
    <row r="60" ht="15.75" customHeight="1">
      <c r="G60" s="259"/>
    </row>
    <row r="61" ht="15.75" customHeight="1">
      <c r="G61" s="259"/>
    </row>
    <row r="62" ht="15.75" customHeight="1">
      <c r="G62" s="259"/>
    </row>
    <row r="63" ht="15.75" customHeight="1">
      <c r="G63" s="259"/>
    </row>
    <row r="64" ht="15.75" customHeight="1">
      <c r="G64" s="259"/>
    </row>
    <row r="65" ht="15.75" customHeight="1">
      <c r="G65" s="259"/>
    </row>
    <row r="66" ht="15.75" customHeight="1">
      <c r="G66" s="259"/>
    </row>
    <row r="67" ht="15.75" customHeight="1">
      <c r="G67" s="259"/>
    </row>
    <row r="68" ht="15.75" customHeight="1">
      <c r="G68" s="259"/>
    </row>
    <row r="69" ht="15.75" customHeight="1">
      <c r="G69" s="259"/>
    </row>
    <row r="70" ht="15.75" customHeight="1">
      <c r="G70" s="259"/>
    </row>
    <row r="71" ht="15.75" customHeight="1">
      <c r="G71" s="259"/>
    </row>
    <row r="72" ht="15.75" customHeight="1">
      <c r="G72" s="259"/>
    </row>
    <row r="73" ht="15.75" customHeight="1">
      <c r="G73" s="259"/>
    </row>
    <row r="74" ht="15.75" customHeight="1">
      <c r="G74" s="259"/>
    </row>
    <row r="75" ht="15.75" customHeight="1">
      <c r="G75" s="259"/>
    </row>
    <row r="76" ht="15.75" customHeight="1">
      <c r="G76" s="259"/>
    </row>
    <row r="77" ht="15.75" customHeight="1">
      <c r="G77" s="259"/>
    </row>
    <row r="78" ht="15.75" customHeight="1">
      <c r="G78" s="259"/>
    </row>
    <row r="79" ht="15.75" customHeight="1">
      <c r="G79" s="259"/>
    </row>
    <row r="80" ht="15.75" customHeight="1">
      <c r="G80" s="259"/>
    </row>
    <row r="81" ht="15.75" customHeight="1">
      <c r="G81" s="259"/>
    </row>
    <row r="82" ht="15.75" customHeight="1">
      <c r="G82" s="259"/>
    </row>
    <row r="83" ht="15.75" customHeight="1">
      <c r="G83" s="259"/>
    </row>
    <row r="84" ht="15.75" customHeight="1">
      <c r="G84" s="259"/>
    </row>
    <row r="85" ht="15.75" customHeight="1">
      <c r="G85" s="259"/>
    </row>
    <row r="86" ht="15.75" customHeight="1">
      <c r="G86" s="259"/>
    </row>
    <row r="87" ht="15.75" customHeight="1">
      <c r="G87" s="259"/>
    </row>
    <row r="88" ht="15.75" customHeight="1">
      <c r="G88" s="259"/>
    </row>
    <row r="89" ht="15.75" customHeight="1">
      <c r="G89" s="259"/>
    </row>
    <row r="90" ht="15.75" customHeight="1">
      <c r="G90" s="259"/>
    </row>
    <row r="91" ht="15.75" customHeight="1">
      <c r="G91" s="259"/>
    </row>
    <row r="92" ht="15.75" customHeight="1">
      <c r="G92" s="259"/>
    </row>
    <row r="93" ht="15.75" customHeight="1">
      <c r="G93" s="259"/>
    </row>
    <row r="94" ht="15.75" customHeight="1">
      <c r="G94" s="259"/>
    </row>
    <row r="95" ht="15.75" customHeight="1">
      <c r="G95" s="259"/>
    </row>
    <row r="96" ht="15.75" customHeight="1">
      <c r="G96" s="259"/>
    </row>
    <row r="97" ht="15.75" customHeight="1">
      <c r="G97" s="259"/>
    </row>
    <row r="98" ht="15.75" customHeight="1">
      <c r="G98" s="259"/>
    </row>
    <row r="99" ht="15.75" customHeight="1">
      <c r="G99" s="259"/>
    </row>
    <row r="100" ht="15.75" customHeight="1">
      <c r="G100" s="259"/>
    </row>
    <row r="101" ht="15.75" customHeight="1">
      <c r="G101" s="259"/>
    </row>
    <row r="102" ht="15.75" customHeight="1">
      <c r="G102" s="259"/>
    </row>
    <row r="103" ht="15.75" customHeight="1">
      <c r="G103" s="259"/>
    </row>
    <row r="104" ht="15.75" customHeight="1">
      <c r="G104" s="259"/>
    </row>
    <row r="105" ht="15.75" customHeight="1">
      <c r="G105" s="259"/>
    </row>
    <row r="106" ht="15.75" customHeight="1">
      <c r="G106" s="259"/>
    </row>
    <row r="107" ht="15.75" customHeight="1">
      <c r="G107" s="259"/>
    </row>
    <row r="108" ht="15.75" customHeight="1">
      <c r="G108" s="259"/>
    </row>
    <row r="109" ht="15.75" customHeight="1">
      <c r="G109" s="259"/>
    </row>
    <row r="110" ht="15.75" customHeight="1">
      <c r="G110" s="259"/>
    </row>
    <row r="111" ht="15.75" customHeight="1">
      <c r="G111" s="259"/>
    </row>
    <row r="112" ht="15.75" customHeight="1">
      <c r="G112" s="259"/>
    </row>
    <row r="113" ht="15.75" customHeight="1">
      <c r="G113" s="259"/>
    </row>
    <row r="114" ht="15.75" customHeight="1">
      <c r="G114" s="259"/>
    </row>
    <row r="115" ht="15.75" customHeight="1">
      <c r="G115" s="259"/>
    </row>
    <row r="116" ht="15.75" customHeight="1">
      <c r="G116" s="259"/>
    </row>
    <row r="117" ht="15.75" customHeight="1">
      <c r="G117" s="259"/>
    </row>
    <row r="118" ht="15.75" customHeight="1">
      <c r="G118" s="259"/>
    </row>
    <row r="119" ht="15.75" customHeight="1">
      <c r="G119" s="259"/>
    </row>
    <row r="120" ht="15.75" customHeight="1">
      <c r="G120" s="259"/>
    </row>
    <row r="121" ht="15.75" customHeight="1">
      <c r="G121" s="259"/>
    </row>
    <row r="122" ht="15.75" customHeight="1">
      <c r="G122" s="259"/>
    </row>
    <row r="123" ht="15.75" customHeight="1">
      <c r="G123" s="259"/>
    </row>
    <row r="124" ht="15.75" customHeight="1">
      <c r="G124" s="259"/>
    </row>
    <row r="125" ht="15.75" customHeight="1">
      <c r="G125" s="259"/>
    </row>
    <row r="126" ht="15.75" customHeight="1">
      <c r="G126" s="259"/>
    </row>
    <row r="127" ht="15.75" customHeight="1">
      <c r="G127" s="259"/>
    </row>
    <row r="128" ht="15.75" customHeight="1">
      <c r="G128" s="259"/>
    </row>
    <row r="129" ht="15.75" customHeight="1">
      <c r="G129" s="259"/>
    </row>
    <row r="130" ht="15.75" customHeight="1">
      <c r="G130" s="259"/>
    </row>
    <row r="131" ht="15.75" customHeight="1">
      <c r="G131" s="259"/>
    </row>
    <row r="132" ht="15.75" customHeight="1">
      <c r="G132" s="259"/>
    </row>
    <row r="133" ht="15.75" customHeight="1">
      <c r="G133" s="259"/>
    </row>
    <row r="134" ht="15.75" customHeight="1">
      <c r="G134" s="259"/>
    </row>
    <row r="135" ht="15.75" customHeight="1">
      <c r="G135" s="259"/>
    </row>
    <row r="136" ht="15.75" customHeight="1">
      <c r="G136" s="259"/>
    </row>
    <row r="137" ht="15.75" customHeight="1">
      <c r="G137" s="259"/>
    </row>
    <row r="138" ht="15.75" customHeight="1">
      <c r="G138" s="259"/>
    </row>
    <row r="139" ht="15.75" customHeight="1">
      <c r="G139" s="259"/>
    </row>
    <row r="140" ht="15.75" customHeight="1">
      <c r="G140" s="259"/>
    </row>
    <row r="141" ht="15.75" customHeight="1">
      <c r="G141" s="259"/>
    </row>
    <row r="142" ht="15.75" customHeight="1">
      <c r="G142" s="259"/>
    </row>
    <row r="143" ht="15.75" customHeight="1">
      <c r="G143" s="259"/>
    </row>
    <row r="144" ht="15.75" customHeight="1">
      <c r="G144" s="259"/>
    </row>
    <row r="145" ht="15.75" customHeight="1">
      <c r="G145" s="259"/>
    </row>
    <row r="146" ht="15.75" customHeight="1">
      <c r="G146" s="259"/>
    </row>
    <row r="147" ht="15.75" customHeight="1">
      <c r="G147" s="259"/>
    </row>
    <row r="148" ht="15.75" customHeight="1">
      <c r="G148" s="259"/>
    </row>
    <row r="149" ht="15.75" customHeight="1">
      <c r="G149" s="259"/>
    </row>
    <row r="150" ht="15.75" customHeight="1">
      <c r="G150" s="259"/>
    </row>
    <row r="151" ht="15.75" customHeight="1">
      <c r="G151" s="259"/>
    </row>
    <row r="152" ht="15.75" customHeight="1">
      <c r="G152" s="259"/>
    </row>
    <row r="153" ht="15.75" customHeight="1">
      <c r="G153" s="259"/>
    </row>
    <row r="154" ht="15.75" customHeight="1">
      <c r="G154" s="259"/>
    </row>
    <row r="155" ht="15.75" customHeight="1">
      <c r="G155" s="259"/>
    </row>
    <row r="156" ht="15.75" customHeight="1">
      <c r="G156" s="259"/>
    </row>
    <row r="157" ht="15.75" customHeight="1">
      <c r="G157" s="259"/>
    </row>
    <row r="158" ht="15.75" customHeight="1">
      <c r="G158" s="259"/>
    </row>
    <row r="159" ht="15.75" customHeight="1">
      <c r="G159" s="259"/>
    </row>
    <row r="160" ht="15.75" customHeight="1">
      <c r="G160" s="259"/>
    </row>
    <row r="161" ht="15.75" customHeight="1">
      <c r="G161" s="259"/>
    </row>
    <row r="162" ht="15.75" customHeight="1">
      <c r="G162" s="259"/>
    </row>
    <row r="163" ht="15.75" customHeight="1">
      <c r="G163" s="259"/>
    </row>
    <row r="164" ht="15.75" customHeight="1">
      <c r="G164" s="259"/>
    </row>
    <row r="165" ht="15.75" customHeight="1">
      <c r="G165" s="259"/>
    </row>
    <row r="166" ht="15.75" customHeight="1">
      <c r="G166" s="259"/>
    </row>
    <row r="167" ht="15.75" customHeight="1">
      <c r="G167" s="259"/>
    </row>
    <row r="168" ht="15.75" customHeight="1">
      <c r="G168" s="259"/>
    </row>
    <row r="169" ht="15.75" customHeight="1">
      <c r="G169" s="259"/>
    </row>
    <row r="170" ht="15.75" customHeight="1">
      <c r="G170" s="259"/>
    </row>
    <row r="171" ht="15.75" customHeight="1">
      <c r="G171" s="259"/>
    </row>
    <row r="172" ht="15.75" customHeight="1">
      <c r="G172" s="259"/>
    </row>
    <row r="173" ht="15.75" customHeight="1">
      <c r="G173" s="259"/>
    </row>
    <row r="174" ht="15.75" customHeight="1">
      <c r="G174" s="259"/>
    </row>
    <row r="175" ht="15.75" customHeight="1">
      <c r="G175" s="259"/>
    </row>
    <row r="176" ht="15.75" customHeight="1">
      <c r="G176" s="259"/>
    </row>
    <row r="177" ht="15.75" customHeight="1">
      <c r="G177" s="259"/>
    </row>
    <row r="178" ht="15.75" customHeight="1">
      <c r="G178" s="259"/>
    </row>
    <row r="179" ht="15.75" customHeight="1">
      <c r="G179" s="259"/>
    </row>
    <row r="180" ht="15.75" customHeight="1">
      <c r="G180" s="259"/>
    </row>
    <row r="181" ht="15.75" customHeight="1">
      <c r="G181" s="259"/>
    </row>
    <row r="182" ht="15.75" customHeight="1">
      <c r="G182" s="259"/>
    </row>
    <row r="183" ht="15.75" customHeight="1">
      <c r="G183" s="259"/>
    </row>
    <row r="184" ht="15.75" customHeight="1">
      <c r="G184" s="259"/>
    </row>
    <row r="185" ht="15.75" customHeight="1">
      <c r="G185" s="259"/>
    </row>
    <row r="186" ht="15.75" customHeight="1">
      <c r="G186" s="259"/>
    </row>
    <row r="187" ht="15.75" customHeight="1">
      <c r="G187" s="259"/>
    </row>
    <row r="188" ht="15.75" customHeight="1">
      <c r="G188" s="259"/>
    </row>
    <row r="189" ht="15.75" customHeight="1">
      <c r="G189" s="259"/>
    </row>
    <row r="190" ht="15.75" customHeight="1">
      <c r="G190" s="259"/>
    </row>
    <row r="191" ht="15.75" customHeight="1">
      <c r="G191" s="259"/>
    </row>
    <row r="192" ht="15.75" customHeight="1">
      <c r="G192" s="259"/>
    </row>
    <row r="193" ht="15.75" customHeight="1">
      <c r="G193" s="259"/>
    </row>
    <row r="194" ht="15.75" customHeight="1">
      <c r="G194" s="259"/>
    </row>
    <row r="195" ht="15.75" customHeight="1">
      <c r="G195" s="259"/>
    </row>
    <row r="196" ht="15.75" customHeight="1">
      <c r="G196" s="259"/>
    </row>
    <row r="197" ht="15.75" customHeight="1">
      <c r="G197" s="259"/>
    </row>
    <row r="198" ht="15.75" customHeight="1">
      <c r="G198" s="259"/>
    </row>
    <row r="199" ht="15.75" customHeight="1">
      <c r="G199" s="259"/>
    </row>
    <row r="200" ht="15.75" customHeight="1">
      <c r="G200" s="259"/>
    </row>
    <row r="201" ht="15.75" customHeight="1">
      <c r="G201" s="259"/>
    </row>
    <row r="202" ht="15.75" customHeight="1">
      <c r="G202" s="259"/>
    </row>
    <row r="203" ht="15.75" customHeight="1">
      <c r="G203" s="259"/>
    </row>
    <row r="204" ht="15.75" customHeight="1">
      <c r="G204" s="259"/>
    </row>
    <row r="205" ht="15.75" customHeight="1">
      <c r="G205" s="259"/>
    </row>
    <row r="206" ht="15.75" customHeight="1">
      <c r="G206" s="259"/>
    </row>
    <row r="207" ht="15.75" customHeight="1">
      <c r="G207" s="259"/>
    </row>
    <row r="208" ht="15.75" customHeight="1">
      <c r="G208" s="259"/>
    </row>
    <row r="209" ht="15.75" customHeight="1">
      <c r="G209" s="259"/>
    </row>
    <row r="210" ht="15.75" customHeight="1">
      <c r="G210" s="259"/>
    </row>
    <row r="211" ht="15.75" customHeight="1">
      <c r="G211" s="259"/>
    </row>
    <row r="212" ht="15.75" customHeight="1">
      <c r="G212" s="259"/>
    </row>
    <row r="213" ht="15.75" customHeight="1">
      <c r="G213" s="259"/>
    </row>
    <row r="214" ht="15.75" customHeight="1">
      <c r="G214" s="259"/>
    </row>
    <row r="215" ht="15.75" customHeight="1">
      <c r="G215" s="259"/>
    </row>
    <row r="216" ht="15.75" customHeight="1">
      <c r="G216" s="259"/>
    </row>
    <row r="217" ht="15.75" customHeight="1">
      <c r="G217" s="259"/>
    </row>
    <row r="218" ht="15.75" customHeight="1">
      <c r="G218" s="259"/>
    </row>
    <row r="219" ht="15.75" customHeight="1">
      <c r="G219" s="259"/>
    </row>
    <row r="220" ht="15.75" customHeight="1">
      <c r="G220" s="259"/>
    </row>
    <row r="221" ht="15.75" customHeight="1">
      <c r="G221" s="259"/>
    </row>
    <row r="222" ht="15.75" customHeight="1">
      <c r="G222" s="259"/>
    </row>
    <row r="223" ht="15.75" customHeight="1">
      <c r="G223" s="259"/>
    </row>
    <row r="224" ht="15.75" customHeight="1">
      <c r="G224" s="259"/>
    </row>
    <row r="225" ht="15.75" customHeight="1">
      <c r="G225" s="259"/>
    </row>
    <row r="226" ht="15.75" customHeight="1">
      <c r="G226" s="259"/>
    </row>
    <row r="227" ht="15.75" customHeight="1">
      <c r="G227" s="259"/>
    </row>
    <row r="228" ht="15.75" customHeight="1">
      <c r="G228" s="259"/>
    </row>
    <row r="229" ht="15.75" customHeight="1">
      <c r="G229" s="259"/>
    </row>
    <row r="230" ht="15.75" customHeight="1">
      <c r="G230" s="259"/>
    </row>
    <row r="231" ht="15.75" customHeight="1">
      <c r="G231" s="259"/>
    </row>
    <row r="232" ht="15.75" customHeight="1">
      <c r="G232" s="259"/>
    </row>
    <row r="233" ht="15.75" customHeight="1">
      <c r="G233" s="259"/>
    </row>
    <row r="234" ht="15.75" customHeight="1">
      <c r="G234" s="259"/>
    </row>
    <row r="235" ht="15.75" customHeight="1">
      <c r="G235" s="259"/>
    </row>
    <row r="236" ht="15.75" customHeight="1">
      <c r="G236" s="259"/>
    </row>
    <row r="237" ht="15.75" customHeight="1">
      <c r="G237" s="259"/>
    </row>
    <row r="238" ht="15.75" customHeight="1">
      <c r="G238" s="259"/>
    </row>
    <row r="239" ht="15.75" customHeight="1">
      <c r="G239" s="259"/>
    </row>
    <row r="240" ht="15.75" customHeight="1">
      <c r="G240" s="259"/>
    </row>
    <row r="241" ht="15.75" customHeight="1">
      <c r="G241" s="259"/>
    </row>
    <row r="242" ht="15.75" customHeight="1">
      <c r="G242" s="259"/>
    </row>
    <row r="243" ht="15.75" customHeight="1">
      <c r="G243" s="259"/>
    </row>
    <row r="244" ht="15.75" customHeight="1">
      <c r="G244" s="259"/>
    </row>
    <row r="245" ht="15.75" customHeight="1">
      <c r="G245" s="259"/>
    </row>
    <row r="246" ht="15.75" customHeight="1">
      <c r="G246" s="259"/>
    </row>
    <row r="247" ht="15.75" customHeight="1">
      <c r="G247" s="259"/>
    </row>
    <row r="248" ht="15.75" customHeight="1">
      <c r="G248" s="259"/>
    </row>
    <row r="249" ht="15.75" customHeight="1">
      <c r="G249" s="259"/>
    </row>
    <row r="250" ht="15.75" customHeight="1">
      <c r="G250" s="259"/>
    </row>
    <row r="251" ht="15.75" customHeight="1">
      <c r="G251" s="259"/>
    </row>
    <row r="252" ht="15.75" customHeight="1">
      <c r="G252" s="259"/>
    </row>
    <row r="253" ht="15.75" customHeight="1">
      <c r="G253" s="259"/>
    </row>
    <row r="254" ht="15.75" customHeight="1">
      <c r="G254" s="259"/>
    </row>
    <row r="255" ht="15.75" customHeight="1">
      <c r="G255" s="259"/>
    </row>
    <row r="256" ht="15.75" customHeight="1">
      <c r="G256" s="259"/>
    </row>
    <row r="257" ht="15.75" customHeight="1">
      <c r="G257" s="259"/>
    </row>
    <row r="258" ht="15.75" customHeight="1">
      <c r="G258" s="259"/>
    </row>
    <row r="259" ht="15.75" customHeight="1">
      <c r="G259" s="259"/>
    </row>
    <row r="260" ht="15.75" customHeight="1">
      <c r="G260" s="259"/>
    </row>
    <row r="261" ht="15.75" customHeight="1">
      <c r="G261" s="259"/>
    </row>
    <row r="262" ht="15.75" customHeight="1">
      <c r="G262" s="259"/>
    </row>
    <row r="263" ht="15.75" customHeight="1">
      <c r="G263" s="259"/>
    </row>
    <row r="264" ht="15.75" customHeight="1">
      <c r="G264" s="259"/>
    </row>
    <row r="265" ht="15.75" customHeight="1">
      <c r="G265" s="259"/>
    </row>
    <row r="266" ht="15.75" customHeight="1">
      <c r="G266" s="259"/>
    </row>
    <row r="267" ht="15.75" customHeight="1">
      <c r="G267" s="259"/>
    </row>
    <row r="268" ht="15.75" customHeight="1">
      <c r="G268" s="259"/>
    </row>
    <row r="269" ht="15.75" customHeight="1">
      <c r="G269" s="259"/>
    </row>
    <row r="270" ht="15.75" customHeight="1">
      <c r="G270" s="259"/>
    </row>
    <row r="271" ht="15.75" customHeight="1">
      <c r="G271" s="259"/>
    </row>
    <row r="272" ht="15.75" customHeight="1">
      <c r="G272" s="259"/>
    </row>
    <row r="273" ht="15.75" customHeight="1">
      <c r="G273" s="259"/>
    </row>
    <row r="274" ht="15.75" customHeight="1">
      <c r="G274" s="259"/>
    </row>
    <row r="275" ht="15.75" customHeight="1">
      <c r="G275" s="259"/>
    </row>
    <row r="276" ht="15.75" customHeight="1">
      <c r="G276" s="259"/>
    </row>
    <row r="277" ht="15.75" customHeight="1">
      <c r="G277" s="259"/>
    </row>
    <row r="278" ht="15.75" customHeight="1">
      <c r="G278" s="259"/>
    </row>
    <row r="279" ht="15.75" customHeight="1">
      <c r="G279" s="259"/>
    </row>
    <row r="280" ht="15.75" customHeight="1">
      <c r="G280" s="259"/>
    </row>
    <row r="281" ht="15.75" customHeight="1">
      <c r="G281" s="259"/>
    </row>
    <row r="282" ht="15.75" customHeight="1">
      <c r="G282" s="259"/>
    </row>
    <row r="283" ht="15.75" customHeight="1">
      <c r="G283" s="259"/>
    </row>
    <row r="284" ht="15.75" customHeight="1">
      <c r="G284" s="259"/>
    </row>
    <row r="285" ht="15.75" customHeight="1">
      <c r="G285" s="259"/>
    </row>
    <row r="286" ht="15.75" customHeight="1">
      <c r="G286" s="259"/>
    </row>
    <row r="287" ht="15.75" customHeight="1">
      <c r="G287" s="259"/>
    </row>
    <row r="288" ht="15.75" customHeight="1">
      <c r="G288" s="259"/>
    </row>
    <row r="289" ht="15.75" customHeight="1">
      <c r="G289" s="259"/>
    </row>
    <row r="290" ht="15.75" customHeight="1">
      <c r="G290" s="259"/>
    </row>
    <row r="291" ht="15.75" customHeight="1">
      <c r="G291" s="259"/>
    </row>
    <row r="292" ht="15.75" customHeight="1">
      <c r="G292" s="259"/>
    </row>
    <row r="293" ht="15.75" customHeight="1">
      <c r="G293" s="259"/>
    </row>
    <row r="294" ht="15.75" customHeight="1">
      <c r="G294" s="259"/>
    </row>
    <row r="295" ht="15.75" customHeight="1">
      <c r="G295" s="259"/>
    </row>
    <row r="296" ht="15.75" customHeight="1">
      <c r="G296" s="259"/>
    </row>
    <row r="297" ht="15.75" customHeight="1">
      <c r="G297" s="259"/>
    </row>
    <row r="298" ht="15.75" customHeight="1">
      <c r="G298" s="259"/>
    </row>
    <row r="299" ht="15.75" customHeight="1">
      <c r="G299" s="259"/>
    </row>
    <row r="300" ht="15.75" customHeight="1">
      <c r="G300" s="259"/>
    </row>
    <row r="301" ht="15.75" customHeight="1">
      <c r="G301" s="259"/>
    </row>
    <row r="302" ht="15.75" customHeight="1">
      <c r="G302" s="259"/>
    </row>
    <row r="303" ht="15.75" customHeight="1">
      <c r="G303" s="259"/>
    </row>
    <row r="304" ht="15.75" customHeight="1">
      <c r="G304" s="259"/>
    </row>
    <row r="305" ht="15.75" customHeight="1">
      <c r="G305" s="259"/>
    </row>
    <row r="306" ht="15.75" customHeight="1">
      <c r="G306" s="259"/>
    </row>
    <row r="307" ht="15.75" customHeight="1">
      <c r="G307" s="259"/>
    </row>
    <row r="308" ht="15.75" customHeight="1">
      <c r="G308" s="259"/>
    </row>
    <row r="309" ht="15.75" customHeight="1">
      <c r="G309" s="259"/>
    </row>
    <row r="310" ht="15.75" customHeight="1">
      <c r="G310" s="259"/>
    </row>
    <row r="311" ht="15.75" customHeight="1">
      <c r="G311" s="259"/>
    </row>
    <row r="312" ht="15.75" customHeight="1">
      <c r="G312" s="259"/>
    </row>
    <row r="313" ht="15.75" customHeight="1">
      <c r="G313" s="259"/>
    </row>
    <row r="314" ht="15.75" customHeight="1">
      <c r="G314" s="259"/>
    </row>
    <row r="315" ht="15.75" customHeight="1">
      <c r="G315" s="259"/>
    </row>
    <row r="316" ht="15.75" customHeight="1">
      <c r="G316" s="259"/>
    </row>
    <row r="317" ht="15.75" customHeight="1">
      <c r="G317" s="259"/>
    </row>
    <row r="318" ht="15.75" customHeight="1">
      <c r="G318" s="259"/>
    </row>
    <row r="319" ht="15.75" customHeight="1">
      <c r="G319" s="259"/>
    </row>
    <row r="320" ht="15.75" customHeight="1">
      <c r="G320" s="259"/>
    </row>
    <row r="321" ht="15.75" customHeight="1">
      <c r="G321" s="259"/>
    </row>
    <row r="322" ht="15.75" customHeight="1">
      <c r="G322" s="259"/>
    </row>
    <row r="323" ht="15.75" customHeight="1">
      <c r="G323" s="259"/>
    </row>
    <row r="324" ht="15.75" customHeight="1">
      <c r="G324" s="259"/>
    </row>
    <row r="325" ht="15.75" customHeight="1">
      <c r="G325" s="259"/>
    </row>
    <row r="326" ht="15.75" customHeight="1">
      <c r="G326" s="259"/>
    </row>
    <row r="327" ht="15.75" customHeight="1">
      <c r="G327" s="259"/>
    </row>
    <row r="328" ht="15.75" customHeight="1">
      <c r="G328" s="259"/>
    </row>
    <row r="329" ht="15.75" customHeight="1">
      <c r="G329" s="259"/>
    </row>
    <row r="330" ht="15.75" customHeight="1">
      <c r="G330" s="259"/>
    </row>
    <row r="331" ht="15.75" customHeight="1">
      <c r="G331" s="259"/>
    </row>
    <row r="332" ht="15.75" customHeight="1">
      <c r="G332" s="259"/>
    </row>
    <row r="333" ht="15.75" customHeight="1">
      <c r="G333" s="259"/>
    </row>
    <row r="334" ht="15.75" customHeight="1">
      <c r="G334" s="259"/>
    </row>
    <row r="335" ht="15.75" customHeight="1">
      <c r="G335" s="259"/>
    </row>
    <row r="336" ht="15.75" customHeight="1">
      <c r="G336" s="259"/>
    </row>
    <row r="337" ht="15.75" customHeight="1">
      <c r="G337" s="259"/>
    </row>
    <row r="338" ht="15.75" customHeight="1">
      <c r="G338" s="259"/>
    </row>
    <row r="339" ht="15.75" customHeight="1">
      <c r="G339" s="259"/>
    </row>
    <row r="340" ht="15.75" customHeight="1">
      <c r="G340" s="259"/>
    </row>
    <row r="341" ht="15.75" customHeight="1">
      <c r="G341" s="259"/>
    </row>
    <row r="342" ht="15.75" customHeight="1">
      <c r="G342" s="259"/>
    </row>
    <row r="343" ht="15.75" customHeight="1">
      <c r="G343" s="259"/>
    </row>
    <row r="344" ht="15.75" customHeight="1">
      <c r="G344" s="259"/>
    </row>
    <row r="345" ht="15.75" customHeight="1">
      <c r="G345" s="259"/>
    </row>
    <row r="346" ht="15.75" customHeight="1">
      <c r="G346" s="259"/>
    </row>
    <row r="347" ht="15.75" customHeight="1">
      <c r="G347" s="259"/>
    </row>
    <row r="348" ht="15.75" customHeight="1">
      <c r="G348" s="259"/>
    </row>
    <row r="349" ht="15.75" customHeight="1">
      <c r="G349" s="259"/>
    </row>
    <row r="350" ht="15.75" customHeight="1">
      <c r="G350" s="259"/>
    </row>
    <row r="351" ht="15.75" customHeight="1">
      <c r="G351" s="259"/>
    </row>
    <row r="352" ht="15.75" customHeight="1">
      <c r="G352" s="259"/>
    </row>
    <row r="353" ht="15.75" customHeight="1">
      <c r="G353" s="259"/>
    </row>
    <row r="354" ht="15.75" customHeight="1">
      <c r="G354" s="259"/>
    </row>
    <row r="355" ht="15.75" customHeight="1">
      <c r="G355" s="259"/>
    </row>
    <row r="356" ht="15.75" customHeight="1">
      <c r="G356" s="259"/>
    </row>
    <row r="357" ht="15.75" customHeight="1">
      <c r="G357" s="259"/>
    </row>
    <row r="358" ht="15.75" customHeight="1">
      <c r="G358" s="259"/>
    </row>
    <row r="359" ht="15.75" customHeight="1">
      <c r="G359" s="259"/>
    </row>
    <row r="360" ht="15.75" customHeight="1">
      <c r="G360" s="259"/>
    </row>
    <row r="361" ht="15.75" customHeight="1">
      <c r="G361" s="259"/>
    </row>
    <row r="362" ht="15.75" customHeight="1">
      <c r="G362" s="259"/>
    </row>
    <row r="363" ht="15.75" customHeight="1">
      <c r="G363" s="259"/>
    </row>
    <row r="364" ht="15.75" customHeight="1">
      <c r="G364" s="259"/>
    </row>
    <row r="365" ht="15.75" customHeight="1">
      <c r="G365" s="259"/>
    </row>
    <row r="366" ht="15.75" customHeight="1">
      <c r="G366" s="259"/>
    </row>
    <row r="367" ht="15.75" customHeight="1">
      <c r="G367" s="259"/>
    </row>
    <row r="368" ht="15.75" customHeight="1">
      <c r="G368" s="259"/>
    </row>
    <row r="369" ht="15.75" customHeight="1">
      <c r="G369" s="259"/>
    </row>
    <row r="370" ht="15.75" customHeight="1">
      <c r="G370" s="259"/>
    </row>
    <row r="371" ht="15.75" customHeight="1">
      <c r="G371" s="259"/>
    </row>
    <row r="372" ht="15.75" customHeight="1">
      <c r="G372" s="259"/>
    </row>
    <row r="373" ht="15.75" customHeight="1">
      <c r="G373" s="259"/>
    </row>
    <row r="374" ht="15.75" customHeight="1">
      <c r="G374" s="259"/>
    </row>
    <row r="375" ht="15.75" customHeight="1">
      <c r="G375" s="259"/>
    </row>
    <row r="376" ht="15.75" customHeight="1">
      <c r="G376" s="259"/>
    </row>
    <row r="377" ht="15.75" customHeight="1">
      <c r="G377" s="259"/>
    </row>
    <row r="378" ht="15.75" customHeight="1">
      <c r="G378" s="259"/>
    </row>
    <row r="379" ht="15.75" customHeight="1">
      <c r="G379" s="259"/>
    </row>
    <row r="380" ht="15.75" customHeight="1">
      <c r="G380" s="259"/>
    </row>
    <row r="381" ht="15.75" customHeight="1">
      <c r="G381" s="259"/>
    </row>
    <row r="382" ht="15.75" customHeight="1">
      <c r="G382" s="259"/>
    </row>
    <row r="383" ht="15.75" customHeight="1">
      <c r="G383" s="259"/>
    </row>
    <row r="384" ht="15.75" customHeight="1">
      <c r="G384" s="259"/>
    </row>
    <row r="385" ht="15.75" customHeight="1">
      <c r="G385" s="259"/>
    </row>
    <row r="386" ht="15.75" customHeight="1">
      <c r="G386" s="259"/>
    </row>
    <row r="387" ht="15.75" customHeight="1">
      <c r="G387" s="259"/>
    </row>
    <row r="388" ht="15.75" customHeight="1">
      <c r="G388" s="259"/>
    </row>
    <row r="389" ht="15.75" customHeight="1">
      <c r="G389" s="259"/>
    </row>
    <row r="390" ht="15.75" customHeight="1">
      <c r="G390" s="259"/>
    </row>
    <row r="391" ht="15.75" customHeight="1">
      <c r="G391" s="259"/>
    </row>
    <row r="392" ht="15.75" customHeight="1">
      <c r="G392" s="259"/>
    </row>
    <row r="393" ht="15.75" customHeight="1">
      <c r="G393" s="259"/>
    </row>
    <row r="394" ht="15.75" customHeight="1">
      <c r="G394" s="259"/>
    </row>
    <row r="395" ht="15.75" customHeight="1">
      <c r="G395" s="259"/>
    </row>
    <row r="396" ht="15.75" customHeight="1">
      <c r="G396" s="259"/>
    </row>
    <row r="397" ht="15.75" customHeight="1">
      <c r="G397" s="259"/>
    </row>
    <row r="398" ht="15.75" customHeight="1">
      <c r="G398" s="259"/>
    </row>
    <row r="399" ht="15.75" customHeight="1">
      <c r="G399" s="259"/>
    </row>
    <row r="400" ht="15.75" customHeight="1">
      <c r="G400" s="259"/>
    </row>
    <row r="401" ht="15.75" customHeight="1">
      <c r="G401" s="259"/>
    </row>
    <row r="402" ht="15.75" customHeight="1">
      <c r="G402" s="259"/>
    </row>
    <row r="403" ht="15.75" customHeight="1">
      <c r="G403" s="259"/>
    </row>
    <row r="404" ht="15.75" customHeight="1">
      <c r="G404" s="259"/>
    </row>
    <row r="405" ht="15.75" customHeight="1">
      <c r="G405" s="259"/>
    </row>
    <row r="406" ht="15.75" customHeight="1">
      <c r="G406" s="259"/>
    </row>
    <row r="407" ht="15.75" customHeight="1">
      <c r="G407" s="259"/>
    </row>
    <row r="408" ht="15.75" customHeight="1">
      <c r="G408" s="259"/>
    </row>
    <row r="409" ht="15.75" customHeight="1">
      <c r="G409" s="259"/>
    </row>
    <row r="410" ht="15.75" customHeight="1">
      <c r="G410" s="259"/>
    </row>
    <row r="411" ht="15.75" customHeight="1">
      <c r="G411" s="259"/>
    </row>
    <row r="412" ht="15.75" customHeight="1">
      <c r="G412" s="259"/>
    </row>
    <row r="413" ht="15.75" customHeight="1">
      <c r="G413" s="259"/>
    </row>
    <row r="414" ht="15.75" customHeight="1">
      <c r="G414" s="259"/>
    </row>
    <row r="415" ht="15.75" customHeight="1">
      <c r="G415" s="259"/>
    </row>
    <row r="416" ht="15.75" customHeight="1">
      <c r="G416" s="259"/>
    </row>
    <row r="417" ht="15.75" customHeight="1">
      <c r="G417" s="259"/>
    </row>
    <row r="418" ht="15.75" customHeight="1">
      <c r="G418" s="259"/>
    </row>
    <row r="419" ht="15.75" customHeight="1">
      <c r="G419" s="259"/>
    </row>
    <row r="420" ht="15.75" customHeight="1">
      <c r="G420" s="259"/>
    </row>
    <row r="421" ht="15.75" customHeight="1">
      <c r="G421" s="259"/>
    </row>
    <row r="422" ht="15.75" customHeight="1">
      <c r="G422" s="259"/>
    </row>
    <row r="423" ht="15.75" customHeight="1">
      <c r="G423" s="259"/>
    </row>
    <row r="424" ht="15.75" customHeight="1">
      <c r="G424" s="259"/>
    </row>
    <row r="425" ht="15.75" customHeight="1">
      <c r="G425" s="259"/>
    </row>
    <row r="426" ht="15.75" customHeight="1">
      <c r="G426" s="259"/>
    </row>
    <row r="427" ht="15.75" customHeight="1">
      <c r="G427" s="259"/>
    </row>
    <row r="428" ht="15.75" customHeight="1">
      <c r="G428" s="259"/>
    </row>
    <row r="429" ht="15.75" customHeight="1">
      <c r="G429" s="259"/>
    </row>
    <row r="430" ht="15.75" customHeight="1">
      <c r="G430" s="259"/>
    </row>
    <row r="431" ht="15.75" customHeight="1">
      <c r="G431" s="259"/>
    </row>
    <row r="432" ht="15.75" customHeight="1">
      <c r="G432" s="259"/>
    </row>
    <row r="433" ht="15.75" customHeight="1">
      <c r="G433" s="259"/>
    </row>
    <row r="434" ht="15.75" customHeight="1">
      <c r="G434" s="259"/>
    </row>
    <row r="435" ht="15.75" customHeight="1">
      <c r="G435" s="259"/>
    </row>
    <row r="436" ht="15.75" customHeight="1">
      <c r="G436" s="259"/>
    </row>
    <row r="437" ht="15.75" customHeight="1">
      <c r="G437" s="259"/>
    </row>
    <row r="438" ht="15.75" customHeight="1">
      <c r="G438" s="259"/>
    </row>
    <row r="439" ht="15.75" customHeight="1">
      <c r="G439" s="259"/>
    </row>
    <row r="440" ht="15.75" customHeight="1">
      <c r="G440" s="259"/>
    </row>
    <row r="441" ht="15.75" customHeight="1">
      <c r="G441" s="259"/>
    </row>
    <row r="442" ht="15.75" customHeight="1">
      <c r="G442" s="259"/>
    </row>
    <row r="443" ht="15.75" customHeight="1">
      <c r="G443" s="259"/>
    </row>
    <row r="444" ht="15.75" customHeight="1">
      <c r="G444" s="259"/>
    </row>
    <row r="445" ht="15.75" customHeight="1">
      <c r="G445" s="259"/>
    </row>
    <row r="446" ht="15.75" customHeight="1">
      <c r="G446" s="259"/>
    </row>
    <row r="447" ht="15.75" customHeight="1">
      <c r="G447" s="259"/>
    </row>
    <row r="448" ht="15.75" customHeight="1">
      <c r="G448" s="259"/>
    </row>
    <row r="449" ht="15.75" customHeight="1">
      <c r="G449" s="259"/>
    </row>
    <row r="450" ht="15.75" customHeight="1">
      <c r="G450" s="259"/>
    </row>
    <row r="451" ht="15.75" customHeight="1">
      <c r="G451" s="259"/>
    </row>
    <row r="452" ht="15.75" customHeight="1">
      <c r="G452" s="259"/>
    </row>
    <row r="453" ht="15.75" customHeight="1">
      <c r="G453" s="259"/>
    </row>
    <row r="454" ht="15.75" customHeight="1">
      <c r="G454" s="259"/>
    </row>
    <row r="455" ht="15.75" customHeight="1">
      <c r="G455" s="259"/>
    </row>
    <row r="456" ht="15.75" customHeight="1">
      <c r="G456" s="259"/>
    </row>
    <row r="457" ht="15.75" customHeight="1">
      <c r="G457" s="259"/>
    </row>
    <row r="458" ht="15.75" customHeight="1">
      <c r="G458" s="259"/>
    </row>
    <row r="459" ht="15.75" customHeight="1">
      <c r="G459" s="259"/>
    </row>
    <row r="460" ht="15.75" customHeight="1">
      <c r="G460" s="259"/>
    </row>
    <row r="461" ht="15.75" customHeight="1">
      <c r="G461" s="259"/>
    </row>
    <row r="462" ht="15.75" customHeight="1">
      <c r="G462" s="259"/>
    </row>
    <row r="463" ht="15.75" customHeight="1">
      <c r="G463" s="259"/>
    </row>
    <row r="464" ht="15.75" customHeight="1">
      <c r="G464" s="259"/>
    </row>
    <row r="465" ht="15.75" customHeight="1">
      <c r="G465" s="259"/>
    </row>
    <row r="466" ht="15.75" customHeight="1">
      <c r="G466" s="259"/>
    </row>
    <row r="467" ht="15.75" customHeight="1">
      <c r="G467" s="259"/>
    </row>
    <row r="468" ht="15.75" customHeight="1">
      <c r="G468" s="259"/>
    </row>
    <row r="469" ht="15.75" customHeight="1">
      <c r="G469" s="259"/>
    </row>
    <row r="470" ht="15.75" customHeight="1">
      <c r="G470" s="259"/>
    </row>
    <row r="471" ht="15.75" customHeight="1">
      <c r="G471" s="259"/>
    </row>
    <row r="472" ht="15.75" customHeight="1">
      <c r="G472" s="259"/>
    </row>
    <row r="473" ht="15.75" customHeight="1">
      <c r="G473" s="259"/>
    </row>
    <row r="474" ht="15.75" customHeight="1">
      <c r="G474" s="259"/>
    </row>
    <row r="475" ht="15.75" customHeight="1">
      <c r="G475" s="259"/>
    </row>
    <row r="476" ht="15.75" customHeight="1">
      <c r="G476" s="259"/>
    </row>
    <row r="477" ht="15.75" customHeight="1">
      <c r="G477" s="259"/>
    </row>
    <row r="478" ht="15.75" customHeight="1">
      <c r="G478" s="259"/>
    </row>
    <row r="479" ht="15.75" customHeight="1">
      <c r="G479" s="259"/>
    </row>
    <row r="480" ht="15.75" customHeight="1">
      <c r="G480" s="259"/>
    </row>
    <row r="481" ht="15.75" customHeight="1">
      <c r="G481" s="259"/>
    </row>
    <row r="482" ht="15.75" customHeight="1">
      <c r="G482" s="259"/>
    </row>
    <row r="483" ht="15.75" customHeight="1">
      <c r="G483" s="259"/>
    </row>
    <row r="484" ht="15.75" customHeight="1">
      <c r="G484" s="259"/>
    </row>
    <row r="485" ht="15.75" customHeight="1">
      <c r="G485" s="259"/>
    </row>
    <row r="486" ht="15.75" customHeight="1">
      <c r="G486" s="259"/>
    </row>
    <row r="487" ht="15.75" customHeight="1">
      <c r="G487" s="259"/>
    </row>
    <row r="488" ht="15.75" customHeight="1">
      <c r="G488" s="259"/>
    </row>
    <row r="489" ht="15.75" customHeight="1">
      <c r="G489" s="259"/>
    </row>
    <row r="490" ht="15.75" customHeight="1">
      <c r="G490" s="259"/>
    </row>
    <row r="491" ht="15.75" customHeight="1">
      <c r="G491" s="259"/>
    </row>
    <row r="492" ht="15.75" customHeight="1">
      <c r="G492" s="259"/>
    </row>
    <row r="493" ht="15.75" customHeight="1">
      <c r="G493" s="259"/>
    </row>
    <row r="494" ht="15.75" customHeight="1">
      <c r="G494" s="259"/>
    </row>
    <row r="495" ht="15.75" customHeight="1">
      <c r="G495" s="259"/>
    </row>
    <row r="496" ht="15.75" customHeight="1">
      <c r="G496" s="259"/>
    </row>
    <row r="497" ht="15.75" customHeight="1">
      <c r="G497" s="259"/>
    </row>
    <row r="498" ht="15.75" customHeight="1">
      <c r="G498" s="259"/>
    </row>
    <row r="499" ht="15.75" customHeight="1">
      <c r="G499" s="259"/>
    </row>
    <row r="500" ht="15.75" customHeight="1">
      <c r="G500" s="259"/>
    </row>
    <row r="501" ht="15.75" customHeight="1">
      <c r="G501" s="259"/>
    </row>
    <row r="502" ht="15.75" customHeight="1">
      <c r="G502" s="259"/>
    </row>
    <row r="503" ht="15.75" customHeight="1">
      <c r="G503" s="259"/>
    </row>
    <row r="504" ht="15.75" customHeight="1">
      <c r="G504" s="259"/>
    </row>
    <row r="505" ht="15.75" customHeight="1">
      <c r="G505" s="259"/>
    </row>
    <row r="506" ht="15.75" customHeight="1">
      <c r="G506" s="259"/>
    </row>
    <row r="507" ht="15.75" customHeight="1">
      <c r="G507" s="259"/>
    </row>
    <row r="508" ht="15.75" customHeight="1">
      <c r="G508" s="259"/>
    </row>
    <row r="509" ht="15.75" customHeight="1">
      <c r="G509" s="259"/>
    </row>
    <row r="510" ht="15.75" customHeight="1">
      <c r="G510" s="259"/>
    </row>
    <row r="511" ht="15.75" customHeight="1">
      <c r="G511" s="259"/>
    </row>
    <row r="512" ht="15.75" customHeight="1">
      <c r="G512" s="259"/>
    </row>
    <row r="513" ht="15.75" customHeight="1">
      <c r="G513" s="259"/>
    </row>
    <row r="514" ht="15.75" customHeight="1">
      <c r="G514" s="259"/>
    </row>
    <row r="515" ht="15.75" customHeight="1">
      <c r="G515" s="259"/>
    </row>
    <row r="516" ht="15.75" customHeight="1">
      <c r="G516" s="259"/>
    </row>
    <row r="517" ht="15.75" customHeight="1">
      <c r="G517" s="259"/>
    </row>
    <row r="518" ht="15.75" customHeight="1">
      <c r="G518" s="259"/>
    </row>
    <row r="519" ht="15.75" customHeight="1">
      <c r="G519" s="259"/>
    </row>
    <row r="520" ht="15.75" customHeight="1">
      <c r="G520" s="259"/>
    </row>
    <row r="521" ht="15.75" customHeight="1">
      <c r="G521" s="259"/>
    </row>
    <row r="522" ht="15.75" customHeight="1">
      <c r="G522" s="259"/>
    </row>
    <row r="523" ht="15.75" customHeight="1">
      <c r="G523" s="259"/>
    </row>
    <row r="524" ht="15.75" customHeight="1">
      <c r="G524" s="259"/>
    </row>
    <row r="525" ht="15.75" customHeight="1">
      <c r="G525" s="259"/>
    </row>
    <row r="526" ht="15.75" customHeight="1">
      <c r="G526" s="259"/>
    </row>
    <row r="527" ht="15.75" customHeight="1">
      <c r="G527" s="259"/>
    </row>
    <row r="528" ht="15.75" customHeight="1">
      <c r="G528" s="259"/>
    </row>
    <row r="529" ht="15.75" customHeight="1">
      <c r="G529" s="259"/>
    </row>
    <row r="530" ht="15.75" customHeight="1">
      <c r="G530" s="259"/>
    </row>
    <row r="531" ht="15.75" customHeight="1">
      <c r="G531" s="259"/>
    </row>
    <row r="532" ht="15.75" customHeight="1">
      <c r="G532" s="259"/>
    </row>
    <row r="533" ht="15.75" customHeight="1">
      <c r="G533" s="259"/>
    </row>
    <row r="534" ht="15.75" customHeight="1">
      <c r="G534" s="259"/>
    </row>
    <row r="535" ht="15.75" customHeight="1">
      <c r="G535" s="259"/>
    </row>
    <row r="536" ht="15.75" customHeight="1">
      <c r="G536" s="259"/>
    </row>
    <row r="537" ht="15.75" customHeight="1">
      <c r="G537" s="259"/>
    </row>
    <row r="538" ht="15.75" customHeight="1">
      <c r="G538" s="259"/>
    </row>
    <row r="539" ht="15.75" customHeight="1">
      <c r="G539" s="259"/>
    </row>
    <row r="540" ht="15.75" customHeight="1">
      <c r="G540" s="259"/>
    </row>
    <row r="541" ht="15.75" customHeight="1">
      <c r="G541" s="259"/>
    </row>
    <row r="542" ht="15.75" customHeight="1">
      <c r="G542" s="259"/>
    </row>
    <row r="543" ht="15.75" customHeight="1">
      <c r="G543" s="259"/>
    </row>
    <row r="544" ht="15.75" customHeight="1">
      <c r="G544" s="259"/>
    </row>
    <row r="545" ht="15.75" customHeight="1">
      <c r="G545" s="259"/>
    </row>
    <row r="546" ht="15.75" customHeight="1">
      <c r="G546" s="259"/>
    </row>
    <row r="547" ht="15.75" customHeight="1">
      <c r="G547" s="259"/>
    </row>
    <row r="548" ht="15.75" customHeight="1">
      <c r="G548" s="259"/>
    </row>
    <row r="549" ht="15.75" customHeight="1">
      <c r="G549" s="259"/>
    </row>
    <row r="550" ht="15.75" customHeight="1">
      <c r="G550" s="259"/>
    </row>
    <row r="551" ht="15.75" customHeight="1">
      <c r="G551" s="259"/>
    </row>
    <row r="552" ht="15.75" customHeight="1">
      <c r="G552" s="259"/>
    </row>
    <row r="553" ht="15.75" customHeight="1">
      <c r="G553" s="259"/>
    </row>
    <row r="554" ht="15.75" customHeight="1">
      <c r="G554" s="259"/>
    </row>
    <row r="555" ht="15.75" customHeight="1">
      <c r="G555" s="259"/>
    </row>
    <row r="556" ht="15.75" customHeight="1">
      <c r="G556" s="259"/>
    </row>
    <row r="557" ht="15.75" customHeight="1">
      <c r="G557" s="259"/>
    </row>
    <row r="558" ht="15.75" customHeight="1">
      <c r="G558" s="259"/>
    </row>
    <row r="559" ht="15.75" customHeight="1">
      <c r="G559" s="259"/>
    </row>
    <row r="560" ht="15.75" customHeight="1">
      <c r="G560" s="259"/>
    </row>
    <row r="561" ht="15.75" customHeight="1">
      <c r="G561" s="259"/>
    </row>
    <row r="562" ht="15.75" customHeight="1">
      <c r="G562" s="259"/>
    </row>
    <row r="563" ht="15.75" customHeight="1">
      <c r="G563" s="259"/>
    </row>
    <row r="564" ht="15.75" customHeight="1">
      <c r="G564" s="259"/>
    </row>
    <row r="565" ht="15.75" customHeight="1">
      <c r="G565" s="259"/>
    </row>
    <row r="566" ht="15.75" customHeight="1">
      <c r="G566" s="259"/>
    </row>
    <row r="567" ht="15.75" customHeight="1">
      <c r="G567" s="259"/>
    </row>
    <row r="568" ht="15.75" customHeight="1">
      <c r="G568" s="259"/>
    </row>
    <row r="569" ht="15.75" customHeight="1">
      <c r="G569" s="259"/>
    </row>
    <row r="570" ht="15.75" customHeight="1">
      <c r="G570" s="259"/>
    </row>
    <row r="571" ht="15.75" customHeight="1">
      <c r="G571" s="259"/>
    </row>
    <row r="572" ht="15.75" customHeight="1">
      <c r="G572" s="259"/>
    </row>
    <row r="573" ht="15.75" customHeight="1">
      <c r="G573" s="259"/>
    </row>
    <row r="574" ht="15.75" customHeight="1">
      <c r="G574" s="259"/>
    </row>
    <row r="575" ht="15.75" customHeight="1">
      <c r="G575" s="259"/>
    </row>
    <row r="576" ht="15.75" customHeight="1">
      <c r="G576" s="259"/>
    </row>
    <row r="577" ht="15.75" customHeight="1">
      <c r="G577" s="259"/>
    </row>
    <row r="578" ht="15.75" customHeight="1">
      <c r="G578" s="259"/>
    </row>
    <row r="579" ht="15.75" customHeight="1">
      <c r="G579" s="259"/>
    </row>
    <row r="580" ht="15.75" customHeight="1">
      <c r="G580" s="259"/>
    </row>
    <row r="581" ht="15.75" customHeight="1">
      <c r="G581" s="259"/>
    </row>
    <row r="582" ht="15.75" customHeight="1">
      <c r="G582" s="259"/>
    </row>
    <row r="583" ht="15.75" customHeight="1">
      <c r="G583" s="259"/>
    </row>
    <row r="584" ht="15.75" customHeight="1">
      <c r="G584" s="259"/>
    </row>
    <row r="585" ht="15.75" customHeight="1">
      <c r="G585" s="259"/>
    </row>
    <row r="586" ht="15.75" customHeight="1">
      <c r="G586" s="259"/>
    </row>
    <row r="587" ht="15.75" customHeight="1">
      <c r="G587" s="259"/>
    </row>
    <row r="588" ht="15.75" customHeight="1">
      <c r="G588" s="259"/>
    </row>
    <row r="589" ht="15.75" customHeight="1">
      <c r="G589" s="259"/>
    </row>
    <row r="590" ht="15.75" customHeight="1">
      <c r="G590" s="259"/>
    </row>
    <row r="591" ht="15.75" customHeight="1">
      <c r="G591" s="259"/>
    </row>
    <row r="592" ht="15.75" customHeight="1">
      <c r="G592" s="259"/>
    </row>
    <row r="593" ht="15.75" customHeight="1">
      <c r="G593" s="259"/>
    </row>
    <row r="594" ht="15.75" customHeight="1">
      <c r="G594" s="259"/>
    </row>
    <row r="595" ht="15.75" customHeight="1">
      <c r="G595" s="259"/>
    </row>
    <row r="596" ht="15.75" customHeight="1">
      <c r="G596" s="259"/>
    </row>
    <row r="597" ht="15.75" customHeight="1">
      <c r="G597" s="259"/>
    </row>
    <row r="598" ht="15.75" customHeight="1">
      <c r="G598" s="259"/>
    </row>
    <row r="599" ht="15.75" customHeight="1">
      <c r="G599" s="259"/>
    </row>
    <row r="600" ht="15.75" customHeight="1">
      <c r="G600" s="259"/>
    </row>
    <row r="601" ht="15.75" customHeight="1">
      <c r="G601" s="259"/>
    </row>
    <row r="602" ht="15.75" customHeight="1">
      <c r="G602" s="259"/>
    </row>
    <row r="603" ht="15.75" customHeight="1">
      <c r="G603" s="259"/>
    </row>
    <row r="604" ht="15.75" customHeight="1">
      <c r="G604" s="259"/>
    </row>
    <row r="605" ht="15.75" customHeight="1">
      <c r="G605" s="259"/>
    </row>
    <row r="606" ht="15.75" customHeight="1">
      <c r="G606" s="259"/>
    </row>
    <row r="607" ht="15.75" customHeight="1">
      <c r="G607" s="259"/>
    </row>
    <row r="608" ht="15.75" customHeight="1">
      <c r="G608" s="259"/>
    </row>
    <row r="609" ht="15.75" customHeight="1">
      <c r="G609" s="259"/>
    </row>
    <row r="610" ht="15.75" customHeight="1">
      <c r="G610" s="259"/>
    </row>
    <row r="611" ht="15.75" customHeight="1">
      <c r="G611" s="259"/>
    </row>
    <row r="612" ht="15.75" customHeight="1">
      <c r="G612" s="259"/>
    </row>
    <row r="613" ht="15.75" customHeight="1">
      <c r="G613" s="259"/>
    </row>
    <row r="614" ht="15.75" customHeight="1">
      <c r="G614" s="259"/>
    </row>
    <row r="615" ht="15.75" customHeight="1">
      <c r="G615" s="259"/>
    </row>
    <row r="616" ht="15.75" customHeight="1">
      <c r="G616" s="259"/>
    </row>
    <row r="617" ht="15.75" customHeight="1">
      <c r="G617" s="259"/>
    </row>
    <row r="618" ht="15.75" customHeight="1">
      <c r="G618" s="259"/>
    </row>
    <row r="619" ht="15.75" customHeight="1">
      <c r="G619" s="259"/>
    </row>
    <row r="620" ht="15.75" customHeight="1">
      <c r="G620" s="259"/>
    </row>
    <row r="621" ht="15.75" customHeight="1">
      <c r="G621" s="259"/>
    </row>
    <row r="622" ht="15.75" customHeight="1">
      <c r="G622" s="259"/>
    </row>
    <row r="623" ht="15.75" customHeight="1">
      <c r="G623" s="259"/>
    </row>
    <row r="624" ht="15.75" customHeight="1">
      <c r="G624" s="259"/>
    </row>
    <row r="625" ht="15.75" customHeight="1">
      <c r="G625" s="259"/>
    </row>
    <row r="626" ht="15.75" customHeight="1">
      <c r="G626" s="259"/>
    </row>
    <row r="627" ht="15.75" customHeight="1">
      <c r="G627" s="259"/>
    </row>
    <row r="628" ht="15.75" customHeight="1">
      <c r="G628" s="259"/>
    </row>
    <row r="629" ht="15.75" customHeight="1">
      <c r="G629" s="259"/>
    </row>
    <row r="630" ht="15.75" customHeight="1">
      <c r="G630" s="259"/>
    </row>
    <row r="631" ht="15.75" customHeight="1">
      <c r="G631" s="259"/>
    </row>
    <row r="632" ht="15.75" customHeight="1">
      <c r="G632" s="259"/>
    </row>
    <row r="633" ht="15.75" customHeight="1">
      <c r="G633" s="259"/>
    </row>
    <row r="634" ht="15.75" customHeight="1">
      <c r="G634" s="259"/>
    </row>
    <row r="635" ht="15.75" customHeight="1">
      <c r="G635" s="259"/>
    </row>
    <row r="636" ht="15.75" customHeight="1">
      <c r="G636" s="259"/>
    </row>
    <row r="637" ht="15.75" customHeight="1">
      <c r="G637" s="259"/>
    </row>
    <row r="638" ht="15.75" customHeight="1">
      <c r="G638" s="259"/>
    </row>
    <row r="639" ht="15.75" customHeight="1">
      <c r="G639" s="259"/>
    </row>
    <row r="640" ht="15.75" customHeight="1">
      <c r="G640" s="259"/>
    </row>
    <row r="641" ht="15.75" customHeight="1">
      <c r="G641" s="259"/>
    </row>
    <row r="642" ht="15.75" customHeight="1">
      <c r="G642" s="259"/>
    </row>
    <row r="643" ht="15.75" customHeight="1">
      <c r="G643" s="259"/>
    </row>
    <row r="644" ht="15.75" customHeight="1">
      <c r="G644" s="259"/>
    </row>
    <row r="645" ht="15.75" customHeight="1">
      <c r="G645" s="259"/>
    </row>
    <row r="646" ht="15.75" customHeight="1">
      <c r="G646" s="259"/>
    </row>
    <row r="647" ht="15.75" customHeight="1">
      <c r="G647" s="259"/>
    </row>
    <row r="648" ht="15.75" customHeight="1">
      <c r="G648" s="259"/>
    </row>
    <row r="649" ht="15.75" customHeight="1">
      <c r="G649" s="259"/>
    </row>
    <row r="650" ht="15.75" customHeight="1">
      <c r="G650" s="259"/>
    </row>
    <row r="651" ht="15.75" customHeight="1">
      <c r="G651" s="259"/>
    </row>
    <row r="652" ht="15.75" customHeight="1">
      <c r="G652" s="259"/>
    </row>
    <row r="653" ht="15.75" customHeight="1">
      <c r="G653" s="259"/>
    </row>
    <row r="654" ht="15.75" customHeight="1">
      <c r="G654" s="259"/>
    </row>
    <row r="655" ht="15.75" customHeight="1">
      <c r="G655" s="259"/>
    </row>
    <row r="656" ht="15.75" customHeight="1">
      <c r="G656" s="259"/>
    </row>
    <row r="657" ht="15.75" customHeight="1">
      <c r="G657" s="259"/>
    </row>
    <row r="658" ht="15.75" customHeight="1">
      <c r="G658" s="259"/>
    </row>
    <row r="659" ht="15.75" customHeight="1">
      <c r="G659" s="259"/>
    </row>
    <row r="660" ht="15.75" customHeight="1">
      <c r="G660" s="259"/>
    </row>
    <row r="661" ht="15.75" customHeight="1">
      <c r="G661" s="259"/>
    </row>
    <row r="662" ht="15.75" customHeight="1">
      <c r="G662" s="259"/>
    </row>
    <row r="663" ht="15.75" customHeight="1">
      <c r="G663" s="259"/>
    </row>
    <row r="664" ht="15.75" customHeight="1">
      <c r="G664" s="259"/>
    </row>
    <row r="665" ht="15.75" customHeight="1">
      <c r="G665" s="259"/>
    </row>
    <row r="666" ht="15.75" customHeight="1">
      <c r="G666" s="259"/>
    </row>
    <row r="667" ht="15.75" customHeight="1">
      <c r="G667" s="259"/>
    </row>
    <row r="668" ht="15.75" customHeight="1">
      <c r="G668" s="259"/>
    </row>
    <row r="669" ht="15.75" customHeight="1">
      <c r="G669" s="259"/>
    </row>
    <row r="670" ht="15.75" customHeight="1">
      <c r="G670" s="259"/>
    </row>
    <row r="671" ht="15.75" customHeight="1">
      <c r="G671" s="259"/>
    </row>
    <row r="672" ht="15.75" customHeight="1">
      <c r="G672" s="259"/>
    </row>
    <row r="673" ht="15.75" customHeight="1">
      <c r="G673" s="259"/>
    </row>
    <row r="674" ht="15.75" customHeight="1">
      <c r="G674" s="259"/>
    </row>
    <row r="675" ht="15.75" customHeight="1">
      <c r="G675" s="259"/>
    </row>
    <row r="676" ht="15.75" customHeight="1">
      <c r="G676" s="259"/>
    </row>
    <row r="677" ht="15.75" customHeight="1">
      <c r="G677" s="259"/>
    </row>
    <row r="678" ht="15.75" customHeight="1">
      <c r="G678" s="259"/>
    </row>
    <row r="679" ht="15.75" customHeight="1">
      <c r="G679" s="259"/>
    </row>
    <row r="680" ht="15.75" customHeight="1">
      <c r="G680" s="259"/>
    </row>
    <row r="681" ht="15.75" customHeight="1">
      <c r="G681" s="259"/>
    </row>
    <row r="682" ht="15.75" customHeight="1">
      <c r="G682" s="259"/>
    </row>
    <row r="683" ht="15.75" customHeight="1">
      <c r="G683" s="259"/>
    </row>
    <row r="684" ht="15.75" customHeight="1">
      <c r="G684" s="259"/>
    </row>
    <row r="685" ht="15.75" customHeight="1">
      <c r="G685" s="259"/>
    </row>
    <row r="686" ht="15.75" customHeight="1">
      <c r="G686" s="259"/>
    </row>
    <row r="687" ht="15.75" customHeight="1">
      <c r="G687" s="259"/>
    </row>
    <row r="688" ht="15.75" customHeight="1">
      <c r="G688" s="259"/>
    </row>
    <row r="689" ht="15.75" customHeight="1">
      <c r="G689" s="259"/>
    </row>
    <row r="690" ht="15.75" customHeight="1">
      <c r="G690" s="259"/>
    </row>
    <row r="691" ht="15.75" customHeight="1">
      <c r="G691" s="259"/>
    </row>
    <row r="692" ht="15.75" customHeight="1">
      <c r="G692" s="259"/>
    </row>
    <row r="693" ht="15.75" customHeight="1">
      <c r="G693" s="259"/>
    </row>
    <row r="694" ht="15.75" customHeight="1">
      <c r="G694" s="259"/>
    </row>
    <row r="695" ht="15.75" customHeight="1">
      <c r="G695" s="259"/>
    </row>
    <row r="696" ht="15.75" customHeight="1">
      <c r="G696" s="259"/>
    </row>
    <row r="697" ht="15.75" customHeight="1">
      <c r="G697" s="259"/>
    </row>
    <row r="698" ht="15.75" customHeight="1">
      <c r="G698" s="259"/>
    </row>
    <row r="699" ht="15.75" customHeight="1">
      <c r="G699" s="259"/>
    </row>
    <row r="700" ht="15.75" customHeight="1">
      <c r="G700" s="259"/>
    </row>
    <row r="701" ht="15.75" customHeight="1">
      <c r="G701" s="259"/>
    </row>
    <row r="702" ht="15.75" customHeight="1">
      <c r="G702" s="259"/>
    </row>
    <row r="703" ht="15.75" customHeight="1">
      <c r="G703" s="259"/>
    </row>
    <row r="704" ht="15.75" customHeight="1">
      <c r="G704" s="259"/>
    </row>
    <row r="705" ht="15.75" customHeight="1">
      <c r="G705" s="259"/>
    </row>
    <row r="706" ht="15.75" customHeight="1">
      <c r="G706" s="259"/>
    </row>
    <row r="707" ht="15.75" customHeight="1">
      <c r="G707" s="259"/>
    </row>
    <row r="708" ht="15.75" customHeight="1">
      <c r="G708" s="259"/>
    </row>
    <row r="709" ht="15.75" customHeight="1">
      <c r="G709" s="259"/>
    </row>
    <row r="710" ht="15.75" customHeight="1">
      <c r="G710" s="259"/>
    </row>
    <row r="711" ht="15.75" customHeight="1">
      <c r="G711" s="259"/>
    </row>
    <row r="712" ht="15.75" customHeight="1">
      <c r="G712" s="259"/>
    </row>
    <row r="713" ht="15.75" customHeight="1">
      <c r="G713" s="259"/>
    </row>
    <row r="714" ht="15.75" customHeight="1">
      <c r="G714" s="259"/>
    </row>
    <row r="715" ht="15.75" customHeight="1">
      <c r="G715" s="259"/>
    </row>
    <row r="716" ht="15.75" customHeight="1">
      <c r="G716" s="259"/>
    </row>
    <row r="717" ht="15.75" customHeight="1">
      <c r="G717" s="259"/>
    </row>
    <row r="718" ht="15.75" customHeight="1">
      <c r="G718" s="259"/>
    </row>
    <row r="719" ht="15.75" customHeight="1">
      <c r="G719" s="259"/>
    </row>
    <row r="720" ht="15.75" customHeight="1">
      <c r="G720" s="259"/>
    </row>
    <row r="721" ht="15.75" customHeight="1">
      <c r="G721" s="259"/>
    </row>
    <row r="722" ht="15.75" customHeight="1">
      <c r="G722" s="259"/>
    </row>
    <row r="723" ht="15.75" customHeight="1">
      <c r="G723" s="259"/>
    </row>
    <row r="724" ht="15.75" customHeight="1">
      <c r="G724" s="259"/>
    </row>
    <row r="725" ht="15.75" customHeight="1">
      <c r="G725" s="259"/>
    </row>
    <row r="726" ht="15.75" customHeight="1">
      <c r="G726" s="259"/>
    </row>
    <row r="727" ht="15.75" customHeight="1">
      <c r="G727" s="259"/>
    </row>
    <row r="728" ht="15.75" customHeight="1">
      <c r="G728" s="259"/>
    </row>
    <row r="729" ht="15.75" customHeight="1">
      <c r="G729" s="259"/>
    </row>
    <row r="730" ht="15.75" customHeight="1">
      <c r="G730" s="259"/>
    </row>
    <row r="731" ht="15.75" customHeight="1">
      <c r="G731" s="259"/>
    </row>
    <row r="732" ht="15.75" customHeight="1">
      <c r="G732" s="259"/>
    </row>
    <row r="733" ht="15.75" customHeight="1">
      <c r="G733" s="259"/>
    </row>
    <row r="734" ht="15.75" customHeight="1">
      <c r="G734" s="259"/>
    </row>
    <row r="735" ht="15.75" customHeight="1">
      <c r="G735" s="259"/>
    </row>
    <row r="736" ht="15.75" customHeight="1">
      <c r="G736" s="259"/>
    </row>
    <row r="737" ht="15.75" customHeight="1">
      <c r="G737" s="259"/>
    </row>
    <row r="738" ht="15.75" customHeight="1">
      <c r="G738" s="259"/>
    </row>
    <row r="739" ht="15.75" customHeight="1">
      <c r="G739" s="259"/>
    </row>
    <row r="740" ht="15.75" customHeight="1">
      <c r="G740" s="259"/>
    </row>
    <row r="741" ht="15.75" customHeight="1">
      <c r="G741" s="259"/>
    </row>
    <row r="742" ht="15.75" customHeight="1">
      <c r="G742" s="259"/>
    </row>
    <row r="743" ht="15.75" customHeight="1">
      <c r="G743" s="259"/>
    </row>
    <row r="744" ht="15.75" customHeight="1">
      <c r="G744" s="259"/>
    </row>
    <row r="745" ht="15.75" customHeight="1">
      <c r="G745" s="259"/>
    </row>
    <row r="746" ht="15.75" customHeight="1">
      <c r="G746" s="259"/>
    </row>
    <row r="747" ht="15.75" customHeight="1">
      <c r="G747" s="259"/>
    </row>
    <row r="748" ht="15.75" customHeight="1">
      <c r="G748" s="259"/>
    </row>
    <row r="749" ht="15.75" customHeight="1">
      <c r="G749" s="259"/>
    </row>
    <row r="750" ht="15.75" customHeight="1">
      <c r="G750" s="259"/>
    </row>
    <row r="751" ht="15.75" customHeight="1">
      <c r="G751" s="259"/>
    </row>
    <row r="752" ht="15.75" customHeight="1">
      <c r="G752" s="259"/>
    </row>
    <row r="753" ht="15.75" customHeight="1">
      <c r="G753" s="259"/>
    </row>
    <row r="754" ht="15.75" customHeight="1">
      <c r="G754" s="259"/>
    </row>
    <row r="755" ht="15.75" customHeight="1">
      <c r="G755" s="259"/>
    </row>
    <row r="756" ht="15.75" customHeight="1">
      <c r="G756" s="259"/>
    </row>
    <row r="757" ht="15.75" customHeight="1">
      <c r="G757" s="259"/>
    </row>
    <row r="758" ht="15.75" customHeight="1">
      <c r="G758" s="259"/>
    </row>
    <row r="759" ht="15.75" customHeight="1">
      <c r="G759" s="259"/>
    </row>
    <row r="760" ht="15.75" customHeight="1">
      <c r="G760" s="259"/>
    </row>
    <row r="761" ht="15.75" customHeight="1">
      <c r="G761" s="259"/>
    </row>
    <row r="762" ht="15.75" customHeight="1">
      <c r="G762" s="259"/>
    </row>
    <row r="763" ht="15.75" customHeight="1">
      <c r="G763" s="259"/>
    </row>
    <row r="764" ht="15.75" customHeight="1">
      <c r="G764" s="259"/>
    </row>
    <row r="765" ht="15.75" customHeight="1">
      <c r="G765" s="259"/>
    </row>
    <row r="766" ht="15.75" customHeight="1">
      <c r="G766" s="259"/>
    </row>
    <row r="767" ht="15.75" customHeight="1">
      <c r="G767" s="259"/>
    </row>
    <row r="768" ht="15.75" customHeight="1">
      <c r="G768" s="259"/>
    </row>
    <row r="769" ht="15.75" customHeight="1">
      <c r="G769" s="259"/>
    </row>
    <row r="770" ht="15.75" customHeight="1">
      <c r="G770" s="259"/>
    </row>
    <row r="771" ht="15.75" customHeight="1">
      <c r="G771" s="259"/>
    </row>
    <row r="772" ht="15.75" customHeight="1">
      <c r="G772" s="259"/>
    </row>
    <row r="773" ht="15.75" customHeight="1">
      <c r="G773" s="259"/>
    </row>
    <row r="774" ht="15.75" customHeight="1">
      <c r="G774" s="259"/>
    </row>
    <row r="775" ht="15.75" customHeight="1">
      <c r="G775" s="259"/>
    </row>
    <row r="776" ht="15.75" customHeight="1">
      <c r="G776" s="259"/>
    </row>
    <row r="777" ht="15.75" customHeight="1">
      <c r="G777" s="259"/>
    </row>
    <row r="778" ht="15.75" customHeight="1">
      <c r="G778" s="259"/>
    </row>
    <row r="779" ht="15.75" customHeight="1">
      <c r="G779" s="259"/>
    </row>
    <row r="780" ht="15.75" customHeight="1">
      <c r="G780" s="259"/>
    </row>
    <row r="781" ht="15.75" customHeight="1">
      <c r="G781" s="259"/>
    </row>
    <row r="782" ht="15.75" customHeight="1">
      <c r="G782" s="259"/>
    </row>
    <row r="783" ht="15.75" customHeight="1">
      <c r="G783" s="259"/>
    </row>
    <row r="784" ht="15.75" customHeight="1">
      <c r="G784" s="259"/>
    </row>
    <row r="785" ht="15.75" customHeight="1">
      <c r="G785" s="259"/>
    </row>
    <row r="786" ht="15.75" customHeight="1">
      <c r="G786" s="259"/>
    </row>
    <row r="787" ht="15.75" customHeight="1">
      <c r="G787" s="259"/>
    </row>
    <row r="788" ht="15.75" customHeight="1">
      <c r="G788" s="259"/>
    </row>
    <row r="789" ht="15.75" customHeight="1">
      <c r="G789" s="259"/>
    </row>
    <row r="790" ht="15.75" customHeight="1">
      <c r="G790" s="259"/>
    </row>
    <row r="791" ht="15.75" customHeight="1">
      <c r="G791" s="259"/>
    </row>
    <row r="792" ht="15.75" customHeight="1">
      <c r="G792" s="259"/>
    </row>
    <row r="793" ht="15.75" customHeight="1">
      <c r="G793" s="259"/>
    </row>
    <row r="794" ht="15.75" customHeight="1">
      <c r="G794" s="259"/>
    </row>
    <row r="795" ht="15.75" customHeight="1">
      <c r="G795" s="259"/>
    </row>
    <row r="796" ht="15.75" customHeight="1">
      <c r="G796" s="259"/>
    </row>
    <row r="797" ht="15.75" customHeight="1">
      <c r="G797" s="259"/>
    </row>
    <row r="798" ht="15.75" customHeight="1">
      <c r="G798" s="259"/>
    </row>
    <row r="799" ht="15.75" customHeight="1">
      <c r="G799" s="259"/>
    </row>
    <row r="800" ht="15.75" customHeight="1">
      <c r="G800" s="259"/>
    </row>
    <row r="801" ht="15.75" customHeight="1">
      <c r="G801" s="259"/>
    </row>
    <row r="802" ht="15.75" customHeight="1">
      <c r="G802" s="259"/>
    </row>
    <row r="803" ht="15.75" customHeight="1">
      <c r="G803" s="259"/>
    </row>
    <row r="804" ht="15.75" customHeight="1">
      <c r="G804" s="259"/>
    </row>
    <row r="805" ht="15.75" customHeight="1">
      <c r="G805" s="259"/>
    </row>
    <row r="806" ht="15.75" customHeight="1">
      <c r="G806" s="259"/>
    </row>
    <row r="807" ht="15.75" customHeight="1">
      <c r="G807" s="259"/>
    </row>
    <row r="808" ht="15.75" customHeight="1">
      <c r="G808" s="259"/>
    </row>
    <row r="809" ht="15.75" customHeight="1">
      <c r="G809" s="259"/>
    </row>
    <row r="810" ht="15.75" customHeight="1">
      <c r="G810" s="259"/>
    </row>
    <row r="811" ht="15.75" customHeight="1">
      <c r="G811" s="259"/>
    </row>
    <row r="812" ht="15.75" customHeight="1">
      <c r="G812" s="259"/>
    </row>
    <row r="813" ht="15.75" customHeight="1">
      <c r="G813" s="259"/>
    </row>
    <row r="814" ht="15.75" customHeight="1">
      <c r="G814" s="259"/>
    </row>
    <row r="815" ht="15.75" customHeight="1">
      <c r="G815" s="259"/>
    </row>
    <row r="816" ht="15.75" customHeight="1">
      <c r="G816" s="259"/>
    </row>
    <row r="817" ht="15.75" customHeight="1">
      <c r="G817" s="259"/>
    </row>
    <row r="818" ht="15.75" customHeight="1">
      <c r="G818" s="259"/>
    </row>
    <row r="819" ht="15.75" customHeight="1">
      <c r="G819" s="259"/>
    </row>
    <row r="820" ht="15.75" customHeight="1">
      <c r="G820" s="259"/>
    </row>
    <row r="821" ht="15.75" customHeight="1">
      <c r="G821" s="259"/>
    </row>
    <row r="822" ht="15.75" customHeight="1">
      <c r="G822" s="259"/>
    </row>
    <row r="823" ht="15.75" customHeight="1">
      <c r="G823" s="259"/>
    </row>
    <row r="824" ht="15.75" customHeight="1">
      <c r="G824" s="259"/>
    </row>
    <row r="825" ht="15.75" customHeight="1">
      <c r="G825" s="259"/>
    </row>
    <row r="826" ht="15.75" customHeight="1">
      <c r="G826" s="259"/>
    </row>
    <row r="827" ht="15.75" customHeight="1">
      <c r="G827" s="259"/>
    </row>
    <row r="828" ht="15.75" customHeight="1">
      <c r="G828" s="259"/>
    </row>
    <row r="829" ht="15.75" customHeight="1">
      <c r="G829" s="259"/>
    </row>
    <row r="830" ht="15.75" customHeight="1">
      <c r="G830" s="259"/>
    </row>
    <row r="831" ht="15.75" customHeight="1">
      <c r="G831" s="259"/>
    </row>
    <row r="832" ht="15.75" customHeight="1">
      <c r="G832" s="259"/>
    </row>
    <row r="833" ht="15.75" customHeight="1">
      <c r="G833" s="259"/>
    </row>
    <row r="834" ht="15.75" customHeight="1">
      <c r="G834" s="259"/>
    </row>
    <row r="835" ht="15.75" customHeight="1">
      <c r="G835" s="259"/>
    </row>
    <row r="836" ht="15.75" customHeight="1">
      <c r="G836" s="259"/>
    </row>
    <row r="837" ht="15.75" customHeight="1">
      <c r="G837" s="259"/>
    </row>
    <row r="838" ht="15.75" customHeight="1">
      <c r="G838" s="259"/>
    </row>
    <row r="839" ht="15.75" customHeight="1">
      <c r="G839" s="259"/>
    </row>
    <row r="840" ht="15.75" customHeight="1">
      <c r="G840" s="259"/>
    </row>
    <row r="841" ht="15.75" customHeight="1">
      <c r="G841" s="259"/>
    </row>
    <row r="842" ht="15.75" customHeight="1">
      <c r="G842" s="259"/>
    </row>
    <row r="843" ht="15.75" customHeight="1">
      <c r="G843" s="259"/>
    </row>
    <row r="844" ht="15.75" customHeight="1">
      <c r="G844" s="259"/>
    </row>
    <row r="845" ht="15.75" customHeight="1">
      <c r="G845" s="259"/>
    </row>
    <row r="846" ht="15.75" customHeight="1">
      <c r="G846" s="259"/>
    </row>
    <row r="847" ht="15.75" customHeight="1">
      <c r="G847" s="259"/>
    </row>
    <row r="848" ht="15.75" customHeight="1">
      <c r="G848" s="259"/>
    </row>
    <row r="849" ht="15.75" customHeight="1">
      <c r="G849" s="259"/>
    </row>
    <row r="850" ht="15.75" customHeight="1">
      <c r="G850" s="259"/>
    </row>
    <row r="851" ht="15.75" customHeight="1">
      <c r="G851" s="259"/>
    </row>
    <row r="852" ht="15.75" customHeight="1">
      <c r="G852" s="259"/>
    </row>
    <row r="853" ht="15.75" customHeight="1">
      <c r="G853" s="259"/>
    </row>
    <row r="854" ht="15.75" customHeight="1">
      <c r="G854" s="259"/>
    </row>
    <row r="855" ht="15.75" customHeight="1">
      <c r="G855" s="259"/>
    </row>
    <row r="856" ht="15.75" customHeight="1">
      <c r="G856" s="259"/>
    </row>
    <row r="857" ht="15.75" customHeight="1">
      <c r="G857" s="259"/>
    </row>
    <row r="858" ht="15.75" customHeight="1">
      <c r="G858" s="259"/>
    </row>
    <row r="859" ht="15.75" customHeight="1">
      <c r="G859" s="259"/>
    </row>
    <row r="860" ht="15.75" customHeight="1">
      <c r="G860" s="259"/>
    </row>
    <row r="861" ht="15.75" customHeight="1">
      <c r="G861" s="259"/>
    </row>
    <row r="862" ht="15.75" customHeight="1">
      <c r="G862" s="259"/>
    </row>
    <row r="863" ht="15.75" customHeight="1">
      <c r="G863" s="259"/>
    </row>
    <row r="864" ht="15.75" customHeight="1">
      <c r="G864" s="259"/>
    </row>
    <row r="865" ht="15.75" customHeight="1">
      <c r="G865" s="259"/>
    </row>
    <row r="866" ht="15.75" customHeight="1">
      <c r="G866" s="259"/>
    </row>
    <row r="867" ht="15.75" customHeight="1">
      <c r="G867" s="259"/>
    </row>
    <row r="868" ht="15.75" customHeight="1">
      <c r="G868" s="259"/>
    </row>
    <row r="869" ht="15.75" customHeight="1">
      <c r="G869" s="259"/>
    </row>
    <row r="870" ht="15.75" customHeight="1">
      <c r="G870" s="259"/>
    </row>
    <row r="871" ht="15.75" customHeight="1">
      <c r="G871" s="259"/>
    </row>
    <row r="872" ht="15.75" customHeight="1">
      <c r="G872" s="259"/>
    </row>
    <row r="873" ht="15.75" customHeight="1">
      <c r="G873" s="259"/>
    </row>
    <row r="874" ht="15.75" customHeight="1">
      <c r="G874" s="259"/>
    </row>
    <row r="875" ht="15.75" customHeight="1">
      <c r="G875" s="259"/>
    </row>
    <row r="876" ht="15.75" customHeight="1">
      <c r="G876" s="259"/>
    </row>
    <row r="877" ht="15.75" customHeight="1">
      <c r="G877" s="259"/>
    </row>
    <row r="878" ht="15.75" customHeight="1">
      <c r="G878" s="259"/>
    </row>
    <row r="879" ht="15.75" customHeight="1">
      <c r="G879" s="259"/>
    </row>
    <row r="880" ht="15.75" customHeight="1">
      <c r="G880" s="259"/>
    </row>
    <row r="881" ht="15.75" customHeight="1">
      <c r="G881" s="259"/>
    </row>
    <row r="882" ht="15.75" customHeight="1">
      <c r="G882" s="259"/>
    </row>
    <row r="883" ht="15.75" customHeight="1">
      <c r="G883" s="259"/>
    </row>
    <row r="884" ht="15.75" customHeight="1">
      <c r="G884" s="259"/>
    </row>
    <row r="885" ht="15.75" customHeight="1">
      <c r="G885" s="259"/>
    </row>
    <row r="886" ht="15.75" customHeight="1">
      <c r="G886" s="259"/>
    </row>
    <row r="887" ht="15.75" customHeight="1">
      <c r="G887" s="259"/>
    </row>
    <row r="888" ht="15.75" customHeight="1">
      <c r="G888" s="259"/>
    </row>
    <row r="889" ht="15.75" customHeight="1">
      <c r="G889" s="259"/>
    </row>
    <row r="890" ht="15.75" customHeight="1">
      <c r="G890" s="259"/>
    </row>
    <row r="891" ht="15.75" customHeight="1">
      <c r="G891" s="259"/>
    </row>
    <row r="892" ht="15.75" customHeight="1">
      <c r="G892" s="259"/>
    </row>
    <row r="893" ht="15.75" customHeight="1">
      <c r="G893" s="259"/>
    </row>
    <row r="894" ht="15.75" customHeight="1">
      <c r="G894" s="259"/>
    </row>
    <row r="895" ht="15.75" customHeight="1">
      <c r="G895" s="259"/>
    </row>
    <row r="896" ht="15.75" customHeight="1">
      <c r="G896" s="259"/>
    </row>
    <row r="897" ht="15.75" customHeight="1">
      <c r="G897" s="259"/>
    </row>
    <row r="898" ht="15.75" customHeight="1">
      <c r="G898" s="259"/>
    </row>
    <row r="899" ht="15.75" customHeight="1">
      <c r="G899" s="259"/>
    </row>
    <row r="900" ht="15.75" customHeight="1">
      <c r="G900" s="259"/>
    </row>
    <row r="901" ht="15.75" customHeight="1">
      <c r="G901" s="259"/>
    </row>
    <row r="902" ht="15.75" customHeight="1">
      <c r="G902" s="259"/>
    </row>
    <row r="903" ht="15.75" customHeight="1">
      <c r="G903" s="259"/>
    </row>
    <row r="904" ht="15.75" customHeight="1">
      <c r="G904" s="259"/>
    </row>
    <row r="905" ht="15.75" customHeight="1">
      <c r="G905" s="259"/>
    </row>
    <row r="906" ht="15.75" customHeight="1">
      <c r="G906" s="259"/>
    </row>
    <row r="907" ht="15.75" customHeight="1">
      <c r="G907" s="259"/>
    </row>
    <row r="908" ht="15.75" customHeight="1">
      <c r="G908" s="259"/>
    </row>
    <row r="909" ht="15.75" customHeight="1">
      <c r="G909" s="259"/>
    </row>
    <row r="910" ht="15.75" customHeight="1">
      <c r="G910" s="259"/>
    </row>
    <row r="911" ht="15.75" customHeight="1">
      <c r="G911" s="259"/>
    </row>
    <row r="912" ht="15.75" customHeight="1">
      <c r="G912" s="259"/>
    </row>
    <row r="913" ht="15.75" customHeight="1">
      <c r="G913" s="259"/>
    </row>
    <row r="914" ht="15.75" customHeight="1">
      <c r="G914" s="259"/>
    </row>
    <row r="915" ht="15.75" customHeight="1">
      <c r="G915" s="259"/>
    </row>
    <row r="916" ht="15.75" customHeight="1">
      <c r="G916" s="259"/>
    </row>
    <row r="917" ht="15.75" customHeight="1">
      <c r="G917" s="259"/>
    </row>
    <row r="918" ht="15.75" customHeight="1">
      <c r="G918" s="259"/>
    </row>
    <row r="919" ht="15.75" customHeight="1">
      <c r="G919" s="259"/>
    </row>
    <row r="920" ht="15.75" customHeight="1">
      <c r="G920" s="259"/>
    </row>
    <row r="921" ht="15.75" customHeight="1">
      <c r="G921" s="259"/>
    </row>
    <row r="922" ht="15.75" customHeight="1">
      <c r="G922" s="259"/>
    </row>
    <row r="923" ht="15.75" customHeight="1">
      <c r="G923" s="259"/>
    </row>
    <row r="924" ht="15.75" customHeight="1">
      <c r="G924" s="259"/>
    </row>
    <row r="925" ht="15.75" customHeight="1">
      <c r="G925" s="259"/>
    </row>
    <row r="926" ht="15.75" customHeight="1">
      <c r="G926" s="259"/>
    </row>
    <row r="927" ht="15.75" customHeight="1">
      <c r="G927" s="259"/>
    </row>
    <row r="928" ht="15.75" customHeight="1">
      <c r="G928" s="259"/>
    </row>
    <row r="929" ht="15.75" customHeight="1">
      <c r="G929" s="259"/>
    </row>
    <row r="930" ht="15.75" customHeight="1">
      <c r="G930" s="259"/>
    </row>
    <row r="931" ht="15.75" customHeight="1">
      <c r="G931" s="259"/>
    </row>
    <row r="932" ht="15.75" customHeight="1">
      <c r="G932" s="259"/>
    </row>
    <row r="933" ht="15.75" customHeight="1">
      <c r="G933" s="259"/>
    </row>
    <row r="934" ht="15.75" customHeight="1">
      <c r="G934" s="259"/>
    </row>
    <row r="935" ht="15.75" customHeight="1">
      <c r="G935" s="259"/>
    </row>
    <row r="936" ht="15.75" customHeight="1">
      <c r="G936" s="259"/>
    </row>
    <row r="937" ht="15.75" customHeight="1">
      <c r="G937" s="259"/>
    </row>
    <row r="938" ht="15.75" customHeight="1">
      <c r="G938" s="259"/>
    </row>
    <row r="939" ht="15.75" customHeight="1">
      <c r="G939" s="259"/>
    </row>
    <row r="940" ht="15.75" customHeight="1">
      <c r="G940" s="259"/>
    </row>
    <row r="941" ht="15.75" customHeight="1">
      <c r="G941" s="259"/>
    </row>
    <row r="942" ht="15.75" customHeight="1">
      <c r="G942" s="259"/>
    </row>
    <row r="943" ht="15.75" customHeight="1">
      <c r="G943" s="259"/>
    </row>
    <row r="944" ht="15.75" customHeight="1">
      <c r="G944" s="259"/>
    </row>
    <row r="945" ht="15.75" customHeight="1">
      <c r="G945" s="259"/>
    </row>
    <row r="946" ht="15.75" customHeight="1">
      <c r="G946" s="259"/>
    </row>
    <row r="947" ht="15.75" customHeight="1">
      <c r="G947" s="259"/>
    </row>
    <row r="948" ht="15.75" customHeight="1">
      <c r="G948" s="259"/>
    </row>
    <row r="949" ht="15.75" customHeight="1">
      <c r="G949" s="259"/>
    </row>
    <row r="950" ht="15.75" customHeight="1">
      <c r="G950" s="259"/>
    </row>
    <row r="951" ht="15.75" customHeight="1">
      <c r="G951" s="259"/>
    </row>
    <row r="952" ht="15.75" customHeight="1">
      <c r="G952" s="259"/>
    </row>
    <row r="953" ht="15.75" customHeight="1">
      <c r="G953" s="259"/>
    </row>
    <row r="954" ht="15.75" customHeight="1">
      <c r="G954" s="259"/>
    </row>
    <row r="955" ht="15.75" customHeight="1">
      <c r="G955" s="259"/>
    </row>
    <row r="956" ht="15.75" customHeight="1">
      <c r="G956" s="259"/>
    </row>
    <row r="957" ht="15.75" customHeight="1">
      <c r="G957" s="259"/>
    </row>
    <row r="958" ht="15.75" customHeight="1">
      <c r="G958" s="259"/>
    </row>
    <row r="959" ht="15.75" customHeight="1">
      <c r="G959" s="259"/>
    </row>
    <row r="960" ht="15.75" customHeight="1">
      <c r="G960" s="259"/>
    </row>
    <row r="961" ht="15.75" customHeight="1">
      <c r="G961" s="259"/>
    </row>
    <row r="962" ht="15.75" customHeight="1">
      <c r="G962" s="259"/>
    </row>
    <row r="963" ht="15.75" customHeight="1">
      <c r="G963" s="259"/>
    </row>
    <row r="964" ht="15.75" customHeight="1">
      <c r="G964" s="259"/>
    </row>
    <row r="965" ht="15.75" customHeight="1">
      <c r="G965" s="259"/>
    </row>
    <row r="966" ht="15.75" customHeight="1">
      <c r="G966" s="259"/>
    </row>
    <row r="967" ht="15.75" customHeight="1">
      <c r="G967" s="259"/>
    </row>
    <row r="968" ht="15.75" customHeight="1">
      <c r="G968" s="259"/>
    </row>
    <row r="969" ht="15.75" customHeight="1">
      <c r="G969" s="259"/>
    </row>
    <row r="970" ht="15.75" customHeight="1">
      <c r="G970" s="259"/>
    </row>
    <row r="971" ht="15.75" customHeight="1">
      <c r="G971" s="259"/>
    </row>
    <row r="972" ht="15.75" customHeight="1">
      <c r="G972" s="259"/>
    </row>
    <row r="973" ht="15.75" customHeight="1">
      <c r="G973" s="259"/>
    </row>
    <row r="974" ht="15.75" customHeight="1">
      <c r="G974" s="259"/>
    </row>
    <row r="975" ht="15.75" customHeight="1">
      <c r="G975" s="259"/>
    </row>
    <row r="976" ht="15.75" customHeight="1">
      <c r="G976" s="259"/>
    </row>
    <row r="977" ht="15.75" customHeight="1">
      <c r="G977" s="259"/>
    </row>
    <row r="978" ht="15.75" customHeight="1">
      <c r="G978" s="259"/>
    </row>
    <row r="979" ht="15.75" customHeight="1">
      <c r="G979" s="259"/>
    </row>
    <row r="980" ht="15.75" customHeight="1">
      <c r="G980" s="259"/>
    </row>
    <row r="981" ht="15.75" customHeight="1">
      <c r="G981" s="259"/>
    </row>
    <row r="982" ht="15.75" customHeight="1">
      <c r="G982" s="259"/>
    </row>
    <row r="983" ht="15.75" customHeight="1">
      <c r="G983" s="259"/>
    </row>
    <row r="984" ht="15.75" customHeight="1">
      <c r="G984" s="259"/>
    </row>
    <row r="985" ht="15.75" customHeight="1">
      <c r="G985" s="259"/>
    </row>
    <row r="986" ht="15.75" customHeight="1">
      <c r="G986" s="259"/>
    </row>
    <row r="987" ht="15.75" customHeight="1">
      <c r="G987" s="259"/>
    </row>
    <row r="988" ht="15.75" customHeight="1">
      <c r="G988" s="259"/>
    </row>
    <row r="989" ht="15.75" customHeight="1">
      <c r="G989" s="259"/>
    </row>
    <row r="990" ht="15.75" customHeight="1">
      <c r="G990" s="259"/>
    </row>
    <row r="991" ht="15.75" customHeight="1">
      <c r="G991" s="259"/>
    </row>
    <row r="992" ht="15.75" customHeight="1">
      <c r="G992" s="259"/>
    </row>
    <row r="993" ht="15.75" customHeight="1">
      <c r="G993" s="259"/>
    </row>
    <row r="994" ht="15.75" customHeight="1">
      <c r="G994" s="259"/>
    </row>
    <row r="995" ht="15.75" customHeight="1">
      <c r="G995" s="259"/>
    </row>
    <row r="996" ht="15.75" customHeight="1">
      <c r="G996" s="259"/>
    </row>
    <row r="997" ht="15.75" customHeight="1">
      <c r="G997" s="259"/>
    </row>
    <row r="998" ht="15.75" customHeight="1">
      <c r="G998" s="259"/>
    </row>
    <row r="999" ht="15.75" customHeight="1">
      <c r="G999" s="259"/>
    </row>
    <row r="1000" ht="15.75" customHeight="1">
      <c r="G1000" s="259"/>
    </row>
  </sheetData>
  <conditionalFormatting sqref="I10:S12 T34:AB36">
    <cfRule type="cellIs" dxfId="4" priority="1" operator="greaterThan">
      <formula>0</formula>
    </cfRule>
  </conditionalFormatting>
  <conditionalFormatting sqref="T10:AB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C12 I34:AB36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B18">
    <cfRule type="cellIs" dxfId="4" priority="6" operator="greaterThan">
      <formula>0</formula>
    </cfRule>
  </conditionalFormatting>
  <conditionalFormatting sqref="A16:AC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B24">
    <cfRule type="cellIs" dxfId="4" priority="9" operator="greaterThan">
      <formula>0</formula>
    </cfRule>
  </conditionalFormatting>
  <conditionalFormatting sqref="A22:AC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B30">
    <cfRule type="cellIs" dxfId="4" priority="12" operator="greaterThan">
      <formula>0</formula>
    </cfRule>
  </conditionalFormatting>
  <conditionalFormatting sqref="A28:AC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B36">
    <cfRule type="cellIs" dxfId="4" priority="15" operator="greaterThan">
      <formula>0</formula>
    </cfRule>
  </conditionalFormatting>
  <conditionalFormatting sqref="A34:AC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277" t="s">
        <v>245</v>
      </c>
      <c r="B1" s="172"/>
      <c r="C1" s="172"/>
      <c r="D1" s="172"/>
      <c r="E1" s="172"/>
      <c r="F1" s="172"/>
      <c r="G1" s="278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</row>
    <row r="2" ht="19.5" customHeight="1">
      <c r="A2" s="174" t="s">
        <v>106</v>
      </c>
      <c r="B2" s="174"/>
      <c r="C2" s="174"/>
      <c r="D2" s="174"/>
      <c r="E2" s="174"/>
      <c r="F2" s="174"/>
      <c r="G2" s="279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</row>
    <row r="3">
      <c r="A3" s="176" t="s">
        <v>236</v>
      </c>
      <c r="B3" s="177">
        <v>5.0</v>
      </c>
      <c r="C3" s="172"/>
      <c r="D3" s="172"/>
      <c r="E3" s="172"/>
      <c r="F3" s="172"/>
      <c r="G3" s="278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</row>
    <row r="4">
      <c r="A4" s="176" t="s">
        <v>237</v>
      </c>
      <c r="B4" s="177">
        <v>3.0</v>
      </c>
      <c r="C4" s="172"/>
      <c r="D4" s="172"/>
      <c r="E4" s="172"/>
      <c r="F4" s="172"/>
      <c r="G4" s="278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  <c r="AA4" s="172"/>
      <c r="AB4" s="172"/>
      <c r="AC4" s="172"/>
    </row>
    <row r="5">
      <c r="A5" s="176" t="s">
        <v>238</v>
      </c>
      <c r="B5" s="177">
        <v>1.0</v>
      </c>
      <c r="C5" s="172"/>
      <c r="D5" s="172"/>
      <c r="E5" s="172"/>
      <c r="F5" s="172"/>
      <c r="G5" s="278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</row>
    <row r="6">
      <c r="A6" s="172"/>
      <c r="B6" s="172"/>
      <c r="C6" s="172"/>
      <c r="D6" s="172"/>
      <c r="E6" s="172"/>
      <c r="F6" s="172"/>
      <c r="G6" s="278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</row>
    <row r="7" ht="19.5" customHeight="1">
      <c r="A7" s="280" t="s">
        <v>133</v>
      </c>
      <c r="B7" s="280"/>
      <c r="C7" s="280"/>
      <c r="D7" s="280"/>
      <c r="E7" s="280"/>
      <c r="F7" s="280"/>
      <c r="G7" s="281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280"/>
      <c r="S7" s="280"/>
      <c r="T7" s="280"/>
      <c r="U7" s="280"/>
      <c r="V7" s="280"/>
      <c r="W7" s="280"/>
      <c r="X7" s="280"/>
      <c r="Y7" s="280"/>
      <c r="Z7" s="280"/>
      <c r="AA7" s="280"/>
      <c r="AB7" s="280"/>
      <c r="AC7" s="280"/>
    </row>
    <row r="8" ht="17.25" customHeight="1">
      <c r="A8" s="282" t="s">
        <v>19</v>
      </c>
      <c r="B8" s="273"/>
      <c r="C8" s="273"/>
      <c r="D8" s="273"/>
      <c r="E8" s="273"/>
      <c r="F8" s="273"/>
      <c r="G8" s="28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3"/>
      <c r="AC8" s="273"/>
    </row>
    <row r="9" ht="90.0" customHeight="1">
      <c r="A9" s="284" t="s">
        <v>160</v>
      </c>
      <c r="B9" s="284" t="s">
        <v>174</v>
      </c>
      <c r="C9" s="284" t="s">
        <v>239</v>
      </c>
      <c r="D9" s="285" t="s">
        <v>240</v>
      </c>
      <c r="E9" s="285" t="s">
        <v>241</v>
      </c>
      <c r="F9" s="284" t="s">
        <v>34</v>
      </c>
      <c r="G9" s="286" t="s">
        <v>242</v>
      </c>
      <c r="H9" s="172"/>
      <c r="I9" s="287" t="s">
        <v>46</v>
      </c>
      <c r="J9" s="287" t="s">
        <v>47</v>
      </c>
      <c r="K9" s="287" t="s">
        <v>48</v>
      </c>
      <c r="L9" s="287" t="s">
        <v>50</v>
      </c>
      <c r="M9" s="287" t="s">
        <v>52</v>
      </c>
      <c r="N9" s="287" t="s">
        <v>53</v>
      </c>
      <c r="O9" s="287" t="s">
        <v>54</v>
      </c>
      <c r="P9" s="287" t="s">
        <v>55</v>
      </c>
      <c r="Q9" s="287" t="s">
        <v>56</v>
      </c>
      <c r="R9" s="287" t="s">
        <v>57</v>
      </c>
      <c r="S9" s="287" t="s">
        <v>58</v>
      </c>
      <c r="T9" s="288" t="s">
        <v>121</v>
      </c>
      <c r="U9" s="288" t="s">
        <v>135</v>
      </c>
      <c r="V9" s="288" t="s">
        <v>122</v>
      </c>
      <c r="W9" s="288" t="s">
        <v>123</v>
      </c>
      <c r="X9" s="288" t="s">
        <v>124</v>
      </c>
      <c r="Y9" s="288" t="s">
        <v>125</v>
      </c>
      <c r="Z9" s="288" t="s">
        <v>126</v>
      </c>
      <c r="AA9" s="288" t="s">
        <v>127</v>
      </c>
      <c r="AB9" s="288" t="s">
        <v>128</v>
      </c>
      <c r="AC9" s="284" t="s">
        <v>243</v>
      </c>
    </row>
    <row r="10">
      <c r="A10" s="189">
        <v>1.0</v>
      </c>
      <c r="B10" s="189">
        <v>1.0</v>
      </c>
      <c r="C10" s="189" t="s">
        <v>244</v>
      </c>
      <c r="D10" s="272">
        <v>2.0</v>
      </c>
      <c r="E10" s="272">
        <v>2.0</v>
      </c>
      <c r="F10" s="272">
        <v>0.0</v>
      </c>
      <c r="G10" s="289">
        <f t="shared" ref="G10:G12" si="1">IF(D10=0,0,F10/D10)</f>
        <v>0</v>
      </c>
      <c r="H10" s="172"/>
      <c r="I10" s="229">
        <v>0.0</v>
      </c>
      <c r="J10" s="229">
        <v>0.0</v>
      </c>
      <c r="K10" s="229">
        <v>0.0</v>
      </c>
      <c r="L10" s="229">
        <v>0.0</v>
      </c>
      <c r="M10" s="229">
        <v>0.0</v>
      </c>
      <c r="N10" s="229">
        <v>0.0</v>
      </c>
      <c r="O10" s="229">
        <v>0.0</v>
      </c>
      <c r="P10" s="229">
        <v>20.0</v>
      </c>
      <c r="Q10" s="229">
        <v>0.0</v>
      </c>
      <c r="R10" s="229">
        <v>0.0</v>
      </c>
      <c r="S10" s="229">
        <v>0.0</v>
      </c>
      <c r="T10" s="167">
        <v>0.0</v>
      </c>
      <c r="U10" s="167">
        <v>0.0</v>
      </c>
      <c r="V10" s="167">
        <v>0.0</v>
      </c>
      <c r="W10" s="167">
        <v>0.0</v>
      </c>
      <c r="X10" s="167">
        <v>0.0</v>
      </c>
      <c r="Y10" s="167">
        <v>0.0</v>
      </c>
      <c r="Z10" s="167">
        <v>0.0</v>
      </c>
      <c r="AA10" s="167">
        <v>0.0</v>
      </c>
      <c r="AB10" s="167">
        <v>0.0</v>
      </c>
      <c r="AC10" s="189">
        <f t="shared" ref="AC10:AC12" si="2">SUMPRODUCT(I10:S10, {0,33,50,67,167,67,50,4.17,7.56,12.17,16.22})</f>
        <v>83.4</v>
      </c>
    </row>
    <row r="11">
      <c r="A11" s="189">
        <v>2.0</v>
      </c>
      <c r="B11" s="189">
        <v>1.0</v>
      </c>
      <c r="C11" s="189" t="s">
        <v>244</v>
      </c>
      <c r="D11" s="272">
        <v>3.0</v>
      </c>
      <c r="E11" s="272">
        <v>5.0</v>
      </c>
      <c r="F11" s="272">
        <v>10.0</v>
      </c>
      <c r="G11" s="289">
        <f t="shared" si="1"/>
        <v>3.333333333</v>
      </c>
      <c r="H11" s="172"/>
      <c r="I11" s="229">
        <v>0.0</v>
      </c>
      <c r="J11" s="229">
        <v>1.0</v>
      </c>
      <c r="K11" s="229">
        <v>0.0</v>
      </c>
      <c r="L11" s="229">
        <v>0.0</v>
      </c>
      <c r="M11" s="229">
        <v>0.0</v>
      </c>
      <c r="N11" s="229">
        <v>0.0</v>
      </c>
      <c r="O11" s="229">
        <v>0.0</v>
      </c>
      <c r="P11" s="229">
        <v>0.0</v>
      </c>
      <c r="Q11" s="229">
        <v>0.0</v>
      </c>
      <c r="R11" s="229">
        <v>0.0</v>
      </c>
      <c r="S11" s="229">
        <v>0.0</v>
      </c>
      <c r="T11" s="167">
        <v>0.0</v>
      </c>
      <c r="U11" s="167">
        <v>0.0</v>
      </c>
      <c r="V11" s="167">
        <v>0.0</v>
      </c>
      <c r="W11" s="167">
        <v>0.0</v>
      </c>
      <c r="X11" s="167">
        <v>0.0</v>
      </c>
      <c r="Y11" s="167">
        <v>0.0</v>
      </c>
      <c r="Z11" s="167">
        <v>0.0</v>
      </c>
      <c r="AA11" s="167">
        <v>0.0</v>
      </c>
      <c r="AB11" s="167">
        <v>0.0</v>
      </c>
      <c r="AC11" s="189">
        <f t="shared" si="2"/>
        <v>33</v>
      </c>
    </row>
    <row r="12">
      <c r="A12" s="189">
        <v>3.0</v>
      </c>
      <c r="B12" s="189">
        <v>1.0</v>
      </c>
      <c r="C12" s="189" t="s">
        <v>244</v>
      </c>
      <c r="D12" s="272">
        <v>5.0</v>
      </c>
      <c r="E12" s="272">
        <v>10.0</v>
      </c>
      <c r="F12" s="272">
        <v>15.0</v>
      </c>
      <c r="G12" s="289">
        <f t="shared" si="1"/>
        <v>3</v>
      </c>
      <c r="H12" s="172"/>
      <c r="I12" s="229">
        <v>0.0</v>
      </c>
      <c r="J12" s="229">
        <v>0.0</v>
      </c>
      <c r="K12" s="229">
        <v>1.0</v>
      </c>
      <c r="L12" s="229">
        <v>0.0</v>
      </c>
      <c r="M12" s="229">
        <v>1.0</v>
      </c>
      <c r="N12" s="229">
        <v>0.0</v>
      </c>
      <c r="O12" s="229">
        <v>0.0</v>
      </c>
      <c r="P12" s="229">
        <v>0.0</v>
      </c>
      <c r="Q12" s="229">
        <v>0.0</v>
      </c>
      <c r="R12" s="229">
        <v>0.0</v>
      </c>
      <c r="S12" s="229">
        <v>0.0</v>
      </c>
      <c r="T12" s="167">
        <v>0.0</v>
      </c>
      <c r="U12" s="167">
        <v>0.0</v>
      </c>
      <c r="V12" s="167">
        <v>0.0</v>
      </c>
      <c r="W12" s="167">
        <v>0.0</v>
      </c>
      <c r="X12" s="167">
        <v>0.0</v>
      </c>
      <c r="Y12" s="167">
        <v>0.0</v>
      </c>
      <c r="Z12" s="167">
        <v>0.0</v>
      </c>
      <c r="AA12" s="167">
        <v>0.0</v>
      </c>
      <c r="AB12" s="167">
        <v>0.0</v>
      </c>
      <c r="AC12" s="189">
        <f t="shared" si="2"/>
        <v>217</v>
      </c>
    </row>
    <row r="13">
      <c r="A13" s="172"/>
      <c r="B13" s="172"/>
      <c r="C13" s="172"/>
      <c r="D13" s="172"/>
      <c r="E13" s="172"/>
      <c r="F13" s="172"/>
      <c r="G13" s="278"/>
      <c r="H13" s="172"/>
      <c r="AC13" s="172"/>
    </row>
    <row r="14" ht="17.25" customHeight="1">
      <c r="A14" s="282" t="s">
        <v>21</v>
      </c>
      <c r="B14" s="273"/>
      <c r="C14" s="273"/>
      <c r="D14" s="273"/>
      <c r="E14" s="273"/>
      <c r="F14" s="273"/>
      <c r="G14" s="283"/>
      <c r="H14" s="273"/>
      <c r="I14" s="264"/>
      <c r="J14" s="264"/>
      <c r="K14" s="264"/>
      <c r="L14" s="264"/>
      <c r="M14" s="264"/>
      <c r="N14" s="264"/>
      <c r="O14" s="264"/>
      <c r="P14" s="264"/>
      <c r="Q14" s="264"/>
      <c r="R14" s="264"/>
      <c r="S14" s="264"/>
      <c r="T14" s="264"/>
      <c r="U14" s="264"/>
      <c r="V14" s="264"/>
      <c r="W14" s="264"/>
      <c r="X14" s="264"/>
      <c r="Y14" s="264"/>
      <c r="Z14" s="264"/>
      <c r="AA14" s="264"/>
      <c r="AB14" s="264"/>
      <c r="AC14" s="273"/>
    </row>
    <row r="15" ht="90.0" customHeight="1">
      <c r="A15" s="184" t="s">
        <v>160</v>
      </c>
      <c r="B15" s="184" t="s">
        <v>174</v>
      </c>
      <c r="C15" s="184" t="s">
        <v>239</v>
      </c>
      <c r="D15" s="290" t="s">
        <v>240</v>
      </c>
      <c r="E15" s="290" t="s">
        <v>241</v>
      </c>
      <c r="F15" s="184" t="s">
        <v>34</v>
      </c>
      <c r="G15" s="291" t="s">
        <v>242</v>
      </c>
      <c r="H15" s="172"/>
      <c r="I15" s="204" t="s">
        <v>46</v>
      </c>
      <c r="J15" s="204" t="s">
        <v>47</v>
      </c>
      <c r="K15" s="204" t="s">
        <v>48</v>
      </c>
      <c r="L15" s="204" t="s">
        <v>50</v>
      </c>
      <c r="M15" s="204" t="s">
        <v>52</v>
      </c>
      <c r="N15" s="204" t="s">
        <v>53</v>
      </c>
      <c r="O15" s="204" t="s">
        <v>54</v>
      </c>
      <c r="P15" s="204" t="s">
        <v>55</v>
      </c>
      <c r="Q15" s="204" t="s">
        <v>56</v>
      </c>
      <c r="R15" s="204" t="s">
        <v>57</v>
      </c>
      <c r="S15" s="204" t="s">
        <v>58</v>
      </c>
      <c r="T15" s="165" t="s">
        <v>121</v>
      </c>
      <c r="U15" s="165" t="s">
        <v>135</v>
      </c>
      <c r="V15" s="165" t="s">
        <v>122</v>
      </c>
      <c r="W15" s="165" t="s">
        <v>123</v>
      </c>
      <c r="X15" s="165" t="s">
        <v>124</v>
      </c>
      <c r="Y15" s="165" t="s">
        <v>125</v>
      </c>
      <c r="Z15" s="165" t="s">
        <v>126</v>
      </c>
      <c r="AA15" s="165" t="s">
        <v>127</v>
      </c>
      <c r="AB15" s="165" t="s">
        <v>128</v>
      </c>
      <c r="AC15" s="184" t="s">
        <v>243</v>
      </c>
    </row>
    <row r="16">
      <c r="A16" s="189">
        <v>1.0</v>
      </c>
      <c r="B16" s="189">
        <v>1.0</v>
      </c>
      <c r="C16" s="189" t="s">
        <v>244</v>
      </c>
      <c r="D16" s="272">
        <v>6.0</v>
      </c>
      <c r="E16" s="272">
        <v>6.0</v>
      </c>
      <c r="F16" s="272">
        <v>15.0</v>
      </c>
      <c r="G16" s="289">
        <f t="shared" ref="G16:G18" si="3">IF(D16=0,0,F16/D16)</f>
        <v>2.5</v>
      </c>
      <c r="H16" s="172"/>
      <c r="I16" s="229">
        <v>0.0</v>
      </c>
      <c r="J16" s="229">
        <v>0.0</v>
      </c>
      <c r="K16" s="229">
        <v>0.0</v>
      </c>
      <c r="L16" s="229">
        <v>0.0</v>
      </c>
      <c r="M16" s="229">
        <v>0.0</v>
      </c>
      <c r="N16" s="229">
        <v>0.0</v>
      </c>
      <c r="O16" s="229">
        <v>0.0</v>
      </c>
      <c r="P16" s="229">
        <v>20.0</v>
      </c>
      <c r="Q16" s="229">
        <v>0.0</v>
      </c>
      <c r="R16" s="229">
        <v>0.0</v>
      </c>
      <c r="S16" s="229">
        <v>0.0</v>
      </c>
      <c r="T16" s="167">
        <v>0.0</v>
      </c>
      <c r="U16" s="167">
        <v>0.0</v>
      </c>
      <c r="V16" s="167">
        <v>0.0</v>
      </c>
      <c r="W16" s="167">
        <v>0.0</v>
      </c>
      <c r="X16" s="167">
        <v>0.0</v>
      </c>
      <c r="Y16" s="167">
        <v>0.0</v>
      </c>
      <c r="Z16" s="167">
        <v>0.0</v>
      </c>
      <c r="AA16" s="167">
        <v>0.0</v>
      </c>
      <c r="AB16" s="167">
        <v>0.0</v>
      </c>
      <c r="AC16" s="189">
        <f t="shared" ref="AC16:AC18" si="4">SUMPRODUCT(I16:S16, {0,33,50,67,167,67,50,4.17,7.56,12.17,16.22})</f>
        <v>83.4</v>
      </c>
    </row>
    <row r="17">
      <c r="A17" s="189">
        <v>2.0</v>
      </c>
      <c r="B17" s="189">
        <v>1.0</v>
      </c>
      <c r="C17" s="189" t="s">
        <v>244</v>
      </c>
      <c r="D17" s="272">
        <v>7.0</v>
      </c>
      <c r="E17" s="272">
        <v>13.0</v>
      </c>
      <c r="F17" s="272">
        <v>35.0</v>
      </c>
      <c r="G17" s="289">
        <f t="shared" si="3"/>
        <v>5</v>
      </c>
      <c r="H17" s="172"/>
      <c r="I17" s="229">
        <v>0.0</v>
      </c>
      <c r="J17" s="229">
        <v>1.0</v>
      </c>
      <c r="K17" s="229">
        <v>0.0</v>
      </c>
      <c r="L17" s="229">
        <v>0.0</v>
      </c>
      <c r="M17" s="229">
        <v>0.0</v>
      </c>
      <c r="N17" s="229">
        <v>0.0</v>
      </c>
      <c r="O17" s="229">
        <v>0.0</v>
      </c>
      <c r="P17" s="229">
        <v>0.0</v>
      </c>
      <c r="Q17" s="229">
        <v>0.0</v>
      </c>
      <c r="R17" s="229">
        <v>0.0</v>
      </c>
      <c r="S17" s="229">
        <v>0.0</v>
      </c>
      <c r="T17" s="167">
        <v>0.0</v>
      </c>
      <c r="U17" s="167">
        <v>0.0</v>
      </c>
      <c r="V17" s="167">
        <v>0.0</v>
      </c>
      <c r="W17" s="167">
        <v>0.0</v>
      </c>
      <c r="X17" s="167">
        <v>0.0</v>
      </c>
      <c r="Y17" s="167">
        <v>0.0</v>
      </c>
      <c r="Z17" s="167">
        <v>0.0</v>
      </c>
      <c r="AA17" s="167">
        <v>0.0</v>
      </c>
      <c r="AB17" s="167">
        <v>0.0</v>
      </c>
      <c r="AC17" s="189">
        <f t="shared" si="4"/>
        <v>33</v>
      </c>
    </row>
    <row r="18">
      <c r="A18" s="189">
        <v>3.0</v>
      </c>
      <c r="B18" s="189">
        <v>1.0</v>
      </c>
      <c r="C18" s="189" t="s">
        <v>244</v>
      </c>
      <c r="D18" s="272">
        <v>13.0</v>
      </c>
      <c r="E18" s="272">
        <v>26.0</v>
      </c>
      <c r="F18" s="272">
        <v>70.0</v>
      </c>
      <c r="G18" s="289">
        <f t="shared" si="3"/>
        <v>5.384615385</v>
      </c>
      <c r="H18" s="172"/>
      <c r="I18" s="229">
        <v>0.0</v>
      </c>
      <c r="J18" s="229">
        <v>0.0</v>
      </c>
      <c r="K18" s="229">
        <v>1.0</v>
      </c>
      <c r="L18" s="229">
        <v>0.0</v>
      </c>
      <c r="M18" s="229">
        <v>1.0</v>
      </c>
      <c r="N18" s="229">
        <v>0.0</v>
      </c>
      <c r="O18" s="229">
        <v>0.0</v>
      </c>
      <c r="P18" s="229">
        <v>0.0</v>
      </c>
      <c r="Q18" s="229">
        <v>0.0</v>
      </c>
      <c r="R18" s="229">
        <v>0.0</v>
      </c>
      <c r="S18" s="229">
        <v>0.0</v>
      </c>
      <c r="T18" s="167">
        <v>0.0</v>
      </c>
      <c r="U18" s="167">
        <v>0.0</v>
      </c>
      <c r="V18" s="167">
        <v>0.0</v>
      </c>
      <c r="W18" s="167">
        <v>0.0</v>
      </c>
      <c r="X18" s="167">
        <v>0.0</v>
      </c>
      <c r="Y18" s="167">
        <v>0.0</v>
      </c>
      <c r="Z18" s="167">
        <v>0.0</v>
      </c>
      <c r="AA18" s="167">
        <v>0.0</v>
      </c>
      <c r="AB18" s="167">
        <v>0.0</v>
      </c>
      <c r="AC18" s="189">
        <f t="shared" si="4"/>
        <v>217</v>
      </c>
    </row>
    <row r="19">
      <c r="A19" s="172"/>
      <c r="B19" s="172"/>
      <c r="C19" s="172"/>
      <c r="D19" s="172"/>
      <c r="E19" s="172"/>
      <c r="F19" s="172"/>
      <c r="G19" s="278"/>
      <c r="H19" s="172"/>
      <c r="AC19" s="172"/>
    </row>
    <row r="20" ht="17.25" customHeight="1">
      <c r="A20" s="282" t="s">
        <v>22</v>
      </c>
      <c r="B20" s="273"/>
      <c r="C20" s="273"/>
      <c r="D20" s="273"/>
      <c r="E20" s="273"/>
      <c r="F20" s="273"/>
      <c r="G20" s="283"/>
      <c r="H20" s="273"/>
      <c r="I20" s="264"/>
      <c r="J20" s="264"/>
      <c r="K20" s="264"/>
      <c r="L20" s="264"/>
      <c r="M20" s="264"/>
      <c r="N20" s="264"/>
      <c r="O20" s="264"/>
      <c r="P20" s="264"/>
      <c r="Q20" s="264"/>
      <c r="R20" s="264"/>
      <c r="S20" s="264"/>
      <c r="T20" s="264"/>
      <c r="U20" s="264"/>
      <c r="V20" s="264"/>
      <c r="W20" s="264"/>
      <c r="X20" s="264"/>
      <c r="Y20" s="264"/>
      <c r="Z20" s="264"/>
      <c r="AA20" s="264"/>
      <c r="AB20" s="264"/>
      <c r="AC20" s="273"/>
    </row>
    <row r="21" ht="90.0" customHeight="1">
      <c r="A21" s="184" t="s">
        <v>160</v>
      </c>
      <c r="B21" s="184" t="s">
        <v>174</v>
      </c>
      <c r="C21" s="184" t="s">
        <v>239</v>
      </c>
      <c r="D21" s="290" t="s">
        <v>240</v>
      </c>
      <c r="E21" s="290" t="s">
        <v>241</v>
      </c>
      <c r="F21" s="184" t="s">
        <v>34</v>
      </c>
      <c r="G21" s="291" t="s">
        <v>242</v>
      </c>
      <c r="H21" s="172"/>
      <c r="I21" s="204" t="s">
        <v>46</v>
      </c>
      <c r="J21" s="204" t="s">
        <v>47</v>
      </c>
      <c r="K21" s="204" t="s">
        <v>48</v>
      </c>
      <c r="L21" s="204" t="s">
        <v>50</v>
      </c>
      <c r="M21" s="204" t="s">
        <v>52</v>
      </c>
      <c r="N21" s="204" t="s">
        <v>53</v>
      </c>
      <c r="O21" s="204" t="s">
        <v>54</v>
      </c>
      <c r="P21" s="204" t="s">
        <v>55</v>
      </c>
      <c r="Q21" s="204" t="s">
        <v>56</v>
      </c>
      <c r="R21" s="204" t="s">
        <v>57</v>
      </c>
      <c r="S21" s="204" t="s">
        <v>58</v>
      </c>
      <c r="T21" s="165" t="s">
        <v>121</v>
      </c>
      <c r="U21" s="165" t="s">
        <v>135</v>
      </c>
      <c r="V21" s="165" t="s">
        <v>122</v>
      </c>
      <c r="W21" s="165" t="s">
        <v>123</v>
      </c>
      <c r="X21" s="165" t="s">
        <v>124</v>
      </c>
      <c r="Y21" s="165" t="s">
        <v>125</v>
      </c>
      <c r="Z21" s="165" t="s">
        <v>126</v>
      </c>
      <c r="AA21" s="165" t="s">
        <v>127</v>
      </c>
      <c r="AB21" s="165" t="s">
        <v>128</v>
      </c>
      <c r="AC21" s="184" t="s">
        <v>243</v>
      </c>
    </row>
    <row r="22" ht="15.75" customHeight="1">
      <c r="A22" s="189">
        <v>1.0</v>
      </c>
      <c r="B22" s="189">
        <v>1.0</v>
      </c>
      <c r="C22" s="189" t="s">
        <v>244</v>
      </c>
      <c r="D22" s="272">
        <v>11.0</v>
      </c>
      <c r="E22" s="272">
        <v>11.0</v>
      </c>
      <c r="F22" s="272">
        <v>25.0</v>
      </c>
      <c r="G22" s="289">
        <f t="shared" ref="G22:G24" si="5">IF(D22=0,0,F22/D22)</f>
        <v>2.272727273</v>
      </c>
      <c r="H22" s="172"/>
      <c r="I22" s="229">
        <v>0.0</v>
      </c>
      <c r="J22" s="229">
        <v>0.0</v>
      </c>
      <c r="K22" s="229">
        <v>0.0</v>
      </c>
      <c r="L22" s="229">
        <v>0.0</v>
      </c>
      <c r="M22" s="229">
        <v>0.0</v>
      </c>
      <c r="N22" s="229">
        <v>0.0</v>
      </c>
      <c r="O22" s="229">
        <v>0.0</v>
      </c>
      <c r="P22" s="229">
        <v>20.0</v>
      </c>
      <c r="Q22" s="229">
        <v>0.0</v>
      </c>
      <c r="R22" s="229">
        <v>0.0</v>
      </c>
      <c r="S22" s="229">
        <v>0.0</v>
      </c>
      <c r="T22" s="167">
        <v>0.0</v>
      </c>
      <c r="U22" s="167">
        <v>0.0</v>
      </c>
      <c r="V22" s="167">
        <v>0.0</v>
      </c>
      <c r="W22" s="167">
        <v>0.0</v>
      </c>
      <c r="X22" s="167">
        <v>0.0</v>
      </c>
      <c r="Y22" s="167">
        <v>0.0</v>
      </c>
      <c r="Z22" s="167">
        <v>0.0</v>
      </c>
      <c r="AA22" s="167">
        <v>0.0</v>
      </c>
      <c r="AB22" s="167">
        <v>0.0</v>
      </c>
      <c r="AC22" s="189">
        <f t="shared" ref="AC22:AC24" si="6">SUMPRODUCT(I22:S22, {0,33,50,67,167,67,50,4.17,7.56,12.17,16.22})</f>
        <v>83.4</v>
      </c>
    </row>
    <row r="23" ht="15.75" customHeight="1">
      <c r="A23" s="189">
        <v>2.0</v>
      </c>
      <c r="B23" s="189">
        <v>1.0</v>
      </c>
      <c r="C23" s="189" t="s">
        <v>244</v>
      </c>
      <c r="D23" s="272">
        <v>15.0</v>
      </c>
      <c r="E23" s="272">
        <v>26.0</v>
      </c>
      <c r="F23" s="272">
        <v>75.0</v>
      </c>
      <c r="G23" s="289">
        <f t="shared" si="5"/>
        <v>5</v>
      </c>
      <c r="H23" s="172"/>
      <c r="I23" s="229">
        <v>0.0</v>
      </c>
      <c r="J23" s="229">
        <v>1.0</v>
      </c>
      <c r="K23" s="229">
        <v>0.0</v>
      </c>
      <c r="L23" s="229">
        <v>0.0</v>
      </c>
      <c r="M23" s="229">
        <v>0.0</v>
      </c>
      <c r="N23" s="229">
        <v>0.0</v>
      </c>
      <c r="O23" s="229">
        <v>0.0</v>
      </c>
      <c r="P23" s="229">
        <v>0.0</v>
      </c>
      <c r="Q23" s="229">
        <v>0.0</v>
      </c>
      <c r="R23" s="229">
        <v>0.0</v>
      </c>
      <c r="S23" s="229">
        <v>0.0</v>
      </c>
      <c r="T23" s="167">
        <v>0.0</v>
      </c>
      <c r="U23" s="167">
        <v>0.0</v>
      </c>
      <c r="V23" s="167">
        <v>0.0</v>
      </c>
      <c r="W23" s="167">
        <v>0.0</v>
      </c>
      <c r="X23" s="167">
        <v>0.0</v>
      </c>
      <c r="Y23" s="167">
        <v>0.0</v>
      </c>
      <c r="Z23" s="167">
        <v>0.0</v>
      </c>
      <c r="AA23" s="167">
        <v>0.0</v>
      </c>
      <c r="AB23" s="167">
        <v>0.0</v>
      </c>
      <c r="AC23" s="189">
        <f t="shared" si="6"/>
        <v>33</v>
      </c>
    </row>
    <row r="24" ht="15.75" customHeight="1">
      <c r="A24" s="189">
        <v>3.0</v>
      </c>
      <c r="B24" s="189">
        <v>1.0</v>
      </c>
      <c r="C24" s="189" t="s">
        <v>244</v>
      </c>
      <c r="D24" s="272">
        <v>16.0</v>
      </c>
      <c r="E24" s="272">
        <v>42.0</v>
      </c>
      <c r="F24" s="272">
        <v>140.0</v>
      </c>
      <c r="G24" s="289">
        <f t="shared" si="5"/>
        <v>8.75</v>
      </c>
      <c r="H24" s="172"/>
      <c r="I24" s="229">
        <v>0.0</v>
      </c>
      <c r="J24" s="229">
        <v>0.0</v>
      </c>
      <c r="K24" s="229">
        <v>1.0</v>
      </c>
      <c r="L24" s="229">
        <v>0.0</v>
      </c>
      <c r="M24" s="229">
        <v>1.0</v>
      </c>
      <c r="N24" s="229">
        <v>0.0</v>
      </c>
      <c r="O24" s="229">
        <v>0.0</v>
      </c>
      <c r="P24" s="229">
        <v>0.0</v>
      </c>
      <c r="Q24" s="229">
        <v>0.0</v>
      </c>
      <c r="R24" s="229">
        <v>0.0</v>
      </c>
      <c r="S24" s="229">
        <v>0.0</v>
      </c>
      <c r="T24" s="167">
        <v>0.0</v>
      </c>
      <c r="U24" s="167">
        <v>0.0</v>
      </c>
      <c r="V24" s="167">
        <v>0.0</v>
      </c>
      <c r="W24" s="167">
        <v>0.0</v>
      </c>
      <c r="X24" s="167">
        <v>0.0</v>
      </c>
      <c r="Y24" s="167">
        <v>0.0</v>
      </c>
      <c r="Z24" s="167">
        <v>0.0</v>
      </c>
      <c r="AA24" s="167">
        <v>0.0</v>
      </c>
      <c r="AB24" s="167">
        <v>0.0</v>
      </c>
      <c r="AC24" s="189">
        <f t="shared" si="6"/>
        <v>217</v>
      </c>
    </row>
    <row r="25" ht="15.75" customHeight="1">
      <c r="A25" s="172"/>
      <c r="B25" s="172"/>
      <c r="C25" s="172"/>
      <c r="D25" s="172"/>
      <c r="E25" s="172"/>
      <c r="F25" s="172"/>
      <c r="G25" s="278"/>
      <c r="H25" s="172"/>
      <c r="AC25" s="172"/>
    </row>
    <row r="26" ht="17.25" customHeight="1">
      <c r="A26" s="282" t="s">
        <v>24</v>
      </c>
      <c r="B26" s="273"/>
      <c r="C26" s="273"/>
      <c r="D26" s="273"/>
      <c r="E26" s="273"/>
      <c r="F26" s="273"/>
      <c r="G26" s="283"/>
      <c r="H26" s="273"/>
      <c r="I26" s="264"/>
      <c r="J26" s="264"/>
      <c r="K26" s="264"/>
      <c r="L26" s="264"/>
      <c r="M26" s="264"/>
      <c r="N26" s="264"/>
      <c r="O26" s="264"/>
      <c r="P26" s="264"/>
      <c r="Q26" s="264"/>
      <c r="R26" s="264"/>
      <c r="S26" s="264"/>
      <c r="T26" s="264"/>
      <c r="U26" s="264"/>
      <c r="V26" s="264"/>
      <c r="W26" s="264"/>
      <c r="X26" s="264"/>
      <c r="Y26" s="264"/>
      <c r="Z26" s="264"/>
      <c r="AA26" s="264"/>
      <c r="AB26" s="264"/>
      <c r="AC26" s="273"/>
    </row>
    <row r="27" ht="90.0" customHeight="1">
      <c r="A27" s="184" t="s">
        <v>160</v>
      </c>
      <c r="B27" s="184" t="s">
        <v>174</v>
      </c>
      <c r="C27" s="184" t="s">
        <v>239</v>
      </c>
      <c r="D27" s="290" t="s">
        <v>240</v>
      </c>
      <c r="E27" s="290" t="s">
        <v>241</v>
      </c>
      <c r="F27" s="184" t="s">
        <v>34</v>
      </c>
      <c r="G27" s="291" t="s">
        <v>242</v>
      </c>
      <c r="H27" s="172"/>
      <c r="I27" s="204" t="s">
        <v>46</v>
      </c>
      <c r="J27" s="204" t="s">
        <v>47</v>
      </c>
      <c r="K27" s="204" t="s">
        <v>48</v>
      </c>
      <c r="L27" s="204" t="s">
        <v>50</v>
      </c>
      <c r="M27" s="204" t="s">
        <v>52</v>
      </c>
      <c r="N27" s="204" t="s">
        <v>53</v>
      </c>
      <c r="O27" s="204" t="s">
        <v>54</v>
      </c>
      <c r="P27" s="204" t="s">
        <v>55</v>
      </c>
      <c r="Q27" s="204" t="s">
        <v>56</v>
      </c>
      <c r="R27" s="204" t="s">
        <v>57</v>
      </c>
      <c r="S27" s="204" t="s">
        <v>58</v>
      </c>
      <c r="T27" s="165" t="s">
        <v>121</v>
      </c>
      <c r="U27" s="165" t="s">
        <v>135</v>
      </c>
      <c r="V27" s="165" t="s">
        <v>122</v>
      </c>
      <c r="W27" s="165" t="s">
        <v>123</v>
      </c>
      <c r="X27" s="165" t="s">
        <v>124</v>
      </c>
      <c r="Y27" s="165" t="s">
        <v>125</v>
      </c>
      <c r="Z27" s="165" t="s">
        <v>126</v>
      </c>
      <c r="AA27" s="165" t="s">
        <v>127</v>
      </c>
      <c r="AB27" s="165" t="s">
        <v>128</v>
      </c>
      <c r="AC27" s="184" t="s">
        <v>243</v>
      </c>
    </row>
    <row r="28" ht="15.75" customHeight="1">
      <c r="A28" s="189">
        <v>1.0</v>
      </c>
      <c r="B28" s="189">
        <v>1.0</v>
      </c>
      <c r="C28" s="189" t="s">
        <v>244</v>
      </c>
      <c r="D28" s="272">
        <v>28.0</v>
      </c>
      <c r="E28" s="272">
        <v>28.0</v>
      </c>
      <c r="F28" s="272">
        <v>65.0</v>
      </c>
      <c r="G28" s="289">
        <f t="shared" ref="G28:G30" si="7">IF(D28=0,0,F28/D28)</f>
        <v>2.321428571</v>
      </c>
      <c r="H28" s="172"/>
      <c r="I28" s="229">
        <v>0.0</v>
      </c>
      <c r="J28" s="229">
        <v>0.0</v>
      </c>
      <c r="K28" s="229">
        <v>0.0</v>
      </c>
      <c r="L28" s="229">
        <v>0.0</v>
      </c>
      <c r="M28" s="229">
        <v>0.0</v>
      </c>
      <c r="N28" s="229">
        <v>0.0</v>
      </c>
      <c r="O28" s="229">
        <v>0.0</v>
      </c>
      <c r="P28" s="229">
        <v>30.0</v>
      </c>
      <c r="Q28" s="229">
        <v>0.0</v>
      </c>
      <c r="R28" s="229">
        <v>0.0</v>
      </c>
      <c r="S28" s="229">
        <v>0.0</v>
      </c>
      <c r="T28" s="167">
        <v>0.0</v>
      </c>
      <c r="U28" s="167">
        <v>0.0</v>
      </c>
      <c r="V28" s="167">
        <v>0.0</v>
      </c>
      <c r="W28" s="167">
        <v>0.0</v>
      </c>
      <c r="X28" s="167">
        <v>0.0</v>
      </c>
      <c r="Y28" s="167">
        <v>0.0</v>
      </c>
      <c r="Z28" s="167">
        <v>0.0</v>
      </c>
      <c r="AA28" s="167">
        <v>0.0</v>
      </c>
      <c r="AB28" s="167">
        <v>0.0</v>
      </c>
      <c r="AC28" s="189">
        <f t="shared" ref="AC28:AC30" si="8">SUMPRODUCT(I28:S28, {0,33,50,67,167,67,50,4.17,7.56,12.17,16.22})</f>
        <v>125.1</v>
      </c>
    </row>
    <row r="29" ht="15.75" customHeight="1">
      <c r="A29" s="189">
        <v>2.0</v>
      </c>
      <c r="B29" s="189">
        <v>1.0</v>
      </c>
      <c r="C29" s="189" t="s">
        <v>244</v>
      </c>
      <c r="D29" s="272">
        <v>32.0</v>
      </c>
      <c r="E29" s="272">
        <v>60.0</v>
      </c>
      <c r="F29" s="272">
        <v>160.0</v>
      </c>
      <c r="G29" s="289">
        <f t="shared" si="7"/>
        <v>5</v>
      </c>
      <c r="H29" s="172"/>
      <c r="I29" s="229">
        <v>0.0</v>
      </c>
      <c r="J29" s="229">
        <v>1.0</v>
      </c>
      <c r="K29" s="229">
        <v>0.0</v>
      </c>
      <c r="L29" s="229">
        <v>0.0</v>
      </c>
      <c r="M29" s="229">
        <v>0.0</v>
      </c>
      <c r="N29" s="229">
        <v>0.0</v>
      </c>
      <c r="O29" s="229">
        <v>0.0</v>
      </c>
      <c r="P29" s="229">
        <v>0.0</v>
      </c>
      <c r="Q29" s="229">
        <v>0.0</v>
      </c>
      <c r="R29" s="229">
        <v>0.0</v>
      </c>
      <c r="S29" s="229">
        <v>0.0</v>
      </c>
      <c r="T29" s="167">
        <v>0.0</v>
      </c>
      <c r="U29" s="167">
        <v>0.0</v>
      </c>
      <c r="V29" s="167">
        <v>0.0</v>
      </c>
      <c r="W29" s="167">
        <v>0.0</v>
      </c>
      <c r="X29" s="167">
        <v>0.0</v>
      </c>
      <c r="Y29" s="167">
        <v>0.0</v>
      </c>
      <c r="Z29" s="167">
        <v>0.0</v>
      </c>
      <c r="AA29" s="167">
        <v>0.0</v>
      </c>
      <c r="AB29" s="167">
        <v>0.0</v>
      </c>
      <c r="AC29" s="189">
        <f t="shared" si="8"/>
        <v>33</v>
      </c>
    </row>
    <row r="30" ht="15.75" customHeight="1">
      <c r="A30" s="189">
        <v>3.0</v>
      </c>
      <c r="B30" s="189">
        <v>1.0</v>
      </c>
      <c r="C30" s="189" t="s">
        <v>244</v>
      </c>
      <c r="D30" s="272">
        <v>40.0</v>
      </c>
      <c r="E30" s="272">
        <v>100.0</v>
      </c>
      <c r="F30" s="272">
        <v>300.0</v>
      </c>
      <c r="G30" s="289">
        <f t="shared" si="7"/>
        <v>7.5</v>
      </c>
      <c r="H30" s="172"/>
      <c r="I30" s="229">
        <v>0.0</v>
      </c>
      <c r="J30" s="229">
        <v>0.0</v>
      </c>
      <c r="K30" s="229">
        <v>0.0</v>
      </c>
      <c r="L30" s="229">
        <v>0.0</v>
      </c>
      <c r="M30" s="229">
        <v>1.0</v>
      </c>
      <c r="N30" s="229">
        <v>0.0</v>
      </c>
      <c r="O30" s="229">
        <v>1.0</v>
      </c>
      <c r="P30" s="229">
        <v>0.0</v>
      </c>
      <c r="Q30" s="229">
        <v>0.0</v>
      </c>
      <c r="R30" s="229">
        <v>0.0</v>
      </c>
      <c r="S30" s="229">
        <v>0.0</v>
      </c>
      <c r="T30" s="167">
        <v>0.0</v>
      </c>
      <c r="U30" s="167">
        <v>0.0</v>
      </c>
      <c r="V30" s="167">
        <v>0.0</v>
      </c>
      <c r="W30" s="167">
        <v>0.0</v>
      </c>
      <c r="X30" s="167">
        <v>0.0</v>
      </c>
      <c r="Y30" s="167">
        <v>0.0</v>
      </c>
      <c r="Z30" s="167">
        <v>0.0</v>
      </c>
      <c r="AA30" s="167">
        <v>0.0</v>
      </c>
      <c r="AB30" s="167">
        <v>0.0</v>
      </c>
      <c r="AC30" s="189">
        <f t="shared" si="8"/>
        <v>217</v>
      </c>
    </row>
    <row r="31" ht="15.75" customHeight="1">
      <c r="A31" s="172"/>
      <c r="B31" s="172"/>
      <c r="C31" s="172"/>
      <c r="D31" s="172"/>
      <c r="E31" s="172"/>
      <c r="F31" s="172"/>
      <c r="G31" s="278"/>
      <c r="H31" s="172"/>
      <c r="AC31" s="172"/>
    </row>
    <row r="32" ht="17.25" customHeight="1">
      <c r="A32" s="282" t="s">
        <v>26</v>
      </c>
      <c r="B32" s="273"/>
      <c r="C32" s="273"/>
      <c r="D32" s="273"/>
      <c r="E32" s="273"/>
      <c r="F32" s="273"/>
      <c r="G32" s="283"/>
      <c r="H32" s="273"/>
      <c r="I32" s="264"/>
      <c r="J32" s="264"/>
      <c r="K32" s="264"/>
      <c r="L32" s="264"/>
      <c r="M32" s="264"/>
      <c r="N32" s="264"/>
      <c r="O32" s="264"/>
      <c r="P32" s="264"/>
      <c r="Q32" s="264"/>
      <c r="R32" s="264"/>
      <c r="S32" s="264"/>
      <c r="T32" s="264"/>
      <c r="U32" s="264"/>
      <c r="V32" s="264"/>
      <c r="W32" s="264"/>
      <c r="X32" s="264"/>
      <c r="Y32" s="264"/>
      <c r="Z32" s="264"/>
      <c r="AA32" s="264"/>
      <c r="AB32" s="264"/>
      <c r="AC32" s="273"/>
    </row>
    <row r="33" ht="90.0" customHeight="1">
      <c r="A33" s="184" t="s">
        <v>160</v>
      </c>
      <c r="B33" s="184" t="s">
        <v>174</v>
      </c>
      <c r="C33" s="184" t="s">
        <v>239</v>
      </c>
      <c r="D33" s="290" t="s">
        <v>240</v>
      </c>
      <c r="E33" s="290" t="s">
        <v>241</v>
      </c>
      <c r="F33" s="184" t="s">
        <v>34</v>
      </c>
      <c r="G33" s="291" t="s">
        <v>242</v>
      </c>
      <c r="H33" s="172"/>
      <c r="I33" s="204" t="s">
        <v>46</v>
      </c>
      <c r="J33" s="204" t="s">
        <v>47</v>
      </c>
      <c r="K33" s="204" t="s">
        <v>48</v>
      </c>
      <c r="L33" s="204" t="s">
        <v>50</v>
      </c>
      <c r="M33" s="204" t="s">
        <v>52</v>
      </c>
      <c r="N33" s="204" t="s">
        <v>53</v>
      </c>
      <c r="O33" s="204" t="s">
        <v>54</v>
      </c>
      <c r="P33" s="204" t="s">
        <v>55</v>
      </c>
      <c r="Q33" s="204" t="s">
        <v>56</v>
      </c>
      <c r="R33" s="204" t="s">
        <v>57</v>
      </c>
      <c r="S33" s="204" t="s">
        <v>58</v>
      </c>
      <c r="T33" s="165" t="s">
        <v>121</v>
      </c>
      <c r="U33" s="165" t="s">
        <v>135</v>
      </c>
      <c r="V33" s="165" t="s">
        <v>122</v>
      </c>
      <c r="W33" s="165" t="s">
        <v>123</v>
      </c>
      <c r="X33" s="165" t="s">
        <v>124</v>
      </c>
      <c r="Y33" s="165" t="s">
        <v>125</v>
      </c>
      <c r="Z33" s="165" t="s">
        <v>126</v>
      </c>
      <c r="AA33" s="165" t="s">
        <v>127</v>
      </c>
      <c r="AB33" s="165" t="s">
        <v>128</v>
      </c>
      <c r="AC33" s="184" t="s">
        <v>243</v>
      </c>
    </row>
    <row r="34" ht="15.75" customHeight="1">
      <c r="A34" s="189">
        <v>1.0</v>
      </c>
      <c r="B34" s="189">
        <v>1.0</v>
      </c>
      <c r="C34" s="189" t="s">
        <v>244</v>
      </c>
      <c r="D34" s="272">
        <v>80.0</v>
      </c>
      <c r="E34" s="272">
        <v>80.0</v>
      </c>
      <c r="F34" s="272">
        <v>160.0</v>
      </c>
      <c r="G34" s="289">
        <f t="shared" ref="G34:G36" si="9">IF(D34=0,0,F34/D34)</f>
        <v>2</v>
      </c>
      <c r="H34" s="172"/>
      <c r="I34" s="229">
        <v>0.0</v>
      </c>
      <c r="J34" s="229">
        <v>0.0</v>
      </c>
      <c r="K34" s="229">
        <v>0.0</v>
      </c>
      <c r="L34" s="229">
        <v>0.0</v>
      </c>
      <c r="M34" s="229">
        <v>0.0</v>
      </c>
      <c r="N34" s="229">
        <v>0.0</v>
      </c>
      <c r="O34" s="229">
        <v>0.0</v>
      </c>
      <c r="P34" s="229">
        <v>60.0</v>
      </c>
      <c r="Q34" s="229">
        <v>0.0</v>
      </c>
      <c r="R34" s="229">
        <v>0.0</v>
      </c>
      <c r="S34" s="229">
        <v>0.0</v>
      </c>
      <c r="T34" s="167">
        <v>0.0</v>
      </c>
      <c r="U34" s="167">
        <v>0.0</v>
      </c>
      <c r="V34" s="167">
        <v>0.0</v>
      </c>
      <c r="W34" s="167">
        <v>0.0</v>
      </c>
      <c r="X34" s="167">
        <v>0.0</v>
      </c>
      <c r="Y34" s="167">
        <v>0.0</v>
      </c>
      <c r="Z34" s="167">
        <v>0.0</v>
      </c>
      <c r="AA34" s="167">
        <v>0.0</v>
      </c>
      <c r="AB34" s="167">
        <v>0.0</v>
      </c>
      <c r="AC34" s="189">
        <f t="shared" ref="AC34:AC36" si="10">SUMPRODUCT(I34:S34, {0,33,50,67,167,67,50,4.17,7.56,12.17,16.22})</f>
        <v>250.2</v>
      </c>
    </row>
    <row r="35" ht="15.75" customHeight="1">
      <c r="A35" s="189">
        <v>2.0</v>
      </c>
      <c r="B35" s="189">
        <v>1.0</v>
      </c>
      <c r="C35" s="189" t="s">
        <v>244</v>
      </c>
      <c r="D35" s="272">
        <v>95.0</v>
      </c>
      <c r="E35" s="272">
        <v>175.0</v>
      </c>
      <c r="F35" s="272">
        <v>350.0</v>
      </c>
      <c r="G35" s="289">
        <f t="shared" si="9"/>
        <v>3.684210526</v>
      </c>
      <c r="H35" s="172"/>
      <c r="I35" s="229">
        <v>0.0</v>
      </c>
      <c r="J35" s="229">
        <v>1.0</v>
      </c>
      <c r="K35" s="229">
        <v>0.0</v>
      </c>
      <c r="L35" s="229">
        <v>0.0</v>
      </c>
      <c r="M35" s="229">
        <v>0.0</v>
      </c>
      <c r="N35" s="229">
        <v>0.0</v>
      </c>
      <c r="O35" s="229">
        <v>0.0</v>
      </c>
      <c r="P35" s="229">
        <v>0.0</v>
      </c>
      <c r="Q35" s="229">
        <v>0.0</v>
      </c>
      <c r="R35" s="229">
        <v>0.0</v>
      </c>
      <c r="S35" s="229">
        <v>0.0</v>
      </c>
      <c r="T35" s="167">
        <v>0.0</v>
      </c>
      <c r="U35" s="167">
        <v>0.0</v>
      </c>
      <c r="V35" s="167">
        <v>0.0</v>
      </c>
      <c r="W35" s="167">
        <v>0.0</v>
      </c>
      <c r="X35" s="167">
        <v>0.0</v>
      </c>
      <c r="Y35" s="167">
        <v>0.0</v>
      </c>
      <c r="Z35" s="167">
        <v>0.0</v>
      </c>
      <c r="AA35" s="167">
        <v>0.0</v>
      </c>
      <c r="AB35" s="167">
        <v>0.0</v>
      </c>
      <c r="AC35" s="189">
        <f t="shared" si="10"/>
        <v>33</v>
      </c>
    </row>
    <row r="36" ht="15.75" customHeight="1">
      <c r="A36" s="189">
        <v>3.0</v>
      </c>
      <c r="B36" s="189">
        <v>1.0</v>
      </c>
      <c r="C36" s="189" t="s">
        <v>244</v>
      </c>
      <c r="D36" s="272">
        <v>105.0</v>
      </c>
      <c r="E36" s="272">
        <v>280.0</v>
      </c>
      <c r="F36" s="272">
        <v>500.0</v>
      </c>
      <c r="G36" s="289">
        <f t="shared" si="9"/>
        <v>4.761904762</v>
      </c>
      <c r="H36" s="172"/>
      <c r="I36" s="229">
        <v>0.0</v>
      </c>
      <c r="J36" s="229">
        <v>0.0</v>
      </c>
      <c r="K36" s="229">
        <v>0.0</v>
      </c>
      <c r="L36" s="229">
        <v>0.0</v>
      </c>
      <c r="M36" s="229">
        <v>1.0</v>
      </c>
      <c r="N36" s="229">
        <v>0.0</v>
      </c>
      <c r="O36" s="229">
        <v>1.0</v>
      </c>
      <c r="P36" s="229">
        <v>0.0</v>
      </c>
      <c r="Q36" s="229">
        <v>0.0</v>
      </c>
      <c r="R36" s="229">
        <v>0.0</v>
      </c>
      <c r="S36" s="229">
        <v>0.0</v>
      </c>
      <c r="T36" s="167">
        <v>0.0</v>
      </c>
      <c r="U36" s="167">
        <v>0.0</v>
      </c>
      <c r="V36" s="167">
        <v>0.0</v>
      </c>
      <c r="W36" s="167">
        <v>0.0</v>
      </c>
      <c r="X36" s="167">
        <v>0.0</v>
      </c>
      <c r="Y36" s="167">
        <v>0.0</v>
      </c>
      <c r="Z36" s="167">
        <v>0.0</v>
      </c>
      <c r="AA36" s="167">
        <v>0.0</v>
      </c>
      <c r="AB36" s="167">
        <v>0.0</v>
      </c>
      <c r="AC36" s="189">
        <f t="shared" si="10"/>
        <v>217</v>
      </c>
    </row>
    <row r="37" ht="15.75" customHeight="1">
      <c r="G37" s="259"/>
    </row>
    <row r="38" ht="15.75" customHeight="1">
      <c r="G38" s="259"/>
    </row>
    <row r="39" ht="15.75" customHeight="1">
      <c r="G39" s="259"/>
    </row>
    <row r="40" ht="15.75" customHeight="1">
      <c r="G40" s="259"/>
    </row>
    <row r="41" ht="15.75" customHeight="1">
      <c r="G41" s="259"/>
    </row>
    <row r="42" ht="15.75" customHeight="1">
      <c r="G42" s="259"/>
    </row>
    <row r="43" ht="15.75" customHeight="1">
      <c r="G43" s="259"/>
    </row>
    <row r="44" ht="15.75" customHeight="1">
      <c r="G44" s="259"/>
    </row>
    <row r="45" ht="15.75" customHeight="1">
      <c r="G45" s="259"/>
    </row>
    <row r="46" ht="15.75" customHeight="1">
      <c r="G46" s="259"/>
    </row>
    <row r="47" ht="15.75" customHeight="1">
      <c r="G47" s="259"/>
    </row>
    <row r="48" ht="15.75" customHeight="1">
      <c r="G48" s="259"/>
    </row>
    <row r="49" ht="15.75" customHeight="1">
      <c r="G49" s="259"/>
    </row>
    <row r="50" ht="15.75" customHeight="1">
      <c r="G50" s="259"/>
    </row>
    <row r="51" ht="15.75" customHeight="1">
      <c r="G51" s="259"/>
    </row>
    <row r="52" ht="15.75" customHeight="1">
      <c r="G52" s="259"/>
    </row>
    <row r="53" ht="15.75" customHeight="1">
      <c r="G53" s="259"/>
    </row>
    <row r="54" ht="15.75" customHeight="1">
      <c r="G54" s="259"/>
    </row>
    <row r="55" ht="15.75" customHeight="1">
      <c r="G55" s="259"/>
    </row>
    <row r="56" ht="15.75" customHeight="1">
      <c r="G56" s="259"/>
    </row>
    <row r="57" ht="15.75" customHeight="1">
      <c r="G57" s="259"/>
    </row>
    <row r="58" ht="15.75" customHeight="1">
      <c r="G58" s="259"/>
    </row>
    <row r="59" ht="15.75" customHeight="1">
      <c r="G59" s="259"/>
    </row>
    <row r="60" ht="15.75" customHeight="1">
      <c r="G60" s="259"/>
    </row>
    <row r="61" ht="15.75" customHeight="1">
      <c r="G61" s="259"/>
    </row>
    <row r="62" ht="15.75" customHeight="1">
      <c r="G62" s="259"/>
    </row>
    <row r="63" ht="15.75" customHeight="1">
      <c r="G63" s="259"/>
    </row>
    <row r="64" ht="15.75" customHeight="1">
      <c r="G64" s="259"/>
    </row>
    <row r="65" ht="15.75" customHeight="1">
      <c r="G65" s="259"/>
    </row>
    <row r="66" ht="15.75" customHeight="1">
      <c r="G66" s="259"/>
    </row>
    <row r="67" ht="15.75" customHeight="1">
      <c r="G67" s="259"/>
    </row>
    <row r="68" ht="15.75" customHeight="1">
      <c r="G68" s="259"/>
    </row>
    <row r="69" ht="15.75" customHeight="1">
      <c r="G69" s="259"/>
    </row>
    <row r="70" ht="15.75" customHeight="1">
      <c r="G70" s="259"/>
    </row>
    <row r="71" ht="15.75" customHeight="1">
      <c r="G71" s="259"/>
    </row>
    <row r="72" ht="15.75" customHeight="1">
      <c r="G72" s="259"/>
    </row>
    <row r="73" ht="15.75" customHeight="1">
      <c r="G73" s="259"/>
    </row>
    <row r="74" ht="15.75" customHeight="1">
      <c r="G74" s="259"/>
    </row>
    <row r="75" ht="15.75" customHeight="1">
      <c r="G75" s="259"/>
    </row>
    <row r="76" ht="15.75" customHeight="1">
      <c r="G76" s="259"/>
    </row>
    <row r="77" ht="15.75" customHeight="1">
      <c r="G77" s="259"/>
    </row>
    <row r="78" ht="15.75" customHeight="1">
      <c r="G78" s="259"/>
    </row>
    <row r="79" ht="15.75" customHeight="1">
      <c r="G79" s="259"/>
    </row>
    <row r="80" ht="15.75" customHeight="1">
      <c r="G80" s="259"/>
    </row>
    <row r="81" ht="15.75" customHeight="1">
      <c r="G81" s="259"/>
    </row>
    <row r="82" ht="15.75" customHeight="1">
      <c r="G82" s="259"/>
    </row>
    <row r="83" ht="15.75" customHeight="1">
      <c r="G83" s="259"/>
    </row>
    <row r="84" ht="15.75" customHeight="1">
      <c r="G84" s="259"/>
    </row>
    <row r="85" ht="15.75" customHeight="1">
      <c r="G85" s="259"/>
    </row>
    <row r="86" ht="15.75" customHeight="1">
      <c r="G86" s="259"/>
    </row>
    <row r="87" ht="15.75" customHeight="1">
      <c r="G87" s="259"/>
    </row>
    <row r="88" ht="15.75" customHeight="1">
      <c r="G88" s="259"/>
    </row>
    <row r="89" ht="15.75" customHeight="1">
      <c r="G89" s="259"/>
    </row>
    <row r="90" ht="15.75" customHeight="1">
      <c r="G90" s="259"/>
    </row>
    <row r="91" ht="15.75" customHeight="1">
      <c r="G91" s="259"/>
    </row>
    <row r="92" ht="15.75" customHeight="1">
      <c r="G92" s="259"/>
    </row>
    <row r="93" ht="15.75" customHeight="1">
      <c r="G93" s="259"/>
    </row>
    <row r="94" ht="15.75" customHeight="1">
      <c r="G94" s="259"/>
    </row>
    <row r="95" ht="15.75" customHeight="1">
      <c r="G95" s="259"/>
    </row>
    <row r="96" ht="15.75" customHeight="1">
      <c r="G96" s="259"/>
    </row>
    <row r="97" ht="15.75" customHeight="1">
      <c r="G97" s="259"/>
    </row>
    <row r="98" ht="15.75" customHeight="1">
      <c r="G98" s="259"/>
    </row>
    <row r="99" ht="15.75" customHeight="1">
      <c r="G99" s="259"/>
    </row>
    <row r="100" ht="15.75" customHeight="1">
      <c r="G100" s="259"/>
    </row>
    <row r="101" ht="15.75" customHeight="1">
      <c r="G101" s="259"/>
    </row>
    <row r="102" ht="15.75" customHeight="1">
      <c r="G102" s="259"/>
    </row>
    <row r="103" ht="15.75" customHeight="1">
      <c r="G103" s="259"/>
    </row>
    <row r="104" ht="15.75" customHeight="1">
      <c r="G104" s="259"/>
    </row>
    <row r="105" ht="15.75" customHeight="1">
      <c r="G105" s="259"/>
    </row>
    <row r="106" ht="15.75" customHeight="1">
      <c r="G106" s="259"/>
    </row>
    <row r="107" ht="15.75" customHeight="1">
      <c r="G107" s="259"/>
    </row>
    <row r="108" ht="15.75" customHeight="1">
      <c r="G108" s="259"/>
    </row>
    <row r="109" ht="15.75" customHeight="1">
      <c r="G109" s="259"/>
    </row>
    <row r="110" ht="15.75" customHeight="1">
      <c r="G110" s="259"/>
    </row>
    <row r="111" ht="15.75" customHeight="1">
      <c r="G111" s="259"/>
    </row>
    <row r="112" ht="15.75" customHeight="1">
      <c r="G112" s="259"/>
    </row>
    <row r="113" ht="15.75" customHeight="1">
      <c r="G113" s="259"/>
    </row>
    <row r="114" ht="15.75" customHeight="1">
      <c r="G114" s="259"/>
    </row>
    <row r="115" ht="15.75" customHeight="1">
      <c r="G115" s="259"/>
    </row>
    <row r="116" ht="15.75" customHeight="1">
      <c r="G116" s="259"/>
    </row>
    <row r="117" ht="15.75" customHeight="1">
      <c r="G117" s="259"/>
    </row>
    <row r="118" ht="15.75" customHeight="1">
      <c r="G118" s="259"/>
    </row>
    <row r="119" ht="15.75" customHeight="1">
      <c r="G119" s="259"/>
    </row>
    <row r="120" ht="15.75" customHeight="1">
      <c r="G120" s="259"/>
    </row>
    <row r="121" ht="15.75" customHeight="1">
      <c r="G121" s="259"/>
    </row>
    <row r="122" ht="15.75" customHeight="1">
      <c r="G122" s="259"/>
    </row>
    <row r="123" ht="15.75" customHeight="1">
      <c r="G123" s="259"/>
    </row>
    <row r="124" ht="15.75" customHeight="1">
      <c r="G124" s="259"/>
    </row>
    <row r="125" ht="15.75" customHeight="1">
      <c r="G125" s="259"/>
    </row>
    <row r="126" ht="15.75" customHeight="1">
      <c r="G126" s="259"/>
    </row>
    <row r="127" ht="15.75" customHeight="1">
      <c r="G127" s="259"/>
    </row>
    <row r="128" ht="15.75" customHeight="1">
      <c r="G128" s="259"/>
    </row>
    <row r="129" ht="15.75" customHeight="1">
      <c r="G129" s="259"/>
    </row>
    <row r="130" ht="15.75" customHeight="1">
      <c r="G130" s="259"/>
    </row>
    <row r="131" ht="15.75" customHeight="1">
      <c r="G131" s="259"/>
    </row>
    <row r="132" ht="15.75" customHeight="1">
      <c r="G132" s="259"/>
    </row>
    <row r="133" ht="15.75" customHeight="1">
      <c r="G133" s="259"/>
    </row>
    <row r="134" ht="15.75" customHeight="1">
      <c r="G134" s="259"/>
    </row>
    <row r="135" ht="15.75" customHeight="1">
      <c r="G135" s="259"/>
    </row>
    <row r="136" ht="15.75" customHeight="1">
      <c r="G136" s="259"/>
    </row>
    <row r="137" ht="15.75" customHeight="1">
      <c r="G137" s="259"/>
    </row>
    <row r="138" ht="15.75" customHeight="1">
      <c r="G138" s="259"/>
    </row>
    <row r="139" ht="15.75" customHeight="1">
      <c r="G139" s="259"/>
    </row>
    <row r="140" ht="15.75" customHeight="1">
      <c r="G140" s="259"/>
    </row>
    <row r="141" ht="15.75" customHeight="1">
      <c r="G141" s="259"/>
    </row>
    <row r="142" ht="15.75" customHeight="1">
      <c r="G142" s="259"/>
    </row>
    <row r="143" ht="15.75" customHeight="1">
      <c r="G143" s="259"/>
    </row>
    <row r="144" ht="15.75" customHeight="1">
      <c r="G144" s="259"/>
    </row>
    <row r="145" ht="15.75" customHeight="1">
      <c r="G145" s="259"/>
    </row>
    <row r="146" ht="15.75" customHeight="1">
      <c r="G146" s="259"/>
    </row>
    <row r="147" ht="15.75" customHeight="1">
      <c r="G147" s="259"/>
    </row>
    <row r="148" ht="15.75" customHeight="1">
      <c r="G148" s="259"/>
    </row>
    <row r="149" ht="15.75" customHeight="1">
      <c r="G149" s="259"/>
    </row>
    <row r="150" ht="15.75" customHeight="1">
      <c r="G150" s="259"/>
    </row>
    <row r="151" ht="15.75" customHeight="1">
      <c r="G151" s="259"/>
    </row>
    <row r="152" ht="15.75" customHeight="1">
      <c r="G152" s="259"/>
    </row>
    <row r="153" ht="15.75" customHeight="1">
      <c r="G153" s="259"/>
    </row>
    <row r="154" ht="15.75" customHeight="1">
      <c r="G154" s="259"/>
    </row>
    <row r="155" ht="15.75" customHeight="1">
      <c r="G155" s="259"/>
    </row>
    <row r="156" ht="15.75" customHeight="1">
      <c r="G156" s="259"/>
    </row>
    <row r="157" ht="15.75" customHeight="1">
      <c r="G157" s="259"/>
    </row>
    <row r="158" ht="15.75" customHeight="1">
      <c r="G158" s="259"/>
    </row>
    <row r="159" ht="15.75" customHeight="1">
      <c r="G159" s="259"/>
    </row>
    <row r="160" ht="15.75" customHeight="1">
      <c r="G160" s="259"/>
    </row>
    <row r="161" ht="15.75" customHeight="1">
      <c r="G161" s="259"/>
    </row>
    <row r="162" ht="15.75" customHeight="1">
      <c r="G162" s="259"/>
    </row>
    <row r="163" ht="15.75" customHeight="1">
      <c r="G163" s="259"/>
    </row>
    <row r="164" ht="15.75" customHeight="1">
      <c r="G164" s="259"/>
    </row>
    <row r="165" ht="15.75" customHeight="1">
      <c r="G165" s="259"/>
    </row>
    <row r="166" ht="15.75" customHeight="1">
      <c r="G166" s="259"/>
    </row>
    <row r="167" ht="15.75" customHeight="1">
      <c r="G167" s="259"/>
    </row>
    <row r="168" ht="15.75" customHeight="1">
      <c r="G168" s="259"/>
    </row>
    <row r="169" ht="15.75" customHeight="1">
      <c r="G169" s="259"/>
    </row>
    <row r="170" ht="15.75" customHeight="1">
      <c r="G170" s="259"/>
    </row>
    <row r="171" ht="15.75" customHeight="1">
      <c r="G171" s="259"/>
    </row>
    <row r="172" ht="15.75" customHeight="1">
      <c r="G172" s="259"/>
    </row>
    <row r="173" ht="15.75" customHeight="1">
      <c r="G173" s="259"/>
    </row>
    <row r="174" ht="15.75" customHeight="1">
      <c r="G174" s="259"/>
    </row>
    <row r="175" ht="15.75" customHeight="1">
      <c r="G175" s="259"/>
    </row>
    <row r="176" ht="15.75" customHeight="1">
      <c r="G176" s="259"/>
    </row>
    <row r="177" ht="15.75" customHeight="1">
      <c r="G177" s="259"/>
    </row>
    <row r="178" ht="15.75" customHeight="1">
      <c r="G178" s="259"/>
    </row>
    <row r="179" ht="15.75" customHeight="1">
      <c r="G179" s="259"/>
    </row>
    <row r="180" ht="15.75" customHeight="1">
      <c r="G180" s="259"/>
    </row>
    <row r="181" ht="15.75" customHeight="1">
      <c r="G181" s="259"/>
    </row>
    <row r="182" ht="15.75" customHeight="1">
      <c r="G182" s="259"/>
    </row>
    <row r="183" ht="15.75" customHeight="1">
      <c r="G183" s="259"/>
    </row>
    <row r="184" ht="15.75" customHeight="1">
      <c r="G184" s="259"/>
    </row>
    <row r="185" ht="15.75" customHeight="1">
      <c r="G185" s="259"/>
    </row>
    <row r="186" ht="15.75" customHeight="1">
      <c r="G186" s="259"/>
    </row>
    <row r="187" ht="15.75" customHeight="1">
      <c r="G187" s="259"/>
    </row>
    <row r="188" ht="15.75" customHeight="1">
      <c r="G188" s="259"/>
    </row>
    <row r="189" ht="15.75" customHeight="1">
      <c r="G189" s="259"/>
    </row>
    <row r="190" ht="15.75" customHeight="1">
      <c r="G190" s="259"/>
    </row>
    <row r="191" ht="15.75" customHeight="1">
      <c r="G191" s="259"/>
    </row>
    <row r="192" ht="15.75" customHeight="1">
      <c r="G192" s="259"/>
    </row>
    <row r="193" ht="15.75" customHeight="1">
      <c r="G193" s="259"/>
    </row>
    <row r="194" ht="15.75" customHeight="1">
      <c r="G194" s="259"/>
    </row>
    <row r="195" ht="15.75" customHeight="1">
      <c r="G195" s="259"/>
    </row>
    <row r="196" ht="15.75" customHeight="1">
      <c r="G196" s="259"/>
    </row>
    <row r="197" ht="15.75" customHeight="1">
      <c r="G197" s="259"/>
    </row>
    <row r="198" ht="15.75" customHeight="1">
      <c r="G198" s="259"/>
    </row>
    <row r="199" ht="15.75" customHeight="1">
      <c r="G199" s="259"/>
    </row>
    <row r="200" ht="15.75" customHeight="1">
      <c r="G200" s="259"/>
    </row>
    <row r="201" ht="15.75" customHeight="1">
      <c r="G201" s="259"/>
    </row>
    <row r="202" ht="15.75" customHeight="1">
      <c r="G202" s="259"/>
    </row>
    <row r="203" ht="15.75" customHeight="1">
      <c r="G203" s="259"/>
    </row>
    <row r="204" ht="15.75" customHeight="1">
      <c r="G204" s="259"/>
    </row>
    <row r="205" ht="15.75" customHeight="1">
      <c r="G205" s="259"/>
    </row>
    <row r="206" ht="15.75" customHeight="1">
      <c r="G206" s="259"/>
    </row>
    <row r="207" ht="15.75" customHeight="1">
      <c r="G207" s="259"/>
    </row>
    <row r="208" ht="15.75" customHeight="1">
      <c r="G208" s="259"/>
    </row>
    <row r="209" ht="15.75" customHeight="1">
      <c r="G209" s="259"/>
    </row>
    <row r="210" ht="15.75" customHeight="1">
      <c r="G210" s="259"/>
    </row>
    <row r="211" ht="15.75" customHeight="1">
      <c r="G211" s="259"/>
    </row>
    <row r="212" ht="15.75" customHeight="1">
      <c r="G212" s="259"/>
    </row>
    <row r="213" ht="15.75" customHeight="1">
      <c r="G213" s="259"/>
    </row>
    <row r="214" ht="15.75" customHeight="1">
      <c r="G214" s="259"/>
    </row>
    <row r="215" ht="15.75" customHeight="1">
      <c r="G215" s="259"/>
    </row>
    <row r="216" ht="15.75" customHeight="1">
      <c r="G216" s="259"/>
    </row>
    <row r="217" ht="15.75" customHeight="1">
      <c r="G217" s="259"/>
    </row>
    <row r="218" ht="15.75" customHeight="1">
      <c r="G218" s="259"/>
    </row>
    <row r="219" ht="15.75" customHeight="1">
      <c r="G219" s="259"/>
    </row>
    <row r="220" ht="15.75" customHeight="1">
      <c r="G220" s="259"/>
    </row>
    <row r="221" ht="15.75" customHeight="1">
      <c r="G221" s="259"/>
    </row>
    <row r="222" ht="15.75" customHeight="1">
      <c r="G222" s="259"/>
    </row>
    <row r="223" ht="15.75" customHeight="1">
      <c r="G223" s="259"/>
    </row>
    <row r="224" ht="15.75" customHeight="1">
      <c r="G224" s="259"/>
    </row>
    <row r="225" ht="15.75" customHeight="1">
      <c r="G225" s="259"/>
    </row>
    <row r="226" ht="15.75" customHeight="1">
      <c r="G226" s="259"/>
    </row>
    <row r="227" ht="15.75" customHeight="1">
      <c r="G227" s="259"/>
    </row>
    <row r="228" ht="15.75" customHeight="1">
      <c r="G228" s="259"/>
    </row>
    <row r="229" ht="15.75" customHeight="1">
      <c r="G229" s="259"/>
    </row>
    <row r="230" ht="15.75" customHeight="1">
      <c r="G230" s="259"/>
    </row>
    <row r="231" ht="15.75" customHeight="1">
      <c r="G231" s="259"/>
    </row>
    <row r="232" ht="15.75" customHeight="1">
      <c r="G232" s="259"/>
    </row>
    <row r="233" ht="15.75" customHeight="1">
      <c r="G233" s="259"/>
    </row>
    <row r="234" ht="15.75" customHeight="1">
      <c r="G234" s="259"/>
    </row>
    <row r="235" ht="15.75" customHeight="1">
      <c r="G235" s="259"/>
    </row>
    <row r="236" ht="15.75" customHeight="1">
      <c r="G236" s="259"/>
    </row>
    <row r="237" ht="15.75" customHeight="1">
      <c r="G237" s="259"/>
    </row>
    <row r="238" ht="15.75" customHeight="1">
      <c r="G238" s="259"/>
    </row>
    <row r="239" ht="15.75" customHeight="1">
      <c r="G239" s="259"/>
    </row>
    <row r="240" ht="15.75" customHeight="1">
      <c r="G240" s="259"/>
    </row>
    <row r="241" ht="15.75" customHeight="1">
      <c r="G241" s="259"/>
    </row>
    <row r="242" ht="15.75" customHeight="1">
      <c r="G242" s="259"/>
    </row>
    <row r="243" ht="15.75" customHeight="1">
      <c r="G243" s="259"/>
    </row>
    <row r="244" ht="15.75" customHeight="1">
      <c r="G244" s="259"/>
    </row>
    <row r="245" ht="15.75" customHeight="1">
      <c r="G245" s="259"/>
    </row>
    <row r="246" ht="15.75" customHeight="1">
      <c r="G246" s="259"/>
    </row>
    <row r="247" ht="15.75" customHeight="1">
      <c r="G247" s="259"/>
    </row>
    <row r="248" ht="15.75" customHeight="1">
      <c r="G248" s="259"/>
    </row>
    <row r="249" ht="15.75" customHeight="1">
      <c r="G249" s="259"/>
    </row>
    <row r="250" ht="15.75" customHeight="1">
      <c r="G250" s="259"/>
    </row>
    <row r="251" ht="15.75" customHeight="1">
      <c r="G251" s="259"/>
    </row>
    <row r="252" ht="15.75" customHeight="1">
      <c r="G252" s="259"/>
    </row>
    <row r="253" ht="15.75" customHeight="1">
      <c r="G253" s="259"/>
    </row>
    <row r="254" ht="15.75" customHeight="1">
      <c r="G254" s="259"/>
    </row>
    <row r="255" ht="15.75" customHeight="1">
      <c r="G255" s="259"/>
    </row>
    <row r="256" ht="15.75" customHeight="1">
      <c r="G256" s="259"/>
    </row>
    <row r="257" ht="15.75" customHeight="1">
      <c r="G257" s="259"/>
    </row>
    <row r="258" ht="15.75" customHeight="1">
      <c r="G258" s="259"/>
    </row>
    <row r="259" ht="15.75" customHeight="1">
      <c r="G259" s="259"/>
    </row>
    <row r="260" ht="15.75" customHeight="1">
      <c r="G260" s="259"/>
    </row>
    <row r="261" ht="15.75" customHeight="1">
      <c r="G261" s="259"/>
    </row>
    <row r="262" ht="15.75" customHeight="1">
      <c r="G262" s="259"/>
    </row>
    <row r="263" ht="15.75" customHeight="1">
      <c r="G263" s="259"/>
    </row>
    <row r="264" ht="15.75" customHeight="1">
      <c r="G264" s="259"/>
    </row>
    <row r="265" ht="15.75" customHeight="1">
      <c r="G265" s="259"/>
    </row>
    <row r="266" ht="15.75" customHeight="1">
      <c r="G266" s="259"/>
    </row>
    <row r="267" ht="15.75" customHeight="1">
      <c r="G267" s="259"/>
    </row>
    <row r="268" ht="15.75" customHeight="1">
      <c r="G268" s="259"/>
    </row>
    <row r="269" ht="15.75" customHeight="1">
      <c r="G269" s="259"/>
    </row>
    <row r="270" ht="15.75" customHeight="1">
      <c r="G270" s="259"/>
    </row>
    <row r="271" ht="15.75" customHeight="1">
      <c r="G271" s="259"/>
    </row>
    <row r="272" ht="15.75" customHeight="1">
      <c r="G272" s="259"/>
    </row>
    <row r="273" ht="15.75" customHeight="1">
      <c r="G273" s="259"/>
    </row>
    <row r="274" ht="15.75" customHeight="1">
      <c r="G274" s="259"/>
    </row>
    <row r="275" ht="15.75" customHeight="1">
      <c r="G275" s="259"/>
    </row>
    <row r="276" ht="15.75" customHeight="1">
      <c r="G276" s="259"/>
    </row>
    <row r="277" ht="15.75" customHeight="1">
      <c r="G277" s="259"/>
    </row>
    <row r="278" ht="15.75" customHeight="1">
      <c r="G278" s="259"/>
    </row>
    <row r="279" ht="15.75" customHeight="1">
      <c r="G279" s="259"/>
    </row>
    <row r="280" ht="15.75" customHeight="1">
      <c r="G280" s="259"/>
    </row>
    <row r="281" ht="15.75" customHeight="1">
      <c r="G281" s="259"/>
    </row>
    <row r="282" ht="15.75" customHeight="1">
      <c r="G282" s="259"/>
    </row>
    <row r="283" ht="15.75" customHeight="1">
      <c r="G283" s="259"/>
    </row>
    <row r="284" ht="15.75" customHeight="1">
      <c r="G284" s="259"/>
    </row>
    <row r="285" ht="15.75" customHeight="1">
      <c r="G285" s="259"/>
    </row>
    <row r="286" ht="15.75" customHeight="1">
      <c r="G286" s="259"/>
    </row>
    <row r="287" ht="15.75" customHeight="1">
      <c r="G287" s="259"/>
    </row>
    <row r="288" ht="15.75" customHeight="1">
      <c r="G288" s="259"/>
    </row>
    <row r="289" ht="15.75" customHeight="1">
      <c r="G289" s="259"/>
    </row>
    <row r="290" ht="15.75" customHeight="1">
      <c r="G290" s="259"/>
    </row>
    <row r="291" ht="15.75" customHeight="1">
      <c r="G291" s="259"/>
    </row>
    <row r="292" ht="15.75" customHeight="1">
      <c r="G292" s="259"/>
    </row>
    <row r="293" ht="15.75" customHeight="1">
      <c r="G293" s="259"/>
    </row>
    <row r="294" ht="15.75" customHeight="1">
      <c r="G294" s="259"/>
    </row>
    <row r="295" ht="15.75" customHeight="1">
      <c r="G295" s="259"/>
    </row>
    <row r="296" ht="15.75" customHeight="1">
      <c r="G296" s="259"/>
    </row>
    <row r="297" ht="15.75" customHeight="1">
      <c r="G297" s="259"/>
    </row>
    <row r="298" ht="15.75" customHeight="1">
      <c r="G298" s="259"/>
    </row>
    <row r="299" ht="15.75" customHeight="1">
      <c r="G299" s="259"/>
    </row>
    <row r="300" ht="15.75" customHeight="1">
      <c r="G300" s="259"/>
    </row>
    <row r="301" ht="15.75" customHeight="1">
      <c r="G301" s="259"/>
    </row>
    <row r="302" ht="15.75" customHeight="1">
      <c r="G302" s="259"/>
    </row>
    <row r="303" ht="15.75" customHeight="1">
      <c r="G303" s="259"/>
    </row>
    <row r="304" ht="15.75" customHeight="1">
      <c r="G304" s="259"/>
    </row>
    <row r="305" ht="15.75" customHeight="1">
      <c r="G305" s="259"/>
    </row>
    <row r="306" ht="15.75" customHeight="1">
      <c r="G306" s="259"/>
    </row>
    <row r="307" ht="15.75" customHeight="1">
      <c r="G307" s="259"/>
    </row>
    <row r="308" ht="15.75" customHeight="1">
      <c r="G308" s="259"/>
    </row>
    <row r="309" ht="15.75" customHeight="1">
      <c r="G309" s="259"/>
    </row>
    <row r="310" ht="15.75" customHeight="1">
      <c r="G310" s="259"/>
    </row>
    <row r="311" ht="15.75" customHeight="1">
      <c r="G311" s="259"/>
    </row>
    <row r="312" ht="15.75" customHeight="1">
      <c r="G312" s="259"/>
    </row>
    <row r="313" ht="15.75" customHeight="1">
      <c r="G313" s="259"/>
    </row>
    <row r="314" ht="15.75" customHeight="1">
      <c r="G314" s="259"/>
    </row>
    <row r="315" ht="15.75" customHeight="1">
      <c r="G315" s="259"/>
    </row>
    <row r="316" ht="15.75" customHeight="1">
      <c r="G316" s="259"/>
    </row>
    <row r="317" ht="15.75" customHeight="1">
      <c r="G317" s="259"/>
    </row>
    <row r="318" ht="15.75" customHeight="1">
      <c r="G318" s="259"/>
    </row>
    <row r="319" ht="15.75" customHeight="1">
      <c r="G319" s="259"/>
    </row>
    <row r="320" ht="15.75" customHeight="1">
      <c r="G320" s="259"/>
    </row>
    <row r="321" ht="15.75" customHeight="1">
      <c r="G321" s="259"/>
    </row>
    <row r="322" ht="15.75" customHeight="1">
      <c r="G322" s="259"/>
    </row>
    <row r="323" ht="15.75" customHeight="1">
      <c r="G323" s="259"/>
    </row>
    <row r="324" ht="15.75" customHeight="1">
      <c r="G324" s="259"/>
    </row>
    <row r="325" ht="15.75" customHeight="1">
      <c r="G325" s="259"/>
    </row>
    <row r="326" ht="15.75" customHeight="1">
      <c r="G326" s="259"/>
    </row>
    <row r="327" ht="15.75" customHeight="1">
      <c r="G327" s="259"/>
    </row>
    <row r="328" ht="15.75" customHeight="1">
      <c r="G328" s="259"/>
    </row>
    <row r="329" ht="15.75" customHeight="1">
      <c r="G329" s="259"/>
    </row>
    <row r="330" ht="15.75" customHeight="1">
      <c r="G330" s="259"/>
    </row>
    <row r="331" ht="15.75" customHeight="1">
      <c r="G331" s="259"/>
    </row>
    <row r="332" ht="15.75" customHeight="1">
      <c r="G332" s="259"/>
    </row>
    <row r="333" ht="15.75" customHeight="1">
      <c r="G333" s="259"/>
    </row>
    <row r="334" ht="15.75" customHeight="1">
      <c r="G334" s="259"/>
    </row>
    <row r="335" ht="15.75" customHeight="1">
      <c r="G335" s="259"/>
    </row>
    <row r="336" ht="15.75" customHeight="1">
      <c r="G336" s="259"/>
    </row>
    <row r="337" ht="15.75" customHeight="1">
      <c r="G337" s="259"/>
    </row>
    <row r="338" ht="15.75" customHeight="1">
      <c r="G338" s="259"/>
    </row>
    <row r="339" ht="15.75" customHeight="1">
      <c r="G339" s="259"/>
    </row>
    <row r="340" ht="15.75" customHeight="1">
      <c r="G340" s="259"/>
    </row>
    <row r="341" ht="15.75" customHeight="1">
      <c r="G341" s="259"/>
    </row>
    <row r="342" ht="15.75" customHeight="1">
      <c r="G342" s="259"/>
    </row>
    <row r="343" ht="15.75" customHeight="1">
      <c r="G343" s="259"/>
    </row>
    <row r="344" ht="15.75" customHeight="1">
      <c r="G344" s="259"/>
    </row>
    <row r="345" ht="15.75" customHeight="1">
      <c r="G345" s="259"/>
    </row>
    <row r="346" ht="15.75" customHeight="1">
      <c r="G346" s="259"/>
    </row>
    <row r="347" ht="15.75" customHeight="1">
      <c r="G347" s="259"/>
    </row>
    <row r="348" ht="15.75" customHeight="1">
      <c r="G348" s="259"/>
    </row>
    <row r="349" ht="15.75" customHeight="1">
      <c r="G349" s="259"/>
    </row>
    <row r="350" ht="15.75" customHeight="1">
      <c r="G350" s="259"/>
    </row>
    <row r="351" ht="15.75" customHeight="1">
      <c r="G351" s="259"/>
    </row>
    <row r="352" ht="15.75" customHeight="1">
      <c r="G352" s="259"/>
    </row>
    <row r="353" ht="15.75" customHeight="1">
      <c r="G353" s="259"/>
    </row>
    <row r="354" ht="15.75" customHeight="1">
      <c r="G354" s="259"/>
    </row>
    <row r="355" ht="15.75" customHeight="1">
      <c r="G355" s="259"/>
    </row>
    <row r="356" ht="15.75" customHeight="1">
      <c r="G356" s="259"/>
    </row>
    <row r="357" ht="15.75" customHeight="1">
      <c r="G357" s="259"/>
    </row>
    <row r="358" ht="15.75" customHeight="1">
      <c r="G358" s="259"/>
    </row>
    <row r="359" ht="15.75" customHeight="1">
      <c r="G359" s="259"/>
    </row>
    <row r="360" ht="15.75" customHeight="1">
      <c r="G360" s="259"/>
    </row>
    <row r="361" ht="15.75" customHeight="1">
      <c r="G361" s="259"/>
    </row>
    <row r="362" ht="15.75" customHeight="1">
      <c r="G362" s="259"/>
    </row>
    <row r="363" ht="15.75" customHeight="1">
      <c r="G363" s="259"/>
    </row>
    <row r="364" ht="15.75" customHeight="1">
      <c r="G364" s="259"/>
    </row>
    <row r="365" ht="15.75" customHeight="1">
      <c r="G365" s="259"/>
    </row>
    <row r="366" ht="15.75" customHeight="1">
      <c r="G366" s="259"/>
    </row>
    <row r="367" ht="15.75" customHeight="1">
      <c r="G367" s="259"/>
    </row>
    <row r="368" ht="15.75" customHeight="1">
      <c r="G368" s="259"/>
    </row>
    <row r="369" ht="15.75" customHeight="1">
      <c r="G369" s="259"/>
    </row>
    <row r="370" ht="15.75" customHeight="1">
      <c r="G370" s="259"/>
    </row>
    <row r="371" ht="15.75" customHeight="1">
      <c r="G371" s="259"/>
    </row>
    <row r="372" ht="15.75" customHeight="1">
      <c r="G372" s="259"/>
    </row>
    <row r="373" ht="15.75" customHeight="1">
      <c r="G373" s="259"/>
    </row>
    <row r="374" ht="15.75" customHeight="1">
      <c r="G374" s="259"/>
    </row>
    <row r="375" ht="15.75" customHeight="1">
      <c r="G375" s="259"/>
    </row>
    <row r="376" ht="15.75" customHeight="1">
      <c r="G376" s="259"/>
    </row>
    <row r="377" ht="15.75" customHeight="1">
      <c r="G377" s="259"/>
    </row>
    <row r="378" ht="15.75" customHeight="1">
      <c r="G378" s="259"/>
    </row>
    <row r="379" ht="15.75" customHeight="1">
      <c r="G379" s="259"/>
    </row>
    <row r="380" ht="15.75" customHeight="1">
      <c r="G380" s="259"/>
    </row>
    <row r="381" ht="15.75" customHeight="1">
      <c r="G381" s="259"/>
    </row>
    <row r="382" ht="15.75" customHeight="1">
      <c r="G382" s="259"/>
    </row>
    <row r="383" ht="15.75" customHeight="1">
      <c r="G383" s="259"/>
    </row>
    <row r="384" ht="15.75" customHeight="1">
      <c r="G384" s="259"/>
    </row>
    <row r="385" ht="15.75" customHeight="1">
      <c r="G385" s="259"/>
    </row>
    <row r="386" ht="15.75" customHeight="1">
      <c r="G386" s="259"/>
    </row>
    <row r="387" ht="15.75" customHeight="1">
      <c r="G387" s="259"/>
    </row>
    <row r="388" ht="15.75" customHeight="1">
      <c r="G388" s="259"/>
    </row>
    <row r="389" ht="15.75" customHeight="1">
      <c r="G389" s="259"/>
    </row>
    <row r="390" ht="15.75" customHeight="1">
      <c r="G390" s="259"/>
    </row>
    <row r="391" ht="15.75" customHeight="1">
      <c r="G391" s="259"/>
    </row>
    <row r="392" ht="15.75" customHeight="1">
      <c r="G392" s="259"/>
    </row>
    <row r="393" ht="15.75" customHeight="1">
      <c r="G393" s="259"/>
    </row>
    <row r="394" ht="15.75" customHeight="1">
      <c r="G394" s="259"/>
    </row>
    <row r="395" ht="15.75" customHeight="1">
      <c r="G395" s="259"/>
    </row>
    <row r="396" ht="15.75" customHeight="1">
      <c r="G396" s="259"/>
    </row>
    <row r="397" ht="15.75" customHeight="1">
      <c r="G397" s="259"/>
    </row>
    <row r="398" ht="15.75" customHeight="1">
      <c r="G398" s="259"/>
    </row>
    <row r="399" ht="15.75" customHeight="1">
      <c r="G399" s="259"/>
    </row>
    <row r="400" ht="15.75" customHeight="1">
      <c r="G400" s="259"/>
    </row>
    <row r="401" ht="15.75" customHeight="1">
      <c r="G401" s="259"/>
    </row>
    <row r="402" ht="15.75" customHeight="1">
      <c r="G402" s="259"/>
    </row>
    <row r="403" ht="15.75" customHeight="1">
      <c r="G403" s="259"/>
    </row>
    <row r="404" ht="15.75" customHeight="1">
      <c r="G404" s="259"/>
    </row>
    <row r="405" ht="15.75" customHeight="1">
      <c r="G405" s="259"/>
    </row>
    <row r="406" ht="15.75" customHeight="1">
      <c r="G406" s="259"/>
    </row>
    <row r="407" ht="15.75" customHeight="1">
      <c r="G407" s="259"/>
    </row>
    <row r="408" ht="15.75" customHeight="1">
      <c r="G408" s="259"/>
    </row>
    <row r="409" ht="15.75" customHeight="1">
      <c r="G409" s="259"/>
    </row>
    <row r="410" ht="15.75" customHeight="1">
      <c r="G410" s="259"/>
    </row>
    <row r="411" ht="15.75" customHeight="1">
      <c r="G411" s="259"/>
    </row>
    <row r="412" ht="15.75" customHeight="1">
      <c r="G412" s="259"/>
    </row>
    <row r="413" ht="15.75" customHeight="1">
      <c r="G413" s="259"/>
    </row>
    <row r="414" ht="15.75" customHeight="1">
      <c r="G414" s="259"/>
    </row>
    <row r="415" ht="15.75" customHeight="1">
      <c r="G415" s="259"/>
    </row>
    <row r="416" ht="15.75" customHeight="1">
      <c r="G416" s="259"/>
    </row>
    <row r="417" ht="15.75" customHeight="1">
      <c r="G417" s="259"/>
    </row>
    <row r="418" ht="15.75" customHeight="1">
      <c r="G418" s="259"/>
    </row>
    <row r="419" ht="15.75" customHeight="1">
      <c r="G419" s="259"/>
    </row>
    <row r="420" ht="15.75" customHeight="1">
      <c r="G420" s="259"/>
    </row>
    <row r="421" ht="15.75" customHeight="1">
      <c r="G421" s="259"/>
    </row>
    <row r="422" ht="15.75" customHeight="1">
      <c r="G422" s="259"/>
    </row>
    <row r="423" ht="15.75" customHeight="1">
      <c r="G423" s="259"/>
    </row>
    <row r="424" ht="15.75" customHeight="1">
      <c r="G424" s="259"/>
    </row>
    <row r="425" ht="15.75" customHeight="1">
      <c r="G425" s="259"/>
    </row>
    <row r="426" ht="15.75" customHeight="1">
      <c r="G426" s="259"/>
    </row>
    <row r="427" ht="15.75" customHeight="1">
      <c r="G427" s="259"/>
    </row>
    <row r="428" ht="15.75" customHeight="1">
      <c r="G428" s="259"/>
    </row>
    <row r="429" ht="15.75" customHeight="1">
      <c r="G429" s="259"/>
    </row>
    <row r="430" ht="15.75" customHeight="1">
      <c r="G430" s="259"/>
    </row>
    <row r="431" ht="15.75" customHeight="1">
      <c r="G431" s="259"/>
    </row>
    <row r="432" ht="15.75" customHeight="1">
      <c r="G432" s="259"/>
    </row>
    <row r="433" ht="15.75" customHeight="1">
      <c r="G433" s="259"/>
    </row>
    <row r="434" ht="15.75" customHeight="1">
      <c r="G434" s="259"/>
    </row>
    <row r="435" ht="15.75" customHeight="1">
      <c r="G435" s="259"/>
    </row>
    <row r="436" ht="15.75" customHeight="1">
      <c r="G436" s="259"/>
    </row>
    <row r="437" ht="15.75" customHeight="1">
      <c r="G437" s="259"/>
    </row>
    <row r="438" ht="15.75" customHeight="1">
      <c r="G438" s="259"/>
    </row>
    <row r="439" ht="15.75" customHeight="1">
      <c r="G439" s="259"/>
    </row>
    <row r="440" ht="15.75" customHeight="1">
      <c r="G440" s="259"/>
    </row>
    <row r="441" ht="15.75" customHeight="1">
      <c r="G441" s="259"/>
    </row>
    <row r="442" ht="15.75" customHeight="1">
      <c r="G442" s="259"/>
    </row>
    <row r="443" ht="15.75" customHeight="1">
      <c r="G443" s="259"/>
    </row>
    <row r="444" ht="15.75" customHeight="1">
      <c r="G444" s="259"/>
    </row>
    <row r="445" ht="15.75" customHeight="1">
      <c r="G445" s="259"/>
    </row>
    <row r="446" ht="15.75" customHeight="1">
      <c r="G446" s="259"/>
    </row>
    <row r="447" ht="15.75" customHeight="1">
      <c r="G447" s="259"/>
    </row>
    <row r="448" ht="15.75" customHeight="1">
      <c r="G448" s="259"/>
    </row>
    <row r="449" ht="15.75" customHeight="1">
      <c r="G449" s="259"/>
    </row>
    <row r="450" ht="15.75" customHeight="1">
      <c r="G450" s="259"/>
    </row>
    <row r="451" ht="15.75" customHeight="1">
      <c r="G451" s="259"/>
    </row>
    <row r="452" ht="15.75" customHeight="1">
      <c r="G452" s="259"/>
    </row>
    <row r="453" ht="15.75" customHeight="1">
      <c r="G453" s="259"/>
    </row>
    <row r="454" ht="15.75" customHeight="1">
      <c r="G454" s="259"/>
    </row>
    <row r="455" ht="15.75" customHeight="1">
      <c r="G455" s="259"/>
    </row>
    <row r="456" ht="15.75" customHeight="1">
      <c r="G456" s="259"/>
    </row>
    <row r="457" ht="15.75" customHeight="1">
      <c r="G457" s="259"/>
    </row>
    <row r="458" ht="15.75" customHeight="1">
      <c r="G458" s="259"/>
    </row>
    <row r="459" ht="15.75" customHeight="1">
      <c r="G459" s="259"/>
    </row>
    <row r="460" ht="15.75" customHeight="1">
      <c r="G460" s="259"/>
    </row>
    <row r="461" ht="15.75" customHeight="1">
      <c r="G461" s="259"/>
    </row>
    <row r="462" ht="15.75" customHeight="1">
      <c r="G462" s="259"/>
    </row>
    <row r="463" ht="15.75" customHeight="1">
      <c r="G463" s="259"/>
    </row>
    <row r="464" ht="15.75" customHeight="1">
      <c r="G464" s="259"/>
    </row>
    <row r="465" ht="15.75" customHeight="1">
      <c r="G465" s="259"/>
    </row>
    <row r="466" ht="15.75" customHeight="1">
      <c r="G466" s="259"/>
    </row>
    <row r="467" ht="15.75" customHeight="1">
      <c r="G467" s="259"/>
    </row>
    <row r="468" ht="15.75" customHeight="1">
      <c r="G468" s="259"/>
    </row>
    <row r="469" ht="15.75" customHeight="1">
      <c r="G469" s="259"/>
    </row>
    <row r="470" ht="15.75" customHeight="1">
      <c r="G470" s="259"/>
    </row>
    <row r="471" ht="15.75" customHeight="1">
      <c r="G471" s="259"/>
    </row>
    <row r="472" ht="15.75" customHeight="1">
      <c r="G472" s="259"/>
    </row>
    <row r="473" ht="15.75" customHeight="1">
      <c r="G473" s="259"/>
    </row>
    <row r="474" ht="15.75" customHeight="1">
      <c r="G474" s="259"/>
    </row>
    <row r="475" ht="15.75" customHeight="1">
      <c r="G475" s="259"/>
    </row>
    <row r="476" ht="15.75" customHeight="1">
      <c r="G476" s="259"/>
    </row>
    <row r="477" ht="15.75" customHeight="1">
      <c r="G477" s="259"/>
    </row>
    <row r="478" ht="15.75" customHeight="1">
      <c r="G478" s="259"/>
    </row>
    <row r="479" ht="15.75" customHeight="1">
      <c r="G479" s="259"/>
    </row>
    <row r="480" ht="15.75" customHeight="1">
      <c r="G480" s="259"/>
    </row>
    <row r="481" ht="15.75" customHeight="1">
      <c r="G481" s="259"/>
    </row>
    <row r="482" ht="15.75" customHeight="1">
      <c r="G482" s="259"/>
    </row>
    <row r="483" ht="15.75" customHeight="1">
      <c r="G483" s="259"/>
    </row>
    <row r="484" ht="15.75" customHeight="1">
      <c r="G484" s="259"/>
    </row>
    <row r="485" ht="15.75" customHeight="1">
      <c r="G485" s="259"/>
    </row>
    <row r="486" ht="15.75" customHeight="1">
      <c r="G486" s="259"/>
    </row>
    <row r="487" ht="15.75" customHeight="1">
      <c r="G487" s="259"/>
    </row>
    <row r="488" ht="15.75" customHeight="1">
      <c r="G488" s="259"/>
    </row>
    <row r="489" ht="15.75" customHeight="1">
      <c r="G489" s="259"/>
    </row>
    <row r="490" ht="15.75" customHeight="1">
      <c r="G490" s="259"/>
    </row>
    <row r="491" ht="15.75" customHeight="1">
      <c r="G491" s="259"/>
    </row>
    <row r="492" ht="15.75" customHeight="1">
      <c r="G492" s="259"/>
    </row>
    <row r="493" ht="15.75" customHeight="1">
      <c r="G493" s="259"/>
    </row>
    <row r="494" ht="15.75" customHeight="1">
      <c r="G494" s="259"/>
    </row>
    <row r="495" ht="15.75" customHeight="1">
      <c r="G495" s="259"/>
    </row>
    <row r="496" ht="15.75" customHeight="1">
      <c r="G496" s="259"/>
    </row>
    <row r="497" ht="15.75" customHeight="1">
      <c r="G497" s="259"/>
    </row>
    <row r="498" ht="15.75" customHeight="1">
      <c r="G498" s="259"/>
    </row>
    <row r="499" ht="15.75" customHeight="1">
      <c r="G499" s="259"/>
    </row>
    <row r="500" ht="15.75" customHeight="1">
      <c r="G500" s="259"/>
    </row>
    <row r="501" ht="15.75" customHeight="1">
      <c r="G501" s="259"/>
    </row>
    <row r="502" ht="15.75" customHeight="1">
      <c r="G502" s="259"/>
    </row>
    <row r="503" ht="15.75" customHeight="1">
      <c r="G503" s="259"/>
    </row>
    <row r="504" ht="15.75" customHeight="1">
      <c r="G504" s="259"/>
    </row>
    <row r="505" ht="15.75" customHeight="1">
      <c r="G505" s="259"/>
    </row>
    <row r="506" ht="15.75" customHeight="1">
      <c r="G506" s="259"/>
    </row>
    <row r="507" ht="15.75" customHeight="1">
      <c r="G507" s="259"/>
    </row>
    <row r="508" ht="15.75" customHeight="1">
      <c r="G508" s="259"/>
    </row>
    <row r="509" ht="15.75" customHeight="1">
      <c r="G509" s="259"/>
    </row>
    <row r="510" ht="15.75" customHeight="1">
      <c r="G510" s="259"/>
    </row>
    <row r="511" ht="15.75" customHeight="1">
      <c r="G511" s="259"/>
    </row>
    <row r="512" ht="15.75" customHeight="1">
      <c r="G512" s="259"/>
    </row>
    <row r="513" ht="15.75" customHeight="1">
      <c r="G513" s="259"/>
    </row>
    <row r="514" ht="15.75" customHeight="1">
      <c r="G514" s="259"/>
    </row>
    <row r="515" ht="15.75" customHeight="1">
      <c r="G515" s="259"/>
    </row>
    <row r="516" ht="15.75" customHeight="1">
      <c r="G516" s="259"/>
    </row>
    <row r="517" ht="15.75" customHeight="1">
      <c r="G517" s="259"/>
    </row>
    <row r="518" ht="15.75" customHeight="1">
      <c r="G518" s="259"/>
    </row>
    <row r="519" ht="15.75" customHeight="1">
      <c r="G519" s="259"/>
    </row>
    <row r="520" ht="15.75" customHeight="1">
      <c r="G520" s="259"/>
    </row>
    <row r="521" ht="15.75" customHeight="1">
      <c r="G521" s="259"/>
    </row>
    <row r="522" ht="15.75" customHeight="1">
      <c r="G522" s="259"/>
    </row>
    <row r="523" ht="15.75" customHeight="1">
      <c r="G523" s="259"/>
    </row>
    <row r="524" ht="15.75" customHeight="1">
      <c r="G524" s="259"/>
    </row>
    <row r="525" ht="15.75" customHeight="1">
      <c r="G525" s="259"/>
    </row>
    <row r="526" ht="15.75" customHeight="1">
      <c r="G526" s="259"/>
    </row>
    <row r="527" ht="15.75" customHeight="1">
      <c r="G527" s="259"/>
    </row>
    <row r="528" ht="15.75" customHeight="1">
      <c r="G528" s="259"/>
    </row>
    <row r="529" ht="15.75" customHeight="1">
      <c r="G529" s="259"/>
    </row>
    <row r="530" ht="15.75" customHeight="1">
      <c r="G530" s="259"/>
    </row>
    <row r="531" ht="15.75" customHeight="1">
      <c r="G531" s="259"/>
    </row>
    <row r="532" ht="15.75" customHeight="1">
      <c r="G532" s="259"/>
    </row>
    <row r="533" ht="15.75" customHeight="1">
      <c r="G533" s="259"/>
    </row>
    <row r="534" ht="15.75" customHeight="1">
      <c r="G534" s="259"/>
    </row>
    <row r="535" ht="15.75" customHeight="1">
      <c r="G535" s="259"/>
    </row>
    <row r="536" ht="15.75" customHeight="1">
      <c r="G536" s="259"/>
    </row>
    <row r="537" ht="15.75" customHeight="1">
      <c r="G537" s="259"/>
    </row>
    <row r="538" ht="15.75" customHeight="1">
      <c r="G538" s="259"/>
    </row>
    <row r="539" ht="15.75" customHeight="1">
      <c r="G539" s="259"/>
    </row>
    <row r="540" ht="15.75" customHeight="1">
      <c r="G540" s="259"/>
    </row>
    <row r="541" ht="15.75" customHeight="1">
      <c r="G541" s="259"/>
    </row>
    <row r="542" ht="15.75" customHeight="1">
      <c r="G542" s="259"/>
    </row>
    <row r="543" ht="15.75" customHeight="1">
      <c r="G543" s="259"/>
    </row>
    <row r="544" ht="15.75" customHeight="1">
      <c r="G544" s="259"/>
    </row>
    <row r="545" ht="15.75" customHeight="1">
      <c r="G545" s="259"/>
    </row>
    <row r="546" ht="15.75" customHeight="1">
      <c r="G546" s="259"/>
    </row>
    <row r="547" ht="15.75" customHeight="1">
      <c r="G547" s="259"/>
    </row>
    <row r="548" ht="15.75" customHeight="1">
      <c r="G548" s="259"/>
    </row>
    <row r="549" ht="15.75" customHeight="1">
      <c r="G549" s="259"/>
    </row>
    <row r="550" ht="15.75" customHeight="1">
      <c r="G550" s="259"/>
    </row>
    <row r="551" ht="15.75" customHeight="1">
      <c r="G551" s="259"/>
    </row>
    <row r="552" ht="15.75" customHeight="1">
      <c r="G552" s="259"/>
    </row>
    <row r="553" ht="15.75" customHeight="1">
      <c r="G553" s="259"/>
    </row>
    <row r="554" ht="15.75" customHeight="1">
      <c r="G554" s="259"/>
    </row>
    <row r="555" ht="15.75" customHeight="1">
      <c r="G555" s="259"/>
    </row>
    <row r="556" ht="15.75" customHeight="1">
      <c r="G556" s="259"/>
    </row>
    <row r="557" ht="15.75" customHeight="1">
      <c r="G557" s="259"/>
    </row>
    <row r="558" ht="15.75" customHeight="1">
      <c r="G558" s="259"/>
    </row>
    <row r="559" ht="15.75" customHeight="1">
      <c r="G559" s="259"/>
    </row>
    <row r="560" ht="15.75" customHeight="1">
      <c r="G560" s="259"/>
    </row>
    <row r="561" ht="15.75" customHeight="1">
      <c r="G561" s="259"/>
    </row>
    <row r="562" ht="15.75" customHeight="1">
      <c r="G562" s="259"/>
    </row>
    <row r="563" ht="15.75" customHeight="1">
      <c r="G563" s="259"/>
    </row>
    <row r="564" ht="15.75" customHeight="1">
      <c r="G564" s="259"/>
    </row>
    <row r="565" ht="15.75" customHeight="1">
      <c r="G565" s="259"/>
    </row>
    <row r="566" ht="15.75" customHeight="1">
      <c r="G566" s="259"/>
    </row>
    <row r="567" ht="15.75" customHeight="1">
      <c r="G567" s="259"/>
    </row>
    <row r="568" ht="15.75" customHeight="1">
      <c r="G568" s="259"/>
    </row>
    <row r="569" ht="15.75" customHeight="1">
      <c r="G569" s="259"/>
    </row>
    <row r="570" ht="15.75" customHeight="1">
      <c r="G570" s="259"/>
    </row>
    <row r="571" ht="15.75" customHeight="1">
      <c r="G571" s="259"/>
    </row>
    <row r="572" ht="15.75" customHeight="1">
      <c r="G572" s="259"/>
    </row>
    <row r="573" ht="15.75" customHeight="1">
      <c r="G573" s="259"/>
    </row>
    <row r="574" ht="15.75" customHeight="1">
      <c r="G574" s="259"/>
    </row>
    <row r="575" ht="15.75" customHeight="1">
      <c r="G575" s="259"/>
    </row>
    <row r="576" ht="15.75" customHeight="1">
      <c r="G576" s="259"/>
    </row>
    <row r="577" ht="15.75" customHeight="1">
      <c r="G577" s="259"/>
    </row>
    <row r="578" ht="15.75" customHeight="1">
      <c r="G578" s="259"/>
    </row>
    <row r="579" ht="15.75" customHeight="1">
      <c r="G579" s="259"/>
    </row>
    <row r="580" ht="15.75" customHeight="1">
      <c r="G580" s="259"/>
    </row>
    <row r="581" ht="15.75" customHeight="1">
      <c r="G581" s="259"/>
    </row>
    <row r="582" ht="15.75" customHeight="1">
      <c r="G582" s="259"/>
    </row>
    <row r="583" ht="15.75" customHeight="1">
      <c r="G583" s="259"/>
    </row>
    <row r="584" ht="15.75" customHeight="1">
      <c r="G584" s="259"/>
    </row>
    <row r="585" ht="15.75" customHeight="1">
      <c r="G585" s="259"/>
    </row>
    <row r="586" ht="15.75" customHeight="1">
      <c r="G586" s="259"/>
    </row>
    <row r="587" ht="15.75" customHeight="1">
      <c r="G587" s="259"/>
    </row>
    <row r="588" ht="15.75" customHeight="1">
      <c r="G588" s="259"/>
    </row>
    <row r="589" ht="15.75" customHeight="1">
      <c r="G589" s="259"/>
    </row>
    <row r="590" ht="15.75" customHeight="1">
      <c r="G590" s="259"/>
    </row>
    <row r="591" ht="15.75" customHeight="1">
      <c r="G591" s="259"/>
    </row>
    <row r="592" ht="15.75" customHeight="1">
      <c r="G592" s="259"/>
    </row>
    <row r="593" ht="15.75" customHeight="1">
      <c r="G593" s="259"/>
    </row>
    <row r="594" ht="15.75" customHeight="1">
      <c r="G594" s="259"/>
    </row>
    <row r="595" ht="15.75" customHeight="1">
      <c r="G595" s="259"/>
    </row>
    <row r="596" ht="15.75" customHeight="1">
      <c r="G596" s="259"/>
    </row>
    <row r="597" ht="15.75" customHeight="1">
      <c r="G597" s="259"/>
    </row>
    <row r="598" ht="15.75" customHeight="1">
      <c r="G598" s="259"/>
    </row>
    <row r="599" ht="15.75" customHeight="1">
      <c r="G599" s="259"/>
    </row>
    <row r="600" ht="15.75" customHeight="1">
      <c r="G600" s="259"/>
    </row>
    <row r="601" ht="15.75" customHeight="1">
      <c r="G601" s="259"/>
    </row>
    <row r="602" ht="15.75" customHeight="1">
      <c r="G602" s="259"/>
    </row>
    <row r="603" ht="15.75" customHeight="1">
      <c r="G603" s="259"/>
    </row>
    <row r="604" ht="15.75" customHeight="1">
      <c r="G604" s="259"/>
    </row>
    <row r="605" ht="15.75" customHeight="1">
      <c r="G605" s="259"/>
    </row>
    <row r="606" ht="15.75" customHeight="1">
      <c r="G606" s="259"/>
    </row>
    <row r="607" ht="15.75" customHeight="1">
      <c r="G607" s="259"/>
    </row>
    <row r="608" ht="15.75" customHeight="1">
      <c r="G608" s="259"/>
    </row>
    <row r="609" ht="15.75" customHeight="1">
      <c r="G609" s="259"/>
    </row>
    <row r="610" ht="15.75" customHeight="1">
      <c r="G610" s="259"/>
    </row>
    <row r="611" ht="15.75" customHeight="1">
      <c r="G611" s="259"/>
    </row>
    <row r="612" ht="15.75" customHeight="1">
      <c r="G612" s="259"/>
    </row>
    <row r="613" ht="15.75" customHeight="1">
      <c r="G613" s="259"/>
    </row>
    <row r="614" ht="15.75" customHeight="1">
      <c r="G614" s="259"/>
    </row>
    <row r="615" ht="15.75" customHeight="1">
      <c r="G615" s="259"/>
    </row>
    <row r="616" ht="15.75" customHeight="1">
      <c r="G616" s="259"/>
    </row>
    <row r="617" ht="15.75" customHeight="1">
      <c r="G617" s="259"/>
    </row>
    <row r="618" ht="15.75" customHeight="1">
      <c r="G618" s="259"/>
    </row>
    <row r="619" ht="15.75" customHeight="1">
      <c r="G619" s="259"/>
    </row>
    <row r="620" ht="15.75" customHeight="1">
      <c r="G620" s="259"/>
    </row>
    <row r="621" ht="15.75" customHeight="1">
      <c r="G621" s="259"/>
    </row>
    <row r="622" ht="15.75" customHeight="1">
      <c r="G622" s="259"/>
    </row>
    <row r="623" ht="15.75" customHeight="1">
      <c r="G623" s="259"/>
    </row>
    <row r="624" ht="15.75" customHeight="1">
      <c r="G624" s="259"/>
    </row>
    <row r="625" ht="15.75" customHeight="1">
      <c r="G625" s="259"/>
    </row>
    <row r="626" ht="15.75" customHeight="1">
      <c r="G626" s="259"/>
    </row>
    <row r="627" ht="15.75" customHeight="1">
      <c r="G627" s="259"/>
    </row>
    <row r="628" ht="15.75" customHeight="1">
      <c r="G628" s="259"/>
    </row>
    <row r="629" ht="15.75" customHeight="1">
      <c r="G629" s="259"/>
    </row>
    <row r="630" ht="15.75" customHeight="1">
      <c r="G630" s="259"/>
    </row>
    <row r="631" ht="15.75" customHeight="1">
      <c r="G631" s="259"/>
    </row>
    <row r="632" ht="15.75" customHeight="1">
      <c r="G632" s="259"/>
    </row>
    <row r="633" ht="15.75" customHeight="1">
      <c r="G633" s="259"/>
    </row>
    <row r="634" ht="15.75" customHeight="1">
      <c r="G634" s="259"/>
    </row>
    <row r="635" ht="15.75" customHeight="1">
      <c r="G635" s="259"/>
    </row>
    <row r="636" ht="15.75" customHeight="1">
      <c r="G636" s="259"/>
    </row>
    <row r="637" ht="15.75" customHeight="1">
      <c r="G637" s="259"/>
    </row>
    <row r="638" ht="15.75" customHeight="1">
      <c r="G638" s="259"/>
    </row>
    <row r="639" ht="15.75" customHeight="1">
      <c r="G639" s="259"/>
    </row>
    <row r="640" ht="15.75" customHeight="1">
      <c r="G640" s="259"/>
    </row>
    <row r="641" ht="15.75" customHeight="1">
      <c r="G641" s="259"/>
    </row>
    <row r="642" ht="15.75" customHeight="1">
      <c r="G642" s="259"/>
    </row>
    <row r="643" ht="15.75" customHeight="1">
      <c r="G643" s="259"/>
    </row>
    <row r="644" ht="15.75" customHeight="1">
      <c r="G644" s="259"/>
    </row>
    <row r="645" ht="15.75" customHeight="1">
      <c r="G645" s="259"/>
    </row>
    <row r="646" ht="15.75" customHeight="1">
      <c r="G646" s="259"/>
    </row>
    <row r="647" ht="15.75" customHeight="1">
      <c r="G647" s="259"/>
    </row>
    <row r="648" ht="15.75" customHeight="1">
      <c r="G648" s="259"/>
    </row>
    <row r="649" ht="15.75" customHeight="1">
      <c r="G649" s="259"/>
    </row>
    <row r="650" ht="15.75" customHeight="1">
      <c r="G650" s="259"/>
    </row>
    <row r="651" ht="15.75" customHeight="1">
      <c r="G651" s="259"/>
    </row>
    <row r="652" ht="15.75" customHeight="1">
      <c r="G652" s="259"/>
    </row>
    <row r="653" ht="15.75" customHeight="1">
      <c r="G653" s="259"/>
    </row>
    <row r="654" ht="15.75" customHeight="1">
      <c r="G654" s="259"/>
    </row>
    <row r="655" ht="15.75" customHeight="1">
      <c r="G655" s="259"/>
    </row>
    <row r="656" ht="15.75" customHeight="1">
      <c r="G656" s="259"/>
    </row>
    <row r="657" ht="15.75" customHeight="1">
      <c r="G657" s="259"/>
    </row>
    <row r="658" ht="15.75" customHeight="1">
      <c r="G658" s="259"/>
    </row>
    <row r="659" ht="15.75" customHeight="1">
      <c r="G659" s="259"/>
    </row>
    <row r="660" ht="15.75" customHeight="1">
      <c r="G660" s="259"/>
    </row>
    <row r="661" ht="15.75" customHeight="1">
      <c r="G661" s="259"/>
    </row>
    <row r="662" ht="15.75" customHeight="1">
      <c r="G662" s="259"/>
    </row>
    <row r="663" ht="15.75" customHeight="1">
      <c r="G663" s="259"/>
    </row>
    <row r="664" ht="15.75" customHeight="1">
      <c r="G664" s="259"/>
    </row>
    <row r="665" ht="15.75" customHeight="1">
      <c r="G665" s="259"/>
    </row>
    <row r="666" ht="15.75" customHeight="1">
      <c r="G666" s="259"/>
    </row>
    <row r="667" ht="15.75" customHeight="1">
      <c r="G667" s="259"/>
    </row>
    <row r="668" ht="15.75" customHeight="1">
      <c r="G668" s="259"/>
    </row>
    <row r="669" ht="15.75" customHeight="1">
      <c r="G669" s="259"/>
    </row>
    <row r="670" ht="15.75" customHeight="1">
      <c r="G670" s="259"/>
    </row>
    <row r="671" ht="15.75" customHeight="1">
      <c r="G671" s="259"/>
    </row>
    <row r="672" ht="15.75" customHeight="1">
      <c r="G672" s="259"/>
    </row>
    <row r="673" ht="15.75" customHeight="1">
      <c r="G673" s="259"/>
    </row>
    <row r="674" ht="15.75" customHeight="1">
      <c r="G674" s="259"/>
    </row>
    <row r="675" ht="15.75" customHeight="1">
      <c r="G675" s="259"/>
    </row>
    <row r="676" ht="15.75" customHeight="1">
      <c r="G676" s="259"/>
    </row>
    <row r="677" ht="15.75" customHeight="1">
      <c r="G677" s="259"/>
    </row>
    <row r="678" ht="15.75" customHeight="1">
      <c r="G678" s="259"/>
    </row>
    <row r="679" ht="15.75" customHeight="1">
      <c r="G679" s="259"/>
    </row>
    <row r="680" ht="15.75" customHeight="1">
      <c r="G680" s="259"/>
    </row>
    <row r="681" ht="15.75" customHeight="1">
      <c r="G681" s="259"/>
    </row>
    <row r="682" ht="15.75" customHeight="1">
      <c r="G682" s="259"/>
    </row>
    <row r="683" ht="15.75" customHeight="1">
      <c r="G683" s="259"/>
    </row>
    <row r="684" ht="15.75" customHeight="1">
      <c r="G684" s="259"/>
    </row>
    <row r="685" ht="15.75" customHeight="1">
      <c r="G685" s="259"/>
    </row>
    <row r="686" ht="15.75" customHeight="1">
      <c r="G686" s="259"/>
    </row>
    <row r="687" ht="15.75" customHeight="1">
      <c r="G687" s="259"/>
    </row>
    <row r="688" ht="15.75" customHeight="1">
      <c r="G688" s="259"/>
    </row>
    <row r="689" ht="15.75" customHeight="1">
      <c r="G689" s="259"/>
    </row>
    <row r="690" ht="15.75" customHeight="1">
      <c r="G690" s="259"/>
    </row>
    <row r="691" ht="15.75" customHeight="1">
      <c r="G691" s="259"/>
    </row>
    <row r="692" ht="15.75" customHeight="1">
      <c r="G692" s="259"/>
    </row>
    <row r="693" ht="15.75" customHeight="1">
      <c r="G693" s="259"/>
    </row>
    <row r="694" ht="15.75" customHeight="1">
      <c r="G694" s="259"/>
    </row>
    <row r="695" ht="15.75" customHeight="1">
      <c r="G695" s="259"/>
    </row>
    <row r="696" ht="15.75" customHeight="1">
      <c r="G696" s="259"/>
    </row>
    <row r="697" ht="15.75" customHeight="1">
      <c r="G697" s="259"/>
    </row>
    <row r="698" ht="15.75" customHeight="1">
      <c r="G698" s="259"/>
    </row>
    <row r="699" ht="15.75" customHeight="1">
      <c r="G699" s="259"/>
    </row>
    <row r="700" ht="15.75" customHeight="1">
      <c r="G700" s="259"/>
    </row>
    <row r="701" ht="15.75" customHeight="1">
      <c r="G701" s="259"/>
    </row>
    <row r="702" ht="15.75" customHeight="1">
      <c r="G702" s="259"/>
    </row>
    <row r="703" ht="15.75" customHeight="1">
      <c r="G703" s="259"/>
    </row>
    <row r="704" ht="15.75" customHeight="1">
      <c r="G704" s="259"/>
    </row>
    <row r="705" ht="15.75" customHeight="1">
      <c r="G705" s="259"/>
    </row>
    <row r="706" ht="15.75" customHeight="1">
      <c r="G706" s="259"/>
    </row>
    <row r="707" ht="15.75" customHeight="1">
      <c r="G707" s="259"/>
    </row>
    <row r="708" ht="15.75" customHeight="1">
      <c r="G708" s="259"/>
    </row>
    <row r="709" ht="15.75" customHeight="1">
      <c r="G709" s="259"/>
    </row>
    <row r="710" ht="15.75" customHeight="1">
      <c r="G710" s="259"/>
    </row>
    <row r="711" ht="15.75" customHeight="1">
      <c r="G711" s="259"/>
    </row>
    <row r="712" ht="15.75" customHeight="1">
      <c r="G712" s="259"/>
    </row>
    <row r="713" ht="15.75" customHeight="1">
      <c r="G713" s="259"/>
    </row>
    <row r="714" ht="15.75" customHeight="1">
      <c r="G714" s="259"/>
    </row>
    <row r="715" ht="15.75" customHeight="1">
      <c r="G715" s="259"/>
    </row>
    <row r="716" ht="15.75" customHeight="1">
      <c r="G716" s="259"/>
    </row>
    <row r="717" ht="15.75" customHeight="1">
      <c r="G717" s="259"/>
    </row>
    <row r="718" ht="15.75" customHeight="1">
      <c r="G718" s="259"/>
    </row>
    <row r="719" ht="15.75" customHeight="1">
      <c r="G719" s="259"/>
    </row>
    <row r="720" ht="15.75" customHeight="1">
      <c r="G720" s="259"/>
    </row>
    <row r="721" ht="15.75" customHeight="1">
      <c r="G721" s="259"/>
    </row>
    <row r="722" ht="15.75" customHeight="1">
      <c r="G722" s="259"/>
    </row>
    <row r="723" ht="15.75" customHeight="1">
      <c r="G723" s="259"/>
    </row>
    <row r="724" ht="15.75" customHeight="1">
      <c r="G724" s="259"/>
    </row>
    <row r="725" ht="15.75" customHeight="1">
      <c r="G725" s="259"/>
    </row>
    <row r="726" ht="15.75" customHeight="1">
      <c r="G726" s="259"/>
    </row>
    <row r="727" ht="15.75" customHeight="1">
      <c r="G727" s="259"/>
    </row>
    <row r="728" ht="15.75" customHeight="1">
      <c r="G728" s="259"/>
    </row>
    <row r="729" ht="15.75" customHeight="1">
      <c r="G729" s="259"/>
    </row>
    <row r="730" ht="15.75" customHeight="1">
      <c r="G730" s="259"/>
    </row>
    <row r="731" ht="15.75" customHeight="1">
      <c r="G731" s="259"/>
    </row>
    <row r="732" ht="15.75" customHeight="1">
      <c r="G732" s="259"/>
    </row>
    <row r="733" ht="15.75" customHeight="1">
      <c r="G733" s="259"/>
    </row>
    <row r="734" ht="15.75" customHeight="1">
      <c r="G734" s="259"/>
    </row>
    <row r="735" ht="15.75" customHeight="1">
      <c r="G735" s="259"/>
    </row>
    <row r="736" ht="15.75" customHeight="1">
      <c r="G736" s="259"/>
    </row>
    <row r="737" ht="15.75" customHeight="1">
      <c r="G737" s="259"/>
    </row>
    <row r="738" ht="15.75" customHeight="1">
      <c r="G738" s="259"/>
    </row>
    <row r="739" ht="15.75" customHeight="1">
      <c r="G739" s="259"/>
    </row>
    <row r="740" ht="15.75" customHeight="1">
      <c r="G740" s="259"/>
    </row>
    <row r="741" ht="15.75" customHeight="1">
      <c r="G741" s="259"/>
    </row>
    <row r="742" ht="15.75" customHeight="1">
      <c r="G742" s="259"/>
    </row>
    <row r="743" ht="15.75" customHeight="1">
      <c r="G743" s="259"/>
    </row>
    <row r="744" ht="15.75" customHeight="1">
      <c r="G744" s="259"/>
    </row>
    <row r="745" ht="15.75" customHeight="1">
      <c r="G745" s="259"/>
    </row>
    <row r="746" ht="15.75" customHeight="1">
      <c r="G746" s="259"/>
    </row>
    <row r="747" ht="15.75" customHeight="1">
      <c r="G747" s="259"/>
    </row>
    <row r="748" ht="15.75" customHeight="1">
      <c r="G748" s="259"/>
    </row>
    <row r="749" ht="15.75" customHeight="1">
      <c r="G749" s="259"/>
    </row>
    <row r="750" ht="15.75" customHeight="1">
      <c r="G750" s="259"/>
    </row>
    <row r="751" ht="15.75" customHeight="1">
      <c r="G751" s="259"/>
    </row>
    <row r="752" ht="15.75" customHeight="1">
      <c r="G752" s="259"/>
    </row>
    <row r="753" ht="15.75" customHeight="1">
      <c r="G753" s="259"/>
    </row>
    <row r="754" ht="15.75" customHeight="1">
      <c r="G754" s="259"/>
    </row>
    <row r="755" ht="15.75" customHeight="1">
      <c r="G755" s="259"/>
    </row>
    <row r="756" ht="15.75" customHeight="1">
      <c r="G756" s="259"/>
    </row>
    <row r="757" ht="15.75" customHeight="1">
      <c r="G757" s="259"/>
    </row>
    <row r="758" ht="15.75" customHeight="1">
      <c r="G758" s="259"/>
    </row>
    <row r="759" ht="15.75" customHeight="1">
      <c r="G759" s="259"/>
    </row>
    <row r="760" ht="15.75" customHeight="1">
      <c r="G760" s="259"/>
    </row>
    <row r="761" ht="15.75" customHeight="1">
      <c r="G761" s="259"/>
    </row>
    <row r="762" ht="15.75" customHeight="1">
      <c r="G762" s="259"/>
    </row>
    <row r="763" ht="15.75" customHeight="1">
      <c r="G763" s="259"/>
    </row>
    <row r="764" ht="15.75" customHeight="1">
      <c r="G764" s="259"/>
    </row>
    <row r="765" ht="15.75" customHeight="1">
      <c r="G765" s="259"/>
    </row>
    <row r="766" ht="15.75" customHeight="1">
      <c r="G766" s="259"/>
    </row>
    <row r="767" ht="15.75" customHeight="1">
      <c r="G767" s="259"/>
    </row>
    <row r="768" ht="15.75" customHeight="1">
      <c r="G768" s="259"/>
    </row>
    <row r="769" ht="15.75" customHeight="1">
      <c r="G769" s="259"/>
    </row>
    <row r="770" ht="15.75" customHeight="1">
      <c r="G770" s="259"/>
    </row>
    <row r="771" ht="15.75" customHeight="1">
      <c r="G771" s="259"/>
    </row>
    <row r="772" ht="15.75" customHeight="1">
      <c r="G772" s="259"/>
    </row>
    <row r="773" ht="15.75" customHeight="1">
      <c r="G773" s="259"/>
    </row>
    <row r="774" ht="15.75" customHeight="1">
      <c r="G774" s="259"/>
    </row>
    <row r="775" ht="15.75" customHeight="1">
      <c r="G775" s="259"/>
    </row>
    <row r="776" ht="15.75" customHeight="1">
      <c r="G776" s="259"/>
    </row>
    <row r="777" ht="15.75" customHeight="1">
      <c r="G777" s="259"/>
    </row>
    <row r="778" ht="15.75" customHeight="1">
      <c r="G778" s="259"/>
    </row>
    <row r="779" ht="15.75" customHeight="1">
      <c r="G779" s="259"/>
    </row>
    <row r="780" ht="15.75" customHeight="1">
      <c r="G780" s="259"/>
    </row>
    <row r="781" ht="15.75" customHeight="1">
      <c r="G781" s="259"/>
    </row>
    <row r="782" ht="15.75" customHeight="1">
      <c r="G782" s="259"/>
    </row>
    <row r="783" ht="15.75" customHeight="1">
      <c r="G783" s="259"/>
    </row>
    <row r="784" ht="15.75" customHeight="1">
      <c r="G784" s="259"/>
    </row>
    <row r="785" ht="15.75" customHeight="1">
      <c r="G785" s="259"/>
    </row>
    <row r="786" ht="15.75" customHeight="1">
      <c r="G786" s="259"/>
    </row>
    <row r="787" ht="15.75" customHeight="1">
      <c r="G787" s="259"/>
    </row>
    <row r="788" ht="15.75" customHeight="1">
      <c r="G788" s="259"/>
    </row>
    <row r="789" ht="15.75" customHeight="1">
      <c r="G789" s="259"/>
    </row>
    <row r="790" ht="15.75" customHeight="1">
      <c r="G790" s="259"/>
    </row>
    <row r="791" ht="15.75" customHeight="1">
      <c r="G791" s="259"/>
    </row>
    <row r="792" ht="15.75" customHeight="1">
      <c r="G792" s="259"/>
    </row>
    <row r="793" ht="15.75" customHeight="1">
      <c r="G793" s="259"/>
    </row>
    <row r="794" ht="15.75" customHeight="1">
      <c r="G794" s="259"/>
    </row>
    <row r="795" ht="15.75" customHeight="1">
      <c r="G795" s="259"/>
    </row>
    <row r="796" ht="15.75" customHeight="1">
      <c r="G796" s="259"/>
    </row>
    <row r="797" ht="15.75" customHeight="1">
      <c r="G797" s="259"/>
    </row>
    <row r="798" ht="15.75" customHeight="1">
      <c r="G798" s="259"/>
    </row>
    <row r="799" ht="15.75" customHeight="1">
      <c r="G799" s="259"/>
    </row>
    <row r="800" ht="15.75" customHeight="1">
      <c r="G800" s="259"/>
    </row>
    <row r="801" ht="15.75" customHeight="1">
      <c r="G801" s="259"/>
    </row>
    <row r="802" ht="15.75" customHeight="1">
      <c r="G802" s="259"/>
    </row>
    <row r="803" ht="15.75" customHeight="1">
      <c r="G803" s="259"/>
    </row>
    <row r="804" ht="15.75" customHeight="1">
      <c r="G804" s="259"/>
    </row>
    <row r="805" ht="15.75" customHeight="1">
      <c r="G805" s="259"/>
    </row>
    <row r="806" ht="15.75" customHeight="1">
      <c r="G806" s="259"/>
    </row>
    <row r="807" ht="15.75" customHeight="1">
      <c r="G807" s="259"/>
    </row>
    <row r="808" ht="15.75" customHeight="1">
      <c r="G808" s="259"/>
    </row>
    <row r="809" ht="15.75" customHeight="1">
      <c r="G809" s="259"/>
    </row>
    <row r="810" ht="15.75" customHeight="1">
      <c r="G810" s="259"/>
    </row>
    <row r="811" ht="15.75" customHeight="1">
      <c r="G811" s="259"/>
    </row>
    <row r="812" ht="15.75" customHeight="1">
      <c r="G812" s="259"/>
    </row>
    <row r="813" ht="15.75" customHeight="1">
      <c r="G813" s="259"/>
    </row>
    <row r="814" ht="15.75" customHeight="1">
      <c r="G814" s="259"/>
    </row>
    <row r="815" ht="15.75" customHeight="1">
      <c r="G815" s="259"/>
    </row>
    <row r="816" ht="15.75" customHeight="1">
      <c r="G816" s="259"/>
    </row>
    <row r="817" ht="15.75" customHeight="1">
      <c r="G817" s="259"/>
    </row>
    <row r="818" ht="15.75" customHeight="1">
      <c r="G818" s="259"/>
    </row>
    <row r="819" ht="15.75" customHeight="1">
      <c r="G819" s="259"/>
    </row>
    <row r="820" ht="15.75" customHeight="1">
      <c r="G820" s="259"/>
    </row>
    <row r="821" ht="15.75" customHeight="1">
      <c r="G821" s="259"/>
    </row>
    <row r="822" ht="15.75" customHeight="1">
      <c r="G822" s="259"/>
    </row>
    <row r="823" ht="15.75" customHeight="1">
      <c r="G823" s="259"/>
    </row>
    <row r="824" ht="15.75" customHeight="1">
      <c r="G824" s="259"/>
    </row>
    <row r="825" ht="15.75" customHeight="1">
      <c r="G825" s="259"/>
    </row>
    <row r="826" ht="15.75" customHeight="1">
      <c r="G826" s="259"/>
    </row>
    <row r="827" ht="15.75" customHeight="1">
      <c r="G827" s="259"/>
    </row>
    <row r="828" ht="15.75" customHeight="1">
      <c r="G828" s="259"/>
    </row>
    <row r="829" ht="15.75" customHeight="1">
      <c r="G829" s="259"/>
    </row>
    <row r="830" ht="15.75" customHeight="1">
      <c r="G830" s="259"/>
    </row>
    <row r="831" ht="15.75" customHeight="1">
      <c r="G831" s="259"/>
    </row>
    <row r="832" ht="15.75" customHeight="1">
      <c r="G832" s="259"/>
    </row>
    <row r="833" ht="15.75" customHeight="1">
      <c r="G833" s="259"/>
    </row>
    <row r="834" ht="15.75" customHeight="1">
      <c r="G834" s="259"/>
    </row>
    <row r="835" ht="15.75" customHeight="1">
      <c r="G835" s="259"/>
    </row>
    <row r="836" ht="15.75" customHeight="1">
      <c r="G836" s="259"/>
    </row>
    <row r="837" ht="15.75" customHeight="1">
      <c r="G837" s="259"/>
    </row>
    <row r="838" ht="15.75" customHeight="1">
      <c r="G838" s="259"/>
    </row>
    <row r="839" ht="15.75" customHeight="1">
      <c r="G839" s="259"/>
    </row>
    <row r="840" ht="15.75" customHeight="1">
      <c r="G840" s="259"/>
    </row>
    <row r="841" ht="15.75" customHeight="1">
      <c r="G841" s="259"/>
    </row>
    <row r="842" ht="15.75" customHeight="1">
      <c r="G842" s="259"/>
    </row>
    <row r="843" ht="15.75" customHeight="1">
      <c r="G843" s="259"/>
    </row>
    <row r="844" ht="15.75" customHeight="1">
      <c r="G844" s="259"/>
    </row>
    <row r="845" ht="15.75" customHeight="1">
      <c r="G845" s="259"/>
    </row>
    <row r="846" ht="15.75" customHeight="1">
      <c r="G846" s="259"/>
    </row>
    <row r="847" ht="15.75" customHeight="1">
      <c r="G847" s="259"/>
    </row>
    <row r="848" ht="15.75" customHeight="1">
      <c r="G848" s="259"/>
    </row>
    <row r="849" ht="15.75" customHeight="1">
      <c r="G849" s="259"/>
    </row>
    <row r="850" ht="15.75" customHeight="1">
      <c r="G850" s="259"/>
    </row>
    <row r="851" ht="15.75" customHeight="1">
      <c r="G851" s="259"/>
    </row>
    <row r="852" ht="15.75" customHeight="1">
      <c r="G852" s="259"/>
    </row>
    <row r="853" ht="15.75" customHeight="1">
      <c r="G853" s="259"/>
    </row>
    <row r="854" ht="15.75" customHeight="1">
      <c r="G854" s="259"/>
    </row>
    <row r="855" ht="15.75" customHeight="1">
      <c r="G855" s="259"/>
    </row>
    <row r="856" ht="15.75" customHeight="1">
      <c r="G856" s="259"/>
    </row>
    <row r="857" ht="15.75" customHeight="1">
      <c r="G857" s="259"/>
    </row>
    <row r="858" ht="15.75" customHeight="1">
      <c r="G858" s="259"/>
    </row>
    <row r="859" ht="15.75" customHeight="1">
      <c r="G859" s="259"/>
    </row>
    <row r="860" ht="15.75" customHeight="1">
      <c r="G860" s="259"/>
    </row>
    <row r="861" ht="15.75" customHeight="1">
      <c r="G861" s="259"/>
    </row>
    <row r="862" ht="15.75" customHeight="1">
      <c r="G862" s="259"/>
    </row>
    <row r="863" ht="15.75" customHeight="1">
      <c r="G863" s="259"/>
    </row>
    <row r="864" ht="15.75" customHeight="1">
      <c r="G864" s="259"/>
    </row>
    <row r="865" ht="15.75" customHeight="1">
      <c r="G865" s="259"/>
    </row>
    <row r="866" ht="15.75" customHeight="1">
      <c r="G866" s="259"/>
    </row>
    <row r="867" ht="15.75" customHeight="1">
      <c r="G867" s="259"/>
    </row>
    <row r="868" ht="15.75" customHeight="1">
      <c r="G868" s="259"/>
    </row>
    <row r="869" ht="15.75" customHeight="1">
      <c r="G869" s="259"/>
    </row>
    <row r="870" ht="15.75" customHeight="1">
      <c r="G870" s="259"/>
    </row>
    <row r="871" ht="15.75" customHeight="1">
      <c r="G871" s="259"/>
    </row>
    <row r="872" ht="15.75" customHeight="1">
      <c r="G872" s="259"/>
    </row>
    <row r="873" ht="15.75" customHeight="1">
      <c r="G873" s="259"/>
    </row>
    <row r="874" ht="15.75" customHeight="1">
      <c r="G874" s="259"/>
    </row>
    <row r="875" ht="15.75" customHeight="1">
      <c r="G875" s="259"/>
    </row>
    <row r="876" ht="15.75" customHeight="1">
      <c r="G876" s="259"/>
    </row>
    <row r="877" ht="15.75" customHeight="1">
      <c r="G877" s="259"/>
    </row>
    <row r="878" ht="15.75" customHeight="1">
      <c r="G878" s="259"/>
    </row>
    <row r="879" ht="15.75" customHeight="1">
      <c r="G879" s="259"/>
    </row>
    <row r="880" ht="15.75" customHeight="1">
      <c r="G880" s="259"/>
    </row>
    <row r="881" ht="15.75" customHeight="1">
      <c r="G881" s="259"/>
    </row>
    <row r="882" ht="15.75" customHeight="1">
      <c r="G882" s="259"/>
    </row>
    <row r="883" ht="15.75" customHeight="1">
      <c r="G883" s="259"/>
    </row>
    <row r="884" ht="15.75" customHeight="1">
      <c r="G884" s="259"/>
    </row>
    <row r="885" ht="15.75" customHeight="1">
      <c r="G885" s="259"/>
    </row>
    <row r="886" ht="15.75" customHeight="1">
      <c r="G886" s="259"/>
    </row>
    <row r="887" ht="15.75" customHeight="1">
      <c r="G887" s="259"/>
    </row>
    <row r="888" ht="15.75" customHeight="1">
      <c r="G888" s="259"/>
    </row>
    <row r="889" ht="15.75" customHeight="1">
      <c r="G889" s="259"/>
    </row>
    <row r="890" ht="15.75" customHeight="1">
      <c r="G890" s="259"/>
    </row>
    <row r="891" ht="15.75" customHeight="1">
      <c r="G891" s="259"/>
    </row>
    <row r="892" ht="15.75" customHeight="1">
      <c r="G892" s="259"/>
    </row>
    <row r="893" ht="15.75" customHeight="1">
      <c r="G893" s="259"/>
    </row>
    <row r="894" ht="15.75" customHeight="1">
      <c r="G894" s="259"/>
    </row>
    <row r="895" ht="15.75" customHeight="1">
      <c r="G895" s="259"/>
    </row>
    <row r="896" ht="15.75" customHeight="1">
      <c r="G896" s="259"/>
    </row>
    <row r="897" ht="15.75" customHeight="1">
      <c r="G897" s="259"/>
    </row>
    <row r="898" ht="15.75" customHeight="1">
      <c r="G898" s="259"/>
    </row>
    <row r="899" ht="15.75" customHeight="1">
      <c r="G899" s="259"/>
    </row>
    <row r="900" ht="15.75" customHeight="1">
      <c r="G900" s="259"/>
    </row>
    <row r="901" ht="15.75" customHeight="1">
      <c r="G901" s="259"/>
    </row>
    <row r="902" ht="15.75" customHeight="1">
      <c r="G902" s="259"/>
    </row>
    <row r="903" ht="15.75" customHeight="1">
      <c r="G903" s="259"/>
    </row>
    <row r="904" ht="15.75" customHeight="1">
      <c r="G904" s="259"/>
    </row>
    <row r="905" ht="15.75" customHeight="1">
      <c r="G905" s="259"/>
    </row>
    <row r="906" ht="15.75" customHeight="1">
      <c r="G906" s="259"/>
    </row>
    <row r="907" ht="15.75" customHeight="1">
      <c r="G907" s="259"/>
    </row>
    <row r="908" ht="15.75" customHeight="1">
      <c r="G908" s="259"/>
    </row>
    <row r="909" ht="15.75" customHeight="1">
      <c r="G909" s="259"/>
    </row>
    <row r="910" ht="15.75" customHeight="1">
      <c r="G910" s="259"/>
    </row>
    <row r="911" ht="15.75" customHeight="1">
      <c r="G911" s="259"/>
    </row>
    <row r="912" ht="15.75" customHeight="1">
      <c r="G912" s="259"/>
    </row>
    <row r="913" ht="15.75" customHeight="1">
      <c r="G913" s="259"/>
    </row>
    <row r="914" ht="15.75" customHeight="1">
      <c r="G914" s="259"/>
    </row>
    <row r="915" ht="15.75" customHeight="1">
      <c r="G915" s="259"/>
    </row>
    <row r="916" ht="15.75" customHeight="1">
      <c r="G916" s="259"/>
    </row>
    <row r="917" ht="15.75" customHeight="1">
      <c r="G917" s="259"/>
    </row>
    <row r="918" ht="15.75" customHeight="1">
      <c r="G918" s="259"/>
    </row>
    <row r="919" ht="15.75" customHeight="1">
      <c r="G919" s="259"/>
    </row>
    <row r="920" ht="15.75" customHeight="1">
      <c r="G920" s="259"/>
    </row>
    <row r="921" ht="15.75" customHeight="1">
      <c r="G921" s="259"/>
    </row>
    <row r="922" ht="15.75" customHeight="1">
      <c r="G922" s="259"/>
    </row>
    <row r="923" ht="15.75" customHeight="1">
      <c r="G923" s="259"/>
    </row>
    <row r="924" ht="15.75" customHeight="1">
      <c r="G924" s="259"/>
    </row>
    <row r="925" ht="15.75" customHeight="1">
      <c r="G925" s="259"/>
    </row>
    <row r="926" ht="15.75" customHeight="1">
      <c r="G926" s="259"/>
    </row>
    <row r="927" ht="15.75" customHeight="1">
      <c r="G927" s="259"/>
    </row>
    <row r="928" ht="15.75" customHeight="1">
      <c r="G928" s="259"/>
    </row>
    <row r="929" ht="15.75" customHeight="1">
      <c r="G929" s="259"/>
    </row>
    <row r="930" ht="15.75" customHeight="1">
      <c r="G930" s="259"/>
    </row>
    <row r="931" ht="15.75" customHeight="1">
      <c r="G931" s="259"/>
    </row>
    <row r="932" ht="15.75" customHeight="1">
      <c r="G932" s="259"/>
    </row>
    <row r="933" ht="15.75" customHeight="1">
      <c r="G933" s="259"/>
    </row>
    <row r="934" ht="15.75" customHeight="1">
      <c r="G934" s="259"/>
    </row>
    <row r="935" ht="15.75" customHeight="1">
      <c r="G935" s="259"/>
    </row>
    <row r="936" ht="15.75" customHeight="1">
      <c r="G936" s="259"/>
    </row>
    <row r="937" ht="15.75" customHeight="1">
      <c r="G937" s="259"/>
    </row>
    <row r="938" ht="15.75" customHeight="1">
      <c r="G938" s="259"/>
    </row>
    <row r="939" ht="15.75" customHeight="1">
      <c r="G939" s="259"/>
    </row>
    <row r="940" ht="15.75" customHeight="1">
      <c r="G940" s="259"/>
    </row>
    <row r="941" ht="15.75" customHeight="1">
      <c r="G941" s="259"/>
    </row>
    <row r="942" ht="15.75" customHeight="1">
      <c r="G942" s="259"/>
    </row>
    <row r="943" ht="15.75" customHeight="1">
      <c r="G943" s="259"/>
    </row>
    <row r="944" ht="15.75" customHeight="1">
      <c r="G944" s="259"/>
    </row>
    <row r="945" ht="15.75" customHeight="1">
      <c r="G945" s="259"/>
    </row>
    <row r="946" ht="15.75" customHeight="1">
      <c r="G946" s="259"/>
    </row>
    <row r="947" ht="15.75" customHeight="1">
      <c r="G947" s="259"/>
    </row>
    <row r="948" ht="15.75" customHeight="1">
      <c r="G948" s="259"/>
    </row>
    <row r="949" ht="15.75" customHeight="1">
      <c r="G949" s="259"/>
    </row>
    <row r="950" ht="15.75" customHeight="1">
      <c r="G950" s="259"/>
    </row>
    <row r="951" ht="15.75" customHeight="1">
      <c r="G951" s="259"/>
    </row>
    <row r="952" ht="15.75" customHeight="1">
      <c r="G952" s="259"/>
    </row>
    <row r="953" ht="15.75" customHeight="1">
      <c r="G953" s="259"/>
    </row>
    <row r="954" ht="15.75" customHeight="1">
      <c r="G954" s="259"/>
    </row>
    <row r="955" ht="15.75" customHeight="1">
      <c r="G955" s="259"/>
    </row>
    <row r="956" ht="15.75" customHeight="1">
      <c r="G956" s="259"/>
    </row>
    <row r="957" ht="15.75" customHeight="1">
      <c r="G957" s="259"/>
    </row>
    <row r="958" ht="15.75" customHeight="1">
      <c r="G958" s="259"/>
    </row>
    <row r="959" ht="15.75" customHeight="1">
      <c r="G959" s="259"/>
    </row>
    <row r="960" ht="15.75" customHeight="1">
      <c r="G960" s="259"/>
    </row>
    <row r="961" ht="15.75" customHeight="1">
      <c r="G961" s="259"/>
    </row>
    <row r="962" ht="15.75" customHeight="1">
      <c r="G962" s="259"/>
    </row>
    <row r="963" ht="15.75" customHeight="1">
      <c r="G963" s="259"/>
    </row>
    <row r="964" ht="15.75" customHeight="1">
      <c r="G964" s="259"/>
    </row>
    <row r="965" ht="15.75" customHeight="1">
      <c r="G965" s="259"/>
    </row>
    <row r="966" ht="15.75" customHeight="1">
      <c r="G966" s="259"/>
    </row>
    <row r="967" ht="15.75" customHeight="1">
      <c r="G967" s="259"/>
    </row>
    <row r="968" ht="15.75" customHeight="1">
      <c r="G968" s="259"/>
    </row>
    <row r="969" ht="15.75" customHeight="1">
      <c r="G969" s="259"/>
    </row>
    <row r="970" ht="15.75" customHeight="1">
      <c r="G970" s="259"/>
    </row>
    <row r="971" ht="15.75" customHeight="1">
      <c r="G971" s="259"/>
    </row>
    <row r="972" ht="15.75" customHeight="1">
      <c r="G972" s="259"/>
    </row>
    <row r="973" ht="15.75" customHeight="1">
      <c r="G973" s="259"/>
    </row>
    <row r="974" ht="15.75" customHeight="1">
      <c r="G974" s="259"/>
    </row>
    <row r="975" ht="15.75" customHeight="1">
      <c r="G975" s="259"/>
    </row>
    <row r="976" ht="15.75" customHeight="1">
      <c r="G976" s="259"/>
    </row>
    <row r="977" ht="15.75" customHeight="1">
      <c r="G977" s="259"/>
    </row>
    <row r="978" ht="15.75" customHeight="1">
      <c r="G978" s="259"/>
    </row>
    <row r="979" ht="15.75" customHeight="1">
      <c r="G979" s="259"/>
    </row>
    <row r="980" ht="15.75" customHeight="1">
      <c r="G980" s="259"/>
    </row>
    <row r="981" ht="15.75" customHeight="1">
      <c r="G981" s="259"/>
    </row>
    <row r="982" ht="15.75" customHeight="1">
      <c r="G982" s="259"/>
    </row>
    <row r="983" ht="15.75" customHeight="1">
      <c r="G983" s="259"/>
    </row>
    <row r="984" ht="15.75" customHeight="1">
      <c r="G984" s="259"/>
    </row>
    <row r="985" ht="15.75" customHeight="1">
      <c r="G985" s="259"/>
    </row>
    <row r="986" ht="15.75" customHeight="1">
      <c r="G986" s="259"/>
    </row>
    <row r="987" ht="15.75" customHeight="1">
      <c r="G987" s="259"/>
    </row>
    <row r="988" ht="15.75" customHeight="1">
      <c r="G988" s="259"/>
    </row>
    <row r="989" ht="15.75" customHeight="1">
      <c r="G989" s="259"/>
    </row>
    <row r="990" ht="15.75" customHeight="1">
      <c r="G990" s="259"/>
    </row>
    <row r="991" ht="15.75" customHeight="1">
      <c r="G991" s="259"/>
    </row>
    <row r="992" ht="15.75" customHeight="1">
      <c r="G992" s="259"/>
    </row>
    <row r="993" ht="15.75" customHeight="1">
      <c r="G993" s="259"/>
    </row>
    <row r="994" ht="15.75" customHeight="1">
      <c r="G994" s="259"/>
    </row>
    <row r="995" ht="15.75" customHeight="1">
      <c r="G995" s="259"/>
    </row>
    <row r="996" ht="15.75" customHeight="1">
      <c r="G996" s="259"/>
    </row>
    <row r="997" ht="15.75" customHeight="1">
      <c r="G997" s="259"/>
    </row>
    <row r="998" ht="15.75" customHeight="1">
      <c r="G998" s="259"/>
    </row>
    <row r="999" ht="15.75" customHeight="1">
      <c r="G999" s="259"/>
    </row>
    <row r="1000" ht="15.75" customHeight="1">
      <c r="G1000" s="259"/>
    </row>
  </sheetData>
  <conditionalFormatting sqref="I10:S12 T34:AB36">
    <cfRule type="cellIs" dxfId="4" priority="1" operator="greaterThan">
      <formula>0</formula>
    </cfRule>
  </conditionalFormatting>
  <conditionalFormatting sqref="T10:AB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C12 I34:AB36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B18">
    <cfRule type="cellIs" dxfId="4" priority="6" operator="greaterThan">
      <formula>0</formula>
    </cfRule>
  </conditionalFormatting>
  <conditionalFormatting sqref="A16:AC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B24">
    <cfRule type="cellIs" dxfId="4" priority="9" operator="greaterThan">
      <formula>0</formula>
    </cfRule>
  </conditionalFormatting>
  <conditionalFormatting sqref="A22:AC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B30">
    <cfRule type="cellIs" dxfId="4" priority="12" operator="greaterThan">
      <formula>0</formula>
    </cfRule>
  </conditionalFormatting>
  <conditionalFormatting sqref="A28:AC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B36">
    <cfRule type="cellIs" dxfId="4" priority="15" operator="greaterThan">
      <formula>0</formula>
    </cfRule>
  </conditionalFormatting>
  <conditionalFormatting sqref="A34:AC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3" t="s">
        <v>246</v>
      </c>
      <c r="B1" s="172"/>
      <c r="C1" s="172"/>
      <c r="D1" s="172"/>
      <c r="E1" s="172"/>
      <c r="F1" s="172"/>
      <c r="G1" s="278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</row>
    <row r="2" ht="19.5" customHeight="1">
      <c r="A2" s="174" t="s">
        <v>106</v>
      </c>
      <c r="B2" s="174"/>
      <c r="C2" s="174"/>
      <c r="D2" s="174"/>
      <c r="E2" s="174"/>
      <c r="F2" s="174"/>
      <c r="G2" s="279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</row>
    <row r="3">
      <c r="A3" s="176" t="s">
        <v>236</v>
      </c>
      <c r="B3" s="177">
        <v>5.0</v>
      </c>
      <c r="C3" s="172"/>
      <c r="D3" s="172"/>
      <c r="E3" s="172"/>
      <c r="F3" s="172"/>
      <c r="G3" s="278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</row>
    <row r="4">
      <c r="A4" s="176" t="s">
        <v>237</v>
      </c>
      <c r="B4" s="177">
        <v>3.0</v>
      </c>
      <c r="C4" s="172"/>
      <c r="D4" s="172"/>
      <c r="E4" s="172"/>
      <c r="F4" s="172"/>
      <c r="G4" s="278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  <c r="AA4" s="172"/>
      <c r="AB4" s="172"/>
      <c r="AC4" s="172"/>
    </row>
    <row r="5">
      <c r="A5" s="176" t="s">
        <v>238</v>
      </c>
      <c r="B5" s="177">
        <v>1.0</v>
      </c>
      <c r="C5" s="172"/>
      <c r="D5" s="172"/>
      <c r="E5" s="172"/>
      <c r="F5" s="172"/>
      <c r="G5" s="278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</row>
    <row r="6">
      <c r="A6" s="172"/>
      <c r="B6" s="172"/>
      <c r="C6" s="172"/>
      <c r="D6" s="172"/>
      <c r="E6" s="172"/>
      <c r="F6" s="172"/>
      <c r="G6" s="278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</row>
    <row r="7" ht="19.5" customHeight="1">
      <c r="A7" s="280" t="s">
        <v>133</v>
      </c>
      <c r="B7" s="280"/>
      <c r="C7" s="280"/>
      <c r="D7" s="280"/>
      <c r="E7" s="280"/>
      <c r="F7" s="280"/>
      <c r="G7" s="281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280"/>
      <c r="S7" s="280"/>
      <c r="T7" s="280"/>
      <c r="U7" s="280"/>
      <c r="V7" s="280"/>
      <c r="W7" s="280"/>
      <c r="X7" s="280"/>
      <c r="Y7" s="280"/>
      <c r="Z7" s="280"/>
      <c r="AA7" s="280"/>
      <c r="AB7" s="280"/>
      <c r="AC7" s="280"/>
    </row>
    <row r="8" ht="17.25" customHeight="1">
      <c r="A8" s="282" t="s">
        <v>19</v>
      </c>
      <c r="B8" s="273"/>
      <c r="C8" s="273"/>
      <c r="D8" s="273"/>
      <c r="E8" s="273"/>
      <c r="F8" s="273"/>
      <c r="G8" s="28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3"/>
      <c r="AC8" s="273"/>
    </row>
    <row r="9" ht="90.0" customHeight="1">
      <c r="A9" s="284" t="s">
        <v>160</v>
      </c>
      <c r="B9" s="284" t="s">
        <v>174</v>
      </c>
      <c r="C9" s="284" t="s">
        <v>239</v>
      </c>
      <c r="D9" s="285" t="s">
        <v>240</v>
      </c>
      <c r="E9" s="285" t="s">
        <v>241</v>
      </c>
      <c r="F9" s="284" t="s">
        <v>34</v>
      </c>
      <c r="G9" s="286" t="s">
        <v>242</v>
      </c>
      <c r="H9" s="172"/>
      <c r="I9" s="269" t="s">
        <v>46</v>
      </c>
      <c r="J9" s="269" t="s">
        <v>47</v>
      </c>
      <c r="K9" s="269" t="s">
        <v>48</v>
      </c>
      <c r="L9" s="269" t="s">
        <v>50</v>
      </c>
      <c r="M9" s="269" t="s">
        <v>52</v>
      </c>
      <c r="N9" s="269" t="s">
        <v>53</v>
      </c>
      <c r="O9" s="269" t="s">
        <v>54</v>
      </c>
      <c r="P9" s="269" t="s">
        <v>55</v>
      </c>
      <c r="Q9" s="269" t="s">
        <v>56</v>
      </c>
      <c r="R9" s="269" t="s">
        <v>57</v>
      </c>
      <c r="S9" s="269" t="s">
        <v>58</v>
      </c>
      <c r="T9" s="270" t="s">
        <v>121</v>
      </c>
      <c r="U9" s="270" t="s">
        <v>135</v>
      </c>
      <c r="V9" s="270" t="s">
        <v>122</v>
      </c>
      <c r="W9" s="270" t="s">
        <v>123</v>
      </c>
      <c r="X9" s="270" t="s">
        <v>124</v>
      </c>
      <c r="Y9" s="270" t="s">
        <v>125</v>
      </c>
      <c r="Z9" s="270" t="s">
        <v>126</v>
      </c>
      <c r="AA9" s="270" t="s">
        <v>127</v>
      </c>
      <c r="AB9" s="270" t="s">
        <v>128</v>
      </c>
      <c r="AC9" s="284" t="s">
        <v>243</v>
      </c>
    </row>
    <row r="10">
      <c r="A10" s="189">
        <v>1.0</v>
      </c>
      <c r="B10" s="189">
        <v>1.0</v>
      </c>
      <c r="C10" s="189" t="s">
        <v>244</v>
      </c>
      <c r="D10" s="272">
        <v>2.0</v>
      </c>
      <c r="E10" s="272">
        <v>2.0</v>
      </c>
      <c r="F10" s="272">
        <v>0.0</v>
      </c>
      <c r="G10" s="289">
        <f t="shared" ref="G10:G12" si="1">IF(D10=0,0,F10/D10)</f>
        <v>0</v>
      </c>
      <c r="H10" s="172"/>
      <c r="I10" s="272">
        <v>0.0</v>
      </c>
      <c r="J10" s="272">
        <v>0.0</v>
      </c>
      <c r="K10" s="272">
        <v>0.0</v>
      </c>
      <c r="L10" s="272">
        <v>0.0</v>
      </c>
      <c r="M10" s="272">
        <v>0.0</v>
      </c>
      <c r="N10" s="272">
        <v>0.0</v>
      </c>
      <c r="O10" s="272">
        <v>0.0</v>
      </c>
      <c r="P10" s="272">
        <v>20.0</v>
      </c>
      <c r="Q10" s="272">
        <v>0.0</v>
      </c>
      <c r="R10" s="272">
        <v>0.0</v>
      </c>
      <c r="S10" s="272">
        <v>0.0</v>
      </c>
      <c r="T10" s="189">
        <v>0.0</v>
      </c>
      <c r="U10" s="189">
        <v>0.0</v>
      </c>
      <c r="V10" s="189">
        <v>0.0</v>
      </c>
      <c r="W10" s="189">
        <v>0.0</v>
      </c>
      <c r="X10" s="189">
        <v>0.0</v>
      </c>
      <c r="Y10" s="189">
        <v>0.0</v>
      </c>
      <c r="Z10" s="189">
        <v>0.0</v>
      </c>
      <c r="AA10" s="189">
        <v>0.0</v>
      </c>
      <c r="AB10" s="189">
        <v>0.0</v>
      </c>
      <c r="AC10" s="189">
        <f t="shared" ref="AC10:AC12" si="2">SUMPRODUCT(I10:S10, {0,33,50,67,167,67,50,4.17,7.56,12.17,16.22})</f>
        <v>83.4</v>
      </c>
    </row>
    <row r="11">
      <c r="A11" s="189">
        <v>2.0</v>
      </c>
      <c r="B11" s="189">
        <v>1.0</v>
      </c>
      <c r="C11" s="189" t="s">
        <v>244</v>
      </c>
      <c r="D11" s="272">
        <v>3.0</v>
      </c>
      <c r="E11" s="272">
        <v>5.0</v>
      </c>
      <c r="F11" s="272">
        <v>10.0</v>
      </c>
      <c r="G11" s="289">
        <f t="shared" si="1"/>
        <v>3.333333333</v>
      </c>
      <c r="H11" s="172"/>
      <c r="I11" s="272">
        <v>0.0</v>
      </c>
      <c r="J11" s="272">
        <v>1.0</v>
      </c>
      <c r="K11" s="272">
        <v>0.0</v>
      </c>
      <c r="L11" s="272">
        <v>0.0</v>
      </c>
      <c r="M11" s="272">
        <v>0.0</v>
      </c>
      <c r="N11" s="272">
        <v>0.0</v>
      </c>
      <c r="O11" s="272">
        <v>0.0</v>
      </c>
      <c r="P11" s="272">
        <v>0.0</v>
      </c>
      <c r="Q11" s="272">
        <v>0.0</v>
      </c>
      <c r="R11" s="272">
        <v>0.0</v>
      </c>
      <c r="S11" s="272">
        <v>0.0</v>
      </c>
      <c r="T11" s="189">
        <v>0.0</v>
      </c>
      <c r="U11" s="189">
        <v>0.0</v>
      </c>
      <c r="V11" s="189">
        <v>0.0</v>
      </c>
      <c r="W11" s="189">
        <v>0.0</v>
      </c>
      <c r="X11" s="189">
        <v>0.0</v>
      </c>
      <c r="Y11" s="189">
        <v>0.0</v>
      </c>
      <c r="Z11" s="189">
        <v>0.0</v>
      </c>
      <c r="AA11" s="189">
        <v>0.0</v>
      </c>
      <c r="AB11" s="189">
        <v>0.0</v>
      </c>
      <c r="AC11" s="189">
        <f t="shared" si="2"/>
        <v>33</v>
      </c>
    </row>
    <row r="12">
      <c r="A12" s="189">
        <v>3.0</v>
      </c>
      <c r="B12" s="189">
        <v>1.0</v>
      </c>
      <c r="C12" s="189" t="s">
        <v>244</v>
      </c>
      <c r="D12" s="272">
        <v>5.0</v>
      </c>
      <c r="E12" s="272">
        <v>10.0</v>
      </c>
      <c r="F12" s="272">
        <v>15.0</v>
      </c>
      <c r="G12" s="289">
        <f t="shared" si="1"/>
        <v>3</v>
      </c>
      <c r="H12" s="172"/>
      <c r="I12" s="272">
        <v>0.0</v>
      </c>
      <c r="J12" s="272">
        <v>0.0</v>
      </c>
      <c r="K12" s="272">
        <v>0.0</v>
      </c>
      <c r="L12" s="272">
        <v>1.0</v>
      </c>
      <c r="M12" s="272">
        <v>1.0</v>
      </c>
      <c r="N12" s="272">
        <v>0.0</v>
      </c>
      <c r="O12" s="272">
        <v>0.0</v>
      </c>
      <c r="P12" s="272">
        <v>0.0</v>
      </c>
      <c r="Q12" s="272">
        <v>0.0</v>
      </c>
      <c r="R12" s="272">
        <v>0.0</v>
      </c>
      <c r="S12" s="272">
        <v>0.0</v>
      </c>
      <c r="T12" s="189">
        <v>0.0</v>
      </c>
      <c r="U12" s="189">
        <v>0.0</v>
      </c>
      <c r="V12" s="189">
        <v>0.0</v>
      </c>
      <c r="W12" s="189">
        <v>0.0</v>
      </c>
      <c r="X12" s="189">
        <v>0.0</v>
      </c>
      <c r="Y12" s="189">
        <v>0.0</v>
      </c>
      <c r="Z12" s="189">
        <v>0.0</v>
      </c>
      <c r="AA12" s="189">
        <v>0.0</v>
      </c>
      <c r="AB12" s="189">
        <v>0.0</v>
      </c>
      <c r="AC12" s="189">
        <f t="shared" si="2"/>
        <v>234</v>
      </c>
    </row>
    <row r="13">
      <c r="A13" s="172"/>
      <c r="B13" s="172"/>
      <c r="C13" s="172"/>
      <c r="D13" s="172"/>
      <c r="E13" s="172"/>
      <c r="F13" s="172"/>
      <c r="G13" s="278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2"/>
    </row>
    <row r="14" ht="17.25" customHeight="1">
      <c r="A14" s="282" t="s">
        <v>21</v>
      </c>
      <c r="B14" s="273"/>
      <c r="C14" s="273"/>
      <c r="D14" s="273"/>
      <c r="E14" s="273"/>
      <c r="F14" s="273"/>
      <c r="G14" s="283"/>
      <c r="H14" s="273"/>
      <c r="I14" s="273"/>
      <c r="J14" s="273"/>
      <c r="K14" s="273"/>
      <c r="L14" s="273"/>
      <c r="M14" s="273"/>
      <c r="N14" s="273"/>
      <c r="O14" s="273"/>
      <c r="P14" s="273"/>
      <c r="Q14" s="273"/>
      <c r="R14" s="273"/>
      <c r="S14" s="273"/>
      <c r="T14" s="273"/>
      <c r="U14" s="273"/>
      <c r="V14" s="273"/>
      <c r="W14" s="273"/>
      <c r="X14" s="273"/>
      <c r="Y14" s="273"/>
      <c r="Z14" s="273"/>
      <c r="AA14" s="273"/>
      <c r="AB14" s="273"/>
      <c r="AC14" s="273"/>
    </row>
    <row r="15" ht="90.0" customHeight="1">
      <c r="A15" s="184" t="s">
        <v>160</v>
      </c>
      <c r="B15" s="184" t="s">
        <v>174</v>
      </c>
      <c r="C15" s="184" t="s">
        <v>239</v>
      </c>
      <c r="D15" s="290" t="s">
        <v>240</v>
      </c>
      <c r="E15" s="290" t="s">
        <v>241</v>
      </c>
      <c r="F15" s="184" t="s">
        <v>34</v>
      </c>
      <c r="G15" s="291" t="s">
        <v>242</v>
      </c>
      <c r="H15" s="172"/>
      <c r="I15" s="276" t="s">
        <v>46</v>
      </c>
      <c r="J15" s="276" t="s">
        <v>47</v>
      </c>
      <c r="K15" s="276" t="s">
        <v>48</v>
      </c>
      <c r="L15" s="276" t="s">
        <v>50</v>
      </c>
      <c r="M15" s="276" t="s">
        <v>52</v>
      </c>
      <c r="N15" s="276" t="s">
        <v>53</v>
      </c>
      <c r="O15" s="276" t="s">
        <v>54</v>
      </c>
      <c r="P15" s="276" t="s">
        <v>55</v>
      </c>
      <c r="Q15" s="276" t="s">
        <v>56</v>
      </c>
      <c r="R15" s="276" t="s">
        <v>57</v>
      </c>
      <c r="S15" s="276" t="s">
        <v>58</v>
      </c>
      <c r="T15" s="187" t="s">
        <v>121</v>
      </c>
      <c r="U15" s="187" t="s">
        <v>135</v>
      </c>
      <c r="V15" s="187" t="s">
        <v>122</v>
      </c>
      <c r="W15" s="187" t="s">
        <v>123</v>
      </c>
      <c r="X15" s="187" t="s">
        <v>124</v>
      </c>
      <c r="Y15" s="187" t="s">
        <v>125</v>
      </c>
      <c r="Z15" s="187" t="s">
        <v>126</v>
      </c>
      <c r="AA15" s="187" t="s">
        <v>127</v>
      </c>
      <c r="AB15" s="187" t="s">
        <v>128</v>
      </c>
      <c r="AC15" s="184" t="s">
        <v>243</v>
      </c>
    </row>
    <row r="16">
      <c r="A16" s="189">
        <v>1.0</v>
      </c>
      <c r="B16" s="189">
        <v>1.0</v>
      </c>
      <c r="C16" s="189" t="s">
        <v>244</v>
      </c>
      <c r="D16" s="272">
        <v>6.0</v>
      </c>
      <c r="E16" s="272">
        <v>6.0</v>
      </c>
      <c r="F16" s="272">
        <v>15.0</v>
      </c>
      <c r="G16" s="289">
        <f t="shared" ref="G16:G18" si="3">IF(D16=0,0,F16/D16)</f>
        <v>2.5</v>
      </c>
      <c r="H16" s="172"/>
      <c r="I16" s="272">
        <v>0.0</v>
      </c>
      <c r="J16" s="272">
        <v>0.0</v>
      </c>
      <c r="K16" s="272">
        <v>0.0</v>
      </c>
      <c r="L16" s="272">
        <v>0.0</v>
      </c>
      <c r="M16" s="272">
        <v>0.0</v>
      </c>
      <c r="N16" s="272">
        <v>0.0</v>
      </c>
      <c r="O16" s="272">
        <v>0.0</v>
      </c>
      <c r="P16" s="272">
        <v>20.0</v>
      </c>
      <c r="Q16" s="272">
        <v>0.0</v>
      </c>
      <c r="R16" s="272">
        <v>0.0</v>
      </c>
      <c r="S16" s="272">
        <v>0.0</v>
      </c>
      <c r="T16" s="189">
        <v>0.0</v>
      </c>
      <c r="U16" s="189">
        <v>0.0</v>
      </c>
      <c r="V16" s="189">
        <v>0.0</v>
      </c>
      <c r="W16" s="189">
        <v>0.0</v>
      </c>
      <c r="X16" s="189">
        <v>0.0</v>
      </c>
      <c r="Y16" s="189">
        <v>0.0</v>
      </c>
      <c r="Z16" s="189">
        <v>0.0</v>
      </c>
      <c r="AA16" s="189">
        <v>0.0</v>
      </c>
      <c r="AB16" s="189">
        <v>0.0</v>
      </c>
      <c r="AC16" s="189">
        <f t="shared" ref="AC16:AC18" si="4">SUMPRODUCT(I16:S16, {0,33,50,67,167,67,50,4.17,7.56,12.17,16.22})</f>
        <v>83.4</v>
      </c>
    </row>
    <row r="17">
      <c r="A17" s="189">
        <v>2.0</v>
      </c>
      <c r="B17" s="189">
        <v>1.0</v>
      </c>
      <c r="C17" s="189" t="s">
        <v>244</v>
      </c>
      <c r="D17" s="272">
        <v>7.0</v>
      </c>
      <c r="E17" s="272">
        <v>13.0</v>
      </c>
      <c r="F17" s="272">
        <v>35.0</v>
      </c>
      <c r="G17" s="289">
        <f t="shared" si="3"/>
        <v>5</v>
      </c>
      <c r="H17" s="172"/>
      <c r="I17" s="272">
        <v>0.0</v>
      </c>
      <c r="J17" s="272">
        <v>1.0</v>
      </c>
      <c r="K17" s="272">
        <v>0.0</v>
      </c>
      <c r="L17" s="272">
        <v>0.0</v>
      </c>
      <c r="M17" s="272">
        <v>0.0</v>
      </c>
      <c r="N17" s="272">
        <v>0.0</v>
      </c>
      <c r="O17" s="272">
        <v>0.0</v>
      </c>
      <c r="P17" s="272">
        <v>0.0</v>
      </c>
      <c r="Q17" s="272">
        <v>0.0</v>
      </c>
      <c r="R17" s="272">
        <v>0.0</v>
      </c>
      <c r="S17" s="272">
        <v>0.0</v>
      </c>
      <c r="T17" s="189">
        <v>0.0</v>
      </c>
      <c r="U17" s="189">
        <v>0.0</v>
      </c>
      <c r="V17" s="189">
        <v>0.0</v>
      </c>
      <c r="W17" s="189">
        <v>0.0</v>
      </c>
      <c r="X17" s="189">
        <v>0.0</v>
      </c>
      <c r="Y17" s="189">
        <v>0.0</v>
      </c>
      <c r="Z17" s="189">
        <v>0.0</v>
      </c>
      <c r="AA17" s="189">
        <v>0.0</v>
      </c>
      <c r="AB17" s="189">
        <v>0.0</v>
      </c>
      <c r="AC17" s="189">
        <f t="shared" si="4"/>
        <v>33</v>
      </c>
    </row>
    <row r="18">
      <c r="A18" s="189">
        <v>3.0</v>
      </c>
      <c r="B18" s="189">
        <v>1.0</v>
      </c>
      <c r="C18" s="189" t="s">
        <v>244</v>
      </c>
      <c r="D18" s="272">
        <v>13.0</v>
      </c>
      <c r="E18" s="272">
        <v>26.0</v>
      </c>
      <c r="F18" s="272">
        <v>70.0</v>
      </c>
      <c r="G18" s="289">
        <f t="shared" si="3"/>
        <v>5.384615385</v>
      </c>
      <c r="H18" s="172"/>
      <c r="I18" s="272">
        <v>0.0</v>
      </c>
      <c r="J18" s="272">
        <v>0.0</v>
      </c>
      <c r="K18" s="272">
        <v>0.0</v>
      </c>
      <c r="L18" s="272">
        <v>1.0</v>
      </c>
      <c r="M18" s="272">
        <v>1.0</v>
      </c>
      <c r="N18" s="272">
        <v>0.0</v>
      </c>
      <c r="O18" s="272">
        <v>0.0</v>
      </c>
      <c r="P18" s="272">
        <v>0.0</v>
      </c>
      <c r="Q18" s="272">
        <v>0.0</v>
      </c>
      <c r="R18" s="272">
        <v>0.0</v>
      </c>
      <c r="S18" s="272">
        <v>0.0</v>
      </c>
      <c r="T18" s="189">
        <v>0.0</v>
      </c>
      <c r="U18" s="189">
        <v>0.0</v>
      </c>
      <c r="V18" s="189">
        <v>0.0</v>
      </c>
      <c r="W18" s="189">
        <v>0.0</v>
      </c>
      <c r="X18" s="189">
        <v>0.0</v>
      </c>
      <c r="Y18" s="189">
        <v>0.0</v>
      </c>
      <c r="Z18" s="189">
        <v>0.0</v>
      </c>
      <c r="AA18" s="189">
        <v>0.0</v>
      </c>
      <c r="AB18" s="189">
        <v>0.0</v>
      </c>
      <c r="AC18" s="189">
        <f t="shared" si="4"/>
        <v>234</v>
      </c>
    </row>
    <row r="19">
      <c r="A19" s="172"/>
      <c r="B19" s="172"/>
      <c r="C19" s="172"/>
      <c r="D19" s="172"/>
      <c r="E19" s="172"/>
      <c r="F19" s="172"/>
      <c r="G19" s="278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</row>
    <row r="20" ht="17.25" customHeight="1">
      <c r="A20" s="282" t="s">
        <v>22</v>
      </c>
      <c r="B20" s="273"/>
      <c r="C20" s="273"/>
      <c r="D20" s="273"/>
      <c r="E20" s="273"/>
      <c r="F20" s="273"/>
      <c r="G20" s="283"/>
      <c r="H20" s="273"/>
      <c r="I20" s="273"/>
      <c r="J20" s="273"/>
      <c r="K20" s="273"/>
      <c r="L20" s="273"/>
      <c r="M20" s="273"/>
      <c r="N20" s="273"/>
      <c r="O20" s="273"/>
      <c r="P20" s="273"/>
      <c r="Q20" s="273"/>
      <c r="R20" s="273"/>
      <c r="S20" s="273"/>
      <c r="T20" s="273"/>
      <c r="U20" s="273"/>
      <c r="V20" s="273"/>
      <c r="W20" s="273"/>
      <c r="X20" s="273"/>
      <c r="Y20" s="273"/>
      <c r="Z20" s="273"/>
      <c r="AA20" s="273"/>
      <c r="AB20" s="273"/>
      <c r="AC20" s="273"/>
    </row>
    <row r="21" ht="90.0" customHeight="1">
      <c r="A21" s="184" t="s">
        <v>160</v>
      </c>
      <c r="B21" s="184" t="s">
        <v>174</v>
      </c>
      <c r="C21" s="184" t="s">
        <v>239</v>
      </c>
      <c r="D21" s="290" t="s">
        <v>240</v>
      </c>
      <c r="E21" s="290" t="s">
        <v>241</v>
      </c>
      <c r="F21" s="184" t="s">
        <v>34</v>
      </c>
      <c r="G21" s="291" t="s">
        <v>242</v>
      </c>
      <c r="H21" s="172"/>
      <c r="I21" s="276" t="s">
        <v>46</v>
      </c>
      <c r="J21" s="276" t="s">
        <v>47</v>
      </c>
      <c r="K21" s="276" t="s">
        <v>48</v>
      </c>
      <c r="L21" s="276" t="s">
        <v>50</v>
      </c>
      <c r="M21" s="276" t="s">
        <v>52</v>
      </c>
      <c r="N21" s="276" t="s">
        <v>53</v>
      </c>
      <c r="O21" s="276" t="s">
        <v>54</v>
      </c>
      <c r="P21" s="276" t="s">
        <v>55</v>
      </c>
      <c r="Q21" s="276" t="s">
        <v>56</v>
      </c>
      <c r="R21" s="276" t="s">
        <v>57</v>
      </c>
      <c r="S21" s="276" t="s">
        <v>58</v>
      </c>
      <c r="T21" s="187" t="s">
        <v>121</v>
      </c>
      <c r="U21" s="187" t="s">
        <v>135</v>
      </c>
      <c r="V21" s="187" t="s">
        <v>122</v>
      </c>
      <c r="W21" s="187" t="s">
        <v>123</v>
      </c>
      <c r="X21" s="187" t="s">
        <v>124</v>
      </c>
      <c r="Y21" s="187" t="s">
        <v>125</v>
      </c>
      <c r="Z21" s="187" t="s">
        <v>126</v>
      </c>
      <c r="AA21" s="187" t="s">
        <v>127</v>
      </c>
      <c r="AB21" s="187" t="s">
        <v>128</v>
      </c>
      <c r="AC21" s="184" t="s">
        <v>243</v>
      </c>
    </row>
    <row r="22" ht="15.75" customHeight="1">
      <c r="A22" s="189">
        <v>1.0</v>
      </c>
      <c r="B22" s="189">
        <v>1.0</v>
      </c>
      <c r="C22" s="189" t="s">
        <v>244</v>
      </c>
      <c r="D22" s="272">
        <v>11.0</v>
      </c>
      <c r="E22" s="272">
        <v>11.0</v>
      </c>
      <c r="F22" s="272">
        <v>25.0</v>
      </c>
      <c r="G22" s="289">
        <f t="shared" ref="G22:G24" si="5">IF(D22=0,0,F22/D22)</f>
        <v>2.272727273</v>
      </c>
      <c r="H22" s="172"/>
      <c r="I22" s="272">
        <v>0.0</v>
      </c>
      <c r="J22" s="272">
        <v>0.0</v>
      </c>
      <c r="K22" s="272">
        <v>0.0</v>
      </c>
      <c r="L22" s="272">
        <v>0.0</v>
      </c>
      <c r="M22" s="272">
        <v>0.0</v>
      </c>
      <c r="N22" s="272">
        <v>0.0</v>
      </c>
      <c r="O22" s="272">
        <v>0.0</v>
      </c>
      <c r="P22" s="272">
        <v>20.0</v>
      </c>
      <c r="Q22" s="272">
        <v>0.0</v>
      </c>
      <c r="R22" s="272">
        <v>0.0</v>
      </c>
      <c r="S22" s="272">
        <v>0.0</v>
      </c>
      <c r="T22" s="189">
        <v>0.0</v>
      </c>
      <c r="U22" s="189">
        <v>0.0</v>
      </c>
      <c r="V22" s="189">
        <v>0.0</v>
      </c>
      <c r="W22" s="189">
        <v>0.0</v>
      </c>
      <c r="X22" s="189">
        <v>0.0</v>
      </c>
      <c r="Y22" s="189">
        <v>0.0</v>
      </c>
      <c r="Z22" s="189">
        <v>0.0</v>
      </c>
      <c r="AA22" s="189">
        <v>0.0</v>
      </c>
      <c r="AB22" s="189">
        <v>0.0</v>
      </c>
      <c r="AC22" s="189">
        <f t="shared" ref="AC22:AC24" si="6">SUMPRODUCT(I22:S22, {0,33,50,67,167,67,50,4.17,7.56,12.17,16.22})</f>
        <v>83.4</v>
      </c>
    </row>
    <row r="23" ht="15.75" customHeight="1">
      <c r="A23" s="189">
        <v>2.0</v>
      </c>
      <c r="B23" s="189">
        <v>1.0</v>
      </c>
      <c r="C23" s="189" t="s">
        <v>244</v>
      </c>
      <c r="D23" s="272">
        <v>15.0</v>
      </c>
      <c r="E23" s="272">
        <v>26.0</v>
      </c>
      <c r="F23" s="272">
        <v>75.0</v>
      </c>
      <c r="G23" s="289">
        <f t="shared" si="5"/>
        <v>5</v>
      </c>
      <c r="H23" s="172"/>
      <c r="I23" s="272">
        <v>0.0</v>
      </c>
      <c r="J23" s="272">
        <v>1.0</v>
      </c>
      <c r="K23" s="272">
        <v>0.0</v>
      </c>
      <c r="L23" s="272">
        <v>0.0</v>
      </c>
      <c r="M23" s="272">
        <v>0.0</v>
      </c>
      <c r="N23" s="272">
        <v>0.0</v>
      </c>
      <c r="O23" s="272">
        <v>0.0</v>
      </c>
      <c r="P23" s="272">
        <v>0.0</v>
      </c>
      <c r="Q23" s="272">
        <v>0.0</v>
      </c>
      <c r="R23" s="272">
        <v>0.0</v>
      </c>
      <c r="S23" s="272">
        <v>0.0</v>
      </c>
      <c r="T23" s="189">
        <v>0.0</v>
      </c>
      <c r="U23" s="189">
        <v>0.0</v>
      </c>
      <c r="V23" s="189">
        <v>0.0</v>
      </c>
      <c r="W23" s="189">
        <v>0.0</v>
      </c>
      <c r="X23" s="189">
        <v>0.0</v>
      </c>
      <c r="Y23" s="189">
        <v>0.0</v>
      </c>
      <c r="Z23" s="189">
        <v>0.0</v>
      </c>
      <c r="AA23" s="189">
        <v>0.0</v>
      </c>
      <c r="AB23" s="189">
        <v>0.0</v>
      </c>
      <c r="AC23" s="189">
        <f t="shared" si="6"/>
        <v>33</v>
      </c>
    </row>
    <row r="24" ht="15.75" customHeight="1">
      <c r="A24" s="189">
        <v>3.0</v>
      </c>
      <c r="B24" s="189">
        <v>1.0</v>
      </c>
      <c r="C24" s="189" t="s">
        <v>244</v>
      </c>
      <c r="D24" s="272">
        <v>16.0</v>
      </c>
      <c r="E24" s="272">
        <v>42.0</v>
      </c>
      <c r="F24" s="272">
        <v>140.0</v>
      </c>
      <c r="G24" s="289">
        <f t="shared" si="5"/>
        <v>8.75</v>
      </c>
      <c r="H24" s="172"/>
      <c r="I24" s="272">
        <v>0.0</v>
      </c>
      <c r="J24" s="272">
        <v>0.0</v>
      </c>
      <c r="K24" s="272">
        <v>0.0</v>
      </c>
      <c r="L24" s="272">
        <v>1.0</v>
      </c>
      <c r="M24" s="272">
        <v>1.0</v>
      </c>
      <c r="N24" s="272">
        <v>0.0</v>
      </c>
      <c r="O24" s="272">
        <v>0.0</v>
      </c>
      <c r="P24" s="272">
        <v>0.0</v>
      </c>
      <c r="Q24" s="272">
        <v>0.0</v>
      </c>
      <c r="R24" s="272">
        <v>0.0</v>
      </c>
      <c r="S24" s="272">
        <v>0.0</v>
      </c>
      <c r="T24" s="189">
        <v>0.0</v>
      </c>
      <c r="U24" s="189">
        <v>0.0</v>
      </c>
      <c r="V24" s="189">
        <v>0.0</v>
      </c>
      <c r="W24" s="189">
        <v>0.0</v>
      </c>
      <c r="X24" s="189">
        <v>0.0</v>
      </c>
      <c r="Y24" s="189">
        <v>0.0</v>
      </c>
      <c r="Z24" s="189">
        <v>0.0</v>
      </c>
      <c r="AA24" s="189">
        <v>0.0</v>
      </c>
      <c r="AB24" s="189">
        <v>0.0</v>
      </c>
      <c r="AC24" s="189">
        <f t="shared" si="6"/>
        <v>234</v>
      </c>
    </row>
    <row r="25" ht="15.75" customHeight="1">
      <c r="A25" s="172"/>
      <c r="B25" s="172"/>
      <c r="C25" s="172"/>
      <c r="D25" s="172"/>
      <c r="E25" s="172"/>
      <c r="F25" s="172"/>
      <c r="G25" s="278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  <c r="AC25" s="172"/>
    </row>
    <row r="26" ht="17.25" customHeight="1">
      <c r="A26" s="282" t="s">
        <v>24</v>
      </c>
      <c r="B26" s="273"/>
      <c r="C26" s="273"/>
      <c r="D26" s="273"/>
      <c r="E26" s="273"/>
      <c r="F26" s="273"/>
      <c r="G26" s="283"/>
      <c r="H26" s="273"/>
      <c r="I26" s="273"/>
      <c r="J26" s="273"/>
      <c r="K26" s="273"/>
      <c r="L26" s="273"/>
      <c r="M26" s="273"/>
      <c r="N26" s="273"/>
      <c r="O26" s="273"/>
      <c r="P26" s="273"/>
      <c r="Q26" s="273"/>
      <c r="R26" s="273"/>
      <c r="S26" s="273"/>
      <c r="T26" s="273"/>
      <c r="U26" s="273"/>
      <c r="V26" s="273"/>
      <c r="W26" s="273"/>
      <c r="X26" s="273"/>
      <c r="Y26" s="273"/>
      <c r="Z26" s="273"/>
      <c r="AA26" s="273"/>
      <c r="AB26" s="273"/>
      <c r="AC26" s="273"/>
    </row>
    <row r="27" ht="90.0" customHeight="1">
      <c r="A27" s="184" t="s">
        <v>160</v>
      </c>
      <c r="B27" s="184" t="s">
        <v>174</v>
      </c>
      <c r="C27" s="184" t="s">
        <v>239</v>
      </c>
      <c r="D27" s="290" t="s">
        <v>240</v>
      </c>
      <c r="E27" s="290" t="s">
        <v>241</v>
      </c>
      <c r="F27" s="184" t="s">
        <v>34</v>
      </c>
      <c r="G27" s="291" t="s">
        <v>242</v>
      </c>
      <c r="H27" s="172"/>
      <c r="I27" s="276" t="s">
        <v>46</v>
      </c>
      <c r="J27" s="276" t="s">
        <v>47</v>
      </c>
      <c r="K27" s="276" t="s">
        <v>48</v>
      </c>
      <c r="L27" s="276" t="s">
        <v>50</v>
      </c>
      <c r="M27" s="276" t="s">
        <v>52</v>
      </c>
      <c r="N27" s="276" t="s">
        <v>53</v>
      </c>
      <c r="O27" s="276" t="s">
        <v>54</v>
      </c>
      <c r="P27" s="276" t="s">
        <v>55</v>
      </c>
      <c r="Q27" s="276" t="s">
        <v>56</v>
      </c>
      <c r="R27" s="276" t="s">
        <v>57</v>
      </c>
      <c r="S27" s="276" t="s">
        <v>58</v>
      </c>
      <c r="T27" s="187" t="s">
        <v>121</v>
      </c>
      <c r="U27" s="187" t="s">
        <v>135</v>
      </c>
      <c r="V27" s="187" t="s">
        <v>122</v>
      </c>
      <c r="W27" s="187" t="s">
        <v>123</v>
      </c>
      <c r="X27" s="187" t="s">
        <v>124</v>
      </c>
      <c r="Y27" s="187" t="s">
        <v>125</v>
      </c>
      <c r="Z27" s="187" t="s">
        <v>126</v>
      </c>
      <c r="AA27" s="187" t="s">
        <v>127</v>
      </c>
      <c r="AB27" s="187" t="s">
        <v>128</v>
      </c>
      <c r="AC27" s="184" t="s">
        <v>243</v>
      </c>
    </row>
    <row r="28" ht="15.75" customHeight="1">
      <c r="A28" s="189">
        <v>1.0</v>
      </c>
      <c r="B28" s="189">
        <v>1.0</v>
      </c>
      <c r="C28" s="189" t="s">
        <v>244</v>
      </c>
      <c r="D28" s="272">
        <v>28.0</v>
      </c>
      <c r="E28" s="272">
        <v>28.0</v>
      </c>
      <c r="F28" s="272">
        <v>65.0</v>
      </c>
      <c r="G28" s="289">
        <f t="shared" ref="G28:G30" si="7">IF(D28=0,0,F28/D28)</f>
        <v>2.321428571</v>
      </c>
      <c r="H28" s="172"/>
      <c r="I28" s="272">
        <v>0.0</v>
      </c>
      <c r="J28" s="272">
        <v>1.0</v>
      </c>
      <c r="K28" s="272">
        <v>1.0</v>
      </c>
      <c r="L28" s="272">
        <v>0.0</v>
      </c>
      <c r="M28" s="272">
        <v>0.0</v>
      </c>
      <c r="N28" s="272">
        <v>0.0</v>
      </c>
      <c r="O28" s="272">
        <v>0.0</v>
      </c>
      <c r="P28" s="272">
        <v>30.0</v>
      </c>
      <c r="Q28" s="272">
        <v>0.0</v>
      </c>
      <c r="R28" s="272">
        <v>0.0</v>
      </c>
      <c r="S28" s="272">
        <v>0.0</v>
      </c>
      <c r="T28" s="189">
        <v>0.0</v>
      </c>
      <c r="U28" s="189">
        <v>0.0</v>
      </c>
      <c r="V28" s="189">
        <v>0.0</v>
      </c>
      <c r="W28" s="189">
        <v>0.0</v>
      </c>
      <c r="X28" s="189">
        <v>0.0</v>
      </c>
      <c r="Y28" s="189">
        <v>0.0</v>
      </c>
      <c r="Z28" s="189">
        <v>0.0</v>
      </c>
      <c r="AA28" s="189">
        <v>0.0</v>
      </c>
      <c r="AB28" s="189">
        <v>0.0</v>
      </c>
      <c r="AC28" s="189">
        <f t="shared" ref="AC28:AC30" si="8">SUMPRODUCT(I28:S28, {0,33,50,67,167,67,50,4.17,7.56,12.17,16.22})</f>
        <v>208.1</v>
      </c>
    </row>
    <row r="29" ht="15.75" customHeight="1">
      <c r="A29" s="189">
        <v>2.0</v>
      </c>
      <c r="B29" s="189">
        <v>1.0</v>
      </c>
      <c r="C29" s="189" t="s">
        <v>244</v>
      </c>
      <c r="D29" s="272">
        <v>32.0</v>
      </c>
      <c r="E29" s="272">
        <v>60.0</v>
      </c>
      <c r="F29" s="272">
        <v>160.0</v>
      </c>
      <c r="G29" s="289">
        <f t="shared" si="7"/>
        <v>5</v>
      </c>
      <c r="H29" s="172"/>
      <c r="I29" s="272">
        <v>0.0</v>
      </c>
      <c r="J29" s="272">
        <v>1.0</v>
      </c>
      <c r="K29" s="272">
        <v>0.0</v>
      </c>
      <c r="L29" s="272">
        <v>1.0</v>
      </c>
      <c r="M29" s="272">
        <v>0.0</v>
      </c>
      <c r="N29" s="272">
        <v>0.0</v>
      </c>
      <c r="O29" s="272">
        <v>0.0</v>
      </c>
      <c r="P29" s="272">
        <v>0.0</v>
      </c>
      <c r="Q29" s="272">
        <v>0.0</v>
      </c>
      <c r="R29" s="272">
        <v>0.0</v>
      </c>
      <c r="S29" s="272">
        <v>0.0</v>
      </c>
      <c r="T29" s="189">
        <v>0.0</v>
      </c>
      <c r="U29" s="189">
        <v>0.0</v>
      </c>
      <c r="V29" s="189">
        <v>0.0</v>
      </c>
      <c r="W29" s="189">
        <v>0.0</v>
      </c>
      <c r="X29" s="189">
        <v>0.0</v>
      </c>
      <c r="Y29" s="189">
        <v>0.0</v>
      </c>
      <c r="Z29" s="189">
        <v>0.0</v>
      </c>
      <c r="AA29" s="189">
        <v>0.0</v>
      </c>
      <c r="AB29" s="189">
        <v>0.0</v>
      </c>
      <c r="AC29" s="189">
        <f t="shared" si="8"/>
        <v>100</v>
      </c>
    </row>
    <row r="30" ht="15.75" customHeight="1">
      <c r="A30" s="189">
        <v>3.0</v>
      </c>
      <c r="B30" s="189">
        <v>1.0</v>
      </c>
      <c r="C30" s="189" t="s">
        <v>244</v>
      </c>
      <c r="D30" s="272">
        <v>40.0</v>
      </c>
      <c r="E30" s="272">
        <v>100.0</v>
      </c>
      <c r="F30" s="272">
        <v>300.0</v>
      </c>
      <c r="G30" s="289">
        <f t="shared" si="7"/>
        <v>7.5</v>
      </c>
      <c r="H30" s="172"/>
      <c r="I30" s="272">
        <v>0.0</v>
      </c>
      <c r="J30" s="272">
        <v>0.0</v>
      </c>
      <c r="K30" s="272">
        <v>0.0</v>
      </c>
      <c r="L30" s="272">
        <v>0.0</v>
      </c>
      <c r="M30" s="272">
        <v>1.0</v>
      </c>
      <c r="N30" s="272">
        <v>0.0</v>
      </c>
      <c r="O30" s="272">
        <v>1.0</v>
      </c>
      <c r="P30" s="272">
        <v>0.0</v>
      </c>
      <c r="Q30" s="272">
        <v>0.0</v>
      </c>
      <c r="R30" s="272">
        <v>0.0</v>
      </c>
      <c r="S30" s="272">
        <v>0.0</v>
      </c>
      <c r="T30" s="189">
        <v>0.0</v>
      </c>
      <c r="U30" s="189">
        <v>0.0</v>
      </c>
      <c r="V30" s="189">
        <v>0.0</v>
      </c>
      <c r="W30" s="189">
        <v>0.0</v>
      </c>
      <c r="X30" s="189">
        <v>0.0</v>
      </c>
      <c r="Y30" s="189">
        <v>0.0</v>
      </c>
      <c r="Z30" s="189">
        <v>0.0</v>
      </c>
      <c r="AA30" s="189">
        <v>0.0</v>
      </c>
      <c r="AB30" s="189">
        <v>0.0</v>
      </c>
      <c r="AC30" s="189">
        <f t="shared" si="8"/>
        <v>217</v>
      </c>
    </row>
    <row r="31" ht="15.75" customHeight="1">
      <c r="A31" s="172"/>
      <c r="B31" s="172"/>
      <c r="C31" s="172"/>
      <c r="D31" s="172"/>
      <c r="E31" s="172"/>
      <c r="F31" s="172"/>
      <c r="G31" s="278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172"/>
      <c r="AA31" s="172"/>
      <c r="AB31" s="172"/>
      <c r="AC31" s="172"/>
    </row>
    <row r="32" ht="17.25" customHeight="1">
      <c r="A32" s="282" t="s">
        <v>26</v>
      </c>
      <c r="B32" s="273"/>
      <c r="C32" s="273"/>
      <c r="D32" s="273"/>
      <c r="E32" s="273"/>
      <c r="F32" s="273"/>
      <c r="G32" s="283"/>
      <c r="H32" s="273"/>
      <c r="I32" s="273"/>
      <c r="J32" s="273"/>
      <c r="K32" s="273"/>
      <c r="L32" s="273"/>
      <c r="M32" s="273"/>
      <c r="N32" s="273"/>
      <c r="O32" s="273"/>
      <c r="P32" s="273"/>
      <c r="Q32" s="273"/>
      <c r="R32" s="273"/>
      <c r="S32" s="273"/>
      <c r="T32" s="273"/>
      <c r="U32" s="273"/>
      <c r="V32" s="273"/>
      <c r="W32" s="273"/>
      <c r="X32" s="273"/>
      <c r="Y32" s="273"/>
      <c r="Z32" s="273"/>
      <c r="AA32" s="273"/>
      <c r="AB32" s="273"/>
      <c r="AC32" s="273"/>
    </row>
    <row r="33" ht="90.0" customHeight="1">
      <c r="A33" s="184" t="s">
        <v>160</v>
      </c>
      <c r="B33" s="184" t="s">
        <v>174</v>
      </c>
      <c r="C33" s="184" t="s">
        <v>239</v>
      </c>
      <c r="D33" s="290" t="s">
        <v>240</v>
      </c>
      <c r="E33" s="290" t="s">
        <v>241</v>
      </c>
      <c r="F33" s="184" t="s">
        <v>34</v>
      </c>
      <c r="G33" s="291" t="s">
        <v>242</v>
      </c>
      <c r="H33" s="172"/>
      <c r="I33" s="276" t="s">
        <v>46</v>
      </c>
      <c r="J33" s="276" t="s">
        <v>47</v>
      </c>
      <c r="K33" s="276" t="s">
        <v>48</v>
      </c>
      <c r="L33" s="276" t="s">
        <v>50</v>
      </c>
      <c r="M33" s="276" t="s">
        <v>52</v>
      </c>
      <c r="N33" s="276" t="s">
        <v>53</v>
      </c>
      <c r="O33" s="276" t="s">
        <v>54</v>
      </c>
      <c r="P33" s="276" t="s">
        <v>55</v>
      </c>
      <c r="Q33" s="276" t="s">
        <v>56</v>
      </c>
      <c r="R33" s="276" t="s">
        <v>57</v>
      </c>
      <c r="S33" s="276" t="s">
        <v>58</v>
      </c>
      <c r="T33" s="187" t="s">
        <v>121</v>
      </c>
      <c r="U33" s="187" t="s">
        <v>135</v>
      </c>
      <c r="V33" s="187" t="s">
        <v>122</v>
      </c>
      <c r="W33" s="187" t="s">
        <v>123</v>
      </c>
      <c r="X33" s="187" t="s">
        <v>124</v>
      </c>
      <c r="Y33" s="187" t="s">
        <v>125</v>
      </c>
      <c r="Z33" s="187" t="s">
        <v>126</v>
      </c>
      <c r="AA33" s="187" t="s">
        <v>127</v>
      </c>
      <c r="AB33" s="187" t="s">
        <v>128</v>
      </c>
      <c r="AC33" s="184" t="s">
        <v>243</v>
      </c>
    </row>
    <row r="34" ht="15.75" customHeight="1">
      <c r="A34" s="189">
        <v>1.0</v>
      </c>
      <c r="B34" s="189">
        <v>1.0</v>
      </c>
      <c r="C34" s="189" t="s">
        <v>244</v>
      </c>
      <c r="D34" s="272">
        <v>80.0</v>
      </c>
      <c r="E34" s="272">
        <v>80.0</v>
      </c>
      <c r="F34" s="272">
        <v>160.0</v>
      </c>
      <c r="G34" s="289">
        <f t="shared" ref="G34:G36" si="9">IF(D34=0,0,F34/D34)</f>
        <v>2</v>
      </c>
      <c r="H34" s="172"/>
      <c r="I34" s="272">
        <v>0.0</v>
      </c>
      <c r="J34" s="272">
        <v>1.0</v>
      </c>
      <c r="K34" s="272">
        <v>1.0</v>
      </c>
      <c r="L34" s="272">
        <v>0.0</v>
      </c>
      <c r="M34" s="272">
        <v>0.0</v>
      </c>
      <c r="N34" s="272">
        <v>0.0</v>
      </c>
      <c r="O34" s="272">
        <v>0.0</v>
      </c>
      <c r="P34" s="272">
        <v>60.0</v>
      </c>
      <c r="Q34" s="272">
        <v>0.0</v>
      </c>
      <c r="R34" s="272">
        <v>0.0</v>
      </c>
      <c r="S34" s="272">
        <v>0.0</v>
      </c>
      <c r="T34" s="189">
        <v>0.0</v>
      </c>
      <c r="U34" s="189">
        <v>0.0</v>
      </c>
      <c r="V34" s="189">
        <v>0.0</v>
      </c>
      <c r="W34" s="189">
        <v>0.0</v>
      </c>
      <c r="X34" s="189">
        <v>0.0</v>
      </c>
      <c r="Y34" s="189">
        <v>0.0</v>
      </c>
      <c r="Z34" s="189">
        <v>0.0</v>
      </c>
      <c r="AA34" s="189">
        <v>0.0</v>
      </c>
      <c r="AB34" s="189">
        <v>0.0</v>
      </c>
      <c r="AC34" s="189">
        <f t="shared" ref="AC34:AC36" si="10">SUMPRODUCT(I34:S34, {0,33,50,67,167,67,50,4.17,7.56,12.17,16.22})</f>
        <v>333.2</v>
      </c>
    </row>
    <row r="35" ht="15.75" customHeight="1">
      <c r="A35" s="189">
        <v>2.0</v>
      </c>
      <c r="B35" s="189">
        <v>1.0</v>
      </c>
      <c r="C35" s="189" t="s">
        <v>244</v>
      </c>
      <c r="D35" s="272">
        <v>95.0</v>
      </c>
      <c r="E35" s="272">
        <v>175.0</v>
      </c>
      <c r="F35" s="272">
        <v>350.0</v>
      </c>
      <c r="G35" s="289">
        <f t="shared" si="9"/>
        <v>3.684210526</v>
      </c>
      <c r="H35" s="172"/>
      <c r="I35" s="272">
        <v>0.0</v>
      </c>
      <c r="J35" s="272">
        <v>1.0</v>
      </c>
      <c r="K35" s="272">
        <v>0.0</v>
      </c>
      <c r="L35" s="272">
        <v>1.0</v>
      </c>
      <c r="M35" s="272">
        <v>0.0</v>
      </c>
      <c r="N35" s="272">
        <v>0.0</v>
      </c>
      <c r="O35" s="272">
        <v>0.0</v>
      </c>
      <c r="P35" s="272">
        <v>0.0</v>
      </c>
      <c r="Q35" s="272">
        <v>0.0</v>
      </c>
      <c r="R35" s="272">
        <v>0.0</v>
      </c>
      <c r="S35" s="272">
        <v>0.0</v>
      </c>
      <c r="T35" s="189">
        <v>0.0</v>
      </c>
      <c r="U35" s="189">
        <v>0.0</v>
      </c>
      <c r="V35" s="189">
        <v>0.0</v>
      </c>
      <c r="W35" s="189">
        <v>0.0</v>
      </c>
      <c r="X35" s="189">
        <v>0.0</v>
      </c>
      <c r="Y35" s="189">
        <v>0.0</v>
      </c>
      <c r="Z35" s="189">
        <v>0.0</v>
      </c>
      <c r="AA35" s="189">
        <v>0.0</v>
      </c>
      <c r="AB35" s="189">
        <v>0.0</v>
      </c>
      <c r="AC35" s="189">
        <f t="shared" si="10"/>
        <v>100</v>
      </c>
    </row>
    <row r="36" ht="15.75" customHeight="1">
      <c r="A36" s="189">
        <v>3.0</v>
      </c>
      <c r="B36" s="189">
        <v>1.0</v>
      </c>
      <c r="C36" s="189" t="s">
        <v>244</v>
      </c>
      <c r="D36" s="272">
        <v>105.0</v>
      </c>
      <c r="E36" s="272">
        <v>280.0</v>
      </c>
      <c r="F36" s="272">
        <v>500.0</v>
      </c>
      <c r="G36" s="289">
        <f t="shared" si="9"/>
        <v>4.761904762</v>
      </c>
      <c r="H36" s="172"/>
      <c r="I36" s="272">
        <v>0.0</v>
      </c>
      <c r="J36" s="272">
        <v>0.0</v>
      </c>
      <c r="K36" s="272">
        <v>0.0</v>
      </c>
      <c r="L36" s="272">
        <v>0.0</v>
      </c>
      <c r="M36" s="272">
        <v>1.0</v>
      </c>
      <c r="N36" s="272">
        <v>0.0</v>
      </c>
      <c r="O36" s="272">
        <v>1.0</v>
      </c>
      <c r="P36" s="272">
        <v>0.0</v>
      </c>
      <c r="Q36" s="272">
        <v>0.0</v>
      </c>
      <c r="R36" s="272">
        <v>0.0</v>
      </c>
      <c r="S36" s="272">
        <v>0.0</v>
      </c>
      <c r="T36" s="189">
        <v>0.0</v>
      </c>
      <c r="U36" s="189">
        <v>0.0</v>
      </c>
      <c r="V36" s="189">
        <v>0.0</v>
      </c>
      <c r="W36" s="189">
        <v>0.0</v>
      </c>
      <c r="X36" s="189">
        <v>0.0</v>
      </c>
      <c r="Y36" s="189">
        <v>0.0</v>
      </c>
      <c r="Z36" s="189">
        <v>0.0</v>
      </c>
      <c r="AA36" s="189">
        <v>0.0</v>
      </c>
      <c r="AB36" s="189">
        <v>0.0</v>
      </c>
      <c r="AC36" s="189">
        <f t="shared" si="10"/>
        <v>217</v>
      </c>
    </row>
    <row r="37" ht="15.75" customHeight="1">
      <c r="G37" s="259"/>
    </row>
    <row r="38" ht="15.75" customHeight="1">
      <c r="G38" s="259"/>
    </row>
    <row r="39" ht="15.75" customHeight="1">
      <c r="G39" s="259"/>
    </row>
    <row r="40" ht="15.75" customHeight="1">
      <c r="G40" s="259"/>
    </row>
    <row r="41" ht="15.75" customHeight="1">
      <c r="G41" s="259"/>
    </row>
    <row r="42" ht="15.75" customHeight="1">
      <c r="G42" s="259"/>
    </row>
    <row r="43" ht="15.75" customHeight="1">
      <c r="G43" s="259"/>
    </row>
    <row r="44" ht="15.75" customHeight="1">
      <c r="G44" s="259"/>
    </row>
    <row r="45" ht="15.75" customHeight="1">
      <c r="G45" s="259"/>
    </row>
    <row r="46" ht="15.75" customHeight="1">
      <c r="G46" s="259"/>
    </row>
    <row r="47" ht="15.75" customHeight="1">
      <c r="G47" s="259"/>
    </row>
    <row r="48" ht="15.75" customHeight="1">
      <c r="G48" s="259"/>
    </row>
    <row r="49" ht="15.75" customHeight="1">
      <c r="G49" s="259"/>
    </row>
    <row r="50" ht="15.75" customHeight="1">
      <c r="G50" s="259"/>
    </row>
    <row r="51" ht="15.75" customHeight="1">
      <c r="G51" s="259"/>
    </row>
    <row r="52" ht="15.75" customHeight="1">
      <c r="G52" s="259"/>
    </row>
    <row r="53" ht="15.75" customHeight="1">
      <c r="G53" s="259"/>
    </row>
    <row r="54" ht="15.75" customHeight="1">
      <c r="G54" s="259"/>
    </row>
    <row r="55" ht="15.75" customHeight="1">
      <c r="G55" s="259"/>
    </row>
    <row r="56" ht="15.75" customHeight="1">
      <c r="G56" s="259"/>
    </row>
    <row r="57" ht="15.75" customHeight="1">
      <c r="G57" s="259"/>
    </row>
    <row r="58" ht="15.75" customHeight="1">
      <c r="G58" s="259"/>
    </row>
    <row r="59" ht="15.75" customHeight="1">
      <c r="G59" s="259"/>
    </row>
    <row r="60" ht="15.75" customHeight="1">
      <c r="G60" s="259"/>
    </row>
    <row r="61" ht="15.75" customHeight="1">
      <c r="G61" s="259"/>
    </row>
    <row r="62" ht="15.75" customHeight="1">
      <c r="G62" s="259"/>
    </row>
    <row r="63" ht="15.75" customHeight="1">
      <c r="G63" s="259"/>
    </row>
    <row r="64" ht="15.75" customHeight="1">
      <c r="G64" s="259"/>
    </row>
    <row r="65" ht="15.75" customHeight="1">
      <c r="G65" s="259"/>
    </row>
    <row r="66" ht="15.75" customHeight="1">
      <c r="G66" s="259"/>
    </row>
    <row r="67" ht="15.75" customHeight="1">
      <c r="G67" s="259"/>
    </row>
    <row r="68" ht="15.75" customHeight="1">
      <c r="G68" s="259"/>
    </row>
    <row r="69" ht="15.75" customHeight="1">
      <c r="G69" s="259"/>
    </row>
    <row r="70" ht="15.75" customHeight="1">
      <c r="G70" s="259"/>
    </row>
    <row r="71" ht="15.75" customHeight="1">
      <c r="G71" s="259"/>
    </row>
    <row r="72" ht="15.75" customHeight="1">
      <c r="G72" s="259"/>
    </row>
    <row r="73" ht="15.75" customHeight="1">
      <c r="G73" s="259"/>
    </row>
    <row r="74" ht="15.75" customHeight="1">
      <c r="G74" s="259"/>
    </row>
    <row r="75" ht="15.75" customHeight="1">
      <c r="G75" s="259"/>
    </row>
    <row r="76" ht="15.75" customHeight="1">
      <c r="G76" s="259"/>
    </row>
    <row r="77" ht="15.75" customHeight="1">
      <c r="G77" s="259"/>
    </row>
    <row r="78" ht="15.75" customHeight="1">
      <c r="G78" s="259"/>
    </row>
    <row r="79" ht="15.75" customHeight="1">
      <c r="G79" s="259"/>
    </row>
    <row r="80" ht="15.75" customHeight="1">
      <c r="G80" s="259"/>
    </row>
    <row r="81" ht="15.75" customHeight="1">
      <c r="G81" s="259"/>
    </row>
    <row r="82" ht="15.75" customHeight="1">
      <c r="G82" s="259"/>
    </row>
    <row r="83" ht="15.75" customHeight="1">
      <c r="G83" s="259"/>
    </row>
    <row r="84" ht="15.75" customHeight="1">
      <c r="G84" s="259"/>
    </row>
    <row r="85" ht="15.75" customHeight="1">
      <c r="G85" s="259"/>
    </row>
    <row r="86" ht="15.75" customHeight="1">
      <c r="G86" s="259"/>
    </row>
    <row r="87" ht="15.75" customHeight="1">
      <c r="G87" s="259"/>
    </row>
    <row r="88" ht="15.75" customHeight="1">
      <c r="G88" s="259"/>
    </row>
    <row r="89" ht="15.75" customHeight="1">
      <c r="G89" s="259"/>
    </row>
    <row r="90" ht="15.75" customHeight="1">
      <c r="G90" s="259"/>
    </row>
    <row r="91" ht="15.75" customHeight="1">
      <c r="G91" s="259"/>
    </row>
    <row r="92" ht="15.75" customHeight="1">
      <c r="G92" s="259"/>
    </row>
    <row r="93" ht="15.75" customHeight="1">
      <c r="G93" s="259"/>
    </row>
    <row r="94" ht="15.75" customHeight="1">
      <c r="G94" s="259"/>
    </row>
    <row r="95" ht="15.75" customHeight="1">
      <c r="G95" s="259"/>
    </row>
    <row r="96" ht="15.75" customHeight="1">
      <c r="G96" s="259"/>
    </row>
    <row r="97" ht="15.75" customHeight="1">
      <c r="G97" s="259"/>
    </row>
    <row r="98" ht="15.75" customHeight="1">
      <c r="G98" s="259"/>
    </row>
    <row r="99" ht="15.75" customHeight="1">
      <c r="G99" s="259"/>
    </row>
    <row r="100" ht="15.75" customHeight="1">
      <c r="G100" s="259"/>
    </row>
    <row r="101" ht="15.75" customHeight="1">
      <c r="G101" s="259"/>
    </row>
    <row r="102" ht="15.75" customHeight="1">
      <c r="G102" s="259"/>
    </row>
    <row r="103" ht="15.75" customHeight="1">
      <c r="G103" s="259"/>
    </row>
    <row r="104" ht="15.75" customHeight="1">
      <c r="G104" s="259"/>
    </row>
    <row r="105" ht="15.75" customHeight="1">
      <c r="G105" s="259"/>
    </row>
    <row r="106" ht="15.75" customHeight="1">
      <c r="G106" s="259"/>
    </row>
    <row r="107" ht="15.75" customHeight="1">
      <c r="G107" s="259"/>
    </row>
    <row r="108" ht="15.75" customHeight="1">
      <c r="G108" s="259"/>
    </row>
    <row r="109" ht="15.75" customHeight="1">
      <c r="G109" s="259"/>
    </row>
    <row r="110" ht="15.75" customHeight="1">
      <c r="G110" s="259"/>
    </row>
    <row r="111" ht="15.75" customHeight="1">
      <c r="G111" s="259"/>
    </row>
    <row r="112" ht="15.75" customHeight="1">
      <c r="G112" s="259"/>
    </row>
    <row r="113" ht="15.75" customHeight="1">
      <c r="G113" s="259"/>
    </row>
    <row r="114" ht="15.75" customHeight="1">
      <c r="G114" s="259"/>
    </row>
    <row r="115" ht="15.75" customHeight="1">
      <c r="G115" s="259"/>
    </row>
    <row r="116" ht="15.75" customHeight="1">
      <c r="G116" s="259"/>
    </row>
    <row r="117" ht="15.75" customHeight="1">
      <c r="G117" s="259"/>
    </row>
    <row r="118" ht="15.75" customHeight="1">
      <c r="G118" s="259"/>
    </row>
    <row r="119" ht="15.75" customHeight="1">
      <c r="G119" s="259"/>
    </row>
    <row r="120" ht="15.75" customHeight="1">
      <c r="G120" s="259"/>
    </row>
    <row r="121" ht="15.75" customHeight="1">
      <c r="G121" s="259"/>
    </row>
    <row r="122" ht="15.75" customHeight="1">
      <c r="G122" s="259"/>
    </row>
    <row r="123" ht="15.75" customHeight="1">
      <c r="G123" s="259"/>
    </row>
    <row r="124" ht="15.75" customHeight="1">
      <c r="G124" s="259"/>
    </row>
    <row r="125" ht="15.75" customHeight="1">
      <c r="G125" s="259"/>
    </row>
    <row r="126" ht="15.75" customHeight="1">
      <c r="G126" s="259"/>
    </row>
    <row r="127" ht="15.75" customHeight="1">
      <c r="G127" s="259"/>
    </row>
    <row r="128" ht="15.75" customHeight="1">
      <c r="G128" s="259"/>
    </row>
    <row r="129" ht="15.75" customHeight="1">
      <c r="G129" s="259"/>
    </row>
    <row r="130" ht="15.75" customHeight="1">
      <c r="G130" s="259"/>
    </row>
    <row r="131" ht="15.75" customHeight="1">
      <c r="G131" s="259"/>
    </row>
    <row r="132" ht="15.75" customHeight="1">
      <c r="G132" s="259"/>
    </row>
    <row r="133" ht="15.75" customHeight="1">
      <c r="G133" s="259"/>
    </row>
    <row r="134" ht="15.75" customHeight="1">
      <c r="G134" s="259"/>
    </row>
    <row r="135" ht="15.75" customHeight="1">
      <c r="G135" s="259"/>
    </row>
    <row r="136" ht="15.75" customHeight="1">
      <c r="G136" s="259"/>
    </row>
    <row r="137" ht="15.75" customHeight="1">
      <c r="G137" s="259"/>
    </row>
    <row r="138" ht="15.75" customHeight="1">
      <c r="G138" s="259"/>
    </row>
    <row r="139" ht="15.75" customHeight="1">
      <c r="G139" s="259"/>
    </row>
    <row r="140" ht="15.75" customHeight="1">
      <c r="G140" s="259"/>
    </row>
    <row r="141" ht="15.75" customHeight="1">
      <c r="G141" s="259"/>
    </row>
    <row r="142" ht="15.75" customHeight="1">
      <c r="G142" s="259"/>
    </row>
    <row r="143" ht="15.75" customHeight="1">
      <c r="G143" s="259"/>
    </row>
    <row r="144" ht="15.75" customHeight="1">
      <c r="G144" s="259"/>
    </row>
    <row r="145" ht="15.75" customHeight="1">
      <c r="G145" s="259"/>
    </row>
    <row r="146" ht="15.75" customHeight="1">
      <c r="G146" s="259"/>
    </row>
    <row r="147" ht="15.75" customHeight="1">
      <c r="G147" s="259"/>
    </row>
    <row r="148" ht="15.75" customHeight="1">
      <c r="G148" s="259"/>
    </row>
    <row r="149" ht="15.75" customHeight="1">
      <c r="G149" s="259"/>
    </row>
    <row r="150" ht="15.75" customHeight="1">
      <c r="G150" s="259"/>
    </row>
    <row r="151" ht="15.75" customHeight="1">
      <c r="G151" s="259"/>
    </row>
    <row r="152" ht="15.75" customHeight="1">
      <c r="G152" s="259"/>
    </row>
    <row r="153" ht="15.75" customHeight="1">
      <c r="G153" s="259"/>
    </row>
    <row r="154" ht="15.75" customHeight="1">
      <c r="G154" s="259"/>
    </row>
    <row r="155" ht="15.75" customHeight="1">
      <c r="G155" s="259"/>
    </row>
    <row r="156" ht="15.75" customHeight="1">
      <c r="G156" s="259"/>
    </row>
    <row r="157" ht="15.75" customHeight="1">
      <c r="G157" s="259"/>
    </row>
    <row r="158" ht="15.75" customHeight="1">
      <c r="G158" s="259"/>
    </row>
    <row r="159" ht="15.75" customHeight="1">
      <c r="G159" s="259"/>
    </row>
    <row r="160" ht="15.75" customHeight="1">
      <c r="G160" s="259"/>
    </row>
    <row r="161" ht="15.75" customHeight="1">
      <c r="G161" s="259"/>
    </row>
    <row r="162" ht="15.75" customHeight="1">
      <c r="G162" s="259"/>
    </row>
    <row r="163" ht="15.75" customHeight="1">
      <c r="G163" s="259"/>
    </row>
    <row r="164" ht="15.75" customHeight="1">
      <c r="G164" s="259"/>
    </row>
    <row r="165" ht="15.75" customHeight="1">
      <c r="G165" s="259"/>
    </row>
    <row r="166" ht="15.75" customHeight="1">
      <c r="G166" s="259"/>
    </row>
    <row r="167" ht="15.75" customHeight="1">
      <c r="G167" s="259"/>
    </row>
    <row r="168" ht="15.75" customHeight="1">
      <c r="G168" s="259"/>
    </row>
    <row r="169" ht="15.75" customHeight="1">
      <c r="G169" s="259"/>
    </row>
    <row r="170" ht="15.75" customHeight="1">
      <c r="G170" s="259"/>
    </row>
    <row r="171" ht="15.75" customHeight="1">
      <c r="G171" s="259"/>
    </row>
    <row r="172" ht="15.75" customHeight="1">
      <c r="G172" s="259"/>
    </row>
    <row r="173" ht="15.75" customHeight="1">
      <c r="G173" s="259"/>
    </row>
    <row r="174" ht="15.75" customHeight="1">
      <c r="G174" s="259"/>
    </row>
    <row r="175" ht="15.75" customHeight="1">
      <c r="G175" s="259"/>
    </row>
    <row r="176" ht="15.75" customHeight="1">
      <c r="G176" s="259"/>
    </row>
    <row r="177" ht="15.75" customHeight="1">
      <c r="G177" s="259"/>
    </row>
    <row r="178" ht="15.75" customHeight="1">
      <c r="G178" s="259"/>
    </row>
    <row r="179" ht="15.75" customHeight="1">
      <c r="G179" s="259"/>
    </row>
    <row r="180" ht="15.75" customHeight="1">
      <c r="G180" s="259"/>
    </row>
    <row r="181" ht="15.75" customHeight="1">
      <c r="G181" s="259"/>
    </row>
    <row r="182" ht="15.75" customHeight="1">
      <c r="G182" s="259"/>
    </row>
    <row r="183" ht="15.75" customHeight="1">
      <c r="G183" s="259"/>
    </row>
    <row r="184" ht="15.75" customHeight="1">
      <c r="G184" s="259"/>
    </row>
    <row r="185" ht="15.75" customHeight="1">
      <c r="G185" s="259"/>
    </row>
    <row r="186" ht="15.75" customHeight="1">
      <c r="G186" s="259"/>
    </row>
    <row r="187" ht="15.75" customHeight="1">
      <c r="G187" s="259"/>
    </row>
    <row r="188" ht="15.75" customHeight="1">
      <c r="G188" s="259"/>
    </row>
    <row r="189" ht="15.75" customHeight="1">
      <c r="G189" s="259"/>
    </row>
    <row r="190" ht="15.75" customHeight="1">
      <c r="G190" s="259"/>
    </row>
    <row r="191" ht="15.75" customHeight="1">
      <c r="G191" s="259"/>
    </row>
    <row r="192" ht="15.75" customHeight="1">
      <c r="G192" s="259"/>
    </row>
    <row r="193" ht="15.75" customHeight="1">
      <c r="G193" s="259"/>
    </row>
    <row r="194" ht="15.75" customHeight="1">
      <c r="G194" s="259"/>
    </row>
    <row r="195" ht="15.75" customHeight="1">
      <c r="G195" s="259"/>
    </row>
    <row r="196" ht="15.75" customHeight="1">
      <c r="G196" s="259"/>
    </row>
    <row r="197" ht="15.75" customHeight="1">
      <c r="G197" s="259"/>
    </row>
    <row r="198" ht="15.75" customHeight="1">
      <c r="G198" s="259"/>
    </row>
    <row r="199" ht="15.75" customHeight="1">
      <c r="G199" s="259"/>
    </row>
    <row r="200" ht="15.75" customHeight="1">
      <c r="G200" s="259"/>
    </row>
    <row r="201" ht="15.75" customHeight="1">
      <c r="G201" s="259"/>
    </row>
    <row r="202" ht="15.75" customHeight="1">
      <c r="G202" s="259"/>
    </row>
    <row r="203" ht="15.75" customHeight="1">
      <c r="G203" s="259"/>
    </row>
    <row r="204" ht="15.75" customHeight="1">
      <c r="G204" s="259"/>
    </row>
    <row r="205" ht="15.75" customHeight="1">
      <c r="G205" s="259"/>
    </row>
    <row r="206" ht="15.75" customHeight="1">
      <c r="G206" s="259"/>
    </row>
    <row r="207" ht="15.75" customHeight="1">
      <c r="G207" s="259"/>
    </row>
    <row r="208" ht="15.75" customHeight="1">
      <c r="G208" s="259"/>
    </row>
    <row r="209" ht="15.75" customHeight="1">
      <c r="G209" s="259"/>
    </row>
    <row r="210" ht="15.75" customHeight="1">
      <c r="G210" s="259"/>
    </row>
    <row r="211" ht="15.75" customHeight="1">
      <c r="G211" s="259"/>
    </row>
    <row r="212" ht="15.75" customHeight="1">
      <c r="G212" s="259"/>
    </row>
    <row r="213" ht="15.75" customHeight="1">
      <c r="G213" s="259"/>
    </row>
    <row r="214" ht="15.75" customHeight="1">
      <c r="G214" s="259"/>
    </row>
    <row r="215" ht="15.75" customHeight="1">
      <c r="G215" s="259"/>
    </row>
    <row r="216" ht="15.75" customHeight="1">
      <c r="G216" s="259"/>
    </row>
    <row r="217" ht="15.75" customHeight="1">
      <c r="G217" s="259"/>
    </row>
    <row r="218" ht="15.75" customHeight="1">
      <c r="G218" s="259"/>
    </row>
    <row r="219" ht="15.75" customHeight="1">
      <c r="G219" s="259"/>
    </row>
    <row r="220" ht="15.75" customHeight="1">
      <c r="G220" s="259"/>
    </row>
    <row r="221" ht="15.75" customHeight="1">
      <c r="G221" s="259"/>
    </row>
    <row r="222" ht="15.75" customHeight="1">
      <c r="G222" s="259"/>
    </row>
    <row r="223" ht="15.75" customHeight="1">
      <c r="G223" s="259"/>
    </row>
    <row r="224" ht="15.75" customHeight="1">
      <c r="G224" s="259"/>
    </row>
    <row r="225" ht="15.75" customHeight="1">
      <c r="G225" s="259"/>
    </row>
    <row r="226" ht="15.75" customHeight="1">
      <c r="G226" s="259"/>
    </row>
    <row r="227" ht="15.75" customHeight="1">
      <c r="G227" s="259"/>
    </row>
    <row r="228" ht="15.75" customHeight="1">
      <c r="G228" s="259"/>
    </row>
    <row r="229" ht="15.75" customHeight="1">
      <c r="G229" s="259"/>
    </row>
    <row r="230" ht="15.75" customHeight="1">
      <c r="G230" s="259"/>
    </row>
    <row r="231" ht="15.75" customHeight="1">
      <c r="G231" s="259"/>
    </row>
    <row r="232" ht="15.75" customHeight="1">
      <c r="G232" s="259"/>
    </row>
    <row r="233" ht="15.75" customHeight="1">
      <c r="G233" s="259"/>
    </row>
    <row r="234" ht="15.75" customHeight="1">
      <c r="G234" s="259"/>
    </row>
    <row r="235" ht="15.75" customHeight="1">
      <c r="G235" s="259"/>
    </row>
    <row r="236" ht="15.75" customHeight="1">
      <c r="G236" s="259"/>
    </row>
    <row r="237" ht="15.75" customHeight="1">
      <c r="G237" s="259"/>
    </row>
    <row r="238" ht="15.75" customHeight="1">
      <c r="G238" s="259"/>
    </row>
    <row r="239" ht="15.75" customHeight="1">
      <c r="G239" s="259"/>
    </row>
    <row r="240" ht="15.75" customHeight="1">
      <c r="G240" s="259"/>
    </row>
    <row r="241" ht="15.75" customHeight="1">
      <c r="G241" s="259"/>
    </row>
    <row r="242" ht="15.75" customHeight="1">
      <c r="G242" s="259"/>
    </row>
    <row r="243" ht="15.75" customHeight="1">
      <c r="G243" s="259"/>
    </row>
    <row r="244" ht="15.75" customHeight="1">
      <c r="G244" s="259"/>
    </row>
    <row r="245" ht="15.75" customHeight="1">
      <c r="G245" s="259"/>
    </row>
    <row r="246" ht="15.75" customHeight="1">
      <c r="G246" s="259"/>
    </row>
    <row r="247" ht="15.75" customHeight="1">
      <c r="G247" s="259"/>
    </row>
    <row r="248" ht="15.75" customHeight="1">
      <c r="G248" s="259"/>
    </row>
    <row r="249" ht="15.75" customHeight="1">
      <c r="G249" s="259"/>
    </row>
    <row r="250" ht="15.75" customHeight="1">
      <c r="G250" s="259"/>
    </row>
    <row r="251" ht="15.75" customHeight="1">
      <c r="G251" s="259"/>
    </row>
    <row r="252" ht="15.75" customHeight="1">
      <c r="G252" s="259"/>
    </row>
    <row r="253" ht="15.75" customHeight="1">
      <c r="G253" s="259"/>
    </row>
    <row r="254" ht="15.75" customHeight="1">
      <c r="G254" s="259"/>
    </row>
    <row r="255" ht="15.75" customHeight="1">
      <c r="G255" s="259"/>
    </row>
    <row r="256" ht="15.75" customHeight="1">
      <c r="G256" s="259"/>
    </row>
    <row r="257" ht="15.75" customHeight="1">
      <c r="G257" s="259"/>
    </row>
    <row r="258" ht="15.75" customHeight="1">
      <c r="G258" s="259"/>
    </row>
    <row r="259" ht="15.75" customHeight="1">
      <c r="G259" s="259"/>
    </row>
    <row r="260" ht="15.75" customHeight="1">
      <c r="G260" s="259"/>
    </row>
    <row r="261" ht="15.75" customHeight="1">
      <c r="G261" s="259"/>
    </row>
    <row r="262" ht="15.75" customHeight="1">
      <c r="G262" s="259"/>
    </row>
    <row r="263" ht="15.75" customHeight="1">
      <c r="G263" s="259"/>
    </row>
    <row r="264" ht="15.75" customHeight="1">
      <c r="G264" s="259"/>
    </row>
    <row r="265" ht="15.75" customHeight="1">
      <c r="G265" s="259"/>
    </row>
    <row r="266" ht="15.75" customHeight="1">
      <c r="G266" s="259"/>
    </row>
    <row r="267" ht="15.75" customHeight="1">
      <c r="G267" s="259"/>
    </row>
    <row r="268" ht="15.75" customHeight="1">
      <c r="G268" s="259"/>
    </row>
    <row r="269" ht="15.75" customHeight="1">
      <c r="G269" s="259"/>
    </row>
    <row r="270" ht="15.75" customHeight="1">
      <c r="G270" s="259"/>
    </row>
    <row r="271" ht="15.75" customHeight="1">
      <c r="G271" s="259"/>
    </row>
    <row r="272" ht="15.75" customHeight="1">
      <c r="G272" s="259"/>
    </row>
    <row r="273" ht="15.75" customHeight="1">
      <c r="G273" s="259"/>
    </row>
    <row r="274" ht="15.75" customHeight="1">
      <c r="G274" s="259"/>
    </row>
    <row r="275" ht="15.75" customHeight="1">
      <c r="G275" s="259"/>
    </row>
    <row r="276" ht="15.75" customHeight="1">
      <c r="G276" s="259"/>
    </row>
    <row r="277" ht="15.75" customHeight="1">
      <c r="G277" s="259"/>
    </row>
    <row r="278" ht="15.75" customHeight="1">
      <c r="G278" s="259"/>
    </row>
    <row r="279" ht="15.75" customHeight="1">
      <c r="G279" s="259"/>
    </row>
    <row r="280" ht="15.75" customHeight="1">
      <c r="G280" s="259"/>
    </row>
    <row r="281" ht="15.75" customHeight="1">
      <c r="G281" s="259"/>
    </row>
    <row r="282" ht="15.75" customHeight="1">
      <c r="G282" s="259"/>
    </row>
    <row r="283" ht="15.75" customHeight="1">
      <c r="G283" s="259"/>
    </row>
    <row r="284" ht="15.75" customHeight="1">
      <c r="G284" s="259"/>
    </row>
    <row r="285" ht="15.75" customHeight="1">
      <c r="G285" s="259"/>
    </row>
    <row r="286" ht="15.75" customHeight="1">
      <c r="G286" s="259"/>
    </row>
    <row r="287" ht="15.75" customHeight="1">
      <c r="G287" s="259"/>
    </row>
    <row r="288" ht="15.75" customHeight="1">
      <c r="G288" s="259"/>
    </row>
    <row r="289" ht="15.75" customHeight="1">
      <c r="G289" s="259"/>
    </row>
    <row r="290" ht="15.75" customHeight="1">
      <c r="G290" s="259"/>
    </row>
    <row r="291" ht="15.75" customHeight="1">
      <c r="G291" s="259"/>
    </row>
    <row r="292" ht="15.75" customHeight="1">
      <c r="G292" s="259"/>
    </row>
    <row r="293" ht="15.75" customHeight="1">
      <c r="G293" s="259"/>
    </row>
    <row r="294" ht="15.75" customHeight="1">
      <c r="G294" s="259"/>
    </row>
    <row r="295" ht="15.75" customHeight="1">
      <c r="G295" s="259"/>
    </row>
    <row r="296" ht="15.75" customHeight="1">
      <c r="G296" s="259"/>
    </row>
    <row r="297" ht="15.75" customHeight="1">
      <c r="G297" s="259"/>
    </row>
    <row r="298" ht="15.75" customHeight="1">
      <c r="G298" s="259"/>
    </row>
    <row r="299" ht="15.75" customHeight="1">
      <c r="G299" s="259"/>
    </row>
    <row r="300" ht="15.75" customHeight="1">
      <c r="G300" s="259"/>
    </row>
    <row r="301" ht="15.75" customHeight="1">
      <c r="G301" s="259"/>
    </row>
    <row r="302" ht="15.75" customHeight="1">
      <c r="G302" s="259"/>
    </row>
    <row r="303" ht="15.75" customHeight="1">
      <c r="G303" s="259"/>
    </row>
    <row r="304" ht="15.75" customHeight="1">
      <c r="G304" s="259"/>
    </row>
    <row r="305" ht="15.75" customHeight="1">
      <c r="G305" s="259"/>
    </row>
    <row r="306" ht="15.75" customHeight="1">
      <c r="G306" s="259"/>
    </row>
    <row r="307" ht="15.75" customHeight="1">
      <c r="G307" s="259"/>
    </row>
    <row r="308" ht="15.75" customHeight="1">
      <c r="G308" s="259"/>
    </row>
    <row r="309" ht="15.75" customHeight="1">
      <c r="G309" s="259"/>
    </row>
    <row r="310" ht="15.75" customHeight="1">
      <c r="G310" s="259"/>
    </row>
    <row r="311" ht="15.75" customHeight="1">
      <c r="G311" s="259"/>
    </row>
    <row r="312" ht="15.75" customHeight="1">
      <c r="G312" s="259"/>
    </row>
    <row r="313" ht="15.75" customHeight="1">
      <c r="G313" s="259"/>
    </row>
    <row r="314" ht="15.75" customHeight="1">
      <c r="G314" s="259"/>
    </row>
    <row r="315" ht="15.75" customHeight="1">
      <c r="G315" s="259"/>
    </row>
    <row r="316" ht="15.75" customHeight="1">
      <c r="G316" s="259"/>
    </row>
    <row r="317" ht="15.75" customHeight="1">
      <c r="G317" s="259"/>
    </row>
    <row r="318" ht="15.75" customHeight="1">
      <c r="G318" s="259"/>
    </row>
    <row r="319" ht="15.75" customHeight="1">
      <c r="G319" s="259"/>
    </row>
    <row r="320" ht="15.75" customHeight="1">
      <c r="G320" s="259"/>
    </row>
    <row r="321" ht="15.75" customHeight="1">
      <c r="G321" s="259"/>
    </row>
    <row r="322" ht="15.75" customHeight="1">
      <c r="G322" s="259"/>
    </row>
    <row r="323" ht="15.75" customHeight="1">
      <c r="G323" s="259"/>
    </row>
    <row r="324" ht="15.75" customHeight="1">
      <c r="G324" s="259"/>
    </row>
    <row r="325" ht="15.75" customHeight="1">
      <c r="G325" s="259"/>
    </row>
    <row r="326" ht="15.75" customHeight="1">
      <c r="G326" s="259"/>
    </row>
    <row r="327" ht="15.75" customHeight="1">
      <c r="G327" s="259"/>
    </row>
    <row r="328" ht="15.75" customHeight="1">
      <c r="G328" s="259"/>
    </row>
    <row r="329" ht="15.75" customHeight="1">
      <c r="G329" s="259"/>
    </row>
    <row r="330" ht="15.75" customHeight="1">
      <c r="G330" s="259"/>
    </row>
    <row r="331" ht="15.75" customHeight="1">
      <c r="G331" s="259"/>
    </row>
    <row r="332" ht="15.75" customHeight="1">
      <c r="G332" s="259"/>
    </row>
    <row r="333" ht="15.75" customHeight="1">
      <c r="G333" s="259"/>
    </row>
    <row r="334" ht="15.75" customHeight="1">
      <c r="G334" s="259"/>
    </row>
    <row r="335" ht="15.75" customHeight="1">
      <c r="G335" s="259"/>
    </row>
    <row r="336" ht="15.75" customHeight="1">
      <c r="G336" s="259"/>
    </row>
    <row r="337" ht="15.75" customHeight="1">
      <c r="G337" s="259"/>
    </row>
    <row r="338" ht="15.75" customHeight="1">
      <c r="G338" s="259"/>
    </row>
    <row r="339" ht="15.75" customHeight="1">
      <c r="G339" s="259"/>
    </row>
    <row r="340" ht="15.75" customHeight="1">
      <c r="G340" s="259"/>
    </row>
    <row r="341" ht="15.75" customHeight="1">
      <c r="G341" s="259"/>
    </row>
    <row r="342" ht="15.75" customHeight="1">
      <c r="G342" s="259"/>
    </row>
    <row r="343" ht="15.75" customHeight="1">
      <c r="G343" s="259"/>
    </row>
    <row r="344" ht="15.75" customHeight="1">
      <c r="G344" s="259"/>
    </row>
    <row r="345" ht="15.75" customHeight="1">
      <c r="G345" s="259"/>
    </row>
    <row r="346" ht="15.75" customHeight="1">
      <c r="G346" s="259"/>
    </row>
    <row r="347" ht="15.75" customHeight="1">
      <c r="G347" s="259"/>
    </row>
    <row r="348" ht="15.75" customHeight="1">
      <c r="G348" s="259"/>
    </row>
    <row r="349" ht="15.75" customHeight="1">
      <c r="G349" s="259"/>
    </row>
    <row r="350" ht="15.75" customHeight="1">
      <c r="G350" s="259"/>
    </row>
    <row r="351" ht="15.75" customHeight="1">
      <c r="G351" s="259"/>
    </row>
    <row r="352" ht="15.75" customHeight="1">
      <c r="G352" s="259"/>
    </row>
    <row r="353" ht="15.75" customHeight="1">
      <c r="G353" s="259"/>
    </row>
    <row r="354" ht="15.75" customHeight="1">
      <c r="G354" s="259"/>
    </row>
    <row r="355" ht="15.75" customHeight="1">
      <c r="G355" s="259"/>
    </row>
    <row r="356" ht="15.75" customHeight="1">
      <c r="G356" s="259"/>
    </row>
    <row r="357" ht="15.75" customHeight="1">
      <c r="G357" s="259"/>
    </row>
    <row r="358" ht="15.75" customHeight="1">
      <c r="G358" s="259"/>
    </row>
    <row r="359" ht="15.75" customHeight="1">
      <c r="G359" s="259"/>
    </row>
    <row r="360" ht="15.75" customHeight="1">
      <c r="G360" s="259"/>
    </row>
    <row r="361" ht="15.75" customHeight="1">
      <c r="G361" s="259"/>
    </row>
    <row r="362" ht="15.75" customHeight="1">
      <c r="G362" s="259"/>
    </row>
    <row r="363" ht="15.75" customHeight="1">
      <c r="G363" s="259"/>
    </row>
    <row r="364" ht="15.75" customHeight="1">
      <c r="G364" s="259"/>
    </row>
    <row r="365" ht="15.75" customHeight="1">
      <c r="G365" s="259"/>
    </row>
    <row r="366" ht="15.75" customHeight="1">
      <c r="G366" s="259"/>
    </row>
    <row r="367" ht="15.75" customHeight="1">
      <c r="G367" s="259"/>
    </row>
    <row r="368" ht="15.75" customHeight="1">
      <c r="G368" s="259"/>
    </row>
    <row r="369" ht="15.75" customHeight="1">
      <c r="G369" s="259"/>
    </row>
    <row r="370" ht="15.75" customHeight="1">
      <c r="G370" s="259"/>
    </row>
    <row r="371" ht="15.75" customHeight="1">
      <c r="G371" s="259"/>
    </row>
    <row r="372" ht="15.75" customHeight="1">
      <c r="G372" s="259"/>
    </row>
    <row r="373" ht="15.75" customHeight="1">
      <c r="G373" s="259"/>
    </row>
    <row r="374" ht="15.75" customHeight="1">
      <c r="G374" s="259"/>
    </row>
    <row r="375" ht="15.75" customHeight="1">
      <c r="G375" s="259"/>
    </row>
    <row r="376" ht="15.75" customHeight="1">
      <c r="G376" s="259"/>
    </row>
    <row r="377" ht="15.75" customHeight="1">
      <c r="G377" s="259"/>
    </row>
    <row r="378" ht="15.75" customHeight="1">
      <c r="G378" s="259"/>
    </row>
    <row r="379" ht="15.75" customHeight="1">
      <c r="G379" s="259"/>
    </row>
    <row r="380" ht="15.75" customHeight="1">
      <c r="G380" s="259"/>
    </row>
    <row r="381" ht="15.75" customHeight="1">
      <c r="G381" s="259"/>
    </row>
    <row r="382" ht="15.75" customHeight="1">
      <c r="G382" s="259"/>
    </row>
    <row r="383" ht="15.75" customHeight="1">
      <c r="G383" s="259"/>
    </row>
    <row r="384" ht="15.75" customHeight="1">
      <c r="G384" s="259"/>
    </row>
    <row r="385" ht="15.75" customHeight="1">
      <c r="G385" s="259"/>
    </row>
    <row r="386" ht="15.75" customHeight="1">
      <c r="G386" s="259"/>
    </row>
    <row r="387" ht="15.75" customHeight="1">
      <c r="G387" s="259"/>
    </row>
    <row r="388" ht="15.75" customHeight="1">
      <c r="G388" s="259"/>
    </row>
    <row r="389" ht="15.75" customHeight="1">
      <c r="G389" s="259"/>
    </row>
    <row r="390" ht="15.75" customHeight="1">
      <c r="G390" s="259"/>
    </row>
    <row r="391" ht="15.75" customHeight="1">
      <c r="G391" s="259"/>
    </row>
    <row r="392" ht="15.75" customHeight="1">
      <c r="G392" s="259"/>
    </row>
    <row r="393" ht="15.75" customHeight="1">
      <c r="G393" s="259"/>
    </row>
    <row r="394" ht="15.75" customHeight="1">
      <c r="G394" s="259"/>
    </row>
    <row r="395" ht="15.75" customHeight="1">
      <c r="G395" s="259"/>
    </row>
    <row r="396" ht="15.75" customHeight="1">
      <c r="G396" s="259"/>
    </row>
    <row r="397" ht="15.75" customHeight="1">
      <c r="G397" s="259"/>
    </row>
    <row r="398" ht="15.75" customHeight="1">
      <c r="G398" s="259"/>
    </row>
    <row r="399" ht="15.75" customHeight="1">
      <c r="G399" s="259"/>
    </row>
    <row r="400" ht="15.75" customHeight="1">
      <c r="G400" s="259"/>
    </row>
    <row r="401" ht="15.75" customHeight="1">
      <c r="G401" s="259"/>
    </row>
    <row r="402" ht="15.75" customHeight="1">
      <c r="G402" s="259"/>
    </row>
    <row r="403" ht="15.75" customHeight="1">
      <c r="G403" s="259"/>
    </row>
    <row r="404" ht="15.75" customHeight="1">
      <c r="G404" s="259"/>
    </row>
    <row r="405" ht="15.75" customHeight="1">
      <c r="G405" s="259"/>
    </row>
    <row r="406" ht="15.75" customHeight="1">
      <c r="G406" s="259"/>
    </row>
    <row r="407" ht="15.75" customHeight="1">
      <c r="G407" s="259"/>
    </row>
    <row r="408" ht="15.75" customHeight="1">
      <c r="G408" s="259"/>
    </row>
    <row r="409" ht="15.75" customHeight="1">
      <c r="G409" s="259"/>
    </row>
    <row r="410" ht="15.75" customHeight="1">
      <c r="G410" s="259"/>
    </row>
    <row r="411" ht="15.75" customHeight="1">
      <c r="G411" s="259"/>
    </row>
    <row r="412" ht="15.75" customHeight="1">
      <c r="G412" s="259"/>
    </row>
    <row r="413" ht="15.75" customHeight="1">
      <c r="G413" s="259"/>
    </row>
    <row r="414" ht="15.75" customHeight="1">
      <c r="G414" s="259"/>
    </row>
    <row r="415" ht="15.75" customHeight="1">
      <c r="G415" s="259"/>
    </row>
    <row r="416" ht="15.75" customHeight="1">
      <c r="G416" s="259"/>
    </row>
    <row r="417" ht="15.75" customHeight="1">
      <c r="G417" s="259"/>
    </row>
    <row r="418" ht="15.75" customHeight="1">
      <c r="G418" s="259"/>
    </row>
    <row r="419" ht="15.75" customHeight="1">
      <c r="G419" s="259"/>
    </row>
    <row r="420" ht="15.75" customHeight="1">
      <c r="G420" s="259"/>
    </row>
    <row r="421" ht="15.75" customHeight="1">
      <c r="G421" s="259"/>
    </row>
    <row r="422" ht="15.75" customHeight="1">
      <c r="G422" s="259"/>
    </row>
    <row r="423" ht="15.75" customHeight="1">
      <c r="G423" s="259"/>
    </row>
    <row r="424" ht="15.75" customHeight="1">
      <c r="G424" s="259"/>
    </row>
    <row r="425" ht="15.75" customHeight="1">
      <c r="G425" s="259"/>
    </row>
    <row r="426" ht="15.75" customHeight="1">
      <c r="G426" s="259"/>
    </row>
    <row r="427" ht="15.75" customHeight="1">
      <c r="G427" s="259"/>
    </row>
    <row r="428" ht="15.75" customHeight="1">
      <c r="G428" s="259"/>
    </row>
    <row r="429" ht="15.75" customHeight="1">
      <c r="G429" s="259"/>
    </row>
    <row r="430" ht="15.75" customHeight="1">
      <c r="G430" s="259"/>
    </row>
    <row r="431" ht="15.75" customHeight="1">
      <c r="G431" s="259"/>
    </row>
    <row r="432" ht="15.75" customHeight="1">
      <c r="G432" s="259"/>
    </row>
    <row r="433" ht="15.75" customHeight="1">
      <c r="G433" s="259"/>
    </row>
    <row r="434" ht="15.75" customHeight="1">
      <c r="G434" s="259"/>
    </row>
    <row r="435" ht="15.75" customHeight="1">
      <c r="G435" s="259"/>
    </row>
    <row r="436" ht="15.75" customHeight="1">
      <c r="G436" s="259"/>
    </row>
    <row r="437" ht="15.75" customHeight="1">
      <c r="G437" s="259"/>
    </row>
    <row r="438" ht="15.75" customHeight="1">
      <c r="G438" s="259"/>
    </row>
    <row r="439" ht="15.75" customHeight="1">
      <c r="G439" s="259"/>
    </row>
    <row r="440" ht="15.75" customHeight="1">
      <c r="G440" s="259"/>
    </row>
    <row r="441" ht="15.75" customHeight="1">
      <c r="G441" s="259"/>
    </row>
    <row r="442" ht="15.75" customHeight="1">
      <c r="G442" s="259"/>
    </row>
    <row r="443" ht="15.75" customHeight="1">
      <c r="G443" s="259"/>
    </row>
    <row r="444" ht="15.75" customHeight="1">
      <c r="G444" s="259"/>
    </row>
    <row r="445" ht="15.75" customHeight="1">
      <c r="G445" s="259"/>
    </row>
    <row r="446" ht="15.75" customHeight="1">
      <c r="G446" s="259"/>
    </row>
    <row r="447" ht="15.75" customHeight="1">
      <c r="G447" s="259"/>
    </row>
    <row r="448" ht="15.75" customHeight="1">
      <c r="G448" s="259"/>
    </row>
    <row r="449" ht="15.75" customHeight="1">
      <c r="G449" s="259"/>
    </row>
    <row r="450" ht="15.75" customHeight="1">
      <c r="G450" s="259"/>
    </row>
    <row r="451" ht="15.75" customHeight="1">
      <c r="G451" s="259"/>
    </row>
    <row r="452" ht="15.75" customHeight="1">
      <c r="G452" s="259"/>
    </row>
    <row r="453" ht="15.75" customHeight="1">
      <c r="G453" s="259"/>
    </row>
    <row r="454" ht="15.75" customHeight="1">
      <c r="G454" s="259"/>
    </row>
    <row r="455" ht="15.75" customHeight="1">
      <c r="G455" s="259"/>
    </row>
    <row r="456" ht="15.75" customHeight="1">
      <c r="G456" s="259"/>
    </row>
    <row r="457" ht="15.75" customHeight="1">
      <c r="G457" s="259"/>
    </row>
    <row r="458" ht="15.75" customHeight="1">
      <c r="G458" s="259"/>
    </row>
    <row r="459" ht="15.75" customHeight="1">
      <c r="G459" s="259"/>
    </row>
    <row r="460" ht="15.75" customHeight="1">
      <c r="G460" s="259"/>
    </row>
    <row r="461" ht="15.75" customHeight="1">
      <c r="G461" s="259"/>
    </row>
    <row r="462" ht="15.75" customHeight="1">
      <c r="G462" s="259"/>
    </row>
    <row r="463" ht="15.75" customHeight="1">
      <c r="G463" s="259"/>
    </row>
    <row r="464" ht="15.75" customHeight="1">
      <c r="G464" s="259"/>
    </row>
    <row r="465" ht="15.75" customHeight="1">
      <c r="G465" s="259"/>
    </row>
    <row r="466" ht="15.75" customHeight="1">
      <c r="G466" s="259"/>
    </row>
    <row r="467" ht="15.75" customHeight="1">
      <c r="G467" s="259"/>
    </row>
    <row r="468" ht="15.75" customHeight="1">
      <c r="G468" s="259"/>
    </row>
    <row r="469" ht="15.75" customHeight="1">
      <c r="G469" s="259"/>
    </row>
    <row r="470" ht="15.75" customHeight="1">
      <c r="G470" s="259"/>
    </row>
    <row r="471" ht="15.75" customHeight="1">
      <c r="G471" s="259"/>
    </row>
    <row r="472" ht="15.75" customHeight="1">
      <c r="G472" s="259"/>
    </row>
    <row r="473" ht="15.75" customHeight="1">
      <c r="G473" s="259"/>
    </row>
    <row r="474" ht="15.75" customHeight="1">
      <c r="G474" s="259"/>
    </row>
    <row r="475" ht="15.75" customHeight="1">
      <c r="G475" s="259"/>
    </row>
    <row r="476" ht="15.75" customHeight="1">
      <c r="G476" s="259"/>
    </row>
    <row r="477" ht="15.75" customHeight="1">
      <c r="G477" s="259"/>
    </row>
    <row r="478" ht="15.75" customHeight="1">
      <c r="G478" s="259"/>
    </row>
    <row r="479" ht="15.75" customHeight="1">
      <c r="G479" s="259"/>
    </row>
    <row r="480" ht="15.75" customHeight="1">
      <c r="G480" s="259"/>
    </row>
    <row r="481" ht="15.75" customHeight="1">
      <c r="G481" s="259"/>
    </row>
    <row r="482" ht="15.75" customHeight="1">
      <c r="G482" s="259"/>
    </row>
    <row r="483" ht="15.75" customHeight="1">
      <c r="G483" s="259"/>
    </row>
    <row r="484" ht="15.75" customHeight="1">
      <c r="G484" s="259"/>
    </row>
    <row r="485" ht="15.75" customHeight="1">
      <c r="G485" s="259"/>
    </row>
    <row r="486" ht="15.75" customHeight="1">
      <c r="G486" s="259"/>
    </row>
    <row r="487" ht="15.75" customHeight="1">
      <c r="G487" s="259"/>
    </row>
    <row r="488" ht="15.75" customHeight="1">
      <c r="G488" s="259"/>
    </row>
    <row r="489" ht="15.75" customHeight="1">
      <c r="G489" s="259"/>
    </row>
    <row r="490" ht="15.75" customHeight="1">
      <c r="G490" s="259"/>
    </row>
    <row r="491" ht="15.75" customHeight="1">
      <c r="G491" s="259"/>
    </row>
    <row r="492" ht="15.75" customHeight="1">
      <c r="G492" s="259"/>
    </row>
    <row r="493" ht="15.75" customHeight="1">
      <c r="G493" s="259"/>
    </row>
    <row r="494" ht="15.75" customHeight="1">
      <c r="G494" s="259"/>
    </row>
    <row r="495" ht="15.75" customHeight="1">
      <c r="G495" s="259"/>
    </row>
    <row r="496" ht="15.75" customHeight="1">
      <c r="G496" s="259"/>
    </row>
    <row r="497" ht="15.75" customHeight="1">
      <c r="G497" s="259"/>
    </row>
    <row r="498" ht="15.75" customHeight="1">
      <c r="G498" s="259"/>
    </row>
    <row r="499" ht="15.75" customHeight="1">
      <c r="G499" s="259"/>
    </row>
    <row r="500" ht="15.75" customHeight="1">
      <c r="G500" s="259"/>
    </row>
    <row r="501" ht="15.75" customHeight="1">
      <c r="G501" s="259"/>
    </row>
    <row r="502" ht="15.75" customHeight="1">
      <c r="G502" s="259"/>
    </row>
    <row r="503" ht="15.75" customHeight="1">
      <c r="G503" s="259"/>
    </row>
    <row r="504" ht="15.75" customHeight="1">
      <c r="G504" s="259"/>
    </row>
    <row r="505" ht="15.75" customHeight="1">
      <c r="G505" s="259"/>
    </row>
    <row r="506" ht="15.75" customHeight="1">
      <c r="G506" s="259"/>
    </row>
    <row r="507" ht="15.75" customHeight="1">
      <c r="G507" s="259"/>
    </row>
    <row r="508" ht="15.75" customHeight="1">
      <c r="G508" s="259"/>
    </row>
    <row r="509" ht="15.75" customHeight="1">
      <c r="G509" s="259"/>
    </row>
    <row r="510" ht="15.75" customHeight="1">
      <c r="G510" s="259"/>
    </row>
    <row r="511" ht="15.75" customHeight="1">
      <c r="G511" s="259"/>
    </row>
    <row r="512" ht="15.75" customHeight="1">
      <c r="G512" s="259"/>
    </row>
    <row r="513" ht="15.75" customHeight="1">
      <c r="G513" s="259"/>
    </row>
    <row r="514" ht="15.75" customHeight="1">
      <c r="G514" s="259"/>
    </row>
    <row r="515" ht="15.75" customHeight="1">
      <c r="G515" s="259"/>
    </row>
    <row r="516" ht="15.75" customHeight="1">
      <c r="G516" s="259"/>
    </row>
    <row r="517" ht="15.75" customHeight="1">
      <c r="G517" s="259"/>
    </row>
    <row r="518" ht="15.75" customHeight="1">
      <c r="G518" s="259"/>
    </row>
    <row r="519" ht="15.75" customHeight="1">
      <c r="G519" s="259"/>
    </row>
    <row r="520" ht="15.75" customHeight="1">
      <c r="G520" s="259"/>
    </row>
    <row r="521" ht="15.75" customHeight="1">
      <c r="G521" s="259"/>
    </row>
    <row r="522" ht="15.75" customHeight="1">
      <c r="G522" s="259"/>
    </row>
    <row r="523" ht="15.75" customHeight="1">
      <c r="G523" s="259"/>
    </row>
    <row r="524" ht="15.75" customHeight="1">
      <c r="G524" s="259"/>
    </row>
    <row r="525" ht="15.75" customHeight="1">
      <c r="G525" s="259"/>
    </row>
    <row r="526" ht="15.75" customHeight="1">
      <c r="G526" s="259"/>
    </row>
    <row r="527" ht="15.75" customHeight="1">
      <c r="G527" s="259"/>
    </row>
    <row r="528" ht="15.75" customHeight="1">
      <c r="G528" s="259"/>
    </row>
    <row r="529" ht="15.75" customHeight="1">
      <c r="G529" s="259"/>
    </row>
    <row r="530" ht="15.75" customHeight="1">
      <c r="G530" s="259"/>
    </row>
    <row r="531" ht="15.75" customHeight="1">
      <c r="G531" s="259"/>
    </row>
    <row r="532" ht="15.75" customHeight="1">
      <c r="G532" s="259"/>
    </row>
    <row r="533" ht="15.75" customHeight="1">
      <c r="G533" s="259"/>
    </row>
    <row r="534" ht="15.75" customHeight="1">
      <c r="G534" s="259"/>
    </row>
    <row r="535" ht="15.75" customHeight="1">
      <c r="G535" s="259"/>
    </row>
    <row r="536" ht="15.75" customHeight="1">
      <c r="G536" s="259"/>
    </row>
    <row r="537" ht="15.75" customHeight="1">
      <c r="G537" s="259"/>
    </row>
    <row r="538" ht="15.75" customHeight="1">
      <c r="G538" s="259"/>
    </row>
    <row r="539" ht="15.75" customHeight="1">
      <c r="G539" s="259"/>
    </row>
    <row r="540" ht="15.75" customHeight="1">
      <c r="G540" s="259"/>
    </row>
    <row r="541" ht="15.75" customHeight="1">
      <c r="G541" s="259"/>
    </row>
    <row r="542" ht="15.75" customHeight="1">
      <c r="G542" s="259"/>
    </row>
    <row r="543" ht="15.75" customHeight="1">
      <c r="G543" s="259"/>
    </row>
    <row r="544" ht="15.75" customHeight="1">
      <c r="G544" s="259"/>
    </row>
    <row r="545" ht="15.75" customHeight="1">
      <c r="G545" s="259"/>
    </row>
    <row r="546" ht="15.75" customHeight="1">
      <c r="G546" s="259"/>
    </row>
    <row r="547" ht="15.75" customHeight="1">
      <c r="G547" s="259"/>
    </row>
    <row r="548" ht="15.75" customHeight="1">
      <c r="G548" s="259"/>
    </row>
    <row r="549" ht="15.75" customHeight="1">
      <c r="G549" s="259"/>
    </row>
    <row r="550" ht="15.75" customHeight="1">
      <c r="G550" s="259"/>
    </row>
    <row r="551" ht="15.75" customHeight="1">
      <c r="G551" s="259"/>
    </row>
    <row r="552" ht="15.75" customHeight="1">
      <c r="G552" s="259"/>
    </row>
    <row r="553" ht="15.75" customHeight="1">
      <c r="G553" s="259"/>
    </row>
    <row r="554" ht="15.75" customHeight="1">
      <c r="G554" s="259"/>
    </row>
    <row r="555" ht="15.75" customHeight="1">
      <c r="G555" s="259"/>
    </row>
    <row r="556" ht="15.75" customHeight="1">
      <c r="G556" s="259"/>
    </row>
    <row r="557" ht="15.75" customHeight="1">
      <c r="G557" s="259"/>
    </row>
    <row r="558" ht="15.75" customHeight="1">
      <c r="G558" s="259"/>
    </row>
    <row r="559" ht="15.75" customHeight="1">
      <c r="G559" s="259"/>
    </row>
    <row r="560" ht="15.75" customHeight="1">
      <c r="G560" s="259"/>
    </row>
    <row r="561" ht="15.75" customHeight="1">
      <c r="G561" s="259"/>
    </row>
    <row r="562" ht="15.75" customHeight="1">
      <c r="G562" s="259"/>
    </row>
    <row r="563" ht="15.75" customHeight="1">
      <c r="G563" s="259"/>
    </row>
    <row r="564" ht="15.75" customHeight="1">
      <c r="G564" s="259"/>
    </row>
    <row r="565" ht="15.75" customHeight="1">
      <c r="G565" s="259"/>
    </row>
    <row r="566" ht="15.75" customHeight="1">
      <c r="G566" s="259"/>
    </row>
    <row r="567" ht="15.75" customHeight="1">
      <c r="G567" s="259"/>
    </row>
    <row r="568" ht="15.75" customHeight="1">
      <c r="G568" s="259"/>
    </row>
    <row r="569" ht="15.75" customHeight="1">
      <c r="G569" s="259"/>
    </row>
    <row r="570" ht="15.75" customHeight="1">
      <c r="G570" s="259"/>
    </row>
    <row r="571" ht="15.75" customHeight="1">
      <c r="G571" s="259"/>
    </row>
    <row r="572" ht="15.75" customHeight="1">
      <c r="G572" s="259"/>
    </row>
    <row r="573" ht="15.75" customHeight="1">
      <c r="G573" s="259"/>
    </row>
    <row r="574" ht="15.75" customHeight="1">
      <c r="G574" s="259"/>
    </row>
    <row r="575" ht="15.75" customHeight="1">
      <c r="G575" s="259"/>
    </row>
    <row r="576" ht="15.75" customHeight="1">
      <c r="G576" s="259"/>
    </row>
    <row r="577" ht="15.75" customHeight="1">
      <c r="G577" s="259"/>
    </row>
    <row r="578" ht="15.75" customHeight="1">
      <c r="G578" s="259"/>
    </row>
    <row r="579" ht="15.75" customHeight="1">
      <c r="G579" s="259"/>
    </row>
    <row r="580" ht="15.75" customHeight="1">
      <c r="G580" s="259"/>
    </row>
    <row r="581" ht="15.75" customHeight="1">
      <c r="G581" s="259"/>
    </row>
    <row r="582" ht="15.75" customHeight="1">
      <c r="G582" s="259"/>
    </row>
    <row r="583" ht="15.75" customHeight="1">
      <c r="G583" s="259"/>
    </row>
    <row r="584" ht="15.75" customHeight="1">
      <c r="G584" s="259"/>
    </row>
    <row r="585" ht="15.75" customHeight="1">
      <c r="G585" s="259"/>
    </row>
    <row r="586" ht="15.75" customHeight="1">
      <c r="G586" s="259"/>
    </row>
    <row r="587" ht="15.75" customHeight="1">
      <c r="G587" s="259"/>
    </row>
    <row r="588" ht="15.75" customHeight="1">
      <c r="G588" s="259"/>
    </row>
    <row r="589" ht="15.75" customHeight="1">
      <c r="G589" s="259"/>
    </row>
    <row r="590" ht="15.75" customHeight="1">
      <c r="G590" s="259"/>
    </row>
    <row r="591" ht="15.75" customHeight="1">
      <c r="G591" s="259"/>
    </row>
    <row r="592" ht="15.75" customHeight="1">
      <c r="G592" s="259"/>
    </row>
    <row r="593" ht="15.75" customHeight="1">
      <c r="G593" s="259"/>
    </row>
    <row r="594" ht="15.75" customHeight="1">
      <c r="G594" s="259"/>
    </row>
    <row r="595" ht="15.75" customHeight="1">
      <c r="G595" s="259"/>
    </row>
    <row r="596" ht="15.75" customHeight="1">
      <c r="G596" s="259"/>
    </row>
    <row r="597" ht="15.75" customHeight="1">
      <c r="G597" s="259"/>
    </row>
    <row r="598" ht="15.75" customHeight="1">
      <c r="G598" s="259"/>
    </row>
    <row r="599" ht="15.75" customHeight="1">
      <c r="G599" s="259"/>
    </row>
    <row r="600" ht="15.75" customHeight="1">
      <c r="G600" s="259"/>
    </row>
    <row r="601" ht="15.75" customHeight="1">
      <c r="G601" s="259"/>
    </row>
    <row r="602" ht="15.75" customHeight="1">
      <c r="G602" s="259"/>
    </row>
    <row r="603" ht="15.75" customHeight="1">
      <c r="G603" s="259"/>
    </row>
    <row r="604" ht="15.75" customHeight="1">
      <c r="G604" s="259"/>
    </row>
    <row r="605" ht="15.75" customHeight="1">
      <c r="G605" s="259"/>
    </row>
    <row r="606" ht="15.75" customHeight="1">
      <c r="G606" s="259"/>
    </row>
    <row r="607" ht="15.75" customHeight="1">
      <c r="G607" s="259"/>
    </row>
    <row r="608" ht="15.75" customHeight="1">
      <c r="G608" s="259"/>
    </row>
    <row r="609" ht="15.75" customHeight="1">
      <c r="G609" s="259"/>
    </row>
    <row r="610" ht="15.75" customHeight="1">
      <c r="G610" s="259"/>
    </row>
    <row r="611" ht="15.75" customHeight="1">
      <c r="G611" s="259"/>
    </row>
    <row r="612" ht="15.75" customHeight="1">
      <c r="G612" s="259"/>
    </row>
    <row r="613" ht="15.75" customHeight="1">
      <c r="G613" s="259"/>
    </row>
    <row r="614" ht="15.75" customHeight="1">
      <c r="G614" s="259"/>
    </row>
    <row r="615" ht="15.75" customHeight="1">
      <c r="G615" s="259"/>
    </row>
    <row r="616" ht="15.75" customHeight="1">
      <c r="G616" s="259"/>
    </row>
    <row r="617" ht="15.75" customHeight="1">
      <c r="G617" s="259"/>
    </row>
    <row r="618" ht="15.75" customHeight="1">
      <c r="G618" s="259"/>
    </row>
    <row r="619" ht="15.75" customHeight="1">
      <c r="G619" s="259"/>
    </row>
    <row r="620" ht="15.75" customHeight="1">
      <c r="G620" s="259"/>
    </row>
    <row r="621" ht="15.75" customHeight="1">
      <c r="G621" s="259"/>
    </row>
    <row r="622" ht="15.75" customHeight="1">
      <c r="G622" s="259"/>
    </row>
    <row r="623" ht="15.75" customHeight="1">
      <c r="G623" s="259"/>
    </row>
    <row r="624" ht="15.75" customHeight="1">
      <c r="G624" s="259"/>
    </row>
    <row r="625" ht="15.75" customHeight="1">
      <c r="G625" s="259"/>
    </row>
    <row r="626" ht="15.75" customHeight="1">
      <c r="G626" s="259"/>
    </row>
    <row r="627" ht="15.75" customHeight="1">
      <c r="G627" s="259"/>
    </row>
    <row r="628" ht="15.75" customHeight="1">
      <c r="G628" s="259"/>
    </row>
    <row r="629" ht="15.75" customHeight="1">
      <c r="G629" s="259"/>
    </row>
    <row r="630" ht="15.75" customHeight="1">
      <c r="G630" s="259"/>
    </row>
    <row r="631" ht="15.75" customHeight="1">
      <c r="G631" s="259"/>
    </row>
    <row r="632" ht="15.75" customHeight="1">
      <c r="G632" s="259"/>
    </row>
    <row r="633" ht="15.75" customHeight="1">
      <c r="G633" s="259"/>
    </row>
    <row r="634" ht="15.75" customHeight="1">
      <c r="G634" s="259"/>
    </row>
    <row r="635" ht="15.75" customHeight="1">
      <c r="G635" s="259"/>
    </row>
    <row r="636" ht="15.75" customHeight="1">
      <c r="G636" s="259"/>
    </row>
    <row r="637" ht="15.75" customHeight="1">
      <c r="G637" s="259"/>
    </row>
    <row r="638" ht="15.75" customHeight="1">
      <c r="G638" s="259"/>
    </row>
    <row r="639" ht="15.75" customHeight="1">
      <c r="G639" s="259"/>
    </row>
    <row r="640" ht="15.75" customHeight="1">
      <c r="G640" s="259"/>
    </row>
    <row r="641" ht="15.75" customHeight="1">
      <c r="G641" s="259"/>
    </row>
    <row r="642" ht="15.75" customHeight="1">
      <c r="G642" s="259"/>
    </row>
    <row r="643" ht="15.75" customHeight="1">
      <c r="G643" s="259"/>
    </row>
    <row r="644" ht="15.75" customHeight="1">
      <c r="G644" s="259"/>
    </row>
    <row r="645" ht="15.75" customHeight="1">
      <c r="G645" s="259"/>
    </row>
    <row r="646" ht="15.75" customHeight="1">
      <c r="G646" s="259"/>
    </row>
    <row r="647" ht="15.75" customHeight="1">
      <c r="G647" s="259"/>
    </row>
    <row r="648" ht="15.75" customHeight="1">
      <c r="G648" s="259"/>
    </row>
    <row r="649" ht="15.75" customHeight="1">
      <c r="G649" s="259"/>
    </row>
    <row r="650" ht="15.75" customHeight="1">
      <c r="G650" s="259"/>
    </row>
    <row r="651" ht="15.75" customHeight="1">
      <c r="G651" s="259"/>
    </row>
    <row r="652" ht="15.75" customHeight="1">
      <c r="G652" s="259"/>
    </row>
    <row r="653" ht="15.75" customHeight="1">
      <c r="G653" s="259"/>
    </row>
    <row r="654" ht="15.75" customHeight="1">
      <c r="G654" s="259"/>
    </row>
    <row r="655" ht="15.75" customHeight="1">
      <c r="G655" s="259"/>
    </row>
    <row r="656" ht="15.75" customHeight="1">
      <c r="G656" s="259"/>
    </row>
    <row r="657" ht="15.75" customHeight="1">
      <c r="G657" s="259"/>
    </row>
    <row r="658" ht="15.75" customHeight="1">
      <c r="G658" s="259"/>
    </row>
    <row r="659" ht="15.75" customHeight="1">
      <c r="G659" s="259"/>
    </row>
    <row r="660" ht="15.75" customHeight="1">
      <c r="G660" s="259"/>
    </row>
    <row r="661" ht="15.75" customHeight="1">
      <c r="G661" s="259"/>
    </row>
    <row r="662" ht="15.75" customHeight="1">
      <c r="G662" s="259"/>
    </row>
    <row r="663" ht="15.75" customHeight="1">
      <c r="G663" s="259"/>
    </row>
    <row r="664" ht="15.75" customHeight="1">
      <c r="G664" s="259"/>
    </row>
    <row r="665" ht="15.75" customHeight="1">
      <c r="G665" s="259"/>
    </row>
    <row r="666" ht="15.75" customHeight="1">
      <c r="G666" s="259"/>
    </row>
    <row r="667" ht="15.75" customHeight="1">
      <c r="G667" s="259"/>
    </row>
    <row r="668" ht="15.75" customHeight="1">
      <c r="G668" s="259"/>
    </row>
    <row r="669" ht="15.75" customHeight="1">
      <c r="G669" s="259"/>
    </row>
    <row r="670" ht="15.75" customHeight="1">
      <c r="G670" s="259"/>
    </row>
    <row r="671" ht="15.75" customHeight="1">
      <c r="G671" s="259"/>
    </row>
    <row r="672" ht="15.75" customHeight="1">
      <c r="G672" s="259"/>
    </row>
    <row r="673" ht="15.75" customHeight="1">
      <c r="G673" s="259"/>
    </row>
    <row r="674" ht="15.75" customHeight="1">
      <c r="G674" s="259"/>
    </row>
    <row r="675" ht="15.75" customHeight="1">
      <c r="G675" s="259"/>
    </row>
    <row r="676" ht="15.75" customHeight="1">
      <c r="G676" s="259"/>
    </row>
    <row r="677" ht="15.75" customHeight="1">
      <c r="G677" s="259"/>
    </row>
    <row r="678" ht="15.75" customHeight="1">
      <c r="G678" s="259"/>
    </row>
    <row r="679" ht="15.75" customHeight="1">
      <c r="G679" s="259"/>
    </row>
    <row r="680" ht="15.75" customHeight="1">
      <c r="G680" s="259"/>
    </row>
    <row r="681" ht="15.75" customHeight="1">
      <c r="G681" s="259"/>
    </row>
    <row r="682" ht="15.75" customHeight="1">
      <c r="G682" s="259"/>
    </row>
    <row r="683" ht="15.75" customHeight="1">
      <c r="G683" s="259"/>
    </row>
    <row r="684" ht="15.75" customHeight="1">
      <c r="G684" s="259"/>
    </row>
    <row r="685" ht="15.75" customHeight="1">
      <c r="G685" s="259"/>
    </row>
    <row r="686" ht="15.75" customHeight="1">
      <c r="G686" s="259"/>
    </row>
    <row r="687" ht="15.75" customHeight="1">
      <c r="G687" s="259"/>
    </row>
    <row r="688" ht="15.75" customHeight="1">
      <c r="G688" s="259"/>
    </row>
    <row r="689" ht="15.75" customHeight="1">
      <c r="G689" s="259"/>
    </row>
    <row r="690" ht="15.75" customHeight="1">
      <c r="G690" s="259"/>
    </row>
    <row r="691" ht="15.75" customHeight="1">
      <c r="G691" s="259"/>
    </row>
    <row r="692" ht="15.75" customHeight="1">
      <c r="G692" s="259"/>
    </row>
    <row r="693" ht="15.75" customHeight="1">
      <c r="G693" s="259"/>
    </row>
    <row r="694" ht="15.75" customHeight="1">
      <c r="G694" s="259"/>
    </row>
    <row r="695" ht="15.75" customHeight="1">
      <c r="G695" s="259"/>
    </row>
    <row r="696" ht="15.75" customHeight="1">
      <c r="G696" s="259"/>
    </row>
    <row r="697" ht="15.75" customHeight="1">
      <c r="G697" s="259"/>
    </row>
    <row r="698" ht="15.75" customHeight="1">
      <c r="G698" s="259"/>
    </row>
    <row r="699" ht="15.75" customHeight="1">
      <c r="G699" s="259"/>
    </row>
    <row r="700" ht="15.75" customHeight="1">
      <c r="G700" s="259"/>
    </row>
    <row r="701" ht="15.75" customHeight="1">
      <c r="G701" s="259"/>
    </row>
    <row r="702" ht="15.75" customHeight="1">
      <c r="G702" s="259"/>
    </row>
    <row r="703" ht="15.75" customHeight="1">
      <c r="G703" s="259"/>
    </row>
    <row r="704" ht="15.75" customHeight="1">
      <c r="G704" s="259"/>
    </row>
    <row r="705" ht="15.75" customHeight="1">
      <c r="G705" s="259"/>
    </row>
    <row r="706" ht="15.75" customHeight="1">
      <c r="G706" s="259"/>
    </row>
    <row r="707" ht="15.75" customHeight="1">
      <c r="G707" s="259"/>
    </row>
    <row r="708" ht="15.75" customHeight="1">
      <c r="G708" s="259"/>
    </row>
    <row r="709" ht="15.75" customHeight="1">
      <c r="G709" s="259"/>
    </row>
    <row r="710" ht="15.75" customHeight="1">
      <c r="G710" s="259"/>
    </row>
    <row r="711" ht="15.75" customHeight="1">
      <c r="G711" s="259"/>
    </row>
    <row r="712" ht="15.75" customHeight="1">
      <c r="G712" s="259"/>
    </row>
    <row r="713" ht="15.75" customHeight="1">
      <c r="G713" s="259"/>
    </row>
    <row r="714" ht="15.75" customHeight="1">
      <c r="G714" s="259"/>
    </row>
    <row r="715" ht="15.75" customHeight="1">
      <c r="G715" s="259"/>
    </row>
    <row r="716" ht="15.75" customHeight="1">
      <c r="G716" s="259"/>
    </row>
    <row r="717" ht="15.75" customHeight="1">
      <c r="G717" s="259"/>
    </row>
    <row r="718" ht="15.75" customHeight="1">
      <c r="G718" s="259"/>
    </row>
    <row r="719" ht="15.75" customHeight="1">
      <c r="G719" s="259"/>
    </row>
    <row r="720" ht="15.75" customHeight="1">
      <c r="G720" s="259"/>
    </row>
    <row r="721" ht="15.75" customHeight="1">
      <c r="G721" s="259"/>
    </row>
    <row r="722" ht="15.75" customHeight="1">
      <c r="G722" s="259"/>
    </row>
    <row r="723" ht="15.75" customHeight="1">
      <c r="G723" s="259"/>
    </row>
    <row r="724" ht="15.75" customHeight="1">
      <c r="G724" s="259"/>
    </row>
    <row r="725" ht="15.75" customHeight="1">
      <c r="G725" s="259"/>
    </row>
    <row r="726" ht="15.75" customHeight="1">
      <c r="G726" s="259"/>
    </row>
    <row r="727" ht="15.75" customHeight="1">
      <c r="G727" s="259"/>
    </row>
    <row r="728" ht="15.75" customHeight="1">
      <c r="G728" s="259"/>
    </row>
    <row r="729" ht="15.75" customHeight="1">
      <c r="G729" s="259"/>
    </row>
    <row r="730" ht="15.75" customHeight="1">
      <c r="G730" s="259"/>
    </row>
    <row r="731" ht="15.75" customHeight="1">
      <c r="G731" s="259"/>
    </row>
    <row r="732" ht="15.75" customHeight="1">
      <c r="G732" s="259"/>
    </row>
    <row r="733" ht="15.75" customHeight="1">
      <c r="G733" s="259"/>
    </row>
    <row r="734" ht="15.75" customHeight="1">
      <c r="G734" s="259"/>
    </row>
    <row r="735" ht="15.75" customHeight="1">
      <c r="G735" s="259"/>
    </row>
    <row r="736" ht="15.75" customHeight="1">
      <c r="G736" s="259"/>
    </row>
    <row r="737" ht="15.75" customHeight="1">
      <c r="G737" s="259"/>
    </row>
    <row r="738" ht="15.75" customHeight="1">
      <c r="G738" s="259"/>
    </row>
    <row r="739" ht="15.75" customHeight="1">
      <c r="G739" s="259"/>
    </row>
    <row r="740" ht="15.75" customHeight="1">
      <c r="G740" s="259"/>
    </row>
    <row r="741" ht="15.75" customHeight="1">
      <c r="G741" s="259"/>
    </row>
    <row r="742" ht="15.75" customHeight="1">
      <c r="G742" s="259"/>
    </row>
    <row r="743" ht="15.75" customHeight="1">
      <c r="G743" s="259"/>
    </row>
    <row r="744" ht="15.75" customHeight="1">
      <c r="G744" s="259"/>
    </row>
    <row r="745" ht="15.75" customHeight="1">
      <c r="G745" s="259"/>
    </row>
    <row r="746" ht="15.75" customHeight="1">
      <c r="G746" s="259"/>
    </row>
    <row r="747" ht="15.75" customHeight="1">
      <c r="G747" s="259"/>
    </row>
    <row r="748" ht="15.75" customHeight="1">
      <c r="G748" s="259"/>
    </row>
    <row r="749" ht="15.75" customHeight="1">
      <c r="G749" s="259"/>
    </row>
    <row r="750" ht="15.75" customHeight="1">
      <c r="G750" s="259"/>
    </row>
    <row r="751" ht="15.75" customHeight="1">
      <c r="G751" s="259"/>
    </row>
    <row r="752" ht="15.75" customHeight="1">
      <c r="G752" s="259"/>
    </row>
    <row r="753" ht="15.75" customHeight="1">
      <c r="G753" s="259"/>
    </row>
    <row r="754" ht="15.75" customHeight="1">
      <c r="G754" s="259"/>
    </row>
    <row r="755" ht="15.75" customHeight="1">
      <c r="G755" s="259"/>
    </row>
    <row r="756" ht="15.75" customHeight="1">
      <c r="G756" s="259"/>
    </row>
    <row r="757" ht="15.75" customHeight="1">
      <c r="G757" s="259"/>
    </row>
    <row r="758" ht="15.75" customHeight="1">
      <c r="G758" s="259"/>
    </row>
    <row r="759" ht="15.75" customHeight="1">
      <c r="G759" s="259"/>
    </row>
    <row r="760" ht="15.75" customHeight="1">
      <c r="G760" s="259"/>
    </row>
    <row r="761" ht="15.75" customHeight="1">
      <c r="G761" s="259"/>
    </row>
    <row r="762" ht="15.75" customHeight="1">
      <c r="G762" s="259"/>
    </row>
    <row r="763" ht="15.75" customHeight="1">
      <c r="G763" s="259"/>
    </row>
    <row r="764" ht="15.75" customHeight="1">
      <c r="G764" s="259"/>
    </row>
    <row r="765" ht="15.75" customHeight="1">
      <c r="G765" s="259"/>
    </row>
    <row r="766" ht="15.75" customHeight="1">
      <c r="G766" s="259"/>
    </row>
    <row r="767" ht="15.75" customHeight="1">
      <c r="G767" s="259"/>
    </row>
    <row r="768" ht="15.75" customHeight="1">
      <c r="G768" s="259"/>
    </row>
    <row r="769" ht="15.75" customHeight="1">
      <c r="G769" s="259"/>
    </row>
    <row r="770" ht="15.75" customHeight="1">
      <c r="G770" s="259"/>
    </row>
    <row r="771" ht="15.75" customHeight="1">
      <c r="G771" s="259"/>
    </row>
    <row r="772" ht="15.75" customHeight="1">
      <c r="G772" s="259"/>
    </row>
    <row r="773" ht="15.75" customHeight="1">
      <c r="G773" s="259"/>
    </row>
    <row r="774" ht="15.75" customHeight="1">
      <c r="G774" s="259"/>
    </row>
    <row r="775" ht="15.75" customHeight="1">
      <c r="G775" s="259"/>
    </row>
    <row r="776" ht="15.75" customHeight="1">
      <c r="G776" s="259"/>
    </row>
    <row r="777" ht="15.75" customHeight="1">
      <c r="G777" s="259"/>
    </row>
    <row r="778" ht="15.75" customHeight="1">
      <c r="G778" s="259"/>
    </row>
    <row r="779" ht="15.75" customHeight="1">
      <c r="G779" s="259"/>
    </row>
    <row r="780" ht="15.75" customHeight="1">
      <c r="G780" s="259"/>
    </row>
    <row r="781" ht="15.75" customHeight="1">
      <c r="G781" s="259"/>
    </row>
    <row r="782" ht="15.75" customHeight="1">
      <c r="G782" s="259"/>
    </row>
    <row r="783" ht="15.75" customHeight="1">
      <c r="G783" s="259"/>
    </row>
    <row r="784" ht="15.75" customHeight="1">
      <c r="G784" s="259"/>
    </row>
    <row r="785" ht="15.75" customHeight="1">
      <c r="G785" s="259"/>
    </row>
    <row r="786" ht="15.75" customHeight="1">
      <c r="G786" s="259"/>
    </row>
    <row r="787" ht="15.75" customHeight="1">
      <c r="G787" s="259"/>
    </row>
    <row r="788" ht="15.75" customHeight="1">
      <c r="G788" s="259"/>
    </row>
    <row r="789" ht="15.75" customHeight="1">
      <c r="G789" s="259"/>
    </row>
    <row r="790" ht="15.75" customHeight="1">
      <c r="G790" s="259"/>
    </row>
    <row r="791" ht="15.75" customHeight="1">
      <c r="G791" s="259"/>
    </row>
    <row r="792" ht="15.75" customHeight="1">
      <c r="G792" s="259"/>
    </row>
    <row r="793" ht="15.75" customHeight="1">
      <c r="G793" s="259"/>
    </row>
    <row r="794" ht="15.75" customHeight="1">
      <c r="G794" s="259"/>
    </row>
    <row r="795" ht="15.75" customHeight="1">
      <c r="G795" s="259"/>
    </row>
    <row r="796" ht="15.75" customHeight="1">
      <c r="G796" s="259"/>
    </row>
    <row r="797" ht="15.75" customHeight="1">
      <c r="G797" s="259"/>
    </row>
    <row r="798" ht="15.75" customHeight="1">
      <c r="G798" s="259"/>
    </row>
    <row r="799" ht="15.75" customHeight="1">
      <c r="G799" s="259"/>
    </row>
    <row r="800" ht="15.75" customHeight="1">
      <c r="G800" s="259"/>
    </row>
    <row r="801" ht="15.75" customHeight="1">
      <c r="G801" s="259"/>
    </row>
    <row r="802" ht="15.75" customHeight="1">
      <c r="G802" s="259"/>
    </row>
    <row r="803" ht="15.75" customHeight="1">
      <c r="G803" s="259"/>
    </row>
    <row r="804" ht="15.75" customHeight="1">
      <c r="G804" s="259"/>
    </row>
    <row r="805" ht="15.75" customHeight="1">
      <c r="G805" s="259"/>
    </row>
    <row r="806" ht="15.75" customHeight="1">
      <c r="G806" s="259"/>
    </row>
    <row r="807" ht="15.75" customHeight="1">
      <c r="G807" s="259"/>
    </row>
    <row r="808" ht="15.75" customHeight="1">
      <c r="G808" s="259"/>
    </row>
    <row r="809" ht="15.75" customHeight="1">
      <c r="G809" s="259"/>
    </row>
    <row r="810" ht="15.75" customHeight="1">
      <c r="G810" s="259"/>
    </row>
    <row r="811" ht="15.75" customHeight="1">
      <c r="G811" s="259"/>
    </row>
    <row r="812" ht="15.75" customHeight="1">
      <c r="G812" s="259"/>
    </row>
    <row r="813" ht="15.75" customHeight="1">
      <c r="G813" s="259"/>
    </row>
    <row r="814" ht="15.75" customHeight="1">
      <c r="G814" s="259"/>
    </row>
    <row r="815" ht="15.75" customHeight="1">
      <c r="G815" s="259"/>
    </row>
    <row r="816" ht="15.75" customHeight="1">
      <c r="G816" s="259"/>
    </row>
    <row r="817" ht="15.75" customHeight="1">
      <c r="G817" s="259"/>
    </row>
    <row r="818" ht="15.75" customHeight="1">
      <c r="G818" s="259"/>
    </row>
    <row r="819" ht="15.75" customHeight="1">
      <c r="G819" s="259"/>
    </row>
    <row r="820" ht="15.75" customHeight="1">
      <c r="G820" s="259"/>
    </row>
    <row r="821" ht="15.75" customHeight="1">
      <c r="G821" s="259"/>
    </row>
    <row r="822" ht="15.75" customHeight="1">
      <c r="G822" s="259"/>
    </row>
    <row r="823" ht="15.75" customHeight="1">
      <c r="G823" s="259"/>
    </row>
    <row r="824" ht="15.75" customHeight="1">
      <c r="G824" s="259"/>
    </row>
    <row r="825" ht="15.75" customHeight="1">
      <c r="G825" s="259"/>
    </row>
    <row r="826" ht="15.75" customHeight="1">
      <c r="G826" s="259"/>
    </row>
    <row r="827" ht="15.75" customHeight="1">
      <c r="G827" s="259"/>
    </row>
    <row r="828" ht="15.75" customHeight="1">
      <c r="G828" s="259"/>
    </row>
    <row r="829" ht="15.75" customHeight="1">
      <c r="G829" s="259"/>
    </row>
    <row r="830" ht="15.75" customHeight="1">
      <c r="G830" s="259"/>
    </row>
    <row r="831" ht="15.75" customHeight="1">
      <c r="G831" s="259"/>
    </row>
    <row r="832" ht="15.75" customHeight="1">
      <c r="G832" s="259"/>
    </row>
    <row r="833" ht="15.75" customHeight="1">
      <c r="G833" s="259"/>
    </row>
    <row r="834" ht="15.75" customHeight="1">
      <c r="G834" s="259"/>
    </row>
    <row r="835" ht="15.75" customHeight="1">
      <c r="G835" s="259"/>
    </row>
    <row r="836" ht="15.75" customHeight="1">
      <c r="G836" s="259"/>
    </row>
    <row r="837" ht="15.75" customHeight="1">
      <c r="G837" s="259"/>
    </row>
    <row r="838" ht="15.75" customHeight="1">
      <c r="G838" s="259"/>
    </row>
    <row r="839" ht="15.75" customHeight="1">
      <c r="G839" s="259"/>
    </row>
    <row r="840" ht="15.75" customHeight="1">
      <c r="G840" s="259"/>
    </row>
    <row r="841" ht="15.75" customHeight="1">
      <c r="G841" s="259"/>
    </row>
    <row r="842" ht="15.75" customHeight="1">
      <c r="G842" s="259"/>
    </row>
    <row r="843" ht="15.75" customHeight="1">
      <c r="G843" s="259"/>
    </row>
    <row r="844" ht="15.75" customHeight="1">
      <c r="G844" s="259"/>
    </row>
    <row r="845" ht="15.75" customHeight="1">
      <c r="G845" s="259"/>
    </row>
    <row r="846" ht="15.75" customHeight="1">
      <c r="G846" s="259"/>
    </row>
    <row r="847" ht="15.75" customHeight="1">
      <c r="G847" s="259"/>
    </row>
    <row r="848" ht="15.75" customHeight="1">
      <c r="G848" s="259"/>
    </row>
    <row r="849" ht="15.75" customHeight="1">
      <c r="G849" s="259"/>
    </row>
    <row r="850" ht="15.75" customHeight="1">
      <c r="G850" s="259"/>
    </row>
    <row r="851" ht="15.75" customHeight="1">
      <c r="G851" s="259"/>
    </row>
    <row r="852" ht="15.75" customHeight="1">
      <c r="G852" s="259"/>
    </row>
    <row r="853" ht="15.75" customHeight="1">
      <c r="G853" s="259"/>
    </row>
    <row r="854" ht="15.75" customHeight="1">
      <c r="G854" s="259"/>
    </row>
    <row r="855" ht="15.75" customHeight="1">
      <c r="G855" s="259"/>
    </row>
    <row r="856" ht="15.75" customHeight="1">
      <c r="G856" s="259"/>
    </row>
    <row r="857" ht="15.75" customHeight="1">
      <c r="G857" s="259"/>
    </row>
    <row r="858" ht="15.75" customHeight="1">
      <c r="G858" s="259"/>
    </row>
    <row r="859" ht="15.75" customHeight="1">
      <c r="G859" s="259"/>
    </row>
    <row r="860" ht="15.75" customHeight="1">
      <c r="G860" s="259"/>
    </row>
    <row r="861" ht="15.75" customHeight="1">
      <c r="G861" s="259"/>
    </row>
    <row r="862" ht="15.75" customHeight="1">
      <c r="G862" s="259"/>
    </row>
    <row r="863" ht="15.75" customHeight="1">
      <c r="G863" s="259"/>
    </row>
    <row r="864" ht="15.75" customHeight="1">
      <c r="G864" s="259"/>
    </row>
    <row r="865" ht="15.75" customHeight="1">
      <c r="G865" s="259"/>
    </row>
    <row r="866" ht="15.75" customHeight="1">
      <c r="G866" s="259"/>
    </row>
    <row r="867" ht="15.75" customHeight="1">
      <c r="G867" s="259"/>
    </row>
    <row r="868" ht="15.75" customHeight="1">
      <c r="G868" s="259"/>
    </row>
    <row r="869" ht="15.75" customHeight="1">
      <c r="G869" s="259"/>
    </row>
    <row r="870" ht="15.75" customHeight="1">
      <c r="G870" s="259"/>
    </row>
    <row r="871" ht="15.75" customHeight="1">
      <c r="G871" s="259"/>
    </row>
    <row r="872" ht="15.75" customHeight="1">
      <c r="G872" s="259"/>
    </row>
    <row r="873" ht="15.75" customHeight="1">
      <c r="G873" s="259"/>
    </row>
    <row r="874" ht="15.75" customHeight="1">
      <c r="G874" s="259"/>
    </row>
    <row r="875" ht="15.75" customHeight="1">
      <c r="G875" s="259"/>
    </row>
    <row r="876" ht="15.75" customHeight="1">
      <c r="G876" s="259"/>
    </row>
    <row r="877" ht="15.75" customHeight="1">
      <c r="G877" s="259"/>
    </row>
    <row r="878" ht="15.75" customHeight="1">
      <c r="G878" s="259"/>
    </row>
    <row r="879" ht="15.75" customHeight="1">
      <c r="G879" s="259"/>
    </row>
    <row r="880" ht="15.75" customHeight="1">
      <c r="G880" s="259"/>
    </row>
    <row r="881" ht="15.75" customHeight="1">
      <c r="G881" s="259"/>
    </row>
    <row r="882" ht="15.75" customHeight="1">
      <c r="G882" s="259"/>
    </row>
    <row r="883" ht="15.75" customHeight="1">
      <c r="G883" s="259"/>
    </row>
    <row r="884" ht="15.75" customHeight="1">
      <c r="G884" s="259"/>
    </row>
    <row r="885" ht="15.75" customHeight="1">
      <c r="G885" s="259"/>
    </row>
    <row r="886" ht="15.75" customHeight="1">
      <c r="G886" s="259"/>
    </row>
    <row r="887" ht="15.75" customHeight="1">
      <c r="G887" s="259"/>
    </row>
    <row r="888" ht="15.75" customHeight="1">
      <c r="G888" s="259"/>
    </row>
    <row r="889" ht="15.75" customHeight="1">
      <c r="G889" s="259"/>
    </row>
    <row r="890" ht="15.75" customHeight="1">
      <c r="G890" s="259"/>
    </row>
    <row r="891" ht="15.75" customHeight="1">
      <c r="G891" s="259"/>
    </row>
    <row r="892" ht="15.75" customHeight="1">
      <c r="G892" s="259"/>
    </row>
    <row r="893" ht="15.75" customHeight="1">
      <c r="G893" s="259"/>
    </row>
    <row r="894" ht="15.75" customHeight="1">
      <c r="G894" s="259"/>
    </row>
    <row r="895" ht="15.75" customHeight="1">
      <c r="G895" s="259"/>
    </row>
    <row r="896" ht="15.75" customHeight="1">
      <c r="G896" s="259"/>
    </row>
    <row r="897" ht="15.75" customHeight="1">
      <c r="G897" s="259"/>
    </row>
    <row r="898" ht="15.75" customHeight="1">
      <c r="G898" s="259"/>
    </row>
    <row r="899" ht="15.75" customHeight="1">
      <c r="G899" s="259"/>
    </row>
    <row r="900" ht="15.75" customHeight="1">
      <c r="G900" s="259"/>
    </row>
    <row r="901" ht="15.75" customHeight="1">
      <c r="G901" s="259"/>
    </row>
    <row r="902" ht="15.75" customHeight="1">
      <c r="G902" s="259"/>
    </row>
    <row r="903" ht="15.75" customHeight="1">
      <c r="G903" s="259"/>
    </row>
    <row r="904" ht="15.75" customHeight="1">
      <c r="G904" s="259"/>
    </row>
    <row r="905" ht="15.75" customHeight="1">
      <c r="G905" s="259"/>
    </row>
    <row r="906" ht="15.75" customHeight="1">
      <c r="G906" s="259"/>
    </row>
    <row r="907" ht="15.75" customHeight="1">
      <c r="G907" s="259"/>
    </row>
    <row r="908" ht="15.75" customHeight="1">
      <c r="G908" s="259"/>
    </row>
    <row r="909" ht="15.75" customHeight="1">
      <c r="G909" s="259"/>
    </row>
    <row r="910" ht="15.75" customHeight="1">
      <c r="G910" s="259"/>
    </row>
    <row r="911" ht="15.75" customHeight="1">
      <c r="G911" s="259"/>
    </row>
    <row r="912" ht="15.75" customHeight="1">
      <c r="G912" s="259"/>
    </row>
    <row r="913" ht="15.75" customHeight="1">
      <c r="G913" s="259"/>
    </row>
    <row r="914" ht="15.75" customHeight="1">
      <c r="G914" s="259"/>
    </row>
    <row r="915" ht="15.75" customHeight="1">
      <c r="G915" s="259"/>
    </row>
    <row r="916" ht="15.75" customHeight="1">
      <c r="G916" s="259"/>
    </row>
    <row r="917" ht="15.75" customHeight="1">
      <c r="G917" s="259"/>
    </row>
    <row r="918" ht="15.75" customHeight="1">
      <c r="G918" s="259"/>
    </row>
    <row r="919" ht="15.75" customHeight="1">
      <c r="G919" s="259"/>
    </row>
    <row r="920" ht="15.75" customHeight="1">
      <c r="G920" s="259"/>
    </row>
    <row r="921" ht="15.75" customHeight="1">
      <c r="G921" s="259"/>
    </row>
    <row r="922" ht="15.75" customHeight="1">
      <c r="G922" s="259"/>
    </row>
    <row r="923" ht="15.75" customHeight="1">
      <c r="G923" s="259"/>
    </row>
    <row r="924" ht="15.75" customHeight="1">
      <c r="G924" s="259"/>
    </row>
    <row r="925" ht="15.75" customHeight="1">
      <c r="G925" s="259"/>
    </row>
    <row r="926" ht="15.75" customHeight="1">
      <c r="G926" s="259"/>
    </row>
    <row r="927" ht="15.75" customHeight="1">
      <c r="G927" s="259"/>
    </row>
    <row r="928" ht="15.75" customHeight="1">
      <c r="G928" s="259"/>
    </row>
    <row r="929" ht="15.75" customHeight="1">
      <c r="G929" s="259"/>
    </row>
    <row r="930" ht="15.75" customHeight="1">
      <c r="G930" s="259"/>
    </row>
    <row r="931" ht="15.75" customHeight="1">
      <c r="G931" s="259"/>
    </row>
    <row r="932" ht="15.75" customHeight="1">
      <c r="G932" s="259"/>
    </row>
    <row r="933" ht="15.75" customHeight="1">
      <c r="G933" s="259"/>
    </row>
    <row r="934" ht="15.75" customHeight="1">
      <c r="G934" s="259"/>
    </row>
    <row r="935" ht="15.75" customHeight="1">
      <c r="G935" s="259"/>
    </row>
    <row r="936" ht="15.75" customHeight="1">
      <c r="G936" s="259"/>
    </row>
    <row r="937" ht="15.75" customHeight="1">
      <c r="G937" s="259"/>
    </row>
    <row r="938" ht="15.75" customHeight="1">
      <c r="G938" s="259"/>
    </row>
    <row r="939" ht="15.75" customHeight="1">
      <c r="G939" s="259"/>
    </row>
    <row r="940" ht="15.75" customHeight="1">
      <c r="G940" s="259"/>
    </row>
    <row r="941" ht="15.75" customHeight="1">
      <c r="G941" s="259"/>
    </row>
    <row r="942" ht="15.75" customHeight="1">
      <c r="G942" s="259"/>
    </row>
    <row r="943" ht="15.75" customHeight="1">
      <c r="G943" s="259"/>
    </row>
    <row r="944" ht="15.75" customHeight="1">
      <c r="G944" s="259"/>
    </row>
    <row r="945" ht="15.75" customHeight="1">
      <c r="G945" s="259"/>
    </row>
    <row r="946" ht="15.75" customHeight="1">
      <c r="G946" s="259"/>
    </row>
    <row r="947" ht="15.75" customHeight="1">
      <c r="G947" s="259"/>
    </row>
    <row r="948" ht="15.75" customHeight="1">
      <c r="G948" s="259"/>
    </row>
    <row r="949" ht="15.75" customHeight="1">
      <c r="G949" s="259"/>
    </row>
    <row r="950" ht="15.75" customHeight="1">
      <c r="G950" s="259"/>
    </row>
    <row r="951" ht="15.75" customHeight="1">
      <c r="G951" s="259"/>
    </row>
    <row r="952" ht="15.75" customHeight="1">
      <c r="G952" s="259"/>
    </row>
    <row r="953" ht="15.75" customHeight="1">
      <c r="G953" s="259"/>
    </row>
    <row r="954" ht="15.75" customHeight="1">
      <c r="G954" s="259"/>
    </row>
    <row r="955" ht="15.75" customHeight="1">
      <c r="G955" s="259"/>
    </row>
    <row r="956" ht="15.75" customHeight="1">
      <c r="G956" s="259"/>
    </row>
    <row r="957" ht="15.75" customHeight="1">
      <c r="G957" s="259"/>
    </row>
    <row r="958" ht="15.75" customHeight="1">
      <c r="G958" s="259"/>
    </row>
    <row r="959" ht="15.75" customHeight="1">
      <c r="G959" s="259"/>
    </row>
    <row r="960" ht="15.75" customHeight="1">
      <c r="G960" s="259"/>
    </row>
    <row r="961" ht="15.75" customHeight="1">
      <c r="G961" s="259"/>
    </row>
    <row r="962" ht="15.75" customHeight="1">
      <c r="G962" s="259"/>
    </row>
    <row r="963" ht="15.75" customHeight="1">
      <c r="G963" s="259"/>
    </row>
    <row r="964" ht="15.75" customHeight="1">
      <c r="G964" s="259"/>
    </row>
    <row r="965" ht="15.75" customHeight="1">
      <c r="G965" s="259"/>
    </row>
    <row r="966" ht="15.75" customHeight="1">
      <c r="G966" s="259"/>
    </row>
    <row r="967" ht="15.75" customHeight="1">
      <c r="G967" s="259"/>
    </row>
    <row r="968" ht="15.75" customHeight="1">
      <c r="G968" s="259"/>
    </row>
    <row r="969" ht="15.75" customHeight="1">
      <c r="G969" s="259"/>
    </row>
    <row r="970" ht="15.75" customHeight="1">
      <c r="G970" s="259"/>
    </row>
    <row r="971" ht="15.75" customHeight="1">
      <c r="G971" s="259"/>
    </row>
    <row r="972" ht="15.75" customHeight="1">
      <c r="G972" s="259"/>
    </row>
    <row r="973" ht="15.75" customHeight="1">
      <c r="G973" s="259"/>
    </row>
    <row r="974" ht="15.75" customHeight="1">
      <c r="G974" s="259"/>
    </row>
    <row r="975" ht="15.75" customHeight="1">
      <c r="G975" s="259"/>
    </row>
    <row r="976" ht="15.75" customHeight="1">
      <c r="G976" s="259"/>
    </row>
    <row r="977" ht="15.75" customHeight="1">
      <c r="G977" s="259"/>
    </row>
    <row r="978" ht="15.75" customHeight="1">
      <c r="G978" s="259"/>
    </row>
    <row r="979" ht="15.75" customHeight="1">
      <c r="G979" s="259"/>
    </row>
    <row r="980" ht="15.75" customHeight="1">
      <c r="G980" s="259"/>
    </row>
    <row r="981" ht="15.75" customHeight="1">
      <c r="G981" s="259"/>
    </row>
    <row r="982" ht="15.75" customHeight="1">
      <c r="G982" s="259"/>
    </row>
    <row r="983" ht="15.75" customHeight="1">
      <c r="G983" s="259"/>
    </row>
    <row r="984" ht="15.75" customHeight="1">
      <c r="G984" s="259"/>
    </row>
    <row r="985" ht="15.75" customHeight="1">
      <c r="G985" s="259"/>
    </row>
    <row r="986" ht="15.75" customHeight="1">
      <c r="G986" s="259"/>
    </row>
    <row r="987" ht="15.75" customHeight="1">
      <c r="G987" s="259"/>
    </row>
    <row r="988" ht="15.75" customHeight="1">
      <c r="G988" s="259"/>
    </row>
    <row r="989" ht="15.75" customHeight="1">
      <c r="G989" s="259"/>
    </row>
    <row r="990" ht="15.75" customHeight="1">
      <c r="G990" s="259"/>
    </row>
    <row r="991" ht="15.75" customHeight="1">
      <c r="G991" s="259"/>
    </row>
    <row r="992" ht="15.75" customHeight="1">
      <c r="G992" s="259"/>
    </row>
    <row r="993" ht="15.75" customHeight="1">
      <c r="G993" s="259"/>
    </row>
    <row r="994" ht="15.75" customHeight="1">
      <c r="G994" s="259"/>
    </row>
    <row r="995" ht="15.75" customHeight="1">
      <c r="G995" s="259"/>
    </row>
    <row r="996" ht="15.75" customHeight="1">
      <c r="G996" s="259"/>
    </row>
    <row r="997" ht="15.75" customHeight="1">
      <c r="G997" s="259"/>
    </row>
    <row r="998" ht="15.75" customHeight="1">
      <c r="G998" s="259"/>
    </row>
    <row r="999" ht="15.75" customHeight="1">
      <c r="G999" s="259"/>
    </row>
    <row r="1000" ht="15.75" customHeight="1">
      <c r="G1000" s="259"/>
    </row>
  </sheetData>
  <conditionalFormatting sqref="I10:S12">
    <cfRule type="cellIs" dxfId="4" priority="1" operator="greaterThan">
      <formula>0</formula>
    </cfRule>
  </conditionalFormatting>
  <conditionalFormatting sqref="T10:AB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C12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B18">
    <cfRule type="cellIs" dxfId="4" priority="6" operator="greaterThan">
      <formula>0</formula>
    </cfRule>
  </conditionalFormatting>
  <conditionalFormatting sqref="A16:AC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B24">
    <cfRule type="cellIs" dxfId="4" priority="9" operator="greaterThan">
      <formula>0</formula>
    </cfRule>
  </conditionalFormatting>
  <conditionalFormatting sqref="A22:AC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B30">
    <cfRule type="cellIs" dxfId="4" priority="12" operator="greaterThan">
      <formula>0</formula>
    </cfRule>
  </conditionalFormatting>
  <conditionalFormatting sqref="A28:AC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B36">
    <cfRule type="cellIs" dxfId="4" priority="15" operator="greaterThan">
      <formula>0</formula>
    </cfRule>
  </conditionalFormatting>
  <conditionalFormatting sqref="A34:AC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293" t="s">
        <v>247</v>
      </c>
      <c r="B1" s="294"/>
      <c r="C1" s="294"/>
      <c r="D1" s="294"/>
      <c r="E1" s="294"/>
      <c r="F1" s="294"/>
      <c r="G1" s="295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</row>
    <row r="2" ht="19.5" customHeight="1">
      <c r="A2" s="297" t="s">
        <v>106</v>
      </c>
      <c r="B2" s="299"/>
      <c r="C2" s="299"/>
      <c r="D2" s="299"/>
      <c r="E2" s="299"/>
      <c r="F2" s="299"/>
      <c r="G2" s="300"/>
      <c r="H2" s="299"/>
      <c r="I2" s="299"/>
      <c r="J2" s="299"/>
      <c r="K2" s="299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299"/>
      <c r="W2" s="299"/>
      <c r="X2" s="299"/>
      <c r="Y2" s="299"/>
      <c r="Z2" s="299"/>
      <c r="AA2" s="299"/>
      <c r="AB2" s="299"/>
      <c r="AC2" s="299"/>
    </row>
    <row r="3">
      <c r="A3" s="301" t="s">
        <v>236</v>
      </c>
      <c r="B3" s="302">
        <v>5.0</v>
      </c>
      <c r="C3" s="294"/>
      <c r="D3" s="294"/>
      <c r="E3" s="294"/>
      <c r="F3" s="294"/>
      <c r="G3" s="295"/>
      <c r="H3" s="294"/>
      <c r="I3" s="294"/>
      <c r="J3" s="294"/>
      <c r="K3" s="294"/>
      <c r="L3" s="294"/>
      <c r="M3" s="294"/>
      <c r="N3" s="294"/>
      <c r="O3" s="294"/>
      <c r="P3" s="294"/>
      <c r="Q3" s="294"/>
      <c r="R3" s="294"/>
      <c r="S3" s="294"/>
      <c r="T3" s="294"/>
      <c r="U3" s="294"/>
      <c r="V3" s="294"/>
      <c r="W3" s="294"/>
      <c r="X3" s="294"/>
      <c r="Y3" s="294"/>
      <c r="Z3" s="294"/>
      <c r="AA3" s="294"/>
      <c r="AB3" s="294"/>
      <c r="AC3" s="294"/>
    </row>
    <row r="4">
      <c r="A4" s="301" t="s">
        <v>237</v>
      </c>
      <c r="B4" s="302">
        <v>3.0</v>
      </c>
      <c r="C4" s="294"/>
      <c r="D4" s="294"/>
      <c r="E4" s="294"/>
      <c r="F4" s="294"/>
      <c r="G4" s="295"/>
      <c r="H4" s="294"/>
      <c r="I4" s="294"/>
      <c r="J4" s="294"/>
      <c r="K4" s="294"/>
      <c r="L4" s="294"/>
      <c r="M4" s="294"/>
      <c r="N4" s="294"/>
      <c r="O4" s="294"/>
      <c r="P4" s="294"/>
      <c r="Q4" s="294"/>
      <c r="R4" s="294"/>
      <c r="S4" s="294"/>
      <c r="T4" s="294"/>
      <c r="U4" s="294"/>
      <c r="V4" s="294"/>
      <c r="W4" s="294"/>
      <c r="X4" s="294"/>
      <c r="Y4" s="294"/>
      <c r="Z4" s="294"/>
      <c r="AA4" s="294"/>
      <c r="AB4" s="294"/>
      <c r="AC4" s="294"/>
    </row>
    <row r="5">
      <c r="A5" s="301" t="s">
        <v>238</v>
      </c>
      <c r="B5" s="302">
        <v>1.0</v>
      </c>
      <c r="C5" s="294"/>
      <c r="D5" s="294"/>
      <c r="E5" s="294"/>
      <c r="F5" s="294"/>
      <c r="G5" s="295"/>
      <c r="H5" s="294"/>
      <c r="I5" s="294"/>
      <c r="J5" s="294"/>
      <c r="K5" s="294"/>
      <c r="L5" s="294"/>
      <c r="M5" s="294"/>
      <c r="N5" s="294"/>
      <c r="O5" s="294"/>
      <c r="P5" s="294"/>
      <c r="Q5" s="294"/>
      <c r="R5" s="294"/>
      <c r="S5" s="294"/>
      <c r="T5" s="294"/>
      <c r="U5" s="294"/>
      <c r="V5" s="294"/>
      <c r="W5" s="294"/>
      <c r="X5" s="294"/>
      <c r="Y5" s="294"/>
      <c r="Z5" s="294"/>
      <c r="AA5" s="294"/>
      <c r="AB5" s="294"/>
      <c r="AC5" s="294"/>
    </row>
    <row r="6">
      <c r="A6" s="294"/>
      <c r="B6" s="294"/>
      <c r="C6" s="294"/>
      <c r="D6" s="294"/>
      <c r="E6" s="294"/>
      <c r="F6" s="294"/>
      <c r="G6" s="295"/>
      <c r="H6" s="294"/>
      <c r="I6" s="294"/>
      <c r="J6" s="294"/>
      <c r="K6" s="294"/>
      <c r="L6" s="294"/>
      <c r="M6" s="294"/>
      <c r="N6" s="294"/>
      <c r="O6" s="294"/>
      <c r="P6" s="294"/>
      <c r="Q6" s="294"/>
      <c r="R6" s="294"/>
      <c r="S6" s="294"/>
      <c r="T6" s="294"/>
      <c r="U6" s="294"/>
      <c r="V6" s="294"/>
      <c r="W6" s="294"/>
      <c r="X6" s="294"/>
      <c r="Y6" s="294"/>
      <c r="Z6" s="294"/>
      <c r="AA6" s="294"/>
      <c r="AB6" s="294"/>
      <c r="AC6" s="294"/>
    </row>
    <row r="7" ht="19.5" customHeight="1">
      <c r="A7" s="303" t="s">
        <v>133</v>
      </c>
      <c r="B7" s="304"/>
      <c r="C7" s="304"/>
      <c r="D7" s="304"/>
      <c r="E7" s="304"/>
      <c r="F7" s="304"/>
      <c r="G7" s="305"/>
      <c r="H7" s="304"/>
      <c r="I7" s="304"/>
      <c r="J7" s="304"/>
      <c r="K7" s="304"/>
      <c r="L7" s="304"/>
      <c r="M7" s="304"/>
      <c r="N7" s="304"/>
      <c r="O7" s="304"/>
      <c r="P7" s="304"/>
      <c r="Q7" s="304"/>
      <c r="R7" s="304"/>
      <c r="S7" s="304"/>
      <c r="T7" s="304"/>
      <c r="U7" s="304"/>
      <c r="V7" s="304"/>
      <c r="W7" s="304"/>
      <c r="X7" s="304"/>
      <c r="Y7" s="304"/>
      <c r="Z7" s="304"/>
      <c r="AA7" s="304"/>
      <c r="AB7" s="304"/>
      <c r="AC7" s="304"/>
    </row>
    <row r="8" ht="17.25" customHeight="1">
      <c r="A8" s="306" t="s">
        <v>19</v>
      </c>
      <c r="B8" s="307"/>
      <c r="C8" s="307"/>
      <c r="D8" s="307"/>
      <c r="E8" s="307"/>
      <c r="F8" s="307"/>
      <c r="G8" s="91"/>
      <c r="H8" s="307"/>
      <c r="I8" s="307"/>
      <c r="J8" s="307"/>
      <c r="K8" s="307"/>
      <c r="L8" s="307"/>
      <c r="M8" s="307"/>
      <c r="N8" s="307"/>
      <c r="O8" s="307"/>
      <c r="P8" s="307"/>
      <c r="Q8" s="307"/>
      <c r="R8" s="307"/>
      <c r="S8" s="307"/>
      <c r="T8" s="307"/>
      <c r="U8" s="307"/>
      <c r="V8" s="307"/>
      <c r="W8" s="307"/>
      <c r="X8" s="307"/>
      <c r="Y8" s="307"/>
      <c r="Z8" s="307"/>
      <c r="AA8" s="307"/>
      <c r="AB8" s="307"/>
      <c r="AC8" s="307"/>
    </row>
    <row r="9" ht="90.0" customHeight="1">
      <c r="A9" s="266" t="s">
        <v>160</v>
      </c>
      <c r="B9" s="266" t="s">
        <v>174</v>
      </c>
      <c r="C9" s="266" t="s">
        <v>239</v>
      </c>
      <c r="D9" s="308" t="s">
        <v>240</v>
      </c>
      <c r="E9" s="308" t="s">
        <v>241</v>
      </c>
      <c r="F9" s="266" t="s">
        <v>34</v>
      </c>
      <c r="G9" s="268" t="s">
        <v>242</v>
      </c>
      <c r="H9" s="294"/>
      <c r="I9" s="309" t="s">
        <v>46</v>
      </c>
      <c r="J9" s="309" t="s">
        <v>47</v>
      </c>
      <c r="K9" s="309" t="s">
        <v>48</v>
      </c>
      <c r="L9" s="309" t="s">
        <v>50</v>
      </c>
      <c r="M9" s="309" t="s">
        <v>52</v>
      </c>
      <c r="N9" s="309" t="s">
        <v>53</v>
      </c>
      <c r="O9" s="309" t="s">
        <v>54</v>
      </c>
      <c r="P9" s="309" t="s">
        <v>55</v>
      </c>
      <c r="Q9" s="309" t="s">
        <v>56</v>
      </c>
      <c r="R9" s="309" t="s">
        <v>57</v>
      </c>
      <c r="S9" s="309" t="s">
        <v>58</v>
      </c>
      <c r="T9" s="310" t="s">
        <v>121</v>
      </c>
      <c r="U9" s="310" t="s">
        <v>135</v>
      </c>
      <c r="V9" s="310" t="s">
        <v>122</v>
      </c>
      <c r="W9" s="310" t="s">
        <v>123</v>
      </c>
      <c r="X9" s="310" t="s">
        <v>124</v>
      </c>
      <c r="Y9" s="310" t="s">
        <v>125</v>
      </c>
      <c r="Z9" s="310" t="s">
        <v>126</v>
      </c>
      <c r="AA9" s="310" t="s">
        <v>127</v>
      </c>
      <c r="AB9" s="310" t="s">
        <v>128</v>
      </c>
      <c r="AC9" s="266" t="s">
        <v>243</v>
      </c>
    </row>
    <row r="10">
      <c r="A10" s="311">
        <v>1.0</v>
      </c>
      <c r="B10" s="311">
        <v>1.0</v>
      </c>
      <c r="C10" s="311" t="s">
        <v>244</v>
      </c>
      <c r="D10" s="312">
        <v>2.0</v>
      </c>
      <c r="E10" s="312">
        <v>2.0</v>
      </c>
      <c r="F10" s="312">
        <v>0.0</v>
      </c>
      <c r="G10" s="313">
        <f t="shared" ref="G10:G12" si="1">IF(D10=0,0,F10/D10)</f>
        <v>0</v>
      </c>
      <c r="H10" s="294"/>
      <c r="I10" s="312">
        <v>0.0</v>
      </c>
      <c r="J10" s="312">
        <v>0.0</v>
      </c>
      <c r="K10" s="312">
        <v>0.0</v>
      </c>
      <c r="L10" s="312">
        <v>0.0</v>
      </c>
      <c r="M10" s="312">
        <v>0.0</v>
      </c>
      <c r="N10" s="312">
        <v>0.0</v>
      </c>
      <c r="O10" s="312">
        <v>0.0</v>
      </c>
      <c r="P10" s="314">
        <v>20.0</v>
      </c>
      <c r="Q10" s="312">
        <v>0.0</v>
      </c>
      <c r="R10" s="312">
        <v>0.0</v>
      </c>
      <c r="S10" s="312">
        <v>0.0</v>
      </c>
      <c r="T10" s="311">
        <v>0.0</v>
      </c>
      <c r="U10" s="311">
        <v>0.0</v>
      </c>
      <c r="V10" s="311">
        <v>0.0</v>
      </c>
      <c r="W10" s="311">
        <v>0.0</v>
      </c>
      <c r="X10" s="311">
        <v>0.0</v>
      </c>
      <c r="Y10" s="311">
        <v>0.0</v>
      </c>
      <c r="Z10" s="311">
        <v>0.0</v>
      </c>
      <c r="AA10" s="311">
        <v>0.0</v>
      </c>
      <c r="AB10" s="311">
        <v>0.0</v>
      </c>
      <c r="AC10" s="311">
        <f t="shared" ref="AC10:AC12" si="2">SUMPRODUCT(I10:S10, {0,33,50,67,167,67,50,4.17,7.56,12.17,16.22})</f>
        <v>83.4</v>
      </c>
    </row>
    <row r="11">
      <c r="A11" s="315">
        <v>2.0</v>
      </c>
      <c r="B11" s="315">
        <v>1.0</v>
      </c>
      <c r="C11" s="315" t="s">
        <v>244</v>
      </c>
      <c r="D11" s="316">
        <v>3.0</v>
      </c>
      <c r="E11" s="316">
        <v>5.0</v>
      </c>
      <c r="F11" s="316">
        <v>10.0</v>
      </c>
      <c r="G11" s="313">
        <f t="shared" si="1"/>
        <v>3.333333333</v>
      </c>
      <c r="H11" s="317"/>
      <c r="I11" s="316">
        <v>0.0</v>
      </c>
      <c r="J11" s="314">
        <v>1.0</v>
      </c>
      <c r="K11" s="316">
        <v>0.0</v>
      </c>
      <c r="L11" s="316">
        <v>0.0</v>
      </c>
      <c r="M11" s="316">
        <v>0.0</v>
      </c>
      <c r="N11" s="316">
        <v>0.0</v>
      </c>
      <c r="O11" s="316">
        <v>0.0</v>
      </c>
      <c r="P11" s="316">
        <v>0.0</v>
      </c>
      <c r="Q11" s="316">
        <v>0.0</v>
      </c>
      <c r="R11" s="316">
        <v>0.0</v>
      </c>
      <c r="S11" s="316">
        <v>0.0</v>
      </c>
      <c r="T11" s="315">
        <v>0.0</v>
      </c>
      <c r="U11" s="315">
        <v>0.0</v>
      </c>
      <c r="V11" s="315">
        <v>0.0</v>
      </c>
      <c r="W11" s="315">
        <v>0.0</v>
      </c>
      <c r="X11" s="315">
        <v>0.0</v>
      </c>
      <c r="Y11" s="315">
        <v>0.0</v>
      </c>
      <c r="Z11" s="315">
        <v>0.0</v>
      </c>
      <c r="AA11" s="315">
        <v>0.0</v>
      </c>
      <c r="AB11" s="315">
        <v>0.0</v>
      </c>
      <c r="AC11" s="315">
        <f t="shared" si="2"/>
        <v>33</v>
      </c>
    </row>
    <row r="12">
      <c r="A12" s="311">
        <v>3.0</v>
      </c>
      <c r="B12" s="311">
        <v>1.0</v>
      </c>
      <c r="C12" s="311" t="s">
        <v>244</v>
      </c>
      <c r="D12" s="312">
        <v>5.0</v>
      </c>
      <c r="E12" s="312">
        <v>10.0</v>
      </c>
      <c r="F12" s="312">
        <v>15.0</v>
      </c>
      <c r="G12" s="313">
        <f t="shared" si="1"/>
        <v>3</v>
      </c>
      <c r="H12" s="294"/>
      <c r="I12" s="312">
        <v>0.0</v>
      </c>
      <c r="J12" s="312">
        <v>0.0</v>
      </c>
      <c r="K12" s="314">
        <v>1.0</v>
      </c>
      <c r="L12" s="312">
        <v>0.0</v>
      </c>
      <c r="M12" s="314">
        <v>1.0</v>
      </c>
      <c r="N12" s="312">
        <v>0.0</v>
      </c>
      <c r="O12" s="312">
        <v>0.0</v>
      </c>
      <c r="P12" s="312">
        <v>0.0</v>
      </c>
      <c r="Q12" s="312">
        <v>0.0</v>
      </c>
      <c r="R12" s="312">
        <v>0.0</v>
      </c>
      <c r="S12" s="312">
        <v>0.0</v>
      </c>
      <c r="T12" s="311">
        <v>0.0</v>
      </c>
      <c r="U12" s="311">
        <v>0.0</v>
      </c>
      <c r="V12" s="311">
        <v>0.0</v>
      </c>
      <c r="W12" s="311">
        <v>0.0</v>
      </c>
      <c r="X12" s="311">
        <v>0.0</v>
      </c>
      <c r="Y12" s="311">
        <v>0.0</v>
      </c>
      <c r="Z12" s="311">
        <v>0.0</v>
      </c>
      <c r="AA12" s="311">
        <v>0.0</v>
      </c>
      <c r="AB12" s="311">
        <v>0.0</v>
      </c>
      <c r="AC12" s="311">
        <f t="shared" si="2"/>
        <v>217</v>
      </c>
    </row>
    <row r="13">
      <c r="A13" s="294"/>
      <c r="B13" s="294"/>
      <c r="C13" s="294"/>
      <c r="D13" s="294"/>
      <c r="E13" s="294"/>
      <c r="F13" s="294"/>
      <c r="G13" s="295"/>
      <c r="H13" s="294"/>
      <c r="I13" s="294"/>
      <c r="J13" s="294"/>
      <c r="K13" s="294"/>
      <c r="L13" s="294"/>
      <c r="M13" s="294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  <c r="Y13" s="294"/>
      <c r="Z13" s="294"/>
      <c r="AA13" s="294"/>
      <c r="AB13" s="294"/>
      <c r="AC13" s="294"/>
    </row>
    <row r="14" ht="17.25" customHeight="1">
      <c r="A14" s="306" t="s">
        <v>21</v>
      </c>
      <c r="B14" s="307"/>
      <c r="C14" s="307"/>
      <c r="D14" s="307"/>
      <c r="E14" s="307"/>
      <c r="F14" s="307"/>
      <c r="G14" s="91"/>
      <c r="H14" s="307"/>
      <c r="I14" s="307"/>
      <c r="J14" s="307"/>
      <c r="K14" s="307"/>
      <c r="L14" s="307"/>
      <c r="M14" s="307"/>
      <c r="N14" s="307"/>
      <c r="O14" s="307"/>
      <c r="P14" s="307"/>
      <c r="Q14" s="307"/>
      <c r="R14" s="307"/>
      <c r="S14" s="307"/>
      <c r="T14" s="307"/>
      <c r="U14" s="307"/>
      <c r="V14" s="307"/>
      <c r="W14" s="307"/>
      <c r="X14" s="307"/>
      <c r="Y14" s="307"/>
      <c r="Z14" s="307"/>
      <c r="AA14" s="307"/>
      <c r="AB14" s="307"/>
      <c r="AC14" s="307"/>
    </row>
    <row r="15" ht="90.0" customHeight="1">
      <c r="A15" s="162" t="s">
        <v>160</v>
      </c>
      <c r="B15" s="162" t="s">
        <v>174</v>
      </c>
      <c r="C15" s="162" t="s">
        <v>239</v>
      </c>
      <c r="D15" s="318" t="s">
        <v>240</v>
      </c>
      <c r="E15" s="318" t="s">
        <v>241</v>
      </c>
      <c r="F15" s="162" t="s">
        <v>34</v>
      </c>
      <c r="G15" s="275" t="s">
        <v>242</v>
      </c>
      <c r="H15" s="294"/>
      <c r="I15" s="319" t="s">
        <v>46</v>
      </c>
      <c r="J15" s="319" t="s">
        <v>47</v>
      </c>
      <c r="K15" s="319" t="s">
        <v>48</v>
      </c>
      <c r="L15" s="319" t="s">
        <v>50</v>
      </c>
      <c r="M15" s="319" t="s">
        <v>52</v>
      </c>
      <c r="N15" s="319" t="s">
        <v>53</v>
      </c>
      <c r="O15" s="319" t="s">
        <v>54</v>
      </c>
      <c r="P15" s="319" t="s">
        <v>55</v>
      </c>
      <c r="Q15" s="319" t="s">
        <v>56</v>
      </c>
      <c r="R15" s="319" t="s">
        <v>57</v>
      </c>
      <c r="S15" s="319" t="s">
        <v>58</v>
      </c>
      <c r="T15" s="246" t="s">
        <v>121</v>
      </c>
      <c r="U15" s="246" t="s">
        <v>135</v>
      </c>
      <c r="V15" s="246" t="s">
        <v>122</v>
      </c>
      <c r="W15" s="246" t="s">
        <v>123</v>
      </c>
      <c r="X15" s="246" t="s">
        <v>124</v>
      </c>
      <c r="Y15" s="246" t="s">
        <v>125</v>
      </c>
      <c r="Z15" s="246" t="s">
        <v>126</v>
      </c>
      <c r="AA15" s="246" t="s">
        <v>127</v>
      </c>
      <c r="AB15" s="246" t="s">
        <v>128</v>
      </c>
      <c r="AC15" s="162" t="s">
        <v>243</v>
      </c>
    </row>
    <row r="16">
      <c r="A16" s="311">
        <v>1.0</v>
      </c>
      <c r="B16" s="311">
        <v>1.0</v>
      </c>
      <c r="C16" s="311" t="s">
        <v>244</v>
      </c>
      <c r="D16" s="312">
        <v>6.0</v>
      </c>
      <c r="E16" s="312">
        <v>6.0</v>
      </c>
      <c r="F16" s="320">
        <v>10.0</v>
      </c>
      <c r="G16" s="313">
        <f t="shared" ref="G16:G18" si="3">IF(D16=0,0,F16/D16)</f>
        <v>1.666666667</v>
      </c>
      <c r="H16" s="294"/>
      <c r="I16" s="312">
        <v>0.0</v>
      </c>
      <c r="J16" s="312">
        <v>0.0</v>
      </c>
      <c r="K16" s="312">
        <v>0.0</v>
      </c>
      <c r="L16" s="312">
        <v>0.0</v>
      </c>
      <c r="M16" s="312">
        <v>0.0</v>
      </c>
      <c r="N16" s="312">
        <v>0.0</v>
      </c>
      <c r="O16" s="312">
        <v>0.0</v>
      </c>
      <c r="P16" s="314">
        <v>20.0</v>
      </c>
      <c r="Q16" s="312">
        <v>0.0</v>
      </c>
      <c r="R16" s="312">
        <v>0.0</v>
      </c>
      <c r="S16" s="312">
        <v>0.0</v>
      </c>
      <c r="T16" s="311">
        <v>0.0</v>
      </c>
      <c r="U16" s="311">
        <v>0.0</v>
      </c>
      <c r="V16" s="311">
        <v>0.0</v>
      </c>
      <c r="W16" s="311">
        <v>0.0</v>
      </c>
      <c r="X16" s="311">
        <v>0.0</v>
      </c>
      <c r="Y16" s="311">
        <v>0.0</v>
      </c>
      <c r="Z16" s="311">
        <v>0.0</v>
      </c>
      <c r="AA16" s="311">
        <v>0.0</v>
      </c>
      <c r="AB16" s="311">
        <v>0.0</v>
      </c>
      <c r="AC16" s="311">
        <f t="shared" ref="AC16:AC18" si="4">SUMPRODUCT(I16:S16, {0,33,50,67,167,67,50,4.17,7.56,12.17,16.22})</f>
        <v>83.4</v>
      </c>
    </row>
    <row r="17">
      <c r="A17" s="315">
        <v>2.0</v>
      </c>
      <c r="B17" s="315">
        <v>1.0</v>
      </c>
      <c r="C17" s="315" t="s">
        <v>244</v>
      </c>
      <c r="D17" s="316">
        <v>7.0</v>
      </c>
      <c r="E17" s="316">
        <v>13.0</v>
      </c>
      <c r="F17" s="321">
        <v>35.0</v>
      </c>
      <c r="G17" s="313">
        <f t="shared" si="3"/>
        <v>5</v>
      </c>
      <c r="H17" s="317"/>
      <c r="I17" s="316">
        <v>0.0</v>
      </c>
      <c r="J17" s="314">
        <v>1.0</v>
      </c>
      <c r="K17" s="316">
        <v>0.0</v>
      </c>
      <c r="L17" s="316">
        <v>0.0</v>
      </c>
      <c r="M17" s="316">
        <v>0.0</v>
      </c>
      <c r="N17" s="316">
        <v>0.0</v>
      </c>
      <c r="O17" s="316">
        <v>0.0</v>
      </c>
      <c r="P17" s="316">
        <v>0.0</v>
      </c>
      <c r="Q17" s="316">
        <v>0.0</v>
      </c>
      <c r="R17" s="316">
        <v>0.0</v>
      </c>
      <c r="S17" s="316">
        <v>0.0</v>
      </c>
      <c r="T17" s="315">
        <v>0.0</v>
      </c>
      <c r="U17" s="315">
        <v>0.0</v>
      </c>
      <c r="V17" s="315">
        <v>0.0</v>
      </c>
      <c r="W17" s="315">
        <v>0.0</v>
      </c>
      <c r="X17" s="315">
        <v>0.0</v>
      </c>
      <c r="Y17" s="315">
        <v>0.0</v>
      </c>
      <c r="Z17" s="315">
        <v>0.0</v>
      </c>
      <c r="AA17" s="315">
        <v>0.0</v>
      </c>
      <c r="AB17" s="315">
        <v>0.0</v>
      </c>
      <c r="AC17" s="315">
        <f t="shared" si="4"/>
        <v>33</v>
      </c>
    </row>
    <row r="18">
      <c r="A18" s="311">
        <v>3.0</v>
      </c>
      <c r="B18" s="311">
        <v>1.0</v>
      </c>
      <c r="C18" s="311" t="s">
        <v>244</v>
      </c>
      <c r="D18" s="312">
        <v>13.0</v>
      </c>
      <c r="E18" s="312">
        <v>26.0</v>
      </c>
      <c r="F18" s="322">
        <v>70.0</v>
      </c>
      <c r="G18" s="313">
        <f t="shared" si="3"/>
        <v>5.384615385</v>
      </c>
      <c r="H18" s="294"/>
      <c r="I18" s="312">
        <v>0.0</v>
      </c>
      <c r="J18" s="312">
        <v>0.0</v>
      </c>
      <c r="K18" s="314">
        <v>1.0</v>
      </c>
      <c r="L18" s="312">
        <v>0.0</v>
      </c>
      <c r="M18" s="314">
        <v>1.0</v>
      </c>
      <c r="N18" s="312">
        <v>0.0</v>
      </c>
      <c r="O18" s="312">
        <v>0.0</v>
      </c>
      <c r="P18" s="312">
        <v>0.0</v>
      </c>
      <c r="Q18" s="312">
        <v>0.0</v>
      </c>
      <c r="R18" s="312">
        <v>0.0</v>
      </c>
      <c r="S18" s="312">
        <v>0.0</v>
      </c>
      <c r="T18" s="311">
        <v>0.0</v>
      </c>
      <c r="U18" s="311">
        <v>0.0</v>
      </c>
      <c r="V18" s="311">
        <v>0.0</v>
      </c>
      <c r="W18" s="311">
        <v>0.0</v>
      </c>
      <c r="X18" s="311">
        <v>0.0</v>
      </c>
      <c r="Y18" s="311">
        <v>0.0</v>
      </c>
      <c r="Z18" s="311">
        <v>0.0</v>
      </c>
      <c r="AA18" s="311">
        <v>0.0</v>
      </c>
      <c r="AB18" s="311">
        <v>0.0</v>
      </c>
      <c r="AC18" s="311">
        <f t="shared" si="4"/>
        <v>217</v>
      </c>
    </row>
    <row r="19">
      <c r="A19" s="294"/>
      <c r="B19" s="294"/>
      <c r="C19" s="294"/>
      <c r="D19" s="294"/>
      <c r="E19" s="294"/>
      <c r="F19" s="294"/>
      <c r="G19" s="295"/>
      <c r="H19" s="294"/>
      <c r="I19" s="294"/>
      <c r="J19" s="294"/>
      <c r="K19" s="294"/>
      <c r="L19" s="294"/>
      <c r="M19" s="294"/>
      <c r="N19" s="294"/>
      <c r="O19" s="294"/>
      <c r="P19" s="294"/>
      <c r="Q19" s="294"/>
      <c r="R19" s="294"/>
      <c r="S19" s="294"/>
      <c r="T19" s="294"/>
      <c r="U19" s="294"/>
      <c r="V19" s="294"/>
      <c r="W19" s="294"/>
      <c r="X19" s="294"/>
      <c r="Y19" s="294"/>
      <c r="Z19" s="294"/>
      <c r="AA19" s="294"/>
      <c r="AB19" s="294"/>
      <c r="AC19" s="294"/>
    </row>
    <row r="20" ht="17.25" customHeight="1">
      <c r="A20" s="306" t="s">
        <v>22</v>
      </c>
      <c r="B20" s="307"/>
      <c r="C20" s="307"/>
      <c r="D20" s="307"/>
      <c r="E20" s="307"/>
      <c r="F20" s="307"/>
      <c r="G20" s="91"/>
      <c r="H20" s="307"/>
      <c r="I20" s="307"/>
      <c r="J20" s="307"/>
      <c r="K20" s="307"/>
      <c r="L20" s="307"/>
      <c r="M20" s="307"/>
      <c r="N20" s="307"/>
      <c r="O20" s="307"/>
      <c r="P20" s="307"/>
      <c r="Q20" s="307"/>
      <c r="R20" s="307"/>
      <c r="S20" s="307"/>
      <c r="T20" s="307"/>
      <c r="U20" s="307"/>
      <c r="V20" s="307"/>
      <c r="W20" s="307"/>
      <c r="X20" s="307"/>
      <c r="Y20" s="307"/>
      <c r="Z20" s="307"/>
      <c r="AA20" s="307"/>
      <c r="AB20" s="307"/>
      <c r="AC20" s="307"/>
    </row>
    <row r="21" ht="90.0" customHeight="1">
      <c r="A21" s="162" t="s">
        <v>160</v>
      </c>
      <c r="B21" s="162" t="s">
        <v>174</v>
      </c>
      <c r="C21" s="162" t="s">
        <v>239</v>
      </c>
      <c r="D21" s="318" t="s">
        <v>240</v>
      </c>
      <c r="E21" s="318" t="s">
        <v>241</v>
      </c>
      <c r="F21" s="162" t="s">
        <v>34</v>
      </c>
      <c r="G21" s="275" t="s">
        <v>242</v>
      </c>
      <c r="H21" s="294"/>
      <c r="I21" s="319" t="s">
        <v>46</v>
      </c>
      <c r="J21" s="319" t="s">
        <v>47</v>
      </c>
      <c r="K21" s="319" t="s">
        <v>48</v>
      </c>
      <c r="L21" s="319" t="s">
        <v>50</v>
      </c>
      <c r="M21" s="319" t="s">
        <v>52</v>
      </c>
      <c r="N21" s="319" t="s">
        <v>53</v>
      </c>
      <c r="O21" s="319" t="s">
        <v>54</v>
      </c>
      <c r="P21" s="319" t="s">
        <v>55</v>
      </c>
      <c r="Q21" s="319" t="s">
        <v>56</v>
      </c>
      <c r="R21" s="319" t="s">
        <v>57</v>
      </c>
      <c r="S21" s="319" t="s">
        <v>58</v>
      </c>
      <c r="T21" s="246" t="s">
        <v>121</v>
      </c>
      <c r="U21" s="246" t="s">
        <v>135</v>
      </c>
      <c r="V21" s="246" t="s">
        <v>122</v>
      </c>
      <c r="W21" s="246" t="s">
        <v>123</v>
      </c>
      <c r="X21" s="246" t="s">
        <v>124</v>
      </c>
      <c r="Y21" s="246" t="s">
        <v>125</v>
      </c>
      <c r="Z21" s="246" t="s">
        <v>126</v>
      </c>
      <c r="AA21" s="246" t="s">
        <v>127</v>
      </c>
      <c r="AB21" s="246" t="s">
        <v>128</v>
      </c>
      <c r="AC21" s="162" t="s">
        <v>243</v>
      </c>
    </row>
    <row r="22" ht="15.75" customHeight="1">
      <c r="A22" s="311">
        <v>1.0</v>
      </c>
      <c r="B22" s="311">
        <v>1.0</v>
      </c>
      <c r="C22" s="311" t="s">
        <v>244</v>
      </c>
      <c r="D22" s="312">
        <v>11.0</v>
      </c>
      <c r="E22" s="312">
        <v>11.0</v>
      </c>
      <c r="F22" s="320">
        <v>15.0</v>
      </c>
      <c r="G22" s="313">
        <f t="shared" ref="G22:G24" si="5">IF(D22=0,0,F22/D22)</f>
        <v>1.363636364</v>
      </c>
      <c r="H22" s="294"/>
      <c r="I22" s="312">
        <v>0.0</v>
      </c>
      <c r="J22" s="312">
        <v>0.0</v>
      </c>
      <c r="K22" s="312">
        <v>0.0</v>
      </c>
      <c r="L22" s="312">
        <v>0.0</v>
      </c>
      <c r="M22" s="312">
        <v>0.0</v>
      </c>
      <c r="N22" s="312">
        <v>0.0</v>
      </c>
      <c r="O22" s="312">
        <v>0.0</v>
      </c>
      <c r="P22" s="314">
        <v>20.0</v>
      </c>
      <c r="Q22" s="312">
        <v>0.0</v>
      </c>
      <c r="R22" s="312">
        <v>0.0</v>
      </c>
      <c r="S22" s="312">
        <v>0.0</v>
      </c>
      <c r="T22" s="311">
        <v>0.0</v>
      </c>
      <c r="U22" s="311">
        <v>0.0</v>
      </c>
      <c r="V22" s="311">
        <v>0.0</v>
      </c>
      <c r="W22" s="311">
        <v>0.0</v>
      </c>
      <c r="X22" s="311">
        <v>0.0</v>
      </c>
      <c r="Y22" s="311">
        <v>0.0</v>
      </c>
      <c r="Z22" s="311">
        <v>0.0</v>
      </c>
      <c r="AA22" s="311">
        <v>0.0</v>
      </c>
      <c r="AB22" s="311">
        <v>0.0</v>
      </c>
      <c r="AC22" s="311">
        <f t="shared" ref="AC22:AC24" si="6">SUMPRODUCT(I22:S22, {0,33,50,67,167,67,50,4.17,7.56,12.17,16.22})</f>
        <v>83.4</v>
      </c>
    </row>
    <row r="23" ht="15.75" customHeight="1">
      <c r="A23" s="315">
        <v>2.0</v>
      </c>
      <c r="B23" s="315">
        <v>1.0</v>
      </c>
      <c r="C23" s="315" t="s">
        <v>244</v>
      </c>
      <c r="D23" s="316">
        <v>15.0</v>
      </c>
      <c r="E23" s="316">
        <v>26.0</v>
      </c>
      <c r="F23" s="321">
        <v>75.0</v>
      </c>
      <c r="G23" s="313">
        <f t="shared" si="5"/>
        <v>5</v>
      </c>
      <c r="H23" s="317"/>
      <c r="I23" s="316">
        <v>0.0</v>
      </c>
      <c r="J23" s="314">
        <v>1.0</v>
      </c>
      <c r="K23" s="316">
        <v>0.0</v>
      </c>
      <c r="L23" s="316">
        <v>0.0</v>
      </c>
      <c r="M23" s="316">
        <v>0.0</v>
      </c>
      <c r="N23" s="316">
        <v>0.0</v>
      </c>
      <c r="O23" s="316">
        <v>0.0</v>
      </c>
      <c r="P23" s="316">
        <v>0.0</v>
      </c>
      <c r="Q23" s="316">
        <v>0.0</v>
      </c>
      <c r="R23" s="316">
        <v>0.0</v>
      </c>
      <c r="S23" s="316">
        <v>0.0</v>
      </c>
      <c r="T23" s="315">
        <v>0.0</v>
      </c>
      <c r="U23" s="315">
        <v>0.0</v>
      </c>
      <c r="V23" s="315">
        <v>0.0</v>
      </c>
      <c r="W23" s="315">
        <v>0.0</v>
      </c>
      <c r="X23" s="315">
        <v>0.0</v>
      </c>
      <c r="Y23" s="315">
        <v>0.0</v>
      </c>
      <c r="Z23" s="315">
        <v>0.0</v>
      </c>
      <c r="AA23" s="315">
        <v>0.0</v>
      </c>
      <c r="AB23" s="315">
        <v>0.0</v>
      </c>
      <c r="AC23" s="315">
        <f t="shared" si="6"/>
        <v>33</v>
      </c>
    </row>
    <row r="24" ht="15.75" customHeight="1">
      <c r="A24" s="311">
        <v>3.0</v>
      </c>
      <c r="B24" s="311">
        <v>1.0</v>
      </c>
      <c r="C24" s="311" t="s">
        <v>244</v>
      </c>
      <c r="D24" s="312">
        <v>16.0</v>
      </c>
      <c r="E24" s="312">
        <v>42.0</v>
      </c>
      <c r="F24" s="322">
        <v>140.0</v>
      </c>
      <c r="G24" s="313">
        <f t="shared" si="5"/>
        <v>8.75</v>
      </c>
      <c r="H24" s="294"/>
      <c r="I24" s="312">
        <v>0.0</v>
      </c>
      <c r="J24" s="312">
        <v>0.0</v>
      </c>
      <c r="K24" s="314">
        <v>1.0</v>
      </c>
      <c r="L24" s="312">
        <v>0.0</v>
      </c>
      <c r="M24" s="314">
        <v>1.0</v>
      </c>
      <c r="N24" s="312">
        <v>0.0</v>
      </c>
      <c r="O24" s="312">
        <v>0.0</v>
      </c>
      <c r="P24" s="312">
        <v>0.0</v>
      </c>
      <c r="Q24" s="312">
        <v>0.0</v>
      </c>
      <c r="R24" s="312">
        <v>0.0</v>
      </c>
      <c r="S24" s="312">
        <v>0.0</v>
      </c>
      <c r="T24" s="311">
        <v>0.0</v>
      </c>
      <c r="U24" s="311">
        <v>0.0</v>
      </c>
      <c r="V24" s="311">
        <v>0.0</v>
      </c>
      <c r="W24" s="311">
        <v>0.0</v>
      </c>
      <c r="X24" s="311">
        <v>0.0</v>
      </c>
      <c r="Y24" s="311">
        <v>0.0</v>
      </c>
      <c r="Z24" s="311">
        <v>0.0</v>
      </c>
      <c r="AA24" s="311">
        <v>0.0</v>
      </c>
      <c r="AB24" s="311">
        <v>0.0</v>
      </c>
      <c r="AC24" s="311">
        <f t="shared" si="6"/>
        <v>217</v>
      </c>
    </row>
    <row r="25" ht="15.75" customHeight="1">
      <c r="A25" s="294"/>
      <c r="B25" s="294"/>
      <c r="C25" s="294"/>
      <c r="D25" s="294"/>
      <c r="E25" s="294"/>
      <c r="F25" s="294"/>
      <c r="G25" s="295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294"/>
      <c r="S25" s="294"/>
      <c r="T25" s="294"/>
      <c r="U25" s="294"/>
      <c r="V25" s="294"/>
      <c r="W25" s="294"/>
      <c r="X25" s="294"/>
      <c r="Y25" s="294"/>
      <c r="Z25" s="294"/>
      <c r="AA25" s="294"/>
      <c r="AB25" s="294"/>
      <c r="AC25" s="294"/>
    </row>
    <row r="26" ht="17.25" customHeight="1">
      <c r="A26" s="306" t="s">
        <v>24</v>
      </c>
      <c r="B26" s="307"/>
      <c r="C26" s="307"/>
      <c r="D26" s="307"/>
      <c r="E26" s="307"/>
      <c r="F26" s="307"/>
      <c r="G26" s="91"/>
      <c r="H26" s="307"/>
      <c r="I26" s="307"/>
      <c r="J26" s="307"/>
      <c r="K26" s="307"/>
      <c r="L26" s="307"/>
      <c r="M26" s="307"/>
      <c r="N26" s="307"/>
      <c r="O26" s="307"/>
      <c r="P26" s="307"/>
      <c r="Q26" s="307"/>
      <c r="R26" s="307"/>
      <c r="S26" s="307"/>
      <c r="T26" s="307"/>
      <c r="U26" s="307"/>
      <c r="V26" s="307"/>
      <c r="W26" s="307"/>
      <c r="X26" s="307"/>
      <c r="Y26" s="307"/>
      <c r="Z26" s="307"/>
      <c r="AA26" s="307"/>
      <c r="AB26" s="307"/>
      <c r="AC26" s="307"/>
    </row>
    <row r="27" ht="90.0" customHeight="1">
      <c r="A27" s="162" t="s">
        <v>160</v>
      </c>
      <c r="B27" s="162" t="s">
        <v>174</v>
      </c>
      <c r="C27" s="162" t="s">
        <v>239</v>
      </c>
      <c r="D27" s="318" t="s">
        <v>240</v>
      </c>
      <c r="E27" s="318" t="s">
        <v>241</v>
      </c>
      <c r="F27" s="162" t="s">
        <v>34</v>
      </c>
      <c r="G27" s="275" t="s">
        <v>242</v>
      </c>
      <c r="H27" s="294"/>
      <c r="I27" s="319" t="s">
        <v>46</v>
      </c>
      <c r="J27" s="319" t="s">
        <v>47</v>
      </c>
      <c r="K27" s="319" t="s">
        <v>48</v>
      </c>
      <c r="L27" s="319" t="s">
        <v>50</v>
      </c>
      <c r="M27" s="319" t="s">
        <v>52</v>
      </c>
      <c r="N27" s="319" t="s">
        <v>53</v>
      </c>
      <c r="O27" s="319" t="s">
        <v>54</v>
      </c>
      <c r="P27" s="319" t="s">
        <v>55</v>
      </c>
      <c r="Q27" s="319" t="s">
        <v>56</v>
      </c>
      <c r="R27" s="319" t="s">
        <v>57</v>
      </c>
      <c r="S27" s="319" t="s">
        <v>58</v>
      </c>
      <c r="T27" s="246" t="s">
        <v>121</v>
      </c>
      <c r="U27" s="246" t="s">
        <v>135</v>
      </c>
      <c r="V27" s="246" t="s">
        <v>122</v>
      </c>
      <c r="W27" s="246" t="s">
        <v>123</v>
      </c>
      <c r="X27" s="246" t="s">
        <v>124</v>
      </c>
      <c r="Y27" s="246" t="s">
        <v>125</v>
      </c>
      <c r="Z27" s="246" t="s">
        <v>126</v>
      </c>
      <c r="AA27" s="246" t="s">
        <v>127</v>
      </c>
      <c r="AB27" s="246" t="s">
        <v>128</v>
      </c>
      <c r="AC27" s="162" t="s">
        <v>243</v>
      </c>
    </row>
    <row r="28" ht="15.75" customHeight="1">
      <c r="A28" s="311">
        <v>1.0</v>
      </c>
      <c r="B28" s="311">
        <v>1.0</v>
      </c>
      <c r="C28" s="311" t="s">
        <v>244</v>
      </c>
      <c r="D28" s="312">
        <v>28.0</v>
      </c>
      <c r="E28" s="312">
        <v>28.0</v>
      </c>
      <c r="F28" s="323">
        <v>60.0</v>
      </c>
      <c r="G28" s="313">
        <f t="shared" ref="G28:G30" si="7">IF(D28=0,0,F28/D28)</f>
        <v>2.142857143</v>
      </c>
      <c r="H28" s="294"/>
      <c r="I28" s="312">
        <v>0.0</v>
      </c>
      <c r="J28" s="312">
        <v>0.0</v>
      </c>
      <c r="K28" s="312">
        <v>0.0</v>
      </c>
      <c r="L28" s="312">
        <v>0.0</v>
      </c>
      <c r="M28" s="312">
        <v>0.0</v>
      </c>
      <c r="N28" s="312">
        <v>0.0</v>
      </c>
      <c r="O28" s="312">
        <v>0.0</v>
      </c>
      <c r="P28" s="314">
        <v>30.0</v>
      </c>
      <c r="Q28" s="312">
        <v>0.0</v>
      </c>
      <c r="R28" s="312">
        <v>0.0</v>
      </c>
      <c r="S28" s="312">
        <v>0.0</v>
      </c>
      <c r="T28" s="311">
        <v>0.0</v>
      </c>
      <c r="U28" s="311">
        <v>0.0</v>
      </c>
      <c r="V28" s="311">
        <v>0.0</v>
      </c>
      <c r="W28" s="311">
        <v>0.0</v>
      </c>
      <c r="X28" s="311">
        <v>0.0</v>
      </c>
      <c r="Y28" s="311">
        <v>0.0</v>
      </c>
      <c r="Z28" s="311">
        <v>0.0</v>
      </c>
      <c r="AA28" s="311">
        <v>0.0</v>
      </c>
      <c r="AB28" s="311">
        <v>0.0</v>
      </c>
      <c r="AC28" s="311">
        <f t="shared" ref="AC28:AC30" si="8">SUMPRODUCT(I28:S28, {0,33,50,67,167,67,50,4.17,7.56,12.17,16.22})</f>
        <v>125.1</v>
      </c>
    </row>
    <row r="29" ht="15.75" customHeight="1">
      <c r="A29" s="315">
        <v>2.0</v>
      </c>
      <c r="B29" s="315">
        <v>1.0</v>
      </c>
      <c r="C29" s="315" t="s">
        <v>244</v>
      </c>
      <c r="D29" s="316">
        <v>32.0</v>
      </c>
      <c r="E29" s="316">
        <v>60.0</v>
      </c>
      <c r="F29" s="321">
        <v>160.0</v>
      </c>
      <c r="G29" s="313">
        <f t="shared" si="7"/>
        <v>5</v>
      </c>
      <c r="H29" s="317"/>
      <c r="I29" s="316">
        <v>0.0</v>
      </c>
      <c r="J29" s="314">
        <v>1.0</v>
      </c>
      <c r="K29" s="316">
        <v>0.0</v>
      </c>
      <c r="L29" s="316">
        <v>0.0</v>
      </c>
      <c r="M29" s="316">
        <v>0.0</v>
      </c>
      <c r="N29" s="316">
        <v>0.0</v>
      </c>
      <c r="O29" s="316">
        <v>0.0</v>
      </c>
      <c r="P29" s="316">
        <v>0.0</v>
      </c>
      <c r="Q29" s="316">
        <v>0.0</v>
      </c>
      <c r="R29" s="316">
        <v>0.0</v>
      </c>
      <c r="S29" s="316">
        <v>0.0</v>
      </c>
      <c r="T29" s="315">
        <v>0.0</v>
      </c>
      <c r="U29" s="315">
        <v>0.0</v>
      </c>
      <c r="V29" s="315">
        <v>0.0</v>
      </c>
      <c r="W29" s="315">
        <v>0.0</v>
      </c>
      <c r="X29" s="315">
        <v>0.0</v>
      </c>
      <c r="Y29" s="315">
        <v>0.0</v>
      </c>
      <c r="Z29" s="315">
        <v>0.0</v>
      </c>
      <c r="AA29" s="315">
        <v>0.0</v>
      </c>
      <c r="AB29" s="315">
        <v>0.0</v>
      </c>
      <c r="AC29" s="315">
        <f t="shared" si="8"/>
        <v>33</v>
      </c>
    </row>
    <row r="30" ht="15.75" customHeight="1">
      <c r="A30" s="311">
        <v>3.0</v>
      </c>
      <c r="B30" s="311">
        <v>1.0</v>
      </c>
      <c r="C30" s="311" t="s">
        <v>244</v>
      </c>
      <c r="D30" s="312">
        <v>40.0</v>
      </c>
      <c r="E30" s="312">
        <v>100.0</v>
      </c>
      <c r="F30" s="322">
        <v>300.0</v>
      </c>
      <c r="G30" s="313">
        <f t="shared" si="7"/>
        <v>7.5</v>
      </c>
      <c r="H30" s="294"/>
      <c r="I30" s="312">
        <v>0.0</v>
      </c>
      <c r="J30" s="312">
        <v>0.0</v>
      </c>
      <c r="K30" s="312">
        <v>0.0</v>
      </c>
      <c r="L30" s="312">
        <v>0.0</v>
      </c>
      <c r="M30" s="314">
        <v>1.0</v>
      </c>
      <c r="N30" s="312">
        <v>0.0</v>
      </c>
      <c r="O30" s="314">
        <v>1.0</v>
      </c>
      <c r="P30" s="312">
        <v>0.0</v>
      </c>
      <c r="Q30" s="312">
        <v>0.0</v>
      </c>
      <c r="R30" s="312">
        <v>0.0</v>
      </c>
      <c r="S30" s="312">
        <v>0.0</v>
      </c>
      <c r="T30" s="311">
        <v>0.0</v>
      </c>
      <c r="U30" s="311">
        <v>0.0</v>
      </c>
      <c r="V30" s="311">
        <v>0.0</v>
      </c>
      <c r="W30" s="311">
        <v>0.0</v>
      </c>
      <c r="X30" s="311">
        <v>0.0</v>
      </c>
      <c r="Y30" s="311">
        <v>0.0</v>
      </c>
      <c r="Z30" s="311">
        <v>0.0</v>
      </c>
      <c r="AA30" s="311">
        <v>0.0</v>
      </c>
      <c r="AB30" s="311">
        <v>0.0</v>
      </c>
      <c r="AC30" s="311">
        <f t="shared" si="8"/>
        <v>217</v>
      </c>
    </row>
    <row r="31" ht="15.75" customHeight="1">
      <c r="A31" s="294"/>
      <c r="B31" s="294"/>
      <c r="C31" s="294"/>
      <c r="D31" s="294"/>
      <c r="E31" s="294"/>
      <c r="F31" s="294"/>
      <c r="G31" s="295"/>
      <c r="H31" s="294"/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Y31" s="294"/>
      <c r="Z31" s="294"/>
      <c r="AA31" s="294"/>
      <c r="AB31" s="294"/>
      <c r="AC31" s="294"/>
    </row>
    <row r="32" ht="17.25" customHeight="1">
      <c r="A32" s="306" t="s">
        <v>26</v>
      </c>
      <c r="B32" s="307"/>
      <c r="C32" s="307"/>
      <c r="D32" s="307"/>
      <c r="E32" s="307"/>
      <c r="F32" s="307"/>
      <c r="G32" s="91"/>
      <c r="H32" s="307"/>
      <c r="I32" s="307"/>
      <c r="J32" s="307"/>
      <c r="K32" s="307"/>
      <c r="L32" s="307"/>
      <c r="M32" s="307"/>
      <c r="N32" s="307"/>
      <c r="O32" s="307"/>
      <c r="P32" s="307"/>
      <c r="Q32" s="307"/>
      <c r="R32" s="307"/>
      <c r="S32" s="307"/>
      <c r="T32" s="307"/>
      <c r="U32" s="307"/>
      <c r="V32" s="307"/>
      <c r="W32" s="307"/>
      <c r="X32" s="307"/>
      <c r="Y32" s="307"/>
      <c r="Z32" s="307"/>
      <c r="AA32" s="307"/>
      <c r="AB32" s="307"/>
      <c r="AC32" s="307"/>
    </row>
    <row r="33" ht="90.0" customHeight="1">
      <c r="A33" s="162" t="s">
        <v>160</v>
      </c>
      <c r="B33" s="162" t="s">
        <v>174</v>
      </c>
      <c r="C33" s="162" t="s">
        <v>239</v>
      </c>
      <c r="D33" s="318" t="s">
        <v>240</v>
      </c>
      <c r="E33" s="318" t="s">
        <v>241</v>
      </c>
      <c r="F33" s="162" t="s">
        <v>34</v>
      </c>
      <c r="G33" s="275" t="s">
        <v>242</v>
      </c>
      <c r="H33" s="294"/>
      <c r="I33" s="319" t="s">
        <v>46</v>
      </c>
      <c r="J33" s="319" t="s">
        <v>47</v>
      </c>
      <c r="K33" s="319" t="s">
        <v>48</v>
      </c>
      <c r="L33" s="319" t="s">
        <v>50</v>
      </c>
      <c r="M33" s="319" t="s">
        <v>52</v>
      </c>
      <c r="N33" s="319" t="s">
        <v>53</v>
      </c>
      <c r="O33" s="319" t="s">
        <v>54</v>
      </c>
      <c r="P33" s="319" t="s">
        <v>55</v>
      </c>
      <c r="Q33" s="319" t="s">
        <v>56</v>
      </c>
      <c r="R33" s="319" t="s">
        <v>57</v>
      </c>
      <c r="S33" s="319" t="s">
        <v>58</v>
      </c>
      <c r="T33" s="246" t="s">
        <v>121</v>
      </c>
      <c r="U33" s="246" t="s">
        <v>135</v>
      </c>
      <c r="V33" s="246" t="s">
        <v>122</v>
      </c>
      <c r="W33" s="246" t="s">
        <v>123</v>
      </c>
      <c r="X33" s="246" t="s">
        <v>124</v>
      </c>
      <c r="Y33" s="246" t="s">
        <v>125</v>
      </c>
      <c r="Z33" s="246" t="s">
        <v>126</v>
      </c>
      <c r="AA33" s="246" t="s">
        <v>127</v>
      </c>
      <c r="AB33" s="246" t="s">
        <v>128</v>
      </c>
      <c r="AC33" s="162" t="s">
        <v>243</v>
      </c>
    </row>
    <row r="34" ht="15.75" customHeight="1">
      <c r="A34" s="311">
        <v>1.0</v>
      </c>
      <c r="B34" s="311">
        <v>1.0</v>
      </c>
      <c r="C34" s="311" t="s">
        <v>244</v>
      </c>
      <c r="D34" s="312">
        <v>80.0</v>
      </c>
      <c r="E34" s="312">
        <v>80.0</v>
      </c>
      <c r="F34" s="323">
        <v>125.0</v>
      </c>
      <c r="G34" s="313">
        <f t="shared" ref="G34:G36" si="9">IF(D34=0,0,F34/D34)</f>
        <v>1.5625</v>
      </c>
      <c r="H34" s="294"/>
      <c r="I34" s="312">
        <v>0.0</v>
      </c>
      <c r="J34" s="312">
        <v>0.0</v>
      </c>
      <c r="K34" s="312">
        <v>0.0</v>
      </c>
      <c r="L34" s="312">
        <v>0.0</v>
      </c>
      <c r="M34" s="312">
        <v>0.0</v>
      </c>
      <c r="N34" s="312">
        <v>0.0</v>
      </c>
      <c r="O34" s="312">
        <v>0.0</v>
      </c>
      <c r="P34" s="314">
        <v>60.0</v>
      </c>
      <c r="Q34" s="312">
        <v>0.0</v>
      </c>
      <c r="R34" s="312">
        <v>0.0</v>
      </c>
      <c r="S34" s="312">
        <v>0.0</v>
      </c>
      <c r="T34" s="311">
        <v>0.0</v>
      </c>
      <c r="U34" s="311">
        <v>0.0</v>
      </c>
      <c r="V34" s="311">
        <v>0.0</v>
      </c>
      <c r="W34" s="311">
        <v>0.0</v>
      </c>
      <c r="X34" s="311">
        <v>0.0</v>
      </c>
      <c r="Y34" s="311">
        <v>0.0</v>
      </c>
      <c r="Z34" s="311">
        <v>0.0</v>
      </c>
      <c r="AA34" s="311">
        <v>0.0</v>
      </c>
      <c r="AB34" s="311">
        <v>0.0</v>
      </c>
      <c r="AC34" s="311">
        <f t="shared" ref="AC34:AC36" si="10">SUMPRODUCT(I34:S34, {0,33,50,67,167,67,50,4.17,7.56,12.17,16.22})</f>
        <v>250.2</v>
      </c>
    </row>
    <row r="35" ht="15.75" customHeight="1">
      <c r="A35" s="315">
        <v>2.0</v>
      </c>
      <c r="B35" s="315">
        <v>1.0</v>
      </c>
      <c r="C35" s="315" t="s">
        <v>244</v>
      </c>
      <c r="D35" s="316">
        <v>95.0</v>
      </c>
      <c r="E35" s="316">
        <v>175.0</v>
      </c>
      <c r="F35" s="321">
        <v>350.0</v>
      </c>
      <c r="G35" s="313">
        <f t="shared" si="9"/>
        <v>3.684210526</v>
      </c>
      <c r="H35" s="317"/>
      <c r="I35" s="316">
        <v>0.0</v>
      </c>
      <c r="J35" s="314">
        <v>1.0</v>
      </c>
      <c r="K35" s="316">
        <v>0.0</v>
      </c>
      <c r="L35" s="316">
        <v>0.0</v>
      </c>
      <c r="M35" s="316">
        <v>0.0</v>
      </c>
      <c r="N35" s="316">
        <v>0.0</v>
      </c>
      <c r="O35" s="316">
        <v>0.0</v>
      </c>
      <c r="P35" s="316">
        <v>0.0</v>
      </c>
      <c r="Q35" s="316">
        <v>0.0</v>
      </c>
      <c r="R35" s="316">
        <v>0.0</v>
      </c>
      <c r="S35" s="316">
        <v>0.0</v>
      </c>
      <c r="T35" s="315">
        <v>0.0</v>
      </c>
      <c r="U35" s="315">
        <v>0.0</v>
      </c>
      <c r="V35" s="315">
        <v>0.0</v>
      </c>
      <c r="W35" s="315">
        <v>0.0</v>
      </c>
      <c r="X35" s="315">
        <v>0.0</v>
      </c>
      <c r="Y35" s="315">
        <v>0.0</v>
      </c>
      <c r="Z35" s="315">
        <v>0.0</v>
      </c>
      <c r="AA35" s="315">
        <v>0.0</v>
      </c>
      <c r="AB35" s="315">
        <v>0.0</v>
      </c>
      <c r="AC35" s="315">
        <f t="shared" si="10"/>
        <v>33</v>
      </c>
    </row>
    <row r="36" ht="15.75" customHeight="1">
      <c r="A36" s="311">
        <v>3.0</v>
      </c>
      <c r="B36" s="311">
        <v>1.0</v>
      </c>
      <c r="C36" s="311" t="s">
        <v>244</v>
      </c>
      <c r="D36" s="312">
        <v>105.0</v>
      </c>
      <c r="E36" s="312">
        <v>280.0</v>
      </c>
      <c r="F36" s="322">
        <v>500.0</v>
      </c>
      <c r="G36" s="313">
        <f t="shared" si="9"/>
        <v>4.761904762</v>
      </c>
      <c r="H36" s="294"/>
      <c r="I36" s="312">
        <v>0.0</v>
      </c>
      <c r="J36" s="312">
        <v>0.0</v>
      </c>
      <c r="K36" s="312">
        <v>0.0</v>
      </c>
      <c r="L36" s="312">
        <v>0.0</v>
      </c>
      <c r="M36" s="314">
        <v>1.0</v>
      </c>
      <c r="N36" s="312">
        <v>0.0</v>
      </c>
      <c r="O36" s="314">
        <v>1.0</v>
      </c>
      <c r="P36" s="312">
        <v>0.0</v>
      </c>
      <c r="Q36" s="312">
        <v>0.0</v>
      </c>
      <c r="R36" s="312">
        <v>0.0</v>
      </c>
      <c r="S36" s="312">
        <v>0.0</v>
      </c>
      <c r="T36" s="311">
        <v>0.0</v>
      </c>
      <c r="U36" s="311">
        <v>0.0</v>
      </c>
      <c r="V36" s="311">
        <v>0.0</v>
      </c>
      <c r="W36" s="311">
        <v>0.0</v>
      </c>
      <c r="X36" s="311">
        <v>0.0</v>
      </c>
      <c r="Y36" s="311">
        <v>0.0</v>
      </c>
      <c r="Z36" s="311">
        <v>0.0</v>
      </c>
      <c r="AA36" s="311">
        <v>0.0</v>
      </c>
      <c r="AB36" s="311">
        <v>0.0</v>
      </c>
      <c r="AC36" s="311">
        <f t="shared" si="10"/>
        <v>217</v>
      </c>
    </row>
    <row r="37" ht="15.75" customHeight="1">
      <c r="A37" s="294"/>
      <c r="B37" s="294"/>
      <c r="C37" s="294"/>
      <c r="D37" s="294"/>
      <c r="E37" s="294"/>
      <c r="F37" s="294"/>
      <c r="G37" s="295"/>
      <c r="H37" s="294"/>
      <c r="I37" s="294"/>
      <c r="J37" s="294"/>
      <c r="K37" s="294"/>
      <c r="L37" s="294"/>
      <c r="M37" s="294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  <c r="Y37" s="294"/>
      <c r="Z37" s="294"/>
      <c r="AA37" s="294"/>
      <c r="AB37" s="294"/>
      <c r="AC37" s="294"/>
    </row>
    <row r="38" ht="15.75" customHeight="1">
      <c r="A38" s="294"/>
      <c r="B38" s="294"/>
      <c r="C38" s="294"/>
      <c r="D38" s="294"/>
      <c r="E38" s="294"/>
      <c r="F38" s="294"/>
      <c r="G38" s="295"/>
      <c r="H38" s="294"/>
      <c r="I38" s="294"/>
      <c r="J38" s="294"/>
      <c r="K38" s="294"/>
      <c r="L38" s="294"/>
      <c r="M38" s="294"/>
      <c r="N38" s="294"/>
      <c r="O38" s="294"/>
      <c r="P38" s="294"/>
      <c r="Q38" s="294"/>
      <c r="R38" s="294"/>
      <c r="S38" s="294"/>
      <c r="T38" s="294"/>
      <c r="U38" s="294"/>
      <c r="V38" s="294"/>
      <c r="W38" s="294"/>
      <c r="X38" s="294"/>
      <c r="Y38" s="294"/>
      <c r="Z38" s="294"/>
      <c r="AA38" s="294"/>
      <c r="AB38" s="294"/>
      <c r="AC38" s="294"/>
    </row>
    <row r="39" ht="15.75" customHeight="1">
      <c r="A39" s="294"/>
      <c r="B39" s="294"/>
      <c r="C39" s="294"/>
      <c r="D39" s="294"/>
      <c r="E39" s="294"/>
      <c r="F39" s="294"/>
      <c r="G39" s="295"/>
      <c r="H39" s="294"/>
      <c r="I39" s="294"/>
      <c r="J39" s="294"/>
      <c r="K39" s="294"/>
      <c r="L39" s="294"/>
      <c r="M39" s="294"/>
      <c r="N39" s="294"/>
      <c r="O39" s="294"/>
      <c r="P39" s="294"/>
      <c r="Q39" s="294"/>
      <c r="R39" s="294"/>
      <c r="S39" s="294"/>
      <c r="T39" s="294"/>
      <c r="U39" s="294"/>
      <c r="V39" s="294"/>
      <c r="W39" s="294"/>
      <c r="X39" s="294"/>
      <c r="Y39" s="294"/>
      <c r="Z39" s="294"/>
      <c r="AA39" s="294"/>
      <c r="AB39" s="294"/>
      <c r="AC39" s="294"/>
    </row>
    <row r="40" ht="15.75" customHeight="1">
      <c r="A40" s="294"/>
      <c r="B40" s="294"/>
      <c r="C40" s="294"/>
      <c r="D40" s="294"/>
      <c r="E40" s="294"/>
      <c r="F40" s="294"/>
      <c r="G40" s="295"/>
      <c r="H40" s="294"/>
      <c r="I40" s="294"/>
      <c r="J40" s="294"/>
      <c r="K40" s="294"/>
      <c r="L40" s="294"/>
      <c r="M40" s="294"/>
      <c r="N40" s="294"/>
      <c r="O40" s="294"/>
      <c r="P40" s="294"/>
      <c r="Q40" s="294"/>
      <c r="R40" s="294"/>
      <c r="S40" s="294"/>
      <c r="T40" s="294"/>
      <c r="U40" s="294"/>
      <c r="V40" s="294"/>
      <c r="W40" s="294"/>
      <c r="X40" s="294"/>
      <c r="Y40" s="294"/>
      <c r="Z40" s="294"/>
      <c r="AA40" s="294"/>
      <c r="AB40" s="294"/>
      <c r="AC40" s="294"/>
    </row>
    <row r="41" ht="15.75" customHeight="1">
      <c r="A41" s="294"/>
      <c r="B41" s="294"/>
      <c r="C41" s="294"/>
      <c r="D41" s="294"/>
      <c r="E41" s="294"/>
      <c r="F41" s="294"/>
      <c r="G41" s="295"/>
      <c r="H41" s="294"/>
      <c r="I41" s="294"/>
      <c r="J41" s="294"/>
      <c r="K41" s="294"/>
      <c r="L41" s="294"/>
      <c r="M41" s="294"/>
      <c r="N41" s="294"/>
      <c r="O41" s="294"/>
      <c r="P41" s="294"/>
      <c r="Q41" s="294"/>
      <c r="R41" s="294"/>
      <c r="S41" s="294"/>
      <c r="T41" s="294"/>
      <c r="U41" s="294"/>
      <c r="V41" s="294"/>
      <c r="W41" s="294"/>
      <c r="X41" s="294"/>
      <c r="Y41" s="294"/>
      <c r="Z41" s="294"/>
      <c r="AA41" s="294"/>
      <c r="AB41" s="294"/>
      <c r="AC41" s="294"/>
    </row>
    <row r="42" ht="15.75" customHeight="1">
      <c r="A42" s="294"/>
      <c r="B42" s="294"/>
      <c r="C42" s="294"/>
      <c r="D42" s="294"/>
      <c r="E42" s="294"/>
      <c r="F42" s="294"/>
      <c r="G42" s="295"/>
      <c r="H42" s="294"/>
      <c r="I42" s="294"/>
      <c r="J42" s="294"/>
      <c r="K42" s="294"/>
      <c r="L42" s="294"/>
      <c r="M42" s="294"/>
      <c r="N42" s="294"/>
      <c r="O42" s="294"/>
      <c r="P42" s="294"/>
      <c r="Q42" s="294"/>
      <c r="R42" s="294"/>
      <c r="S42" s="294"/>
      <c r="T42" s="294"/>
      <c r="U42" s="294"/>
      <c r="V42" s="294"/>
      <c r="W42" s="294"/>
      <c r="X42" s="294"/>
      <c r="Y42" s="294"/>
      <c r="Z42" s="294"/>
      <c r="AA42" s="294"/>
      <c r="AB42" s="294"/>
      <c r="AC42" s="294"/>
    </row>
    <row r="43" ht="15.75" customHeight="1">
      <c r="A43" s="294"/>
      <c r="B43" s="294"/>
      <c r="C43" s="294"/>
      <c r="D43" s="294"/>
      <c r="E43" s="294"/>
      <c r="F43" s="294"/>
      <c r="G43" s="295"/>
      <c r="H43" s="294"/>
      <c r="I43" s="294"/>
      <c r="J43" s="294"/>
      <c r="K43" s="294"/>
      <c r="L43" s="294"/>
      <c r="M43" s="294"/>
      <c r="N43" s="294"/>
      <c r="O43" s="294"/>
      <c r="P43" s="294"/>
      <c r="Q43" s="294"/>
      <c r="R43" s="294"/>
      <c r="S43" s="294"/>
      <c r="T43" s="294"/>
      <c r="U43" s="294"/>
      <c r="V43" s="294"/>
      <c r="W43" s="294"/>
      <c r="X43" s="294"/>
      <c r="Y43" s="294"/>
      <c r="Z43" s="294"/>
      <c r="AA43" s="294"/>
      <c r="AB43" s="294"/>
      <c r="AC43" s="294"/>
    </row>
    <row r="44" ht="15.75" customHeight="1">
      <c r="A44" s="294"/>
      <c r="B44" s="294"/>
      <c r="C44" s="294"/>
      <c r="D44" s="294"/>
      <c r="E44" s="294"/>
      <c r="F44" s="294"/>
      <c r="G44" s="295"/>
      <c r="H44" s="294"/>
      <c r="I44" s="294"/>
      <c r="J44" s="294"/>
      <c r="K44" s="294"/>
      <c r="L44" s="294"/>
      <c r="M44" s="294"/>
      <c r="N44" s="294"/>
      <c r="O44" s="294"/>
      <c r="P44" s="294"/>
      <c r="Q44" s="294"/>
      <c r="R44" s="294"/>
      <c r="S44" s="294"/>
      <c r="T44" s="294"/>
      <c r="U44" s="294"/>
      <c r="V44" s="294"/>
      <c r="W44" s="294"/>
      <c r="X44" s="294"/>
      <c r="Y44" s="294"/>
      <c r="Z44" s="294"/>
      <c r="AA44" s="294"/>
      <c r="AB44" s="294"/>
      <c r="AC44" s="294"/>
    </row>
    <row r="45" ht="15.75" customHeight="1">
      <c r="A45" s="294"/>
      <c r="B45" s="294"/>
      <c r="C45" s="294"/>
      <c r="D45" s="294"/>
      <c r="E45" s="294"/>
      <c r="F45" s="294"/>
      <c r="G45" s="295"/>
      <c r="H45" s="294"/>
      <c r="I45" s="294"/>
      <c r="J45" s="294"/>
      <c r="K45" s="294"/>
      <c r="L45" s="294"/>
      <c r="M45" s="294"/>
      <c r="N45" s="294"/>
      <c r="O45" s="294"/>
      <c r="P45" s="294"/>
      <c r="Q45" s="294"/>
      <c r="R45" s="294"/>
      <c r="S45" s="294"/>
      <c r="T45" s="294"/>
      <c r="U45" s="294"/>
      <c r="V45" s="294"/>
      <c r="W45" s="294"/>
      <c r="X45" s="294"/>
      <c r="Y45" s="294"/>
      <c r="Z45" s="294"/>
      <c r="AA45" s="294"/>
      <c r="AB45" s="294"/>
      <c r="AC45" s="294"/>
    </row>
    <row r="46" ht="15.75" customHeight="1">
      <c r="A46" s="294"/>
      <c r="B46" s="294"/>
      <c r="C46" s="294"/>
      <c r="D46" s="294"/>
      <c r="E46" s="294"/>
      <c r="F46" s="294"/>
      <c r="G46" s="295"/>
      <c r="H46" s="294"/>
      <c r="I46" s="294"/>
      <c r="J46" s="294"/>
      <c r="K46" s="294"/>
      <c r="L46" s="294"/>
      <c r="M46" s="294"/>
      <c r="N46" s="294"/>
      <c r="O46" s="294"/>
      <c r="P46" s="294"/>
      <c r="Q46" s="294"/>
      <c r="R46" s="294"/>
      <c r="S46" s="294"/>
      <c r="T46" s="294"/>
      <c r="U46" s="294"/>
      <c r="V46" s="294"/>
      <c r="W46" s="294"/>
      <c r="X46" s="294"/>
      <c r="Y46" s="294"/>
      <c r="Z46" s="294"/>
      <c r="AA46" s="294"/>
      <c r="AB46" s="294"/>
      <c r="AC46" s="294"/>
    </row>
    <row r="47" ht="15.75" customHeight="1">
      <c r="A47" s="294"/>
      <c r="B47" s="294"/>
      <c r="C47" s="294"/>
      <c r="D47" s="294"/>
      <c r="E47" s="294"/>
      <c r="F47" s="294"/>
      <c r="G47" s="295"/>
      <c r="H47" s="294"/>
      <c r="I47" s="294"/>
      <c r="J47" s="294"/>
      <c r="K47" s="294"/>
      <c r="L47" s="294"/>
      <c r="M47" s="294"/>
      <c r="N47" s="294"/>
      <c r="O47" s="294"/>
      <c r="P47" s="294"/>
      <c r="Q47" s="294"/>
      <c r="R47" s="294"/>
      <c r="S47" s="294"/>
      <c r="T47" s="294"/>
      <c r="U47" s="294"/>
      <c r="V47" s="294"/>
      <c r="W47" s="294"/>
      <c r="X47" s="294"/>
      <c r="Y47" s="294"/>
      <c r="Z47" s="294"/>
      <c r="AA47" s="294"/>
      <c r="AB47" s="294"/>
      <c r="AC47" s="294"/>
    </row>
    <row r="48" ht="15.75" customHeight="1">
      <c r="A48" s="294"/>
      <c r="B48" s="294"/>
      <c r="C48" s="294"/>
      <c r="D48" s="294"/>
      <c r="E48" s="294"/>
      <c r="F48" s="294"/>
      <c r="G48" s="295"/>
      <c r="H48" s="294"/>
      <c r="I48" s="294"/>
      <c r="J48" s="294"/>
      <c r="K48" s="294"/>
      <c r="L48" s="294"/>
      <c r="M48" s="294"/>
      <c r="N48" s="294"/>
      <c r="O48" s="294"/>
      <c r="P48" s="294"/>
      <c r="Q48" s="294"/>
      <c r="R48" s="294"/>
      <c r="S48" s="294"/>
      <c r="T48" s="294"/>
      <c r="U48" s="294"/>
      <c r="V48" s="294"/>
      <c r="W48" s="294"/>
      <c r="X48" s="294"/>
      <c r="Y48" s="294"/>
      <c r="Z48" s="294"/>
      <c r="AA48" s="294"/>
      <c r="AB48" s="294"/>
      <c r="AC48" s="294"/>
    </row>
    <row r="49" ht="15.75" customHeight="1">
      <c r="A49" s="294"/>
      <c r="B49" s="294"/>
      <c r="C49" s="294"/>
      <c r="D49" s="294"/>
      <c r="E49" s="294"/>
      <c r="F49" s="294"/>
      <c r="G49" s="295"/>
      <c r="H49" s="294"/>
      <c r="I49" s="294"/>
      <c r="J49" s="294"/>
      <c r="K49" s="294"/>
      <c r="L49" s="294"/>
      <c r="M49" s="294"/>
      <c r="N49" s="294"/>
      <c r="O49" s="294"/>
      <c r="P49" s="294"/>
      <c r="Q49" s="294"/>
      <c r="R49" s="294"/>
      <c r="S49" s="294"/>
      <c r="T49" s="294"/>
      <c r="U49" s="294"/>
      <c r="V49" s="294"/>
      <c r="W49" s="294"/>
      <c r="X49" s="294"/>
      <c r="Y49" s="294"/>
      <c r="Z49" s="294"/>
      <c r="AA49" s="294"/>
      <c r="AB49" s="294"/>
      <c r="AC49" s="294"/>
    </row>
    <row r="50" ht="15.75" customHeight="1">
      <c r="A50" s="294"/>
      <c r="B50" s="294"/>
      <c r="C50" s="294"/>
      <c r="D50" s="294"/>
      <c r="E50" s="294"/>
      <c r="F50" s="294"/>
      <c r="G50" s="295"/>
      <c r="H50" s="294"/>
      <c r="I50" s="294"/>
      <c r="J50" s="294"/>
      <c r="K50" s="294"/>
      <c r="L50" s="294"/>
      <c r="M50" s="294"/>
      <c r="N50" s="294"/>
      <c r="O50" s="294"/>
      <c r="P50" s="294"/>
      <c r="Q50" s="294"/>
      <c r="R50" s="294"/>
      <c r="S50" s="294"/>
      <c r="T50" s="294"/>
      <c r="U50" s="294"/>
      <c r="V50" s="294"/>
      <c r="W50" s="294"/>
      <c r="X50" s="294"/>
      <c r="Y50" s="294"/>
      <c r="Z50" s="294"/>
      <c r="AA50" s="294"/>
      <c r="AB50" s="294"/>
      <c r="AC50" s="294"/>
    </row>
    <row r="51" ht="15.75" customHeight="1">
      <c r="A51" s="294"/>
      <c r="B51" s="294"/>
      <c r="C51" s="294"/>
      <c r="D51" s="294"/>
      <c r="E51" s="294"/>
      <c r="F51" s="294"/>
      <c r="G51" s="295"/>
      <c r="H51" s="294"/>
      <c r="I51" s="294"/>
      <c r="J51" s="294"/>
      <c r="K51" s="294"/>
      <c r="L51" s="294"/>
      <c r="M51" s="294"/>
      <c r="N51" s="294"/>
      <c r="O51" s="294"/>
      <c r="P51" s="294"/>
      <c r="Q51" s="294"/>
      <c r="R51" s="294"/>
      <c r="S51" s="294"/>
      <c r="T51" s="294"/>
      <c r="U51" s="294"/>
      <c r="V51" s="294"/>
      <c r="W51" s="294"/>
      <c r="X51" s="294"/>
      <c r="Y51" s="294"/>
      <c r="Z51" s="294"/>
      <c r="AA51" s="294"/>
      <c r="AB51" s="294"/>
      <c r="AC51" s="294"/>
    </row>
    <row r="52" ht="15.75" customHeight="1">
      <c r="A52" s="294"/>
      <c r="B52" s="294"/>
      <c r="C52" s="294"/>
      <c r="D52" s="294"/>
      <c r="E52" s="294"/>
      <c r="F52" s="294"/>
      <c r="G52" s="295"/>
      <c r="H52" s="294"/>
      <c r="I52" s="294"/>
      <c r="J52" s="294"/>
      <c r="K52" s="294"/>
      <c r="L52" s="294"/>
      <c r="M52" s="294"/>
      <c r="N52" s="294"/>
      <c r="O52" s="294"/>
      <c r="P52" s="294"/>
      <c r="Q52" s="294"/>
      <c r="R52" s="294"/>
      <c r="S52" s="294"/>
      <c r="T52" s="294"/>
      <c r="U52" s="294"/>
      <c r="V52" s="294"/>
      <c r="W52" s="294"/>
      <c r="X52" s="294"/>
      <c r="Y52" s="294"/>
      <c r="Z52" s="294"/>
      <c r="AA52" s="294"/>
      <c r="AB52" s="294"/>
      <c r="AC52" s="294"/>
    </row>
    <row r="53" ht="15.75" customHeight="1">
      <c r="A53" s="294"/>
      <c r="B53" s="294"/>
      <c r="C53" s="294"/>
      <c r="D53" s="294"/>
      <c r="E53" s="294"/>
      <c r="F53" s="294"/>
      <c r="G53" s="295"/>
      <c r="H53" s="294"/>
      <c r="I53" s="294"/>
      <c r="J53" s="294"/>
      <c r="K53" s="294"/>
      <c r="L53" s="294"/>
      <c r="M53" s="294"/>
      <c r="N53" s="294"/>
      <c r="O53" s="294"/>
      <c r="P53" s="294"/>
      <c r="Q53" s="294"/>
      <c r="R53" s="294"/>
      <c r="S53" s="294"/>
      <c r="T53" s="294"/>
      <c r="U53" s="294"/>
      <c r="V53" s="294"/>
      <c r="W53" s="294"/>
      <c r="X53" s="294"/>
      <c r="Y53" s="294"/>
      <c r="Z53" s="294"/>
      <c r="AA53" s="294"/>
      <c r="AB53" s="294"/>
      <c r="AC53" s="294"/>
    </row>
    <row r="54" ht="15.75" customHeight="1">
      <c r="A54" s="294"/>
      <c r="B54" s="294"/>
      <c r="C54" s="294"/>
      <c r="D54" s="294"/>
      <c r="E54" s="294"/>
      <c r="F54" s="294"/>
      <c r="G54" s="295"/>
      <c r="H54" s="294"/>
      <c r="I54" s="294"/>
      <c r="J54" s="294"/>
      <c r="K54" s="294"/>
      <c r="L54" s="294"/>
      <c r="M54" s="294"/>
      <c r="N54" s="294"/>
      <c r="O54" s="294"/>
      <c r="P54" s="294"/>
      <c r="Q54" s="294"/>
      <c r="R54" s="294"/>
      <c r="S54" s="294"/>
      <c r="T54" s="294"/>
      <c r="U54" s="294"/>
      <c r="V54" s="294"/>
      <c r="W54" s="294"/>
      <c r="X54" s="294"/>
      <c r="Y54" s="294"/>
      <c r="Z54" s="294"/>
      <c r="AA54" s="294"/>
      <c r="AB54" s="294"/>
      <c r="AC54" s="294"/>
    </row>
    <row r="55" ht="15.75" customHeight="1">
      <c r="A55" s="294"/>
      <c r="B55" s="294"/>
      <c r="C55" s="294"/>
      <c r="D55" s="294"/>
      <c r="E55" s="294"/>
      <c r="F55" s="294"/>
      <c r="G55" s="295"/>
      <c r="H55" s="294"/>
      <c r="I55" s="294"/>
      <c r="J55" s="294"/>
      <c r="K55" s="294"/>
      <c r="L55" s="294"/>
      <c r="M55" s="294"/>
      <c r="N55" s="294"/>
      <c r="O55" s="294"/>
      <c r="P55" s="294"/>
      <c r="Q55" s="294"/>
      <c r="R55" s="294"/>
      <c r="S55" s="294"/>
      <c r="T55" s="294"/>
      <c r="U55" s="294"/>
      <c r="V55" s="294"/>
      <c r="W55" s="294"/>
      <c r="X55" s="294"/>
      <c r="Y55" s="294"/>
      <c r="Z55" s="294"/>
      <c r="AA55" s="294"/>
      <c r="AB55" s="294"/>
      <c r="AC55" s="294"/>
    </row>
    <row r="56" ht="15.75" customHeight="1">
      <c r="A56" s="294"/>
      <c r="B56" s="294"/>
      <c r="C56" s="294"/>
      <c r="D56" s="294"/>
      <c r="E56" s="294"/>
      <c r="F56" s="294"/>
      <c r="G56" s="295"/>
      <c r="H56" s="294"/>
      <c r="I56" s="294"/>
      <c r="J56" s="294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  <c r="AA56" s="294"/>
      <c r="AB56" s="294"/>
      <c r="AC56" s="294"/>
    </row>
    <row r="57" ht="15.75" customHeight="1">
      <c r="A57" s="294"/>
      <c r="B57" s="294"/>
      <c r="C57" s="294"/>
      <c r="D57" s="294"/>
      <c r="E57" s="294"/>
      <c r="F57" s="294"/>
      <c r="G57" s="295"/>
      <c r="H57" s="29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  <c r="AA57" s="294"/>
      <c r="AB57" s="294"/>
      <c r="AC57" s="294"/>
    </row>
    <row r="58" ht="15.75" customHeight="1">
      <c r="A58" s="294"/>
      <c r="B58" s="294"/>
      <c r="C58" s="294"/>
      <c r="D58" s="294"/>
      <c r="E58" s="294"/>
      <c r="F58" s="294"/>
      <c r="G58" s="295"/>
      <c r="H58" s="294"/>
      <c r="I58" s="294"/>
      <c r="J58" s="294"/>
      <c r="K58" s="294"/>
      <c r="L58" s="294"/>
      <c r="M58" s="294"/>
      <c r="N58" s="294"/>
      <c r="O58" s="294"/>
      <c r="P58" s="294"/>
      <c r="Q58" s="294"/>
      <c r="R58" s="294"/>
      <c r="S58" s="294"/>
      <c r="T58" s="294"/>
      <c r="U58" s="294"/>
      <c r="V58" s="294"/>
      <c r="W58" s="294"/>
      <c r="X58" s="294"/>
      <c r="Y58" s="294"/>
      <c r="Z58" s="294"/>
      <c r="AA58" s="294"/>
      <c r="AB58" s="294"/>
      <c r="AC58" s="294"/>
    </row>
    <row r="59" ht="15.75" customHeight="1">
      <c r="A59" s="294"/>
      <c r="B59" s="294"/>
      <c r="C59" s="294"/>
      <c r="D59" s="294"/>
      <c r="E59" s="294"/>
      <c r="F59" s="294"/>
      <c r="G59" s="295"/>
      <c r="H59" s="294"/>
      <c r="I59" s="294"/>
      <c r="J59" s="294"/>
      <c r="K59" s="294"/>
      <c r="L59" s="294"/>
      <c r="M59" s="294"/>
      <c r="N59" s="294"/>
      <c r="O59" s="294"/>
      <c r="P59" s="294"/>
      <c r="Q59" s="294"/>
      <c r="R59" s="294"/>
      <c r="S59" s="294"/>
      <c r="T59" s="294"/>
      <c r="U59" s="294"/>
      <c r="V59" s="294"/>
      <c r="W59" s="294"/>
      <c r="X59" s="294"/>
      <c r="Y59" s="294"/>
      <c r="Z59" s="294"/>
      <c r="AA59" s="294"/>
      <c r="AB59" s="294"/>
      <c r="AC59" s="294"/>
    </row>
    <row r="60" ht="15.75" customHeight="1">
      <c r="A60" s="294"/>
      <c r="B60" s="294"/>
      <c r="C60" s="294"/>
      <c r="D60" s="294"/>
      <c r="E60" s="294"/>
      <c r="F60" s="294"/>
      <c r="G60" s="295"/>
      <c r="H60" s="294"/>
      <c r="I60" s="294"/>
      <c r="J60" s="294"/>
      <c r="K60" s="294"/>
      <c r="L60" s="294"/>
      <c r="M60" s="294"/>
      <c r="N60" s="294"/>
      <c r="O60" s="294"/>
      <c r="P60" s="294"/>
      <c r="Q60" s="294"/>
      <c r="R60" s="294"/>
      <c r="S60" s="294"/>
      <c r="T60" s="294"/>
      <c r="U60" s="294"/>
      <c r="V60" s="294"/>
      <c r="W60" s="294"/>
      <c r="X60" s="294"/>
      <c r="Y60" s="294"/>
      <c r="Z60" s="294"/>
      <c r="AA60" s="294"/>
      <c r="AB60" s="294"/>
      <c r="AC60" s="294"/>
    </row>
    <row r="61" ht="15.75" customHeight="1">
      <c r="A61" s="294"/>
      <c r="B61" s="294"/>
      <c r="C61" s="294"/>
      <c r="D61" s="294"/>
      <c r="E61" s="294"/>
      <c r="F61" s="294"/>
      <c r="G61" s="295"/>
      <c r="H61" s="294"/>
      <c r="I61" s="294"/>
      <c r="J61" s="294"/>
      <c r="K61" s="294"/>
      <c r="L61" s="294"/>
      <c r="M61" s="294"/>
      <c r="N61" s="294"/>
      <c r="O61" s="294"/>
      <c r="P61" s="294"/>
      <c r="Q61" s="294"/>
      <c r="R61" s="294"/>
      <c r="S61" s="294"/>
      <c r="T61" s="294"/>
      <c r="U61" s="294"/>
      <c r="V61" s="294"/>
      <c r="W61" s="294"/>
      <c r="X61" s="294"/>
      <c r="Y61" s="294"/>
      <c r="Z61" s="294"/>
      <c r="AA61" s="294"/>
      <c r="AB61" s="294"/>
      <c r="AC61" s="294"/>
    </row>
    <row r="62" ht="15.75" customHeight="1">
      <c r="A62" s="294"/>
      <c r="B62" s="294"/>
      <c r="C62" s="294"/>
      <c r="D62" s="294"/>
      <c r="E62" s="294"/>
      <c r="F62" s="294"/>
      <c r="G62" s="295"/>
      <c r="H62" s="294"/>
      <c r="I62" s="294"/>
      <c r="J62" s="294"/>
      <c r="K62" s="294"/>
      <c r="L62" s="294"/>
      <c r="M62" s="294"/>
      <c r="N62" s="294"/>
      <c r="O62" s="294"/>
      <c r="P62" s="294"/>
      <c r="Q62" s="294"/>
      <c r="R62" s="294"/>
      <c r="S62" s="294"/>
      <c r="T62" s="294"/>
      <c r="U62" s="294"/>
      <c r="V62" s="294"/>
      <c r="W62" s="294"/>
      <c r="X62" s="294"/>
      <c r="Y62" s="294"/>
      <c r="Z62" s="294"/>
      <c r="AA62" s="294"/>
      <c r="AB62" s="294"/>
      <c r="AC62" s="294"/>
    </row>
    <row r="63" ht="15.75" customHeight="1">
      <c r="A63" s="294"/>
      <c r="B63" s="294"/>
      <c r="C63" s="294"/>
      <c r="D63" s="294"/>
      <c r="E63" s="294"/>
      <c r="F63" s="294"/>
      <c r="G63" s="295"/>
      <c r="H63" s="294"/>
      <c r="I63" s="294"/>
      <c r="J63" s="294"/>
      <c r="K63" s="294"/>
      <c r="L63" s="294"/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  <c r="Z63" s="294"/>
      <c r="AA63" s="294"/>
      <c r="AB63" s="294"/>
      <c r="AC63" s="294"/>
    </row>
    <row r="64" ht="15.75" customHeight="1">
      <c r="A64" s="294"/>
      <c r="B64" s="294"/>
      <c r="C64" s="294"/>
      <c r="D64" s="294"/>
      <c r="E64" s="294"/>
      <c r="F64" s="294"/>
      <c r="G64" s="295"/>
      <c r="H64" s="294"/>
      <c r="I64" s="294"/>
      <c r="J64" s="294"/>
      <c r="K64" s="294"/>
      <c r="L64" s="294"/>
      <c r="M64" s="294"/>
      <c r="N64" s="294"/>
      <c r="O64" s="294"/>
      <c r="P64" s="294"/>
      <c r="Q64" s="294"/>
      <c r="R64" s="294"/>
      <c r="S64" s="294"/>
      <c r="T64" s="294"/>
      <c r="U64" s="294"/>
      <c r="V64" s="294"/>
      <c r="W64" s="294"/>
      <c r="X64" s="294"/>
      <c r="Y64" s="294"/>
      <c r="Z64" s="294"/>
      <c r="AA64" s="294"/>
      <c r="AB64" s="294"/>
      <c r="AC64" s="294"/>
    </row>
    <row r="65" ht="15.75" customHeight="1">
      <c r="A65" s="294"/>
      <c r="B65" s="294"/>
      <c r="C65" s="294"/>
      <c r="D65" s="294"/>
      <c r="E65" s="294"/>
      <c r="F65" s="294"/>
      <c r="G65" s="295"/>
      <c r="H65" s="294"/>
      <c r="I65" s="294"/>
      <c r="J65" s="294"/>
      <c r="K65" s="294"/>
      <c r="L65" s="294"/>
      <c r="M65" s="294"/>
      <c r="N65" s="294"/>
      <c r="O65" s="294"/>
      <c r="P65" s="294"/>
      <c r="Q65" s="294"/>
      <c r="R65" s="294"/>
      <c r="S65" s="294"/>
      <c r="T65" s="294"/>
      <c r="U65" s="294"/>
      <c r="V65" s="294"/>
      <c r="W65" s="294"/>
      <c r="X65" s="294"/>
      <c r="Y65" s="294"/>
      <c r="Z65" s="294"/>
      <c r="AA65" s="294"/>
      <c r="AB65" s="294"/>
      <c r="AC65" s="294"/>
    </row>
    <row r="66" ht="15.75" customHeight="1">
      <c r="A66" s="294"/>
      <c r="B66" s="294"/>
      <c r="C66" s="294"/>
      <c r="D66" s="294"/>
      <c r="E66" s="294"/>
      <c r="F66" s="294"/>
      <c r="G66" s="295"/>
      <c r="H66" s="294"/>
      <c r="I66" s="294"/>
      <c r="J66" s="294"/>
      <c r="K66" s="294"/>
      <c r="L66" s="294"/>
      <c r="M66" s="294"/>
      <c r="N66" s="294"/>
      <c r="O66" s="294"/>
      <c r="P66" s="294"/>
      <c r="Q66" s="294"/>
      <c r="R66" s="294"/>
      <c r="S66" s="294"/>
      <c r="T66" s="294"/>
      <c r="U66" s="294"/>
      <c r="V66" s="294"/>
      <c r="W66" s="294"/>
      <c r="X66" s="294"/>
      <c r="Y66" s="294"/>
      <c r="Z66" s="294"/>
      <c r="AA66" s="294"/>
      <c r="AB66" s="294"/>
      <c r="AC66" s="294"/>
    </row>
    <row r="67" ht="15.75" customHeight="1">
      <c r="A67" s="294"/>
      <c r="B67" s="294"/>
      <c r="C67" s="294"/>
      <c r="D67" s="294"/>
      <c r="E67" s="294"/>
      <c r="F67" s="294"/>
      <c r="G67" s="295"/>
      <c r="H67" s="294"/>
      <c r="I67" s="294"/>
      <c r="J67" s="294"/>
      <c r="K67" s="294"/>
      <c r="L67" s="294"/>
      <c r="M67" s="294"/>
      <c r="N67" s="294"/>
      <c r="O67" s="294"/>
      <c r="P67" s="294"/>
      <c r="Q67" s="294"/>
      <c r="R67" s="294"/>
      <c r="S67" s="294"/>
      <c r="T67" s="294"/>
      <c r="U67" s="294"/>
      <c r="V67" s="294"/>
      <c r="W67" s="294"/>
      <c r="X67" s="294"/>
      <c r="Y67" s="294"/>
      <c r="Z67" s="294"/>
      <c r="AA67" s="294"/>
      <c r="AB67" s="294"/>
      <c r="AC67" s="294"/>
    </row>
    <row r="68" ht="15.75" customHeight="1">
      <c r="A68" s="294"/>
      <c r="B68" s="294"/>
      <c r="C68" s="294"/>
      <c r="D68" s="294"/>
      <c r="E68" s="294"/>
      <c r="F68" s="294"/>
      <c r="G68" s="295"/>
      <c r="H68" s="294"/>
      <c r="I68" s="294"/>
      <c r="J68" s="294"/>
      <c r="K68" s="294"/>
      <c r="L68" s="294"/>
      <c r="M68" s="294"/>
      <c r="N68" s="294"/>
      <c r="O68" s="294"/>
      <c r="P68" s="294"/>
      <c r="Q68" s="294"/>
      <c r="R68" s="294"/>
      <c r="S68" s="294"/>
      <c r="T68" s="294"/>
      <c r="U68" s="294"/>
      <c r="V68" s="294"/>
      <c r="W68" s="294"/>
      <c r="X68" s="294"/>
      <c r="Y68" s="294"/>
      <c r="Z68" s="294"/>
      <c r="AA68" s="294"/>
      <c r="AB68" s="294"/>
      <c r="AC68" s="294"/>
    </row>
    <row r="69" ht="15.75" customHeight="1">
      <c r="A69" s="294"/>
      <c r="B69" s="294"/>
      <c r="C69" s="294"/>
      <c r="D69" s="294"/>
      <c r="E69" s="294"/>
      <c r="F69" s="294"/>
      <c r="G69" s="295"/>
      <c r="H69" s="294"/>
      <c r="I69" s="294"/>
      <c r="J69" s="294"/>
      <c r="K69" s="294"/>
      <c r="L69" s="294"/>
      <c r="M69" s="294"/>
      <c r="N69" s="294"/>
      <c r="O69" s="294"/>
      <c r="P69" s="294"/>
      <c r="Q69" s="294"/>
      <c r="R69" s="294"/>
      <c r="S69" s="294"/>
      <c r="T69" s="294"/>
      <c r="U69" s="294"/>
      <c r="V69" s="294"/>
      <c r="W69" s="294"/>
      <c r="X69" s="294"/>
      <c r="Y69" s="294"/>
      <c r="Z69" s="294"/>
      <c r="AA69" s="294"/>
      <c r="AB69" s="294"/>
      <c r="AC69" s="294"/>
    </row>
    <row r="70" ht="15.75" customHeight="1">
      <c r="A70" s="294"/>
      <c r="B70" s="294"/>
      <c r="C70" s="294"/>
      <c r="D70" s="294"/>
      <c r="E70" s="294"/>
      <c r="F70" s="294"/>
      <c r="G70" s="295"/>
      <c r="H70" s="294"/>
      <c r="I70" s="294"/>
      <c r="J70" s="294"/>
      <c r="K70" s="294"/>
      <c r="L70" s="294"/>
      <c r="M70" s="294"/>
      <c r="N70" s="294"/>
      <c r="O70" s="294"/>
      <c r="P70" s="294"/>
      <c r="Q70" s="294"/>
      <c r="R70" s="294"/>
      <c r="S70" s="294"/>
      <c r="T70" s="294"/>
      <c r="U70" s="294"/>
      <c r="V70" s="294"/>
      <c r="W70" s="294"/>
      <c r="X70" s="294"/>
      <c r="Y70" s="294"/>
      <c r="Z70" s="294"/>
      <c r="AA70" s="294"/>
      <c r="AB70" s="294"/>
      <c r="AC70" s="294"/>
    </row>
    <row r="71" ht="15.75" customHeight="1">
      <c r="A71" s="294"/>
      <c r="B71" s="294"/>
      <c r="C71" s="294"/>
      <c r="D71" s="294"/>
      <c r="E71" s="294"/>
      <c r="F71" s="294"/>
      <c r="G71" s="295"/>
      <c r="H71" s="294"/>
      <c r="I71" s="294"/>
      <c r="J71" s="294"/>
      <c r="K71" s="294"/>
      <c r="L71" s="294"/>
      <c r="M71" s="294"/>
      <c r="N71" s="294"/>
      <c r="O71" s="294"/>
      <c r="P71" s="294"/>
      <c r="Q71" s="294"/>
      <c r="R71" s="294"/>
      <c r="S71" s="294"/>
      <c r="T71" s="294"/>
      <c r="U71" s="294"/>
      <c r="V71" s="294"/>
      <c r="W71" s="294"/>
      <c r="X71" s="294"/>
      <c r="Y71" s="294"/>
      <c r="Z71" s="294"/>
      <c r="AA71" s="294"/>
      <c r="AB71" s="294"/>
      <c r="AC71" s="294"/>
    </row>
    <row r="72" ht="15.75" customHeight="1">
      <c r="A72" s="294"/>
      <c r="B72" s="294"/>
      <c r="C72" s="294"/>
      <c r="D72" s="294"/>
      <c r="E72" s="294"/>
      <c r="F72" s="294"/>
      <c r="G72" s="295"/>
      <c r="H72" s="294"/>
      <c r="I72" s="294"/>
      <c r="J72" s="294"/>
      <c r="K72" s="294"/>
      <c r="L72" s="294"/>
      <c r="M72" s="294"/>
      <c r="N72" s="294"/>
      <c r="O72" s="294"/>
      <c r="P72" s="294"/>
      <c r="Q72" s="294"/>
      <c r="R72" s="294"/>
      <c r="S72" s="294"/>
      <c r="T72" s="294"/>
      <c r="U72" s="294"/>
      <c r="V72" s="294"/>
      <c r="W72" s="294"/>
      <c r="X72" s="294"/>
      <c r="Y72" s="294"/>
      <c r="Z72" s="294"/>
      <c r="AA72" s="294"/>
      <c r="AB72" s="294"/>
      <c r="AC72" s="294"/>
    </row>
    <row r="73" ht="15.75" customHeight="1">
      <c r="A73" s="294"/>
      <c r="B73" s="294"/>
      <c r="C73" s="294"/>
      <c r="D73" s="294"/>
      <c r="E73" s="294"/>
      <c r="F73" s="294"/>
      <c r="G73" s="295"/>
      <c r="H73" s="294"/>
      <c r="I73" s="294"/>
      <c r="J73" s="294"/>
      <c r="K73" s="294"/>
      <c r="L73" s="294"/>
      <c r="M73" s="294"/>
      <c r="N73" s="294"/>
      <c r="O73" s="294"/>
      <c r="P73" s="294"/>
      <c r="Q73" s="294"/>
      <c r="R73" s="294"/>
      <c r="S73" s="294"/>
      <c r="T73" s="294"/>
      <c r="U73" s="294"/>
      <c r="V73" s="294"/>
      <c r="W73" s="294"/>
      <c r="X73" s="294"/>
      <c r="Y73" s="294"/>
      <c r="Z73" s="294"/>
      <c r="AA73" s="294"/>
      <c r="AB73" s="294"/>
      <c r="AC73" s="294"/>
    </row>
    <row r="74" ht="15.75" customHeight="1">
      <c r="A74" s="294"/>
      <c r="B74" s="294"/>
      <c r="C74" s="294"/>
      <c r="D74" s="294"/>
      <c r="E74" s="294"/>
      <c r="F74" s="294"/>
      <c r="G74" s="295"/>
      <c r="H74" s="294"/>
      <c r="I74" s="294"/>
      <c r="J74" s="294"/>
      <c r="K74" s="294"/>
      <c r="L74" s="294"/>
      <c r="M74" s="294"/>
      <c r="N74" s="294"/>
      <c r="O74" s="294"/>
      <c r="P74" s="294"/>
      <c r="Q74" s="294"/>
      <c r="R74" s="294"/>
      <c r="S74" s="294"/>
      <c r="T74" s="294"/>
      <c r="U74" s="294"/>
      <c r="V74" s="294"/>
      <c r="W74" s="294"/>
      <c r="X74" s="294"/>
      <c r="Y74" s="294"/>
      <c r="Z74" s="294"/>
      <c r="AA74" s="294"/>
      <c r="AB74" s="294"/>
      <c r="AC74" s="294"/>
    </row>
    <row r="75" ht="15.75" customHeight="1">
      <c r="A75" s="294"/>
      <c r="B75" s="294"/>
      <c r="C75" s="294"/>
      <c r="D75" s="294"/>
      <c r="E75" s="294"/>
      <c r="F75" s="294"/>
      <c r="G75" s="295"/>
      <c r="H75" s="294"/>
      <c r="I75" s="294"/>
      <c r="J75" s="294"/>
      <c r="K75" s="294"/>
      <c r="L75" s="294"/>
      <c r="M75" s="294"/>
      <c r="N75" s="294"/>
      <c r="O75" s="294"/>
      <c r="P75" s="294"/>
      <c r="Q75" s="294"/>
      <c r="R75" s="294"/>
      <c r="S75" s="294"/>
      <c r="T75" s="294"/>
      <c r="U75" s="294"/>
      <c r="V75" s="294"/>
      <c r="W75" s="294"/>
      <c r="X75" s="294"/>
      <c r="Y75" s="294"/>
      <c r="Z75" s="294"/>
      <c r="AA75" s="294"/>
      <c r="AB75" s="294"/>
      <c r="AC75" s="294"/>
    </row>
    <row r="76" ht="15.75" customHeight="1">
      <c r="A76" s="294"/>
      <c r="B76" s="294"/>
      <c r="C76" s="294"/>
      <c r="D76" s="294"/>
      <c r="E76" s="294"/>
      <c r="F76" s="294"/>
      <c r="G76" s="295"/>
      <c r="H76" s="294"/>
      <c r="I76" s="294"/>
      <c r="J76" s="294"/>
      <c r="K76" s="294"/>
      <c r="L76" s="294"/>
      <c r="M76" s="294"/>
      <c r="N76" s="294"/>
      <c r="O76" s="294"/>
      <c r="P76" s="294"/>
      <c r="Q76" s="294"/>
      <c r="R76" s="294"/>
      <c r="S76" s="294"/>
      <c r="T76" s="294"/>
      <c r="U76" s="294"/>
      <c r="V76" s="294"/>
      <c r="W76" s="294"/>
      <c r="X76" s="294"/>
      <c r="Y76" s="294"/>
      <c r="Z76" s="294"/>
      <c r="AA76" s="294"/>
      <c r="AB76" s="294"/>
      <c r="AC76" s="294"/>
    </row>
    <row r="77" ht="15.75" customHeight="1">
      <c r="A77" s="294"/>
      <c r="B77" s="294"/>
      <c r="C77" s="294"/>
      <c r="D77" s="294"/>
      <c r="E77" s="294"/>
      <c r="F77" s="294"/>
      <c r="G77" s="295"/>
      <c r="H77" s="294"/>
      <c r="I77" s="294"/>
      <c r="J77" s="294"/>
      <c r="K77" s="294"/>
      <c r="L77" s="294"/>
      <c r="M77" s="294"/>
      <c r="N77" s="294"/>
      <c r="O77" s="294"/>
      <c r="P77" s="294"/>
      <c r="Q77" s="294"/>
      <c r="R77" s="294"/>
      <c r="S77" s="294"/>
      <c r="T77" s="294"/>
      <c r="U77" s="294"/>
      <c r="V77" s="294"/>
      <c r="W77" s="294"/>
      <c r="X77" s="294"/>
      <c r="Y77" s="294"/>
      <c r="Z77" s="294"/>
      <c r="AA77" s="294"/>
      <c r="AB77" s="294"/>
      <c r="AC77" s="294"/>
    </row>
    <row r="78" ht="15.75" customHeight="1">
      <c r="A78" s="294"/>
      <c r="B78" s="294"/>
      <c r="C78" s="294"/>
      <c r="D78" s="294"/>
      <c r="E78" s="294"/>
      <c r="F78" s="294"/>
      <c r="G78" s="295"/>
      <c r="H78" s="294"/>
      <c r="I78" s="294"/>
      <c r="J78" s="294"/>
      <c r="K78" s="294"/>
      <c r="L78" s="294"/>
      <c r="M78" s="294"/>
      <c r="N78" s="294"/>
      <c r="O78" s="294"/>
      <c r="P78" s="294"/>
      <c r="Q78" s="294"/>
      <c r="R78" s="294"/>
      <c r="S78" s="294"/>
      <c r="T78" s="294"/>
      <c r="U78" s="294"/>
      <c r="V78" s="294"/>
      <c r="W78" s="294"/>
      <c r="X78" s="294"/>
      <c r="Y78" s="294"/>
      <c r="Z78" s="294"/>
      <c r="AA78" s="294"/>
      <c r="AB78" s="294"/>
      <c r="AC78" s="294"/>
    </row>
    <row r="79" ht="15.75" customHeight="1">
      <c r="A79" s="294"/>
      <c r="B79" s="294"/>
      <c r="C79" s="294"/>
      <c r="D79" s="294"/>
      <c r="E79" s="294"/>
      <c r="F79" s="294"/>
      <c r="G79" s="295"/>
      <c r="H79" s="294"/>
      <c r="I79" s="294"/>
      <c r="J79" s="294"/>
      <c r="K79" s="294"/>
      <c r="L79" s="294"/>
      <c r="M79" s="294"/>
      <c r="N79" s="294"/>
      <c r="O79" s="294"/>
      <c r="P79" s="294"/>
      <c r="Q79" s="294"/>
      <c r="R79" s="294"/>
      <c r="S79" s="294"/>
      <c r="T79" s="294"/>
      <c r="U79" s="294"/>
      <c r="V79" s="294"/>
      <c r="W79" s="294"/>
      <c r="X79" s="294"/>
      <c r="Y79" s="294"/>
      <c r="Z79" s="294"/>
      <c r="AA79" s="294"/>
      <c r="AB79" s="294"/>
      <c r="AC79" s="294"/>
    </row>
    <row r="80" ht="15.75" customHeight="1">
      <c r="A80" s="294"/>
      <c r="B80" s="294"/>
      <c r="C80" s="294"/>
      <c r="D80" s="294"/>
      <c r="E80" s="294"/>
      <c r="F80" s="294"/>
      <c r="G80" s="295"/>
      <c r="H80" s="294"/>
      <c r="I80" s="294"/>
      <c r="J80" s="294"/>
      <c r="K80" s="294"/>
      <c r="L80" s="294"/>
      <c r="M80" s="294"/>
      <c r="N80" s="294"/>
      <c r="O80" s="294"/>
      <c r="P80" s="294"/>
      <c r="Q80" s="294"/>
      <c r="R80" s="294"/>
      <c r="S80" s="294"/>
      <c r="T80" s="294"/>
      <c r="U80" s="294"/>
      <c r="V80" s="294"/>
      <c r="W80" s="294"/>
      <c r="X80" s="294"/>
      <c r="Y80" s="294"/>
      <c r="Z80" s="294"/>
      <c r="AA80" s="294"/>
      <c r="AB80" s="294"/>
      <c r="AC80" s="294"/>
    </row>
    <row r="81" ht="15.75" customHeight="1">
      <c r="A81" s="294"/>
      <c r="B81" s="294"/>
      <c r="C81" s="294"/>
      <c r="D81" s="294"/>
      <c r="E81" s="294"/>
      <c r="F81" s="294"/>
      <c r="G81" s="295"/>
      <c r="H81" s="294"/>
      <c r="I81" s="294"/>
      <c r="J81" s="294"/>
      <c r="K81" s="294"/>
      <c r="L81" s="294"/>
      <c r="M81" s="294"/>
      <c r="N81" s="294"/>
      <c r="O81" s="294"/>
      <c r="P81" s="294"/>
      <c r="Q81" s="294"/>
      <c r="R81" s="294"/>
      <c r="S81" s="294"/>
      <c r="T81" s="294"/>
      <c r="U81" s="294"/>
      <c r="V81" s="294"/>
      <c r="W81" s="294"/>
      <c r="X81" s="294"/>
      <c r="Y81" s="294"/>
      <c r="Z81" s="294"/>
      <c r="AA81" s="294"/>
      <c r="AB81" s="294"/>
      <c r="AC81" s="294"/>
    </row>
    <row r="82" ht="15.75" customHeight="1">
      <c r="A82" s="294"/>
      <c r="B82" s="294"/>
      <c r="C82" s="294"/>
      <c r="D82" s="294"/>
      <c r="E82" s="294"/>
      <c r="F82" s="294"/>
      <c r="G82" s="295"/>
      <c r="H82" s="294"/>
      <c r="I82" s="294"/>
      <c r="J82" s="294"/>
      <c r="K82" s="294"/>
      <c r="L82" s="294"/>
      <c r="M82" s="294"/>
      <c r="N82" s="294"/>
      <c r="O82" s="294"/>
      <c r="P82" s="294"/>
      <c r="Q82" s="294"/>
      <c r="R82" s="294"/>
      <c r="S82" s="294"/>
      <c r="T82" s="294"/>
      <c r="U82" s="294"/>
      <c r="V82" s="294"/>
      <c r="W82" s="294"/>
      <c r="X82" s="294"/>
      <c r="Y82" s="294"/>
      <c r="Z82" s="294"/>
      <c r="AA82" s="294"/>
      <c r="AB82" s="294"/>
      <c r="AC82" s="294"/>
    </row>
    <row r="83" ht="15.75" customHeight="1">
      <c r="A83" s="294"/>
      <c r="B83" s="294"/>
      <c r="C83" s="294"/>
      <c r="D83" s="294"/>
      <c r="E83" s="294"/>
      <c r="F83" s="294"/>
      <c r="G83" s="295"/>
      <c r="H83" s="294"/>
      <c r="I83" s="294"/>
      <c r="J83" s="294"/>
      <c r="K83" s="294"/>
      <c r="L83" s="294"/>
      <c r="M83" s="294"/>
      <c r="N83" s="294"/>
      <c r="O83" s="294"/>
      <c r="P83" s="294"/>
      <c r="Q83" s="294"/>
      <c r="R83" s="294"/>
      <c r="S83" s="294"/>
      <c r="T83" s="294"/>
      <c r="U83" s="294"/>
      <c r="V83" s="294"/>
      <c r="W83" s="294"/>
      <c r="X83" s="294"/>
      <c r="Y83" s="294"/>
      <c r="Z83" s="294"/>
      <c r="AA83" s="294"/>
      <c r="AB83" s="294"/>
      <c r="AC83" s="294"/>
    </row>
    <row r="84" ht="15.75" customHeight="1">
      <c r="A84" s="294"/>
      <c r="B84" s="294"/>
      <c r="C84" s="294"/>
      <c r="D84" s="294"/>
      <c r="E84" s="294"/>
      <c r="F84" s="294"/>
      <c r="G84" s="295"/>
      <c r="H84" s="294"/>
      <c r="I84" s="294"/>
      <c r="J84" s="294"/>
      <c r="K84" s="294"/>
      <c r="L84" s="294"/>
      <c r="M84" s="294"/>
      <c r="N84" s="294"/>
      <c r="O84" s="294"/>
      <c r="P84" s="294"/>
      <c r="Q84" s="294"/>
      <c r="R84" s="294"/>
      <c r="S84" s="294"/>
      <c r="T84" s="294"/>
      <c r="U84" s="294"/>
      <c r="V84" s="294"/>
      <c r="W84" s="294"/>
      <c r="X84" s="294"/>
      <c r="Y84" s="294"/>
      <c r="Z84" s="294"/>
      <c r="AA84" s="294"/>
      <c r="AB84" s="294"/>
      <c r="AC84" s="294"/>
    </row>
    <row r="85" ht="15.75" customHeight="1">
      <c r="A85" s="294"/>
      <c r="B85" s="294"/>
      <c r="C85" s="294"/>
      <c r="D85" s="294"/>
      <c r="E85" s="294"/>
      <c r="F85" s="294"/>
      <c r="G85" s="295"/>
      <c r="H85" s="294"/>
      <c r="I85" s="294"/>
      <c r="J85" s="294"/>
      <c r="K85" s="294"/>
      <c r="L85" s="294"/>
      <c r="M85" s="294"/>
      <c r="N85" s="294"/>
      <c r="O85" s="294"/>
      <c r="P85" s="294"/>
      <c r="Q85" s="294"/>
      <c r="R85" s="294"/>
      <c r="S85" s="294"/>
      <c r="T85" s="294"/>
      <c r="U85" s="294"/>
      <c r="V85" s="294"/>
      <c r="W85" s="294"/>
      <c r="X85" s="294"/>
      <c r="Y85" s="294"/>
      <c r="Z85" s="294"/>
      <c r="AA85" s="294"/>
      <c r="AB85" s="294"/>
      <c r="AC85" s="294"/>
    </row>
    <row r="86" ht="15.75" customHeight="1">
      <c r="A86" s="294"/>
      <c r="B86" s="294"/>
      <c r="C86" s="294"/>
      <c r="D86" s="294"/>
      <c r="E86" s="294"/>
      <c r="F86" s="294"/>
      <c r="G86" s="295"/>
      <c r="H86" s="294"/>
      <c r="I86" s="294"/>
      <c r="J86" s="294"/>
      <c r="K86" s="294"/>
      <c r="L86" s="294"/>
      <c r="M86" s="294"/>
      <c r="N86" s="294"/>
      <c r="O86" s="294"/>
      <c r="P86" s="294"/>
      <c r="Q86" s="294"/>
      <c r="R86" s="294"/>
      <c r="S86" s="294"/>
      <c r="T86" s="294"/>
      <c r="U86" s="294"/>
      <c r="V86" s="294"/>
      <c r="W86" s="294"/>
      <c r="X86" s="294"/>
      <c r="Y86" s="294"/>
      <c r="Z86" s="294"/>
      <c r="AA86" s="294"/>
      <c r="AB86" s="294"/>
      <c r="AC86" s="294"/>
    </row>
    <row r="87" ht="15.75" customHeight="1">
      <c r="A87" s="294"/>
      <c r="B87" s="294"/>
      <c r="C87" s="294"/>
      <c r="D87" s="294"/>
      <c r="E87" s="294"/>
      <c r="F87" s="294"/>
      <c r="G87" s="295"/>
      <c r="H87" s="294"/>
      <c r="I87" s="294"/>
      <c r="J87" s="294"/>
      <c r="K87" s="294"/>
      <c r="L87" s="294"/>
      <c r="M87" s="294"/>
      <c r="N87" s="294"/>
      <c r="O87" s="294"/>
      <c r="P87" s="294"/>
      <c r="Q87" s="294"/>
      <c r="R87" s="294"/>
      <c r="S87" s="294"/>
      <c r="T87" s="294"/>
      <c r="U87" s="294"/>
      <c r="V87" s="294"/>
      <c r="W87" s="294"/>
      <c r="X87" s="294"/>
      <c r="Y87" s="294"/>
      <c r="Z87" s="294"/>
      <c r="AA87" s="294"/>
      <c r="AB87" s="294"/>
      <c r="AC87" s="294"/>
    </row>
    <row r="88" ht="15.75" customHeight="1">
      <c r="A88" s="294"/>
      <c r="B88" s="294"/>
      <c r="C88" s="294"/>
      <c r="D88" s="294"/>
      <c r="E88" s="294"/>
      <c r="F88" s="294"/>
      <c r="G88" s="295"/>
      <c r="H88" s="294"/>
      <c r="I88" s="294"/>
      <c r="J88" s="294"/>
      <c r="K88" s="294"/>
      <c r="L88" s="294"/>
      <c r="M88" s="294"/>
      <c r="N88" s="294"/>
      <c r="O88" s="294"/>
      <c r="P88" s="294"/>
      <c r="Q88" s="294"/>
      <c r="R88" s="294"/>
      <c r="S88" s="294"/>
      <c r="T88" s="294"/>
      <c r="U88" s="294"/>
      <c r="V88" s="294"/>
      <c r="W88" s="294"/>
      <c r="X88" s="294"/>
      <c r="Y88" s="294"/>
      <c r="Z88" s="294"/>
      <c r="AA88" s="294"/>
      <c r="AB88" s="294"/>
      <c r="AC88" s="294"/>
    </row>
    <row r="89" ht="15.75" customHeight="1">
      <c r="A89" s="294"/>
      <c r="B89" s="294"/>
      <c r="C89" s="294"/>
      <c r="D89" s="294"/>
      <c r="E89" s="294"/>
      <c r="F89" s="294"/>
      <c r="G89" s="295"/>
      <c r="H89" s="294"/>
      <c r="I89" s="294"/>
      <c r="J89" s="294"/>
      <c r="K89" s="294"/>
      <c r="L89" s="294"/>
      <c r="M89" s="294"/>
      <c r="N89" s="294"/>
      <c r="O89" s="294"/>
      <c r="P89" s="294"/>
      <c r="Q89" s="294"/>
      <c r="R89" s="294"/>
      <c r="S89" s="294"/>
      <c r="T89" s="294"/>
      <c r="U89" s="294"/>
      <c r="V89" s="294"/>
      <c r="W89" s="294"/>
      <c r="X89" s="294"/>
      <c r="Y89" s="294"/>
      <c r="Z89" s="294"/>
      <c r="AA89" s="294"/>
      <c r="AB89" s="294"/>
      <c r="AC89" s="294"/>
    </row>
    <row r="90" ht="15.75" customHeight="1">
      <c r="A90" s="294"/>
      <c r="B90" s="294"/>
      <c r="C90" s="294"/>
      <c r="D90" s="294"/>
      <c r="E90" s="294"/>
      <c r="F90" s="294"/>
      <c r="G90" s="295"/>
      <c r="H90" s="294"/>
      <c r="I90" s="294"/>
      <c r="J90" s="294"/>
      <c r="K90" s="294"/>
      <c r="L90" s="294"/>
      <c r="M90" s="294"/>
      <c r="N90" s="294"/>
      <c r="O90" s="294"/>
      <c r="P90" s="294"/>
      <c r="Q90" s="294"/>
      <c r="R90" s="294"/>
      <c r="S90" s="294"/>
      <c r="T90" s="294"/>
      <c r="U90" s="294"/>
      <c r="V90" s="294"/>
      <c r="W90" s="294"/>
      <c r="X90" s="294"/>
      <c r="Y90" s="294"/>
      <c r="Z90" s="294"/>
      <c r="AA90" s="294"/>
      <c r="AB90" s="294"/>
      <c r="AC90" s="294"/>
    </row>
    <row r="91" ht="15.75" customHeight="1">
      <c r="A91" s="294"/>
      <c r="B91" s="294"/>
      <c r="C91" s="294"/>
      <c r="D91" s="294"/>
      <c r="E91" s="294"/>
      <c r="F91" s="294"/>
      <c r="G91" s="295"/>
      <c r="H91" s="294"/>
      <c r="I91" s="294"/>
      <c r="J91" s="294"/>
      <c r="K91" s="294"/>
      <c r="L91" s="294"/>
      <c r="M91" s="294"/>
      <c r="N91" s="294"/>
      <c r="O91" s="294"/>
      <c r="P91" s="294"/>
      <c r="Q91" s="294"/>
      <c r="R91" s="294"/>
      <c r="S91" s="294"/>
      <c r="T91" s="294"/>
      <c r="U91" s="294"/>
      <c r="V91" s="294"/>
      <c r="W91" s="294"/>
      <c r="X91" s="294"/>
      <c r="Y91" s="294"/>
      <c r="Z91" s="294"/>
      <c r="AA91" s="294"/>
      <c r="AB91" s="294"/>
      <c r="AC91" s="294"/>
    </row>
    <row r="92" ht="15.75" customHeight="1">
      <c r="A92" s="294"/>
      <c r="B92" s="294"/>
      <c r="C92" s="294"/>
      <c r="D92" s="294"/>
      <c r="E92" s="294"/>
      <c r="F92" s="294"/>
      <c r="G92" s="295"/>
      <c r="H92" s="294"/>
      <c r="I92" s="294"/>
      <c r="J92" s="294"/>
      <c r="K92" s="294"/>
      <c r="L92" s="294"/>
      <c r="M92" s="294"/>
      <c r="N92" s="294"/>
      <c r="O92" s="294"/>
      <c r="P92" s="294"/>
      <c r="Q92" s="294"/>
      <c r="R92" s="294"/>
      <c r="S92" s="294"/>
      <c r="T92" s="294"/>
      <c r="U92" s="294"/>
      <c r="V92" s="294"/>
      <c r="W92" s="294"/>
      <c r="X92" s="294"/>
      <c r="Y92" s="294"/>
      <c r="Z92" s="294"/>
      <c r="AA92" s="294"/>
      <c r="AB92" s="294"/>
      <c r="AC92" s="294"/>
    </row>
    <row r="93" ht="15.75" customHeight="1">
      <c r="A93" s="294"/>
      <c r="B93" s="294"/>
      <c r="C93" s="294"/>
      <c r="D93" s="294"/>
      <c r="E93" s="294"/>
      <c r="F93" s="294"/>
      <c r="G93" s="295"/>
      <c r="H93" s="294"/>
      <c r="I93" s="294"/>
      <c r="J93" s="294"/>
      <c r="K93" s="294"/>
      <c r="L93" s="294"/>
      <c r="M93" s="294"/>
      <c r="N93" s="294"/>
      <c r="O93" s="294"/>
      <c r="P93" s="294"/>
      <c r="Q93" s="294"/>
      <c r="R93" s="294"/>
      <c r="S93" s="294"/>
      <c r="T93" s="294"/>
      <c r="U93" s="294"/>
      <c r="V93" s="294"/>
      <c r="W93" s="294"/>
      <c r="X93" s="294"/>
      <c r="Y93" s="294"/>
      <c r="Z93" s="294"/>
      <c r="AA93" s="294"/>
      <c r="AB93" s="294"/>
      <c r="AC93" s="294"/>
    </row>
    <row r="94" ht="15.75" customHeight="1">
      <c r="A94" s="294"/>
      <c r="B94" s="294"/>
      <c r="C94" s="294"/>
      <c r="D94" s="294"/>
      <c r="E94" s="294"/>
      <c r="F94" s="294"/>
      <c r="G94" s="295"/>
      <c r="H94" s="294"/>
      <c r="I94" s="294"/>
      <c r="J94" s="294"/>
      <c r="K94" s="294"/>
      <c r="L94" s="294"/>
      <c r="M94" s="294"/>
      <c r="N94" s="294"/>
      <c r="O94" s="294"/>
      <c r="P94" s="294"/>
      <c r="Q94" s="294"/>
      <c r="R94" s="294"/>
      <c r="S94" s="294"/>
      <c r="T94" s="294"/>
      <c r="U94" s="294"/>
      <c r="V94" s="294"/>
      <c r="W94" s="294"/>
      <c r="X94" s="294"/>
      <c r="Y94" s="294"/>
      <c r="Z94" s="294"/>
      <c r="AA94" s="294"/>
      <c r="AB94" s="294"/>
      <c r="AC94" s="294"/>
    </row>
    <row r="95" ht="15.75" customHeight="1">
      <c r="A95" s="294"/>
      <c r="B95" s="294"/>
      <c r="C95" s="294"/>
      <c r="D95" s="294"/>
      <c r="E95" s="294"/>
      <c r="F95" s="294"/>
      <c r="G95" s="295"/>
      <c r="H95" s="294"/>
      <c r="I95" s="294"/>
      <c r="J95" s="294"/>
      <c r="K95" s="294"/>
      <c r="L95" s="294"/>
      <c r="M95" s="294"/>
      <c r="N95" s="294"/>
      <c r="O95" s="294"/>
      <c r="P95" s="294"/>
      <c r="Q95" s="294"/>
      <c r="R95" s="294"/>
      <c r="S95" s="294"/>
      <c r="T95" s="294"/>
      <c r="U95" s="294"/>
      <c r="V95" s="294"/>
      <c r="W95" s="294"/>
      <c r="X95" s="294"/>
      <c r="Y95" s="294"/>
      <c r="Z95" s="294"/>
      <c r="AA95" s="294"/>
      <c r="AB95" s="294"/>
      <c r="AC95" s="294"/>
    </row>
    <row r="96" ht="15.75" customHeight="1">
      <c r="A96" s="294"/>
      <c r="B96" s="294"/>
      <c r="C96" s="294"/>
      <c r="D96" s="294"/>
      <c r="E96" s="294"/>
      <c r="F96" s="294"/>
      <c r="G96" s="295"/>
      <c r="H96" s="294"/>
      <c r="I96" s="294"/>
      <c r="J96" s="294"/>
      <c r="K96" s="294"/>
      <c r="L96" s="294"/>
      <c r="M96" s="294"/>
      <c r="N96" s="294"/>
      <c r="O96" s="294"/>
      <c r="P96" s="294"/>
      <c r="Q96" s="294"/>
      <c r="R96" s="294"/>
      <c r="S96" s="294"/>
      <c r="T96" s="294"/>
      <c r="U96" s="294"/>
      <c r="V96" s="294"/>
      <c r="W96" s="294"/>
      <c r="X96" s="294"/>
      <c r="Y96" s="294"/>
      <c r="Z96" s="294"/>
      <c r="AA96" s="294"/>
      <c r="AB96" s="294"/>
      <c r="AC96" s="294"/>
    </row>
    <row r="97" ht="15.75" customHeight="1">
      <c r="A97" s="294"/>
      <c r="B97" s="294"/>
      <c r="C97" s="294"/>
      <c r="D97" s="294"/>
      <c r="E97" s="294"/>
      <c r="F97" s="294"/>
      <c r="G97" s="295"/>
      <c r="H97" s="294"/>
      <c r="I97" s="294"/>
      <c r="J97" s="294"/>
      <c r="K97" s="294"/>
      <c r="L97" s="294"/>
      <c r="M97" s="294"/>
      <c r="N97" s="294"/>
      <c r="O97" s="294"/>
      <c r="P97" s="294"/>
      <c r="Q97" s="294"/>
      <c r="R97" s="294"/>
      <c r="S97" s="294"/>
      <c r="T97" s="294"/>
      <c r="U97" s="294"/>
      <c r="V97" s="294"/>
      <c r="W97" s="294"/>
      <c r="X97" s="294"/>
      <c r="Y97" s="294"/>
      <c r="Z97" s="294"/>
      <c r="AA97" s="294"/>
      <c r="AB97" s="294"/>
      <c r="AC97" s="294"/>
    </row>
    <row r="98" ht="15.75" customHeight="1">
      <c r="A98" s="294"/>
      <c r="B98" s="294"/>
      <c r="C98" s="294"/>
      <c r="D98" s="294"/>
      <c r="E98" s="294"/>
      <c r="F98" s="294"/>
      <c r="G98" s="295"/>
      <c r="H98" s="294"/>
      <c r="I98" s="294"/>
      <c r="J98" s="294"/>
      <c r="K98" s="294"/>
      <c r="L98" s="294"/>
      <c r="M98" s="294"/>
      <c r="N98" s="294"/>
      <c r="O98" s="294"/>
      <c r="P98" s="294"/>
      <c r="Q98" s="294"/>
      <c r="R98" s="294"/>
      <c r="S98" s="294"/>
      <c r="T98" s="294"/>
      <c r="U98" s="294"/>
      <c r="V98" s="294"/>
      <c r="W98" s="294"/>
      <c r="X98" s="294"/>
      <c r="Y98" s="294"/>
      <c r="Z98" s="294"/>
      <c r="AA98" s="294"/>
      <c r="AB98" s="294"/>
      <c r="AC98" s="294"/>
    </row>
    <row r="99" ht="15.75" customHeight="1">
      <c r="A99" s="294"/>
      <c r="B99" s="294"/>
      <c r="C99" s="294"/>
      <c r="D99" s="294"/>
      <c r="E99" s="294"/>
      <c r="F99" s="294"/>
      <c r="G99" s="295"/>
      <c r="H99" s="294"/>
      <c r="I99" s="294"/>
      <c r="J99" s="294"/>
      <c r="K99" s="294"/>
      <c r="L99" s="294"/>
      <c r="M99" s="294"/>
      <c r="N99" s="294"/>
      <c r="O99" s="294"/>
      <c r="P99" s="294"/>
      <c r="Q99" s="294"/>
      <c r="R99" s="294"/>
      <c r="S99" s="294"/>
      <c r="T99" s="294"/>
      <c r="U99" s="294"/>
      <c r="V99" s="294"/>
      <c r="W99" s="294"/>
      <c r="X99" s="294"/>
      <c r="Y99" s="294"/>
      <c r="Z99" s="294"/>
      <c r="AA99" s="294"/>
      <c r="AB99" s="294"/>
      <c r="AC99" s="294"/>
    </row>
    <row r="100" ht="15.75" customHeight="1">
      <c r="A100" s="294"/>
      <c r="B100" s="294"/>
      <c r="C100" s="294"/>
      <c r="D100" s="294"/>
      <c r="E100" s="294"/>
      <c r="F100" s="294"/>
      <c r="G100" s="295"/>
      <c r="H100" s="294"/>
      <c r="I100" s="294"/>
      <c r="J100" s="294"/>
      <c r="K100" s="294"/>
      <c r="L100" s="294"/>
      <c r="M100" s="294"/>
      <c r="N100" s="294"/>
      <c r="O100" s="294"/>
      <c r="P100" s="294"/>
      <c r="Q100" s="294"/>
      <c r="R100" s="294"/>
      <c r="S100" s="294"/>
      <c r="T100" s="294"/>
      <c r="U100" s="294"/>
      <c r="V100" s="294"/>
      <c r="W100" s="294"/>
      <c r="X100" s="294"/>
      <c r="Y100" s="294"/>
      <c r="Z100" s="294"/>
      <c r="AA100" s="294"/>
      <c r="AB100" s="294"/>
      <c r="AC100" s="294"/>
    </row>
    <row r="101" ht="15.75" customHeight="1">
      <c r="A101" s="294"/>
      <c r="B101" s="294"/>
      <c r="C101" s="294"/>
      <c r="D101" s="294"/>
      <c r="E101" s="294"/>
      <c r="F101" s="294"/>
      <c r="G101" s="295"/>
      <c r="H101" s="294"/>
      <c r="I101" s="294"/>
      <c r="J101" s="294"/>
      <c r="K101" s="294"/>
      <c r="L101" s="294"/>
      <c r="M101" s="294"/>
      <c r="N101" s="294"/>
      <c r="O101" s="294"/>
      <c r="P101" s="294"/>
      <c r="Q101" s="294"/>
      <c r="R101" s="294"/>
      <c r="S101" s="294"/>
      <c r="T101" s="294"/>
      <c r="U101" s="294"/>
      <c r="V101" s="294"/>
      <c r="W101" s="294"/>
      <c r="X101" s="294"/>
      <c r="Y101" s="294"/>
      <c r="Z101" s="294"/>
      <c r="AA101" s="294"/>
      <c r="AB101" s="294"/>
      <c r="AC101" s="294"/>
    </row>
    <row r="102" ht="15.75" customHeight="1">
      <c r="A102" s="294"/>
      <c r="B102" s="294"/>
      <c r="C102" s="294"/>
      <c r="D102" s="294"/>
      <c r="E102" s="294"/>
      <c r="F102" s="294"/>
      <c r="G102" s="295"/>
      <c r="H102" s="294"/>
      <c r="I102" s="294"/>
      <c r="J102" s="294"/>
      <c r="K102" s="294"/>
      <c r="L102" s="294"/>
      <c r="M102" s="294"/>
      <c r="N102" s="294"/>
      <c r="O102" s="294"/>
      <c r="P102" s="294"/>
      <c r="Q102" s="294"/>
      <c r="R102" s="294"/>
      <c r="S102" s="294"/>
      <c r="T102" s="294"/>
      <c r="U102" s="294"/>
      <c r="V102" s="294"/>
      <c r="W102" s="294"/>
      <c r="X102" s="294"/>
      <c r="Y102" s="294"/>
      <c r="Z102" s="294"/>
      <c r="AA102" s="294"/>
      <c r="AB102" s="294"/>
      <c r="AC102" s="294"/>
    </row>
    <row r="103" ht="15.75" customHeight="1">
      <c r="A103" s="294"/>
      <c r="B103" s="294"/>
      <c r="C103" s="294"/>
      <c r="D103" s="294"/>
      <c r="E103" s="294"/>
      <c r="F103" s="294"/>
      <c r="G103" s="295"/>
      <c r="H103" s="294"/>
      <c r="I103" s="294"/>
      <c r="J103" s="294"/>
      <c r="K103" s="294"/>
      <c r="L103" s="294"/>
      <c r="M103" s="294"/>
      <c r="N103" s="294"/>
      <c r="O103" s="294"/>
      <c r="P103" s="294"/>
      <c r="Q103" s="294"/>
      <c r="R103" s="294"/>
      <c r="S103" s="294"/>
      <c r="T103" s="294"/>
      <c r="U103" s="294"/>
      <c r="V103" s="294"/>
      <c r="W103" s="294"/>
      <c r="X103" s="294"/>
      <c r="Y103" s="294"/>
      <c r="Z103" s="294"/>
      <c r="AA103" s="294"/>
      <c r="AB103" s="294"/>
      <c r="AC103" s="294"/>
    </row>
    <row r="104" ht="15.75" customHeight="1">
      <c r="A104" s="294"/>
      <c r="B104" s="294"/>
      <c r="C104" s="294"/>
      <c r="D104" s="294"/>
      <c r="E104" s="294"/>
      <c r="F104" s="294"/>
      <c r="G104" s="295"/>
      <c r="H104" s="294"/>
      <c r="I104" s="294"/>
      <c r="J104" s="294"/>
      <c r="K104" s="294"/>
      <c r="L104" s="294"/>
      <c r="M104" s="294"/>
      <c r="N104" s="294"/>
      <c r="O104" s="294"/>
      <c r="P104" s="294"/>
      <c r="Q104" s="294"/>
      <c r="R104" s="294"/>
      <c r="S104" s="294"/>
      <c r="T104" s="294"/>
      <c r="U104" s="294"/>
      <c r="V104" s="294"/>
      <c r="W104" s="294"/>
      <c r="X104" s="294"/>
      <c r="Y104" s="294"/>
      <c r="Z104" s="294"/>
      <c r="AA104" s="294"/>
      <c r="AB104" s="294"/>
      <c r="AC104" s="294"/>
    </row>
    <row r="105" ht="15.75" customHeight="1">
      <c r="A105" s="294"/>
      <c r="B105" s="294"/>
      <c r="C105" s="294"/>
      <c r="D105" s="294"/>
      <c r="E105" s="294"/>
      <c r="F105" s="294"/>
      <c r="G105" s="295"/>
      <c r="H105" s="294"/>
      <c r="I105" s="294"/>
      <c r="J105" s="294"/>
      <c r="K105" s="294"/>
      <c r="L105" s="294"/>
      <c r="M105" s="294"/>
      <c r="N105" s="294"/>
      <c r="O105" s="294"/>
      <c r="P105" s="294"/>
      <c r="Q105" s="294"/>
      <c r="R105" s="294"/>
      <c r="S105" s="294"/>
      <c r="T105" s="294"/>
      <c r="U105" s="294"/>
      <c r="V105" s="294"/>
      <c r="W105" s="294"/>
      <c r="X105" s="294"/>
      <c r="Y105" s="294"/>
      <c r="Z105" s="294"/>
      <c r="AA105" s="294"/>
      <c r="AB105" s="294"/>
      <c r="AC105" s="294"/>
    </row>
    <row r="106" ht="15.75" customHeight="1">
      <c r="A106" s="294"/>
      <c r="B106" s="294"/>
      <c r="C106" s="294"/>
      <c r="D106" s="294"/>
      <c r="E106" s="294"/>
      <c r="F106" s="294"/>
      <c r="G106" s="295"/>
      <c r="H106" s="294"/>
      <c r="I106" s="294"/>
      <c r="J106" s="294"/>
      <c r="K106" s="294"/>
      <c r="L106" s="294"/>
      <c r="M106" s="294"/>
      <c r="N106" s="294"/>
      <c r="O106" s="294"/>
      <c r="P106" s="294"/>
      <c r="Q106" s="294"/>
      <c r="R106" s="294"/>
      <c r="S106" s="294"/>
      <c r="T106" s="294"/>
      <c r="U106" s="294"/>
      <c r="V106" s="294"/>
      <c r="W106" s="294"/>
      <c r="X106" s="294"/>
      <c r="Y106" s="294"/>
      <c r="Z106" s="294"/>
      <c r="AA106" s="294"/>
      <c r="AB106" s="294"/>
      <c r="AC106" s="294"/>
    </row>
    <row r="107" ht="15.75" customHeight="1">
      <c r="A107" s="294"/>
      <c r="B107" s="294"/>
      <c r="C107" s="294"/>
      <c r="D107" s="294"/>
      <c r="E107" s="294"/>
      <c r="F107" s="294"/>
      <c r="G107" s="295"/>
      <c r="H107" s="294"/>
      <c r="I107" s="294"/>
      <c r="J107" s="294"/>
      <c r="K107" s="294"/>
      <c r="L107" s="294"/>
      <c r="M107" s="294"/>
      <c r="N107" s="294"/>
      <c r="O107" s="294"/>
      <c r="P107" s="294"/>
      <c r="Q107" s="294"/>
      <c r="R107" s="294"/>
      <c r="S107" s="294"/>
      <c r="T107" s="294"/>
      <c r="U107" s="294"/>
      <c r="V107" s="294"/>
      <c r="W107" s="294"/>
      <c r="X107" s="294"/>
      <c r="Y107" s="294"/>
      <c r="Z107" s="294"/>
      <c r="AA107" s="294"/>
      <c r="AB107" s="294"/>
      <c r="AC107" s="294"/>
    </row>
    <row r="108" ht="15.75" customHeight="1">
      <c r="A108" s="294"/>
      <c r="B108" s="294"/>
      <c r="C108" s="294"/>
      <c r="D108" s="294"/>
      <c r="E108" s="294"/>
      <c r="F108" s="294"/>
      <c r="G108" s="295"/>
      <c r="H108" s="294"/>
      <c r="I108" s="294"/>
      <c r="J108" s="294"/>
      <c r="K108" s="294"/>
      <c r="L108" s="294"/>
      <c r="M108" s="294"/>
      <c r="N108" s="294"/>
      <c r="O108" s="294"/>
      <c r="P108" s="294"/>
      <c r="Q108" s="294"/>
      <c r="R108" s="294"/>
      <c r="S108" s="294"/>
      <c r="T108" s="294"/>
      <c r="U108" s="294"/>
      <c r="V108" s="294"/>
      <c r="W108" s="294"/>
      <c r="X108" s="294"/>
      <c r="Y108" s="294"/>
      <c r="Z108" s="294"/>
      <c r="AA108" s="294"/>
      <c r="AB108" s="294"/>
      <c r="AC108" s="294"/>
    </row>
    <row r="109" ht="15.75" customHeight="1">
      <c r="A109" s="294"/>
      <c r="B109" s="294"/>
      <c r="C109" s="294"/>
      <c r="D109" s="294"/>
      <c r="E109" s="294"/>
      <c r="F109" s="294"/>
      <c r="G109" s="295"/>
      <c r="H109" s="294"/>
      <c r="I109" s="294"/>
      <c r="J109" s="294"/>
      <c r="K109" s="294"/>
      <c r="L109" s="294"/>
      <c r="M109" s="294"/>
      <c r="N109" s="294"/>
      <c r="O109" s="294"/>
      <c r="P109" s="294"/>
      <c r="Q109" s="294"/>
      <c r="R109" s="294"/>
      <c r="S109" s="294"/>
      <c r="T109" s="294"/>
      <c r="U109" s="294"/>
      <c r="V109" s="294"/>
      <c r="W109" s="294"/>
      <c r="X109" s="294"/>
      <c r="Y109" s="294"/>
      <c r="Z109" s="294"/>
      <c r="AA109" s="294"/>
      <c r="AB109" s="294"/>
      <c r="AC109" s="294"/>
    </row>
    <row r="110" ht="15.75" customHeight="1">
      <c r="A110" s="294"/>
      <c r="B110" s="294"/>
      <c r="C110" s="294"/>
      <c r="D110" s="294"/>
      <c r="E110" s="294"/>
      <c r="F110" s="294"/>
      <c r="G110" s="295"/>
      <c r="H110" s="294"/>
      <c r="I110" s="294"/>
      <c r="J110" s="294"/>
      <c r="K110" s="294"/>
      <c r="L110" s="294"/>
      <c r="M110" s="294"/>
      <c r="N110" s="294"/>
      <c r="O110" s="294"/>
      <c r="P110" s="294"/>
      <c r="Q110" s="294"/>
      <c r="R110" s="294"/>
      <c r="S110" s="294"/>
      <c r="T110" s="294"/>
      <c r="U110" s="294"/>
      <c r="V110" s="294"/>
      <c r="W110" s="294"/>
      <c r="X110" s="294"/>
      <c r="Y110" s="294"/>
      <c r="Z110" s="294"/>
      <c r="AA110" s="294"/>
      <c r="AB110" s="294"/>
      <c r="AC110" s="294"/>
    </row>
    <row r="111" ht="15.75" customHeight="1">
      <c r="A111" s="294"/>
      <c r="B111" s="294"/>
      <c r="C111" s="294"/>
      <c r="D111" s="294"/>
      <c r="E111" s="294"/>
      <c r="F111" s="294"/>
      <c r="G111" s="295"/>
      <c r="H111" s="294"/>
      <c r="I111" s="294"/>
      <c r="J111" s="294"/>
      <c r="K111" s="294"/>
      <c r="L111" s="294"/>
      <c r="M111" s="294"/>
      <c r="N111" s="294"/>
      <c r="O111" s="294"/>
      <c r="P111" s="294"/>
      <c r="Q111" s="294"/>
      <c r="R111" s="294"/>
      <c r="S111" s="294"/>
      <c r="T111" s="294"/>
      <c r="U111" s="294"/>
      <c r="V111" s="294"/>
      <c r="W111" s="294"/>
      <c r="X111" s="294"/>
      <c r="Y111" s="294"/>
      <c r="Z111" s="294"/>
      <c r="AA111" s="294"/>
      <c r="AB111" s="294"/>
      <c r="AC111" s="294"/>
    </row>
    <row r="112" ht="15.75" customHeight="1">
      <c r="A112" s="294"/>
      <c r="B112" s="294"/>
      <c r="C112" s="294"/>
      <c r="D112" s="294"/>
      <c r="E112" s="294"/>
      <c r="F112" s="294"/>
      <c r="G112" s="295"/>
      <c r="H112" s="294"/>
      <c r="I112" s="294"/>
      <c r="J112" s="294"/>
      <c r="K112" s="294"/>
      <c r="L112" s="294"/>
      <c r="M112" s="294"/>
      <c r="N112" s="294"/>
      <c r="O112" s="294"/>
      <c r="P112" s="294"/>
      <c r="Q112" s="294"/>
      <c r="R112" s="294"/>
      <c r="S112" s="294"/>
      <c r="T112" s="294"/>
      <c r="U112" s="294"/>
      <c r="V112" s="294"/>
      <c r="W112" s="294"/>
      <c r="X112" s="294"/>
      <c r="Y112" s="294"/>
      <c r="Z112" s="294"/>
      <c r="AA112" s="294"/>
      <c r="AB112" s="294"/>
      <c r="AC112" s="294"/>
    </row>
    <row r="113" ht="15.75" customHeight="1">
      <c r="A113" s="294"/>
      <c r="B113" s="294"/>
      <c r="C113" s="294"/>
      <c r="D113" s="294"/>
      <c r="E113" s="294"/>
      <c r="F113" s="294"/>
      <c r="G113" s="295"/>
      <c r="H113" s="294"/>
      <c r="I113" s="294"/>
      <c r="J113" s="294"/>
      <c r="K113" s="294"/>
      <c r="L113" s="294"/>
      <c r="M113" s="294"/>
      <c r="N113" s="294"/>
      <c r="O113" s="294"/>
      <c r="P113" s="294"/>
      <c r="Q113" s="294"/>
      <c r="R113" s="294"/>
      <c r="S113" s="294"/>
      <c r="T113" s="294"/>
      <c r="U113" s="294"/>
      <c r="V113" s="294"/>
      <c r="W113" s="294"/>
      <c r="X113" s="294"/>
      <c r="Y113" s="294"/>
      <c r="Z113" s="294"/>
      <c r="AA113" s="294"/>
      <c r="AB113" s="294"/>
      <c r="AC113" s="294"/>
    </row>
    <row r="114" ht="15.75" customHeight="1">
      <c r="A114" s="294"/>
      <c r="B114" s="294"/>
      <c r="C114" s="294"/>
      <c r="D114" s="294"/>
      <c r="E114" s="294"/>
      <c r="F114" s="294"/>
      <c r="G114" s="295"/>
      <c r="H114" s="294"/>
      <c r="I114" s="294"/>
      <c r="J114" s="294"/>
      <c r="K114" s="294"/>
      <c r="L114" s="294"/>
      <c r="M114" s="294"/>
      <c r="N114" s="294"/>
      <c r="O114" s="294"/>
      <c r="P114" s="294"/>
      <c r="Q114" s="294"/>
      <c r="R114" s="294"/>
      <c r="S114" s="294"/>
      <c r="T114" s="294"/>
      <c r="U114" s="294"/>
      <c r="V114" s="294"/>
      <c r="W114" s="294"/>
      <c r="X114" s="294"/>
      <c r="Y114" s="294"/>
      <c r="Z114" s="294"/>
      <c r="AA114" s="294"/>
      <c r="AB114" s="294"/>
      <c r="AC114" s="294"/>
    </row>
    <row r="115" ht="15.75" customHeight="1">
      <c r="A115" s="294"/>
      <c r="B115" s="294"/>
      <c r="C115" s="294"/>
      <c r="D115" s="294"/>
      <c r="E115" s="294"/>
      <c r="F115" s="294"/>
      <c r="G115" s="295"/>
      <c r="H115" s="294"/>
      <c r="I115" s="294"/>
      <c r="J115" s="294"/>
      <c r="K115" s="294"/>
      <c r="L115" s="294"/>
      <c r="M115" s="294"/>
      <c r="N115" s="294"/>
      <c r="O115" s="294"/>
      <c r="P115" s="294"/>
      <c r="Q115" s="294"/>
      <c r="R115" s="294"/>
      <c r="S115" s="294"/>
      <c r="T115" s="294"/>
      <c r="U115" s="294"/>
      <c r="V115" s="294"/>
      <c r="W115" s="294"/>
      <c r="X115" s="294"/>
      <c r="Y115" s="294"/>
      <c r="Z115" s="294"/>
      <c r="AA115" s="294"/>
      <c r="AB115" s="294"/>
      <c r="AC115" s="294"/>
    </row>
    <row r="116" ht="15.75" customHeight="1">
      <c r="A116" s="294"/>
      <c r="B116" s="294"/>
      <c r="C116" s="294"/>
      <c r="D116" s="294"/>
      <c r="E116" s="294"/>
      <c r="F116" s="294"/>
      <c r="G116" s="295"/>
      <c r="H116" s="294"/>
      <c r="I116" s="294"/>
      <c r="J116" s="294"/>
      <c r="K116" s="294"/>
      <c r="L116" s="294"/>
      <c r="M116" s="294"/>
      <c r="N116" s="294"/>
      <c r="O116" s="294"/>
      <c r="P116" s="294"/>
      <c r="Q116" s="294"/>
      <c r="R116" s="294"/>
      <c r="S116" s="294"/>
      <c r="T116" s="294"/>
      <c r="U116" s="294"/>
      <c r="V116" s="294"/>
      <c r="W116" s="294"/>
      <c r="X116" s="294"/>
      <c r="Y116" s="294"/>
      <c r="Z116" s="294"/>
      <c r="AA116" s="294"/>
      <c r="AB116" s="294"/>
      <c r="AC116" s="294"/>
    </row>
    <row r="117" ht="15.75" customHeight="1">
      <c r="A117" s="294"/>
      <c r="B117" s="294"/>
      <c r="C117" s="294"/>
      <c r="D117" s="294"/>
      <c r="E117" s="294"/>
      <c r="F117" s="294"/>
      <c r="G117" s="295"/>
      <c r="H117" s="294"/>
      <c r="I117" s="294"/>
      <c r="J117" s="294"/>
      <c r="K117" s="294"/>
      <c r="L117" s="294"/>
      <c r="M117" s="294"/>
      <c r="N117" s="294"/>
      <c r="O117" s="294"/>
      <c r="P117" s="294"/>
      <c r="Q117" s="294"/>
      <c r="R117" s="294"/>
      <c r="S117" s="294"/>
      <c r="T117" s="294"/>
      <c r="U117" s="294"/>
      <c r="V117" s="294"/>
      <c r="W117" s="294"/>
      <c r="X117" s="294"/>
      <c r="Y117" s="294"/>
      <c r="Z117" s="294"/>
      <c r="AA117" s="294"/>
      <c r="AB117" s="294"/>
      <c r="AC117" s="294"/>
    </row>
    <row r="118" ht="15.75" customHeight="1">
      <c r="A118" s="294"/>
      <c r="B118" s="294"/>
      <c r="C118" s="294"/>
      <c r="D118" s="294"/>
      <c r="E118" s="294"/>
      <c r="F118" s="294"/>
      <c r="G118" s="295"/>
      <c r="H118" s="294"/>
      <c r="I118" s="294"/>
      <c r="J118" s="294"/>
      <c r="K118" s="294"/>
      <c r="L118" s="294"/>
      <c r="M118" s="294"/>
      <c r="N118" s="294"/>
      <c r="O118" s="294"/>
      <c r="P118" s="294"/>
      <c r="Q118" s="294"/>
      <c r="R118" s="294"/>
      <c r="S118" s="294"/>
      <c r="T118" s="294"/>
      <c r="U118" s="294"/>
      <c r="V118" s="294"/>
      <c r="W118" s="294"/>
      <c r="X118" s="294"/>
      <c r="Y118" s="294"/>
      <c r="Z118" s="294"/>
      <c r="AA118" s="294"/>
      <c r="AB118" s="294"/>
      <c r="AC118" s="294"/>
    </row>
    <row r="119" ht="15.75" customHeight="1">
      <c r="A119" s="294"/>
      <c r="B119" s="294"/>
      <c r="C119" s="294"/>
      <c r="D119" s="294"/>
      <c r="E119" s="294"/>
      <c r="F119" s="294"/>
      <c r="G119" s="295"/>
      <c r="H119" s="294"/>
      <c r="I119" s="294"/>
      <c r="J119" s="294"/>
      <c r="K119" s="294"/>
      <c r="L119" s="294"/>
      <c r="M119" s="294"/>
      <c r="N119" s="294"/>
      <c r="O119" s="294"/>
      <c r="P119" s="294"/>
      <c r="Q119" s="294"/>
      <c r="R119" s="294"/>
      <c r="S119" s="294"/>
      <c r="T119" s="294"/>
      <c r="U119" s="294"/>
      <c r="V119" s="294"/>
      <c r="W119" s="294"/>
      <c r="X119" s="294"/>
      <c r="Y119" s="294"/>
      <c r="Z119" s="294"/>
      <c r="AA119" s="294"/>
      <c r="AB119" s="294"/>
      <c r="AC119" s="294"/>
    </row>
    <row r="120" ht="15.75" customHeight="1">
      <c r="A120" s="294"/>
      <c r="B120" s="294"/>
      <c r="C120" s="294"/>
      <c r="D120" s="294"/>
      <c r="E120" s="294"/>
      <c r="F120" s="294"/>
      <c r="G120" s="295"/>
      <c r="H120" s="294"/>
      <c r="I120" s="294"/>
      <c r="J120" s="294"/>
      <c r="K120" s="294"/>
      <c r="L120" s="294"/>
      <c r="M120" s="294"/>
      <c r="N120" s="294"/>
      <c r="O120" s="294"/>
      <c r="P120" s="294"/>
      <c r="Q120" s="294"/>
      <c r="R120" s="294"/>
      <c r="S120" s="294"/>
      <c r="T120" s="294"/>
      <c r="U120" s="294"/>
      <c r="V120" s="294"/>
      <c r="W120" s="294"/>
      <c r="X120" s="294"/>
      <c r="Y120" s="294"/>
      <c r="Z120" s="294"/>
      <c r="AA120" s="294"/>
      <c r="AB120" s="294"/>
      <c r="AC120" s="294"/>
    </row>
    <row r="121" ht="15.75" customHeight="1">
      <c r="A121" s="294"/>
      <c r="B121" s="294"/>
      <c r="C121" s="294"/>
      <c r="D121" s="294"/>
      <c r="E121" s="294"/>
      <c r="F121" s="294"/>
      <c r="G121" s="295"/>
      <c r="H121" s="294"/>
      <c r="I121" s="294"/>
      <c r="J121" s="294"/>
      <c r="K121" s="294"/>
      <c r="L121" s="294"/>
      <c r="M121" s="294"/>
      <c r="N121" s="294"/>
      <c r="O121" s="294"/>
      <c r="P121" s="294"/>
      <c r="Q121" s="294"/>
      <c r="R121" s="294"/>
      <c r="S121" s="294"/>
      <c r="T121" s="294"/>
      <c r="U121" s="294"/>
      <c r="V121" s="294"/>
      <c r="W121" s="294"/>
      <c r="X121" s="294"/>
      <c r="Y121" s="294"/>
      <c r="Z121" s="294"/>
      <c r="AA121" s="294"/>
      <c r="AB121" s="294"/>
      <c r="AC121" s="294"/>
    </row>
    <row r="122" ht="15.75" customHeight="1">
      <c r="A122" s="294"/>
      <c r="B122" s="294"/>
      <c r="C122" s="294"/>
      <c r="D122" s="294"/>
      <c r="E122" s="294"/>
      <c r="F122" s="294"/>
      <c r="G122" s="295"/>
      <c r="H122" s="294"/>
      <c r="I122" s="294"/>
      <c r="J122" s="294"/>
      <c r="K122" s="294"/>
      <c r="L122" s="294"/>
      <c r="M122" s="294"/>
      <c r="N122" s="294"/>
      <c r="O122" s="294"/>
      <c r="P122" s="294"/>
      <c r="Q122" s="294"/>
      <c r="R122" s="294"/>
      <c r="S122" s="294"/>
      <c r="T122" s="294"/>
      <c r="U122" s="294"/>
      <c r="V122" s="294"/>
      <c r="W122" s="294"/>
      <c r="X122" s="294"/>
      <c r="Y122" s="294"/>
      <c r="Z122" s="294"/>
      <c r="AA122" s="294"/>
      <c r="AB122" s="294"/>
      <c r="AC122" s="294"/>
    </row>
    <row r="123" ht="15.75" customHeight="1">
      <c r="A123" s="294"/>
      <c r="B123" s="294"/>
      <c r="C123" s="294"/>
      <c r="D123" s="294"/>
      <c r="E123" s="294"/>
      <c r="F123" s="294"/>
      <c r="G123" s="295"/>
      <c r="H123" s="294"/>
      <c r="I123" s="294"/>
      <c r="J123" s="294"/>
      <c r="K123" s="294"/>
      <c r="L123" s="294"/>
      <c r="M123" s="294"/>
      <c r="N123" s="294"/>
      <c r="O123" s="294"/>
      <c r="P123" s="294"/>
      <c r="Q123" s="294"/>
      <c r="R123" s="294"/>
      <c r="S123" s="294"/>
      <c r="T123" s="294"/>
      <c r="U123" s="294"/>
      <c r="V123" s="294"/>
      <c r="W123" s="294"/>
      <c r="X123" s="294"/>
      <c r="Y123" s="294"/>
      <c r="Z123" s="294"/>
      <c r="AA123" s="294"/>
      <c r="AB123" s="294"/>
      <c r="AC123" s="294"/>
    </row>
    <row r="124" ht="15.75" customHeight="1">
      <c r="A124" s="294"/>
      <c r="B124" s="294"/>
      <c r="C124" s="294"/>
      <c r="D124" s="294"/>
      <c r="E124" s="294"/>
      <c r="F124" s="294"/>
      <c r="G124" s="295"/>
      <c r="H124" s="294"/>
      <c r="I124" s="294"/>
      <c r="J124" s="294"/>
      <c r="K124" s="294"/>
      <c r="L124" s="294"/>
      <c r="M124" s="294"/>
      <c r="N124" s="294"/>
      <c r="O124" s="294"/>
      <c r="P124" s="294"/>
      <c r="Q124" s="294"/>
      <c r="R124" s="294"/>
      <c r="S124" s="294"/>
      <c r="T124" s="294"/>
      <c r="U124" s="294"/>
      <c r="V124" s="294"/>
      <c r="W124" s="294"/>
      <c r="X124" s="294"/>
      <c r="Y124" s="294"/>
      <c r="Z124" s="294"/>
      <c r="AA124" s="294"/>
      <c r="AB124" s="294"/>
      <c r="AC124" s="294"/>
    </row>
    <row r="125" ht="15.75" customHeight="1">
      <c r="A125" s="294"/>
      <c r="B125" s="294"/>
      <c r="C125" s="294"/>
      <c r="D125" s="294"/>
      <c r="E125" s="294"/>
      <c r="F125" s="294"/>
      <c r="G125" s="295"/>
      <c r="H125" s="294"/>
      <c r="I125" s="294"/>
      <c r="J125" s="294"/>
      <c r="K125" s="294"/>
      <c r="L125" s="294"/>
      <c r="M125" s="294"/>
      <c r="N125" s="294"/>
      <c r="O125" s="294"/>
      <c r="P125" s="294"/>
      <c r="Q125" s="294"/>
      <c r="R125" s="294"/>
      <c r="S125" s="294"/>
      <c r="T125" s="294"/>
      <c r="U125" s="294"/>
      <c r="V125" s="294"/>
      <c r="W125" s="294"/>
      <c r="X125" s="294"/>
      <c r="Y125" s="294"/>
      <c r="Z125" s="294"/>
      <c r="AA125" s="294"/>
      <c r="AB125" s="294"/>
      <c r="AC125" s="294"/>
    </row>
    <row r="126" ht="15.75" customHeight="1">
      <c r="A126" s="294"/>
      <c r="B126" s="294"/>
      <c r="C126" s="294"/>
      <c r="D126" s="294"/>
      <c r="E126" s="294"/>
      <c r="F126" s="294"/>
      <c r="G126" s="295"/>
      <c r="H126" s="294"/>
      <c r="I126" s="294"/>
      <c r="J126" s="294"/>
      <c r="K126" s="294"/>
      <c r="L126" s="294"/>
      <c r="M126" s="294"/>
      <c r="N126" s="294"/>
      <c r="O126" s="294"/>
      <c r="P126" s="294"/>
      <c r="Q126" s="294"/>
      <c r="R126" s="294"/>
      <c r="S126" s="294"/>
      <c r="T126" s="294"/>
      <c r="U126" s="294"/>
      <c r="V126" s="294"/>
      <c r="W126" s="294"/>
      <c r="X126" s="294"/>
      <c r="Y126" s="294"/>
      <c r="Z126" s="294"/>
      <c r="AA126" s="294"/>
      <c r="AB126" s="294"/>
      <c r="AC126" s="294"/>
    </row>
    <row r="127" ht="15.75" customHeight="1">
      <c r="A127" s="294"/>
      <c r="B127" s="294"/>
      <c r="C127" s="294"/>
      <c r="D127" s="294"/>
      <c r="E127" s="294"/>
      <c r="F127" s="294"/>
      <c r="G127" s="295"/>
      <c r="H127" s="294"/>
      <c r="I127" s="294"/>
      <c r="J127" s="294"/>
      <c r="K127" s="294"/>
      <c r="L127" s="294"/>
      <c r="M127" s="294"/>
      <c r="N127" s="294"/>
      <c r="O127" s="294"/>
      <c r="P127" s="294"/>
      <c r="Q127" s="294"/>
      <c r="R127" s="294"/>
      <c r="S127" s="294"/>
      <c r="T127" s="294"/>
      <c r="U127" s="294"/>
      <c r="V127" s="294"/>
      <c r="W127" s="294"/>
      <c r="X127" s="294"/>
      <c r="Y127" s="294"/>
      <c r="Z127" s="294"/>
      <c r="AA127" s="294"/>
      <c r="AB127" s="294"/>
      <c r="AC127" s="294"/>
    </row>
    <row r="128" ht="15.75" customHeight="1">
      <c r="A128" s="294"/>
      <c r="B128" s="294"/>
      <c r="C128" s="294"/>
      <c r="D128" s="294"/>
      <c r="E128" s="294"/>
      <c r="F128" s="294"/>
      <c r="G128" s="295"/>
      <c r="H128" s="294"/>
      <c r="I128" s="294"/>
      <c r="J128" s="294"/>
      <c r="K128" s="294"/>
      <c r="L128" s="294"/>
      <c r="M128" s="294"/>
      <c r="N128" s="294"/>
      <c r="O128" s="294"/>
      <c r="P128" s="294"/>
      <c r="Q128" s="294"/>
      <c r="R128" s="294"/>
      <c r="S128" s="294"/>
      <c r="T128" s="294"/>
      <c r="U128" s="294"/>
      <c r="V128" s="294"/>
      <c r="W128" s="294"/>
      <c r="X128" s="294"/>
      <c r="Y128" s="294"/>
      <c r="Z128" s="294"/>
      <c r="AA128" s="294"/>
      <c r="AB128" s="294"/>
      <c r="AC128" s="294"/>
    </row>
    <row r="129" ht="15.75" customHeight="1">
      <c r="A129" s="294"/>
      <c r="B129" s="294"/>
      <c r="C129" s="294"/>
      <c r="D129" s="294"/>
      <c r="E129" s="294"/>
      <c r="F129" s="294"/>
      <c r="G129" s="295"/>
      <c r="H129" s="294"/>
      <c r="I129" s="294"/>
      <c r="J129" s="294"/>
      <c r="K129" s="294"/>
      <c r="L129" s="294"/>
      <c r="M129" s="294"/>
      <c r="N129" s="294"/>
      <c r="O129" s="294"/>
      <c r="P129" s="294"/>
      <c r="Q129" s="294"/>
      <c r="R129" s="294"/>
      <c r="S129" s="294"/>
      <c r="T129" s="294"/>
      <c r="U129" s="294"/>
      <c r="V129" s="294"/>
      <c r="W129" s="294"/>
      <c r="X129" s="294"/>
      <c r="Y129" s="294"/>
      <c r="Z129" s="294"/>
      <c r="AA129" s="294"/>
      <c r="AB129" s="294"/>
      <c r="AC129" s="294"/>
    </row>
    <row r="130" ht="15.75" customHeight="1">
      <c r="A130" s="294"/>
      <c r="B130" s="294"/>
      <c r="C130" s="294"/>
      <c r="D130" s="294"/>
      <c r="E130" s="294"/>
      <c r="F130" s="294"/>
      <c r="G130" s="295"/>
      <c r="H130" s="294"/>
      <c r="I130" s="294"/>
      <c r="J130" s="294"/>
      <c r="K130" s="294"/>
      <c r="L130" s="294"/>
      <c r="M130" s="294"/>
      <c r="N130" s="294"/>
      <c r="O130" s="294"/>
      <c r="P130" s="294"/>
      <c r="Q130" s="294"/>
      <c r="R130" s="294"/>
      <c r="S130" s="294"/>
      <c r="T130" s="294"/>
      <c r="U130" s="294"/>
      <c r="V130" s="294"/>
      <c r="W130" s="294"/>
      <c r="X130" s="294"/>
      <c r="Y130" s="294"/>
      <c r="Z130" s="294"/>
      <c r="AA130" s="294"/>
      <c r="AB130" s="294"/>
      <c r="AC130" s="294"/>
    </row>
    <row r="131" ht="15.75" customHeight="1">
      <c r="A131" s="294"/>
      <c r="B131" s="294"/>
      <c r="C131" s="294"/>
      <c r="D131" s="294"/>
      <c r="E131" s="294"/>
      <c r="F131" s="294"/>
      <c r="G131" s="295"/>
      <c r="H131" s="294"/>
      <c r="I131" s="294"/>
      <c r="J131" s="294"/>
      <c r="K131" s="294"/>
      <c r="L131" s="294"/>
      <c r="M131" s="294"/>
      <c r="N131" s="294"/>
      <c r="O131" s="294"/>
      <c r="P131" s="294"/>
      <c r="Q131" s="294"/>
      <c r="R131" s="294"/>
      <c r="S131" s="294"/>
      <c r="T131" s="294"/>
      <c r="U131" s="294"/>
      <c r="V131" s="294"/>
      <c r="W131" s="294"/>
      <c r="X131" s="294"/>
      <c r="Y131" s="294"/>
      <c r="Z131" s="294"/>
      <c r="AA131" s="294"/>
      <c r="AB131" s="294"/>
      <c r="AC131" s="294"/>
    </row>
    <row r="132" ht="15.75" customHeight="1">
      <c r="A132" s="294"/>
      <c r="B132" s="294"/>
      <c r="C132" s="294"/>
      <c r="D132" s="294"/>
      <c r="E132" s="294"/>
      <c r="F132" s="294"/>
      <c r="G132" s="295"/>
      <c r="H132" s="294"/>
      <c r="I132" s="294"/>
      <c r="J132" s="294"/>
      <c r="K132" s="294"/>
      <c r="L132" s="294"/>
      <c r="M132" s="294"/>
      <c r="N132" s="294"/>
      <c r="O132" s="294"/>
      <c r="P132" s="294"/>
      <c r="Q132" s="294"/>
      <c r="R132" s="294"/>
      <c r="S132" s="294"/>
      <c r="T132" s="294"/>
      <c r="U132" s="294"/>
      <c r="V132" s="294"/>
      <c r="W132" s="294"/>
      <c r="X132" s="294"/>
      <c r="Y132" s="294"/>
      <c r="Z132" s="294"/>
      <c r="AA132" s="294"/>
      <c r="AB132" s="294"/>
      <c r="AC132" s="294"/>
    </row>
    <row r="133" ht="15.75" customHeight="1">
      <c r="A133" s="294"/>
      <c r="B133" s="294"/>
      <c r="C133" s="294"/>
      <c r="D133" s="294"/>
      <c r="E133" s="294"/>
      <c r="F133" s="294"/>
      <c r="G133" s="295"/>
      <c r="H133" s="294"/>
      <c r="I133" s="294"/>
      <c r="J133" s="294"/>
      <c r="K133" s="294"/>
      <c r="L133" s="294"/>
      <c r="M133" s="294"/>
      <c r="N133" s="294"/>
      <c r="O133" s="294"/>
      <c r="P133" s="294"/>
      <c r="Q133" s="294"/>
      <c r="R133" s="294"/>
      <c r="S133" s="294"/>
      <c r="T133" s="294"/>
      <c r="U133" s="294"/>
      <c r="V133" s="294"/>
      <c r="W133" s="294"/>
      <c r="X133" s="294"/>
      <c r="Y133" s="294"/>
      <c r="Z133" s="294"/>
      <c r="AA133" s="294"/>
      <c r="AB133" s="294"/>
      <c r="AC133" s="294"/>
    </row>
    <row r="134" ht="15.75" customHeight="1">
      <c r="A134" s="294"/>
      <c r="B134" s="294"/>
      <c r="C134" s="294"/>
      <c r="D134" s="294"/>
      <c r="E134" s="294"/>
      <c r="F134" s="294"/>
      <c r="G134" s="295"/>
      <c r="H134" s="294"/>
      <c r="I134" s="294"/>
      <c r="J134" s="294"/>
      <c r="K134" s="294"/>
      <c r="L134" s="294"/>
      <c r="M134" s="294"/>
      <c r="N134" s="294"/>
      <c r="O134" s="294"/>
      <c r="P134" s="294"/>
      <c r="Q134" s="294"/>
      <c r="R134" s="294"/>
      <c r="S134" s="294"/>
      <c r="T134" s="294"/>
      <c r="U134" s="294"/>
      <c r="V134" s="294"/>
      <c r="W134" s="294"/>
      <c r="X134" s="294"/>
      <c r="Y134" s="294"/>
      <c r="Z134" s="294"/>
      <c r="AA134" s="294"/>
      <c r="AB134" s="294"/>
      <c r="AC134" s="294"/>
    </row>
    <row r="135" ht="15.75" customHeight="1">
      <c r="A135" s="294"/>
      <c r="B135" s="294"/>
      <c r="C135" s="294"/>
      <c r="D135" s="294"/>
      <c r="E135" s="294"/>
      <c r="F135" s="294"/>
      <c r="G135" s="295"/>
      <c r="H135" s="294"/>
      <c r="I135" s="294"/>
      <c r="J135" s="294"/>
      <c r="K135" s="294"/>
      <c r="L135" s="294"/>
      <c r="M135" s="294"/>
      <c r="N135" s="294"/>
      <c r="O135" s="294"/>
      <c r="P135" s="294"/>
      <c r="Q135" s="294"/>
      <c r="R135" s="294"/>
      <c r="S135" s="294"/>
      <c r="T135" s="294"/>
      <c r="U135" s="294"/>
      <c r="V135" s="294"/>
      <c r="W135" s="294"/>
      <c r="X135" s="294"/>
      <c r="Y135" s="294"/>
      <c r="Z135" s="294"/>
      <c r="AA135" s="294"/>
      <c r="AB135" s="294"/>
      <c r="AC135" s="294"/>
    </row>
    <row r="136" ht="15.75" customHeight="1">
      <c r="A136" s="294"/>
      <c r="B136" s="294"/>
      <c r="C136" s="294"/>
      <c r="D136" s="294"/>
      <c r="E136" s="294"/>
      <c r="F136" s="294"/>
      <c r="G136" s="295"/>
      <c r="H136" s="294"/>
      <c r="I136" s="294"/>
      <c r="J136" s="294"/>
      <c r="K136" s="294"/>
      <c r="L136" s="294"/>
      <c r="M136" s="294"/>
      <c r="N136" s="294"/>
      <c r="O136" s="294"/>
      <c r="P136" s="294"/>
      <c r="Q136" s="294"/>
      <c r="R136" s="294"/>
      <c r="S136" s="294"/>
      <c r="T136" s="294"/>
      <c r="U136" s="294"/>
      <c r="V136" s="294"/>
      <c r="W136" s="294"/>
      <c r="X136" s="294"/>
      <c r="Y136" s="294"/>
      <c r="Z136" s="294"/>
      <c r="AA136" s="294"/>
      <c r="AB136" s="294"/>
      <c r="AC136" s="294"/>
    </row>
    <row r="137" ht="15.75" customHeight="1">
      <c r="A137" s="294"/>
      <c r="B137" s="294"/>
      <c r="C137" s="294"/>
      <c r="D137" s="294"/>
      <c r="E137" s="294"/>
      <c r="F137" s="294"/>
      <c r="G137" s="295"/>
      <c r="H137" s="294"/>
      <c r="I137" s="294"/>
      <c r="J137" s="294"/>
      <c r="K137" s="294"/>
      <c r="L137" s="294"/>
      <c r="M137" s="294"/>
      <c r="N137" s="294"/>
      <c r="O137" s="294"/>
      <c r="P137" s="294"/>
      <c r="Q137" s="294"/>
      <c r="R137" s="294"/>
      <c r="S137" s="294"/>
      <c r="T137" s="294"/>
      <c r="U137" s="294"/>
      <c r="V137" s="294"/>
      <c r="W137" s="294"/>
      <c r="X137" s="294"/>
      <c r="Y137" s="294"/>
      <c r="Z137" s="294"/>
      <c r="AA137" s="294"/>
      <c r="AB137" s="294"/>
      <c r="AC137" s="294"/>
    </row>
    <row r="138" ht="15.75" customHeight="1">
      <c r="A138" s="294"/>
      <c r="B138" s="294"/>
      <c r="C138" s="294"/>
      <c r="D138" s="294"/>
      <c r="E138" s="294"/>
      <c r="F138" s="294"/>
      <c r="G138" s="295"/>
      <c r="H138" s="294"/>
      <c r="I138" s="294"/>
      <c r="J138" s="294"/>
      <c r="K138" s="294"/>
      <c r="L138" s="294"/>
      <c r="M138" s="294"/>
      <c r="N138" s="294"/>
      <c r="O138" s="294"/>
      <c r="P138" s="294"/>
      <c r="Q138" s="294"/>
      <c r="R138" s="294"/>
      <c r="S138" s="294"/>
      <c r="T138" s="294"/>
      <c r="U138" s="294"/>
      <c r="V138" s="294"/>
      <c r="W138" s="294"/>
      <c r="X138" s="294"/>
      <c r="Y138" s="294"/>
      <c r="Z138" s="294"/>
      <c r="AA138" s="294"/>
      <c r="AB138" s="294"/>
      <c r="AC138" s="294"/>
    </row>
    <row r="139" ht="15.75" customHeight="1">
      <c r="A139" s="294"/>
      <c r="B139" s="294"/>
      <c r="C139" s="294"/>
      <c r="D139" s="294"/>
      <c r="E139" s="294"/>
      <c r="F139" s="294"/>
      <c r="G139" s="295"/>
      <c r="H139" s="294"/>
      <c r="I139" s="294"/>
      <c r="J139" s="294"/>
      <c r="K139" s="294"/>
      <c r="L139" s="294"/>
      <c r="M139" s="294"/>
      <c r="N139" s="294"/>
      <c r="O139" s="294"/>
      <c r="P139" s="294"/>
      <c r="Q139" s="294"/>
      <c r="R139" s="294"/>
      <c r="S139" s="294"/>
      <c r="T139" s="294"/>
      <c r="U139" s="294"/>
      <c r="V139" s="294"/>
      <c r="W139" s="294"/>
      <c r="X139" s="294"/>
      <c r="Y139" s="294"/>
      <c r="Z139" s="294"/>
      <c r="AA139" s="294"/>
      <c r="AB139" s="294"/>
      <c r="AC139" s="294"/>
    </row>
    <row r="140" ht="15.75" customHeight="1">
      <c r="A140" s="294"/>
      <c r="B140" s="294"/>
      <c r="C140" s="294"/>
      <c r="D140" s="294"/>
      <c r="E140" s="294"/>
      <c r="F140" s="294"/>
      <c r="G140" s="295"/>
      <c r="H140" s="294"/>
      <c r="I140" s="294"/>
      <c r="J140" s="294"/>
      <c r="K140" s="294"/>
      <c r="L140" s="294"/>
      <c r="M140" s="294"/>
      <c r="N140" s="294"/>
      <c r="O140" s="294"/>
      <c r="P140" s="294"/>
      <c r="Q140" s="294"/>
      <c r="R140" s="294"/>
      <c r="S140" s="294"/>
      <c r="T140" s="294"/>
      <c r="U140" s="294"/>
      <c r="V140" s="294"/>
      <c r="W140" s="294"/>
      <c r="X140" s="294"/>
      <c r="Y140" s="294"/>
      <c r="Z140" s="294"/>
      <c r="AA140" s="294"/>
      <c r="AB140" s="294"/>
      <c r="AC140" s="294"/>
    </row>
    <row r="141" ht="15.75" customHeight="1">
      <c r="A141" s="294"/>
      <c r="B141" s="294"/>
      <c r="C141" s="294"/>
      <c r="D141" s="294"/>
      <c r="E141" s="294"/>
      <c r="F141" s="294"/>
      <c r="G141" s="295"/>
      <c r="H141" s="294"/>
      <c r="I141" s="294"/>
      <c r="J141" s="294"/>
      <c r="K141" s="294"/>
      <c r="L141" s="294"/>
      <c r="M141" s="294"/>
      <c r="N141" s="294"/>
      <c r="O141" s="294"/>
      <c r="P141" s="294"/>
      <c r="Q141" s="294"/>
      <c r="R141" s="294"/>
      <c r="S141" s="294"/>
      <c r="T141" s="294"/>
      <c r="U141" s="294"/>
      <c r="V141" s="294"/>
      <c r="W141" s="294"/>
      <c r="X141" s="294"/>
      <c r="Y141" s="294"/>
      <c r="Z141" s="294"/>
      <c r="AA141" s="294"/>
      <c r="AB141" s="294"/>
      <c r="AC141" s="294"/>
    </row>
    <row r="142" ht="15.75" customHeight="1">
      <c r="A142" s="294"/>
      <c r="B142" s="294"/>
      <c r="C142" s="294"/>
      <c r="D142" s="294"/>
      <c r="E142" s="294"/>
      <c r="F142" s="294"/>
      <c r="G142" s="295"/>
      <c r="H142" s="294"/>
      <c r="I142" s="294"/>
      <c r="J142" s="294"/>
      <c r="K142" s="294"/>
      <c r="L142" s="294"/>
      <c r="M142" s="294"/>
      <c r="N142" s="294"/>
      <c r="O142" s="294"/>
      <c r="P142" s="294"/>
      <c r="Q142" s="294"/>
      <c r="R142" s="294"/>
      <c r="S142" s="294"/>
      <c r="T142" s="294"/>
      <c r="U142" s="294"/>
      <c r="V142" s="294"/>
      <c r="W142" s="294"/>
      <c r="X142" s="294"/>
      <c r="Y142" s="294"/>
      <c r="Z142" s="294"/>
      <c r="AA142" s="294"/>
      <c r="AB142" s="294"/>
      <c r="AC142" s="294"/>
    </row>
    <row r="143" ht="15.75" customHeight="1">
      <c r="A143" s="294"/>
      <c r="B143" s="294"/>
      <c r="C143" s="294"/>
      <c r="D143" s="294"/>
      <c r="E143" s="294"/>
      <c r="F143" s="294"/>
      <c r="G143" s="295"/>
      <c r="H143" s="294"/>
      <c r="I143" s="294"/>
      <c r="J143" s="294"/>
      <c r="K143" s="294"/>
      <c r="L143" s="294"/>
      <c r="M143" s="294"/>
      <c r="N143" s="294"/>
      <c r="O143" s="294"/>
      <c r="P143" s="294"/>
      <c r="Q143" s="294"/>
      <c r="R143" s="294"/>
      <c r="S143" s="294"/>
      <c r="T143" s="294"/>
      <c r="U143" s="294"/>
      <c r="V143" s="294"/>
      <c r="W143" s="294"/>
      <c r="X143" s="294"/>
      <c r="Y143" s="294"/>
      <c r="Z143" s="294"/>
      <c r="AA143" s="294"/>
      <c r="AB143" s="294"/>
      <c r="AC143" s="294"/>
    </row>
    <row r="144" ht="15.75" customHeight="1">
      <c r="A144" s="294"/>
      <c r="B144" s="294"/>
      <c r="C144" s="294"/>
      <c r="D144" s="294"/>
      <c r="E144" s="294"/>
      <c r="F144" s="294"/>
      <c r="G144" s="295"/>
      <c r="H144" s="294"/>
      <c r="I144" s="294"/>
      <c r="J144" s="294"/>
      <c r="K144" s="294"/>
      <c r="L144" s="294"/>
      <c r="M144" s="294"/>
      <c r="N144" s="294"/>
      <c r="O144" s="294"/>
      <c r="P144" s="294"/>
      <c r="Q144" s="294"/>
      <c r="R144" s="294"/>
      <c r="S144" s="294"/>
      <c r="T144" s="294"/>
      <c r="U144" s="294"/>
      <c r="V144" s="294"/>
      <c r="W144" s="294"/>
      <c r="X144" s="294"/>
      <c r="Y144" s="294"/>
      <c r="Z144" s="294"/>
      <c r="AA144" s="294"/>
      <c r="AB144" s="294"/>
      <c r="AC144" s="294"/>
    </row>
    <row r="145" ht="15.75" customHeight="1">
      <c r="A145" s="294"/>
      <c r="B145" s="294"/>
      <c r="C145" s="294"/>
      <c r="D145" s="294"/>
      <c r="E145" s="294"/>
      <c r="F145" s="294"/>
      <c r="G145" s="295"/>
      <c r="H145" s="294"/>
      <c r="I145" s="294"/>
      <c r="J145" s="294"/>
      <c r="K145" s="294"/>
      <c r="L145" s="294"/>
      <c r="M145" s="294"/>
      <c r="N145" s="294"/>
      <c r="O145" s="294"/>
      <c r="P145" s="294"/>
      <c r="Q145" s="294"/>
      <c r="R145" s="294"/>
      <c r="S145" s="294"/>
      <c r="T145" s="294"/>
      <c r="U145" s="294"/>
      <c r="V145" s="294"/>
      <c r="W145" s="294"/>
      <c r="X145" s="294"/>
      <c r="Y145" s="294"/>
      <c r="Z145" s="294"/>
      <c r="AA145" s="294"/>
      <c r="AB145" s="294"/>
      <c r="AC145" s="294"/>
    </row>
    <row r="146" ht="15.75" customHeight="1">
      <c r="A146" s="294"/>
      <c r="B146" s="294"/>
      <c r="C146" s="294"/>
      <c r="D146" s="294"/>
      <c r="E146" s="294"/>
      <c r="F146" s="294"/>
      <c r="G146" s="295"/>
      <c r="H146" s="294"/>
      <c r="I146" s="294"/>
      <c r="J146" s="294"/>
      <c r="K146" s="294"/>
      <c r="L146" s="294"/>
      <c r="M146" s="294"/>
      <c r="N146" s="294"/>
      <c r="O146" s="294"/>
      <c r="P146" s="294"/>
      <c r="Q146" s="294"/>
      <c r="R146" s="294"/>
      <c r="S146" s="294"/>
      <c r="T146" s="294"/>
      <c r="U146" s="294"/>
      <c r="V146" s="294"/>
      <c r="W146" s="294"/>
      <c r="X146" s="294"/>
      <c r="Y146" s="294"/>
      <c r="Z146" s="294"/>
      <c r="AA146" s="294"/>
      <c r="AB146" s="294"/>
      <c r="AC146" s="294"/>
    </row>
    <row r="147" ht="15.75" customHeight="1">
      <c r="A147" s="294"/>
      <c r="B147" s="294"/>
      <c r="C147" s="294"/>
      <c r="D147" s="294"/>
      <c r="E147" s="294"/>
      <c r="F147" s="294"/>
      <c r="G147" s="295"/>
      <c r="H147" s="294"/>
      <c r="I147" s="294"/>
      <c r="J147" s="294"/>
      <c r="K147" s="294"/>
      <c r="L147" s="294"/>
      <c r="M147" s="294"/>
      <c r="N147" s="294"/>
      <c r="O147" s="294"/>
      <c r="P147" s="294"/>
      <c r="Q147" s="294"/>
      <c r="R147" s="294"/>
      <c r="S147" s="294"/>
      <c r="T147" s="294"/>
      <c r="U147" s="294"/>
      <c r="V147" s="294"/>
      <c r="W147" s="294"/>
      <c r="X147" s="294"/>
      <c r="Y147" s="294"/>
      <c r="Z147" s="294"/>
      <c r="AA147" s="294"/>
      <c r="AB147" s="294"/>
      <c r="AC147" s="294"/>
    </row>
    <row r="148" ht="15.75" customHeight="1">
      <c r="A148" s="294"/>
      <c r="B148" s="294"/>
      <c r="C148" s="294"/>
      <c r="D148" s="294"/>
      <c r="E148" s="294"/>
      <c r="F148" s="294"/>
      <c r="G148" s="295"/>
      <c r="H148" s="294"/>
      <c r="I148" s="294"/>
      <c r="J148" s="294"/>
      <c r="K148" s="294"/>
      <c r="L148" s="294"/>
      <c r="M148" s="294"/>
      <c r="N148" s="294"/>
      <c r="O148" s="294"/>
      <c r="P148" s="294"/>
      <c r="Q148" s="294"/>
      <c r="R148" s="294"/>
      <c r="S148" s="294"/>
      <c r="T148" s="294"/>
      <c r="U148" s="294"/>
      <c r="V148" s="294"/>
      <c r="W148" s="294"/>
      <c r="X148" s="294"/>
      <c r="Y148" s="294"/>
      <c r="Z148" s="294"/>
      <c r="AA148" s="294"/>
      <c r="AB148" s="294"/>
      <c r="AC148" s="294"/>
    </row>
    <row r="149" ht="15.75" customHeight="1">
      <c r="A149" s="294"/>
      <c r="B149" s="294"/>
      <c r="C149" s="294"/>
      <c r="D149" s="294"/>
      <c r="E149" s="294"/>
      <c r="F149" s="294"/>
      <c r="G149" s="295"/>
      <c r="H149" s="294"/>
      <c r="I149" s="294"/>
      <c r="J149" s="294"/>
      <c r="K149" s="294"/>
      <c r="L149" s="294"/>
      <c r="M149" s="294"/>
      <c r="N149" s="294"/>
      <c r="O149" s="294"/>
      <c r="P149" s="294"/>
      <c r="Q149" s="294"/>
      <c r="R149" s="294"/>
      <c r="S149" s="294"/>
      <c r="T149" s="294"/>
      <c r="U149" s="294"/>
      <c r="V149" s="294"/>
      <c r="W149" s="294"/>
      <c r="X149" s="294"/>
      <c r="Y149" s="294"/>
      <c r="Z149" s="294"/>
      <c r="AA149" s="294"/>
      <c r="AB149" s="294"/>
      <c r="AC149" s="294"/>
    </row>
    <row r="150" ht="15.75" customHeight="1">
      <c r="A150" s="294"/>
      <c r="B150" s="294"/>
      <c r="C150" s="294"/>
      <c r="D150" s="294"/>
      <c r="E150" s="294"/>
      <c r="F150" s="294"/>
      <c r="G150" s="295"/>
      <c r="H150" s="294"/>
      <c r="I150" s="294"/>
      <c r="J150" s="294"/>
      <c r="K150" s="294"/>
      <c r="L150" s="294"/>
      <c r="M150" s="294"/>
      <c r="N150" s="294"/>
      <c r="O150" s="294"/>
      <c r="P150" s="294"/>
      <c r="Q150" s="294"/>
      <c r="R150" s="294"/>
      <c r="S150" s="294"/>
      <c r="T150" s="294"/>
      <c r="U150" s="294"/>
      <c r="V150" s="294"/>
      <c r="W150" s="294"/>
      <c r="X150" s="294"/>
      <c r="Y150" s="294"/>
      <c r="Z150" s="294"/>
      <c r="AA150" s="294"/>
      <c r="AB150" s="294"/>
      <c r="AC150" s="294"/>
    </row>
    <row r="151" ht="15.75" customHeight="1">
      <c r="A151" s="294"/>
      <c r="B151" s="294"/>
      <c r="C151" s="294"/>
      <c r="D151" s="294"/>
      <c r="E151" s="294"/>
      <c r="F151" s="294"/>
      <c r="G151" s="295"/>
      <c r="H151" s="294"/>
      <c r="I151" s="294"/>
      <c r="J151" s="294"/>
      <c r="K151" s="294"/>
      <c r="L151" s="294"/>
      <c r="M151" s="294"/>
      <c r="N151" s="294"/>
      <c r="O151" s="294"/>
      <c r="P151" s="294"/>
      <c r="Q151" s="294"/>
      <c r="R151" s="294"/>
      <c r="S151" s="294"/>
      <c r="T151" s="294"/>
      <c r="U151" s="294"/>
      <c r="V151" s="294"/>
      <c r="W151" s="294"/>
      <c r="X151" s="294"/>
      <c r="Y151" s="294"/>
      <c r="Z151" s="294"/>
      <c r="AA151" s="294"/>
      <c r="AB151" s="294"/>
      <c r="AC151" s="294"/>
    </row>
    <row r="152" ht="15.75" customHeight="1">
      <c r="A152" s="294"/>
      <c r="B152" s="294"/>
      <c r="C152" s="294"/>
      <c r="D152" s="294"/>
      <c r="E152" s="294"/>
      <c r="F152" s="294"/>
      <c r="G152" s="295"/>
      <c r="H152" s="294"/>
      <c r="I152" s="294"/>
      <c r="J152" s="294"/>
      <c r="K152" s="294"/>
      <c r="L152" s="294"/>
      <c r="M152" s="294"/>
      <c r="N152" s="294"/>
      <c r="O152" s="294"/>
      <c r="P152" s="294"/>
      <c r="Q152" s="294"/>
      <c r="R152" s="294"/>
      <c r="S152" s="294"/>
      <c r="T152" s="294"/>
      <c r="U152" s="294"/>
      <c r="V152" s="294"/>
      <c r="W152" s="294"/>
      <c r="X152" s="294"/>
      <c r="Y152" s="294"/>
      <c r="Z152" s="294"/>
      <c r="AA152" s="294"/>
      <c r="AB152" s="294"/>
      <c r="AC152" s="294"/>
    </row>
    <row r="153" ht="15.75" customHeight="1">
      <c r="A153" s="294"/>
      <c r="B153" s="294"/>
      <c r="C153" s="294"/>
      <c r="D153" s="294"/>
      <c r="E153" s="294"/>
      <c r="F153" s="294"/>
      <c r="G153" s="295"/>
      <c r="H153" s="294"/>
      <c r="I153" s="294"/>
      <c r="J153" s="294"/>
      <c r="K153" s="294"/>
      <c r="L153" s="294"/>
      <c r="M153" s="294"/>
      <c r="N153" s="294"/>
      <c r="O153" s="294"/>
      <c r="P153" s="294"/>
      <c r="Q153" s="294"/>
      <c r="R153" s="294"/>
      <c r="S153" s="294"/>
      <c r="T153" s="294"/>
      <c r="U153" s="294"/>
      <c r="V153" s="294"/>
      <c r="W153" s="294"/>
      <c r="X153" s="294"/>
      <c r="Y153" s="294"/>
      <c r="Z153" s="294"/>
      <c r="AA153" s="294"/>
      <c r="AB153" s="294"/>
      <c r="AC153" s="294"/>
    </row>
    <row r="154" ht="15.75" customHeight="1">
      <c r="A154" s="294"/>
      <c r="B154" s="294"/>
      <c r="C154" s="294"/>
      <c r="D154" s="294"/>
      <c r="E154" s="294"/>
      <c r="F154" s="294"/>
      <c r="G154" s="295"/>
      <c r="H154" s="294"/>
      <c r="I154" s="294"/>
      <c r="J154" s="294"/>
      <c r="K154" s="294"/>
      <c r="L154" s="294"/>
      <c r="M154" s="294"/>
      <c r="N154" s="294"/>
      <c r="O154" s="294"/>
      <c r="P154" s="294"/>
      <c r="Q154" s="294"/>
      <c r="R154" s="294"/>
      <c r="S154" s="294"/>
      <c r="T154" s="294"/>
      <c r="U154" s="294"/>
      <c r="V154" s="294"/>
      <c r="W154" s="294"/>
      <c r="X154" s="294"/>
      <c r="Y154" s="294"/>
      <c r="Z154" s="294"/>
      <c r="AA154" s="294"/>
      <c r="AB154" s="294"/>
      <c r="AC154" s="294"/>
    </row>
    <row r="155" ht="15.75" customHeight="1">
      <c r="A155" s="294"/>
      <c r="B155" s="294"/>
      <c r="C155" s="294"/>
      <c r="D155" s="294"/>
      <c r="E155" s="294"/>
      <c r="F155" s="294"/>
      <c r="G155" s="295"/>
      <c r="H155" s="294"/>
      <c r="I155" s="294"/>
      <c r="J155" s="294"/>
      <c r="K155" s="294"/>
      <c r="L155" s="294"/>
      <c r="M155" s="294"/>
      <c r="N155" s="294"/>
      <c r="O155" s="294"/>
      <c r="P155" s="294"/>
      <c r="Q155" s="294"/>
      <c r="R155" s="294"/>
      <c r="S155" s="294"/>
      <c r="T155" s="294"/>
      <c r="U155" s="294"/>
      <c r="V155" s="294"/>
      <c r="W155" s="294"/>
      <c r="X155" s="294"/>
      <c r="Y155" s="294"/>
      <c r="Z155" s="294"/>
      <c r="AA155" s="294"/>
      <c r="AB155" s="294"/>
      <c r="AC155" s="294"/>
    </row>
    <row r="156" ht="15.75" customHeight="1">
      <c r="A156" s="294"/>
      <c r="B156" s="294"/>
      <c r="C156" s="294"/>
      <c r="D156" s="294"/>
      <c r="E156" s="294"/>
      <c r="F156" s="294"/>
      <c r="G156" s="295"/>
      <c r="H156" s="294"/>
      <c r="I156" s="294"/>
      <c r="J156" s="294"/>
      <c r="K156" s="294"/>
      <c r="L156" s="294"/>
      <c r="M156" s="294"/>
      <c r="N156" s="294"/>
      <c r="O156" s="294"/>
      <c r="P156" s="294"/>
      <c r="Q156" s="294"/>
      <c r="R156" s="294"/>
      <c r="S156" s="294"/>
      <c r="T156" s="294"/>
      <c r="U156" s="294"/>
      <c r="V156" s="294"/>
      <c r="W156" s="294"/>
      <c r="X156" s="294"/>
      <c r="Y156" s="294"/>
      <c r="Z156" s="294"/>
      <c r="AA156" s="294"/>
      <c r="AB156" s="294"/>
      <c r="AC156" s="294"/>
    </row>
    <row r="157" ht="15.75" customHeight="1">
      <c r="A157" s="294"/>
      <c r="B157" s="294"/>
      <c r="C157" s="294"/>
      <c r="D157" s="294"/>
      <c r="E157" s="294"/>
      <c r="F157" s="294"/>
      <c r="G157" s="295"/>
      <c r="H157" s="294"/>
      <c r="I157" s="294"/>
      <c r="J157" s="294"/>
      <c r="K157" s="294"/>
      <c r="L157" s="294"/>
      <c r="M157" s="294"/>
      <c r="N157" s="294"/>
      <c r="O157" s="294"/>
      <c r="P157" s="294"/>
      <c r="Q157" s="294"/>
      <c r="R157" s="294"/>
      <c r="S157" s="294"/>
      <c r="T157" s="294"/>
      <c r="U157" s="294"/>
      <c r="V157" s="294"/>
      <c r="W157" s="294"/>
      <c r="X157" s="294"/>
      <c r="Y157" s="294"/>
      <c r="Z157" s="294"/>
      <c r="AA157" s="294"/>
      <c r="AB157" s="294"/>
      <c r="AC157" s="294"/>
    </row>
    <row r="158" ht="15.75" customHeight="1">
      <c r="A158" s="294"/>
      <c r="B158" s="294"/>
      <c r="C158" s="294"/>
      <c r="D158" s="294"/>
      <c r="E158" s="294"/>
      <c r="F158" s="294"/>
      <c r="G158" s="295"/>
      <c r="H158" s="294"/>
      <c r="I158" s="294"/>
      <c r="J158" s="294"/>
      <c r="K158" s="294"/>
      <c r="L158" s="294"/>
      <c r="M158" s="294"/>
      <c r="N158" s="294"/>
      <c r="O158" s="294"/>
      <c r="P158" s="294"/>
      <c r="Q158" s="294"/>
      <c r="R158" s="294"/>
      <c r="S158" s="294"/>
      <c r="T158" s="294"/>
      <c r="U158" s="294"/>
      <c r="V158" s="294"/>
      <c r="W158" s="294"/>
      <c r="X158" s="294"/>
      <c r="Y158" s="294"/>
      <c r="Z158" s="294"/>
      <c r="AA158" s="294"/>
      <c r="AB158" s="294"/>
      <c r="AC158" s="294"/>
    </row>
    <row r="159" ht="15.75" customHeight="1">
      <c r="A159" s="294"/>
      <c r="B159" s="294"/>
      <c r="C159" s="294"/>
      <c r="D159" s="294"/>
      <c r="E159" s="294"/>
      <c r="F159" s="294"/>
      <c r="G159" s="295"/>
      <c r="H159" s="294"/>
      <c r="I159" s="294"/>
      <c r="J159" s="294"/>
      <c r="K159" s="294"/>
      <c r="L159" s="294"/>
      <c r="M159" s="294"/>
      <c r="N159" s="294"/>
      <c r="O159" s="294"/>
      <c r="P159" s="294"/>
      <c r="Q159" s="294"/>
      <c r="R159" s="294"/>
      <c r="S159" s="294"/>
      <c r="T159" s="294"/>
      <c r="U159" s="294"/>
      <c r="V159" s="294"/>
      <c r="W159" s="294"/>
      <c r="X159" s="294"/>
      <c r="Y159" s="294"/>
      <c r="Z159" s="294"/>
      <c r="AA159" s="294"/>
      <c r="AB159" s="294"/>
      <c r="AC159" s="294"/>
    </row>
    <row r="160" ht="15.75" customHeight="1">
      <c r="A160" s="294"/>
      <c r="B160" s="294"/>
      <c r="C160" s="294"/>
      <c r="D160" s="294"/>
      <c r="E160" s="294"/>
      <c r="F160" s="294"/>
      <c r="G160" s="295"/>
      <c r="H160" s="294"/>
      <c r="I160" s="294"/>
      <c r="J160" s="294"/>
      <c r="K160" s="294"/>
      <c r="L160" s="294"/>
      <c r="M160" s="294"/>
      <c r="N160" s="294"/>
      <c r="O160" s="294"/>
      <c r="P160" s="294"/>
      <c r="Q160" s="294"/>
      <c r="R160" s="294"/>
      <c r="S160" s="294"/>
      <c r="T160" s="294"/>
      <c r="U160" s="294"/>
      <c r="V160" s="294"/>
      <c r="W160" s="294"/>
      <c r="X160" s="294"/>
      <c r="Y160" s="294"/>
      <c r="Z160" s="294"/>
      <c r="AA160" s="294"/>
      <c r="AB160" s="294"/>
      <c r="AC160" s="294"/>
    </row>
    <row r="161" ht="15.75" customHeight="1">
      <c r="A161" s="294"/>
      <c r="B161" s="294"/>
      <c r="C161" s="294"/>
      <c r="D161" s="294"/>
      <c r="E161" s="294"/>
      <c r="F161" s="294"/>
      <c r="G161" s="295"/>
      <c r="H161" s="294"/>
      <c r="I161" s="294"/>
      <c r="J161" s="294"/>
      <c r="K161" s="294"/>
      <c r="L161" s="294"/>
      <c r="M161" s="294"/>
      <c r="N161" s="294"/>
      <c r="O161" s="294"/>
      <c r="P161" s="294"/>
      <c r="Q161" s="294"/>
      <c r="R161" s="294"/>
      <c r="S161" s="294"/>
      <c r="T161" s="294"/>
      <c r="U161" s="294"/>
      <c r="V161" s="294"/>
      <c r="W161" s="294"/>
      <c r="X161" s="294"/>
      <c r="Y161" s="294"/>
      <c r="Z161" s="294"/>
      <c r="AA161" s="294"/>
      <c r="AB161" s="294"/>
      <c r="AC161" s="294"/>
    </row>
    <row r="162" ht="15.75" customHeight="1">
      <c r="A162" s="294"/>
      <c r="B162" s="294"/>
      <c r="C162" s="294"/>
      <c r="D162" s="294"/>
      <c r="E162" s="294"/>
      <c r="F162" s="294"/>
      <c r="G162" s="295"/>
      <c r="H162" s="294"/>
      <c r="I162" s="294"/>
      <c r="J162" s="294"/>
      <c r="K162" s="294"/>
      <c r="L162" s="294"/>
      <c r="M162" s="294"/>
      <c r="N162" s="294"/>
      <c r="O162" s="294"/>
      <c r="P162" s="294"/>
      <c r="Q162" s="294"/>
      <c r="R162" s="294"/>
      <c r="S162" s="294"/>
      <c r="T162" s="294"/>
      <c r="U162" s="294"/>
      <c r="V162" s="294"/>
      <c r="W162" s="294"/>
      <c r="X162" s="294"/>
      <c r="Y162" s="294"/>
      <c r="Z162" s="294"/>
      <c r="AA162" s="294"/>
      <c r="AB162" s="294"/>
      <c r="AC162" s="294"/>
    </row>
    <row r="163" ht="15.75" customHeight="1">
      <c r="A163" s="294"/>
      <c r="B163" s="294"/>
      <c r="C163" s="294"/>
      <c r="D163" s="294"/>
      <c r="E163" s="294"/>
      <c r="F163" s="294"/>
      <c r="G163" s="295"/>
      <c r="H163" s="294"/>
      <c r="I163" s="294"/>
      <c r="J163" s="294"/>
      <c r="K163" s="294"/>
      <c r="L163" s="294"/>
      <c r="M163" s="294"/>
      <c r="N163" s="294"/>
      <c r="O163" s="294"/>
      <c r="P163" s="294"/>
      <c r="Q163" s="294"/>
      <c r="R163" s="294"/>
      <c r="S163" s="294"/>
      <c r="T163" s="294"/>
      <c r="U163" s="294"/>
      <c r="V163" s="294"/>
      <c r="W163" s="294"/>
      <c r="X163" s="294"/>
      <c r="Y163" s="294"/>
      <c r="Z163" s="294"/>
      <c r="AA163" s="294"/>
      <c r="AB163" s="294"/>
      <c r="AC163" s="294"/>
    </row>
    <row r="164" ht="15.75" customHeight="1">
      <c r="A164" s="294"/>
      <c r="B164" s="294"/>
      <c r="C164" s="294"/>
      <c r="D164" s="294"/>
      <c r="E164" s="294"/>
      <c r="F164" s="294"/>
      <c r="G164" s="295"/>
      <c r="H164" s="294"/>
      <c r="I164" s="294"/>
      <c r="J164" s="294"/>
      <c r="K164" s="294"/>
      <c r="L164" s="294"/>
      <c r="M164" s="294"/>
      <c r="N164" s="294"/>
      <c r="O164" s="294"/>
      <c r="P164" s="294"/>
      <c r="Q164" s="294"/>
      <c r="R164" s="294"/>
      <c r="S164" s="294"/>
      <c r="T164" s="294"/>
      <c r="U164" s="294"/>
      <c r="V164" s="294"/>
      <c r="W164" s="294"/>
      <c r="X164" s="294"/>
      <c r="Y164" s="294"/>
      <c r="Z164" s="294"/>
      <c r="AA164" s="294"/>
      <c r="AB164" s="294"/>
      <c r="AC164" s="294"/>
    </row>
    <row r="165" ht="15.75" customHeight="1">
      <c r="A165" s="294"/>
      <c r="B165" s="294"/>
      <c r="C165" s="294"/>
      <c r="D165" s="294"/>
      <c r="E165" s="294"/>
      <c r="F165" s="294"/>
      <c r="G165" s="295"/>
      <c r="H165" s="294"/>
      <c r="I165" s="294"/>
      <c r="J165" s="294"/>
      <c r="K165" s="294"/>
      <c r="L165" s="294"/>
      <c r="M165" s="294"/>
      <c r="N165" s="294"/>
      <c r="O165" s="294"/>
      <c r="P165" s="294"/>
      <c r="Q165" s="294"/>
      <c r="R165" s="294"/>
      <c r="S165" s="294"/>
      <c r="T165" s="294"/>
      <c r="U165" s="294"/>
      <c r="V165" s="294"/>
      <c r="W165" s="294"/>
      <c r="X165" s="294"/>
      <c r="Y165" s="294"/>
      <c r="Z165" s="294"/>
      <c r="AA165" s="294"/>
      <c r="AB165" s="294"/>
      <c r="AC165" s="294"/>
    </row>
    <row r="166" ht="15.75" customHeight="1">
      <c r="A166" s="294"/>
      <c r="B166" s="294"/>
      <c r="C166" s="294"/>
      <c r="D166" s="294"/>
      <c r="E166" s="294"/>
      <c r="F166" s="294"/>
      <c r="G166" s="295"/>
      <c r="H166" s="294"/>
      <c r="I166" s="294"/>
      <c r="J166" s="294"/>
      <c r="K166" s="294"/>
      <c r="L166" s="294"/>
      <c r="M166" s="294"/>
      <c r="N166" s="294"/>
      <c r="O166" s="294"/>
      <c r="P166" s="294"/>
      <c r="Q166" s="294"/>
      <c r="R166" s="294"/>
      <c r="S166" s="294"/>
      <c r="T166" s="294"/>
      <c r="U166" s="294"/>
      <c r="V166" s="294"/>
      <c r="W166" s="294"/>
      <c r="X166" s="294"/>
      <c r="Y166" s="294"/>
      <c r="Z166" s="294"/>
      <c r="AA166" s="294"/>
      <c r="AB166" s="294"/>
      <c r="AC166" s="294"/>
    </row>
    <row r="167" ht="15.75" customHeight="1">
      <c r="A167" s="294"/>
      <c r="B167" s="294"/>
      <c r="C167" s="294"/>
      <c r="D167" s="294"/>
      <c r="E167" s="294"/>
      <c r="F167" s="294"/>
      <c r="G167" s="295"/>
      <c r="H167" s="294"/>
      <c r="I167" s="294"/>
      <c r="J167" s="294"/>
      <c r="K167" s="294"/>
      <c r="L167" s="294"/>
      <c r="M167" s="294"/>
      <c r="N167" s="294"/>
      <c r="O167" s="294"/>
      <c r="P167" s="294"/>
      <c r="Q167" s="294"/>
      <c r="R167" s="294"/>
      <c r="S167" s="294"/>
      <c r="T167" s="294"/>
      <c r="U167" s="294"/>
      <c r="V167" s="294"/>
      <c r="W167" s="294"/>
      <c r="X167" s="294"/>
      <c r="Y167" s="294"/>
      <c r="Z167" s="294"/>
      <c r="AA167" s="294"/>
      <c r="AB167" s="294"/>
      <c r="AC167" s="294"/>
    </row>
    <row r="168" ht="15.75" customHeight="1">
      <c r="A168" s="294"/>
      <c r="B168" s="294"/>
      <c r="C168" s="294"/>
      <c r="D168" s="294"/>
      <c r="E168" s="294"/>
      <c r="F168" s="294"/>
      <c r="G168" s="295"/>
      <c r="H168" s="294"/>
      <c r="I168" s="294"/>
      <c r="J168" s="294"/>
      <c r="K168" s="294"/>
      <c r="L168" s="294"/>
      <c r="M168" s="294"/>
      <c r="N168" s="294"/>
      <c r="O168" s="294"/>
      <c r="P168" s="294"/>
      <c r="Q168" s="294"/>
      <c r="R168" s="294"/>
      <c r="S168" s="294"/>
      <c r="T168" s="294"/>
      <c r="U168" s="294"/>
      <c r="V168" s="294"/>
      <c r="W168" s="294"/>
      <c r="X168" s="294"/>
      <c r="Y168" s="294"/>
      <c r="Z168" s="294"/>
      <c r="AA168" s="294"/>
      <c r="AB168" s="294"/>
      <c r="AC168" s="294"/>
    </row>
    <row r="169" ht="15.75" customHeight="1">
      <c r="A169" s="294"/>
      <c r="B169" s="294"/>
      <c r="C169" s="294"/>
      <c r="D169" s="294"/>
      <c r="E169" s="294"/>
      <c r="F169" s="294"/>
      <c r="G169" s="295"/>
      <c r="H169" s="294"/>
      <c r="I169" s="294"/>
      <c r="J169" s="294"/>
      <c r="K169" s="294"/>
      <c r="L169" s="294"/>
      <c r="M169" s="294"/>
      <c r="N169" s="294"/>
      <c r="O169" s="294"/>
      <c r="P169" s="294"/>
      <c r="Q169" s="294"/>
      <c r="R169" s="294"/>
      <c r="S169" s="294"/>
      <c r="T169" s="294"/>
      <c r="U169" s="294"/>
      <c r="V169" s="294"/>
      <c r="W169" s="294"/>
      <c r="X169" s="294"/>
      <c r="Y169" s="294"/>
      <c r="Z169" s="294"/>
      <c r="AA169" s="294"/>
      <c r="AB169" s="294"/>
      <c r="AC169" s="294"/>
    </row>
    <row r="170" ht="15.75" customHeight="1">
      <c r="A170" s="294"/>
      <c r="B170" s="294"/>
      <c r="C170" s="294"/>
      <c r="D170" s="294"/>
      <c r="E170" s="294"/>
      <c r="F170" s="294"/>
      <c r="G170" s="295"/>
      <c r="H170" s="294"/>
      <c r="I170" s="294"/>
      <c r="J170" s="294"/>
      <c r="K170" s="294"/>
      <c r="L170" s="294"/>
      <c r="M170" s="294"/>
      <c r="N170" s="294"/>
      <c r="O170" s="294"/>
      <c r="P170" s="294"/>
      <c r="Q170" s="294"/>
      <c r="R170" s="294"/>
      <c r="S170" s="294"/>
      <c r="T170" s="294"/>
      <c r="U170" s="294"/>
      <c r="V170" s="294"/>
      <c r="W170" s="294"/>
      <c r="X170" s="294"/>
      <c r="Y170" s="294"/>
      <c r="Z170" s="294"/>
      <c r="AA170" s="294"/>
      <c r="AB170" s="294"/>
      <c r="AC170" s="294"/>
    </row>
    <row r="171" ht="15.75" customHeight="1">
      <c r="A171" s="294"/>
      <c r="B171" s="294"/>
      <c r="C171" s="294"/>
      <c r="D171" s="294"/>
      <c r="E171" s="294"/>
      <c r="F171" s="294"/>
      <c r="G171" s="295"/>
      <c r="H171" s="294"/>
      <c r="I171" s="294"/>
      <c r="J171" s="294"/>
      <c r="K171" s="294"/>
      <c r="L171" s="294"/>
      <c r="M171" s="294"/>
      <c r="N171" s="294"/>
      <c r="O171" s="294"/>
      <c r="P171" s="294"/>
      <c r="Q171" s="294"/>
      <c r="R171" s="294"/>
      <c r="S171" s="294"/>
      <c r="T171" s="294"/>
      <c r="U171" s="294"/>
      <c r="V171" s="294"/>
      <c r="W171" s="294"/>
      <c r="X171" s="294"/>
      <c r="Y171" s="294"/>
      <c r="Z171" s="294"/>
      <c r="AA171" s="294"/>
      <c r="AB171" s="294"/>
      <c r="AC171" s="294"/>
    </row>
    <row r="172" ht="15.75" customHeight="1">
      <c r="A172" s="294"/>
      <c r="B172" s="294"/>
      <c r="C172" s="294"/>
      <c r="D172" s="294"/>
      <c r="E172" s="294"/>
      <c r="F172" s="294"/>
      <c r="G172" s="295"/>
      <c r="H172" s="294"/>
      <c r="I172" s="294"/>
      <c r="J172" s="294"/>
      <c r="K172" s="294"/>
      <c r="L172" s="294"/>
      <c r="M172" s="294"/>
      <c r="N172" s="294"/>
      <c r="O172" s="294"/>
      <c r="P172" s="294"/>
      <c r="Q172" s="294"/>
      <c r="R172" s="294"/>
      <c r="S172" s="294"/>
      <c r="T172" s="294"/>
      <c r="U172" s="294"/>
      <c r="V172" s="294"/>
      <c r="W172" s="294"/>
      <c r="X172" s="294"/>
      <c r="Y172" s="294"/>
      <c r="Z172" s="294"/>
      <c r="AA172" s="294"/>
      <c r="AB172" s="294"/>
      <c r="AC172" s="294"/>
    </row>
    <row r="173" ht="15.75" customHeight="1">
      <c r="A173" s="294"/>
      <c r="B173" s="294"/>
      <c r="C173" s="294"/>
      <c r="D173" s="294"/>
      <c r="E173" s="294"/>
      <c r="F173" s="294"/>
      <c r="G173" s="295"/>
      <c r="H173" s="294"/>
      <c r="I173" s="294"/>
      <c r="J173" s="294"/>
      <c r="K173" s="294"/>
      <c r="L173" s="294"/>
      <c r="M173" s="294"/>
      <c r="N173" s="294"/>
      <c r="O173" s="294"/>
      <c r="P173" s="294"/>
      <c r="Q173" s="294"/>
      <c r="R173" s="294"/>
      <c r="S173" s="294"/>
      <c r="T173" s="294"/>
      <c r="U173" s="294"/>
      <c r="V173" s="294"/>
      <c r="W173" s="294"/>
      <c r="X173" s="294"/>
      <c r="Y173" s="294"/>
      <c r="Z173" s="294"/>
      <c r="AA173" s="294"/>
      <c r="AB173" s="294"/>
      <c r="AC173" s="294"/>
    </row>
    <row r="174" ht="15.75" customHeight="1">
      <c r="A174" s="294"/>
      <c r="B174" s="294"/>
      <c r="C174" s="294"/>
      <c r="D174" s="294"/>
      <c r="E174" s="294"/>
      <c r="F174" s="294"/>
      <c r="G174" s="295"/>
      <c r="H174" s="294"/>
      <c r="I174" s="294"/>
      <c r="J174" s="294"/>
      <c r="K174" s="294"/>
      <c r="L174" s="294"/>
      <c r="M174" s="294"/>
      <c r="N174" s="294"/>
      <c r="O174" s="294"/>
      <c r="P174" s="294"/>
      <c r="Q174" s="294"/>
      <c r="R174" s="294"/>
      <c r="S174" s="294"/>
      <c r="T174" s="294"/>
      <c r="U174" s="294"/>
      <c r="V174" s="294"/>
      <c r="W174" s="294"/>
      <c r="X174" s="294"/>
      <c r="Y174" s="294"/>
      <c r="Z174" s="294"/>
      <c r="AA174" s="294"/>
      <c r="AB174" s="294"/>
      <c r="AC174" s="294"/>
    </row>
    <row r="175" ht="15.75" customHeight="1">
      <c r="A175" s="294"/>
      <c r="B175" s="294"/>
      <c r="C175" s="294"/>
      <c r="D175" s="294"/>
      <c r="E175" s="294"/>
      <c r="F175" s="294"/>
      <c r="G175" s="295"/>
      <c r="H175" s="294"/>
      <c r="I175" s="294"/>
      <c r="J175" s="294"/>
      <c r="K175" s="294"/>
      <c r="L175" s="294"/>
      <c r="M175" s="294"/>
      <c r="N175" s="294"/>
      <c r="O175" s="294"/>
      <c r="P175" s="294"/>
      <c r="Q175" s="294"/>
      <c r="R175" s="294"/>
      <c r="S175" s="294"/>
      <c r="T175" s="294"/>
      <c r="U175" s="294"/>
      <c r="V175" s="294"/>
      <c r="W175" s="294"/>
      <c r="X175" s="294"/>
      <c r="Y175" s="294"/>
      <c r="Z175" s="294"/>
      <c r="AA175" s="294"/>
      <c r="AB175" s="294"/>
      <c r="AC175" s="294"/>
    </row>
    <row r="176" ht="15.75" customHeight="1">
      <c r="A176" s="294"/>
      <c r="B176" s="294"/>
      <c r="C176" s="294"/>
      <c r="D176" s="294"/>
      <c r="E176" s="294"/>
      <c r="F176" s="294"/>
      <c r="G176" s="295"/>
      <c r="H176" s="294"/>
      <c r="I176" s="294"/>
      <c r="J176" s="294"/>
      <c r="K176" s="294"/>
      <c r="L176" s="294"/>
      <c r="M176" s="294"/>
      <c r="N176" s="294"/>
      <c r="O176" s="294"/>
      <c r="P176" s="294"/>
      <c r="Q176" s="294"/>
      <c r="R176" s="294"/>
      <c r="S176" s="294"/>
      <c r="T176" s="294"/>
      <c r="U176" s="294"/>
      <c r="V176" s="294"/>
      <c r="W176" s="294"/>
      <c r="X176" s="294"/>
      <c r="Y176" s="294"/>
      <c r="Z176" s="294"/>
      <c r="AA176" s="294"/>
      <c r="AB176" s="294"/>
      <c r="AC176" s="294"/>
    </row>
    <row r="177" ht="15.75" customHeight="1">
      <c r="A177" s="294"/>
      <c r="B177" s="294"/>
      <c r="C177" s="294"/>
      <c r="D177" s="294"/>
      <c r="E177" s="294"/>
      <c r="F177" s="294"/>
      <c r="G177" s="295"/>
      <c r="H177" s="294"/>
      <c r="I177" s="294"/>
      <c r="J177" s="294"/>
      <c r="K177" s="294"/>
      <c r="L177" s="294"/>
      <c r="M177" s="294"/>
      <c r="N177" s="294"/>
      <c r="O177" s="294"/>
      <c r="P177" s="294"/>
      <c r="Q177" s="294"/>
      <c r="R177" s="294"/>
      <c r="S177" s="294"/>
      <c r="T177" s="294"/>
      <c r="U177" s="294"/>
      <c r="V177" s="294"/>
      <c r="W177" s="294"/>
      <c r="X177" s="294"/>
      <c r="Y177" s="294"/>
      <c r="Z177" s="294"/>
      <c r="AA177" s="294"/>
      <c r="AB177" s="294"/>
      <c r="AC177" s="294"/>
    </row>
    <row r="178" ht="15.75" customHeight="1">
      <c r="A178" s="294"/>
      <c r="B178" s="294"/>
      <c r="C178" s="294"/>
      <c r="D178" s="294"/>
      <c r="E178" s="294"/>
      <c r="F178" s="294"/>
      <c r="G178" s="295"/>
      <c r="H178" s="294"/>
      <c r="I178" s="294"/>
      <c r="J178" s="294"/>
      <c r="K178" s="294"/>
      <c r="L178" s="294"/>
      <c r="M178" s="294"/>
      <c r="N178" s="294"/>
      <c r="O178" s="294"/>
      <c r="P178" s="294"/>
      <c r="Q178" s="294"/>
      <c r="R178" s="294"/>
      <c r="S178" s="294"/>
      <c r="T178" s="294"/>
      <c r="U178" s="294"/>
      <c r="V178" s="294"/>
      <c r="W178" s="294"/>
      <c r="X178" s="294"/>
      <c r="Y178" s="294"/>
      <c r="Z178" s="294"/>
      <c r="AA178" s="294"/>
      <c r="AB178" s="294"/>
      <c r="AC178" s="294"/>
    </row>
    <row r="179" ht="15.75" customHeight="1">
      <c r="A179" s="294"/>
      <c r="B179" s="294"/>
      <c r="C179" s="294"/>
      <c r="D179" s="294"/>
      <c r="E179" s="294"/>
      <c r="F179" s="294"/>
      <c r="G179" s="295"/>
      <c r="H179" s="294"/>
      <c r="I179" s="294"/>
      <c r="J179" s="294"/>
      <c r="K179" s="294"/>
      <c r="L179" s="294"/>
      <c r="M179" s="294"/>
      <c r="N179" s="294"/>
      <c r="O179" s="294"/>
      <c r="P179" s="294"/>
      <c r="Q179" s="294"/>
      <c r="R179" s="294"/>
      <c r="S179" s="294"/>
      <c r="T179" s="294"/>
      <c r="U179" s="294"/>
      <c r="V179" s="294"/>
      <c r="W179" s="294"/>
      <c r="X179" s="294"/>
      <c r="Y179" s="294"/>
      <c r="Z179" s="294"/>
      <c r="AA179" s="294"/>
      <c r="AB179" s="294"/>
      <c r="AC179" s="294"/>
    </row>
    <row r="180" ht="15.75" customHeight="1">
      <c r="A180" s="294"/>
      <c r="B180" s="294"/>
      <c r="C180" s="294"/>
      <c r="D180" s="294"/>
      <c r="E180" s="294"/>
      <c r="F180" s="294"/>
      <c r="G180" s="295"/>
      <c r="H180" s="294"/>
      <c r="I180" s="294"/>
      <c r="J180" s="294"/>
      <c r="K180" s="294"/>
      <c r="L180" s="294"/>
      <c r="M180" s="294"/>
      <c r="N180" s="294"/>
      <c r="O180" s="294"/>
      <c r="P180" s="294"/>
      <c r="Q180" s="294"/>
      <c r="R180" s="294"/>
      <c r="S180" s="294"/>
      <c r="T180" s="294"/>
      <c r="U180" s="294"/>
      <c r="V180" s="294"/>
      <c r="W180" s="294"/>
      <c r="X180" s="294"/>
      <c r="Y180" s="294"/>
      <c r="Z180" s="294"/>
      <c r="AA180" s="294"/>
      <c r="AB180" s="294"/>
      <c r="AC180" s="294"/>
    </row>
    <row r="181" ht="15.75" customHeight="1">
      <c r="A181" s="294"/>
      <c r="B181" s="294"/>
      <c r="C181" s="294"/>
      <c r="D181" s="294"/>
      <c r="E181" s="294"/>
      <c r="F181" s="294"/>
      <c r="G181" s="295"/>
      <c r="H181" s="294"/>
      <c r="I181" s="294"/>
      <c r="J181" s="294"/>
      <c r="K181" s="294"/>
      <c r="L181" s="294"/>
      <c r="M181" s="294"/>
      <c r="N181" s="294"/>
      <c r="O181" s="294"/>
      <c r="P181" s="294"/>
      <c r="Q181" s="294"/>
      <c r="R181" s="294"/>
      <c r="S181" s="294"/>
      <c r="T181" s="294"/>
      <c r="U181" s="294"/>
      <c r="V181" s="294"/>
      <c r="W181" s="294"/>
      <c r="X181" s="294"/>
      <c r="Y181" s="294"/>
      <c r="Z181" s="294"/>
      <c r="AA181" s="294"/>
      <c r="AB181" s="294"/>
      <c r="AC181" s="294"/>
    </row>
    <row r="182" ht="15.75" customHeight="1">
      <c r="A182" s="294"/>
      <c r="B182" s="294"/>
      <c r="C182" s="294"/>
      <c r="D182" s="294"/>
      <c r="E182" s="294"/>
      <c r="F182" s="294"/>
      <c r="G182" s="295"/>
      <c r="H182" s="294"/>
      <c r="I182" s="294"/>
      <c r="J182" s="294"/>
      <c r="K182" s="294"/>
      <c r="L182" s="294"/>
      <c r="M182" s="294"/>
      <c r="N182" s="294"/>
      <c r="O182" s="294"/>
      <c r="P182" s="294"/>
      <c r="Q182" s="294"/>
      <c r="R182" s="294"/>
      <c r="S182" s="294"/>
      <c r="T182" s="294"/>
      <c r="U182" s="294"/>
      <c r="V182" s="294"/>
      <c r="W182" s="294"/>
      <c r="X182" s="294"/>
      <c r="Y182" s="294"/>
      <c r="Z182" s="294"/>
      <c r="AA182" s="294"/>
      <c r="AB182" s="294"/>
      <c r="AC182" s="294"/>
    </row>
    <row r="183" ht="15.75" customHeight="1">
      <c r="A183" s="294"/>
      <c r="B183" s="294"/>
      <c r="C183" s="294"/>
      <c r="D183" s="294"/>
      <c r="E183" s="294"/>
      <c r="F183" s="294"/>
      <c r="G183" s="295"/>
      <c r="H183" s="294"/>
      <c r="I183" s="294"/>
      <c r="J183" s="294"/>
      <c r="K183" s="294"/>
      <c r="L183" s="294"/>
      <c r="M183" s="294"/>
      <c r="N183" s="294"/>
      <c r="O183" s="294"/>
      <c r="P183" s="294"/>
      <c r="Q183" s="294"/>
      <c r="R183" s="294"/>
      <c r="S183" s="294"/>
      <c r="T183" s="294"/>
      <c r="U183" s="294"/>
      <c r="V183" s="294"/>
      <c r="W183" s="294"/>
      <c r="X183" s="294"/>
      <c r="Y183" s="294"/>
      <c r="Z183" s="294"/>
      <c r="AA183" s="294"/>
      <c r="AB183" s="294"/>
      <c r="AC183" s="294"/>
    </row>
    <row r="184" ht="15.75" customHeight="1">
      <c r="A184" s="294"/>
      <c r="B184" s="294"/>
      <c r="C184" s="294"/>
      <c r="D184" s="294"/>
      <c r="E184" s="294"/>
      <c r="F184" s="294"/>
      <c r="G184" s="295"/>
      <c r="H184" s="294"/>
      <c r="I184" s="294"/>
      <c r="J184" s="294"/>
      <c r="K184" s="294"/>
      <c r="L184" s="294"/>
      <c r="M184" s="294"/>
      <c r="N184" s="294"/>
      <c r="O184" s="294"/>
      <c r="P184" s="294"/>
      <c r="Q184" s="294"/>
      <c r="R184" s="294"/>
      <c r="S184" s="294"/>
      <c r="T184" s="294"/>
      <c r="U184" s="294"/>
      <c r="V184" s="294"/>
      <c r="W184" s="294"/>
      <c r="X184" s="294"/>
      <c r="Y184" s="294"/>
      <c r="Z184" s="294"/>
      <c r="AA184" s="294"/>
      <c r="AB184" s="294"/>
      <c r="AC184" s="294"/>
    </row>
    <row r="185" ht="15.75" customHeight="1">
      <c r="A185" s="294"/>
      <c r="B185" s="294"/>
      <c r="C185" s="294"/>
      <c r="D185" s="294"/>
      <c r="E185" s="294"/>
      <c r="F185" s="294"/>
      <c r="G185" s="295"/>
      <c r="H185" s="294"/>
      <c r="I185" s="294"/>
      <c r="J185" s="294"/>
      <c r="K185" s="294"/>
      <c r="L185" s="294"/>
      <c r="M185" s="294"/>
      <c r="N185" s="294"/>
      <c r="O185" s="294"/>
      <c r="P185" s="294"/>
      <c r="Q185" s="294"/>
      <c r="R185" s="294"/>
      <c r="S185" s="294"/>
      <c r="T185" s="294"/>
      <c r="U185" s="294"/>
      <c r="V185" s="294"/>
      <c r="W185" s="294"/>
      <c r="X185" s="294"/>
      <c r="Y185" s="294"/>
      <c r="Z185" s="294"/>
      <c r="AA185" s="294"/>
      <c r="AB185" s="294"/>
      <c r="AC185" s="294"/>
    </row>
    <row r="186" ht="15.75" customHeight="1">
      <c r="A186" s="294"/>
      <c r="B186" s="294"/>
      <c r="C186" s="294"/>
      <c r="D186" s="294"/>
      <c r="E186" s="294"/>
      <c r="F186" s="294"/>
      <c r="G186" s="295"/>
      <c r="H186" s="294"/>
      <c r="I186" s="294"/>
      <c r="J186" s="294"/>
      <c r="K186" s="294"/>
      <c r="L186" s="294"/>
      <c r="M186" s="294"/>
      <c r="N186" s="294"/>
      <c r="O186" s="294"/>
      <c r="P186" s="294"/>
      <c r="Q186" s="294"/>
      <c r="R186" s="294"/>
      <c r="S186" s="294"/>
      <c r="T186" s="294"/>
      <c r="U186" s="294"/>
      <c r="V186" s="294"/>
      <c r="W186" s="294"/>
      <c r="X186" s="294"/>
      <c r="Y186" s="294"/>
      <c r="Z186" s="294"/>
      <c r="AA186" s="294"/>
      <c r="AB186" s="294"/>
      <c r="AC186" s="294"/>
    </row>
    <row r="187" ht="15.75" customHeight="1">
      <c r="A187" s="294"/>
      <c r="B187" s="294"/>
      <c r="C187" s="294"/>
      <c r="D187" s="294"/>
      <c r="E187" s="294"/>
      <c r="F187" s="294"/>
      <c r="G187" s="295"/>
      <c r="H187" s="294"/>
      <c r="I187" s="294"/>
      <c r="J187" s="294"/>
      <c r="K187" s="294"/>
      <c r="L187" s="294"/>
      <c r="M187" s="294"/>
      <c r="N187" s="294"/>
      <c r="O187" s="294"/>
      <c r="P187" s="294"/>
      <c r="Q187" s="294"/>
      <c r="R187" s="294"/>
      <c r="S187" s="294"/>
      <c r="T187" s="294"/>
      <c r="U187" s="294"/>
      <c r="V187" s="294"/>
      <c r="W187" s="294"/>
      <c r="X187" s="294"/>
      <c r="Y187" s="294"/>
      <c r="Z187" s="294"/>
      <c r="AA187" s="294"/>
      <c r="AB187" s="294"/>
      <c r="AC187" s="294"/>
    </row>
    <row r="188" ht="15.75" customHeight="1">
      <c r="A188" s="294"/>
      <c r="B188" s="294"/>
      <c r="C188" s="294"/>
      <c r="D188" s="294"/>
      <c r="E188" s="294"/>
      <c r="F188" s="294"/>
      <c r="G188" s="295"/>
      <c r="H188" s="294"/>
      <c r="I188" s="294"/>
      <c r="J188" s="294"/>
      <c r="K188" s="294"/>
      <c r="L188" s="294"/>
      <c r="M188" s="294"/>
      <c r="N188" s="294"/>
      <c r="O188" s="294"/>
      <c r="P188" s="294"/>
      <c r="Q188" s="294"/>
      <c r="R188" s="294"/>
      <c r="S188" s="294"/>
      <c r="T188" s="294"/>
      <c r="U188" s="294"/>
      <c r="V188" s="294"/>
      <c r="W188" s="294"/>
      <c r="X188" s="294"/>
      <c r="Y188" s="294"/>
      <c r="Z188" s="294"/>
      <c r="AA188" s="294"/>
      <c r="AB188" s="294"/>
      <c r="AC188" s="294"/>
    </row>
    <row r="189" ht="15.75" customHeight="1">
      <c r="A189" s="294"/>
      <c r="B189" s="294"/>
      <c r="C189" s="294"/>
      <c r="D189" s="294"/>
      <c r="E189" s="294"/>
      <c r="F189" s="294"/>
      <c r="G189" s="295"/>
      <c r="H189" s="294"/>
      <c r="I189" s="294"/>
      <c r="J189" s="294"/>
      <c r="K189" s="294"/>
      <c r="L189" s="294"/>
      <c r="M189" s="294"/>
      <c r="N189" s="294"/>
      <c r="O189" s="294"/>
      <c r="P189" s="294"/>
      <c r="Q189" s="294"/>
      <c r="R189" s="294"/>
      <c r="S189" s="294"/>
      <c r="T189" s="294"/>
      <c r="U189" s="294"/>
      <c r="V189" s="294"/>
      <c r="W189" s="294"/>
      <c r="X189" s="294"/>
      <c r="Y189" s="294"/>
      <c r="Z189" s="294"/>
      <c r="AA189" s="294"/>
      <c r="AB189" s="294"/>
      <c r="AC189" s="294"/>
    </row>
    <row r="190" ht="15.75" customHeight="1">
      <c r="A190" s="294"/>
      <c r="B190" s="294"/>
      <c r="C190" s="294"/>
      <c r="D190" s="294"/>
      <c r="E190" s="294"/>
      <c r="F190" s="294"/>
      <c r="G190" s="295"/>
      <c r="H190" s="294"/>
      <c r="I190" s="294"/>
      <c r="J190" s="294"/>
      <c r="K190" s="294"/>
      <c r="L190" s="294"/>
      <c r="M190" s="294"/>
      <c r="N190" s="294"/>
      <c r="O190" s="294"/>
      <c r="P190" s="294"/>
      <c r="Q190" s="294"/>
      <c r="R190" s="294"/>
      <c r="S190" s="294"/>
      <c r="T190" s="294"/>
      <c r="U190" s="294"/>
      <c r="V190" s="294"/>
      <c r="W190" s="294"/>
      <c r="X190" s="294"/>
      <c r="Y190" s="294"/>
      <c r="Z190" s="294"/>
      <c r="AA190" s="294"/>
      <c r="AB190" s="294"/>
      <c r="AC190" s="294"/>
    </row>
    <row r="191" ht="15.75" customHeight="1">
      <c r="A191" s="294"/>
      <c r="B191" s="294"/>
      <c r="C191" s="294"/>
      <c r="D191" s="294"/>
      <c r="E191" s="294"/>
      <c r="F191" s="294"/>
      <c r="G191" s="295"/>
      <c r="H191" s="294"/>
      <c r="I191" s="294"/>
      <c r="J191" s="294"/>
      <c r="K191" s="294"/>
      <c r="L191" s="294"/>
      <c r="M191" s="294"/>
      <c r="N191" s="294"/>
      <c r="O191" s="294"/>
      <c r="P191" s="294"/>
      <c r="Q191" s="294"/>
      <c r="R191" s="294"/>
      <c r="S191" s="294"/>
      <c r="T191" s="294"/>
      <c r="U191" s="294"/>
      <c r="V191" s="294"/>
      <c r="W191" s="294"/>
      <c r="X191" s="294"/>
      <c r="Y191" s="294"/>
      <c r="Z191" s="294"/>
      <c r="AA191" s="294"/>
      <c r="AB191" s="294"/>
      <c r="AC191" s="294"/>
    </row>
    <row r="192" ht="15.75" customHeight="1">
      <c r="A192" s="294"/>
      <c r="B192" s="294"/>
      <c r="C192" s="294"/>
      <c r="D192" s="294"/>
      <c r="E192" s="294"/>
      <c r="F192" s="294"/>
      <c r="G192" s="295"/>
      <c r="H192" s="294"/>
      <c r="I192" s="294"/>
      <c r="J192" s="294"/>
      <c r="K192" s="294"/>
      <c r="L192" s="294"/>
      <c r="M192" s="294"/>
      <c r="N192" s="294"/>
      <c r="O192" s="294"/>
      <c r="P192" s="294"/>
      <c r="Q192" s="294"/>
      <c r="R192" s="294"/>
      <c r="S192" s="294"/>
      <c r="T192" s="294"/>
      <c r="U192" s="294"/>
      <c r="V192" s="294"/>
      <c r="W192" s="294"/>
      <c r="X192" s="294"/>
      <c r="Y192" s="294"/>
      <c r="Z192" s="294"/>
      <c r="AA192" s="294"/>
      <c r="AB192" s="294"/>
      <c r="AC192" s="294"/>
    </row>
    <row r="193" ht="15.75" customHeight="1">
      <c r="A193" s="294"/>
      <c r="B193" s="294"/>
      <c r="C193" s="294"/>
      <c r="D193" s="294"/>
      <c r="E193" s="294"/>
      <c r="F193" s="294"/>
      <c r="G193" s="295"/>
      <c r="H193" s="294"/>
      <c r="I193" s="294"/>
      <c r="J193" s="294"/>
      <c r="K193" s="294"/>
      <c r="L193" s="294"/>
      <c r="M193" s="294"/>
      <c r="N193" s="294"/>
      <c r="O193" s="294"/>
      <c r="P193" s="294"/>
      <c r="Q193" s="294"/>
      <c r="R193" s="294"/>
      <c r="S193" s="294"/>
      <c r="T193" s="294"/>
      <c r="U193" s="294"/>
      <c r="V193" s="294"/>
      <c r="W193" s="294"/>
      <c r="X193" s="294"/>
      <c r="Y193" s="294"/>
      <c r="Z193" s="294"/>
      <c r="AA193" s="294"/>
      <c r="AB193" s="294"/>
      <c r="AC193" s="294"/>
    </row>
    <row r="194" ht="15.75" customHeight="1">
      <c r="A194" s="294"/>
      <c r="B194" s="294"/>
      <c r="C194" s="294"/>
      <c r="D194" s="294"/>
      <c r="E194" s="294"/>
      <c r="F194" s="294"/>
      <c r="G194" s="295"/>
      <c r="H194" s="294"/>
      <c r="I194" s="294"/>
      <c r="J194" s="294"/>
      <c r="K194" s="294"/>
      <c r="L194" s="294"/>
      <c r="M194" s="294"/>
      <c r="N194" s="294"/>
      <c r="O194" s="294"/>
      <c r="P194" s="294"/>
      <c r="Q194" s="294"/>
      <c r="R194" s="294"/>
      <c r="S194" s="294"/>
      <c r="T194" s="294"/>
      <c r="U194" s="294"/>
      <c r="V194" s="294"/>
      <c r="W194" s="294"/>
      <c r="X194" s="294"/>
      <c r="Y194" s="294"/>
      <c r="Z194" s="294"/>
      <c r="AA194" s="294"/>
      <c r="AB194" s="294"/>
      <c r="AC194" s="294"/>
    </row>
    <row r="195" ht="15.75" customHeight="1">
      <c r="A195" s="294"/>
      <c r="B195" s="294"/>
      <c r="C195" s="294"/>
      <c r="D195" s="294"/>
      <c r="E195" s="294"/>
      <c r="F195" s="294"/>
      <c r="G195" s="295"/>
      <c r="H195" s="294"/>
      <c r="I195" s="294"/>
      <c r="J195" s="294"/>
      <c r="K195" s="294"/>
      <c r="L195" s="294"/>
      <c r="M195" s="294"/>
      <c r="N195" s="294"/>
      <c r="O195" s="294"/>
      <c r="P195" s="294"/>
      <c r="Q195" s="294"/>
      <c r="R195" s="294"/>
      <c r="S195" s="294"/>
      <c r="T195" s="294"/>
      <c r="U195" s="294"/>
      <c r="V195" s="294"/>
      <c r="W195" s="294"/>
      <c r="X195" s="294"/>
      <c r="Y195" s="294"/>
      <c r="Z195" s="294"/>
      <c r="AA195" s="294"/>
      <c r="AB195" s="294"/>
      <c r="AC195" s="294"/>
    </row>
    <row r="196" ht="15.75" customHeight="1">
      <c r="A196" s="294"/>
      <c r="B196" s="294"/>
      <c r="C196" s="294"/>
      <c r="D196" s="294"/>
      <c r="E196" s="294"/>
      <c r="F196" s="294"/>
      <c r="G196" s="295"/>
      <c r="H196" s="294"/>
      <c r="I196" s="294"/>
      <c r="J196" s="294"/>
      <c r="K196" s="294"/>
      <c r="L196" s="294"/>
      <c r="M196" s="294"/>
      <c r="N196" s="294"/>
      <c r="O196" s="294"/>
      <c r="P196" s="294"/>
      <c r="Q196" s="294"/>
      <c r="R196" s="294"/>
      <c r="S196" s="294"/>
      <c r="T196" s="294"/>
      <c r="U196" s="294"/>
      <c r="V196" s="294"/>
      <c r="W196" s="294"/>
      <c r="X196" s="294"/>
      <c r="Y196" s="294"/>
      <c r="Z196" s="294"/>
      <c r="AA196" s="294"/>
      <c r="AB196" s="294"/>
      <c r="AC196" s="294"/>
    </row>
    <row r="197" ht="15.75" customHeight="1">
      <c r="A197" s="294"/>
      <c r="B197" s="294"/>
      <c r="C197" s="294"/>
      <c r="D197" s="294"/>
      <c r="E197" s="294"/>
      <c r="F197" s="294"/>
      <c r="G197" s="295"/>
      <c r="H197" s="294"/>
      <c r="I197" s="294"/>
      <c r="J197" s="294"/>
      <c r="K197" s="294"/>
      <c r="L197" s="294"/>
      <c r="M197" s="294"/>
      <c r="N197" s="294"/>
      <c r="O197" s="294"/>
      <c r="P197" s="294"/>
      <c r="Q197" s="294"/>
      <c r="R197" s="294"/>
      <c r="S197" s="294"/>
      <c r="T197" s="294"/>
      <c r="U197" s="294"/>
      <c r="V197" s="294"/>
      <c r="W197" s="294"/>
      <c r="X197" s="294"/>
      <c r="Y197" s="294"/>
      <c r="Z197" s="294"/>
      <c r="AA197" s="294"/>
      <c r="AB197" s="294"/>
      <c r="AC197" s="294"/>
    </row>
    <row r="198" ht="15.75" customHeight="1">
      <c r="A198" s="294"/>
      <c r="B198" s="294"/>
      <c r="C198" s="294"/>
      <c r="D198" s="294"/>
      <c r="E198" s="294"/>
      <c r="F198" s="294"/>
      <c r="G198" s="295"/>
      <c r="H198" s="294"/>
      <c r="I198" s="294"/>
      <c r="J198" s="294"/>
      <c r="K198" s="294"/>
      <c r="L198" s="294"/>
      <c r="M198" s="294"/>
      <c r="N198" s="294"/>
      <c r="O198" s="294"/>
      <c r="P198" s="294"/>
      <c r="Q198" s="294"/>
      <c r="R198" s="294"/>
      <c r="S198" s="294"/>
      <c r="T198" s="294"/>
      <c r="U198" s="294"/>
      <c r="V198" s="294"/>
      <c r="W198" s="294"/>
      <c r="X198" s="294"/>
      <c r="Y198" s="294"/>
      <c r="Z198" s="294"/>
      <c r="AA198" s="294"/>
      <c r="AB198" s="294"/>
      <c r="AC198" s="294"/>
    </row>
    <row r="199" ht="15.75" customHeight="1">
      <c r="A199" s="294"/>
      <c r="B199" s="294"/>
      <c r="C199" s="294"/>
      <c r="D199" s="294"/>
      <c r="E199" s="294"/>
      <c r="F199" s="294"/>
      <c r="G199" s="295"/>
      <c r="H199" s="294"/>
      <c r="I199" s="294"/>
      <c r="J199" s="294"/>
      <c r="K199" s="294"/>
      <c r="L199" s="294"/>
      <c r="M199" s="294"/>
      <c r="N199" s="294"/>
      <c r="O199" s="294"/>
      <c r="P199" s="294"/>
      <c r="Q199" s="294"/>
      <c r="R199" s="294"/>
      <c r="S199" s="294"/>
      <c r="T199" s="294"/>
      <c r="U199" s="294"/>
      <c r="V199" s="294"/>
      <c r="W199" s="294"/>
      <c r="X199" s="294"/>
      <c r="Y199" s="294"/>
      <c r="Z199" s="294"/>
      <c r="AA199" s="294"/>
      <c r="AB199" s="294"/>
      <c r="AC199" s="294"/>
    </row>
    <row r="200" ht="15.75" customHeight="1">
      <c r="A200" s="294"/>
      <c r="B200" s="294"/>
      <c r="C200" s="294"/>
      <c r="D200" s="294"/>
      <c r="E200" s="294"/>
      <c r="F200" s="294"/>
      <c r="G200" s="295"/>
      <c r="H200" s="294"/>
      <c r="I200" s="294"/>
      <c r="J200" s="294"/>
      <c r="K200" s="294"/>
      <c r="L200" s="294"/>
      <c r="M200" s="294"/>
      <c r="N200" s="294"/>
      <c r="O200" s="294"/>
      <c r="P200" s="294"/>
      <c r="Q200" s="294"/>
      <c r="R200" s="294"/>
      <c r="S200" s="294"/>
      <c r="T200" s="294"/>
      <c r="U200" s="294"/>
      <c r="V200" s="294"/>
      <c r="W200" s="294"/>
      <c r="X200" s="294"/>
      <c r="Y200" s="294"/>
      <c r="Z200" s="294"/>
      <c r="AA200" s="294"/>
      <c r="AB200" s="294"/>
      <c r="AC200" s="294"/>
    </row>
    <row r="201" ht="15.75" customHeight="1">
      <c r="A201" s="294"/>
      <c r="B201" s="294"/>
      <c r="C201" s="294"/>
      <c r="D201" s="294"/>
      <c r="E201" s="294"/>
      <c r="F201" s="294"/>
      <c r="G201" s="295"/>
      <c r="H201" s="294"/>
      <c r="I201" s="294"/>
      <c r="J201" s="294"/>
      <c r="K201" s="294"/>
      <c r="L201" s="294"/>
      <c r="M201" s="294"/>
      <c r="N201" s="294"/>
      <c r="O201" s="294"/>
      <c r="P201" s="294"/>
      <c r="Q201" s="294"/>
      <c r="R201" s="294"/>
      <c r="S201" s="294"/>
      <c r="T201" s="294"/>
      <c r="U201" s="294"/>
      <c r="V201" s="294"/>
      <c r="W201" s="294"/>
      <c r="X201" s="294"/>
      <c r="Y201" s="294"/>
      <c r="Z201" s="294"/>
      <c r="AA201" s="294"/>
      <c r="AB201" s="294"/>
      <c r="AC201" s="294"/>
    </row>
    <row r="202" ht="15.75" customHeight="1">
      <c r="A202" s="294"/>
      <c r="B202" s="294"/>
      <c r="C202" s="294"/>
      <c r="D202" s="294"/>
      <c r="E202" s="294"/>
      <c r="F202" s="294"/>
      <c r="G202" s="295"/>
      <c r="H202" s="294"/>
      <c r="I202" s="294"/>
      <c r="J202" s="294"/>
      <c r="K202" s="294"/>
      <c r="L202" s="294"/>
      <c r="M202" s="294"/>
      <c r="N202" s="294"/>
      <c r="O202" s="294"/>
      <c r="P202" s="294"/>
      <c r="Q202" s="294"/>
      <c r="R202" s="294"/>
      <c r="S202" s="294"/>
      <c r="T202" s="294"/>
      <c r="U202" s="294"/>
      <c r="V202" s="294"/>
      <c r="W202" s="294"/>
      <c r="X202" s="294"/>
      <c r="Y202" s="294"/>
      <c r="Z202" s="294"/>
      <c r="AA202" s="294"/>
      <c r="AB202" s="294"/>
      <c r="AC202" s="294"/>
    </row>
    <row r="203" ht="15.75" customHeight="1">
      <c r="A203" s="294"/>
      <c r="B203" s="294"/>
      <c r="C203" s="294"/>
      <c r="D203" s="294"/>
      <c r="E203" s="294"/>
      <c r="F203" s="294"/>
      <c r="G203" s="295"/>
      <c r="H203" s="294"/>
      <c r="I203" s="294"/>
      <c r="J203" s="294"/>
      <c r="K203" s="294"/>
      <c r="L203" s="294"/>
      <c r="M203" s="294"/>
      <c r="N203" s="294"/>
      <c r="O203" s="294"/>
      <c r="P203" s="294"/>
      <c r="Q203" s="294"/>
      <c r="R203" s="294"/>
      <c r="S203" s="294"/>
      <c r="T203" s="294"/>
      <c r="U203" s="294"/>
      <c r="V203" s="294"/>
      <c r="W203" s="294"/>
      <c r="X203" s="294"/>
      <c r="Y203" s="294"/>
      <c r="Z203" s="294"/>
      <c r="AA203" s="294"/>
      <c r="AB203" s="294"/>
      <c r="AC203" s="294"/>
    </row>
    <row r="204" ht="15.75" customHeight="1">
      <c r="A204" s="294"/>
      <c r="B204" s="294"/>
      <c r="C204" s="294"/>
      <c r="D204" s="294"/>
      <c r="E204" s="294"/>
      <c r="F204" s="294"/>
      <c r="G204" s="295"/>
      <c r="H204" s="294"/>
      <c r="I204" s="294"/>
      <c r="J204" s="294"/>
      <c r="K204" s="294"/>
      <c r="L204" s="294"/>
      <c r="M204" s="294"/>
      <c r="N204" s="294"/>
      <c r="O204" s="294"/>
      <c r="P204" s="294"/>
      <c r="Q204" s="294"/>
      <c r="R204" s="294"/>
      <c r="S204" s="294"/>
      <c r="T204" s="294"/>
      <c r="U204" s="294"/>
      <c r="V204" s="294"/>
      <c r="W204" s="294"/>
      <c r="X204" s="294"/>
      <c r="Y204" s="294"/>
      <c r="Z204" s="294"/>
      <c r="AA204" s="294"/>
      <c r="AB204" s="294"/>
      <c r="AC204" s="294"/>
    </row>
    <row r="205" ht="15.75" customHeight="1">
      <c r="A205" s="294"/>
      <c r="B205" s="294"/>
      <c r="C205" s="294"/>
      <c r="D205" s="294"/>
      <c r="E205" s="294"/>
      <c r="F205" s="294"/>
      <c r="G205" s="295"/>
      <c r="H205" s="294"/>
      <c r="I205" s="294"/>
      <c r="J205" s="294"/>
      <c r="K205" s="294"/>
      <c r="L205" s="294"/>
      <c r="M205" s="294"/>
      <c r="N205" s="294"/>
      <c r="O205" s="294"/>
      <c r="P205" s="294"/>
      <c r="Q205" s="294"/>
      <c r="R205" s="294"/>
      <c r="S205" s="294"/>
      <c r="T205" s="294"/>
      <c r="U205" s="294"/>
      <c r="V205" s="294"/>
      <c r="W205" s="294"/>
      <c r="X205" s="294"/>
      <c r="Y205" s="294"/>
      <c r="Z205" s="294"/>
      <c r="AA205" s="294"/>
      <c r="AB205" s="294"/>
      <c r="AC205" s="294"/>
    </row>
    <row r="206" ht="15.75" customHeight="1">
      <c r="A206" s="294"/>
      <c r="B206" s="294"/>
      <c r="C206" s="294"/>
      <c r="D206" s="294"/>
      <c r="E206" s="294"/>
      <c r="F206" s="294"/>
      <c r="G206" s="295"/>
      <c r="H206" s="294"/>
      <c r="I206" s="294"/>
      <c r="J206" s="294"/>
      <c r="K206" s="294"/>
      <c r="L206" s="294"/>
      <c r="M206" s="294"/>
      <c r="N206" s="294"/>
      <c r="O206" s="294"/>
      <c r="P206" s="294"/>
      <c r="Q206" s="294"/>
      <c r="R206" s="294"/>
      <c r="S206" s="294"/>
      <c r="T206" s="294"/>
      <c r="U206" s="294"/>
      <c r="V206" s="294"/>
      <c r="W206" s="294"/>
      <c r="X206" s="294"/>
      <c r="Y206" s="294"/>
      <c r="Z206" s="294"/>
      <c r="AA206" s="294"/>
      <c r="AB206" s="294"/>
      <c r="AC206" s="294"/>
    </row>
    <row r="207" ht="15.75" customHeight="1">
      <c r="A207" s="294"/>
      <c r="B207" s="294"/>
      <c r="C207" s="294"/>
      <c r="D207" s="294"/>
      <c r="E207" s="294"/>
      <c r="F207" s="294"/>
      <c r="G207" s="295"/>
      <c r="H207" s="294"/>
      <c r="I207" s="294"/>
      <c r="J207" s="294"/>
      <c r="K207" s="294"/>
      <c r="L207" s="294"/>
      <c r="M207" s="294"/>
      <c r="N207" s="294"/>
      <c r="O207" s="294"/>
      <c r="P207" s="294"/>
      <c r="Q207" s="294"/>
      <c r="R207" s="294"/>
      <c r="S207" s="294"/>
      <c r="T207" s="294"/>
      <c r="U207" s="294"/>
      <c r="V207" s="294"/>
      <c r="W207" s="294"/>
      <c r="X207" s="294"/>
      <c r="Y207" s="294"/>
      <c r="Z207" s="294"/>
      <c r="AA207" s="294"/>
      <c r="AB207" s="294"/>
      <c r="AC207" s="294"/>
    </row>
    <row r="208" ht="15.75" customHeight="1">
      <c r="A208" s="294"/>
      <c r="B208" s="294"/>
      <c r="C208" s="294"/>
      <c r="D208" s="294"/>
      <c r="E208" s="294"/>
      <c r="F208" s="294"/>
      <c r="G208" s="295"/>
      <c r="H208" s="294"/>
      <c r="I208" s="294"/>
      <c r="J208" s="294"/>
      <c r="K208" s="294"/>
      <c r="L208" s="294"/>
      <c r="M208" s="294"/>
      <c r="N208" s="294"/>
      <c r="O208" s="294"/>
      <c r="P208" s="294"/>
      <c r="Q208" s="294"/>
      <c r="R208" s="294"/>
      <c r="S208" s="294"/>
      <c r="T208" s="294"/>
      <c r="U208" s="294"/>
      <c r="V208" s="294"/>
      <c r="W208" s="294"/>
      <c r="X208" s="294"/>
      <c r="Y208" s="294"/>
      <c r="Z208" s="294"/>
      <c r="AA208" s="294"/>
      <c r="AB208" s="294"/>
      <c r="AC208" s="294"/>
    </row>
    <row r="209" ht="15.75" customHeight="1">
      <c r="A209" s="294"/>
      <c r="B209" s="294"/>
      <c r="C209" s="294"/>
      <c r="D209" s="294"/>
      <c r="E209" s="294"/>
      <c r="F209" s="294"/>
      <c r="G209" s="295"/>
      <c r="H209" s="294"/>
      <c r="I209" s="294"/>
      <c r="J209" s="294"/>
      <c r="K209" s="294"/>
      <c r="L209" s="294"/>
      <c r="M209" s="294"/>
      <c r="N209" s="294"/>
      <c r="O209" s="294"/>
      <c r="P209" s="294"/>
      <c r="Q209" s="294"/>
      <c r="R209" s="294"/>
      <c r="S209" s="294"/>
      <c r="T209" s="294"/>
      <c r="U209" s="294"/>
      <c r="V209" s="294"/>
      <c r="W209" s="294"/>
      <c r="X209" s="294"/>
      <c r="Y209" s="294"/>
      <c r="Z209" s="294"/>
      <c r="AA209" s="294"/>
      <c r="AB209" s="294"/>
      <c r="AC209" s="294"/>
    </row>
    <row r="210" ht="15.75" customHeight="1">
      <c r="A210" s="294"/>
      <c r="B210" s="294"/>
      <c r="C210" s="294"/>
      <c r="D210" s="294"/>
      <c r="E210" s="294"/>
      <c r="F210" s="294"/>
      <c r="G210" s="295"/>
      <c r="H210" s="294"/>
      <c r="I210" s="294"/>
      <c r="J210" s="294"/>
      <c r="K210" s="294"/>
      <c r="L210" s="294"/>
      <c r="M210" s="294"/>
      <c r="N210" s="294"/>
      <c r="O210" s="294"/>
      <c r="P210" s="294"/>
      <c r="Q210" s="294"/>
      <c r="R210" s="294"/>
      <c r="S210" s="294"/>
      <c r="T210" s="294"/>
      <c r="U210" s="294"/>
      <c r="V210" s="294"/>
      <c r="W210" s="294"/>
      <c r="X210" s="294"/>
      <c r="Y210" s="294"/>
      <c r="Z210" s="294"/>
      <c r="AA210" s="294"/>
      <c r="AB210" s="294"/>
      <c r="AC210" s="294"/>
    </row>
    <row r="211" ht="15.75" customHeight="1">
      <c r="A211" s="294"/>
      <c r="B211" s="294"/>
      <c r="C211" s="294"/>
      <c r="D211" s="294"/>
      <c r="E211" s="294"/>
      <c r="F211" s="294"/>
      <c r="G211" s="295"/>
      <c r="H211" s="294"/>
      <c r="I211" s="294"/>
      <c r="J211" s="294"/>
      <c r="K211" s="294"/>
      <c r="L211" s="294"/>
      <c r="M211" s="294"/>
      <c r="N211" s="294"/>
      <c r="O211" s="294"/>
      <c r="P211" s="294"/>
      <c r="Q211" s="294"/>
      <c r="R211" s="294"/>
      <c r="S211" s="294"/>
      <c r="T211" s="294"/>
      <c r="U211" s="294"/>
      <c r="V211" s="294"/>
      <c r="W211" s="294"/>
      <c r="X211" s="294"/>
      <c r="Y211" s="294"/>
      <c r="Z211" s="294"/>
      <c r="AA211" s="294"/>
      <c r="AB211" s="294"/>
      <c r="AC211" s="294"/>
    </row>
    <row r="212" ht="15.75" customHeight="1">
      <c r="A212" s="294"/>
      <c r="B212" s="294"/>
      <c r="C212" s="294"/>
      <c r="D212" s="294"/>
      <c r="E212" s="294"/>
      <c r="F212" s="294"/>
      <c r="G212" s="295"/>
      <c r="H212" s="294"/>
      <c r="I212" s="294"/>
      <c r="J212" s="294"/>
      <c r="K212" s="294"/>
      <c r="L212" s="294"/>
      <c r="M212" s="294"/>
      <c r="N212" s="294"/>
      <c r="O212" s="294"/>
      <c r="P212" s="294"/>
      <c r="Q212" s="294"/>
      <c r="R212" s="294"/>
      <c r="S212" s="294"/>
      <c r="T212" s="294"/>
      <c r="U212" s="294"/>
      <c r="V212" s="294"/>
      <c r="W212" s="294"/>
      <c r="X212" s="294"/>
      <c r="Y212" s="294"/>
      <c r="Z212" s="294"/>
      <c r="AA212" s="294"/>
      <c r="AB212" s="294"/>
      <c r="AC212" s="294"/>
    </row>
    <row r="213" ht="15.75" customHeight="1">
      <c r="A213" s="294"/>
      <c r="B213" s="294"/>
      <c r="C213" s="294"/>
      <c r="D213" s="294"/>
      <c r="E213" s="294"/>
      <c r="F213" s="294"/>
      <c r="G213" s="295"/>
      <c r="H213" s="294"/>
      <c r="I213" s="294"/>
      <c r="J213" s="294"/>
      <c r="K213" s="294"/>
      <c r="L213" s="294"/>
      <c r="M213" s="294"/>
      <c r="N213" s="294"/>
      <c r="O213" s="294"/>
      <c r="P213" s="294"/>
      <c r="Q213" s="294"/>
      <c r="R213" s="294"/>
      <c r="S213" s="294"/>
      <c r="T213" s="294"/>
      <c r="U213" s="294"/>
      <c r="V213" s="294"/>
      <c r="W213" s="294"/>
      <c r="X213" s="294"/>
      <c r="Y213" s="294"/>
      <c r="Z213" s="294"/>
      <c r="AA213" s="294"/>
      <c r="AB213" s="294"/>
      <c r="AC213" s="294"/>
    </row>
    <row r="214" ht="15.75" customHeight="1">
      <c r="A214" s="294"/>
      <c r="B214" s="294"/>
      <c r="C214" s="294"/>
      <c r="D214" s="294"/>
      <c r="E214" s="294"/>
      <c r="F214" s="294"/>
      <c r="G214" s="295"/>
      <c r="H214" s="294"/>
      <c r="I214" s="294"/>
      <c r="J214" s="294"/>
      <c r="K214" s="294"/>
      <c r="L214" s="294"/>
      <c r="M214" s="294"/>
      <c r="N214" s="294"/>
      <c r="O214" s="294"/>
      <c r="P214" s="294"/>
      <c r="Q214" s="294"/>
      <c r="R214" s="294"/>
      <c r="S214" s="294"/>
      <c r="T214" s="294"/>
      <c r="U214" s="294"/>
      <c r="V214" s="294"/>
      <c r="W214" s="294"/>
      <c r="X214" s="294"/>
      <c r="Y214" s="294"/>
      <c r="Z214" s="294"/>
      <c r="AA214" s="294"/>
      <c r="AB214" s="294"/>
      <c r="AC214" s="294"/>
    </row>
    <row r="215" ht="15.75" customHeight="1">
      <c r="A215" s="294"/>
      <c r="B215" s="294"/>
      <c r="C215" s="294"/>
      <c r="D215" s="294"/>
      <c r="E215" s="294"/>
      <c r="F215" s="294"/>
      <c r="G215" s="295"/>
      <c r="H215" s="294"/>
      <c r="I215" s="294"/>
      <c r="J215" s="294"/>
      <c r="K215" s="294"/>
      <c r="L215" s="294"/>
      <c r="M215" s="294"/>
      <c r="N215" s="294"/>
      <c r="O215" s="294"/>
      <c r="P215" s="294"/>
      <c r="Q215" s="294"/>
      <c r="R215" s="294"/>
      <c r="S215" s="294"/>
      <c r="T215" s="294"/>
      <c r="U215" s="294"/>
      <c r="V215" s="294"/>
      <c r="W215" s="294"/>
      <c r="X215" s="294"/>
      <c r="Y215" s="294"/>
      <c r="Z215" s="294"/>
      <c r="AA215" s="294"/>
      <c r="AB215" s="294"/>
      <c r="AC215" s="294"/>
    </row>
    <row r="216" ht="15.75" customHeight="1">
      <c r="A216" s="294"/>
      <c r="B216" s="294"/>
      <c r="C216" s="294"/>
      <c r="D216" s="294"/>
      <c r="E216" s="294"/>
      <c r="F216" s="294"/>
      <c r="G216" s="295"/>
      <c r="H216" s="294"/>
      <c r="I216" s="294"/>
      <c r="J216" s="294"/>
      <c r="K216" s="294"/>
      <c r="L216" s="294"/>
      <c r="M216" s="294"/>
      <c r="N216" s="294"/>
      <c r="O216" s="294"/>
      <c r="P216" s="294"/>
      <c r="Q216" s="294"/>
      <c r="R216" s="294"/>
      <c r="S216" s="294"/>
      <c r="T216" s="294"/>
      <c r="U216" s="294"/>
      <c r="V216" s="294"/>
      <c r="W216" s="294"/>
      <c r="X216" s="294"/>
      <c r="Y216" s="294"/>
      <c r="Z216" s="294"/>
      <c r="AA216" s="294"/>
      <c r="AB216" s="294"/>
      <c r="AC216" s="294"/>
    </row>
    <row r="217" ht="15.75" customHeight="1">
      <c r="A217" s="294"/>
      <c r="B217" s="294"/>
      <c r="C217" s="294"/>
      <c r="D217" s="294"/>
      <c r="E217" s="294"/>
      <c r="F217" s="294"/>
      <c r="G217" s="295"/>
      <c r="H217" s="294"/>
      <c r="I217" s="294"/>
      <c r="J217" s="294"/>
      <c r="K217" s="294"/>
      <c r="L217" s="294"/>
      <c r="M217" s="294"/>
      <c r="N217" s="294"/>
      <c r="O217" s="294"/>
      <c r="P217" s="294"/>
      <c r="Q217" s="294"/>
      <c r="R217" s="294"/>
      <c r="S217" s="294"/>
      <c r="T217" s="294"/>
      <c r="U217" s="294"/>
      <c r="V217" s="294"/>
      <c r="W217" s="294"/>
      <c r="X217" s="294"/>
      <c r="Y217" s="294"/>
      <c r="Z217" s="294"/>
      <c r="AA217" s="294"/>
      <c r="AB217" s="294"/>
      <c r="AC217" s="294"/>
    </row>
    <row r="218" ht="15.75" customHeight="1">
      <c r="A218" s="294"/>
      <c r="B218" s="294"/>
      <c r="C218" s="294"/>
      <c r="D218" s="294"/>
      <c r="E218" s="294"/>
      <c r="F218" s="294"/>
      <c r="G218" s="295"/>
      <c r="H218" s="294"/>
      <c r="I218" s="294"/>
      <c r="J218" s="294"/>
      <c r="K218" s="294"/>
      <c r="L218" s="294"/>
      <c r="M218" s="294"/>
      <c r="N218" s="294"/>
      <c r="O218" s="294"/>
      <c r="P218" s="294"/>
      <c r="Q218" s="294"/>
      <c r="R218" s="294"/>
      <c r="S218" s="294"/>
      <c r="T218" s="294"/>
      <c r="U218" s="294"/>
      <c r="V218" s="294"/>
      <c r="W218" s="294"/>
      <c r="X218" s="294"/>
      <c r="Y218" s="294"/>
      <c r="Z218" s="294"/>
      <c r="AA218" s="294"/>
      <c r="AB218" s="294"/>
      <c r="AC218" s="294"/>
    </row>
    <row r="219" ht="15.75" customHeight="1">
      <c r="A219" s="294"/>
      <c r="B219" s="294"/>
      <c r="C219" s="294"/>
      <c r="D219" s="294"/>
      <c r="E219" s="294"/>
      <c r="F219" s="294"/>
      <c r="G219" s="295"/>
      <c r="H219" s="294"/>
      <c r="I219" s="294"/>
      <c r="J219" s="294"/>
      <c r="K219" s="294"/>
      <c r="L219" s="294"/>
      <c r="M219" s="294"/>
      <c r="N219" s="294"/>
      <c r="O219" s="294"/>
      <c r="P219" s="294"/>
      <c r="Q219" s="294"/>
      <c r="R219" s="294"/>
      <c r="S219" s="294"/>
      <c r="T219" s="294"/>
      <c r="U219" s="294"/>
      <c r="V219" s="294"/>
      <c r="W219" s="294"/>
      <c r="X219" s="294"/>
      <c r="Y219" s="294"/>
      <c r="Z219" s="294"/>
      <c r="AA219" s="294"/>
      <c r="AB219" s="294"/>
      <c r="AC219" s="294"/>
    </row>
    <row r="220" ht="15.75" customHeight="1">
      <c r="A220" s="294"/>
      <c r="B220" s="294"/>
      <c r="C220" s="294"/>
      <c r="D220" s="294"/>
      <c r="E220" s="294"/>
      <c r="F220" s="294"/>
      <c r="G220" s="295"/>
      <c r="H220" s="294"/>
      <c r="I220" s="294"/>
      <c r="J220" s="294"/>
      <c r="K220" s="294"/>
      <c r="L220" s="294"/>
      <c r="M220" s="294"/>
      <c r="N220" s="294"/>
      <c r="O220" s="294"/>
      <c r="P220" s="294"/>
      <c r="Q220" s="294"/>
      <c r="R220" s="294"/>
      <c r="S220" s="294"/>
      <c r="T220" s="294"/>
      <c r="U220" s="294"/>
      <c r="V220" s="294"/>
      <c r="W220" s="294"/>
      <c r="X220" s="294"/>
      <c r="Y220" s="294"/>
      <c r="Z220" s="294"/>
      <c r="AA220" s="294"/>
      <c r="AB220" s="294"/>
      <c r="AC220" s="294"/>
    </row>
    <row r="221" ht="15.75" customHeight="1">
      <c r="A221" s="294"/>
      <c r="B221" s="294"/>
      <c r="C221" s="294"/>
      <c r="D221" s="294"/>
      <c r="E221" s="294"/>
      <c r="F221" s="294"/>
      <c r="G221" s="295"/>
      <c r="H221" s="294"/>
      <c r="I221" s="294"/>
      <c r="J221" s="294"/>
      <c r="K221" s="294"/>
      <c r="L221" s="294"/>
      <c r="M221" s="294"/>
      <c r="N221" s="294"/>
      <c r="O221" s="294"/>
      <c r="P221" s="294"/>
      <c r="Q221" s="294"/>
      <c r="R221" s="294"/>
      <c r="S221" s="294"/>
      <c r="T221" s="294"/>
      <c r="U221" s="294"/>
      <c r="V221" s="294"/>
      <c r="W221" s="294"/>
      <c r="X221" s="294"/>
      <c r="Y221" s="294"/>
      <c r="Z221" s="294"/>
      <c r="AA221" s="294"/>
      <c r="AB221" s="294"/>
      <c r="AC221" s="294"/>
    </row>
    <row r="222" ht="15.75" customHeight="1">
      <c r="A222" s="294"/>
      <c r="B222" s="294"/>
      <c r="C222" s="294"/>
      <c r="D222" s="294"/>
      <c r="E222" s="294"/>
      <c r="F222" s="294"/>
      <c r="G222" s="295"/>
      <c r="H222" s="294"/>
      <c r="I222" s="294"/>
      <c r="J222" s="294"/>
      <c r="K222" s="294"/>
      <c r="L222" s="294"/>
      <c r="M222" s="294"/>
      <c r="N222" s="294"/>
      <c r="O222" s="294"/>
      <c r="P222" s="294"/>
      <c r="Q222" s="294"/>
      <c r="R222" s="294"/>
      <c r="S222" s="294"/>
      <c r="T222" s="294"/>
      <c r="U222" s="294"/>
      <c r="V222" s="294"/>
      <c r="W222" s="294"/>
      <c r="X222" s="294"/>
      <c r="Y222" s="294"/>
      <c r="Z222" s="294"/>
      <c r="AA222" s="294"/>
      <c r="AB222" s="294"/>
      <c r="AC222" s="294"/>
    </row>
    <row r="223" ht="15.75" customHeight="1">
      <c r="A223" s="294"/>
      <c r="B223" s="294"/>
      <c r="C223" s="294"/>
      <c r="D223" s="294"/>
      <c r="E223" s="294"/>
      <c r="F223" s="294"/>
      <c r="G223" s="295"/>
      <c r="H223" s="294"/>
      <c r="I223" s="294"/>
      <c r="J223" s="294"/>
      <c r="K223" s="294"/>
      <c r="L223" s="294"/>
      <c r="M223" s="294"/>
      <c r="N223" s="294"/>
      <c r="O223" s="294"/>
      <c r="P223" s="294"/>
      <c r="Q223" s="294"/>
      <c r="R223" s="294"/>
      <c r="S223" s="294"/>
      <c r="T223" s="294"/>
      <c r="U223" s="294"/>
      <c r="V223" s="294"/>
      <c r="W223" s="294"/>
      <c r="X223" s="294"/>
      <c r="Y223" s="294"/>
      <c r="Z223" s="294"/>
      <c r="AA223" s="294"/>
      <c r="AB223" s="294"/>
      <c r="AC223" s="294"/>
    </row>
    <row r="224" ht="15.75" customHeight="1">
      <c r="A224" s="294"/>
      <c r="B224" s="294"/>
      <c r="C224" s="294"/>
      <c r="D224" s="294"/>
      <c r="E224" s="294"/>
      <c r="F224" s="294"/>
      <c r="G224" s="295"/>
      <c r="H224" s="294"/>
      <c r="I224" s="294"/>
      <c r="J224" s="294"/>
      <c r="K224" s="294"/>
      <c r="L224" s="294"/>
      <c r="M224" s="294"/>
      <c r="N224" s="294"/>
      <c r="O224" s="294"/>
      <c r="P224" s="294"/>
      <c r="Q224" s="294"/>
      <c r="R224" s="294"/>
      <c r="S224" s="294"/>
      <c r="T224" s="294"/>
      <c r="U224" s="294"/>
      <c r="V224" s="294"/>
      <c r="W224" s="294"/>
      <c r="X224" s="294"/>
      <c r="Y224" s="294"/>
      <c r="Z224" s="294"/>
      <c r="AA224" s="294"/>
      <c r="AB224" s="294"/>
      <c r="AC224" s="294"/>
    </row>
    <row r="225" ht="15.75" customHeight="1">
      <c r="A225" s="294"/>
      <c r="B225" s="294"/>
      <c r="C225" s="294"/>
      <c r="D225" s="294"/>
      <c r="E225" s="294"/>
      <c r="F225" s="294"/>
      <c r="G225" s="295"/>
      <c r="H225" s="294"/>
      <c r="I225" s="294"/>
      <c r="J225" s="294"/>
      <c r="K225" s="294"/>
      <c r="L225" s="294"/>
      <c r="M225" s="294"/>
      <c r="N225" s="294"/>
      <c r="O225" s="294"/>
      <c r="P225" s="294"/>
      <c r="Q225" s="294"/>
      <c r="R225" s="294"/>
      <c r="S225" s="294"/>
      <c r="T225" s="294"/>
      <c r="U225" s="294"/>
      <c r="V225" s="294"/>
      <c r="W225" s="294"/>
      <c r="X225" s="294"/>
      <c r="Y225" s="294"/>
      <c r="Z225" s="294"/>
      <c r="AA225" s="294"/>
      <c r="AB225" s="294"/>
      <c r="AC225" s="294"/>
    </row>
    <row r="226" ht="15.75" customHeight="1">
      <c r="A226" s="294"/>
      <c r="B226" s="294"/>
      <c r="C226" s="294"/>
      <c r="D226" s="294"/>
      <c r="E226" s="294"/>
      <c r="F226" s="294"/>
      <c r="G226" s="295"/>
      <c r="H226" s="294"/>
      <c r="I226" s="294"/>
      <c r="J226" s="294"/>
      <c r="K226" s="294"/>
      <c r="L226" s="294"/>
      <c r="M226" s="294"/>
      <c r="N226" s="294"/>
      <c r="O226" s="294"/>
      <c r="P226" s="294"/>
      <c r="Q226" s="294"/>
      <c r="R226" s="294"/>
      <c r="S226" s="294"/>
      <c r="T226" s="294"/>
      <c r="U226" s="294"/>
      <c r="V226" s="294"/>
      <c r="W226" s="294"/>
      <c r="X226" s="294"/>
      <c r="Y226" s="294"/>
      <c r="Z226" s="294"/>
      <c r="AA226" s="294"/>
      <c r="AB226" s="294"/>
      <c r="AC226" s="294"/>
    </row>
    <row r="227" ht="15.75" customHeight="1">
      <c r="A227" s="294"/>
      <c r="B227" s="294"/>
      <c r="C227" s="294"/>
      <c r="D227" s="294"/>
      <c r="E227" s="294"/>
      <c r="F227" s="294"/>
      <c r="G227" s="295"/>
      <c r="H227" s="294"/>
      <c r="I227" s="294"/>
      <c r="J227" s="294"/>
      <c r="K227" s="294"/>
      <c r="L227" s="294"/>
      <c r="M227" s="294"/>
      <c r="N227" s="294"/>
      <c r="O227" s="294"/>
      <c r="P227" s="294"/>
      <c r="Q227" s="294"/>
      <c r="R227" s="294"/>
      <c r="S227" s="294"/>
      <c r="T227" s="294"/>
      <c r="U227" s="294"/>
      <c r="V227" s="294"/>
      <c r="W227" s="294"/>
      <c r="X227" s="294"/>
      <c r="Y227" s="294"/>
      <c r="Z227" s="294"/>
      <c r="AA227" s="294"/>
      <c r="AB227" s="294"/>
      <c r="AC227" s="294"/>
    </row>
    <row r="228" ht="15.75" customHeight="1">
      <c r="A228" s="294"/>
      <c r="B228" s="294"/>
      <c r="C228" s="294"/>
      <c r="D228" s="294"/>
      <c r="E228" s="294"/>
      <c r="F228" s="294"/>
      <c r="G228" s="295"/>
      <c r="H228" s="294"/>
      <c r="I228" s="294"/>
      <c r="J228" s="294"/>
      <c r="K228" s="294"/>
      <c r="L228" s="294"/>
      <c r="M228" s="294"/>
      <c r="N228" s="294"/>
      <c r="O228" s="294"/>
      <c r="P228" s="294"/>
      <c r="Q228" s="294"/>
      <c r="R228" s="294"/>
      <c r="S228" s="294"/>
      <c r="T228" s="294"/>
      <c r="U228" s="294"/>
      <c r="V228" s="294"/>
      <c r="W228" s="294"/>
      <c r="X228" s="294"/>
      <c r="Y228" s="294"/>
      <c r="Z228" s="294"/>
      <c r="AA228" s="294"/>
      <c r="AB228" s="294"/>
      <c r="AC228" s="294"/>
    </row>
    <row r="229" ht="15.75" customHeight="1">
      <c r="A229" s="294"/>
      <c r="B229" s="294"/>
      <c r="C229" s="294"/>
      <c r="D229" s="294"/>
      <c r="E229" s="294"/>
      <c r="F229" s="294"/>
      <c r="G229" s="295"/>
      <c r="H229" s="294"/>
      <c r="I229" s="294"/>
      <c r="J229" s="294"/>
      <c r="K229" s="294"/>
      <c r="L229" s="294"/>
      <c r="M229" s="294"/>
      <c r="N229" s="294"/>
      <c r="O229" s="294"/>
      <c r="P229" s="294"/>
      <c r="Q229" s="294"/>
      <c r="R229" s="294"/>
      <c r="S229" s="294"/>
      <c r="T229" s="294"/>
      <c r="U229" s="294"/>
      <c r="V229" s="294"/>
      <c r="W229" s="294"/>
      <c r="X229" s="294"/>
      <c r="Y229" s="294"/>
      <c r="Z229" s="294"/>
      <c r="AA229" s="294"/>
      <c r="AB229" s="294"/>
      <c r="AC229" s="294"/>
    </row>
    <row r="230" ht="15.75" customHeight="1">
      <c r="A230" s="294"/>
      <c r="B230" s="294"/>
      <c r="C230" s="294"/>
      <c r="D230" s="294"/>
      <c r="E230" s="294"/>
      <c r="F230" s="294"/>
      <c r="G230" s="295"/>
      <c r="H230" s="294"/>
      <c r="I230" s="294"/>
      <c r="J230" s="294"/>
      <c r="K230" s="294"/>
      <c r="L230" s="294"/>
      <c r="M230" s="294"/>
      <c r="N230" s="294"/>
      <c r="O230" s="294"/>
      <c r="P230" s="294"/>
      <c r="Q230" s="294"/>
      <c r="R230" s="294"/>
      <c r="S230" s="294"/>
      <c r="T230" s="294"/>
      <c r="U230" s="294"/>
      <c r="V230" s="294"/>
      <c r="W230" s="294"/>
      <c r="X230" s="294"/>
      <c r="Y230" s="294"/>
      <c r="Z230" s="294"/>
      <c r="AA230" s="294"/>
      <c r="AB230" s="294"/>
      <c r="AC230" s="294"/>
    </row>
    <row r="231" ht="15.75" customHeight="1">
      <c r="A231" s="294"/>
      <c r="B231" s="294"/>
      <c r="C231" s="294"/>
      <c r="D231" s="294"/>
      <c r="E231" s="294"/>
      <c r="F231" s="294"/>
      <c r="G231" s="295"/>
      <c r="H231" s="294"/>
      <c r="I231" s="294"/>
      <c r="J231" s="294"/>
      <c r="K231" s="294"/>
      <c r="L231" s="294"/>
      <c r="M231" s="294"/>
      <c r="N231" s="294"/>
      <c r="O231" s="294"/>
      <c r="P231" s="294"/>
      <c r="Q231" s="294"/>
      <c r="R231" s="294"/>
      <c r="S231" s="294"/>
      <c r="T231" s="294"/>
      <c r="U231" s="294"/>
      <c r="V231" s="294"/>
      <c r="W231" s="294"/>
      <c r="X231" s="294"/>
      <c r="Y231" s="294"/>
      <c r="Z231" s="294"/>
      <c r="AA231" s="294"/>
      <c r="AB231" s="294"/>
      <c r="AC231" s="294"/>
    </row>
    <row r="232" ht="15.75" customHeight="1">
      <c r="A232" s="294"/>
      <c r="B232" s="294"/>
      <c r="C232" s="294"/>
      <c r="D232" s="294"/>
      <c r="E232" s="294"/>
      <c r="F232" s="294"/>
      <c r="G232" s="295"/>
      <c r="H232" s="294"/>
      <c r="I232" s="294"/>
      <c r="J232" s="294"/>
      <c r="K232" s="294"/>
      <c r="L232" s="294"/>
      <c r="M232" s="294"/>
      <c r="N232" s="294"/>
      <c r="O232" s="294"/>
      <c r="P232" s="294"/>
      <c r="Q232" s="294"/>
      <c r="R232" s="294"/>
      <c r="S232" s="294"/>
      <c r="T232" s="294"/>
      <c r="U232" s="294"/>
      <c r="V232" s="294"/>
      <c r="W232" s="294"/>
      <c r="X232" s="294"/>
      <c r="Y232" s="294"/>
      <c r="Z232" s="294"/>
      <c r="AA232" s="294"/>
      <c r="AB232" s="294"/>
      <c r="AC232" s="294"/>
    </row>
    <row r="233" ht="15.75" customHeight="1">
      <c r="A233" s="294"/>
      <c r="B233" s="294"/>
      <c r="C233" s="294"/>
      <c r="D233" s="294"/>
      <c r="E233" s="294"/>
      <c r="F233" s="294"/>
      <c r="G233" s="295"/>
      <c r="H233" s="294"/>
      <c r="I233" s="294"/>
      <c r="J233" s="294"/>
      <c r="K233" s="294"/>
      <c r="L233" s="294"/>
      <c r="M233" s="294"/>
      <c r="N233" s="294"/>
      <c r="O233" s="294"/>
      <c r="P233" s="294"/>
      <c r="Q233" s="294"/>
      <c r="R233" s="294"/>
      <c r="S233" s="294"/>
      <c r="T233" s="294"/>
      <c r="U233" s="294"/>
      <c r="V233" s="294"/>
      <c r="W233" s="294"/>
      <c r="X233" s="294"/>
      <c r="Y233" s="294"/>
      <c r="Z233" s="294"/>
      <c r="AA233" s="294"/>
      <c r="AB233" s="294"/>
      <c r="AC233" s="294"/>
    </row>
    <row r="234" ht="15.75" customHeight="1">
      <c r="A234" s="294"/>
      <c r="B234" s="294"/>
      <c r="C234" s="294"/>
      <c r="D234" s="294"/>
      <c r="E234" s="294"/>
      <c r="F234" s="294"/>
      <c r="G234" s="295"/>
      <c r="H234" s="294"/>
      <c r="I234" s="294"/>
      <c r="J234" s="294"/>
      <c r="K234" s="294"/>
      <c r="L234" s="294"/>
      <c r="M234" s="294"/>
      <c r="N234" s="294"/>
      <c r="O234" s="294"/>
      <c r="P234" s="294"/>
      <c r="Q234" s="294"/>
      <c r="R234" s="294"/>
      <c r="S234" s="294"/>
      <c r="T234" s="294"/>
      <c r="U234" s="294"/>
      <c r="V234" s="294"/>
      <c r="W234" s="294"/>
      <c r="X234" s="294"/>
      <c r="Y234" s="294"/>
      <c r="Z234" s="294"/>
      <c r="AA234" s="294"/>
      <c r="AB234" s="294"/>
      <c r="AC234" s="294"/>
    </row>
    <row r="235" ht="15.75" customHeight="1">
      <c r="A235" s="294"/>
      <c r="B235" s="294"/>
      <c r="C235" s="294"/>
      <c r="D235" s="294"/>
      <c r="E235" s="294"/>
      <c r="F235" s="294"/>
      <c r="G235" s="295"/>
      <c r="H235" s="294"/>
      <c r="I235" s="294"/>
      <c r="J235" s="294"/>
      <c r="K235" s="294"/>
      <c r="L235" s="294"/>
      <c r="M235" s="294"/>
      <c r="N235" s="294"/>
      <c r="O235" s="294"/>
      <c r="P235" s="294"/>
      <c r="Q235" s="294"/>
      <c r="R235" s="294"/>
      <c r="S235" s="294"/>
      <c r="T235" s="294"/>
      <c r="U235" s="294"/>
      <c r="V235" s="294"/>
      <c r="W235" s="294"/>
      <c r="X235" s="294"/>
      <c r="Y235" s="294"/>
      <c r="Z235" s="294"/>
      <c r="AA235" s="294"/>
      <c r="AB235" s="294"/>
      <c r="AC235" s="294"/>
    </row>
    <row r="236" ht="15.75" customHeight="1">
      <c r="A236" s="294"/>
      <c r="B236" s="294"/>
      <c r="C236" s="294"/>
      <c r="D236" s="294"/>
      <c r="E236" s="294"/>
      <c r="F236" s="294"/>
      <c r="G236" s="295"/>
      <c r="H236" s="294"/>
      <c r="I236" s="294"/>
      <c r="J236" s="294"/>
      <c r="K236" s="294"/>
      <c r="L236" s="294"/>
      <c r="M236" s="294"/>
      <c r="N236" s="294"/>
      <c r="O236" s="294"/>
      <c r="P236" s="294"/>
      <c r="Q236" s="294"/>
      <c r="R236" s="294"/>
      <c r="S236" s="294"/>
      <c r="T236" s="294"/>
      <c r="U236" s="294"/>
      <c r="V236" s="294"/>
      <c r="W236" s="294"/>
      <c r="X236" s="294"/>
      <c r="Y236" s="294"/>
      <c r="Z236" s="294"/>
      <c r="AA236" s="294"/>
      <c r="AB236" s="294"/>
      <c r="AC236" s="294"/>
    </row>
    <row r="237" ht="15.75" customHeight="1">
      <c r="A237" s="294"/>
      <c r="B237" s="294"/>
      <c r="C237" s="294"/>
      <c r="D237" s="294"/>
      <c r="E237" s="294"/>
      <c r="F237" s="294"/>
      <c r="G237" s="295"/>
      <c r="H237" s="294"/>
      <c r="I237" s="294"/>
      <c r="J237" s="294"/>
      <c r="K237" s="294"/>
      <c r="L237" s="294"/>
      <c r="M237" s="294"/>
      <c r="N237" s="294"/>
      <c r="O237" s="294"/>
      <c r="P237" s="294"/>
      <c r="Q237" s="294"/>
      <c r="R237" s="294"/>
      <c r="S237" s="294"/>
      <c r="T237" s="294"/>
      <c r="U237" s="294"/>
      <c r="V237" s="294"/>
      <c r="W237" s="294"/>
      <c r="X237" s="294"/>
      <c r="Y237" s="294"/>
      <c r="Z237" s="294"/>
      <c r="AA237" s="294"/>
      <c r="AB237" s="294"/>
      <c r="AC237" s="294"/>
    </row>
    <row r="238" ht="15.75" customHeight="1">
      <c r="A238" s="294"/>
      <c r="B238" s="294"/>
      <c r="C238" s="294"/>
      <c r="D238" s="294"/>
      <c r="E238" s="294"/>
      <c r="F238" s="294"/>
      <c r="G238" s="295"/>
      <c r="H238" s="294"/>
      <c r="I238" s="294"/>
      <c r="J238" s="294"/>
      <c r="K238" s="294"/>
      <c r="L238" s="294"/>
      <c r="M238" s="294"/>
      <c r="N238" s="294"/>
      <c r="O238" s="294"/>
      <c r="P238" s="294"/>
      <c r="Q238" s="294"/>
      <c r="R238" s="294"/>
      <c r="S238" s="294"/>
      <c r="T238" s="294"/>
      <c r="U238" s="294"/>
      <c r="V238" s="294"/>
      <c r="W238" s="294"/>
      <c r="X238" s="294"/>
      <c r="Y238" s="294"/>
      <c r="Z238" s="294"/>
      <c r="AA238" s="294"/>
      <c r="AB238" s="294"/>
      <c r="AC238" s="294"/>
    </row>
    <row r="239" ht="15.75" customHeight="1">
      <c r="A239" s="294"/>
      <c r="B239" s="294"/>
      <c r="C239" s="294"/>
      <c r="D239" s="294"/>
      <c r="E239" s="294"/>
      <c r="F239" s="294"/>
      <c r="G239" s="295"/>
      <c r="H239" s="294"/>
      <c r="I239" s="294"/>
      <c r="J239" s="294"/>
      <c r="K239" s="294"/>
      <c r="L239" s="294"/>
      <c r="M239" s="294"/>
      <c r="N239" s="294"/>
      <c r="O239" s="294"/>
      <c r="P239" s="294"/>
      <c r="Q239" s="294"/>
      <c r="R239" s="294"/>
      <c r="S239" s="294"/>
      <c r="T239" s="294"/>
      <c r="U239" s="294"/>
      <c r="V239" s="294"/>
      <c r="W239" s="294"/>
      <c r="X239" s="294"/>
      <c r="Y239" s="294"/>
      <c r="Z239" s="294"/>
      <c r="AA239" s="294"/>
      <c r="AB239" s="294"/>
      <c r="AC239" s="294"/>
    </row>
    <row r="240" ht="15.75" customHeight="1">
      <c r="A240" s="294"/>
      <c r="B240" s="294"/>
      <c r="C240" s="294"/>
      <c r="D240" s="294"/>
      <c r="E240" s="294"/>
      <c r="F240" s="294"/>
      <c r="G240" s="295"/>
      <c r="H240" s="294"/>
      <c r="I240" s="294"/>
      <c r="J240" s="294"/>
      <c r="K240" s="294"/>
      <c r="L240" s="294"/>
      <c r="M240" s="294"/>
      <c r="N240" s="294"/>
      <c r="O240" s="294"/>
      <c r="P240" s="294"/>
      <c r="Q240" s="294"/>
      <c r="R240" s="294"/>
      <c r="S240" s="294"/>
      <c r="T240" s="294"/>
      <c r="U240" s="294"/>
      <c r="V240" s="294"/>
      <c r="W240" s="294"/>
      <c r="X240" s="294"/>
      <c r="Y240" s="294"/>
      <c r="Z240" s="294"/>
      <c r="AA240" s="294"/>
      <c r="AB240" s="294"/>
      <c r="AC240" s="294"/>
    </row>
    <row r="241" ht="15.75" customHeight="1">
      <c r="A241" s="294"/>
      <c r="B241" s="294"/>
      <c r="C241" s="294"/>
      <c r="D241" s="294"/>
      <c r="E241" s="294"/>
      <c r="F241" s="294"/>
      <c r="G241" s="295"/>
      <c r="H241" s="294"/>
      <c r="I241" s="294"/>
      <c r="J241" s="294"/>
      <c r="K241" s="294"/>
      <c r="L241" s="294"/>
      <c r="M241" s="294"/>
      <c r="N241" s="294"/>
      <c r="O241" s="294"/>
      <c r="P241" s="294"/>
      <c r="Q241" s="294"/>
      <c r="R241" s="294"/>
      <c r="S241" s="294"/>
      <c r="T241" s="294"/>
      <c r="U241" s="294"/>
      <c r="V241" s="294"/>
      <c r="W241" s="294"/>
      <c r="X241" s="294"/>
      <c r="Y241" s="294"/>
      <c r="Z241" s="294"/>
      <c r="AA241" s="294"/>
      <c r="AB241" s="294"/>
      <c r="AC241" s="294"/>
    </row>
    <row r="242" ht="15.75" customHeight="1">
      <c r="A242" s="294"/>
      <c r="B242" s="294"/>
      <c r="C242" s="294"/>
      <c r="D242" s="294"/>
      <c r="E242" s="294"/>
      <c r="F242" s="294"/>
      <c r="G242" s="295"/>
      <c r="H242" s="294"/>
      <c r="I242" s="294"/>
      <c r="J242" s="294"/>
      <c r="K242" s="294"/>
      <c r="L242" s="294"/>
      <c r="M242" s="294"/>
      <c r="N242" s="294"/>
      <c r="O242" s="294"/>
      <c r="P242" s="294"/>
      <c r="Q242" s="294"/>
      <c r="R242" s="294"/>
      <c r="S242" s="294"/>
      <c r="T242" s="294"/>
      <c r="U242" s="294"/>
      <c r="V242" s="294"/>
      <c r="W242" s="294"/>
      <c r="X242" s="294"/>
      <c r="Y242" s="294"/>
      <c r="Z242" s="294"/>
      <c r="AA242" s="294"/>
      <c r="AB242" s="294"/>
      <c r="AC242" s="294"/>
    </row>
    <row r="243" ht="15.75" customHeight="1">
      <c r="A243" s="294"/>
      <c r="B243" s="294"/>
      <c r="C243" s="294"/>
      <c r="D243" s="294"/>
      <c r="E243" s="294"/>
      <c r="F243" s="294"/>
      <c r="G243" s="295"/>
      <c r="H243" s="294"/>
      <c r="I243" s="294"/>
      <c r="J243" s="294"/>
      <c r="K243" s="294"/>
      <c r="L243" s="294"/>
      <c r="M243" s="294"/>
      <c r="N243" s="294"/>
      <c r="O243" s="294"/>
      <c r="P243" s="294"/>
      <c r="Q243" s="294"/>
      <c r="R243" s="294"/>
      <c r="S243" s="294"/>
      <c r="T243" s="294"/>
      <c r="U243" s="294"/>
      <c r="V243" s="294"/>
      <c r="W243" s="294"/>
      <c r="X243" s="294"/>
      <c r="Y243" s="294"/>
      <c r="Z243" s="294"/>
      <c r="AA243" s="294"/>
      <c r="AB243" s="294"/>
      <c r="AC243" s="294"/>
    </row>
    <row r="244" ht="15.75" customHeight="1">
      <c r="A244" s="294"/>
      <c r="B244" s="294"/>
      <c r="C244" s="294"/>
      <c r="D244" s="294"/>
      <c r="E244" s="294"/>
      <c r="F244" s="294"/>
      <c r="G244" s="295"/>
      <c r="H244" s="294"/>
      <c r="I244" s="294"/>
      <c r="J244" s="294"/>
      <c r="K244" s="294"/>
      <c r="L244" s="294"/>
      <c r="M244" s="294"/>
      <c r="N244" s="294"/>
      <c r="O244" s="294"/>
      <c r="P244" s="294"/>
      <c r="Q244" s="294"/>
      <c r="R244" s="294"/>
      <c r="S244" s="294"/>
      <c r="T244" s="294"/>
      <c r="U244" s="294"/>
      <c r="V244" s="294"/>
      <c r="W244" s="294"/>
      <c r="X244" s="294"/>
      <c r="Y244" s="294"/>
      <c r="Z244" s="294"/>
      <c r="AA244" s="294"/>
      <c r="AB244" s="294"/>
      <c r="AC244" s="294"/>
    </row>
    <row r="245" ht="15.75" customHeight="1">
      <c r="A245" s="294"/>
      <c r="B245" s="294"/>
      <c r="C245" s="294"/>
      <c r="D245" s="294"/>
      <c r="E245" s="294"/>
      <c r="F245" s="294"/>
      <c r="G245" s="295"/>
      <c r="H245" s="294"/>
      <c r="I245" s="294"/>
      <c r="J245" s="294"/>
      <c r="K245" s="294"/>
      <c r="L245" s="294"/>
      <c r="M245" s="294"/>
      <c r="N245" s="294"/>
      <c r="O245" s="294"/>
      <c r="P245" s="294"/>
      <c r="Q245" s="294"/>
      <c r="R245" s="294"/>
      <c r="S245" s="294"/>
      <c r="T245" s="294"/>
      <c r="U245" s="294"/>
      <c r="V245" s="294"/>
      <c r="W245" s="294"/>
      <c r="X245" s="294"/>
      <c r="Y245" s="294"/>
      <c r="Z245" s="294"/>
      <c r="AA245" s="294"/>
      <c r="AB245" s="294"/>
      <c r="AC245" s="294"/>
    </row>
    <row r="246" ht="15.75" customHeight="1">
      <c r="A246" s="294"/>
      <c r="B246" s="294"/>
      <c r="C246" s="294"/>
      <c r="D246" s="294"/>
      <c r="E246" s="294"/>
      <c r="F246" s="294"/>
      <c r="G246" s="295"/>
      <c r="H246" s="294"/>
      <c r="I246" s="294"/>
      <c r="J246" s="294"/>
      <c r="K246" s="294"/>
      <c r="L246" s="294"/>
      <c r="M246" s="294"/>
      <c r="N246" s="294"/>
      <c r="O246" s="294"/>
      <c r="P246" s="294"/>
      <c r="Q246" s="294"/>
      <c r="R246" s="294"/>
      <c r="S246" s="294"/>
      <c r="T246" s="294"/>
      <c r="U246" s="294"/>
      <c r="V246" s="294"/>
      <c r="W246" s="294"/>
      <c r="X246" s="294"/>
      <c r="Y246" s="294"/>
      <c r="Z246" s="294"/>
      <c r="AA246" s="294"/>
      <c r="AB246" s="294"/>
      <c r="AC246" s="294"/>
    </row>
    <row r="247" ht="15.75" customHeight="1">
      <c r="A247" s="294"/>
      <c r="B247" s="294"/>
      <c r="C247" s="294"/>
      <c r="D247" s="294"/>
      <c r="E247" s="294"/>
      <c r="F247" s="294"/>
      <c r="G247" s="295"/>
      <c r="H247" s="294"/>
      <c r="I247" s="294"/>
      <c r="J247" s="294"/>
      <c r="K247" s="294"/>
      <c r="L247" s="294"/>
      <c r="M247" s="294"/>
      <c r="N247" s="294"/>
      <c r="O247" s="294"/>
      <c r="P247" s="294"/>
      <c r="Q247" s="294"/>
      <c r="R247" s="294"/>
      <c r="S247" s="294"/>
      <c r="T247" s="294"/>
      <c r="U247" s="294"/>
      <c r="V247" s="294"/>
      <c r="W247" s="294"/>
      <c r="X247" s="294"/>
      <c r="Y247" s="294"/>
      <c r="Z247" s="294"/>
      <c r="AA247" s="294"/>
      <c r="AB247" s="294"/>
      <c r="AC247" s="294"/>
    </row>
    <row r="248" ht="15.75" customHeight="1">
      <c r="A248" s="294"/>
      <c r="B248" s="294"/>
      <c r="C248" s="294"/>
      <c r="D248" s="294"/>
      <c r="E248" s="294"/>
      <c r="F248" s="294"/>
      <c r="G248" s="295"/>
      <c r="H248" s="294"/>
      <c r="I248" s="294"/>
      <c r="J248" s="294"/>
      <c r="K248" s="294"/>
      <c r="L248" s="294"/>
      <c r="M248" s="294"/>
      <c r="N248" s="294"/>
      <c r="O248" s="294"/>
      <c r="P248" s="294"/>
      <c r="Q248" s="294"/>
      <c r="R248" s="294"/>
      <c r="S248" s="294"/>
      <c r="T248" s="294"/>
      <c r="U248" s="294"/>
      <c r="V248" s="294"/>
      <c r="W248" s="294"/>
      <c r="X248" s="294"/>
      <c r="Y248" s="294"/>
      <c r="Z248" s="294"/>
      <c r="AA248" s="294"/>
      <c r="AB248" s="294"/>
      <c r="AC248" s="294"/>
    </row>
    <row r="249" ht="15.75" customHeight="1">
      <c r="A249" s="294"/>
      <c r="B249" s="294"/>
      <c r="C249" s="294"/>
      <c r="D249" s="294"/>
      <c r="E249" s="294"/>
      <c r="F249" s="294"/>
      <c r="G249" s="295"/>
      <c r="H249" s="294"/>
      <c r="I249" s="294"/>
      <c r="J249" s="294"/>
      <c r="K249" s="294"/>
      <c r="L249" s="294"/>
      <c r="M249" s="294"/>
      <c r="N249" s="294"/>
      <c r="O249" s="294"/>
      <c r="P249" s="294"/>
      <c r="Q249" s="294"/>
      <c r="R249" s="294"/>
      <c r="S249" s="294"/>
      <c r="T249" s="294"/>
      <c r="U249" s="294"/>
      <c r="V249" s="294"/>
      <c r="W249" s="294"/>
      <c r="X249" s="294"/>
      <c r="Y249" s="294"/>
      <c r="Z249" s="294"/>
      <c r="AA249" s="294"/>
      <c r="AB249" s="294"/>
      <c r="AC249" s="294"/>
    </row>
    <row r="250" ht="15.75" customHeight="1">
      <c r="A250" s="294"/>
      <c r="B250" s="294"/>
      <c r="C250" s="294"/>
      <c r="D250" s="294"/>
      <c r="E250" s="294"/>
      <c r="F250" s="294"/>
      <c r="G250" s="295"/>
      <c r="H250" s="294"/>
      <c r="I250" s="294"/>
      <c r="J250" s="294"/>
      <c r="K250" s="294"/>
      <c r="L250" s="294"/>
      <c r="M250" s="294"/>
      <c r="N250" s="294"/>
      <c r="O250" s="294"/>
      <c r="P250" s="294"/>
      <c r="Q250" s="294"/>
      <c r="R250" s="294"/>
      <c r="S250" s="294"/>
      <c r="T250" s="294"/>
      <c r="U250" s="294"/>
      <c r="V250" s="294"/>
      <c r="W250" s="294"/>
      <c r="X250" s="294"/>
      <c r="Y250" s="294"/>
      <c r="Z250" s="294"/>
      <c r="AA250" s="294"/>
      <c r="AB250" s="294"/>
      <c r="AC250" s="294"/>
    </row>
    <row r="251" ht="15.75" customHeight="1">
      <c r="A251" s="294"/>
      <c r="B251" s="294"/>
      <c r="C251" s="294"/>
      <c r="D251" s="294"/>
      <c r="E251" s="294"/>
      <c r="F251" s="294"/>
      <c r="G251" s="295"/>
      <c r="H251" s="294"/>
      <c r="I251" s="294"/>
      <c r="J251" s="294"/>
      <c r="K251" s="294"/>
      <c r="L251" s="294"/>
      <c r="M251" s="294"/>
      <c r="N251" s="294"/>
      <c r="O251" s="294"/>
      <c r="P251" s="294"/>
      <c r="Q251" s="294"/>
      <c r="R251" s="294"/>
      <c r="S251" s="294"/>
      <c r="T251" s="294"/>
      <c r="U251" s="294"/>
      <c r="V251" s="294"/>
      <c r="W251" s="294"/>
      <c r="X251" s="294"/>
      <c r="Y251" s="294"/>
      <c r="Z251" s="294"/>
      <c r="AA251" s="294"/>
      <c r="AB251" s="294"/>
      <c r="AC251" s="294"/>
    </row>
    <row r="252" ht="15.75" customHeight="1">
      <c r="A252" s="294"/>
      <c r="B252" s="294"/>
      <c r="C252" s="294"/>
      <c r="D252" s="294"/>
      <c r="E252" s="294"/>
      <c r="F252" s="294"/>
      <c r="G252" s="295"/>
      <c r="H252" s="294"/>
      <c r="I252" s="294"/>
      <c r="J252" s="294"/>
      <c r="K252" s="294"/>
      <c r="L252" s="294"/>
      <c r="M252" s="294"/>
      <c r="N252" s="294"/>
      <c r="O252" s="294"/>
      <c r="P252" s="294"/>
      <c r="Q252" s="294"/>
      <c r="R252" s="294"/>
      <c r="S252" s="294"/>
      <c r="T252" s="294"/>
      <c r="U252" s="294"/>
      <c r="V252" s="294"/>
      <c r="W252" s="294"/>
      <c r="X252" s="294"/>
      <c r="Y252" s="294"/>
      <c r="Z252" s="294"/>
      <c r="AA252" s="294"/>
      <c r="AB252" s="294"/>
      <c r="AC252" s="294"/>
    </row>
    <row r="253" ht="15.75" customHeight="1">
      <c r="A253" s="294"/>
      <c r="B253" s="294"/>
      <c r="C253" s="294"/>
      <c r="D253" s="294"/>
      <c r="E253" s="294"/>
      <c r="F253" s="294"/>
      <c r="G253" s="295"/>
      <c r="H253" s="294"/>
      <c r="I253" s="294"/>
      <c r="J253" s="294"/>
      <c r="K253" s="294"/>
      <c r="L253" s="294"/>
      <c r="M253" s="294"/>
      <c r="N253" s="294"/>
      <c r="O253" s="294"/>
      <c r="P253" s="294"/>
      <c r="Q253" s="294"/>
      <c r="R253" s="294"/>
      <c r="S253" s="294"/>
      <c r="T253" s="294"/>
      <c r="U253" s="294"/>
      <c r="V253" s="294"/>
      <c r="W253" s="294"/>
      <c r="X253" s="294"/>
      <c r="Y253" s="294"/>
      <c r="Z253" s="294"/>
      <c r="AA253" s="294"/>
      <c r="AB253" s="294"/>
      <c r="AC253" s="294"/>
    </row>
    <row r="254" ht="15.75" customHeight="1">
      <c r="A254" s="294"/>
      <c r="B254" s="294"/>
      <c r="C254" s="294"/>
      <c r="D254" s="294"/>
      <c r="E254" s="294"/>
      <c r="F254" s="294"/>
      <c r="G254" s="295"/>
      <c r="H254" s="294"/>
      <c r="I254" s="294"/>
      <c r="J254" s="294"/>
      <c r="K254" s="294"/>
      <c r="L254" s="294"/>
      <c r="M254" s="294"/>
      <c r="N254" s="294"/>
      <c r="O254" s="294"/>
      <c r="P254" s="294"/>
      <c r="Q254" s="294"/>
      <c r="R254" s="294"/>
      <c r="S254" s="294"/>
      <c r="T254" s="294"/>
      <c r="U254" s="294"/>
      <c r="V254" s="294"/>
      <c r="W254" s="294"/>
      <c r="X254" s="294"/>
      <c r="Y254" s="294"/>
      <c r="Z254" s="294"/>
      <c r="AA254" s="294"/>
      <c r="AB254" s="294"/>
      <c r="AC254" s="294"/>
    </row>
    <row r="255" ht="15.75" customHeight="1">
      <c r="A255" s="294"/>
      <c r="B255" s="294"/>
      <c r="C255" s="294"/>
      <c r="D255" s="294"/>
      <c r="E255" s="294"/>
      <c r="F255" s="294"/>
      <c r="G255" s="295"/>
      <c r="H255" s="294"/>
      <c r="I255" s="294"/>
      <c r="J255" s="294"/>
      <c r="K255" s="294"/>
      <c r="L255" s="294"/>
      <c r="M255" s="294"/>
      <c r="N255" s="294"/>
      <c r="O255" s="294"/>
      <c r="P255" s="294"/>
      <c r="Q255" s="294"/>
      <c r="R255" s="294"/>
      <c r="S255" s="294"/>
      <c r="T255" s="294"/>
      <c r="U255" s="294"/>
      <c r="V255" s="294"/>
      <c r="W255" s="294"/>
      <c r="X255" s="294"/>
      <c r="Y255" s="294"/>
      <c r="Z255" s="294"/>
      <c r="AA255" s="294"/>
      <c r="AB255" s="294"/>
      <c r="AC255" s="294"/>
    </row>
    <row r="256" ht="15.75" customHeight="1">
      <c r="A256" s="294"/>
      <c r="B256" s="294"/>
      <c r="C256" s="294"/>
      <c r="D256" s="294"/>
      <c r="E256" s="294"/>
      <c r="F256" s="294"/>
      <c r="G256" s="295"/>
      <c r="H256" s="294"/>
      <c r="I256" s="294"/>
      <c r="J256" s="294"/>
      <c r="K256" s="294"/>
      <c r="L256" s="294"/>
      <c r="M256" s="294"/>
      <c r="N256" s="294"/>
      <c r="O256" s="294"/>
      <c r="P256" s="294"/>
      <c r="Q256" s="294"/>
      <c r="R256" s="294"/>
      <c r="S256" s="294"/>
      <c r="T256" s="294"/>
      <c r="U256" s="294"/>
      <c r="V256" s="294"/>
      <c r="W256" s="294"/>
      <c r="X256" s="294"/>
      <c r="Y256" s="294"/>
      <c r="Z256" s="294"/>
      <c r="AA256" s="294"/>
      <c r="AB256" s="294"/>
      <c r="AC256" s="294"/>
    </row>
    <row r="257" ht="15.75" customHeight="1">
      <c r="A257" s="294"/>
      <c r="B257" s="294"/>
      <c r="C257" s="294"/>
      <c r="D257" s="294"/>
      <c r="E257" s="294"/>
      <c r="F257" s="294"/>
      <c r="G257" s="295"/>
      <c r="H257" s="294"/>
      <c r="I257" s="294"/>
      <c r="J257" s="294"/>
      <c r="K257" s="294"/>
      <c r="L257" s="294"/>
      <c r="M257" s="294"/>
      <c r="N257" s="294"/>
      <c r="O257" s="294"/>
      <c r="P257" s="294"/>
      <c r="Q257" s="294"/>
      <c r="R257" s="294"/>
      <c r="S257" s="294"/>
      <c r="T257" s="294"/>
      <c r="U257" s="294"/>
      <c r="V257" s="294"/>
      <c r="W257" s="294"/>
      <c r="X257" s="294"/>
      <c r="Y257" s="294"/>
      <c r="Z257" s="294"/>
      <c r="AA257" s="294"/>
      <c r="AB257" s="294"/>
      <c r="AC257" s="294"/>
    </row>
    <row r="258" ht="15.75" customHeight="1">
      <c r="A258" s="294"/>
      <c r="B258" s="294"/>
      <c r="C258" s="294"/>
      <c r="D258" s="294"/>
      <c r="E258" s="294"/>
      <c r="F258" s="294"/>
      <c r="G258" s="295"/>
      <c r="H258" s="294"/>
      <c r="I258" s="294"/>
      <c r="J258" s="294"/>
      <c r="K258" s="294"/>
      <c r="L258" s="294"/>
      <c r="M258" s="294"/>
      <c r="N258" s="294"/>
      <c r="O258" s="294"/>
      <c r="P258" s="294"/>
      <c r="Q258" s="294"/>
      <c r="R258" s="294"/>
      <c r="S258" s="294"/>
      <c r="T258" s="294"/>
      <c r="U258" s="294"/>
      <c r="V258" s="294"/>
      <c r="W258" s="294"/>
      <c r="X258" s="294"/>
      <c r="Y258" s="294"/>
      <c r="Z258" s="294"/>
      <c r="AA258" s="294"/>
      <c r="AB258" s="294"/>
      <c r="AC258" s="294"/>
    </row>
    <row r="259" ht="15.75" customHeight="1">
      <c r="A259" s="294"/>
      <c r="B259" s="294"/>
      <c r="C259" s="294"/>
      <c r="D259" s="294"/>
      <c r="E259" s="294"/>
      <c r="F259" s="294"/>
      <c r="G259" s="295"/>
      <c r="H259" s="294"/>
      <c r="I259" s="294"/>
      <c r="J259" s="294"/>
      <c r="K259" s="294"/>
      <c r="L259" s="294"/>
      <c r="M259" s="294"/>
      <c r="N259" s="294"/>
      <c r="O259" s="294"/>
      <c r="P259" s="294"/>
      <c r="Q259" s="294"/>
      <c r="R259" s="294"/>
      <c r="S259" s="294"/>
      <c r="T259" s="294"/>
      <c r="U259" s="294"/>
      <c r="V259" s="294"/>
      <c r="W259" s="294"/>
      <c r="X259" s="294"/>
      <c r="Y259" s="294"/>
      <c r="Z259" s="294"/>
      <c r="AA259" s="294"/>
      <c r="AB259" s="294"/>
      <c r="AC259" s="294"/>
    </row>
    <row r="260" ht="15.75" customHeight="1">
      <c r="A260" s="294"/>
      <c r="B260" s="294"/>
      <c r="C260" s="294"/>
      <c r="D260" s="294"/>
      <c r="E260" s="294"/>
      <c r="F260" s="294"/>
      <c r="G260" s="295"/>
      <c r="H260" s="294"/>
      <c r="I260" s="294"/>
      <c r="J260" s="294"/>
      <c r="K260" s="294"/>
      <c r="L260" s="294"/>
      <c r="M260" s="294"/>
      <c r="N260" s="294"/>
      <c r="O260" s="294"/>
      <c r="P260" s="294"/>
      <c r="Q260" s="294"/>
      <c r="R260" s="294"/>
      <c r="S260" s="294"/>
      <c r="T260" s="294"/>
      <c r="U260" s="294"/>
      <c r="V260" s="294"/>
      <c r="W260" s="294"/>
      <c r="X260" s="294"/>
      <c r="Y260" s="294"/>
      <c r="Z260" s="294"/>
      <c r="AA260" s="294"/>
      <c r="AB260" s="294"/>
      <c r="AC260" s="294"/>
    </row>
    <row r="261" ht="15.75" customHeight="1">
      <c r="A261" s="294"/>
      <c r="B261" s="294"/>
      <c r="C261" s="294"/>
      <c r="D261" s="294"/>
      <c r="E261" s="294"/>
      <c r="F261" s="294"/>
      <c r="G261" s="295"/>
      <c r="H261" s="294"/>
      <c r="I261" s="294"/>
      <c r="J261" s="294"/>
      <c r="K261" s="294"/>
      <c r="L261" s="294"/>
      <c r="M261" s="294"/>
      <c r="N261" s="294"/>
      <c r="O261" s="294"/>
      <c r="P261" s="294"/>
      <c r="Q261" s="294"/>
      <c r="R261" s="294"/>
      <c r="S261" s="294"/>
      <c r="T261" s="294"/>
      <c r="U261" s="294"/>
      <c r="V261" s="294"/>
      <c r="W261" s="294"/>
      <c r="X261" s="294"/>
      <c r="Y261" s="294"/>
      <c r="Z261" s="294"/>
      <c r="AA261" s="294"/>
      <c r="AB261" s="294"/>
      <c r="AC261" s="294"/>
    </row>
    <row r="262" ht="15.75" customHeight="1">
      <c r="A262" s="294"/>
      <c r="B262" s="294"/>
      <c r="C262" s="294"/>
      <c r="D262" s="294"/>
      <c r="E262" s="294"/>
      <c r="F262" s="294"/>
      <c r="G262" s="295"/>
      <c r="H262" s="294"/>
      <c r="I262" s="294"/>
      <c r="J262" s="294"/>
      <c r="K262" s="294"/>
      <c r="L262" s="294"/>
      <c r="M262" s="294"/>
      <c r="N262" s="294"/>
      <c r="O262" s="294"/>
      <c r="P262" s="294"/>
      <c r="Q262" s="294"/>
      <c r="R262" s="294"/>
      <c r="S262" s="294"/>
      <c r="T262" s="294"/>
      <c r="U262" s="294"/>
      <c r="V262" s="294"/>
      <c r="W262" s="294"/>
      <c r="X262" s="294"/>
      <c r="Y262" s="294"/>
      <c r="Z262" s="294"/>
      <c r="AA262" s="294"/>
      <c r="AB262" s="294"/>
      <c r="AC262" s="294"/>
    </row>
    <row r="263" ht="15.75" customHeight="1">
      <c r="A263" s="294"/>
      <c r="B263" s="294"/>
      <c r="C263" s="294"/>
      <c r="D263" s="294"/>
      <c r="E263" s="294"/>
      <c r="F263" s="294"/>
      <c r="G263" s="295"/>
      <c r="H263" s="294"/>
      <c r="I263" s="294"/>
      <c r="J263" s="294"/>
      <c r="K263" s="294"/>
      <c r="L263" s="294"/>
      <c r="M263" s="294"/>
      <c r="N263" s="294"/>
      <c r="O263" s="294"/>
      <c r="P263" s="294"/>
      <c r="Q263" s="294"/>
      <c r="R263" s="294"/>
      <c r="S263" s="294"/>
      <c r="T263" s="294"/>
      <c r="U263" s="294"/>
      <c r="V263" s="294"/>
      <c r="W263" s="294"/>
      <c r="X263" s="294"/>
      <c r="Y263" s="294"/>
      <c r="Z263" s="294"/>
      <c r="AA263" s="294"/>
      <c r="AB263" s="294"/>
      <c r="AC263" s="294"/>
    </row>
    <row r="264" ht="15.75" customHeight="1">
      <c r="A264" s="294"/>
      <c r="B264" s="294"/>
      <c r="C264" s="294"/>
      <c r="D264" s="294"/>
      <c r="E264" s="294"/>
      <c r="F264" s="294"/>
      <c r="G264" s="295"/>
      <c r="H264" s="294"/>
      <c r="I264" s="294"/>
      <c r="J264" s="294"/>
      <c r="K264" s="294"/>
      <c r="L264" s="294"/>
      <c r="M264" s="294"/>
      <c r="N264" s="294"/>
      <c r="O264" s="294"/>
      <c r="P264" s="294"/>
      <c r="Q264" s="294"/>
      <c r="R264" s="294"/>
      <c r="S264" s="294"/>
      <c r="T264" s="294"/>
      <c r="U264" s="294"/>
      <c r="V264" s="294"/>
      <c r="W264" s="294"/>
      <c r="X264" s="294"/>
      <c r="Y264" s="294"/>
      <c r="Z264" s="294"/>
      <c r="AA264" s="294"/>
      <c r="AB264" s="294"/>
      <c r="AC264" s="294"/>
    </row>
    <row r="265" ht="15.75" customHeight="1">
      <c r="A265" s="294"/>
      <c r="B265" s="294"/>
      <c r="C265" s="294"/>
      <c r="D265" s="294"/>
      <c r="E265" s="294"/>
      <c r="F265" s="294"/>
      <c r="G265" s="295"/>
      <c r="H265" s="294"/>
      <c r="I265" s="294"/>
      <c r="J265" s="294"/>
      <c r="K265" s="294"/>
      <c r="L265" s="294"/>
      <c r="M265" s="294"/>
      <c r="N265" s="294"/>
      <c r="O265" s="294"/>
      <c r="P265" s="294"/>
      <c r="Q265" s="294"/>
      <c r="R265" s="294"/>
      <c r="S265" s="294"/>
      <c r="T265" s="294"/>
      <c r="U265" s="294"/>
      <c r="V265" s="294"/>
      <c r="W265" s="294"/>
      <c r="X265" s="294"/>
      <c r="Y265" s="294"/>
      <c r="Z265" s="294"/>
      <c r="AA265" s="294"/>
      <c r="AB265" s="294"/>
      <c r="AC265" s="294"/>
    </row>
    <row r="266" ht="15.75" customHeight="1">
      <c r="A266" s="294"/>
      <c r="B266" s="294"/>
      <c r="C266" s="294"/>
      <c r="D266" s="294"/>
      <c r="E266" s="294"/>
      <c r="F266" s="294"/>
      <c r="G266" s="295"/>
      <c r="H266" s="294"/>
      <c r="I266" s="294"/>
      <c r="J266" s="294"/>
      <c r="K266" s="294"/>
      <c r="L266" s="294"/>
      <c r="M266" s="294"/>
      <c r="N266" s="294"/>
      <c r="O266" s="294"/>
      <c r="P266" s="294"/>
      <c r="Q266" s="294"/>
      <c r="R266" s="294"/>
      <c r="S266" s="294"/>
      <c r="T266" s="294"/>
      <c r="U266" s="294"/>
      <c r="V266" s="294"/>
      <c r="W266" s="294"/>
      <c r="X266" s="294"/>
      <c r="Y266" s="294"/>
      <c r="Z266" s="294"/>
      <c r="AA266" s="294"/>
      <c r="AB266" s="294"/>
      <c r="AC266" s="294"/>
    </row>
    <row r="267" ht="15.75" customHeight="1">
      <c r="A267" s="294"/>
      <c r="B267" s="294"/>
      <c r="C267" s="294"/>
      <c r="D267" s="294"/>
      <c r="E267" s="294"/>
      <c r="F267" s="294"/>
      <c r="G267" s="295"/>
      <c r="H267" s="294"/>
      <c r="I267" s="294"/>
      <c r="J267" s="294"/>
      <c r="K267" s="294"/>
      <c r="L267" s="294"/>
      <c r="M267" s="294"/>
      <c r="N267" s="294"/>
      <c r="O267" s="294"/>
      <c r="P267" s="294"/>
      <c r="Q267" s="294"/>
      <c r="R267" s="294"/>
      <c r="S267" s="294"/>
      <c r="T267" s="294"/>
      <c r="U267" s="294"/>
      <c r="V267" s="294"/>
      <c r="W267" s="294"/>
      <c r="X267" s="294"/>
      <c r="Y267" s="294"/>
      <c r="Z267" s="294"/>
      <c r="AA267" s="294"/>
      <c r="AB267" s="294"/>
      <c r="AC267" s="294"/>
    </row>
    <row r="268" ht="15.75" customHeight="1">
      <c r="A268" s="294"/>
      <c r="B268" s="294"/>
      <c r="C268" s="294"/>
      <c r="D268" s="294"/>
      <c r="E268" s="294"/>
      <c r="F268" s="294"/>
      <c r="G268" s="295"/>
      <c r="H268" s="294"/>
      <c r="I268" s="294"/>
      <c r="J268" s="294"/>
      <c r="K268" s="294"/>
      <c r="L268" s="294"/>
      <c r="M268" s="294"/>
      <c r="N268" s="294"/>
      <c r="O268" s="294"/>
      <c r="P268" s="294"/>
      <c r="Q268" s="294"/>
      <c r="R268" s="294"/>
      <c r="S268" s="294"/>
      <c r="T268" s="294"/>
      <c r="U268" s="294"/>
      <c r="V268" s="294"/>
      <c r="W268" s="294"/>
      <c r="X268" s="294"/>
      <c r="Y268" s="294"/>
      <c r="Z268" s="294"/>
      <c r="AA268" s="294"/>
      <c r="AB268" s="294"/>
      <c r="AC268" s="294"/>
    </row>
    <row r="269" ht="15.75" customHeight="1">
      <c r="A269" s="294"/>
      <c r="B269" s="294"/>
      <c r="C269" s="294"/>
      <c r="D269" s="294"/>
      <c r="E269" s="294"/>
      <c r="F269" s="294"/>
      <c r="G269" s="295"/>
      <c r="H269" s="294"/>
      <c r="I269" s="294"/>
      <c r="J269" s="294"/>
      <c r="K269" s="294"/>
      <c r="L269" s="294"/>
      <c r="M269" s="294"/>
      <c r="N269" s="294"/>
      <c r="O269" s="294"/>
      <c r="P269" s="294"/>
      <c r="Q269" s="294"/>
      <c r="R269" s="294"/>
      <c r="S269" s="294"/>
      <c r="T269" s="294"/>
      <c r="U269" s="294"/>
      <c r="V269" s="294"/>
      <c r="W269" s="294"/>
      <c r="X269" s="294"/>
      <c r="Y269" s="294"/>
      <c r="Z269" s="294"/>
      <c r="AA269" s="294"/>
      <c r="AB269" s="294"/>
      <c r="AC269" s="294"/>
    </row>
    <row r="270" ht="15.75" customHeight="1">
      <c r="A270" s="294"/>
      <c r="B270" s="294"/>
      <c r="C270" s="294"/>
      <c r="D270" s="294"/>
      <c r="E270" s="294"/>
      <c r="F270" s="294"/>
      <c r="G270" s="295"/>
      <c r="H270" s="294"/>
      <c r="I270" s="294"/>
      <c r="J270" s="294"/>
      <c r="K270" s="294"/>
      <c r="L270" s="294"/>
      <c r="M270" s="294"/>
      <c r="N270" s="294"/>
      <c r="O270" s="294"/>
      <c r="P270" s="294"/>
      <c r="Q270" s="294"/>
      <c r="R270" s="294"/>
      <c r="S270" s="294"/>
      <c r="T270" s="294"/>
      <c r="U270" s="294"/>
      <c r="V270" s="294"/>
      <c r="W270" s="294"/>
      <c r="X270" s="294"/>
      <c r="Y270" s="294"/>
      <c r="Z270" s="294"/>
      <c r="AA270" s="294"/>
      <c r="AB270" s="294"/>
      <c r="AC270" s="294"/>
    </row>
    <row r="271" ht="15.75" customHeight="1">
      <c r="A271" s="294"/>
      <c r="B271" s="294"/>
      <c r="C271" s="294"/>
      <c r="D271" s="294"/>
      <c r="E271" s="294"/>
      <c r="F271" s="294"/>
      <c r="G271" s="295"/>
      <c r="H271" s="294"/>
      <c r="I271" s="294"/>
      <c r="J271" s="294"/>
      <c r="K271" s="294"/>
      <c r="L271" s="294"/>
      <c r="M271" s="294"/>
      <c r="N271" s="294"/>
      <c r="O271" s="294"/>
      <c r="P271" s="294"/>
      <c r="Q271" s="294"/>
      <c r="R271" s="294"/>
      <c r="S271" s="294"/>
      <c r="T271" s="294"/>
      <c r="U271" s="294"/>
      <c r="V271" s="294"/>
      <c r="W271" s="294"/>
      <c r="X271" s="294"/>
      <c r="Y271" s="294"/>
      <c r="Z271" s="294"/>
      <c r="AA271" s="294"/>
      <c r="AB271" s="294"/>
      <c r="AC271" s="294"/>
    </row>
    <row r="272" ht="15.75" customHeight="1">
      <c r="A272" s="294"/>
      <c r="B272" s="294"/>
      <c r="C272" s="294"/>
      <c r="D272" s="294"/>
      <c r="E272" s="294"/>
      <c r="F272" s="294"/>
      <c r="G272" s="295"/>
      <c r="H272" s="294"/>
      <c r="I272" s="294"/>
      <c r="J272" s="294"/>
      <c r="K272" s="294"/>
      <c r="L272" s="294"/>
      <c r="M272" s="294"/>
      <c r="N272" s="294"/>
      <c r="O272" s="294"/>
      <c r="P272" s="294"/>
      <c r="Q272" s="294"/>
      <c r="R272" s="294"/>
      <c r="S272" s="294"/>
      <c r="T272" s="294"/>
      <c r="U272" s="294"/>
      <c r="V272" s="294"/>
      <c r="W272" s="294"/>
      <c r="X272" s="294"/>
      <c r="Y272" s="294"/>
      <c r="Z272" s="294"/>
      <c r="AA272" s="294"/>
      <c r="AB272" s="294"/>
      <c r="AC272" s="294"/>
    </row>
    <row r="273" ht="15.75" customHeight="1">
      <c r="A273" s="294"/>
      <c r="B273" s="294"/>
      <c r="C273" s="294"/>
      <c r="D273" s="294"/>
      <c r="E273" s="294"/>
      <c r="F273" s="294"/>
      <c r="G273" s="295"/>
      <c r="H273" s="294"/>
      <c r="I273" s="294"/>
      <c r="J273" s="294"/>
      <c r="K273" s="294"/>
      <c r="L273" s="294"/>
      <c r="M273" s="294"/>
      <c r="N273" s="294"/>
      <c r="O273" s="294"/>
      <c r="P273" s="294"/>
      <c r="Q273" s="294"/>
      <c r="R273" s="294"/>
      <c r="S273" s="294"/>
      <c r="T273" s="294"/>
      <c r="U273" s="294"/>
      <c r="V273" s="294"/>
      <c r="W273" s="294"/>
      <c r="X273" s="294"/>
      <c r="Y273" s="294"/>
      <c r="Z273" s="294"/>
      <c r="AA273" s="294"/>
      <c r="AB273" s="294"/>
      <c r="AC273" s="294"/>
    </row>
    <row r="274" ht="15.75" customHeight="1">
      <c r="A274" s="294"/>
      <c r="B274" s="294"/>
      <c r="C274" s="294"/>
      <c r="D274" s="294"/>
      <c r="E274" s="294"/>
      <c r="F274" s="294"/>
      <c r="G274" s="295"/>
      <c r="H274" s="294"/>
      <c r="I274" s="294"/>
      <c r="J274" s="294"/>
      <c r="K274" s="294"/>
      <c r="L274" s="294"/>
      <c r="M274" s="294"/>
      <c r="N274" s="294"/>
      <c r="O274" s="294"/>
      <c r="P274" s="294"/>
      <c r="Q274" s="294"/>
      <c r="R274" s="294"/>
      <c r="S274" s="294"/>
      <c r="T274" s="294"/>
      <c r="U274" s="294"/>
      <c r="V274" s="294"/>
      <c r="W274" s="294"/>
      <c r="X274" s="294"/>
      <c r="Y274" s="294"/>
      <c r="Z274" s="294"/>
      <c r="AA274" s="294"/>
      <c r="AB274" s="294"/>
      <c r="AC274" s="294"/>
    </row>
    <row r="275" ht="15.75" customHeight="1">
      <c r="A275" s="294"/>
      <c r="B275" s="294"/>
      <c r="C275" s="294"/>
      <c r="D275" s="294"/>
      <c r="E275" s="294"/>
      <c r="F275" s="294"/>
      <c r="G275" s="295"/>
      <c r="H275" s="294"/>
      <c r="I275" s="294"/>
      <c r="J275" s="294"/>
      <c r="K275" s="294"/>
      <c r="L275" s="294"/>
      <c r="M275" s="294"/>
      <c r="N275" s="294"/>
      <c r="O275" s="294"/>
      <c r="P275" s="294"/>
      <c r="Q275" s="294"/>
      <c r="R275" s="294"/>
      <c r="S275" s="294"/>
      <c r="T275" s="294"/>
      <c r="U275" s="294"/>
      <c r="V275" s="294"/>
      <c r="W275" s="294"/>
      <c r="X275" s="294"/>
      <c r="Y275" s="294"/>
      <c r="Z275" s="294"/>
      <c r="AA275" s="294"/>
      <c r="AB275" s="294"/>
      <c r="AC275" s="294"/>
    </row>
    <row r="276" ht="15.75" customHeight="1">
      <c r="A276" s="294"/>
      <c r="B276" s="294"/>
      <c r="C276" s="294"/>
      <c r="D276" s="294"/>
      <c r="E276" s="294"/>
      <c r="F276" s="294"/>
      <c r="G276" s="295"/>
      <c r="H276" s="294"/>
      <c r="I276" s="294"/>
      <c r="J276" s="294"/>
      <c r="K276" s="294"/>
      <c r="L276" s="294"/>
      <c r="M276" s="294"/>
      <c r="N276" s="294"/>
      <c r="O276" s="294"/>
      <c r="P276" s="294"/>
      <c r="Q276" s="294"/>
      <c r="R276" s="294"/>
      <c r="S276" s="294"/>
      <c r="T276" s="294"/>
      <c r="U276" s="294"/>
      <c r="V276" s="294"/>
      <c r="W276" s="294"/>
      <c r="X276" s="294"/>
      <c r="Y276" s="294"/>
      <c r="Z276" s="294"/>
      <c r="AA276" s="294"/>
      <c r="AB276" s="294"/>
      <c r="AC276" s="294"/>
    </row>
    <row r="277" ht="15.75" customHeight="1">
      <c r="A277" s="294"/>
      <c r="B277" s="294"/>
      <c r="C277" s="294"/>
      <c r="D277" s="294"/>
      <c r="E277" s="294"/>
      <c r="F277" s="294"/>
      <c r="G277" s="295"/>
      <c r="H277" s="294"/>
      <c r="I277" s="294"/>
      <c r="J277" s="294"/>
      <c r="K277" s="294"/>
      <c r="L277" s="294"/>
      <c r="M277" s="294"/>
      <c r="N277" s="294"/>
      <c r="O277" s="294"/>
      <c r="P277" s="294"/>
      <c r="Q277" s="294"/>
      <c r="R277" s="294"/>
      <c r="S277" s="294"/>
      <c r="T277" s="294"/>
      <c r="U277" s="294"/>
      <c r="V277" s="294"/>
      <c r="W277" s="294"/>
      <c r="X277" s="294"/>
      <c r="Y277" s="294"/>
      <c r="Z277" s="294"/>
      <c r="AA277" s="294"/>
      <c r="AB277" s="294"/>
      <c r="AC277" s="294"/>
    </row>
    <row r="278" ht="15.75" customHeight="1">
      <c r="A278" s="294"/>
      <c r="B278" s="294"/>
      <c r="C278" s="294"/>
      <c r="D278" s="294"/>
      <c r="E278" s="294"/>
      <c r="F278" s="294"/>
      <c r="G278" s="295"/>
      <c r="H278" s="294"/>
      <c r="I278" s="294"/>
      <c r="J278" s="294"/>
      <c r="K278" s="294"/>
      <c r="L278" s="294"/>
      <c r="M278" s="294"/>
      <c r="N278" s="294"/>
      <c r="O278" s="294"/>
      <c r="P278" s="294"/>
      <c r="Q278" s="294"/>
      <c r="R278" s="294"/>
      <c r="S278" s="294"/>
      <c r="T278" s="294"/>
      <c r="U278" s="294"/>
      <c r="V278" s="294"/>
      <c r="W278" s="294"/>
      <c r="X278" s="294"/>
      <c r="Y278" s="294"/>
      <c r="Z278" s="294"/>
      <c r="AA278" s="294"/>
      <c r="AB278" s="294"/>
      <c r="AC278" s="294"/>
    </row>
    <row r="279" ht="15.75" customHeight="1">
      <c r="A279" s="294"/>
      <c r="B279" s="294"/>
      <c r="C279" s="294"/>
      <c r="D279" s="294"/>
      <c r="E279" s="294"/>
      <c r="F279" s="294"/>
      <c r="G279" s="295"/>
      <c r="H279" s="294"/>
      <c r="I279" s="294"/>
      <c r="J279" s="294"/>
      <c r="K279" s="294"/>
      <c r="L279" s="294"/>
      <c r="M279" s="294"/>
      <c r="N279" s="294"/>
      <c r="O279" s="294"/>
      <c r="P279" s="294"/>
      <c r="Q279" s="294"/>
      <c r="R279" s="294"/>
      <c r="S279" s="294"/>
      <c r="T279" s="294"/>
      <c r="U279" s="294"/>
      <c r="V279" s="294"/>
      <c r="W279" s="294"/>
      <c r="X279" s="294"/>
      <c r="Y279" s="294"/>
      <c r="Z279" s="294"/>
      <c r="AA279" s="294"/>
      <c r="AB279" s="294"/>
      <c r="AC279" s="294"/>
    </row>
    <row r="280" ht="15.75" customHeight="1">
      <c r="A280" s="294"/>
      <c r="B280" s="294"/>
      <c r="C280" s="294"/>
      <c r="D280" s="294"/>
      <c r="E280" s="294"/>
      <c r="F280" s="294"/>
      <c r="G280" s="295"/>
      <c r="H280" s="294"/>
      <c r="I280" s="294"/>
      <c r="J280" s="294"/>
      <c r="K280" s="294"/>
      <c r="L280" s="294"/>
      <c r="M280" s="294"/>
      <c r="N280" s="294"/>
      <c r="O280" s="294"/>
      <c r="P280" s="294"/>
      <c r="Q280" s="294"/>
      <c r="R280" s="294"/>
      <c r="S280" s="294"/>
      <c r="T280" s="294"/>
      <c r="U280" s="294"/>
      <c r="V280" s="294"/>
      <c r="W280" s="294"/>
      <c r="X280" s="294"/>
      <c r="Y280" s="294"/>
      <c r="Z280" s="294"/>
      <c r="AA280" s="294"/>
      <c r="AB280" s="294"/>
      <c r="AC280" s="294"/>
    </row>
    <row r="281" ht="15.75" customHeight="1">
      <c r="A281" s="294"/>
      <c r="B281" s="294"/>
      <c r="C281" s="294"/>
      <c r="D281" s="294"/>
      <c r="E281" s="294"/>
      <c r="F281" s="294"/>
      <c r="G281" s="295"/>
      <c r="H281" s="294"/>
      <c r="I281" s="294"/>
      <c r="J281" s="294"/>
      <c r="K281" s="294"/>
      <c r="L281" s="294"/>
      <c r="M281" s="294"/>
      <c r="N281" s="294"/>
      <c r="O281" s="294"/>
      <c r="P281" s="294"/>
      <c r="Q281" s="294"/>
      <c r="R281" s="294"/>
      <c r="S281" s="294"/>
      <c r="T281" s="294"/>
      <c r="U281" s="294"/>
      <c r="V281" s="294"/>
      <c r="W281" s="294"/>
      <c r="X281" s="294"/>
      <c r="Y281" s="294"/>
      <c r="Z281" s="294"/>
      <c r="AA281" s="294"/>
      <c r="AB281" s="294"/>
      <c r="AC281" s="294"/>
    </row>
    <row r="282" ht="15.75" customHeight="1">
      <c r="A282" s="294"/>
      <c r="B282" s="294"/>
      <c r="C282" s="294"/>
      <c r="D282" s="294"/>
      <c r="E282" s="294"/>
      <c r="F282" s="294"/>
      <c r="G282" s="295"/>
      <c r="H282" s="294"/>
      <c r="I282" s="294"/>
      <c r="J282" s="294"/>
      <c r="K282" s="294"/>
      <c r="L282" s="294"/>
      <c r="M282" s="294"/>
      <c r="N282" s="294"/>
      <c r="O282" s="294"/>
      <c r="P282" s="294"/>
      <c r="Q282" s="294"/>
      <c r="R282" s="294"/>
      <c r="S282" s="294"/>
      <c r="T282" s="294"/>
      <c r="U282" s="294"/>
      <c r="V282" s="294"/>
      <c r="W282" s="294"/>
      <c r="X282" s="294"/>
      <c r="Y282" s="294"/>
      <c r="Z282" s="294"/>
      <c r="AA282" s="294"/>
      <c r="AB282" s="294"/>
      <c r="AC282" s="294"/>
    </row>
    <row r="283" ht="15.75" customHeight="1">
      <c r="A283" s="294"/>
      <c r="B283" s="294"/>
      <c r="C283" s="294"/>
      <c r="D283" s="294"/>
      <c r="E283" s="294"/>
      <c r="F283" s="294"/>
      <c r="G283" s="295"/>
      <c r="H283" s="294"/>
      <c r="I283" s="294"/>
      <c r="J283" s="294"/>
      <c r="K283" s="294"/>
      <c r="L283" s="294"/>
      <c r="M283" s="294"/>
      <c r="N283" s="294"/>
      <c r="O283" s="294"/>
      <c r="P283" s="294"/>
      <c r="Q283" s="294"/>
      <c r="R283" s="294"/>
      <c r="S283" s="294"/>
      <c r="T283" s="294"/>
      <c r="U283" s="294"/>
      <c r="V283" s="294"/>
      <c r="W283" s="294"/>
      <c r="X283" s="294"/>
      <c r="Y283" s="294"/>
      <c r="Z283" s="294"/>
      <c r="AA283" s="294"/>
      <c r="AB283" s="294"/>
      <c r="AC283" s="294"/>
    </row>
    <row r="284" ht="15.75" customHeight="1">
      <c r="A284" s="294"/>
      <c r="B284" s="294"/>
      <c r="C284" s="294"/>
      <c r="D284" s="294"/>
      <c r="E284" s="294"/>
      <c r="F284" s="294"/>
      <c r="G284" s="295"/>
      <c r="H284" s="294"/>
      <c r="I284" s="294"/>
      <c r="J284" s="294"/>
      <c r="K284" s="294"/>
      <c r="L284" s="294"/>
      <c r="M284" s="294"/>
      <c r="N284" s="294"/>
      <c r="O284" s="294"/>
      <c r="P284" s="294"/>
      <c r="Q284" s="294"/>
      <c r="R284" s="294"/>
      <c r="S284" s="294"/>
      <c r="T284" s="294"/>
      <c r="U284" s="294"/>
      <c r="V284" s="294"/>
      <c r="W284" s="294"/>
      <c r="X284" s="294"/>
      <c r="Y284" s="294"/>
      <c r="Z284" s="294"/>
      <c r="AA284" s="294"/>
      <c r="AB284" s="294"/>
      <c r="AC284" s="294"/>
    </row>
    <row r="285" ht="15.75" customHeight="1">
      <c r="A285" s="294"/>
      <c r="B285" s="294"/>
      <c r="C285" s="294"/>
      <c r="D285" s="294"/>
      <c r="E285" s="294"/>
      <c r="F285" s="294"/>
      <c r="G285" s="295"/>
      <c r="H285" s="294"/>
      <c r="I285" s="294"/>
      <c r="J285" s="294"/>
      <c r="K285" s="294"/>
      <c r="L285" s="294"/>
      <c r="M285" s="294"/>
      <c r="N285" s="294"/>
      <c r="O285" s="294"/>
      <c r="P285" s="294"/>
      <c r="Q285" s="294"/>
      <c r="R285" s="294"/>
      <c r="S285" s="294"/>
      <c r="T285" s="294"/>
      <c r="U285" s="294"/>
      <c r="V285" s="294"/>
      <c r="W285" s="294"/>
      <c r="X285" s="294"/>
      <c r="Y285" s="294"/>
      <c r="Z285" s="294"/>
      <c r="AA285" s="294"/>
      <c r="AB285" s="294"/>
      <c r="AC285" s="294"/>
    </row>
    <row r="286" ht="15.75" customHeight="1">
      <c r="A286" s="294"/>
      <c r="B286" s="294"/>
      <c r="C286" s="294"/>
      <c r="D286" s="294"/>
      <c r="E286" s="294"/>
      <c r="F286" s="294"/>
      <c r="G286" s="295"/>
      <c r="H286" s="294"/>
      <c r="I286" s="294"/>
      <c r="J286" s="294"/>
      <c r="K286" s="294"/>
      <c r="L286" s="294"/>
      <c r="M286" s="294"/>
      <c r="N286" s="294"/>
      <c r="O286" s="294"/>
      <c r="P286" s="294"/>
      <c r="Q286" s="294"/>
      <c r="R286" s="294"/>
      <c r="S286" s="294"/>
      <c r="T286" s="294"/>
      <c r="U286" s="294"/>
      <c r="V286" s="294"/>
      <c r="W286" s="294"/>
      <c r="X286" s="294"/>
      <c r="Y286" s="294"/>
      <c r="Z286" s="294"/>
      <c r="AA286" s="294"/>
      <c r="AB286" s="294"/>
      <c r="AC286" s="294"/>
    </row>
    <row r="287" ht="15.75" customHeight="1">
      <c r="A287" s="294"/>
      <c r="B287" s="294"/>
      <c r="C287" s="294"/>
      <c r="D287" s="294"/>
      <c r="E287" s="294"/>
      <c r="F287" s="294"/>
      <c r="G287" s="295"/>
      <c r="H287" s="294"/>
      <c r="I287" s="294"/>
      <c r="J287" s="294"/>
      <c r="K287" s="294"/>
      <c r="L287" s="294"/>
      <c r="M287" s="294"/>
      <c r="N287" s="294"/>
      <c r="O287" s="294"/>
      <c r="P287" s="294"/>
      <c r="Q287" s="294"/>
      <c r="R287" s="294"/>
      <c r="S287" s="294"/>
      <c r="T287" s="294"/>
      <c r="U287" s="294"/>
      <c r="V287" s="294"/>
      <c r="W287" s="294"/>
      <c r="X287" s="294"/>
      <c r="Y287" s="294"/>
      <c r="Z287" s="294"/>
      <c r="AA287" s="294"/>
      <c r="AB287" s="294"/>
      <c r="AC287" s="294"/>
    </row>
    <row r="288" ht="15.75" customHeight="1">
      <c r="A288" s="294"/>
      <c r="B288" s="294"/>
      <c r="C288" s="294"/>
      <c r="D288" s="294"/>
      <c r="E288" s="294"/>
      <c r="F288" s="294"/>
      <c r="G288" s="295"/>
      <c r="H288" s="294"/>
      <c r="I288" s="294"/>
      <c r="J288" s="294"/>
      <c r="K288" s="294"/>
      <c r="L288" s="294"/>
      <c r="M288" s="294"/>
      <c r="N288" s="294"/>
      <c r="O288" s="294"/>
      <c r="P288" s="294"/>
      <c r="Q288" s="294"/>
      <c r="R288" s="294"/>
      <c r="S288" s="294"/>
      <c r="T288" s="294"/>
      <c r="U288" s="294"/>
      <c r="V288" s="294"/>
      <c r="W288" s="294"/>
      <c r="X288" s="294"/>
      <c r="Y288" s="294"/>
      <c r="Z288" s="294"/>
      <c r="AA288" s="294"/>
      <c r="AB288" s="294"/>
      <c r="AC288" s="294"/>
    </row>
    <row r="289" ht="15.75" customHeight="1">
      <c r="A289" s="294"/>
      <c r="B289" s="294"/>
      <c r="C289" s="294"/>
      <c r="D289" s="294"/>
      <c r="E289" s="294"/>
      <c r="F289" s="294"/>
      <c r="G289" s="295"/>
      <c r="H289" s="294"/>
      <c r="I289" s="294"/>
      <c r="J289" s="294"/>
      <c r="K289" s="294"/>
      <c r="L289" s="294"/>
      <c r="M289" s="294"/>
      <c r="N289" s="294"/>
      <c r="O289" s="294"/>
      <c r="P289" s="294"/>
      <c r="Q289" s="294"/>
      <c r="R289" s="294"/>
      <c r="S289" s="294"/>
      <c r="T289" s="294"/>
      <c r="U289" s="294"/>
      <c r="V289" s="294"/>
      <c r="W289" s="294"/>
      <c r="X289" s="294"/>
      <c r="Y289" s="294"/>
      <c r="Z289" s="294"/>
      <c r="AA289" s="294"/>
      <c r="AB289" s="294"/>
      <c r="AC289" s="294"/>
    </row>
    <row r="290" ht="15.75" customHeight="1">
      <c r="A290" s="294"/>
      <c r="B290" s="294"/>
      <c r="C290" s="294"/>
      <c r="D290" s="294"/>
      <c r="E290" s="294"/>
      <c r="F290" s="294"/>
      <c r="G290" s="295"/>
      <c r="H290" s="294"/>
      <c r="I290" s="294"/>
      <c r="J290" s="294"/>
      <c r="K290" s="294"/>
      <c r="L290" s="294"/>
      <c r="M290" s="294"/>
      <c r="N290" s="294"/>
      <c r="O290" s="294"/>
      <c r="P290" s="294"/>
      <c r="Q290" s="294"/>
      <c r="R290" s="294"/>
      <c r="S290" s="294"/>
      <c r="T290" s="294"/>
      <c r="U290" s="294"/>
      <c r="V290" s="294"/>
      <c r="W290" s="294"/>
      <c r="X290" s="294"/>
      <c r="Y290" s="294"/>
      <c r="Z290" s="294"/>
      <c r="AA290" s="294"/>
      <c r="AB290" s="294"/>
      <c r="AC290" s="294"/>
    </row>
    <row r="291" ht="15.75" customHeight="1">
      <c r="A291" s="294"/>
      <c r="B291" s="294"/>
      <c r="C291" s="294"/>
      <c r="D291" s="294"/>
      <c r="E291" s="294"/>
      <c r="F291" s="294"/>
      <c r="G291" s="295"/>
      <c r="H291" s="294"/>
      <c r="I291" s="294"/>
      <c r="J291" s="294"/>
      <c r="K291" s="294"/>
      <c r="L291" s="294"/>
      <c r="M291" s="294"/>
      <c r="N291" s="294"/>
      <c r="O291" s="294"/>
      <c r="P291" s="294"/>
      <c r="Q291" s="294"/>
      <c r="R291" s="294"/>
      <c r="S291" s="294"/>
      <c r="T291" s="294"/>
      <c r="U291" s="294"/>
      <c r="V291" s="294"/>
      <c r="W291" s="294"/>
      <c r="X291" s="294"/>
      <c r="Y291" s="294"/>
      <c r="Z291" s="294"/>
      <c r="AA291" s="294"/>
      <c r="AB291" s="294"/>
      <c r="AC291" s="294"/>
    </row>
    <row r="292" ht="15.75" customHeight="1">
      <c r="A292" s="294"/>
      <c r="B292" s="294"/>
      <c r="C292" s="294"/>
      <c r="D292" s="294"/>
      <c r="E292" s="294"/>
      <c r="F292" s="294"/>
      <c r="G292" s="295"/>
      <c r="H292" s="294"/>
      <c r="I292" s="294"/>
      <c r="J292" s="294"/>
      <c r="K292" s="294"/>
      <c r="L292" s="294"/>
      <c r="M292" s="294"/>
      <c r="N292" s="294"/>
      <c r="O292" s="294"/>
      <c r="P292" s="294"/>
      <c r="Q292" s="294"/>
      <c r="R292" s="294"/>
      <c r="S292" s="294"/>
      <c r="T292" s="294"/>
      <c r="U292" s="294"/>
      <c r="V292" s="294"/>
      <c r="W292" s="294"/>
      <c r="X292" s="294"/>
      <c r="Y292" s="294"/>
      <c r="Z292" s="294"/>
      <c r="AA292" s="294"/>
      <c r="AB292" s="294"/>
      <c r="AC292" s="294"/>
    </row>
    <row r="293" ht="15.75" customHeight="1">
      <c r="A293" s="294"/>
      <c r="B293" s="294"/>
      <c r="C293" s="294"/>
      <c r="D293" s="294"/>
      <c r="E293" s="294"/>
      <c r="F293" s="294"/>
      <c r="G293" s="295"/>
      <c r="H293" s="294"/>
      <c r="I293" s="294"/>
      <c r="J293" s="294"/>
      <c r="K293" s="294"/>
      <c r="L293" s="294"/>
      <c r="M293" s="294"/>
      <c r="N293" s="294"/>
      <c r="O293" s="294"/>
      <c r="P293" s="294"/>
      <c r="Q293" s="294"/>
      <c r="R293" s="294"/>
      <c r="S293" s="294"/>
      <c r="T293" s="294"/>
      <c r="U293" s="294"/>
      <c r="V293" s="294"/>
      <c r="W293" s="294"/>
      <c r="X293" s="294"/>
      <c r="Y293" s="294"/>
      <c r="Z293" s="294"/>
      <c r="AA293" s="294"/>
      <c r="AB293" s="294"/>
      <c r="AC293" s="294"/>
    </row>
    <row r="294" ht="15.75" customHeight="1">
      <c r="A294" s="294"/>
      <c r="B294" s="294"/>
      <c r="C294" s="294"/>
      <c r="D294" s="294"/>
      <c r="E294" s="294"/>
      <c r="F294" s="294"/>
      <c r="G294" s="295"/>
      <c r="H294" s="294"/>
      <c r="I294" s="294"/>
      <c r="J294" s="294"/>
      <c r="K294" s="294"/>
      <c r="L294" s="294"/>
      <c r="M294" s="294"/>
      <c r="N294" s="294"/>
      <c r="O294" s="294"/>
      <c r="P294" s="294"/>
      <c r="Q294" s="294"/>
      <c r="R294" s="294"/>
      <c r="S294" s="294"/>
      <c r="T294" s="294"/>
      <c r="U294" s="294"/>
      <c r="V294" s="294"/>
      <c r="W294" s="294"/>
      <c r="X294" s="294"/>
      <c r="Y294" s="294"/>
      <c r="Z294" s="294"/>
      <c r="AA294" s="294"/>
      <c r="AB294" s="294"/>
      <c r="AC294" s="294"/>
    </row>
    <row r="295" ht="15.75" customHeight="1">
      <c r="A295" s="294"/>
      <c r="B295" s="294"/>
      <c r="C295" s="294"/>
      <c r="D295" s="294"/>
      <c r="E295" s="294"/>
      <c r="F295" s="294"/>
      <c r="G295" s="295"/>
      <c r="H295" s="294"/>
      <c r="I295" s="294"/>
      <c r="J295" s="294"/>
      <c r="K295" s="294"/>
      <c r="L295" s="294"/>
      <c r="M295" s="294"/>
      <c r="N295" s="294"/>
      <c r="O295" s="294"/>
      <c r="P295" s="294"/>
      <c r="Q295" s="294"/>
      <c r="R295" s="294"/>
      <c r="S295" s="294"/>
      <c r="T295" s="294"/>
      <c r="U295" s="294"/>
      <c r="V295" s="294"/>
      <c r="W295" s="294"/>
      <c r="X295" s="294"/>
      <c r="Y295" s="294"/>
      <c r="Z295" s="294"/>
      <c r="AA295" s="294"/>
      <c r="AB295" s="294"/>
      <c r="AC295" s="294"/>
    </row>
    <row r="296" ht="15.75" customHeight="1">
      <c r="A296" s="294"/>
      <c r="B296" s="294"/>
      <c r="C296" s="294"/>
      <c r="D296" s="294"/>
      <c r="E296" s="294"/>
      <c r="F296" s="294"/>
      <c r="G296" s="295"/>
      <c r="H296" s="294"/>
      <c r="I296" s="294"/>
      <c r="J296" s="294"/>
      <c r="K296" s="294"/>
      <c r="L296" s="294"/>
      <c r="M296" s="294"/>
      <c r="N296" s="294"/>
      <c r="O296" s="294"/>
      <c r="P296" s="294"/>
      <c r="Q296" s="294"/>
      <c r="R296" s="294"/>
      <c r="S296" s="294"/>
      <c r="T296" s="294"/>
      <c r="U296" s="294"/>
      <c r="V296" s="294"/>
      <c r="W296" s="294"/>
      <c r="X296" s="294"/>
      <c r="Y296" s="294"/>
      <c r="Z296" s="294"/>
      <c r="AA296" s="294"/>
      <c r="AB296" s="294"/>
      <c r="AC296" s="294"/>
    </row>
    <row r="297" ht="15.75" customHeight="1">
      <c r="A297" s="294"/>
      <c r="B297" s="294"/>
      <c r="C297" s="294"/>
      <c r="D297" s="294"/>
      <c r="E297" s="294"/>
      <c r="F297" s="294"/>
      <c r="G297" s="295"/>
      <c r="H297" s="294"/>
      <c r="I297" s="294"/>
      <c r="J297" s="294"/>
      <c r="K297" s="294"/>
      <c r="L297" s="294"/>
      <c r="M297" s="294"/>
      <c r="N297" s="294"/>
      <c r="O297" s="294"/>
      <c r="P297" s="294"/>
      <c r="Q297" s="294"/>
      <c r="R297" s="294"/>
      <c r="S297" s="294"/>
      <c r="T297" s="294"/>
      <c r="U297" s="294"/>
      <c r="V297" s="294"/>
      <c r="W297" s="294"/>
      <c r="X297" s="294"/>
      <c r="Y297" s="294"/>
      <c r="Z297" s="294"/>
      <c r="AA297" s="294"/>
      <c r="AB297" s="294"/>
      <c r="AC297" s="294"/>
    </row>
    <row r="298" ht="15.75" customHeight="1">
      <c r="A298" s="294"/>
      <c r="B298" s="294"/>
      <c r="C298" s="294"/>
      <c r="D298" s="294"/>
      <c r="E298" s="294"/>
      <c r="F298" s="294"/>
      <c r="G298" s="295"/>
      <c r="H298" s="294"/>
      <c r="I298" s="294"/>
      <c r="J298" s="294"/>
      <c r="K298" s="294"/>
      <c r="L298" s="294"/>
      <c r="M298" s="294"/>
      <c r="N298" s="294"/>
      <c r="O298" s="294"/>
      <c r="P298" s="294"/>
      <c r="Q298" s="294"/>
      <c r="R298" s="294"/>
      <c r="S298" s="294"/>
      <c r="T298" s="294"/>
      <c r="U298" s="294"/>
      <c r="V298" s="294"/>
      <c r="W298" s="294"/>
      <c r="X298" s="294"/>
      <c r="Y298" s="294"/>
      <c r="Z298" s="294"/>
      <c r="AA298" s="294"/>
      <c r="AB298" s="294"/>
      <c r="AC298" s="294"/>
    </row>
    <row r="299" ht="15.75" customHeight="1">
      <c r="A299" s="294"/>
      <c r="B299" s="294"/>
      <c r="C299" s="294"/>
      <c r="D299" s="294"/>
      <c r="E299" s="294"/>
      <c r="F299" s="294"/>
      <c r="G299" s="295"/>
      <c r="H299" s="294"/>
      <c r="I299" s="294"/>
      <c r="J299" s="294"/>
      <c r="K299" s="294"/>
      <c r="L299" s="294"/>
      <c r="M299" s="294"/>
      <c r="N299" s="294"/>
      <c r="O299" s="294"/>
      <c r="P299" s="294"/>
      <c r="Q299" s="294"/>
      <c r="R299" s="294"/>
      <c r="S299" s="294"/>
      <c r="T299" s="294"/>
      <c r="U299" s="294"/>
      <c r="V299" s="294"/>
      <c r="W299" s="294"/>
      <c r="X299" s="294"/>
      <c r="Y299" s="294"/>
      <c r="Z299" s="294"/>
      <c r="AA299" s="294"/>
      <c r="AB299" s="294"/>
      <c r="AC299" s="294"/>
    </row>
    <row r="300" ht="15.75" customHeight="1">
      <c r="A300" s="294"/>
      <c r="B300" s="294"/>
      <c r="C300" s="294"/>
      <c r="D300" s="294"/>
      <c r="E300" s="294"/>
      <c r="F300" s="294"/>
      <c r="G300" s="295"/>
      <c r="H300" s="294"/>
      <c r="I300" s="294"/>
      <c r="J300" s="294"/>
      <c r="K300" s="294"/>
      <c r="L300" s="294"/>
      <c r="M300" s="294"/>
      <c r="N300" s="294"/>
      <c r="O300" s="294"/>
      <c r="P300" s="294"/>
      <c r="Q300" s="294"/>
      <c r="R300" s="294"/>
      <c r="S300" s="294"/>
      <c r="T300" s="294"/>
      <c r="U300" s="294"/>
      <c r="V300" s="294"/>
      <c r="W300" s="294"/>
      <c r="X300" s="294"/>
      <c r="Y300" s="294"/>
      <c r="Z300" s="294"/>
      <c r="AA300" s="294"/>
      <c r="AB300" s="294"/>
      <c r="AC300" s="294"/>
    </row>
    <row r="301" ht="15.75" customHeight="1">
      <c r="A301" s="294"/>
      <c r="B301" s="294"/>
      <c r="C301" s="294"/>
      <c r="D301" s="294"/>
      <c r="E301" s="294"/>
      <c r="F301" s="294"/>
      <c r="G301" s="295"/>
      <c r="H301" s="294"/>
      <c r="I301" s="294"/>
      <c r="J301" s="294"/>
      <c r="K301" s="294"/>
      <c r="L301" s="294"/>
      <c r="M301" s="294"/>
      <c r="N301" s="294"/>
      <c r="O301" s="294"/>
      <c r="P301" s="294"/>
      <c r="Q301" s="294"/>
      <c r="R301" s="294"/>
      <c r="S301" s="294"/>
      <c r="T301" s="294"/>
      <c r="U301" s="294"/>
      <c r="V301" s="294"/>
      <c r="W301" s="294"/>
      <c r="X301" s="294"/>
      <c r="Y301" s="294"/>
      <c r="Z301" s="294"/>
      <c r="AA301" s="294"/>
      <c r="AB301" s="294"/>
      <c r="AC301" s="294"/>
    </row>
    <row r="302" ht="15.75" customHeight="1">
      <c r="A302" s="294"/>
      <c r="B302" s="294"/>
      <c r="C302" s="294"/>
      <c r="D302" s="294"/>
      <c r="E302" s="294"/>
      <c r="F302" s="294"/>
      <c r="G302" s="295"/>
      <c r="H302" s="294"/>
      <c r="I302" s="294"/>
      <c r="J302" s="294"/>
      <c r="K302" s="294"/>
      <c r="L302" s="294"/>
      <c r="M302" s="294"/>
      <c r="N302" s="294"/>
      <c r="O302" s="294"/>
      <c r="P302" s="294"/>
      <c r="Q302" s="294"/>
      <c r="R302" s="294"/>
      <c r="S302" s="294"/>
      <c r="T302" s="294"/>
      <c r="U302" s="294"/>
      <c r="V302" s="294"/>
      <c r="W302" s="294"/>
      <c r="X302" s="294"/>
      <c r="Y302" s="294"/>
      <c r="Z302" s="294"/>
      <c r="AA302" s="294"/>
      <c r="AB302" s="294"/>
      <c r="AC302" s="294"/>
    </row>
    <row r="303" ht="15.75" customHeight="1">
      <c r="A303" s="294"/>
      <c r="B303" s="294"/>
      <c r="C303" s="294"/>
      <c r="D303" s="294"/>
      <c r="E303" s="294"/>
      <c r="F303" s="294"/>
      <c r="G303" s="295"/>
      <c r="H303" s="294"/>
      <c r="I303" s="294"/>
      <c r="J303" s="294"/>
      <c r="K303" s="294"/>
      <c r="L303" s="294"/>
      <c r="M303" s="294"/>
      <c r="N303" s="294"/>
      <c r="O303" s="294"/>
      <c r="P303" s="294"/>
      <c r="Q303" s="294"/>
      <c r="R303" s="294"/>
      <c r="S303" s="294"/>
      <c r="T303" s="294"/>
      <c r="U303" s="294"/>
      <c r="V303" s="294"/>
      <c r="W303" s="294"/>
      <c r="X303" s="294"/>
      <c r="Y303" s="294"/>
      <c r="Z303" s="294"/>
      <c r="AA303" s="294"/>
      <c r="AB303" s="294"/>
      <c r="AC303" s="294"/>
    </row>
    <row r="304" ht="15.75" customHeight="1">
      <c r="A304" s="294"/>
      <c r="B304" s="294"/>
      <c r="C304" s="294"/>
      <c r="D304" s="294"/>
      <c r="E304" s="294"/>
      <c r="F304" s="294"/>
      <c r="G304" s="295"/>
      <c r="H304" s="294"/>
      <c r="I304" s="294"/>
      <c r="J304" s="294"/>
      <c r="K304" s="294"/>
      <c r="L304" s="294"/>
      <c r="M304" s="294"/>
      <c r="N304" s="294"/>
      <c r="O304" s="294"/>
      <c r="P304" s="294"/>
      <c r="Q304" s="294"/>
      <c r="R304" s="294"/>
      <c r="S304" s="294"/>
      <c r="T304" s="294"/>
      <c r="U304" s="294"/>
      <c r="V304" s="294"/>
      <c r="W304" s="294"/>
      <c r="X304" s="294"/>
      <c r="Y304" s="294"/>
      <c r="Z304" s="294"/>
      <c r="AA304" s="294"/>
      <c r="AB304" s="294"/>
      <c r="AC304" s="294"/>
    </row>
    <row r="305" ht="15.75" customHeight="1">
      <c r="A305" s="294"/>
      <c r="B305" s="294"/>
      <c r="C305" s="294"/>
      <c r="D305" s="294"/>
      <c r="E305" s="294"/>
      <c r="F305" s="294"/>
      <c r="G305" s="295"/>
      <c r="H305" s="294"/>
      <c r="I305" s="294"/>
      <c r="J305" s="294"/>
      <c r="K305" s="294"/>
      <c r="L305" s="294"/>
      <c r="M305" s="294"/>
      <c r="N305" s="294"/>
      <c r="O305" s="294"/>
      <c r="P305" s="294"/>
      <c r="Q305" s="294"/>
      <c r="R305" s="294"/>
      <c r="S305" s="294"/>
      <c r="T305" s="294"/>
      <c r="U305" s="294"/>
      <c r="V305" s="294"/>
      <c r="W305" s="294"/>
      <c r="X305" s="294"/>
      <c r="Y305" s="294"/>
      <c r="Z305" s="294"/>
      <c r="AA305" s="294"/>
      <c r="AB305" s="294"/>
      <c r="AC305" s="294"/>
    </row>
    <row r="306" ht="15.75" customHeight="1">
      <c r="A306" s="294"/>
      <c r="B306" s="294"/>
      <c r="C306" s="294"/>
      <c r="D306" s="294"/>
      <c r="E306" s="294"/>
      <c r="F306" s="294"/>
      <c r="G306" s="295"/>
      <c r="H306" s="294"/>
      <c r="I306" s="294"/>
      <c r="J306" s="294"/>
      <c r="K306" s="294"/>
      <c r="L306" s="294"/>
      <c r="M306" s="294"/>
      <c r="N306" s="294"/>
      <c r="O306" s="294"/>
      <c r="P306" s="294"/>
      <c r="Q306" s="294"/>
      <c r="R306" s="294"/>
      <c r="S306" s="294"/>
      <c r="T306" s="294"/>
      <c r="U306" s="294"/>
      <c r="V306" s="294"/>
      <c r="W306" s="294"/>
      <c r="X306" s="294"/>
      <c r="Y306" s="294"/>
      <c r="Z306" s="294"/>
      <c r="AA306" s="294"/>
      <c r="AB306" s="294"/>
      <c r="AC306" s="294"/>
    </row>
    <row r="307" ht="15.75" customHeight="1">
      <c r="A307" s="294"/>
      <c r="B307" s="294"/>
      <c r="C307" s="294"/>
      <c r="D307" s="294"/>
      <c r="E307" s="294"/>
      <c r="F307" s="294"/>
      <c r="G307" s="295"/>
      <c r="H307" s="294"/>
      <c r="I307" s="294"/>
      <c r="J307" s="294"/>
      <c r="K307" s="294"/>
      <c r="L307" s="294"/>
      <c r="M307" s="294"/>
      <c r="N307" s="294"/>
      <c r="O307" s="294"/>
      <c r="P307" s="294"/>
      <c r="Q307" s="294"/>
      <c r="R307" s="294"/>
      <c r="S307" s="294"/>
      <c r="T307" s="294"/>
      <c r="U307" s="294"/>
      <c r="V307" s="294"/>
      <c r="W307" s="294"/>
      <c r="X307" s="294"/>
      <c r="Y307" s="294"/>
      <c r="Z307" s="294"/>
      <c r="AA307" s="294"/>
      <c r="AB307" s="294"/>
      <c r="AC307" s="294"/>
    </row>
    <row r="308" ht="15.75" customHeight="1">
      <c r="A308" s="294"/>
      <c r="B308" s="294"/>
      <c r="C308" s="294"/>
      <c r="D308" s="294"/>
      <c r="E308" s="294"/>
      <c r="F308" s="294"/>
      <c r="G308" s="295"/>
      <c r="H308" s="294"/>
      <c r="I308" s="294"/>
      <c r="J308" s="294"/>
      <c r="K308" s="294"/>
      <c r="L308" s="294"/>
      <c r="M308" s="294"/>
      <c r="N308" s="294"/>
      <c r="O308" s="294"/>
      <c r="P308" s="294"/>
      <c r="Q308" s="294"/>
      <c r="R308" s="294"/>
      <c r="S308" s="294"/>
      <c r="T308" s="294"/>
      <c r="U308" s="294"/>
      <c r="V308" s="294"/>
      <c r="W308" s="294"/>
      <c r="X308" s="294"/>
      <c r="Y308" s="294"/>
      <c r="Z308" s="294"/>
      <c r="AA308" s="294"/>
      <c r="AB308" s="294"/>
      <c r="AC308" s="294"/>
    </row>
    <row r="309" ht="15.75" customHeight="1">
      <c r="A309" s="294"/>
      <c r="B309" s="294"/>
      <c r="C309" s="294"/>
      <c r="D309" s="294"/>
      <c r="E309" s="294"/>
      <c r="F309" s="294"/>
      <c r="G309" s="295"/>
      <c r="H309" s="294"/>
      <c r="I309" s="294"/>
      <c r="J309" s="294"/>
      <c r="K309" s="294"/>
      <c r="L309" s="294"/>
      <c r="M309" s="294"/>
      <c r="N309" s="294"/>
      <c r="O309" s="294"/>
      <c r="P309" s="294"/>
      <c r="Q309" s="294"/>
      <c r="R309" s="294"/>
      <c r="S309" s="294"/>
      <c r="T309" s="294"/>
      <c r="U309" s="294"/>
      <c r="V309" s="294"/>
      <c r="W309" s="294"/>
      <c r="X309" s="294"/>
      <c r="Y309" s="294"/>
      <c r="Z309" s="294"/>
      <c r="AA309" s="294"/>
      <c r="AB309" s="294"/>
      <c r="AC309" s="294"/>
    </row>
    <row r="310" ht="15.75" customHeight="1">
      <c r="A310" s="294"/>
      <c r="B310" s="294"/>
      <c r="C310" s="294"/>
      <c r="D310" s="294"/>
      <c r="E310" s="294"/>
      <c r="F310" s="294"/>
      <c r="G310" s="295"/>
      <c r="H310" s="294"/>
      <c r="I310" s="294"/>
      <c r="J310" s="294"/>
      <c r="K310" s="294"/>
      <c r="L310" s="294"/>
      <c r="M310" s="294"/>
      <c r="N310" s="294"/>
      <c r="O310" s="294"/>
      <c r="P310" s="294"/>
      <c r="Q310" s="294"/>
      <c r="R310" s="294"/>
      <c r="S310" s="294"/>
      <c r="T310" s="294"/>
      <c r="U310" s="294"/>
      <c r="V310" s="294"/>
      <c r="W310" s="294"/>
      <c r="X310" s="294"/>
      <c r="Y310" s="294"/>
      <c r="Z310" s="294"/>
      <c r="AA310" s="294"/>
      <c r="AB310" s="294"/>
      <c r="AC310" s="294"/>
    </row>
    <row r="311" ht="15.75" customHeight="1">
      <c r="A311" s="294"/>
      <c r="B311" s="294"/>
      <c r="C311" s="294"/>
      <c r="D311" s="294"/>
      <c r="E311" s="294"/>
      <c r="F311" s="294"/>
      <c r="G311" s="295"/>
      <c r="H311" s="294"/>
      <c r="I311" s="294"/>
      <c r="J311" s="294"/>
      <c r="K311" s="294"/>
      <c r="L311" s="294"/>
      <c r="M311" s="294"/>
      <c r="N311" s="294"/>
      <c r="O311" s="294"/>
      <c r="P311" s="294"/>
      <c r="Q311" s="294"/>
      <c r="R311" s="294"/>
      <c r="S311" s="294"/>
      <c r="T311" s="294"/>
      <c r="U311" s="294"/>
      <c r="V311" s="294"/>
      <c r="W311" s="294"/>
      <c r="X311" s="294"/>
      <c r="Y311" s="294"/>
      <c r="Z311" s="294"/>
      <c r="AA311" s="294"/>
      <c r="AB311" s="294"/>
      <c r="AC311" s="294"/>
    </row>
    <row r="312" ht="15.75" customHeight="1">
      <c r="A312" s="294"/>
      <c r="B312" s="294"/>
      <c r="C312" s="294"/>
      <c r="D312" s="294"/>
      <c r="E312" s="294"/>
      <c r="F312" s="294"/>
      <c r="G312" s="295"/>
      <c r="H312" s="294"/>
      <c r="I312" s="294"/>
      <c r="J312" s="294"/>
      <c r="K312" s="294"/>
      <c r="L312" s="294"/>
      <c r="M312" s="294"/>
      <c r="N312" s="294"/>
      <c r="O312" s="294"/>
      <c r="P312" s="294"/>
      <c r="Q312" s="294"/>
      <c r="R312" s="294"/>
      <c r="S312" s="294"/>
      <c r="T312" s="294"/>
      <c r="U312" s="294"/>
      <c r="V312" s="294"/>
      <c r="W312" s="294"/>
      <c r="X312" s="294"/>
      <c r="Y312" s="294"/>
      <c r="Z312" s="294"/>
      <c r="AA312" s="294"/>
      <c r="AB312" s="294"/>
      <c r="AC312" s="294"/>
    </row>
    <row r="313" ht="15.75" customHeight="1">
      <c r="A313" s="294"/>
      <c r="B313" s="294"/>
      <c r="C313" s="294"/>
      <c r="D313" s="294"/>
      <c r="E313" s="294"/>
      <c r="F313" s="294"/>
      <c r="G313" s="295"/>
      <c r="H313" s="294"/>
      <c r="I313" s="294"/>
      <c r="J313" s="294"/>
      <c r="K313" s="294"/>
      <c r="L313" s="294"/>
      <c r="M313" s="294"/>
      <c r="N313" s="294"/>
      <c r="O313" s="294"/>
      <c r="P313" s="294"/>
      <c r="Q313" s="294"/>
      <c r="R313" s="294"/>
      <c r="S313" s="294"/>
      <c r="T313" s="294"/>
      <c r="U313" s="294"/>
      <c r="V313" s="294"/>
      <c r="W313" s="294"/>
      <c r="X313" s="294"/>
      <c r="Y313" s="294"/>
      <c r="Z313" s="294"/>
      <c r="AA313" s="294"/>
      <c r="AB313" s="294"/>
      <c r="AC313" s="294"/>
    </row>
    <row r="314" ht="15.75" customHeight="1">
      <c r="A314" s="294"/>
      <c r="B314" s="294"/>
      <c r="C314" s="294"/>
      <c r="D314" s="294"/>
      <c r="E314" s="294"/>
      <c r="F314" s="294"/>
      <c r="G314" s="295"/>
      <c r="H314" s="294"/>
      <c r="I314" s="294"/>
      <c r="J314" s="294"/>
      <c r="K314" s="294"/>
      <c r="L314" s="294"/>
      <c r="M314" s="294"/>
      <c r="N314" s="294"/>
      <c r="O314" s="294"/>
      <c r="P314" s="294"/>
      <c r="Q314" s="294"/>
      <c r="R314" s="294"/>
      <c r="S314" s="294"/>
      <c r="T314" s="294"/>
      <c r="U314" s="294"/>
      <c r="V314" s="294"/>
      <c r="W314" s="294"/>
      <c r="X314" s="294"/>
      <c r="Y314" s="294"/>
      <c r="Z314" s="294"/>
      <c r="AA314" s="294"/>
      <c r="AB314" s="294"/>
      <c r="AC314" s="294"/>
    </row>
    <row r="315" ht="15.75" customHeight="1">
      <c r="A315" s="294"/>
      <c r="B315" s="294"/>
      <c r="C315" s="294"/>
      <c r="D315" s="294"/>
      <c r="E315" s="294"/>
      <c r="F315" s="294"/>
      <c r="G315" s="295"/>
      <c r="H315" s="294"/>
      <c r="I315" s="294"/>
      <c r="J315" s="294"/>
      <c r="K315" s="294"/>
      <c r="L315" s="294"/>
      <c r="M315" s="294"/>
      <c r="N315" s="294"/>
      <c r="O315" s="294"/>
      <c r="P315" s="294"/>
      <c r="Q315" s="294"/>
      <c r="R315" s="294"/>
      <c r="S315" s="294"/>
      <c r="T315" s="294"/>
      <c r="U315" s="294"/>
      <c r="V315" s="294"/>
      <c r="W315" s="294"/>
      <c r="X315" s="294"/>
      <c r="Y315" s="294"/>
      <c r="Z315" s="294"/>
      <c r="AA315" s="294"/>
      <c r="AB315" s="294"/>
      <c r="AC315" s="294"/>
    </row>
    <row r="316" ht="15.75" customHeight="1">
      <c r="A316" s="294"/>
      <c r="B316" s="294"/>
      <c r="C316" s="294"/>
      <c r="D316" s="294"/>
      <c r="E316" s="294"/>
      <c r="F316" s="294"/>
      <c r="G316" s="295"/>
      <c r="H316" s="294"/>
      <c r="I316" s="294"/>
      <c r="J316" s="294"/>
      <c r="K316" s="294"/>
      <c r="L316" s="294"/>
      <c r="M316" s="294"/>
      <c r="N316" s="294"/>
      <c r="O316" s="294"/>
      <c r="P316" s="294"/>
      <c r="Q316" s="294"/>
      <c r="R316" s="294"/>
      <c r="S316" s="294"/>
      <c r="T316" s="294"/>
      <c r="U316" s="294"/>
      <c r="V316" s="294"/>
      <c r="W316" s="294"/>
      <c r="X316" s="294"/>
      <c r="Y316" s="294"/>
      <c r="Z316" s="294"/>
      <c r="AA316" s="294"/>
      <c r="AB316" s="294"/>
      <c r="AC316" s="294"/>
    </row>
    <row r="317" ht="15.75" customHeight="1">
      <c r="A317" s="294"/>
      <c r="B317" s="294"/>
      <c r="C317" s="294"/>
      <c r="D317" s="294"/>
      <c r="E317" s="294"/>
      <c r="F317" s="294"/>
      <c r="G317" s="295"/>
      <c r="H317" s="294"/>
      <c r="I317" s="294"/>
      <c r="J317" s="294"/>
      <c r="K317" s="294"/>
      <c r="L317" s="294"/>
      <c r="M317" s="294"/>
      <c r="N317" s="294"/>
      <c r="O317" s="294"/>
      <c r="P317" s="294"/>
      <c r="Q317" s="294"/>
      <c r="R317" s="294"/>
      <c r="S317" s="294"/>
      <c r="T317" s="294"/>
      <c r="U317" s="294"/>
      <c r="V317" s="294"/>
      <c r="W317" s="294"/>
      <c r="X317" s="294"/>
      <c r="Y317" s="294"/>
      <c r="Z317" s="294"/>
      <c r="AA317" s="294"/>
      <c r="AB317" s="294"/>
      <c r="AC317" s="294"/>
    </row>
    <row r="318" ht="15.75" customHeight="1">
      <c r="A318" s="294"/>
      <c r="B318" s="294"/>
      <c r="C318" s="294"/>
      <c r="D318" s="294"/>
      <c r="E318" s="294"/>
      <c r="F318" s="294"/>
      <c r="G318" s="295"/>
      <c r="H318" s="294"/>
      <c r="I318" s="294"/>
      <c r="J318" s="294"/>
      <c r="K318" s="294"/>
      <c r="L318" s="294"/>
      <c r="M318" s="294"/>
      <c r="N318" s="294"/>
      <c r="O318" s="294"/>
      <c r="P318" s="294"/>
      <c r="Q318" s="294"/>
      <c r="R318" s="294"/>
      <c r="S318" s="294"/>
      <c r="T318" s="294"/>
      <c r="U318" s="294"/>
      <c r="V318" s="294"/>
      <c r="W318" s="294"/>
      <c r="X318" s="294"/>
      <c r="Y318" s="294"/>
      <c r="Z318" s="294"/>
      <c r="AA318" s="294"/>
      <c r="AB318" s="294"/>
      <c r="AC318" s="294"/>
    </row>
    <row r="319" ht="15.75" customHeight="1">
      <c r="A319" s="294"/>
      <c r="B319" s="294"/>
      <c r="C319" s="294"/>
      <c r="D319" s="294"/>
      <c r="E319" s="294"/>
      <c r="F319" s="294"/>
      <c r="G319" s="295"/>
      <c r="H319" s="294"/>
      <c r="I319" s="294"/>
      <c r="J319" s="294"/>
      <c r="K319" s="294"/>
      <c r="L319" s="294"/>
      <c r="M319" s="294"/>
      <c r="N319" s="294"/>
      <c r="O319" s="294"/>
      <c r="P319" s="294"/>
      <c r="Q319" s="294"/>
      <c r="R319" s="294"/>
      <c r="S319" s="294"/>
      <c r="T319" s="294"/>
      <c r="U319" s="294"/>
      <c r="V319" s="294"/>
      <c r="W319" s="294"/>
      <c r="X319" s="294"/>
      <c r="Y319" s="294"/>
      <c r="Z319" s="294"/>
      <c r="AA319" s="294"/>
      <c r="AB319" s="294"/>
      <c r="AC319" s="294"/>
    </row>
    <row r="320" ht="15.75" customHeight="1">
      <c r="A320" s="294"/>
      <c r="B320" s="294"/>
      <c r="C320" s="294"/>
      <c r="D320" s="294"/>
      <c r="E320" s="294"/>
      <c r="F320" s="294"/>
      <c r="G320" s="295"/>
      <c r="H320" s="294"/>
      <c r="I320" s="294"/>
      <c r="J320" s="294"/>
      <c r="K320" s="294"/>
      <c r="L320" s="294"/>
      <c r="M320" s="294"/>
      <c r="N320" s="294"/>
      <c r="O320" s="294"/>
      <c r="P320" s="294"/>
      <c r="Q320" s="294"/>
      <c r="R320" s="294"/>
      <c r="S320" s="294"/>
      <c r="T320" s="294"/>
      <c r="U320" s="294"/>
      <c r="V320" s="294"/>
      <c r="W320" s="294"/>
      <c r="X320" s="294"/>
      <c r="Y320" s="294"/>
      <c r="Z320" s="294"/>
      <c r="AA320" s="294"/>
      <c r="AB320" s="294"/>
      <c r="AC320" s="294"/>
    </row>
    <row r="321" ht="15.75" customHeight="1">
      <c r="A321" s="294"/>
      <c r="B321" s="294"/>
      <c r="C321" s="294"/>
      <c r="D321" s="294"/>
      <c r="E321" s="294"/>
      <c r="F321" s="294"/>
      <c r="G321" s="295"/>
      <c r="H321" s="294"/>
      <c r="I321" s="294"/>
      <c r="J321" s="294"/>
      <c r="K321" s="294"/>
      <c r="L321" s="294"/>
      <c r="M321" s="294"/>
      <c r="N321" s="294"/>
      <c r="O321" s="294"/>
      <c r="P321" s="294"/>
      <c r="Q321" s="294"/>
      <c r="R321" s="294"/>
      <c r="S321" s="294"/>
      <c r="T321" s="294"/>
      <c r="U321" s="294"/>
      <c r="V321" s="294"/>
      <c r="W321" s="294"/>
      <c r="X321" s="294"/>
      <c r="Y321" s="294"/>
      <c r="Z321" s="294"/>
      <c r="AA321" s="294"/>
      <c r="AB321" s="294"/>
      <c r="AC321" s="294"/>
    </row>
    <row r="322" ht="15.75" customHeight="1">
      <c r="A322" s="294"/>
      <c r="B322" s="294"/>
      <c r="C322" s="294"/>
      <c r="D322" s="294"/>
      <c r="E322" s="294"/>
      <c r="F322" s="294"/>
      <c r="G322" s="295"/>
      <c r="H322" s="294"/>
      <c r="I322" s="294"/>
      <c r="J322" s="294"/>
      <c r="K322" s="294"/>
      <c r="L322" s="294"/>
      <c r="M322" s="294"/>
      <c r="N322" s="294"/>
      <c r="O322" s="294"/>
      <c r="P322" s="294"/>
      <c r="Q322" s="294"/>
      <c r="R322" s="294"/>
      <c r="S322" s="294"/>
      <c r="T322" s="294"/>
      <c r="U322" s="294"/>
      <c r="V322" s="294"/>
      <c r="W322" s="294"/>
      <c r="X322" s="294"/>
      <c r="Y322" s="294"/>
      <c r="Z322" s="294"/>
      <c r="AA322" s="294"/>
      <c r="AB322" s="294"/>
      <c r="AC322" s="294"/>
    </row>
    <row r="323" ht="15.75" customHeight="1">
      <c r="A323" s="294"/>
      <c r="B323" s="294"/>
      <c r="C323" s="294"/>
      <c r="D323" s="294"/>
      <c r="E323" s="294"/>
      <c r="F323" s="294"/>
      <c r="G323" s="295"/>
      <c r="H323" s="294"/>
      <c r="I323" s="294"/>
      <c r="J323" s="294"/>
      <c r="K323" s="294"/>
      <c r="L323" s="294"/>
      <c r="M323" s="294"/>
      <c r="N323" s="294"/>
      <c r="O323" s="294"/>
      <c r="P323" s="294"/>
      <c r="Q323" s="294"/>
      <c r="R323" s="294"/>
      <c r="S323" s="294"/>
      <c r="T323" s="294"/>
      <c r="U323" s="294"/>
      <c r="V323" s="294"/>
      <c r="W323" s="294"/>
      <c r="X323" s="294"/>
      <c r="Y323" s="294"/>
      <c r="Z323" s="294"/>
      <c r="AA323" s="294"/>
      <c r="AB323" s="294"/>
      <c r="AC323" s="294"/>
    </row>
    <row r="324" ht="15.75" customHeight="1">
      <c r="A324" s="294"/>
      <c r="B324" s="294"/>
      <c r="C324" s="294"/>
      <c r="D324" s="294"/>
      <c r="E324" s="294"/>
      <c r="F324" s="294"/>
      <c r="G324" s="295"/>
      <c r="H324" s="294"/>
      <c r="I324" s="294"/>
      <c r="J324" s="294"/>
      <c r="K324" s="294"/>
      <c r="L324" s="294"/>
      <c r="M324" s="294"/>
      <c r="N324" s="294"/>
      <c r="O324" s="294"/>
      <c r="P324" s="294"/>
      <c r="Q324" s="294"/>
      <c r="R324" s="294"/>
      <c r="S324" s="294"/>
      <c r="T324" s="294"/>
      <c r="U324" s="294"/>
      <c r="V324" s="294"/>
      <c r="W324" s="294"/>
      <c r="X324" s="294"/>
      <c r="Y324" s="294"/>
      <c r="Z324" s="294"/>
      <c r="AA324" s="294"/>
      <c r="AB324" s="294"/>
      <c r="AC324" s="294"/>
    </row>
    <row r="325" ht="15.75" customHeight="1">
      <c r="A325" s="294"/>
      <c r="B325" s="294"/>
      <c r="C325" s="294"/>
      <c r="D325" s="294"/>
      <c r="E325" s="294"/>
      <c r="F325" s="294"/>
      <c r="G325" s="295"/>
      <c r="H325" s="294"/>
      <c r="I325" s="294"/>
      <c r="J325" s="294"/>
      <c r="K325" s="294"/>
      <c r="L325" s="294"/>
      <c r="M325" s="294"/>
      <c r="N325" s="294"/>
      <c r="O325" s="294"/>
      <c r="P325" s="294"/>
      <c r="Q325" s="294"/>
      <c r="R325" s="294"/>
      <c r="S325" s="294"/>
      <c r="T325" s="294"/>
      <c r="U325" s="294"/>
      <c r="V325" s="294"/>
      <c r="W325" s="294"/>
      <c r="X325" s="294"/>
      <c r="Y325" s="294"/>
      <c r="Z325" s="294"/>
      <c r="AA325" s="294"/>
      <c r="AB325" s="294"/>
      <c r="AC325" s="294"/>
    </row>
    <row r="326" ht="15.75" customHeight="1">
      <c r="A326" s="294"/>
      <c r="B326" s="294"/>
      <c r="C326" s="294"/>
      <c r="D326" s="294"/>
      <c r="E326" s="294"/>
      <c r="F326" s="294"/>
      <c r="G326" s="295"/>
      <c r="H326" s="294"/>
      <c r="I326" s="294"/>
      <c r="J326" s="294"/>
      <c r="K326" s="294"/>
      <c r="L326" s="294"/>
      <c r="M326" s="294"/>
      <c r="N326" s="294"/>
      <c r="O326" s="294"/>
      <c r="P326" s="294"/>
      <c r="Q326" s="294"/>
      <c r="R326" s="294"/>
      <c r="S326" s="294"/>
      <c r="T326" s="294"/>
      <c r="U326" s="294"/>
      <c r="V326" s="294"/>
      <c r="W326" s="294"/>
      <c r="X326" s="294"/>
      <c r="Y326" s="294"/>
      <c r="Z326" s="294"/>
      <c r="AA326" s="294"/>
      <c r="AB326" s="294"/>
      <c r="AC326" s="294"/>
    </row>
    <row r="327" ht="15.75" customHeight="1">
      <c r="A327" s="294"/>
      <c r="B327" s="294"/>
      <c r="C327" s="294"/>
      <c r="D327" s="294"/>
      <c r="E327" s="294"/>
      <c r="F327" s="294"/>
      <c r="G327" s="295"/>
      <c r="H327" s="294"/>
      <c r="I327" s="294"/>
      <c r="J327" s="294"/>
      <c r="K327" s="294"/>
      <c r="L327" s="294"/>
      <c r="M327" s="294"/>
      <c r="N327" s="294"/>
      <c r="O327" s="294"/>
      <c r="P327" s="294"/>
      <c r="Q327" s="294"/>
      <c r="R327" s="294"/>
      <c r="S327" s="294"/>
      <c r="T327" s="294"/>
      <c r="U327" s="294"/>
      <c r="V327" s="294"/>
      <c r="W327" s="294"/>
      <c r="X327" s="294"/>
      <c r="Y327" s="294"/>
      <c r="Z327" s="294"/>
      <c r="AA327" s="294"/>
      <c r="AB327" s="294"/>
      <c r="AC327" s="294"/>
    </row>
    <row r="328" ht="15.75" customHeight="1">
      <c r="A328" s="294"/>
      <c r="B328" s="294"/>
      <c r="C328" s="294"/>
      <c r="D328" s="294"/>
      <c r="E328" s="294"/>
      <c r="F328" s="294"/>
      <c r="G328" s="295"/>
      <c r="H328" s="294"/>
      <c r="I328" s="294"/>
      <c r="J328" s="294"/>
      <c r="K328" s="294"/>
      <c r="L328" s="294"/>
      <c r="M328" s="294"/>
      <c r="N328" s="294"/>
      <c r="O328" s="294"/>
      <c r="P328" s="294"/>
      <c r="Q328" s="294"/>
      <c r="R328" s="294"/>
      <c r="S328" s="294"/>
      <c r="T328" s="294"/>
      <c r="U328" s="294"/>
      <c r="V328" s="294"/>
      <c r="W328" s="294"/>
      <c r="X328" s="294"/>
      <c r="Y328" s="294"/>
      <c r="Z328" s="294"/>
      <c r="AA328" s="294"/>
      <c r="AB328" s="294"/>
      <c r="AC328" s="294"/>
    </row>
    <row r="329" ht="15.75" customHeight="1">
      <c r="A329" s="294"/>
      <c r="B329" s="294"/>
      <c r="C329" s="294"/>
      <c r="D329" s="294"/>
      <c r="E329" s="294"/>
      <c r="F329" s="294"/>
      <c r="G329" s="295"/>
      <c r="H329" s="294"/>
      <c r="I329" s="294"/>
      <c r="J329" s="294"/>
      <c r="K329" s="294"/>
      <c r="L329" s="294"/>
      <c r="M329" s="294"/>
      <c r="N329" s="294"/>
      <c r="O329" s="294"/>
      <c r="P329" s="294"/>
      <c r="Q329" s="294"/>
      <c r="R329" s="294"/>
      <c r="S329" s="294"/>
      <c r="T329" s="294"/>
      <c r="U329" s="294"/>
      <c r="V329" s="294"/>
      <c r="W329" s="294"/>
      <c r="X329" s="294"/>
      <c r="Y329" s="294"/>
      <c r="Z329" s="294"/>
      <c r="AA329" s="294"/>
      <c r="AB329" s="294"/>
      <c r="AC329" s="294"/>
    </row>
    <row r="330" ht="15.75" customHeight="1">
      <c r="A330" s="294"/>
      <c r="B330" s="294"/>
      <c r="C330" s="294"/>
      <c r="D330" s="294"/>
      <c r="E330" s="294"/>
      <c r="F330" s="294"/>
      <c r="G330" s="295"/>
      <c r="H330" s="294"/>
      <c r="I330" s="294"/>
      <c r="J330" s="294"/>
      <c r="K330" s="294"/>
      <c r="L330" s="294"/>
      <c r="M330" s="294"/>
      <c r="N330" s="294"/>
      <c r="O330" s="294"/>
      <c r="P330" s="294"/>
      <c r="Q330" s="294"/>
      <c r="R330" s="294"/>
      <c r="S330" s="294"/>
      <c r="T330" s="294"/>
      <c r="U330" s="294"/>
      <c r="V330" s="294"/>
      <c r="W330" s="294"/>
      <c r="X330" s="294"/>
      <c r="Y330" s="294"/>
      <c r="Z330" s="294"/>
      <c r="AA330" s="294"/>
      <c r="AB330" s="294"/>
      <c r="AC330" s="294"/>
    </row>
    <row r="331" ht="15.75" customHeight="1">
      <c r="A331" s="294"/>
      <c r="B331" s="294"/>
      <c r="C331" s="294"/>
      <c r="D331" s="294"/>
      <c r="E331" s="294"/>
      <c r="F331" s="294"/>
      <c r="G331" s="295"/>
      <c r="H331" s="294"/>
      <c r="I331" s="294"/>
      <c r="J331" s="294"/>
      <c r="K331" s="294"/>
      <c r="L331" s="294"/>
      <c r="M331" s="294"/>
      <c r="N331" s="294"/>
      <c r="O331" s="294"/>
      <c r="P331" s="294"/>
      <c r="Q331" s="294"/>
      <c r="R331" s="294"/>
      <c r="S331" s="294"/>
      <c r="T331" s="294"/>
      <c r="U331" s="294"/>
      <c r="V331" s="294"/>
      <c r="W331" s="294"/>
      <c r="X331" s="294"/>
      <c r="Y331" s="294"/>
      <c r="Z331" s="294"/>
      <c r="AA331" s="294"/>
      <c r="AB331" s="294"/>
      <c r="AC331" s="294"/>
    </row>
    <row r="332" ht="15.75" customHeight="1">
      <c r="A332" s="294"/>
      <c r="B332" s="294"/>
      <c r="C332" s="294"/>
      <c r="D332" s="294"/>
      <c r="E332" s="294"/>
      <c r="F332" s="294"/>
      <c r="G332" s="295"/>
      <c r="H332" s="294"/>
      <c r="I332" s="294"/>
      <c r="J332" s="294"/>
      <c r="K332" s="294"/>
      <c r="L332" s="294"/>
      <c r="M332" s="294"/>
      <c r="N332" s="294"/>
      <c r="O332" s="294"/>
      <c r="P332" s="294"/>
      <c r="Q332" s="294"/>
      <c r="R332" s="294"/>
      <c r="S332" s="294"/>
      <c r="T332" s="294"/>
      <c r="U332" s="294"/>
      <c r="V332" s="294"/>
      <c r="W332" s="294"/>
      <c r="X332" s="294"/>
      <c r="Y332" s="294"/>
      <c r="Z332" s="294"/>
      <c r="AA332" s="294"/>
      <c r="AB332" s="294"/>
      <c r="AC332" s="294"/>
    </row>
    <row r="333" ht="15.75" customHeight="1">
      <c r="A333" s="294"/>
      <c r="B333" s="294"/>
      <c r="C333" s="294"/>
      <c r="D333" s="294"/>
      <c r="E333" s="294"/>
      <c r="F333" s="294"/>
      <c r="G333" s="295"/>
      <c r="H333" s="294"/>
      <c r="I333" s="294"/>
      <c r="J333" s="294"/>
      <c r="K333" s="294"/>
      <c r="L333" s="294"/>
      <c r="M333" s="294"/>
      <c r="N333" s="294"/>
      <c r="O333" s="294"/>
      <c r="P333" s="294"/>
      <c r="Q333" s="294"/>
      <c r="R333" s="294"/>
      <c r="S333" s="294"/>
      <c r="T333" s="294"/>
      <c r="U333" s="294"/>
      <c r="V333" s="294"/>
      <c r="W333" s="294"/>
      <c r="X333" s="294"/>
      <c r="Y333" s="294"/>
      <c r="Z333" s="294"/>
      <c r="AA333" s="294"/>
      <c r="AB333" s="294"/>
      <c r="AC333" s="294"/>
    </row>
    <row r="334" ht="15.75" customHeight="1">
      <c r="A334" s="294"/>
      <c r="B334" s="294"/>
      <c r="C334" s="294"/>
      <c r="D334" s="294"/>
      <c r="E334" s="294"/>
      <c r="F334" s="294"/>
      <c r="G334" s="295"/>
      <c r="H334" s="294"/>
      <c r="I334" s="294"/>
      <c r="J334" s="294"/>
      <c r="K334" s="294"/>
      <c r="L334" s="294"/>
      <c r="M334" s="294"/>
      <c r="N334" s="294"/>
      <c r="O334" s="294"/>
      <c r="P334" s="294"/>
      <c r="Q334" s="294"/>
      <c r="R334" s="294"/>
      <c r="S334" s="294"/>
      <c r="T334" s="294"/>
      <c r="U334" s="294"/>
      <c r="V334" s="294"/>
      <c r="W334" s="294"/>
      <c r="X334" s="294"/>
      <c r="Y334" s="294"/>
      <c r="Z334" s="294"/>
      <c r="AA334" s="294"/>
      <c r="AB334" s="294"/>
      <c r="AC334" s="294"/>
    </row>
    <row r="335" ht="15.75" customHeight="1">
      <c r="A335" s="294"/>
      <c r="B335" s="294"/>
      <c r="C335" s="294"/>
      <c r="D335" s="294"/>
      <c r="E335" s="294"/>
      <c r="F335" s="294"/>
      <c r="G335" s="295"/>
      <c r="H335" s="294"/>
      <c r="I335" s="294"/>
      <c r="J335" s="294"/>
      <c r="K335" s="294"/>
      <c r="L335" s="294"/>
      <c r="M335" s="294"/>
      <c r="N335" s="294"/>
      <c r="O335" s="294"/>
      <c r="P335" s="294"/>
      <c r="Q335" s="294"/>
      <c r="R335" s="294"/>
      <c r="S335" s="294"/>
      <c r="T335" s="294"/>
      <c r="U335" s="294"/>
      <c r="V335" s="294"/>
      <c r="W335" s="294"/>
      <c r="X335" s="294"/>
      <c r="Y335" s="294"/>
      <c r="Z335" s="294"/>
      <c r="AA335" s="294"/>
      <c r="AB335" s="294"/>
      <c r="AC335" s="294"/>
    </row>
    <row r="336" ht="15.75" customHeight="1">
      <c r="A336" s="294"/>
      <c r="B336" s="294"/>
      <c r="C336" s="294"/>
      <c r="D336" s="294"/>
      <c r="E336" s="294"/>
      <c r="F336" s="294"/>
      <c r="G336" s="295"/>
      <c r="H336" s="294"/>
      <c r="I336" s="294"/>
      <c r="J336" s="294"/>
      <c r="K336" s="294"/>
      <c r="L336" s="294"/>
      <c r="M336" s="294"/>
      <c r="N336" s="294"/>
      <c r="O336" s="294"/>
      <c r="P336" s="294"/>
      <c r="Q336" s="294"/>
      <c r="R336" s="294"/>
      <c r="S336" s="294"/>
      <c r="T336" s="294"/>
      <c r="U336" s="294"/>
      <c r="V336" s="294"/>
      <c r="W336" s="294"/>
      <c r="X336" s="294"/>
      <c r="Y336" s="294"/>
      <c r="Z336" s="294"/>
      <c r="AA336" s="294"/>
      <c r="AB336" s="294"/>
      <c r="AC336" s="294"/>
    </row>
    <row r="337" ht="15.75" customHeight="1">
      <c r="A337" s="294"/>
      <c r="B337" s="294"/>
      <c r="C337" s="294"/>
      <c r="D337" s="294"/>
      <c r="E337" s="294"/>
      <c r="F337" s="294"/>
      <c r="G337" s="295"/>
      <c r="H337" s="294"/>
      <c r="I337" s="294"/>
      <c r="J337" s="294"/>
      <c r="K337" s="294"/>
      <c r="L337" s="294"/>
      <c r="M337" s="294"/>
      <c r="N337" s="294"/>
      <c r="O337" s="294"/>
      <c r="P337" s="294"/>
      <c r="Q337" s="294"/>
      <c r="R337" s="294"/>
      <c r="S337" s="294"/>
      <c r="T337" s="294"/>
      <c r="U337" s="294"/>
      <c r="V337" s="294"/>
      <c r="W337" s="294"/>
      <c r="X337" s="294"/>
      <c r="Y337" s="294"/>
      <c r="Z337" s="294"/>
      <c r="AA337" s="294"/>
      <c r="AB337" s="294"/>
      <c r="AC337" s="294"/>
    </row>
    <row r="338" ht="15.75" customHeight="1">
      <c r="A338" s="294"/>
      <c r="B338" s="294"/>
      <c r="C338" s="294"/>
      <c r="D338" s="294"/>
      <c r="E338" s="294"/>
      <c r="F338" s="294"/>
      <c r="G338" s="295"/>
      <c r="H338" s="294"/>
      <c r="I338" s="294"/>
      <c r="J338" s="294"/>
      <c r="K338" s="294"/>
      <c r="L338" s="294"/>
      <c r="M338" s="294"/>
      <c r="N338" s="294"/>
      <c r="O338" s="294"/>
      <c r="P338" s="294"/>
      <c r="Q338" s="294"/>
      <c r="R338" s="294"/>
      <c r="S338" s="294"/>
      <c r="T338" s="294"/>
      <c r="U338" s="294"/>
      <c r="V338" s="294"/>
      <c r="W338" s="294"/>
      <c r="X338" s="294"/>
      <c r="Y338" s="294"/>
      <c r="Z338" s="294"/>
      <c r="AA338" s="294"/>
      <c r="AB338" s="294"/>
      <c r="AC338" s="294"/>
    </row>
    <row r="339" ht="15.75" customHeight="1">
      <c r="A339" s="294"/>
      <c r="B339" s="294"/>
      <c r="C339" s="294"/>
      <c r="D339" s="294"/>
      <c r="E339" s="294"/>
      <c r="F339" s="294"/>
      <c r="G339" s="295"/>
      <c r="H339" s="294"/>
      <c r="I339" s="294"/>
      <c r="J339" s="294"/>
      <c r="K339" s="294"/>
      <c r="L339" s="294"/>
      <c r="M339" s="294"/>
      <c r="N339" s="294"/>
      <c r="O339" s="294"/>
      <c r="P339" s="294"/>
      <c r="Q339" s="294"/>
      <c r="R339" s="294"/>
      <c r="S339" s="294"/>
      <c r="T339" s="294"/>
      <c r="U339" s="294"/>
      <c r="V339" s="294"/>
      <c r="W339" s="294"/>
      <c r="X339" s="294"/>
      <c r="Y339" s="294"/>
      <c r="Z339" s="294"/>
      <c r="AA339" s="294"/>
      <c r="AB339" s="294"/>
      <c r="AC339" s="294"/>
    </row>
    <row r="340" ht="15.75" customHeight="1">
      <c r="A340" s="294"/>
      <c r="B340" s="294"/>
      <c r="C340" s="294"/>
      <c r="D340" s="294"/>
      <c r="E340" s="294"/>
      <c r="F340" s="294"/>
      <c r="G340" s="295"/>
      <c r="H340" s="294"/>
      <c r="I340" s="294"/>
      <c r="J340" s="294"/>
      <c r="K340" s="294"/>
      <c r="L340" s="294"/>
      <c r="M340" s="294"/>
      <c r="N340" s="294"/>
      <c r="O340" s="294"/>
      <c r="P340" s="294"/>
      <c r="Q340" s="294"/>
      <c r="R340" s="294"/>
      <c r="S340" s="294"/>
      <c r="T340" s="294"/>
      <c r="U340" s="294"/>
      <c r="V340" s="294"/>
      <c r="W340" s="294"/>
      <c r="X340" s="294"/>
      <c r="Y340" s="294"/>
      <c r="Z340" s="294"/>
      <c r="AA340" s="294"/>
      <c r="AB340" s="294"/>
      <c r="AC340" s="294"/>
    </row>
    <row r="341" ht="15.75" customHeight="1">
      <c r="A341" s="294"/>
      <c r="B341" s="294"/>
      <c r="C341" s="294"/>
      <c r="D341" s="294"/>
      <c r="E341" s="294"/>
      <c r="F341" s="294"/>
      <c r="G341" s="295"/>
      <c r="H341" s="294"/>
      <c r="I341" s="294"/>
      <c r="J341" s="294"/>
      <c r="K341" s="294"/>
      <c r="L341" s="294"/>
      <c r="M341" s="294"/>
      <c r="N341" s="294"/>
      <c r="O341" s="294"/>
      <c r="P341" s="294"/>
      <c r="Q341" s="294"/>
      <c r="R341" s="294"/>
      <c r="S341" s="294"/>
      <c r="T341" s="294"/>
      <c r="U341" s="294"/>
      <c r="V341" s="294"/>
      <c r="W341" s="294"/>
      <c r="X341" s="294"/>
      <c r="Y341" s="294"/>
      <c r="Z341" s="294"/>
      <c r="AA341" s="294"/>
      <c r="AB341" s="294"/>
      <c r="AC341" s="294"/>
    </row>
    <row r="342" ht="15.75" customHeight="1">
      <c r="A342" s="294"/>
      <c r="B342" s="294"/>
      <c r="C342" s="294"/>
      <c r="D342" s="294"/>
      <c r="E342" s="294"/>
      <c r="F342" s="294"/>
      <c r="G342" s="295"/>
      <c r="H342" s="294"/>
      <c r="I342" s="294"/>
      <c r="J342" s="294"/>
      <c r="K342" s="294"/>
      <c r="L342" s="294"/>
      <c r="M342" s="294"/>
      <c r="N342" s="294"/>
      <c r="O342" s="294"/>
      <c r="P342" s="294"/>
      <c r="Q342" s="294"/>
      <c r="R342" s="294"/>
      <c r="S342" s="294"/>
      <c r="T342" s="294"/>
      <c r="U342" s="294"/>
      <c r="V342" s="294"/>
      <c r="W342" s="294"/>
      <c r="X342" s="294"/>
      <c r="Y342" s="294"/>
      <c r="Z342" s="294"/>
      <c r="AA342" s="294"/>
      <c r="AB342" s="294"/>
      <c r="AC342" s="294"/>
    </row>
    <row r="343" ht="15.75" customHeight="1">
      <c r="A343" s="294"/>
      <c r="B343" s="294"/>
      <c r="C343" s="294"/>
      <c r="D343" s="294"/>
      <c r="E343" s="294"/>
      <c r="F343" s="294"/>
      <c r="G343" s="295"/>
      <c r="H343" s="294"/>
      <c r="I343" s="294"/>
      <c r="J343" s="294"/>
      <c r="K343" s="294"/>
      <c r="L343" s="294"/>
      <c r="M343" s="294"/>
      <c r="N343" s="294"/>
      <c r="O343" s="294"/>
      <c r="P343" s="294"/>
      <c r="Q343" s="294"/>
      <c r="R343" s="294"/>
      <c r="S343" s="294"/>
      <c r="T343" s="294"/>
      <c r="U343" s="294"/>
      <c r="V343" s="294"/>
      <c r="W343" s="294"/>
      <c r="X343" s="294"/>
      <c r="Y343" s="294"/>
      <c r="Z343" s="294"/>
      <c r="AA343" s="294"/>
      <c r="AB343" s="294"/>
      <c r="AC343" s="294"/>
    </row>
    <row r="344" ht="15.75" customHeight="1">
      <c r="A344" s="294"/>
      <c r="B344" s="294"/>
      <c r="C344" s="294"/>
      <c r="D344" s="294"/>
      <c r="E344" s="294"/>
      <c r="F344" s="294"/>
      <c r="G344" s="295"/>
      <c r="H344" s="294"/>
      <c r="I344" s="294"/>
      <c r="J344" s="294"/>
      <c r="K344" s="294"/>
      <c r="L344" s="294"/>
      <c r="M344" s="294"/>
      <c r="N344" s="294"/>
      <c r="O344" s="294"/>
      <c r="P344" s="294"/>
      <c r="Q344" s="294"/>
      <c r="R344" s="294"/>
      <c r="S344" s="294"/>
      <c r="T344" s="294"/>
      <c r="U344" s="294"/>
      <c r="V344" s="294"/>
      <c r="W344" s="294"/>
      <c r="X344" s="294"/>
      <c r="Y344" s="294"/>
      <c r="Z344" s="294"/>
      <c r="AA344" s="294"/>
      <c r="AB344" s="294"/>
      <c r="AC344" s="294"/>
    </row>
    <row r="345" ht="15.75" customHeight="1">
      <c r="A345" s="294"/>
      <c r="B345" s="294"/>
      <c r="C345" s="294"/>
      <c r="D345" s="294"/>
      <c r="E345" s="294"/>
      <c r="F345" s="294"/>
      <c r="G345" s="295"/>
      <c r="H345" s="294"/>
      <c r="I345" s="294"/>
      <c r="J345" s="294"/>
      <c r="K345" s="294"/>
      <c r="L345" s="294"/>
      <c r="M345" s="294"/>
      <c r="N345" s="294"/>
      <c r="O345" s="294"/>
      <c r="P345" s="294"/>
      <c r="Q345" s="294"/>
      <c r="R345" s="294"/>
      <c r="S345" s="294"/>
      <c r="T345" s="294"/>
      <c r="U345" s="294"/>
      <c r="V345" s="294"/>
      <c r="W345" s="294"/>
      <c r="X345" s="294"/>
      <c r="Y345" s="294"/>
      <c r="Z345" s="294"/>
      <c r="AA345" s="294"/>
      <c r="AB345" s="294"/>
      <c r="AC345" s="294"/>
    </row>
    <row r="346" ht="15.75" customHeight="1">
      <c r="A346" s="294"/>
      <c r="B346" s="294"/>
      <c r="C346" s="294"/>
      <c r="D346" s="294"/>
      <c r="E346" s="294"/>
      <c r="F346" s="294"/>
      <c r="G346" s="295"/>
      <c r="H346" s="294"/>
      <c r="I346" s="294"/>
      <c r="J346" s="294"/>
      <c r="K346" s="294"/>
      <c r="L346" s="294"/>
      <c r="M346" s="294"/>
      <c r="N346" s="294"/>
      <c r="O346" s="294"/>
      <c r="P346" s="294"/>
      <c r="Q346" s="294"/>
      <c r="R346" s="294"/>
      <c r="S346" s="294"/>
      <c r="T346" s="294"/>
      <c r="U346" s="294"/>
      <c r="V346" s="294"/>
      <c r="W346" s="294"/>
      <c r="X346" s="294"/>
      <c r="Y346" s="294"/>
      <c r="Z346" s="294"/>
      <c r="AA346" s="294"/>
      <c r="AB346" s="294"/>
      <c r="AC346" s="294"/>
    </row>
    <row r="347" ht="15.75" customHeight="1">
      <c r="A347" s="294"/>
      <c r="B347" s="294"/>
      <c r="C347" s="294"/>
      <c r="D347" s="294"/>
      <c r="E347" s="294"/>
      <c r="F347" s="294"/>
      <c r="G347" s="295"/>
      <c r="H347" s="294"/>
      <c r="I347" s="294"/>
      <c r="J347" s="294"/>
      <c r="K347" s="294"/>
      <c r="L347" s="294"/>
      <c r="M347" s="294"/>
      <c r="N347" s="294"/>
      <c r="O347" s="294"/>
      <c r="P347" s="294"/>
      <c r="Q347" s="294"/>
      <c r="R347" s="294"/>
      <c r="S347" s="294"/>
      <c r="T347" s="294"/>
      <c r="U347" s="294"/>
      <c r="V347" s="294"/>
      <c r="W347" s="294"/>
      <c r="X347" s="294"/>
      <c r="Y347" s="294"/>
      <c r="Z347" s="294"/>
      <c r="AA347" s="294"/>
      <c r="AB347" s="294"/>
      <c r="AC347" s="294"/>
    </row>
    <row r="348" ht="15.75" customHeight="1">
      <c r="A348" s="294"/>
      <c r="B348" s="294"/>
      <c r="C348" s="294"/>
      <c r="D348" s="294"/>
      <c r="E348" s="294"/>
      <c r="F348" s="294"/>
      <c r="G348" s="295"/>
      <c r="H348" s="294"/>
      <c r="I348" s="294"/>
      <c r="J348" s="294"/>
      <c r="K348" s="294"/>
      <c r="L348" s="294"/>
      <c r="M348" s="294"/>
      <c r="N348" s="294"/>
      <c r="O348" s="294"/>
      <c r="P348" s="294"/>
      <c r="Q348" s="294"/>
      <c r="R348" s="294"/>
      <c r="S348" s="294"/>
      <c r="T348" s="294"/>
      <c r="U348" s="294"/>
      <c r="V348" s="294"/>
      <c r="W348" s="294"/>
      <c r="X348" s="294"/>
      <c r="Y348" s="294"/>
      <c r="Z348" s="294"/>
      <c r="AA348" s="294"/>
      <c r="AB348" s="294"/>
      <c r="AC348" s="294"/>
    </row>
    <row r="349" ht="15.75" customHeight="1">
      <c r="A349" s="294"/>
      <c r="B349" s="294"/>
      <c r="C349" s="294"/>
      <c r="D349" s="294"/>
      <c r="E349" s="294"/>
      <c r="F349" s="294"/>
      <c r="G349" s="295"/>
      <c r="H349" s="294"/>
      <c r="I349" s="294"/>
      <c r="J349" s="294"/>
      <c r="K349" s="294"/>
      <c r="L349" s="294"/>
      <c r="M349" s="294"/>
      <c r="N349" s="294"/>
      <c r="O349" s="294"/>
      <c r="P349" s="294"/>
      <c r="Q349" s="294"/>
      <c r="R349" s="294"/>
      <c r="S349" s="294"/>
      <c r="T349" s="294"/>
      <c r="U349" s="294"/>
      <c r="V349" s="294"/>
      <c r="W349" s="294"/>
      <c r="X349" s="294"/>
      <c r="Y349" s="294"/>
      <c r="Z349" s="294"/>
      <c r="AA349" s="294"/>
      <c r="AB349" s="294"/>
      <c r="AC349" s="294"/>
    </row>
    <row r="350" ht="15.75" customHeight="1">
      <c r="A350" s="294"/>
      <c r="B350" s="294"/>
      <c r="C350" s="294"/>
      <c r="D350" s="294"/>
      <c r="E350" s="294"/>
      <c r="F350" s="294"/>
      <c r="G350" s="295"/>
      <c r="H350" s="294"/>
      <c r="I350" s="294"/>
      <c r="J350" s="294"/>
      <c r="K350" s="294"/>
      <c r="L350" s="294"/>
      <c r="M350" s="294"/>
      <c r="N350" s="294"/>
      <c r="O350" s="294"/>
      <c r="P350" s="294"/>
      <c r="Q350" s="294"/>
      <c r="R350" s="294"/>
      <c r="S350" s="294"/>
      <c r="T350" s="294"/>
      <c r="U350" s="294"/>
      <c r="V350" s="294"/>
      <c r="W350" s="294"/>
      <c r="X350" s="294"/>
      <c r="Y350" s="294"/>
      <c r="Z350" s="294"/>
      <c r="AA350" s="294"/>
      <c r="AB350" s="294"/>
      <c r="AC350" s="294"/>
    </row>
    <row r="351" ht="15.75" customHeight="1">
      <c r="A351" s="294"/>
      <c r="B351" s="294"/>
      <c r="C351" s="294"/>
      <c r="D351" s="294"/>
      <c r="E351" s="294"/>
      <c r="F351" s="294"/>
      <c r="G351" s="295"/>
      <c r="H351" s="294"/>
      <c r="I351" s="294"/>
      <c r="J351" s="294"/>
      <c r="K351" s="294"/>
      <c r="L351" s="294"/>
      <c r="M351" s="294"/>
      <c r="N351" s="294"/>
      <c r="O351" s="294"/>
      <c r="P351" s="294"/>
      <c r="Q351" s="294"/>
      <c r="R351" s="294"/>
      <c r="S351" s="294"/>
      <c r="T351" s="294"/>
      <c r="U351" s="294"/>
      <c r="V351" s="294"/>
      <c r="W351" s="294"/>
      <c r="X351" s="294"/>
      <c r="Y351" s="294"/>
      <c r="Z351" s="294"/>
      <c r="AA351" s="294"/>
      <c r="AB351" s="294"/>
      <c r="AC351" s="294"/>
    </row>
    <row r="352" ht="15.75" customHeight="1">
      <c r="A352" s="294"/>
      <c r="B352" s="294"/>
      <c r="C352" s="294"/>
      <c r="D352" s="294"/>
      <c r="E352" s="294"/>
      <c r="F352" s="294"/>
      <c r="G352" s="295"/>
      <c r="H352" s="294"/>
      <c r="I352" s="294"/>
      <c r="J352" s="294"/>
      <c r="K352" s="294"/>
      <c r="L352" s="294"/>
      <c r="M352" s="294"/>
      <c r="N352" s="294"/>
      <c r="O352" s="294"/>
      <c r="P352" s="294"/>
      <c r="Q352" s="294"/>
      <c r="R352" s="294"/>
      <c r="S352" s="294"/>
      <c r="T352" s="294"/>
      <c r="U352" s="294"/>
      <c r="V352" s="294"/>
      <c r="W352" s="294"/>
      <c r="X352" s="294"/>
      <c r="Y352" s="294"/>
      <c r="Z352" s="294"/>
      <c r="AA352" s="294"/>
      <c r="AB352" s="294"/>
      <c r="AC352" s="294"/>
    </row>
    <row r="353" ht="15.75" customHeight="1">
      <c r="A353" s="294"/>
      <c r="B353" s="294"/>
      <c r="C353" s="294"/>
      <c r="D353" s="294"/>
      <c r="E353" s="294"/>
      <c r="F353" s="294"/>
      <c r="G353" s="295"/>
      <c r="H353" s="294"/>
      <c r="I353" s="294"/>
      <c r="J353" s="294"/>
      <c r="K353" s="294"/>
      <c r="L353" s="294"/>
      <c r="M353" s="294"/>
      <c r="N353" s="294"/>
      <c r="O353" s="294"/>
      <c r="P353" s="294"/>
      <c r="Q353" s="294"/>
      <c r="R353" s="294"/>
      <c r="S353" s="294"/>
      <c r="T353" s="294"/>
      <c r="U353" s="294"/>
      <c r="V353" s="294"/>
      <c r="W353" s="294"/>
      <c r="X353" s="294"/>
      <c r="Y353" s="294"/>
      <c r="Z353" s="294"/>
      <c r="AA353" s="294"/>
      <c r="AB353" s="294"/>
      <c r="AC353" s="294"/>
    </row>
    <row r="354" ht="15.75" customHeight="1">
      <c r="A354" s="294"/>
      <c r="B354" s="294"/>
      <c r="C354" s="294"/>
      <c r="D354" s="294"/>
      <c r="E354" s="294"/>
      <c r="F354" s="294"/>
      <c r="G354" s="295"/>
      <c r="H354" s="294"/>
      <c r="I354" s="294"/>
      <c r="J354" s="294"/>
      <c r="K354" s="294"/>
      <c r="L354" s="294"/>
      <c r="M354" s="294"/>
      <c r="N354" s="294"/>
      <c r="O354" s="294"/>
      <c r="P354" s="294"/>
      <c r="Q354" s="294"/>
      <c r="R354" s="294"/>
      <c r="S354" s="294"/>
      <c r="T354" s="294"/>
      <c r="U354" s="294"/>
      <c r="V354" s="294"/>
      <c r="W354" s="294"/>
      <c r="X354" s="294"/>
      <c r="Y354" s="294"/>
      <c r="Z354" s="294"/>
      <c r="AA354" s="294"/>
      <c r="AB354" s="294"/>
      <c r="AC354" s="294"/>
    </row>
    <row r="355" ht="15.75" customHeight="1">
      <c r="A355" s="294"/>
      <c r="B355" s="294"/>
      <c r="C355" s="294"/>
      <c r="D355" s="294"/>
      <c r="E355" s="294"/>
      <c r="F355" s="294"/>
      <c r="G355" s="295"/>
      <c r="H355" s="294"/>
      <c r="I355" s="294"/>
      <c r="J355" s="294"/>
      <c r="K355" s="294"/>
      <c r="L355" s="294"/>
      <c r="M355" s="294"/>
      <c r="N355" s="294"/>
      <c r="O355" s="294"/>
      <c r="P355" s="294"/>
      <c r="Q355" s="294"/>
      <c r="R355" s="294"/>
      <c r="S355" s="294"/>
      <c r="T355" s="294"/>
      <c r="U355" s="294"/>
      <c r="V355" s="294"/>
      <c r="W355" s="294"/>
      <c r="X355" s="294"/>
      <c r="Y355" s="294"/>
      <c r="Z355" s="294"/>
      <c r="AA355" s="294"/>
      <c r="AB355" s="294"/>
      <c r="AC355" s="294"/>
    </row>
    <row r="356" ht="15.75" customHeight="1">
      <c r="A356" s="294"/>
      <c r="B356" s="294"/>
      <c r="C356" s="294"/>
      <c r="D356" s="294"/>
      <c r="E356" s="294"/>
      <c r="F356" s="294"/>
      <c r="G356" s="295"/>
      <c r="H356" s="294"/>
      <c r="I356" s="294"/>
      <c r="J356" s="294"/>
      <c r="K356" s="294"/>
      <c r="L356" s="294"/>
      <c r="M356" s="294"/>
      <c r="N356" s="294"/>
      <c r="O356" s="294"/>
      <c r="P356" s="294"/>
      <c r="Q356" s="294"/>
      <c r="R356" s="294"/>
      <c r="S356" s="294"/>
      <c r="T356" s="294"/>
      <c r="U356" s="294"/>
      <c r="V356" s="294"/>
      <c r="W356" s="294"/>
      <c r="X356" s="294"/>
      <c r="Y356" s="294"/>
      <c r="Z356" s="294"/>
      <c r="AA356" s="294"/>
      <c r="AB356" s="294"/>
      <c r="AC356" s="294"/>
    </row>
    <row r="357" ht="15.75" customHeight="1">
      <c r="A357" s="294"/>
      <c r="B357" s="294"/>
      <c r="C357" s="294"/>
      <c r="D357" s="294"/>
      <c r="E357" s="294"/>
      <c r="F357" s="294"/>
      <c r="G357" s="295"/>
      <c r="H357" s="294"/>
      <c r="I357" s="294"/>
      <c r="J357" s="294"/>
      <c r="K357" s="294"/>
      <c r="L357" s="294"/>
      <c r="M357" s="294"/>
      <c r="N357" s="294"/>
      <c r="O357" s="294"/>
      <c r="P357" s="294"/>
      <c r="Q357" s="294"/>
      <c r="R357" s="294"/>
      <c r="S357" s="294"/>
      <c r="T357" s="294"/>
      <c r="U357" s="294"/>
      <c r="V357" s="294"/>
      <c r="W357" s="294"/>
      <c r="X357" s="294"/>
      <c r="Y357" s="294"/>
      <c r="Z357" s="294"/>
      <c r="AA357" s="294"/>
      <c r="AB357" s="294"/>
      <c r="AC357" s="294"/>
    </row>
    <row r="358" ht="15.75" customHeight="1">
      <c r="A358" s="294"/>
      <c r="B358" s="294"/>
      <c r="C358" s="294"/>
      <c r="D358" s="294"/>
      <c r="E358" s="294"/>
      <c r="F358" s="294"/>
      <c r="G358" s="295"/>
      <c r="H358" s="294"/>
      <c r="I358" s="294"/>
      <c r="J358" s="294"/>
      <c r="K358" s="294"/>
      <c r="L358" s="294"/>
      <c r="M358" s="294"/>
      <c r="N358" s="294"/>
      <c r="O358" s="294"/>
      <c r="P358" s="294"/>
      <c r="Q358" s="294"/>
      <c r="R358" s="294"/>
      <c r="S358" s="294"/>
      <c r="T358" s="294"/>
      <c r="U358" s="294"/>
      <c r="V358" s="294"/>
      <c r="W358" s="294"/>
      <c r="X358" s="294"/>
      <c r="Y358" s="294"/>
      <c r="Z358" s="294"/>
      <c r="AA358" s="294"/>
      <c r="AB358" s="294"/>
      <c r="AC358" s="294"/>
    </row>
    <row r="359" ht="15.75" customHeight="1">
      <c r="A359" s="294"/>
      <c r="B359" s="294"/>
      <c r="C359" s="294"/>
      <c r="D359" s="294"/>
      <c r="E359" s="294"/>
      <c r="F359" s="294"/>
      <c r="G359" s="295"/>
      <c r="H359" s="294"/>
      <c r="I359" s="294"/>
      <c r="J359" s="294"/>
      <c r="K359" s="294"/>
      <c r="L359" s="294"/>
      <c r="M359" s="294"/>
      <c r="N359" s="294"/>
      <c r="O359" s="294"/>
      <c r="P359" s="294"/>
      <c r="Q359" s="294"/>
      <c r="R359" s="294"/>
      <c r="S359" s="294"/>
      <c r="T359" s="294"/>
      <c r="U359" s="294"/>
      <c r="V359" s="294"/>
      <c r="W359" s="294"/>
      <c r="X359" s="294"/>
      <c r="Y359" s="294"/>
      <c r="Z359" s="294"/>
      <c r="AA359" s="294"/>
      <c r="AB359" s="294"/>
      <c r="AC359" s="294"/>
    </row>
    <row r="360" ht="15.75" customHeight="1">
      <c r="A360" s="294"/>
      <c r="B360" s="294"/>
      <c r="C360" s="294"/>
      <c r="D360" s="294"/>
      <c r="E360" s="294"/>
      <c r="F360" s="294"/>
      <c r="G360" s="295"/>
      <c r="H360" s="294"/>
      <c r="I360" s="294"/>
      <c r="J360" s="294"/>
      <c r="K360" s="294"/>
      <c r="L360" s="294"/>
      <c r="M360" s="294"/>
      <c r="N360" s="294"/>
      <c r="O360" s="294"/>
      <c r="P360" s="294"/>
      <c r="Q360" s="294"/>
      <c r="R360" s="294"/>
      <c r="S360" s="294"/>
      <c r="T360" s="294"/>
      <c r="U360" s="294"/>
      <c r="V360" s="294"/>
      <c r="W360" s="294"/>
      <c r="X360" s="294"/>
      <c r="Y360" s="294"/>
      <c r="Z360" s="294"/>
      <c r="AA360" s="294"/>
      <c r="AB360" s="294"/>
      <c r="AC360" s="294"/>
    </row>
    <row r="361" ht="15.75" customHeight="1">
      <c r="A361" s="294"/>
      <c r="B361" s="294"/>
      <c r="C361" s="294"/>
      <c r="D361" s="294"/>
      <c r="E361" s="294"/>
      <c r="F361" s="294"/>
      <c r="G361" s="295"/>
      <c r="H361" s="294"/>
      <c r="I361" s="294"/>
      <c r="J361" s="294"/>
      <c r="K361" s="294"/>
      <c r="L361" s="294"/>
      <c r="M361" s="294"/>
      <c r="N361" s="294"/>
      <c r="O361" s="294"/>
      <c r="P361" s="294"/>
      <c r="Q361" s="294"/>
      <c r="R361" s="294"/>
      <c r="S361" s="294"/>
      <c r="T361" s="294"/>
      <c r="U361" s="294"/>
      <c r="V361" s="294"/>
      <c r="W361" s="294"/>
      <c r="X361" s="294"/>
      <c r="Y361" s="294"/>
      <c r="Z361" s="294"/>
      <c r="AA361" s="294"/>
      <c r="AB361" s="294"/>
      <c r="AC361" s="294"/>
    </row>
    <row r="362" ht="15.75" customHeight="1">
      <c r="A362" s="294"/>
      <c r="B362" s="294"/>
      <c r="C362" s="294"/>
      <c r="D362" s="294"/>
      <c r="E362" s="294"/>
      <c r="F362" s="294"/>
      <c r="G362" s="295"/>
      <c r="H362" s="294"/>
      <c r="I362" s="294"/>
      <c r="J362" s="294"/>
      <c r="K362" s="294"/>
      <c r="L362" s="294"/>
      <c r="M362" s="294"/>
      <c r="N362" s="294"/>
      <c r="O362" s="294"/>
      <c r="P362" s="294"/>
      <c r="Q362" s="294"/>
      <c r="R362" s="294"/>
      <c r="S362" s="294"/>
      <c r="T362" s="294"/>
      <c r="U362" s="294"/>
      <c r="V362" s="294"/>
      <c r="W362" s="294"/>
      <c r="X362" s="294"/>
      <c r="Y362" s="294"/>
      <c r="Z362" s="294"/>
      <c r="AA362" s="294"/>
      <c r="AB362" s="294"/>
      <c r="AC362" s="294"/>
    </row>
    <row r="363" ht="15.75" customHeight="1">
      <c r="A363" s="294"/>
      <c r="B363" s="294"/>
      <c r="C363" s="294"/>
      <c r="D363" s="294"/>
      <c r="E363" s="294"/>
      <c r="F363" s="294"/>
      <c r="G363" s="295"/>
      <c r="H363" s="294"/>
      <c r="I363" s="294"/>
      <c r="J363" s="294"/>
      <c r="K363" s="294"/>
      <c r="L363" s="294"/>
      <c r="M363" s="294"/>
      <c r="N363" s="294"/>
      <c r="O363" s="294"/>
      <c r="P363" s="294"/>
      <c r="Q363" s="294"/>
      <c r="R363" s="294"/>
      <c r="S363" s="294"/>
      <c r="T363" s="294"/>
      <c r="U363" s="294"/>
      <c r="V363" s="294"/>
      <c r="W363" s="294"/>
      <c r="X363" s="294"/>
      <c r="Y363" s="294"/>
      <c r="Z363" s="294"/>
      <c r="AA363" s="294"/>
      <c r="AB363" s="294"/>
      <c r="AC363" s="294"/>
    </row>
    <row r="364" ht="15.75" customHeight="1">
      <c r="A364" s="294"/>
      <c r="B364" s="294"/>
      <c r="C364" s="294"/>
      <c r="D364" s="294"/>
      <c r="E364" s="294"/>
      <c r="F364" s="294"/>
      <c r="G364" s="295"/>
      <c r="H364" s="294"/>
      <c r="I364" s="294"/>
      <c r="J364" s="294"/>
      <c r="K364" s="294"/>
      <c r="L364" s="294"/>
      <c r="M364" s="294"/>
      <c r="N364" s="294"/>
      <c r="O364" s="294"/>
      <c r="P364" s="294"/>
      <c r="Q364" s="294"/>
      <c r="R364" s="294"/>
      <c r="S364" s="294"/>
      <c r="T364" s="294"/>
      <c r="U364" s="294"/>
      <c r="V364" s="294"/>
      <c r="W364" s="294"/>
      <c r="X364" s="294"/>
      <c r="Y364" s="294"/>
      <c r="Z364" s="294"/>
      <c r="AA364" s="294"/>
      <c r="AB364" s="294"/>
      <c r="AC364" s="294"/>
    </row>
    <row r="365" ht="15.75" customHeight="1">
      <c r="A365" s="294"/>
      <c r="B365" s="294"/>
      <c r="C365" s="294"/>
      <c r="D365" s="294"/>
      <c r="E365" s="294"/>
      <c r="F365" s="294"/>
      <c r="G365" s="295"/>
      <c r="H365" s="294"/>
      <c r="I365" s="294"/>
      <c r="J365" s="294"/>
      <c r="K365" s="294"/>
      <c r="L365" s="294"/>
      <c r="M365" s="294"/>
      <c r="N365" s="294"/>
      <c r="O365" s="294"/>
      <c r="P365" s="294"/>
      <c r="Q365" s="294"/>
      <c r="R365" s="294"/>
      <c r="S365" s="294"/>
      <c r="T365" s="294"/>
      <c r="U365" s="294"/>
      <c r="V365" s="294"/>
      <c r="W365" s="294"/>
      <c r="X365" s="294"/>
      <c r="Y365" s="294"/>
      <c r="Z365" s="294"/>
      <c r="AA365" s="294"/>
      <c r="AB365" s="294"/>
      <c r="AC365" s="294"/>
    </row>
    <row r="366" ht="15.75" customHeight="1">
      <c r="A366" s="294"/>
      <c r="B366" s="294"/>
      <c r="C366" s="294"/>
      <c r="D366" s="294"/>
      <c r="E366" s="294"/>
      <c r="F366" s="294"/>
      <c r="G366" s="295"/>
      <c r="H366" s="294"/>
      <c r="I366" s="294"/>
      <c r="J366" s="294"/>
      <c r="K366" s="294"/>
      <c r="L366" s="294"/>
      <c r="M366" s="294"/>
      <c r="N366" s="294"/>
      <c r="O366" s="294"/>
      <c r="P366" s="294"/>
      <c r="Q366" s="294"/>
      <c r="R366" s="294"/>
      <c r="S366" s="294"/>
      <c r="T366" s="294"/>
      <c r="U366" s="294"/>
      <c r="V366" s="294"/>
      <c r="W366" s="294"/>
      <c r="X366" s="294"/>
      <c r="Y366" s="294"/>
      <c r="Z366" s="294"/>
      <c r="AA366" s="294"/>
      <c r="AB366" s="294"/>
      <c r="AC366" s="294"/>
    </row>
    <row r="367" ht="15.75" customHeight="1">
      <c r="A367" s="294"/>
      <c r="B367" s="294"/>
      <c r="C367" s="294"/>
      <c r="D367" s="294"/>
      <c r="E367" s="294"/>
      <c r="F367" s="294"/>
      <c r="G367" s="295"/>
      <c r="H367" s="294"/>
      <c r="I367" s="294"/>
      <c r="J367" s="294"/>
      <c r="K367" s="294"/>
      <c r="L367" s="294"/>
      <c r="M367" s="294"/>
      <c r="N367" s="294"/>
      <c r="O367" s="294"/>
      <c r="P367" s="294"/>
      <c r="Q367" s="294"/>
      <c r="R367" s="294"/>
      <c r="S367" s="294"/>
      <c r="T367" s="294"/>
      <c r="U367" s="294"/>
      <c r="V367" s="294"/>
      <c r="W367" s="294"/>
      <c r="X367" s="294"/>
      <c r="Y367" s="294"/>
      <c r="Z367" s="294"/>
      <c r="AA367" s="294"/>
      <c r="AB367" s="294"/>
      <c r="AC367" s="294"/>
    </row>
    <row r="368" ht="15.75" customHeight="1">
      <c r="A368" s="294"/>
      <c r="B368" s="294"/>
      <c r="C368" s="294"/>
      <c r="D368" s="294"/>
      <c r="E368" s="294"/>
      <c r="F368" s="294"/>
      <c r="G368" s="295"/>
      <c r="H368" s="294"/>
      <c r="I368" s="294"/>
      <c r="J368" s="294"/>
      <c r="K368" s="294"/>
      <c r="L368" s="294"/>
      <c r="M368" s="294"/>
      <c r="N368" s="294"/>
      <c r="O368" s="294"/>
      <c r="P368" s="294"/>
      <c r="Q368" s="294"/>
      <c r="R368" s="294"/>
      <c r="S368" s="294"/>
      <c r="T368" s="294"/>
      <c r="U368" s="294"/>
      <c r="V368" s="294"/>
      <c r="W368" s="294"/>
      <c r="X368" s="294"/>
      <c r="Y368" s="294"/>
      <c r="Z368" s="294"/>
      <c r="AA368" s="294"/>
      <c r="AB368" s="294"/>
      <c r="AC368" s="294"/>
    </row>
    <row r="369" ht="15.75" customHeight="1">
      <c r="A369" s="294"/>
      <c r="B369" s="294"/>
      <c r="C369" s="294"/>
      <c r="D369" s="294"/>
      <c r="E369" s="294"/>
      <c r="F369" s="294"/>
      <c r="G369" s="295"/>
      <c r="H369" s="294"/>
      <c r="I369" s="294"/>
      <c r="J369" s="294"/>
      <c r="K369" s="294"/>
      <c r="L369" s="294"/>
      <c r="M369" s="294"/>
      <c r="N369" s="294"/>
      <c r="O369" s="294"/>
      <c r="P369" s="294"/>
      <c r="Q369" s="294"/>
      <c r="R369" s="294"/>
      <c r="S369" s="294"/>
      <c r="T369" s="294"/>
      <c r="U369" s="294"/>
      <c r="V369" s="294"/>
      <c r="W369" s="294"/>
      <c r="X369" s="294"/>
      <c r="Y369" s="294"/>
      <c r="Z369" s="294"/>
      <c r="AA369" s="294"/>
      <c r="AB369" s="294"/>
      <c r="AC369" s="294"/>
    </row>
    <row r="370" ht="15.75" customHeight="1">
      <c r="A370" s="294"/>
      <c r="B370" s="294"/>
      <c r="C370" s="294"/>
      <c r="D370" s="294"/>
      <c r="E370" s="294"/>
      <c r="F370" s="294"/>
      <c r="G370" s="295"/>
      <c r="H370" s="294"/>
      <c r="I370" s="294"/>
      <c r="J370" s="294"/>
      <c r="K370" s="294"/>
      <c r="L370" s="294"/>
      <c r="M370" s="294"/>
      <c r="N370" s="294"/>
      <c r="O370" s="294"/>
      <c r="P370" s="294"/>
      <c r="Q370" s="294"/>
      <c r="R370" s="294"/>
      <c r="S370" s="294"/>
      <c r="T370" s="294"/>
      <c r="U370" s="294"/>
      <c r="V370" s="294"/>
      <c r="W370" s="294"/>
      <c r="X370" s="294"/>
      <c r="Y370" s="294"/>
      <c r="Z370" s="294"/>
      <c r="AA370" s="294"/>
      <c r="AB370" s="294"/>
      <c r="AC370" s="294"/>
    </row>
    <row r="371" ht="15.75" customHeight="1">
      <c r="A371" s="294"/>
      <c r="B371" s="294"/>
      <c r="C371" s="294"/>
      <c r="D371" s="294"/>
      <c r="E371" s="294"/>
      <c r="F371" s="294"/>
      <c r="G371" s="295"/>
      <c r="H371" s="294"/>
      <c r="I371" s="294"/>
      <c r="J371" s="294"/>
      <c r="K371" s="294"/>
      <c r="L371" s="294"/>
      <c r="M371" s="294"/>
      <c r="N371" s="294"/>
      <c r="O371" s="294"/>
      <c r="P371" s="294"/>
      <c r="Q371" s="294"/>
      <c r="R371" s="294"/>
      <c r="S371" s="294"/>
      <c r="T371" s="294"/>
      <c r="U371" s="294"/>
      <c r="V371" s="294"/>
      <c r="W371" s="294"/>
      <c r="X371" s="294"/>
      <c r="Y371" s="294"/>
      <c r="Z371" s="294"/>
      <c r="AA371" s="294"/>
      <c r="AB371" s="294"/>
      <c r="AC371" s="294"/>
    </row>
    <row r="372" ht="15.75" customHeight="1">
      <c r="A372" s="294"/>
      <c r="B372" s="294"/>
      <c r="C372" s="294"/>
      <c r="D372" s="294"/>
      <c r="E372" s="294"/>
      <c r="F372" s="294"/>
      <c r="G372" s="295"/>
      <c r="H372" s="294"/>
      <c r="I372" s="294"/>
      <c r="J372" s="294"/>
      <c r="K372" s="294"/>
      <c r="L372" s="294"/>
      <c r="M372" s="294"/>
      <c r="N372" s="294"/>
      <c r="O372" s="294"/>
      <c r="P372" s="294"/>
      <c r="Q372" s="294"/>
      <c r="R372" s="294"/>
      <c r="S372" s="294"/>
      <c r="T372" s="294"/>
      <c r="U372" s="294"/>
      <c r="V372" s="294"/>
      <c r="W372" s="294"/>
      <c r="X372" s="294"/>
      <c r="Y372" s="294"/>
      <c r="Z372" s="294"/>
      <c r="AA372" s="294"/>
      <c r="AB372" s="294"/>
      <c r="AC372" s="294"/>
    </row>
    <row r="373" ht="15.75" customHeight="1">
      <c r="A373" s="294"/>
      <c r="B373" s="294"/>
      <c r="C373" s="294"/>
      <c r="D373" s="294"/>
      <c r="E373" s="294"/>
      <c r="F373" s="294"/>
      <c r="G373" s="295"/>
      <c r="H373" s="294"/>
      <c r="I373" s="294"/>
      <c r="J373" s="294"/>
      <c r="K373" s="294"/>
      <c r="L373" s="294"/>
      <c r="M373" s="294"/>
      <c r="N373" s="294"/>
      <c r="O373" s="294"/>
      <c r="P373" s="294"/>
      <c r="Q373" s="294"/>
      <c r="R373" s="294"/>
      <c r="S373" s="294"/>
      <c r="T373" s="294"/>
      <c r="U373" s="294"/>
      <c r="V373" s="294"/>
      <c r="W373" s="294"/>
      <c r="X373" s="294"/>
      <c r="Y373" s="294"/>
      <c r="Z373" s="294"/>
      <c r="AA373" s="294"/>
      <c r="AB373" s="294"/>
      <c r="AC373" s="294"/>
    </row>
    <row r="374" ht="15.75" customHeight="1">
      <c r="A374" s="294"/>
      <c r="B374" s="294"/>
      <c r="C374" s="294"/>
      <c r="D374" s="294"/>
      <c r="E374" s="294"/>
      <c r="F374" s="294"/>
      <c r="G374" s="295"/>
      <c r="H374" s="294"/>
      <c r="I374" s="294"/>
      <c r="J374" s="294"/>
      <c r="K374" s="294"/>
      <c r="L374" s="294"/>
      <c r="M374" s="294"/>
      <c r="N374" s="294"/>
      <c r="O374" s="294"/>
      <c r="P374" s="294"/>
      <c r="Q374" s="294"/>
      <c r="R374" s="294"/>
      <c r="S374" s="294"/>
      <c r="T374" s="294"/>
      <c r="U374" s="294"/>
      <c r="V374" s="294"/>
      <c r="W374" s="294"/>
      <c r="X374" s="294"/>
      <c r="Y374" s="294"/>
      <c r="Z374" s="294"/>
      <c r="AA374" s="294"/>
      <c r="AB374" s="294"/>
      <c r="AC374" s="294"/>
    </row>
    <row r="375" ht="15.75" customHeight="1">
      <c r="A375" s="294"/>
      <c r="B375" s="294"/>
      <c r="C375" s="294"/>
      <c r="D375" s="294"/>
      <c r="E375" s="294"/>
      <c r="F375" s="294"/>
      <c r="G375" s="295"/>
      <c r="H375" s="294"/>
      <c r="I375" s="294"/>
      <c r="J375" s="294"/>
      <c r="K375" s="294"/>
      <c r="L375" s="294"/>
      <c r="M375" s="294"/>
      <c r="N375" s="294"/>
      <c r="O375" s="294"/>
      <c r="P375" s="294"/>
      <c r="Q375" s="294"/>
      <c r="R375" s="294"/>
      <c r="S375" s="294"/>
      <c r="T375" s="294"/>
      <c r="U375" s="294"/>
      <c r="V375" s="294"/>
      <c r="W375" s="294"/>
      <c r="X375" s="294"/>
      <c r="Y375" s="294"/>
      <c r="Z375" s="294"/>
      <c r="AA375" s="294"/>
      <c r="AB375" s="294"/>
      <c r="AC375" s="294"/>
    </row>
    <row r="376" ht="15.75" customHeight="1">
      <c r="A376" s="294"/>
      <c r="B376" s="294"/>
      <c r="C376" s="294"/>
      <c r="D376" s="294"/>
      <c r="E376" s="294"/>
      <c r="F376" s="294"/>
      <c r="G376" s="295"/>
      <c r="H376" s="294"/>
      <c r="I376" s="294"/>
      <c r="J376" s="294"/>
      <c r="K376" s="294"/>
      <c r="L376" s="294"/>
      <c r="M376" s="294"/>
      <c r="N376" s="294"/>
      <c r="O376" s="294"/>
      <c r="P376" s="294"/>
      <c r="Q376" s="294"/>
      <c r="R376" s="294"/>
      <c r="S376" s="294"/>
      <c r="T376" s="294"/>
      <c r="U376" s="294"/>
      <c r="V376" s="294"/>
      <c r="W376" s="294"/>
      <c r="X376" s="294"/>
      <c r="Y376" s="294"/>
      <c r="Z376" s="294"/>
      <c r="AA376" s="294"/>
      <c r="AB376" s="294"/>
      <c r="AC376" s="294"/>
    </row>
    <row r="377" ht="15.75" customHeight="1">
      <c r="A377" s="294"/>
      <c r="B377" s="294"/>
      <c r="C377" s="294"/>
      <c r="D377" s="294"/>
      <c r="E377" s="294"/>
      <c r="F377" s="294"/>
      <c r="G377" s="295"/>
      <c r="H377" s="294"/>
      <c r="I377" s="294"/>
      <c r="J377" s="294"/>
      <c r="K377" s="294"/>
      <c r="L377" s="294"/>
      <c r="M377" s="294"/>
      <c r="N377" s="294"/>
      <c r="O377" s="294"/>
      <c r="P377" s="294"/>
      <c r="Q377" s="294"/>
      <c r="R377" s="294"/>
      <c r="S377" s="294"/>
      <c r="T377" s="294"/>
      <c r="U377" s="294"/>
      <c r="V377" s="294"/>
      <c r="W377" s="294"/>
      <c r="X377" s="294"/>
      <c r="Y377" s="294"/>
      <c r="Z377" s="294"/>
      <c r="AA377" s="294"/>
      <c r="AB377" s="294"/>
      <c r="AC377" s="294"/>
    </row>
    <row r="378" ht="15.75" customHeight="1">
      <c r="A378" s="294"/>
      <c r="B378" s="294"/>
      <c r="C378" s="294"/>
      <c r="D378" s="294"/>
      <c r="E378" s="294"/>
      <c r="F378" s="294"/>
      <c r="G378" s="295"/>
      <c r="H378" s="294"/>
      <c r="I378" s="294"/>
      <c r="J378" s="294"/>
      <c r="K378" s="294"/>
      <c r="L378" s="294"/>
      <c r="M378" s="294"/>
      <c r="N378" s="294"/>
      <c r="O378" s="294"/>
      <c r="P378" s="294"/>
      <c r="Q378" s="294"/>
      <c r="R378" s="294"/>
      <c r="S378" s="294"/>
      <c r="T378" s="294"/>
      <c r="U378" s="294"/>
      <c r="V378" s="294"/>
      <c r="W378" s="294"/>
      <c r="X378" s="294"/>
      <c r="Y378" s="294"/>
      <c r="Z378" s="294"/>
      <c r="AA378" s="294"/>
      <c r="AB378" s="294"/>
      <c r="AC378" s="294"/>
    </row>
    <row r="379" ht="15.75" customHeight="1">
      <c r="A379" s="294"/>
      <c r="B379" s="294"/>
      <c r="C379" s="294"/>
      <c r="D379" s="294"/>
      <c r="E379" s="294"/>
      <c r="F379" s="294"/>
      <c r="G379" s="295"/>
      <c r="H379" s="294"/>
      <c r="I379" s="294"/>
      <c r="J379" s="294"/>
      <c r="K379" s="294"/>
      <c r="L379" s="294"/>
      <c r="M379" s="294"/>
      <c r="N379" s="294"/>
      <c r="O379" s="294"/>
      <c r="P379" s="294"/>
      <c r="Q379" s="294"/>
      <c r="R379" s="294"/>
      <c r="S379" s="294"/>
      <c r="T379" s="294"/>
      <c r="U379" s="294"/>
      <c r="V379" s="294"/>
      <c r="W379" s="294"/>
      <c r="X379" s="294"/>
      <c r="Y379" s="294"/>
      <c r="Z379" s="294"/>
      <c r="AA379" s="294"/>
      <c r="AB379" s="294"/>
      <c r="AC379" s="294"/>
    </row>
    <row r="380" ht="15.75" customHeight="1">
      <c r="A380" s="294"/>
      <c r="B380" s="294"/>
      <c r="C380" s="294"/>
      <c r="D380" s="294"/>
      <c r="E380" s="294"/>
      <c r="F380" s="294"/>
      <c r="G380" s="295"/>
      <c r="H380" s="294"/>
      <c r="I380" s="294"/>
      <c r="J380" s="294"/>
      <c r="K380" s="294"/>
      <c r="L380" s="294"/>
      <c r="M380" s="294"/>
      <c r="N380" s="294"/>
      <c r="O380" s="294"/>
      <c r="P380" s="294"/>
      <c r="Q380" s="294"/>
      <c r="R380" s="294"/>
      <c r="S380" s="294"/>
      <c r="T380" s="294"/>
      <c r="U380" s="294"/>
      <c r="V380" s="294"/>
      <c r="W380" s="294"/>
      <c r="X380" s="294"/>
      <c r="Y380" s="294"/>
      <c r="Z380" s="294"/>
      <c r="AA380" s="294"/>
      <c r="AB380" s="294"/>
      <c r="AC380" s="294"/>
    </row>
    <row r="381" ht="15.75" customHeight="1">
      <c r="A381" s="294"/>
      <c r="B381" s="294"/>
      <c r="C381" s="294"/>
      <c r="D381" s="294"/>
      <c r="E381" s="294"/>
      <c r="F381" s="294"/>
      <c r="G381" s="295"/>
      <c r="H381" s="294"/>
      <c r="I381" s="294"/>
      <c r="J381" s="294"/>
      <c r="K381" s="294"/>
      <c r="L381" s="294"/>
      <c r="M381" s="294"/>
      <c r="N381" s="294"/>
      <c r="O381" s="294"/>
      <c r="P381" s="294"/>
      <c r="Q381" s="294"/>
      <c r="R381" s="294"/>
      <c r="S381" s="294"/>
      <c r="T381" s="294"/>
      <c r="U381" s="294"/>
      <c r="V381" s="294"/>
      <c r="W381" s="294"/>
      <c r="X381" s="294"/>
      <c r="Y381" s="294"/>
      <c r="Z381" s="294"/>
      <c r="AA381" s="294"/>
      <c r="AB381" s="294"/>
      <c r="AC381" s="294"/>
    </row>
    <row r="382" ht="15.75" customHeight="1">
      <c r="A382" s="294"/>
      <c r="B382" s="294"/>
      <c r="C382" s="294"/>
      <c r="D382" s="294"/>
      <c r="E382" s="294"/>
      <c r="F382" s="294"/>
      <c r="G382" s="295"/>
      <c r="H382" s="294"/>
      <c r="I382" s="294"/>
      <c r="J382" s="294"/>
      <c r="K382" s="294"/>
      <c r="L382" s="294"/>
      <c r="M382" s="294"/>
      <c r="N382" s="294"/>
      <c r="O382" s="294"/>
      <c r="P382" s="294"/>
      <c r="Q382" s="294"/>
      <c r="R382" s="294"/>
      <c r="S382" s="294"/>
      <c r="T382" s="294"/>
      <c r="U382" s="294"/>
      <c r="V382" s="294"/>
      <c r="W382" s="294"/>
      <c r="X382" s="294"/>
      <c r="Y382" s="294"/>
      <c r="Z382" s="294"/>
      <c r="AA382" s="294"/>
      <c r="AB382" s="294"/>
      <c r="AC382" s="294"/>
    </row>
    <row r="383" ht="15.75" customHeight="1">
      <c r="A383" s="294"/>
      <c r="B383" s="294"/>
      <c r="C383" s="294"/>
      <c r="D383" s="294"/>
      <c r="E383" s="294"/>
      <c r="F383" s="294"/>
      <c r="G383" s="295"/>
      <c r="H383" s="294"/>
      <c r="I383" s="294"/>
      <c r="J383" s="294"/>
      <c r="K383" s="294"/>
      <c r="L383" s="294"/>
      <c r="M383" s="294"/>
      <c r="N383" s="294"/>
      <c r="O383" s="294"/>
      <c r="P383" s="294"/>
      <c r="Q383" s="294"/>
      <c r="R383" s="294"/>
      <c r="S383" s="294"/>
      <c r="T383" s="294"/>
      <c r="U383" s="294"/>
      <c r="V383" s="294"/>
      <c r="W383" s="294"/>
      <c r="X383" s="294"/>
      <c r="Y383" s="294"/>
      <c r="Z383" s="294"/>
      <c r="AA383" s="294"/>
      <c r="AB383" s="294"/>
      <c r="AC383" s="294"/>
    </row>
    <row r="384" ht="15.75" customHeight="1">
      <c r="A384" s="294"/>
      <c r="B384" s="294"/>
      <c r="C384" s="294"/>
      <c r="D384" s="294"/>
      <c r="E384" s="294"/>
      <c r="F384" s="294"/>
      <c r="G384" s="295"/>
      <c r="H384" s="294"/>
      <c r="I384" s="294"/>
      <c r="J384" s="294"/>
      <c r="K384" s="294"/>
      <c r="L384" s="294"/>
      <c r="M384" s="294"/>
      <c r="N384" s="294"/>
      <c r="O384" s="294"/>
      <c r="P384" s="294"/>
      <c r="Q384" s="294"/>
      <c r="R384" s="294"/>
      <c r="S384" s="294"/>
      <c r="T384" s="294"/>
      <c r="U384" s="294"/>
      <c r="V384" s="294"/>
      <c r="W384" s="294"/>
      <c r="X384" s="294"/>
      <c r="Y384" s="294"/>
      <c r="Z384" s="294"/>
      <c r="AA384" s="294"/>
      <c r="AB384" s="294"/>
      <c r="AC384" s="294"/>
    </row>
    <row r="385" ht="15.75" customHeight="1">
      <c r="A385" s="294"/>
      <c r="B385" s="294"/>
      <c r="C385" s="294"/>
      <c r="D385" s="294"/>
      <c r="E385" s="294"/>
      <c r="F385" s="294"/>
      <c r="G385" s="295"/>
      <c r="H385" s="294"/>
      <c r="I385" s="294"/>
      <c r="J385" s="294"/>
      <c r="K385" s="294"/>
      <c r="L385" s="294"/>
      <c r="M385" s="294"/>
      <c r="N385" s="294"/>
      <c r="O385" s="294"/>
      <c r="P385" s="294"/>
      <c r="Q385" s="294"/>
      <c r="R385" s="294"/>
      <c r="S385" s="294"/>
      <c r="T385" s="294"/>
      <c r="U385" s="294"/>
      <c r="V385" s="294"/>
      <c r="W385" s="294"/>
      <c r="X385" s="294"/>
      <c r="Y385" s="294"/>
      <c r="Z385" s="294"/>
      <c r="AA385" s="294"/>
      <c r="AB385" s="294"/>
      <c r="AC385" s="294"/>
    </row>
    <row r="386" ht="15.75" customHeight="1">
      <c r="A386" s="294"/>
      <c r="B386" s="294"/>
      <c r="C386" s="294"/>
      <c r="D386" s="294"/>
      <c r="E386" s="294"/>
      <c r="F386" s="294"/>
      <c r="G386" s="295"/>
      <c r="H386" s="294"/>
      <c r="I386" s="294"/>
      <c r="J386" s="294"/>
      <c r="K386" s="294"/>
      <c r="L386" s="294"/>
      <c r="M386" s="294"/>
      <c r="N386" s="294"/>
      <c r="O386" s="294"/>
      <c r="P386" s="294"/>
      <c r="Q386" s="294"/>
      <c r="R386" s="294"/>
      <c r="S386" s="294"/>
      <c r="T386" s="294"/>
      <c r="U386" s="294"/>
      <c r="V386" s="294"/>
      <c r="W386" s="294"/>
      <c r="X386" s="294"/>
      <c r="Y386" s="294"/>
      <c r="Z386" s="294"/>
      <c r="AA386" s="294"/>
      <c r="AB386" s="294"/>
      <c r="AC386" s="294"/>
    </row>
    <row r="387" ht="15.75" customHeight="1">
      <c r="A387" s="294"/>
      <c r="B387" s="294"/>
      <c r="C387" s="294"/>
      <c r="D387" s="294"/>
      <c r="E387" s="294"/>
      <c r="F387" s="294"/>
      <c r="G387" s="295"/>
      <c r="H387" s="294"/>
      <c r="I387" s="294"/>
      <c r="J387" s="294"/>
      <c r="K387" s="294"/>
      <c r="L387" s="294"/>
      <c r="M387" s="294"/>
      <c r="N387" s="294"/>
      <c r="O387" s="294"/>
      <c r="P387" s="294"/>
      <c r="Q387" s="294"/>
      <c r="R387" s="294"/>
      <c r="S387" s="294"/>
      <c r="T387" s="294"/>
      <c r="U387" s="294"/>
      <c r="V387" s="294"/>
      <c r="W387" s="294"/>
      <c r="X387" s="294"/>
      <c r="Y387" s="294"/>
      <c r="Z387" s="294"/>
      <c r="AA387" s="294"/>
      <c r="AB387" s="294"/>
      <c r="AC387" s="294"/>
    </row>
    <row r="388" ht="15.75" customHeight="1">
      <c r="A388" s="294"/>
      <c r="B388" s="294"/>
      <c r="C388" s="294"/>
      <c r="D388" s="294"/>
      <c r="E388" s="294"/>
      <c r="F388" s="294"/>
      <c r="G388" s="295"/>
      <c r="H388" s="294"/>
      <c r="I388" s="294"/>
      <c r="J388" s="294"/>
      <c r="K388" s="294"/>
      <c r="L388" s="294"/>
      <c r="M388" s="294"/>
      <c r="N388" s="294"/>
      <c r="O388" s="294"/>
      <c r="P388" s="294"/>
      <c r="Q388" s="294"/>
      <c r="R388" s="294"/>
      <c r="S388" s="294"/>
      <c r="T388" s="294"/>
      <c r="U388" s="294"/>
      <c r="V388" s="294"/>
      <c r="W388" s="294"/>
      <c r="X388" s="294"/>
      <c r="Y388" s="294"/>
      <c r="Z388" s="294"/>
      <c r="AA388" s="294"/>
      <c r="AB388" s="294"/>
      <c r="AC388" s="294"/>
    </row>
    <row r="389" ht="15.75" customHeight="1">
      <c r="A389" s="294"/>
      <c r="B389" s="294"/>
      <c r="C389" s="294"/>
      <c r="D389" s="294"/>
      <c r="E389" s="294"/>
      <c r="F389" s="294"/>
      <c r="G389" s="295"/>
      <c r="H389" s="294"/>
      <c r="I389" s="294"/>
      <c r="J389" s="294"/>
      <c r="K389" s="294"/>
      <c r="L389" s="294"/>
      <c r="M389" s="294"/>
      <c r="N389" s="294"/>
      <c r="O389" s="294"/>
      <c r="P389" s="294"/>
      <c r="Q389" s="294"/>
      <c r="R389" s="294"/>
      <c r="S389" s="294"/>
      <c r="T389" s="294"/>
      <c r="U389" s="294"/>
      <c r="V389" s="294"/>
      <c r="W389" s="294"/>
      <c r="X389" s="294"/>
      <c r="Y389" s="294"/>
      <c r="Z389" s="294"/>
      <c r="AA389" s="294"/>
      <c r="AB389" s="294"/>
      <c r="AC389" s="294"/>
    </row>
    <row r="390" ht="15.75" customHeight="1">
      <c r="A390" s="294"/>
      <c r="B390" s="294"/>
      <c r="C390" s="294"/>
      <c r="D390" s="294"/>
      <c r="E390" s="294"/>
      <c r="F390" s="294"/>
      <c r="G390" s="295"/>
      <c r="H390" s="294"/>
      <c r="I390" s="294"/>
      <c r="J390" s="294"/>
      <c r="K390" s="294"/>
      <c r="L390" s="294"/>
      <c r="M390" s="294"/>
      <c r="N390" s="294"/>
      <c r="O390" s="294"/>
      <c r="P390" s="294"/>
      <c r="Q390" s="294"/>
      <c r="R390" s="294"/>
      <c r="S390" s="294"/>
      <c r="T390" s="294"/>
      <c r="U390" s="294"/>
      <c r="V390" s="294"/>
      <c r="W390" s="294"/>
      <c r="X390" s="294"/>
      <c r="Y390" s="294"/>
      <c r="Z390" s="294"/>
      <c r="AA390" s="294"/>
      <c r="AB390" s="294"/>
      <c r="AC390" s="294"/>
    </row>
    <row r="391" ht="15.75" customHeight="1">
      <c r="A391" s="294"/>
      <c r="B391" s="294"/>
      <c r="C391" s="294"/>
      <c r="D391" s="294"/>
      <c r="E391" s="294"/>
      <c r="F391" s="294"/>
      <c r="G391" s="295"/>
      <c r="H391" s="294"/>
      <c r="I391" s="294"/>
      <c r="J391" s="294"/>
      <c r="K391" s="294"/>
      <c r="L391" s="294"/>
      <c r="M391" s="294"/>
      <c r="N391" s="294"/>
      <c r="O391" s="294"/>
      <c r="P391" s="294"/>
      <c r="Q391" s="294"/>
      <c r="R391" s="294"/>
      <c r="S391" s="294"/>
      <c r="T391" s="294"/>
      <c r="U391" s="294"/>
      <c r="V391" s="294"/>
      <c r="W391" s="294"/>
      <c r="X391" s="294"/>
      <c r="Y391" s="294"/>
      <c r="Z391" s="294"/>
      <c r="AA391" s="294"/>
      <c r="AB391" s="294"/>
      <c r="AC391" s="294"/>
    </row>
    <row r="392" ht="15.75" customHeight="1">
      <c r="A392" s="294"/>
      <c r="B392" s="294"/>
      <c r="C392" s="294"/>
      <c r="D392" s="294"/>
      <c r="E392" s="294"/>
      <c r="F392" s="294"/>
      <c r="G392" s="295"/>
      <c r="H392" s="294"/>
      <c r="I392" s="294"/>
      <c r="J392" s="294"/>
      <c r="K392" s="294"/>
      <c r="L392" s="294"/>
      <c r="M392" s="294"/>
      <c r="N392" s="294"/>
      <c r="O392" s="294"/>
      <c r="P392" s="294"/>
      <c r="Q392" s="294"/>
      <c r="R392" s="294"/>
      <c r="S392" s="294"/>
      <c r="T392" s="294"/>
      <c r="U392" s="294"/>
      <c r="V392" s="294"/>
      <c r="W392" s="294"/>
      <c r="X392" s="294"/>
      <c r="Y392" s="294"/>
      <c r="Z392" s="294"/>
      <c r="AA392" s="294"/>
      <c r="AB392" s="294"/>
      <c r="AC392" s="294"/>
    </row>
    <row r="393" ht="15.75" customHeight="1">
      <c r="A393" s="294"/>
      <c r="B393" s="294"/>
      <c r="C393" s="294"/>
      <c r="D393" s="294"/>
      <c r="E393" s="294"/>
      <c r="F393" s="294"/>
      <c r="G393" s="295"/>
      <c r="H393" s="294"/>
      <c r="I393" s="294"/>
      <c r="J393" s="294"/>
      <c r="K393" s="294"/>
      <c r="L393" s="294"/>
      <c r="M393" s="294"/>
      <c r="N393" s="294"/>
      <c r="O393" s="294"/>
      <c r="P393" s="294"/>
      <c r="Q393" s="294"/>
      <c r="R393" s="294"/>
      <c r="S393" s="294"/>
      <c r="T393" s="294"/>
      <c r="U393" s="294"/>
      <c r="V393" s="294"/>
      <c r="W393" s="294"/>
      <c r="X393" s="294"/>
      <c r="Y393" s="294"/>
      <c r="Z393" s="294"/>
      <c r="AA393" s="294"/>
      <c r="AB393" s="294"/>
      <c r="AC393" s="294"/>
    </row>
    <row r="394" ht="15.75" customHeight="1">
      <c r="A394" s="294"/>
      <c r="B394" s="294"/>
      <c r="C394" s="294"/>
      <c r="D394" s="294"/>
      <c r="E394" s="294"/>
      <c r="F394" s="294"/>
      <c r="G394" s="295"/>
      <c r="H394" s="294"/>
      <c r="I394" s="294"/>
      <c r="J394" s="294"/>
      <c r="K394" s="294"/>
      <c r="L394" s="294"/>
      <c r="M394" s="294"/>
      <c r="N394" s="294"/>
      <c r="O394" s="294"/>
      <c r="P394" s="294"/>
      <c r="Q394" s="294"/>
      <c r="R394" s="294"/>
      <c r="S394" s="294"/>
      <c r="T394" s="294"/>
      <c r="U394" s="294"/>
      <c r="V394" s="294"/>
      <c r="W394" s="294"/>
      <c r="X394" s="294"/>
      <c r="Y394" s="294"/>
      <c r="Z394" s="294"/>
      <c r="AA394" s="294"/>
      <c r="AB394" s="294"/>
      <c r="AC394" s="294"/>
    </row>
    <row r="395" ht="15.75" customHeight="1">
      <c r="A395" s="294"/>
      <c r="B395" s="294"/>
      <c r="C395" s="294"/>
      <c r="D395" s="294"/>
      <c r="E395" s="294"/>
      <c r="F395" s="294"/>
      <c r="G395" s="295"/>
      <c r="H395" s="294"/>
      <c r="I395" s="294"/>
      <c r="J395" s="294"/>
      <c r="K395" s="294"/>
      <c r="L395" s="294"/>
      <c r="M395" s="294"/>
      <c r="N395" s="294"/>
      <c r="O395" s="294"/>
      <c r="P395" s="294"/>
      <c r="Q395" s="294"/>
      <c r="R395" s="294"/>
      <c r="S395" s="294"/>
      <c r="T395" s="294"/>
      <c r="U395" s="294"/>
      <c r="V395" s="294"/>
      <c r="W395" s="294"/>
      <c r="X395" s="294"/>
      <c r="Y395" s="294"/>
      <c r="Z395" s="294"/>
      <c r="AA395" s="294"/>
      <c r="AB395" s="294"/>
      <c r="AC395" s="294"/>
    </row>
    <row r="396" ht="15.75" customHeight="1">
      <c r="A396" s="294"/>
      <c r="B396" s="294"/>
      <c r="C396" s="294"/>
      <c r="D396" s="294"/>
      <c r="E396" s="294"/>
      <c r="F396" s="294"/>
      <c r="G396" s="295"/>
      <c r="H396" s="294"/>
      <c r="I396" s="294"/>
      <c r="J396" s="294"/>
      <c r="K396" s="294"/>
      <c r="L396" s="294"/>
      <c r="M396" s="294"/>
      <c r="N396" s="294"/>
      <c r="O396" s="294"/>
      <c r="P396" s="294"/>
      <c r="Q396" s="294"/>
      <c r="R396" s="294"/>
      <c r="S396" s="294"/>
      <c r="T396" s="294"/>
      <c r="U396" s="294"/>
      <c r="V396" s="294"/>
      <c r="W396" s="294"/>
      <c r="X396" s="294"/>
      <c r="Y396" s="294"/>
      <c r="Z396" s="294"/>
      <c r="AA396" s="294"/>
      <c r="AB396" s="294"/>
      <c r="AC396" s="294"/>
    </row>
    <row r="397" ht="15.75" customHeight="1">
      <c r="A397" s="294"/>
      <c r="B397" s="294"/>
      <c r="C397" s="294"/>
      <c r="D397" s="294"/>
      <c r="E397" s="294"/>
      <c r="F397" s="294"/>
      <c r="G397" s="295"/>
      <c r="H397" s="294"/>
      <c r="I397" s="294"/>
      <c r="J397" s="294"/>
      <c r="K397" s="294"/>
      <c r="L397" s="294"/>
      <c r="M397" s="294"/>
      <c r="N397" s="294"/>
      <c r="O397" s="294"/>
      <c r="P397" s="294"/>
      <c r="Q397" s="294"/>
      <c r="R397" s="294"/>
      <c r="S397" s="294"/>
      <c r="T397" s="294"/>
      <c r="U397" s="294"/>
      <c r="V397" s="294"/>
      <c r="W397" s="294"/>
      <c r="X397" s="294"/>
      <c r="Y397" s="294"/>
      <c r="Z397" s="294"/>
      <c r="AA397" s="294"/>
      <c r="AB397" s="294"/>
      <c r="AC397" s="294"/>
    </row>
    <row r="398" ht="15.75" customHeight="1">
      <c r="A398" s="294"/>
      <c r="B398" s="294"/>
      <c r="C398" s="294"/>
      <c r="D398" s="294"/>
      <c r="E398" s="294"/>
      <c r="F398" s="294"/>
      <c r="G398" s="295"/>
      <c r="H398" s="294"/>
      <c r="I398" s="294"/>
      <c r="J398" s="294"/>
      <c r="K398" s="294"/>
      <c r="L398" s="294"/>
      <c r="M398" s="294"/>
      <c r="N398" s="294"/>
      <c r="O398" s="294"/>
      <c r="P398" s="294"/>
      <c r="Q398" s="294"/>
      <c r="R398" s="294"/>
      <c r="S398" s="294"/>
      <c r="T398" s="294"/>
      <c r="U398" s="294"/>
      <c r="V398" s="294"/>
      <c r="W398" s="294"/>
      <c r="X398" s="294"/>
      <c r="Y398" s="294"/>
      <c r="Z398" s="294"/>
      <c r="AA398" s="294"/>
      <c r="AB398" s="294"/>
      <c r="AC398" s="294"/>
    </row>
    <row r="399" ht="15.75" customHeight="1">
      <c r="A399" s="294"/>
      <c r="B399" s="294"/>
      <c r="C399" s="294"/>
      <c r="D399" s="294"/>
      <c r="E399" s="294"/>
      <c r="F399" s="294"/>
      <c r="G399" s="295"/>
      <c r="H399" s="294"/>
      <c r="I399" s="294"/>
      <c r="J399" s="294"/>
      <c r="K399" s="294"/>
      <c r="L399" s="294"/>
      <c r="M399" s="294"/>
      <c r="N399" s="294"/>
      <c r="O399" s="294"/>
      <c r="P399" s="294"/>
      <c r="Q399" s="294"/>
      <c r="R399" s="294"/>
      <c r="S399" s="294"/>
      <c r="T399" s="294"/>
      <c r="U399" s="294"/>
      <c r="V399" s="294"/>
      <c r="W399" s="294"/>
      <c r="X399" s="294"/>
      <c r="Y399" s="294"/>
      <c r="Z399" s="294"/>
      <c r="AA399" s="294"/>
      <c r="AB399" s="294"/>
      <c r="AC399" s="294"/>
    </row>
    <row r="400" ht="15.75" customHeight="1">
      <c r="A400" s="294"/>
      <c r="B400" s="294"/>
      <c r="C400" s="294"/>
      <c r="D400" s="294"/>
      <c r="E400" s="294"/>
      <c r="F400" s="294"/>
      <c r="G400" s="295"/>
      <c r="H400" s="294"/>
      <c r="I400" s="294"/>
      <c r="J400" s="294"/>
      <c r="K400" s="294"/>
      <c r="L400" s="294"/>
      <c r="M400" s="294"/>
      <c r="N400" s="294"/>
      <c r="O400" s="294"/>
      <c r="P400" s="294"/>
      <c r="Q400" s="294"/>
      <c r="R400" s="294"/>
      <c r="S400" s="294"/>
      <c r="T400" s="294"/>
      <c r="U400" s="294"/>
      <c r="V400" s="294"/>
      <c r="W400" s="294"/>
      <c r="X400" s="294"/>
      <c r="Y400" s="294"/>
      <c r="Z400" s="294"/>
      <c r="AA400" s="294"/>
      <c r="AB400" s="294"/>
      <c r="AC400" s="294"/>
    </row>
    <row r="401" ht="15.75" customHeight="1">
      <c r="A401" s="294"/>
      <c r="B401" s="294"/>
      <c r="C401" s="294"/>
      <c r="D401" s="294"/>
      <c r="E401" s="294"/>
      <c r="F401" s="294"/>
      <c r="G401" s="295"/>
      <c r="H401" s="294"/>
      <c r="I401" s="294"/>
      <c r="J401" s="294"/>
      <c r="K401" s="294"/>
      <c r="L401" s="294"/>
      <c r="M401" s="294"/>
      <c r="N401" s="294"/>
      <c r="O401" s="294"/>
      <c r="P401" s="294"/>
      <c r="Q401" s="294"/>
      <c r="R401" s="294"/>
      <c r="S401" s="294"/>
      <c r="T401" s="294"/>
      <c r="U401" s="294"/>
      <c r="V401" s="294"/>
      <c r="W401" s="294"/>
      <c r="X401" s="294"/>
      <c r="Y401" s="294"/>
      <c r="Z401" s="294"/>
      <c r="AA401" s="294"/>
      <c r="AB401" s="294"/>
      <c r="AC401" s="294"/>
    </row>
    <row r="402" ht="15.75" customHeight="1">
      <c r="A402" s="294"/>
      <c r="B402" s="294"/>
      <c r="C402" s="294"/>
      <c r="D402" s="294"/>
      <c r="E402" s="294"/>
      <c r="F402" s="294"/>
      <c r="G402" s="295"/>
      <c r="H402" s="294"/>
      <c r="I402" s="294"/>
      <c r="J402" s="294"/>
      <c r="K402" s="294"/>
      <c r="L402" s="294"/>
      <c r="M402" s="294"/>
      <c r="N402" s="294"/>
      <c r="O402" s="294"/>
      <c r="P402" s="294"/>
      <c r="Q402" s="294"/>
      <c r="R402" s="294"/>
      <c r="S402" s="294"/>
      <c r="T402" s="294"/>
      <c r="U402" s="294"/>
      <c r="V402" s="294"/>
      <c r="W402" s="294"/>
      <c r="X402" s="294"/>
      <c r="Y402" s="294"/>
      <c r="Z402" s="294"/>
      <c r="AA402" s="294"/>
      <c r="AB402" s="294"/>
      <c r="AC402" s="294"/>
    </row>
    <row r="403" ht="15.75" customHeight="1">
      <c r="A403" s="294"/>
      <c r="B403" s="294"/>
      <c r="C403" s="294"/>
      <c r="D403" s="294"/>
      <c r="E403" s="294"/>
      <c r="F403" s="294"/>
      <c r="G403" s="295"/>
      <c r="H403" s="294"/>
      <c r="I403" s="294"/>
      <c r="J403" s="294"/>
      <c r="K403" s="294"/>
      <c r="L403" s="294"/>
      <c r="M403" s="294"/>
      <c r="N403" s="294"/>
      <c r="O403" s="294"/>
      <c r="P403" s="294"/>
      <c r="Q403" s="294"/>
      <c r="R403" s="294"/>
      <c r="S403" s="294"/>
      <c r="T403" s="294"/>
      <c r="U403" s="294"/>
      <c r="V403" s="294"/>
      <c r="W403" s="294"/>
      <c r="X403" s="294"/>
      <c r="Y403" s="294"/>
      <c r="Z403" s="294"/>
      <c r="AA403" s="294"/>
      <c r="AB403" s="294"/>
      <c r="AC403" s="294"/>
    </row>
    <row r="404" ht="15.75" customHeight="1">
      <c r="A404" s="294"/>
      <c r="B404" s="294"/>
      <c r="C404" s="294"/>
      <c r="D404" s="294"/>
      <c r="E404" s="294"/>
      <c r="F404" s="294"/>
      <c r="G404" s="295"/>
      <c r="H404" s="294"/>
      <c r="I404" s="294"/>
      <c r="J404" s="294"/>
      <c r="K404" s="294"/>
      <c r="L404" s="294"/>
      <c r="M404" s="294"/>
      <c r="N404" s="294"/>
      <c r="O404" s="294"/>
      <c r="P404" s="294"/>
      <c r="Q404" s="294"/>
      <c r="R404" s="294"/>
      <c r="S404" s="294"/>
      <c r="T404" s="294"/>
      <c r="U404" s="294"/>
      <c r="V404" s="294"/>
      <c r="W404" s="294"/>
      <c r="X404" s="294"/>
      <c r="Y404" s="294"/>
      <c r="Z404" s="294"/>
      <c r="AA404" s="294"/>
      <c r="AB404" s="294"/>
      <c r="AC404" s="294"/>
    </row>
    <row r="405" ht="15.75" customHeight="1">
      <c r="A405" s="294"/>
      <c r="B405" s="294"/>
      <c r="C405" s="294"/>
      <c r="D405" s="294"/>
      <c r="E405" s="294"/>
      <c r="F405" s="294"/>
      <c r="G405" s="295"/>
      <c r="H405" s="294"/>
      <c r="I405" s="294"/>
      <c r="J405" s="294"/>
      <c r="K405" s="294"/>
      <c r="L405" s="294"/>
      <c r="M405" s="294"/>
      <c r="N405" s="294"/>
      <c r="O405" s="294"/>
      <c r="P405" s="294"/>
      <c r="Q405" s="294"/>
      <c r="R405" s="294"/>
      <c r="S405" s="294"/>
      <c r="T405" s="294"/>
      <c r="U405" s="294"/>
      <c r="V405" s="294"/>
      <c r="W405" s="294"/>
      <c r="X405" s="294"/>
      <c r="Y405" s="294"/>
      <c r="Z405" s="294"/>
      <c r="AA405" s="294"/>
      <c r="AB405" s="294"/>
      <c r="AC405" s="294"/>
    </row>
    <row r="406" ht="15.75" customHeight="1">
      <c r="A406" s="294"/>
      <c r="B406" s="294"/>
      <c r="C406" s="294"/>
      <c r="D406" s="294"/>
      <c r="E406" s="294"/>
      <c r="F406" s="294"/>
      <c r="G406" s="295"/>
      <c r="H406" s="294"/>
      <c r="I406" s="294"/>
      <c r="J406" s="294"/>
      <c r="K406" s="294"/>
      <c r="L406" s="294"/>
      <c r="M406" s="294"/>
      <c r="N406" s="294"/>
      <c r="O406" s="294"/>
      <c r="P406" s="294"/>
      <c r="Q406" s="294"/>
      <c r="R406" s="294"/>
      <c r="S406" s="294"/>
      <c r="T406" s="294"/>
      <c r="U406" s="294"/>
      <c r="V406" s="294"/>
      <c r="W406" s="294"/>
      <c r="X406" s="294"/>
      <c r="Y406" s="294"/>
      <c r="Z406" s="294"/>
      <c r="AA406" s="294"/>
      <c r="AB406" s="294"/>
      <c r="AC406" s="294"/>
    </row>
    <row r="407" ht="15.75" customHeight="1">
      <c r="A407" s="294"/>
      <c r="B407" s="294"/>
      <c r="C407" s="294"/>
      <c r="D407" s="294"/>
      <c r="E407" s="294"/>
      <c r="F407" s="294"/>
      <c r="G407" s="295"/>
      <c r="H407" s="294"/>
      <c r="I407" s="294"/>
      <c r="J407" s="294"/>
      <c r="K407" s="294"/>
      <c r="L407" s="294"/>
      <c r="M407" s="294"/>
      <c r="N407" s="294"/>
      <c r="O407" s="294"/>
      <c r="P407" s="294"/>
      <c r="Q407" s="294"/>
      <c r="R407" s="294"/>
      <c r="S407" s="294"/>
      <c r="T407" s="294"/>
      <c r="U407" s="294"/>
      <c r="V407" s="294"/>
      <c r="W407" s="294"/>
      <c r="X407" s="294"/>
      <c r="Y407" s="294"/>
      <c r="Z407" s="294"/>
      <c r="AA407" s="294"/>
      <c r="AB407" s="294"/>
      <c r="AC407" s="294"/>
    </row>
    <row r="408" ht="15.75" customHeight="1">
      <c r="A408" s="294"/>
      <c r="B408" s="294"/>
      <c r="C408" s="294"/>
      <c r="D408" s="294"/>
      <c r="E408" s="294"/>
      <c r="F408" s="294"/>
      <c r="G408" s="295"/>
      <c r="H408" s="294"/>
      <c r="I408" s="294"/>
      <c r="J408" s="294"/>
      <c r="K408" s="294"/>
      <c r="L408" s="294"/>
      <c r="M408" s="294"/>
      <c r="N408" s="294"/>
      <c r="O408" s="294"/>
      <c r="P408" s="294"/>
      <c r="Q408" s="294"/>
      <c r="R408" s="294"/>
      <c r="S408" s="294"/>
      <c r="T408" s="294"/>
      <c r="U408" s="294"/>
      <c r="V408" s="294"/>
      <c r="W408" s="294"/>
      <c r="X408" s="294"/>
      <c r="Y408" s="294"/>
      <c r="Z408" s="294"/>
      <c r="AA408" s="294"/>
      <c r="AB408" s="294"/>
      <c r="AC408" s="294"/>
    </row>
    <row r="409" ht="15.75" customHeight="1">
      <c r="A409" s="294"/>
      <c r="B409" s="294"/>
      <c r="C409" s="294"/>
      <c r="D409" s="294"/>
      <c r="E409" s="294"/>
      <c r="F409" s="294"/>
      <c r="G409" s="295"/>
      <c r="H409" s="294"/>
      <c r="I409" s="294"/>
      <c r="J409" s="294"/>
      <c r="K409" s="294"/>
      <c r="L409" s="294"/>
      <c r="M409" s="294"/>
      <c r="N409" s="294"/>
      <c r="O409" s="294"/>
      <c r="P409" s="294"/>
      <c r="Q409" s="294"/>
      <c r="R409" s="294"/>
      <c r="S409" s="294"/>
      <c r="T409" s="294"/>
      <c r="U409" s="294"/>
      <c r="V409" s="294"/>
      <c r="W409" s="294"/>
      <c r="X409" s="294"/>
      <c r="Y409" s="294"/>
      <c r="Z409" s="294"/>
      <c r="AA409" s="294"/>
      <c r="AB409" s="294"/>
      <c r="AC409" s="294"/>
    </row>
    <row r="410" ht="15.75" customHeight="1">
      <c r="A410" s="294"/>
      <c r="B410" s="294"/>
      <c r="C410" s="294"/>
      <c r="D410" s="294"/>
      <c r="E410" s="294"/>
      <c r="F410" s="294"/>
      <c r="G410" s="295"/>
      <c r="H410" s="294"/>
      <c r="I410" s="294"/>
      <c r="J410" s="294"/>
      <c r="K410" s="294"/>
      <c r="L410" s="294"/>
      <c r="M410" s="294"/>
      <c r="N410" s="294"/>
      <c r="O410" s="294"/>
      <c r="P410" s="294"/>
      <c r="Q410" s="294"/>
      <c r="R410" s="294"/>
      <c r="S410" s="294"/>
      <c r="T410" s="294"/>
      <c r="U410" s="294"/>
      <c r="V410" s="294"/>
      <c r="W410" s="294"/>
      <c r="X410" s="294"/>
      <c r="Y410" s="294"/>
      <c r="Z410" s="294"/>
      <c r="AA410" s="294"/>
      <c r="AB410" s="294"/>
      <c r="AC410" s="294"/>
    </row>
    <row r="411" ht="15.75" customHeight="1">
      <c r="A411" s="294"/>
      <c r="B411" s="294"/>
      <c r="C411" s="294"/>
      <c r="D411" s="294"/>
      <c r="E411" s="294"/>
      <c r="F411" s="294"/>
      <c r="G411" s="295"/>
      <c r="H411" s="294"/>
      <c r="I411" s="294"/>
      <c r="J411" s="294"/>
      <c r="K411" s="294"/>
      <c r="L411" s="294"/>
      <c r="M411" s="294"/>
      <c r="N411" s="294"/>
      <c r="O411" s="294"/>
      <c r="P411" s="294"/>
      <c r="Q411" s="294"/>
      <c r="R411" s="294"/>
      <c r="S411" s="294"/>
      <c r="T411" s="294"/>
      <c r="U411" s="294"/>
      <c r="V411" s="294"/>
      <c r="W411" s="294"/>
      <c r="X411" s="294"/>
      <c r="Y411" s="294"/>
      <c r="Z411" s="294"/>
      <c r="AA411" s="294"/>
      <c r="AB411" s="294"/>
      <c r="AC411" s="294"/>
    </row>
    <row r="412" ht="15.75" customHeight="1">
      <c r="A412" s="294"/>
      <c r="B412" s="294"/>
      <c r="C412" s="294"/>
      <c r="D412" s="294"/>
      <c r="E412" s="294"/>
      <c r="F412" s="294"/>
      <c r="G412" s="295"/>
      <c r="H412" s="294"/>
      <c r="I412" s="294"/>
      <c r="J412" s="294"/>
      <c r="K412" s="294"/>
      <c r="L412" s="294"/>
      <c r="M412" s="294"/>
      <c r="N412" s="294"/>
      <c r="O412" s="294"/>
      <c r="P412" s="294"/>
      <c r="Q412" s="294"/>
      <c r="R412" s="294"/>
      <c r="S412" s="294"/>
      <c r="T412" s="294"/>
      <c r="U412" s="294"/>
      <c r="V412" s="294"/>
      <c r="W412" s="294"/>
      <c r="X412" s="294"/>
      <c r="Y412" s="294"/>
      <c r="Z412" s="294"/>
      <c r="AA412" s="294"/>
      <c r="AB412" s="294"/>
      <c r="AC412" s="294"/>
    </row>
    <row r="413" ht="15.75" customHeight="1">
      <c r="A413" s="294"/>
      <c r="B413" s="294"/>
      <c r="C413" s="294"/>
      <c r="D413" s="294"/>
      <c r="E413" s="294"/>
      <c r="F413" s="294"/>
      <c r="G413" s="295"/>
      <c r="H413" s="294"/>
      <c r="I413" s="294"/>
      <c r="J413" s="294"/>
      <c r="K413" s="294"/>
      <c r="L413" s="294"/>
      <c r="M413" s="294"/>
      <c r="N413" s="294"/>
      <c r="O413" s="294"/>
      <c r="P413" s="294"/>
      <c r="Q413" s="294"/>
      <c r="R413" s="294"/>
      <c r="S413" s="294"/>
      <c r="T413" s="294"/>
      <c r="U413" s="294"/>
      <c r="V413" s="294"/>
      <c r="W413" s="294"/>
      <c r="X413" s="294"/>
      <c r="Y413" s="294"/>
      <c r="Z413" s="294"/>
      <c r="AA413" s="294"/>
      <c r="AB413" s="294"/>
      <c r="AC413" s="294"/>
    </row>
    <row r="414" ht="15.75" customHeight="1">
      <c r="A414" s="294"/>
      <c r="B414" s="294"/>
      <c r="C414" s="294"/>
      <c r="D414" s="294"/>
      <c r="E414" s="294"/>
      <c r="F414" s="294"/>
      <c r="G414" s="295"/>
      <c r="H414" s="294"/>
      <c r="I414" s="294"/>
      <c r="J414" s="294"/>
      <c r="K414" s="294"/>
      <c r="L414" s="294"/>
      <c r="M414" s="294"/>
      <c r="N414" s="294"/>
      <c r="O414" s="294"/>
      <c r="P414" s="294"/>
      <c r="Q414" s="294"/>
      <c r="R414" s="294"/>
      <c r="S414" s="294"/>
      <c r="T414" s="294"/>
      <c r="U414" s="294"/>
      <c r="V414" s="294"/>
      <c r="W414" s="294"/>
      <c r="X414" s="294"/>
      <c r="Y414" s="294"/>
      <c r="Z414" s="294"/>
      <c r="AA414" s="294"/>
      <c r="AB414" s="294"/>
      <c r="AC414" s="294"/>
    </row>
    <row r="415" ht="15.75" customHeight="1">
      <c r="A415" s="294"/>
      <c r="B415" s="294"/>
      <c r="C415" s="294"/>
      <c r="D415" s="294"/>
      <c r="E415" s="294"/>
      <c r="F415" s="294"/>
      <c r="G415" s="295"/>
      <c r="H415" s="294"/>
      <c r="I415" s="294"/>
      <c r="J415" s="294"/>
      <c r="K415" s="294"/>
      <c r="L415" s="294"/>
      <c r="M415" s="294"/>
      <c r="N415" s="294"/>
      <c r="O415" s="294"/>
      <c r="P415" s="294"/>
      <c r="Q415" s="294"/>
      <c r="R415" s="294"/>
      <c r="S415" s="294"/>
      <c r="T415" s="294"/>
      <c r="U415" s="294"/>
      <c r="V415" s="294"/>
      <c r="W415" s="294"/>
      <c r="X415" s="294"/>
      <c r="Y415" s="294"/>
      <c r="Z415" s="294"/>
      <c r="AA415" s="294"/>
      <c r="AB415" s="294"/>
      <c r="AC415" s="294"/>
    </row>
    <row r="416" ht="15.75" customHeight="1">
      <c r="A416" s="294"/>
      <c r="B416" s="294"/>
      <c r="C416" s="294"/>
      <c r="D416" s="294"/>
      <c r="E416" s="294"/>
      <c r="F416" s="294"/>
      <c r="G416" s="295"/>
      <c r="H416" s="294"/>
      <c r="I416" s="294"/>
      <c r="J416" s="294"/>
      <c r="K416" s="294"/>
      <c r="L416" s="294"/>
      <c r="M416" s="294"/>
      <c r="N416" s="294"/>
      <c r="O416" s="294"/>
      <c r="P416" s="294"/>
      <c r="Q416" s="294"/>
      <c r="R416" s="294"/>
      <c r="S416" s="294"/>
      <c r="T416" s="294"/>
      <c r="U416" s="294"/>
      <c r="V416" s="294"/>
      <c r="W416" s="294"/>
      <c r="X416" s="294"/>
      <c r="Y416" s="294"/>
      <c r="Z416" s="294"/>
      <c r="AA416" s="294"/>
      <c r="AB416" s="294"/>
      <c r="AC416" s="294"/>
    </row>
    <row r="417" ht="15.75" customHeight="1">
      <c r="A417" s="294"/>
      <c r="B417" s="294"/>
      <c r="C417" s="294"/>
      <c r="D417" s="294"/>
      <c r="E417" s="294"/>
      <c r="F417" s="294"/>
      <c r="G417" s="295"/>
      <c r="H417" s="294"/>
      <c r="I417" s="294"/>
      <c r="J417" s="294"/>
      <c r="K417" s="294"/>
      <c r="L417" s="294"/>
      <c r="M417" s="294"/>
      <c r="N417" s="294"/>
      <c r="O417" s="294"/>
      <c r="P417" s="294"/>
      <c r="Q417" s="294"/>
      <c r="R417" s="294"/>
      <c r="S417" s="294"/>
      <c r="T417" s="294"/>
      <c r="U417" s="294"/>
      <c r="V417" s="294"/>
      <c r="W417" s="294"/>
      <c r="X417" s="294"/>
      <c r="Y417" s="294"/>
      <c r="Z417" s="294"/>
      <c r="AA417" s="294"/>
      <c r="AB417" s="294"/>
      <c r="AC417" s="294"/>
    </row>
    <row r="418" ht="15.75" customHeight="1">
      <c r="A418" s="294"/>
      <c r="B418" s="294"/>
      <c r="C418" s="294"/>
      <c r="D418" s="294"/>
      <c r="E418" s="294"/>
      <c r="F418" s="294"/>
      <c r="G418" s="295"/>
      <c r="H418" s="294"/>
      <c r="I418" s="294"/>
      <c r="J418" s="294"/>
      <c r="K418" s="294"/>
      <c r="L418" s="294"/>
      <c r="M418" s="294"/>
      <c r="N418" s="294"/>
      <c r="O418" s="294"/>
      <c r="P418" s="294"/>
      <c r="Q418" s="294"/>
      <c r="R418" s="294"/>
      <c r="S418" s="294"/>
      <c r="T418" s="294"/>
      <c r="U418" s="294"/>
      <c r="V418" s="294"/>
      <c r="W418" s="294"/>
      <c r="X418" s="294"/>
      <c r="Y418" s="294"/>
      <c r="Z418" s="294"/>
      <c r="AA418" s="294"/>
      <c r="AB418" s="294"/>
      <c r="AC418" s="294"/>
    </row>
    <row r="419" ht="15.75" customHeight="1">
      <c r="A419" s="294"/>
      <c r="B419" s="294"/>
      <c r="C419" s="294"/>
      <c r="D419" s="294"/>
      <c r="E419" s="294"/>
      <c r="F419" s="294"/>
      <c r="G419" s="295"/>
      <c r="H419" s="294"/>
      <c r="I419" s="294"/>
      <c r="J419" s="294"/>
      <c r="K419" s="294"/>
      <c r="L419" s="294"/>
      <c r="M419" s="294"/>
      <c r="N419" s="294"/>
      <c r="O419" s="294"/>
      <c r="P419" s="294"/>
      <c r="Q419" s="294"/>
      <c r="R419" s="294"/>
      <c r="S419" s="294"/>
      <c r="T419" s="294"/>
      <c r="U419" s="294"/>
      <c r="V419" s="294"/>
      <c r="W419" s="294"/>
      <c r="X419" s="294"/>
      <c r="Y419" s="294"/>
      <c r="Z419" s="294"/>
      <c r="AA419" s="294"/>
      <c r="AB419" s="294"/>
      <c r="AC419" s="294"/>
    </row>
    <row r="420" ht="15.75" customHeight="1">
      <c r="A420" s="294"/>
      <c r="B420" s="294"/>
      <c r="C420" s="294"/>
      <c r="D420" s="294"/>
      <c r="E420" s="294"/>
      <c r="F420" s="294"/>
      <c r="G420" s="295"/>
      <c r="H420" s="294"/>
      <c r="I420" s="294"/>
      <c r="J420" s="294"/>
      <c r="K420" s="294"/>
      <c r="L420" s="294"/>
      <c r="M420" s="294"/>
      <c r="N420" s="294"/>
      <c r="O420" s="294"/>
      <c r="P420" s="294"/>
      <c r="Q420" s="294"/>
      <c r="R420" s="294"/>
      <c r="S420" s="294"/>
      <c r="T420" s="294"/>
      <c r="U420" s="294"/>
      <c r="V420" s="294"/>
      <c r="W420" s="294"/>
      <c r="X420" s="294"/>
      <c r="Y420" s="294"/>
      <c r="Z420" s="294"/>
      <c r="AA420" s="294"/>
      <c r="AB420" s="294"/>
      <c r="AC420" s="294"/>
    </row>
    <row r="421" ht="15.75" customHeight="1">
      <c r="A421" s="294"/>
      <c r="B421" s="294"/>
      <c r="C421" s="294"/>
      <c r="D421" s="294"/>
      <c r="E421" s="294"/>
      <c r="F421" s="294"/>
      <c r="G421" s="295"/>
      <c r="H421" s="294"/>
      <c r="I421" s="294"/>
      <c r="J421" s="294"/>
      <c r="K421" s="294"/>
      <c r="L421" s="294"/>
      <c r="M421" s="294"/>
      <c r="N421" s="294"/>
      <c r="O421" s="294"/>
      <c r="P421" s="294"/>
      <c r="Q421" s="294"/>
      <c r="R421" s="294"/>
      <c r="S421" s="294"/>
      <c r="T421" s="294"/>
      <c r="U421" s="294"/>
      <c r="V421" s="294"/>
      <c r="W421" s="294"/>
      <c r="X421" s="294"/>
      <c r="Y421" s="294"/>
      <c r="Z421" s="294"/>
      <c r="AA421" s="294"/>
      <c r="AB421" s="294"/>
      <c r="AC421" s="294"/>
    </row>
    <row r="422" ht="15.75" customHeight="1">
      <c r="A422" s="294"/>
      <c r="B422" s="294"/>
      <c r="C422" s="294"/>
      <c r="D422" s="294"/>
      <c r="E422" s="294"/>
      <c r="F422" s="294"/>
      <c r="G422" s="295"/>
      <c r="H422" s="294"/>
      <c r="I422" s="294"/>
      <c r="J422" s="294"/>
      <c r="K422" s="294"/>
      <c r="L422" s="294"/>
      <c r="M422" s="294"/>
      <c r="N422" s="294"/>
      <c r="O422" s="294"/>
      <c r="P422" s="294"/>
      <c r="Q422" s="294"/>
      <c r="R422" s="294"/>
      <c r="S422" s="294"/>
      <c r="T422" s="294"/>
      <c r="U422" s="294"/>
      <c r="V422" s="294"/>
      <c r="W422" s="294"/>
      <c r="X422" s="294"/>
      <c r="Y422" s="294"/>
      <c r="Z422" s="294"/>
      <c r="AA422" s="294"/>
      <c r="AB422" s="294"/>
      <c r="AC422" s="294"/>
    </row>
    <row r="423" ht="15.75" customHeight="1">
      <c r="A423" s="294"/>
      <c r="B423" s="294"/>
      <c r="C423" s="294"/>
      <c r="D423" s="294"/>
      <c r="E423" s="294"/>
      <c r="F423" s="294"/>
      <c r="G423" s="295"/>
      <c r="H423" s="294"/>
      <c r="I423" s="294"/>
      <c r="J423" s="294"/>
      <c r="K423" s="294"/>
      <c r="L423" s="294"/>
      <c r="M423" s="294"/>
      <c r="N423" s="294"/>
      <c r="O423" s="294"/>
      <c r="P423" s="294"/>
      <c r="Q423" s="294"/>
      <c r="R423" s="294"/>
      <c r="S423" s="294"/>
      <c r="T423" s="294"/>
      <c r="U423" s="294"/>
      <c r="V423" s="294"/>
      <c r="W423" s="294"/>
      <c r="X423" s="294"/>
      <c r="Y423" s="294"/>
      <c r="Z423" s="294"/>
      <c r="AA423" s="294"/>
      <c r="AB423" s="294"/>
      <c r="AC423" s="294"/>
    </row>
    <row r="424" ht="15.75" customHeight="1">
      <c r="A424" s="294"/>
      <c r="B424" s="294"/>
      <c r="C424" s="294"/>
      <c r="D424" s="294"/>
      <c r="E424" s="294"/>
      <c r="F424" s="294"/>
      <c r="G424" s="295"/>
      <c r="H424" s="294"/>
      <c r="I424" s="294"/>
      <c r="J424" s="294"/>
      <c r="K424" s="294"/>
      <c r="L424" s="294"/>
      <c r="M424" s="294"/>
      <c r="N424" s="294"/>
      <c r="O424" s="294"/>
      <c r="P424" s="294"/>
      <c r="Q424" s="294"/>
      <c r="R424" s="294"/>
      <c r="S424" s="294"/>
      <c r="T424" s="294"/>
      <c r="U424" s="294"/>
      <c r="V424" s="294"/>
      <c r="W424" s="294"/>
      <c r="X424" s="294"/>
      <c r="Y424" s="294"/>
      <c r="Z424" s="294"/>
      <c r="AA424" s="294"/>
      <c r="AB424" s="294"/>
      <c r="AC424" s="294"/>
    </row>
    <row r="425" ht="15.75" customHeight="1">
      <c r="A425" s="294"/>
      <c r="B425" s="294"/>
      <c r="C425" s="294"/>
      <c r="D425" s="294"/>
      <c r="E425" s="294"/>
      <c r="F425" s="294"/>
      <c r="G425" s="295"/>
      <c r="H425" s="294"/>
      <c r="I425" s="294"/>
      <c r="J425" s="294"/>
      <c r="K425" s="294"/>
      <c r="L425" s="294"/>
      <c r="M425" s="294"/>
      <c r="N425" s="294"/>
      <c r="O425" s="294"/>
      <c r="P425" s="294"/>
      <c r="Q425" s="294"/>
      <c r="R425" s="294"/>
      <c r="S425" s="294"/>
      <c r="T425" s="294"/>
      <c r="U425" s="294"/>
      <c r="V425" s="294"/>
      <c r="W425" s="294"/>
      <c r="X425" s="294"/>
      <c r="Y425" s="294"/>
      <c r="Z425" s="294"/>
      <c r="AA425" s="294"/>
      <c r="AB425" s="294"/>
      <c r="AC425" s="294"/>
    </row>
    <row r="426" ht="15.75" customHeight="1">
      <c r="A426" s="294"/>
      <c r="B426" s="294"/>
      <c r="C426" s="294"/>
      <c r="D426" s="294"/>
      <c r="E426" s="294"/>
      <c r="F426" s="294"/>
      <c r="G426" s="295"/>
      <c r="H426" s="294"/>
      <c r="I426" s="294"/>
      <c r="J426" s="294"/>
      <c r="K426" s="294"/>
      <c r="L426" s="294"/>
      <c r="M426" s="294"/>
      <c r="N426" s="294"/>
      <c r="O426" s="294"/>
      <c r="P426" s="294"/>
      <c r="Q426" s="294"/>
      <c r="R426" s="294"/>
      <c r="S426" s="294"/>
      <c r="T426" s="294"/>
      <c r="U426" s="294"/>
      <c r="V426" s="294"/>
      <c r="W426" s="294"/>
      <c r="X426" s="294"/>
      <c r="Y426" s="294"/>
      <c r="Z426" s="294"/>
      <c r="AA426" s="294"/>
      <c r="AB426" s="294"/>
      <c r="AC426" s="294"/>
    </row>
    <row r="427" ht="15.75" customHeight="1">
      <c r="A427" s="294"/>
      <c r="B427" s="294"/>
      <c r="C427" s="294"/>
      <c r="D427" s="294"/>
      <c r="E427" s="294"/>
      <c r="F427" s="294"/>
      <c r="G427" s="295"/>
      <c r="H427" s="294"/>
      <c r="I427" s="294"/>
      <c r="J427" s="294"/>
      <c r="K427" s="294"/>
      <c r="L427" s="294"/>
      <c r="M427" s="294"/>
      <c r="N427" s="294"/>
      <c r="O427" s="294"/>
      <c r="P427" s="294"/>
      <c r="Q427" s="294"/>
      <c r="R427" s="294"/>
      <c r="S427" s="294"/>
      <c r="T427" s="294"/>
      <c r="U427" s="294"/>
      <c r="V427" s="294"/>
      <c r="W427" s="294"/>
      <c r="X427" s="294"/>
      <c r="Y427" s="294"/>
      <c r="Z427" s="294"/>
      <c r="AA427" s="294"/>
      <c r="AB427" s="294"/>
      <c r="AC427" s="294"/>
    </row>
    <row r="428" ht="15.75" customHeight="1">
      <c r="A428" s="294"/>
      <c r="B428" s="294"/>
      <c r="C428" s="294"/>
      <c r="D428" s="294"/>
      <c r="E428" s="294"/>
      <c r="F428" s="294"/>
      <c r="G428" s="295"/>
      <c r="H428" s="294"/>
      <c r="I428" s="294"/>
      <c r="J428" s="294"/>
      <c r="K428" s="294"/>
      <c r="L428" s="294"/>
      <c r="M428" s="294"/>
      <c r="N428" s="294"/>
      <c r="O428" s="294"/>
      <c r="P428" s="294"/>
      <c r="Q428" s="294"/>
      <c r="R428" s="294"/>
      <c r="S428" s="294"/>
      <c r="T428" s="294"/>
      <c r="U428" s="294"/>
      <c r="V428" s="294"/>
      <c r="W428" s="294"/>
      <c r="X428" s="294"/>
      <c r="Y428" s="294"/>
      <c r="Z428" s="294"/>
      <c r="AA428" s="294"/>
      <c r="AB428" s="294"/>
      <c r="AC428" s="294"/>
    </row>
    <row r="429" ht="15.75" customHeight="1">
      <c r="A429" s="294"/>
      <c r="B429" s="294"/>
      <c r="C429" s="294"/>
      <c r="D429" s="294"/>
      <c r="E429" s="294"/>
      <c r="F429" s="294"/>
      <c r="G429" s="295"/>
      <c r="H429" s="294"/>
      <c r="I429" s="294"/>
      <c r="J429" s="294"/>
      <c r="K429" s="294"/>
      <c r="L429" s="294"/>
      <c r="M429" s="294"/>
      <c r="N429" s="294"/>
      <c r="O429" s="294"/>
      <c r="P429" s="294"/>
      <c r="Q429" s="294"/>
      <c r="R429" s="294"/>
      <c r="S429" s="294"/>
      <c r="T429" s="294"/>
      <c r="U429" s="294"/>
      <c r="V429" s="294"/>
      <c r="W429" s="294"/>
      <c r="X429" s="294"/>
      <c r="Y429" s="294"/>
      <c r="Z429" s="294"/>
      <c r="AA429" s="294"/>
      <c r="AB429" s="294"/>
      <c r="AC429" s="294"/>
    </row>
    <row r="430" ht="15.75" customHeight="1">
      <c r="A430" s="294"/>
      <c r="B430" s="294"/>
      <c r="C430" s="294"/>
      <c r="D430" s="294"/>
      <c r="E430" s="294"/>
      <c r="F430" s="294"/>
      <c r="G430" s="295"/>
      <c r="H430" s="294"/>
      <c r="I430" s="294"/>
      <c r="J430" s="294"/>
      <c r="K430" s="294"/>
      <c r="L430" s="294"/>
      <c r="M430" s="294"/>
      <c r="N430" s="294"/>
      <c r="O430" s="294"/>
      <c r="P430" s="294"/>
      <c r="Q430" s="294"/>
      <c r="R430" s="294"/>
      <c r="S430" s="294"/>
      <c r="T430" s="294"/>
      <c r="U430" s="294"/>
      <c r="V430" s="294"/>
      <c r="W430" s="294"/>
      <c r="X430" s="294"/>
      <c r="Y430" s="294"/>
      <c r="Z430" s="294"/>
      <c r="AA430" s="294"/>
      <c r="AB430" s="294"/>
      <c r="AC430" s="294"/>
    </row>
    <row r="431" ht="15.75" customHeight="1">
      <c r="A431" s="294"/>
      <c r="B431" s="294"/>
      <c r="C431" s="294"/>
      <c r="D431" s="294"/>
      <c r="E431" s="294"/>
      <c r="F431" s="294"/>
      <c r="G431" s="295"/>
      <c r="H431" s="294"/>
      <c r="I431" s="294"/>
      <c r="J431" s="294"/>
      <c r="K431" s="294"/>
      <c r="L431" s="294"/>
      <c r="M431" s="294"/>
      <c r="N431" s="294"/>
      <c r="O431" s="294"/>
      <c r="P431" s="294"/>
      <c r="Q431" s="294"/>
      <c r="R431" s="294"/>
      <c r="S431" s="294"/>
      <c r="T431" s="294"/>
      <c r="U431" s="294"/>
      <c r="V431" s="294"/>
      <c r="W431" s="294"/>
      <c r="X431" s="294"/>
      <c r="Y431" s="294"/>
      <c r="Z431" s="294"/>
      <c r="AA431" s="294"/>
      <c r="AB431" s="294"/>
      <c r="AC431" s="294"/>
    </row>
    <row r="432" ht="15.75" customHeight="1">
      <c r="A432" s="294"/>
      <c r="B432" s="294"/>
      <c r="C432" s="294"/>
      <c r="D432" s="294"/>
      <c r="E432" s="294"/>
      <c r="F432" s="294"/>
      <c r="G432" s="295"/>
      <c r="H432" s="294"/>
      <c r="I432" s="294"/>
      <c r="J432" s="294"/>
      <c r="K432" s="294"/>
      <c r="L432" s="294"/>
      <c r="M432" s="294"/>
      <c r="N432" s="294"/>
      <c r="O432" s="294"/>
      <c r="P432" s="294"/>
      <c r="Q432" s="294"/>
      <c r="R432" s="294"/>
      <c r="S432" s="294"/>
      <c r="T432" s="294"/>
      <c r="U432" s="294"/>
      <c r="V432" s="294"/>
      <c r="W432" s="294"/>
      <c r="X432" s="294"/>
      <c r="Y432" s="294"/>
      <c r="Z432" s="294"/>
      <c r="AA432" s="294"/>
      <c r="AB432" s="294"/>
      <c r="AC432" s="294"/>
    </row>
    <row r="433" ht="15.75" customHeight="1">
      <c r="A433" s="294"/>
      <c r="B433" s="294"/>
      <c r="C433" s="294"/>
      <c r="D433" s="294"/>
      <c r="E433" s="294"/>
      <c r="F433" s="294"/>
      <c r="G433" s="295"/>
      <c r="H433" s="294"/>
      <c r="I433" s="294"/>
      <c r="J433" s="294"/>
      <c r="K433" s="294"/>
      <c r="L433" s="294"/>
      <c r="M433" s="294"/>
      <c r="N433" s="294"/>
      <c r="O433" s="294"/>
      <c r="P433" s="294"/>
      <c r="Q433" s="294"/>
      <c r="R433" s="294"/>
      <c r="S433" s="294"/>
      <c r="T433" s="294"/>
      <c r="U433" s="294"/>
      <c r="V433" s="294"/>
      <c r="W433" s="294"/>
      <c r="X433" s="294"/>
      <c r="Y433" s="294"/>
      <c r="Z433" s="294"/>
      <c r="AA433" s="294"/>
      <c r="AB433" s="294"/>
      <c r="AC433" s="294"/>
    </row>
    <row r="434" ht="15.75" customHeight="1">
      <c r="A434" s="294"/>
      <c r="B434" s="294"/>
      <c r="C434" s="294"/>
      <c r="D434" s="294"/>
      <c r="E434" s="294"/>
      <c r="F434" s="294"/>
      <c r="G434" s="295"/>
      <c r="H434" s="294"/>
      <c r="I434" s="294"/>
      <c r="J434" s="294"/>
      <c r="K434" s="294"/>
      <c r="L434" s="294"/>
      <c r="M434" s="294"/>
      <c r="N434" s="294"/>
      <c r="O434" s="294"/>
      <c r="P434" s="294"/>
      <c r="Q434" s="294"/>
      <c r="R434" s="294"/>
      <c r="S434" s="294"/>
      <c r="T434" s="294"/>
      <c r="U434" s="294"/>
      <c r="V434" s="294"/>
      <c r="W434" s="294"/>
      <c r="X434" s="294"/>
      <c r="Y434" s="294"/>
      <c r="Z434" s="294"/>
      <c r="AA434" s="294"/>
      <c r="AB434" s="294"/>
      <c r="AC434" s="294"/>
    </row>
    <row r="435" ht="15.75" customHeight="1">
      <c r="A435" s="294"/>
      <c r="B435" s="294"/>
      <c r="C435" s="294"/>
      <c r="D435" s="294"/>
      <c r="E435" s="294"/>
      <c r="F435" s="294"/>
      <c r="G435" s="295"/>
      <c r="H435" s="294"/>
      <c r="I435" s="294"/>
      <c r="J435" s="294"/>
      <c r="K435" s="294"/>
      <c r="L435" s="294"/>
      <c r="M435" s="294"/>
      <c r="N435" s="294"/>
      <c r="O435" s="294"/>
      <c r="P435" s="294"/>
      <c r="Q435" s="294"/>
      <c r="R435" s="294"/>
      <c r="S435" s="294"/>
      <c r="T435" s="294"/>
      <c r="U435" s="294"/>
      <c r="V435" s="294"/>
      <c r="W435" s="294"/>
      <c r="X435" s="294"/>
      <c r="Y435" s="294"/>
      <c r="Z435" s="294"/>
      <c r="AA435" s="294"/>
      <c r="AB435" s="294"/>
      <c r="AC435" s="294"/>
    </row>
    <row r="436" ht="15.75" customHeight="1">
      <c r="A436" s="294"/>
      <c r="B436" s="294"/>
      <c r="C436" s="294"/>
      <c r="D436" s="294"/>
      <c r="E436" s="294"/>
      <c r="F436" s="294"/>
      <c r="G436" s="295"/>
      <c r="H436" s="294"/>
      <c r="I436" s="294"/>
      <c r="J436" s="294"/>
      <c r="K436" s="294"/>
      <c r="L436" s="294"/>
      <c r="M436" s="294"/>
      <c r="N436" s="294"/>
      <c r="O436" s="294"/>
      <c r="P436" s="294"/>
      <c r="Q436" s="294"/>
      <c r="R436" s="294"/>
      <c r="S436" s="294"/>
      <c r="T436" s="294"/>
      <c r="U436" s="294"/>
      <c r="V436" s="294"/>
      <c r="W436" s="294"/>
      <c r="X436" s="294"/>
      <c r="Y436" s="294"/>
      <c r="Z436" s="294"/>
      <c r="AA436" s="294"/>
      <c r="AB436" s="294"/>
      <c r="AC436" s="294"/>
    </row>
    <row r="437" ht="15.75" customHeight="1">
      <c r="A437" s="294"/>
      <c r="B437" s="294"/>
      <c r="C437" s="294"/>
      <c r="D437" s="294"/>
      <c r="E437" s="294"/>
      <c r="F437" s="294"/>
      <c r="G437" s="295"/>
      <c r="H437" s="294"/>
      <c r="I437" s="294"/>
      <c r="J437" s="294"/>
      <c r="K437" s="294"/>
      <c r="L437" s="294"/>
      <c r="M437" s="294"/>
      <c r="N437" s="294"/>
      <c r="O437" s="294"/>
      <c r="P437" s="294"/>
      <c r="Q437" s="294"/>
      <c r="R437" s="294"/>
      <c r="S437" s="294"/>
      <c r="T437" s="294"/>
      <c r="U437" s="294"/>
      <c r="V437" s="294"/>
      <c r="W437" s="294"/>
      <c r="X437" s="294"/>
      <c r="Y437" s="294"/>
      <c r="Z437" s="294"/>
      <c r="AA437" s="294"/>
      <c r="AB437" s="294"/>
      <c r="AC437" s="294"/>
    </row>
    <row r="438" ht="15.75" customHeight="1">
      <c r="A438" s="294"/>
      <c r="B438" s="294"/>
      <c r="C438" s="294"/>
      <c r="D438" s="294"/>
      <c r="E438" s="294"/>
      <c r="F438" s="294"/>
      <c r="G438" s="295"/>
      <c r="H438" s="294"/>
      <c r="I438" s="294"/>
      <c r="J438" s="294"/>
      <c r="K438" s="294"/>
      <c r="L438" s="294"/>
      <c r="M438" s="294"/>
      <c r="N438" s="294"/>
      <c r="O438" s="294"/>
      <c r="P438" s="294"/>
      <c r="Q438" s="294"/>
      <c r="R438" s="294"/>
      <c r="S438" s="294"/>
      <c r="T438" s="294"/>
      <c r="U438" s="294"/>
      <c r="V438" s="294"/>
      <c r="W438" s="294"/>
      <c r="X438" s="294"/>
      <c r="Y438" s="294"/>
      <c r="Z438" s="294"/>
      <c r="AA438" s="294"/>
      <c r="AB438" s="294"/>
      <c r="AC438" s="294"/>
    </row>
    <row r="439" ht="15.75" customHeight="1">
      <c r="A439" s="294"/>
      <c r="B439" s="294"/>
      <c r="C439" s="294"/>
      <c r="D439" s="294"/>
      <c r="E439" s="294"/>
      <c r="F439" s="294"/>
      <c r="G439" s="295"/>
      <c r="H439" s="294"/>
      <c r="I439" s="294"/>
      <c r="J439" s="294"/>
      <c r="K439" s="294"/>
      <c r="L439" s="294"/>
      <c r="M439" s="294"/>
      <c r="N439" s="294"/>
      <c r="O439" s="294"/>
      <c r="P439" s="294"/>
      <c r="Q439" s="294"/>
      <c r="R439" s="294"/>
      <c r="S439" s="294"/>
      <c r="T439" s="294"/>
      <c r="U439" s="294"/>
      <c r="V439" s="294"/>
      <c r="W439" s="294"/>
      <c r="X439" s="294"/>
      <c r="Y439" s="294"/>
      <c r="Z439" s="294"/>
      <c r="AA439" s="294"/>
      <c r="AB439" s="294"/>
      <c r="AC439" s="294"/>
    </row>
    <row r="440" ht="15.75" customHeight="1">
      <c r="A440" s="294"/>
      <c r="B440" s="294"/>
      <c r="C440" s="294"/>
      <c r="D440" s="294"/>
      <c r="E440" s="294"/>
      <c r="F440" s="294"/>
      <c r="G440" s="295"/>
      <c r="H440" s="294"/>
      <c r="I440" s="294"/>
      <c r="J440" s="294"/>
      <c r="K440" s="294"/>
      <c r="L440" s="294"/>
      <c r="M440" s="294"/>
      <c r="N440" s="294"/>
      <c r="O440" s="294"/>
      <c r="P440" s="294"/>
      <c r="Q440" s="294"/>
      <c r="R440" s="294"/>
      <c r="S440" s="294"/>
      <c r="T440" s="294"/>
      <c r="U440" s="294"/>
      <c r="V440" s="294"/>
      <c r="W440" s="294"/>
      <c r="X440" s="294"/>
      <c r="Y440" s="294"/>
      <c r="Z440" s="294"/>
      <c r="AA440" s="294"/>
      <c r="AB440" s="294"/>
      <c r="AC440" s="294"/>
    </row>
    <row r="441" ht="15.75" customHeight="1">
      <c r="A441" s="294"/>
      <c r="B441" s="294"/>
      <c r="C441" s="294"/>
      <c r="D441" s="294"/>
      <c r="E441" s="294"/>
      <c r="F441" s="294"/>
      <c r="G441" s="295"/>
      <c r="H441" s="294"/>
      <c r="I441" s="294"/>
      <c r="J441" s="294"/>
      <c r="K441" s="294"/>
      <c r="L441" s="294"/>
      <c r="M441" s="294"/>
      <c r="N441" s="294"/>
      <c r="O441" s="294"/>
      <c r="P441" s="294"/>
      <c r="Q441" s="294"/>
      <c r="R441" s="294"/>
      <c r="S441" s="294"/>
      <c r="T441" s="294"/>
      <c r="U441" s="294"/>
      <c r="V441" s="294"/>
      <c r="W441" s="294"/>
      <c r="X441" s="294"/>
      <c r="Y441" s="294"/>
      <c r="Z441" s="294"/>
      <c r="AA441" s="294"/>
      <c r="AB441" s="294"/>
      <c r="AC441" s="294"/>
    </row>
    <row r="442" ht="15.75" customHeight="1">
      <c r="A442" s="294"/>
      <c r="B442" s="294"/>
      <c r="C442" s="294"/>
      <c r="D442" s="294"/>
      <c r="E442" s="294"/>
      <c r="F442" s="294"/>
      <c r="G442" s="295"/>
      <c r="H442" s="294"/>
      <c r="I442" s="294"/>
      <c r="J442" s="294"/>
      <c r="K442" s="294"/>
      <c r="L442" s="294"/>
      <c r="M442" s="294"/>
      <c r="N442" s="294"/>
      <c r="O442" s="294"/>
      <c r="P442" s="294"/>
      <c r="Q442" s="294"/>
      <c r="R442" s="294"/>
      <c r="S442" s="294"/>
      <c r="T442" s="294"/>
      <c r="U442" s="294"/>
      <c r="V442" s="294"/>
      <c r="W442" s="294"/>
      <c r="X442" s="294"/>
      <c r="Y442" s="294"/>
      <c r="Z442" s="294"/>
      <c r="AA442" s="294"/>
      <c r="AB442" s="294"/>
      <c r="AC442" s="294"/>
    </row>
    <row r="443" ht="15.75" customHeight="1">
      <c r="A443" s="294"/>
      <c r="B443" s="294"/>
      <c r="C443" s="294"/>
      <c r="D443" s="294"/>
      <c r="E443" s="294"/>
      <c r="F443" s="294"/>
      <c r="G443" s="295"/>
      <c r="H443" s="294"/>
      <c r="I443" s="294"/>
      <c r="J443" s="294"/>
      <c r="K443" s="294"/>
      <c r="L443" s="294"/>
      <c r="M443" s="294"/>
      <c r="N443" s="294"/>
      <c r="O443" s="294"/>
      <c r="P443" s="294"/>
      <c r="Q443" s="294"/>
      <c r="R443" s="294"/>
      <c r="S443" s="294"/>
      <c r="T443" s="294"/>
      <c r="U443" s="294"/>
      <c r="V443" s="294"/>
      <c r="W443" s="294"/>
      <c r="X443" s="294"/>
      <c r="Y443" s="294"/>
      <c r="Z443" s="294"/>
      <c r="AA443" s="294"/>
      <c r="AB443" s="294"/>
      <c r="AC443" s="294"/>
    </row>
    <row r="444" ht="15.75" customHeight="1">
      <c r="A444" s="294"/>
      <c r="B444" s="294"/>
      <c r="C444" s="294"/>
      <c r="D444" s="294"/>
      <c r="E444" s="294"/>
      <c r="F444" s="294"/>
      <c r="G444" s="295"/>
      <c r="H444" s="294"/>
      <c r="I444" s="294"/>
      <c r="J444" s="294"/>
      <c r="K444" s="294"/>
      <c r="L444" s="294"/>
      <c r="M444" s="294"/>
      <c r="N444" s="294"/>
      <c r="O444" s="294"/>
      <c r="P444" s="294"/>
      <c r="Q444" s="294"/>
      <c r="R444" s="294"/>
      <c r="S444" s="294"/>
      <c r="T444" s="294"/>
      <c r="U444" s="294"/>
      <c r="V444" s="294"/>
      <c r="W444" s="294"/>
      <c r="X444" s="294"/>
      <c r="Y444" s="294"/>
      <c r="Z444" s="294"/>
      <c r="AA444" s="294"/>
      <c r="AB444" s="294"/>
      <c r="AC444" s="294"/>
    </row>
    <row r="445" ht="15.75" customHeight="1">
      <c r="A445" s="294"/>
      <c r="B445" s="294"/>
      <c r="C445" s="294"/>
      <c r="D445" s="294"/>
      <c r="E445" s="294"/>
      <c r="F445" s="294"/>
      <c r="G445" s="295"/>
      <c r="H445" s="294"/>
      <c r="I445" s="294"/>
      <c r="J445" s="294"/>
      <c r="K445" s="294"/>
      <c r="L445" s="294"/>
      <c r="M445" s="294"/>
      <c r="N445" s="294"/>
      <c r="O445" s="294"/>
      <c r="P445" s="294"/>
      <c r="Q445" s="294"/>
      <c r="R445" s="294"/>
      <c r="S445" s="294"/>
      <c r="T445" s="294"/>
      <c r="U445" s="294"/>
      <c r="V445" s="294"/>
      <c r="W445" s="294"/>
      <c r="X445" s="294"/>
      <c r="Y445" s="294"/>
      <c r="Z445" s="294"/>
      <c r="AA445" s="294"/>
      <c r="AB445" s="294"/>
      <c r="AC445" s="294"/>
    </row>
    <row r="446" ht="15.75" customHeight="1">
      <c r="A446" s="294"/>
      <c r="B446" s="294"/>
      <c r="C446" s="294"/>
      <c r="D446" s="294"/>
      <c r="E446" s="294"/>
      <c r="F446" s="294"/>
      <c r="G446" s="295"/>
      <c r="H446" s="294"/>
      <c r="I446" s="294"/>
      <c r="J446" s="294"/>
      <c r="K446" s="294"/>
      <c r="L446" s="294"/>
      <c r="M446" s="294"/>
      <c r="N446" s="294"/>
      <c r="O446" s="294"/>
      <c r="P446" s="294"/>
      <c r="Q446" s="294"/>
      <c r="R446" s="294"/>
      <c r="S446" s="294"/>
      <c r="T446" s="294"/>
      <c r="U446" s="294"/>
      <c r="V446" s="294"/>
      <c r="W446" s="294"/>
      <c r="X446" s="294"/>
      <c r="Y446" s="294"/>
      <c r="Z446" s="294"/>
      <c r="AA446" s="294"/>
      <c r="AB446" s="294"/>
      <c r="AC446" s="294"/>
    </row>
    <row r="447" ht="15.75" customHeight="1">
      <c r="A447" s="294"/>
      <c r="B447" s="294"/>
      <c r="C447" s="294"/>
      <c r="D447" s="294"/>
      <c r="E447" s="294"/>
      <c r="F447" s="294"/>
      <c r="G447" s="295"/>
      <c r="H447" s="294"/>
      <c r="I447" s="294"/>
      <c r="J447" s="294"/>
      <c r="K447" s="294"/>
      <c r="L447" s="294"/>
      <c r="M447" s="294"/>
      <c r="N447" s="294"/>
      <c r="O447" s="294"/>
      <c r="P447" s="294"/>
      <c r="Q447" s="294"/>
      <c r="R447" s="294"/>
      <c r="S447" s="294"/>
      <c r="T447" s="294"/>
      <c r="U447" s="294"/>
      <c r="V447" s="294"/>
      <c r="W447" s="294"/>
      <c r="X447" s="294"/>
      <c r="Y447" s="294"/>
      <c r="Z447" s="294"/>
      <c r="AA447" s="294"/>
      <c r="AB447" s="294"/>
      <c r="AC447" s="294"/>
    </row>
    <row r="448" ht="15.75" customHeight="1">
      <c r="A448" s="294"/>
      <c r="B448" s="294"/>
      <c r="C448" s="294"/>
      <c r="D448" s="294"/>
      <c r="E448" s="294"/>
      <c r="F448" s="294"/>
      <c r="G448" s="295"/>
      <c r="H448" s="294"/>
      <c r="I448" s="294"/>
      <c r="J448" s="294"/>
      <c r="K448" s="294"/>
      <c r="L448" s="294"/>
      <c r="M448" s="294"/>
      <c r="N448" s="294"/>
      <c r="O448" s="294"/>
      <c r="P448" s="294"/>
      <c r="Q448" s="294"/>
      <c r="R448" s="294"/>
      <c r="S448" s="294"/>
      <c r="T448" s="294"/>
      <c r="U448" s="294"/>
      <c r="V448" s="294"/>
      <c r="W448" s="294"/>
      <c r="X448" s="294"/>
      <c r="Y448" s="294"/>
      <c r="Z448" s="294"/>
      <c r="AA448" s="294"/>
      <c r="AB448" s="294"/>
      <c r="AC448" s="294"/>
    </row>
    <row r="449" ht="15.75" customHeight="1">
      <c r="A449" s="294"/>
      <c r="B449" s="294"/>
      <c r="C449" s="294"/>
      <c r="D449" s="294"/>
      <c r="E449" s="294"/>
      <c r="F449" s="294"/>
      <c r="G449" s="295"/>
      <c r="H449" s="294"/>
      <c r="I449" s="294"/>
      <c r="J449" s="294"/>
      <c r="K449" s="294"/>
      <c r="L449" s="294"/>
      <c r="M449" s="294"/>
      <c r="N449" s="294"/>
      <c r="O449" s="294"/>
      <c r="P449" s="294"/>
      <c r="Q449" s="294"/>
      <c r="R449" s="294"/>
      <c r="S449" s="294"/>
      <c r="T449" s="294"/>
      <c r="U449" s="294"/>
      <c r="V449" s="294"/>
      <c r="W449" s="294"/>
      <c r="X449" s="294"/>
      <c r="Y449" s="294"/>
      <c r="Z449" s="294"/>
      <c r="AA449" s="294"/>
      <c r="AB449" s="294"/>
      <c r="AC449" s="294"/>
    </row>
    <row r="450" ht="15.75" customHeight="1">
      <c r="A450" s="294"/>
      <c r="B450" s="294"/>
      <c r="C450" s="294"/>
      <c r="D450" s="294"/>
      <c r="E450" s="294"/>
      <c r="F450" s="294"/>
      <c r="G450" s="295"/>
      <c r="H450" s="294"/>
      <c r="I450" s="294"/>
      <c r="J450" s="294"/>
      <c r="K450" s="294"/>
      <c r="L450" s="294"/>
      <c r="M450" s="294"/>
      <c r="N450" s="294"/>
      <c r="O450" s="294"/>
      <c r="P450" s="294"/>
      <c r="Q450" s="294"/>
      <c r="R450" s="294"/>
      <c r="S450" s="294"/>
      <c r="T450" s="294"/>
      <c r="U450" s="294"/>
      <c r="V450" s="294"/>
      <c r="W450" s="294"/>
      <c r="X450" s="294"/>
      <c r="Y450" s="294"/>
      <c r="Z450" s="294"/>
      <c r="AA450" s="294"/>
      <c r="AB450" s="294"/>
      <c r="AC450" s="294"/>
    </row>
    <row r="451" ht="15.75" customHeight="1">
      <c r="A451" s="294"/>
      <c r="B451" s="294"/>
      <c r="C451" s="294"/>
      <c r="D451" s="294"/>
      <c r="E451" s="294"/>
      <c r="F451" s="294"/>
      <c r="G451" s="295"/>
      <c r="H451" s="294"/>
      <c r="I451" s="294"/>
      <c r="J451" s="294"/>
      <c r="K451" s="294"/>
      <c r="L451" s="294"/>
      <c r="M451" s="294"/>
      <c r="N451" s="294"/>
      <c r="O451" s="294"/>
      <c r="P451" s="294"/>
      <c r="Q451" s="294"/>
      <c r="R451" s="294"/>
      <c r="S451" s="294"/>
      <c r="T451" s="294"/>
      <c r="U451" s="294"/>
      <c r="V451" s="294"/>
      <c r="W451" s="294"/>
      <c r="X451" s="294"/>
      <c r="Y451" s="294"/>
      <c r="Z451" s="294"/>
      <c r="AA451" s="294"/>
      <c r="AB451" s="294"/>
      <c r="AC451" s="294"/>
    </row>
    <row r="452" ht="15.75" customHeight="1">
      <c r="A452" s="294"/>
      <c r="B452" s="294"/>
      <c r="C452" s="294"/>
      <c r="D452" s="294"/>
      <c r="E452" s="294"/>
      <c r="F452" s="294"/>
      <c r="G452" s="295"/>
      <c r="H452" s="294"/>
      <c r="I452" s="294"/>
      <c r="J452" s="294"/>
      <c r="K452" s="294"/>
      <c r="L452" s="294"/>
      <c r="M452" s="294"/>
      <c r="N452" s="294"/>
      <c r="O452" s="294"/>
      <c r="P452" s="294"/>
      <c r="Q452" s="294"/>
      <c r="R452" s="294"/>
      <c r="S452" s="294"/>
      <c r="T452" s="294"/>
      <c r="U452" s="294"/>
      <c r="V452" s="294"/>
      <c r="W452" s="294"/>
      <c r="X452" s="294"/>
      <c r="Y452" s="294"/>
      <c r="Z452" s="294"/>
      <c r="AA452" s="294"/>
      <c r="AB452" s="294"/>
      <c r="AC452" s="294"/>
    </row>
    <row r="453" ht="15.75" customHeight="1">
      <c r="A453" s="294"/>
      <c r="B453" s="294"/>
      <c r="C453" s="294"/>
      <c r="D453" s="294"/>
      <c r="E453" s="294"/>
      <c r="F453" s="294"/>
      <c r="G453" s="295"/>
      <c r="H453" s="294"/>
      <c r="I453" s="294"/>
      <c r="J453" s="294"/>
      <c r="K453" s="294"/>
      <c r="L453" s="294"/>
      <c r="M453" s="294"/>
      <c r="N453" s="294"/>
      <c r="O453" s="294"/>
      <c r="P453" s="294"/>
      <c r="Q453" s="294"/>
      <c r="R453" s="294"/>
      <c r="S453" s="294"/>
      <c r="T453" s="294"/>
      <c r="U453" s="294"/>
      <c r="V453" s="294"/>
      <c r="W453" s="294"/>
      <c r="X453" s="294"/>
      <c r="Y453" s="294"/>
      <c r="Z453" s="294"/>
      <c r="AA453" s="294"/>
      <c r="AB453" s="294"/>
      <c r="AC453" s="294"/>
    </row>
    <row r="454" ht="15.75" customHeight="1">
      <c r="A454" s="294"/>
      <c r="B454" s="294"/>
      <c r="C454" s="294"/>
      <c r="D454" s="294"/>
      <c r="E454" s="294"/>
      <c r="F454" s="294"/>
      <c r="G454" s="295"/>
      <c r="H454" s="294"/>
      <c r="I454" s="294"/>
      <c r="J454" s="294"/>
      <c r="K454" s="294"/>
      <c r="L454" s="294"/>
      <c r="M454" s="294"/>
      <c r="N454" s="294"/>
      <c r="O454" s="294"/>
      <c r="P454" s="294"/>
      <c r="Q454" s="294"/>
      <c r="R454" s="294"/>
      <c r="S454" s="294"/>
      <c r="T454" s="294"/>
      <c r="U454" s="294"/>
      <c r="V454" s="294"/>
      <c r="W454" s="294"/>
      <c r="X454" s="294"/>
      <c r="Y454" s="294"/>
      <c r="Z454" s="294"/>
      <c r="AA454" s="294"/>
      <c r="AB454" s="294"/>
      <c r="AC454" s="294"/>
    </row>
    <row r="455" ht="15.75" customHeight="1">
      <c r="A455" s="294"/>
      <c r="B455" s="294"/>
      <c r="C455" s="294"/>
      <c r="D455" s="294"/>
      <c r="E455" s="294"/>
      <c r="F455" s="294"/>
      <c r="G455" s="295"/>
      <c r="H455" s="294"/>
      <c r="I455" s="294"/>
      <c r="J455" s="294"/>
      <c r="K455" s="294"/>
      <c r="L455" s="294"/>
      <c r="M455" s="294"/>
      <c r="N455" s="294"/>
      <c r="O455" s="294"/>
      <c r="P455" s="294"/>
      <c r="Q455" s="294"/>
      <c r="R455" s="294"/>
      <c r="S455" s="294"/>
      <c r="T455" s="294"/>
      <c r="U455" s="294"/>
      <c r="V455" s="294"/>
      <c r="W455" s="294"/>
      <c r="X455" s="294"/>
      <c r="Y455" s="294"/>
      <c r="Z455" s="294"/>
      <c r="AA455" s="294"/>
      <c r="AB455" s="294"/>
      <c r="AC455" s="294"/>
    </row>
    <row r="456" ht="15.75" customHeight="1">
      <c r="A456" s="294"/>
      <c r="B456" s="294"/>
      <c r="C456" s="294"/>
      <c r="D456" s="294"/>
      <c r="E456" s="294"/>
      <c r="F456" s="294"/>
      <c r="G456" s="295"/>
      <c r="H456" s="294"/>
      <c r="I456" s="294"/>
      <c r="J456" s="294"/>
      <c r="K456" s="294"/>
      <c r="L456" s="294"/>
      <c r="M456" s="294"/>
      <c r="N456" s="294"/>
      <c r="O456" s="294"/>
      <c r="P456" s="294"/>
      <c r="Q456" s="294"/>
      <c r="R456" s="294"/>
      <c r="S456" s="294"/>
      <c r="T456" s="294"/>
      <c r="U456" s="294"/>
      <c r="V456" s="294"/>
      <c r="W456" s="294"/>
      <c r="X456" s="294"/>
      <c r="Y456" s="294"/>
      <c r="Z456" s="294"/>
      <c r="AA456" s="294"/>
      <c r="AB456" s="294"/>
      <c r="AC456" s="294"/>
    </row>
    <row r="457" ht="15.75" customHeight="1">
      <c r="A457" s="294"/>
      <c r="B457" s="294"/>
      <c r="C457" s="294"/>
      <c r="D457" s="294"/>
      <c r="E457" s="294"/>
      <c r="F457" s="294"/>
      <c r="G457" s="295"/>
      <c r="H457" s="294"/>
      <c r="I457" s="294"/>
      <c r="J457" s="294"/>
      <c r="K457" s="294"/>
      <c r="L457" s="294"/>
      <c r="M457" s="294"/>
      <c r="N457" s="294"/>
      <c r="O457" s="294"/>
      <c r="P457" s="294"/>
      <c r="Q457" s="294"/>
      <c r="R457" s="294"/>
      <c r="S457" s="294"/>
      <c r="T457" s="294"/>
      <c r="U457" s="294"/>
      <c r="V457" s="294"/>
      <c r="W457" s="294"/>
      <c r="X457" s="294"/>
      <c r="Y457" s="294"/>
      <c r="Z457" s="294"/>
      <c r="AA457" s="294"/>
      <c r="AB457" s="294"/>
      <c r="AC457" s="294"/>
    </row>
    <row r="458" ht="15.75" customHeight="1">
      <c r="A458" s="294"/>
      <c r="B458" s="294"/>
      <c r="C458" s="294"/>
      <c r="D458" s="294"/>
      <c r="E458" s="294"/>
      <c r="F458" s="294"/>
      <c r="G458" s="295"/>
      <c r="H458" s="294"/>
      <c r="I458" s="294"/>
      <c r="J458" s="294"/>
      <c r="K458" s="294"/>
      <c r="L458" s="294"/>
      <c r="M458" s="294"/>
      <c r="N458" s="294"/>
      <c r="O458" s="294"/>
      <c r="P458" s="294"/>
      <c r="Q458" s="294"/>
      <c r="R458" s="294"/>
      <c r="S458" s="294"/>
      <c r="T458" s="294"/>
      <c r="U458" s="294"/>
      <c r="V458" s="294"/>
      <c r="W458" s="294"/>
      <c r="X458" s="294"/>
      <c r="Y458" s="294"/>
      <c r="Z458" s="294"/>
      <c r="AA458" s="294"/>
      <c r="AB458" s="294"/>
      <c r="AC458" s="294"/>
    </row>
    <row r="459" ht="15.75" customHeight="1">
      <c r="A459" s="294"/>
      <c r="B459" s="294"/>
      <c r="C459" s="294"/>
      <c r="D459" s="294"/>
      <c r="E459" s="294"/>
      <c r="F459" s="294"/>
      <c r="G459" s="295"/>
      <c r="H459" s="294"/>
      <c r="I459" s="294"/>
      <c r="J459" s="294"/>
      <c r="K459" s="294"/>
      <c r="L459" s="294"/>
      <c r="M459" s="294"/>
      <c r="N459" s="294"/>
      <c r="O459" s="294"/>
      <c r="P459" s="294"/>
      <c r="Q459" s="294"/>
      <c r="R459" s="294"/>
      <c r="S459" s="294"/>
      <c r="T459" s="294"/>
      <c r="U459" s="294"/>
      <c r="V459" s="294"/>
      <c r="W459" s="294"/>
      <c r="X459" s="294"/>
      <c r="Y459" s="294"/>
      <c r="Z459" s="294"/>
      <c r="AA459" s="294"/>
      <c r="AB459" s="294"/>
      <c r="AC459" s="294"/>
    </row>
    <row r="460" ht="15.75" customHeight="1">
      <c r="A460" s="294"/>
      <c r="B460" s="294"/>
      <c r="C460" s="294"/>
      <c r="D460" s="294"/>
      <c r="E460" s="294"/>
      <c r="F460" s="294"/>
      <c r="G460" s="295"/>
      <c r="H460" s="294"/>
      <c r="I460" s="294"/>
      <c r="J460" s="294"/>
      <c r="K460" s="294"/>
      <c r="L460" s="294"/>
      <c r="M460" s="294"/>
      <c r="N460" s="294"/>
      <c r="O460" s="294"/>
      <c r="P460" s="294"/>
      <c r="Q460" s="294"/>
      <c r="R460" s="294"/>
      <c r="S460" s="294"/>
      <c r="T460" s="294"/>
      <c r="U460" s="294"/>
      <c r="V460" s="294"/>
      <c r="W460" s="294"/>
      <c r="X460" s="294"/>
      <c r="Y460" s="294"/>
      <c r="Z460" s="294"/>
      <c r="AA460" s="294"/>
      <c r="AB460" s="294"/>
      <c r="AC460" s="294"/>
    </row>
    <row r="461" ht="15.75" customHeight="1">
      <c r="A461" s="294"/>
      <c r="B461" s="294"/>
      <c r="C461" s="294"/>
      <c r="D461" s="294"/>
      <c r="E461" s="294"/>
      <c r="F461" s="294"/>
      <c r="G461" s="295"/>
      <c r="H461" s="294"/>
      <c r="I461" s="294"/>
      <c r="J461" s="294"/>
      <c r="K461" s="294"/>
      <c r="L461" s="294"/>
      <c r="M461" s="294"/>
      <c r="N461" s="294"/>
      <c r="O461" s="294"/>
      <c r="P461" s="294"/>
      <c r="Q461" s="294"/>
      <c r="R461" s="294"/>
      <c r="S461" s="294"/>
      <c r="T461" s="294"/>
      <c r="U461" s="294"/>
      <c r="V461" s="294"/>
      <c r="W461" s="294"/>
      <c r="X461" s="294"/>
      <c r="Y461" s="294"/>
      <c r="Z461" s="294"/>
      <c r="AA461" s="294"/>
      <c r="AB461" s="294"/>
      <c r="AC461" s="294"/>
    </row>
    <row r="462" ht="15.75" customHeight="1">
      <c r="A462" s="294"/>
      <c r="B462" s="294"/>
      <c r="C462" s="294"/>
      <c r="D462" s="294"/>
      <c r="E462" s="294"/>
      <c r="F462" s="294"/>
      <c r="G462" s="295"/>
      <c r="H462" s="294"/>
      <c r="I462" s="294"/>
      <c r="J462" s="294"/>
      <c r="K462" s="294"/>
      <c r="L462" s="294"/>
      <c r="M462" s="294"/>
      <c r="N462" s="294"/>
      <c r="O462" s="294"/>
      <c r="P462" s="294"/>
      <c r="Q462" s="294"/>
      <c r="R462" s="294"/>
      <c r="S462" s="294"/>
      <c r="T462" s="294"/>
      <c r="U462" s="294"/>
      <c r="V462" s="294"/>
      <c r="W462" s="294"/>
      <c r="X462" s="294"/>
      <c r="Y462" s="294"/>
      <c r="Z462" s="294"/>
      <c r="AA462" s="294"/>
      <c r="AB462" s="294"/>
      <c r="AC462" s="294"/>
    </row>
    <row r="463" ht="15.75" customHeight="1">
      <c r="A463" s="294"/>
      <c r="B463" s="294"/>
      <c r="C463" s="294"/>
      <c r="D463" s="294"/>
      <c r="E463" s="294"/>
      <c r="F463" s="294"/>
      <c r="G463" s="295"/>
      <c r="H463" s="294"/>
      <c r="I463" s="294"/>
      <c r="J463" s="294"/>
      <c r="K463" s="294"/>
      <c r="L463" s="294"/>
      <c r="M463" s="294"/>
      <c r="N463" s="294"/>
      <c r="O463" s="294"/>
      <c r="P463" s="294"/>
      <c r="Q463" s="294"/>
      <c r="R463" s="294"/>
      <c r="S463" s="294"/>
      <c r="T463" s="294"/>
      <c r="U463" s="294"/>
      <c r="V463" s="294"/>
      <c r="W463" s="294"/>
      <c r="X463" s="294"/>
      <c r="Y463" s="294"/>
      <c r="Z463" s="294"/>
      <c r="AA463" s="294"/>
      <c r="AB463" s="294"/>
      <c r="AC463" s="294"/>
    </row>
    <row r="464" ht="15.75" customHeight="1">
      <c r="A464" s="294"/>
      <c r="B464" s="294"/>
      <c r="C464" s="294"/>
      <c r="D464" s="294"/>
      <c r="E464" s="294"/>
      <c r="F464" s="294"/>
      <c r="G464" s="295"/>
      <c r="H464" s="294"/>
      <c r="I464" s="294"/>
      <c r="J464" s="294"/>
      <c r="K464" s="294"/>
      <c r="L464" s="294"/>
      <c r="M464" s="294"/>
      <c r="N464" s="294"/>
      <c r="O464" s="294"/>
      <c r="P464" s="294"/>
      <c r="Q464" s="294"/>
      <c r="R464" s="294"/>
      <c r="S464" s="294"/>
      <c r="T464" s="294"/>
      <c r="U464" s="294"/>
      <c r="V464" s="294"/>
      <c r="W464" s="294"/>
      <c r="X464" s="294"/>
      <c r="Y464" s="294"/>
      <c r="Z464" s="294"/>
      <c r="AA464" s="294"/>
      <c r="AB464" s="294"/>
      <c r="AC464" s="294"/>
    </row>
    <row r="465" ht="15.75" customHeight="1">
      <c r="A465" s="294"/>
      <c r="B465" s="294"/>
      <c r="C465" s="294"/>
      <c r="D465" s="294"/>
      <c r="E465" s="294"/>
      <c r="F465" s="294"/>
      <c r="G465" s="295"/>
      <c r="H465" s="294"/>
      <c r="I465" s="294"/>
      <c r="J465" s="294"/>
      <c r="K465" s="294"/>
      <c r="L465" s="294"/>
      <c r="M465" s="294"/>
      <c r="N465" s="294"/>
      <c r="O465" s="294"/>
      <c r="P465" s="294"/>
      <c r="Q465" s="294"/>
      <c r="R465" s="294"/>
      <c r="S465" s="294"/>
      <c r="T465" s="294"/>
      <c r="U465" s="294"/>
      <c r="V465" s="294"/>
      <c r="W465" s="294"/>
      <c r="X465" s="294"/>
      <c r="Y465" s="294"/>
      <c r="Z465" s="294"/>
      <c r="AA465" s="294"/>
      <c r="AB465" s="294"/>
      <c r="AC465" s="294"/>
    </row>
    <row r="466" ht="15.75" customHeight="1">
      <c r="A466" s="294"/>
      <c r="B466" s="294"/>
      <c r="C466" s="294"/>
      <c r="D466" s="294"/>
      <c r="E466" s="294"/>
      <c r="F466" s="294"/>
      <c r="G466" s="295"/>
      <c r="H466" s="294"/>
      <c r="I466" s="294"/>
      <c r="J466" s="294"/>
      <c r="K466" s="294"/>
      <c r="L466" s="294"/>
      <c r="M466" s="294"/>
      <c r="N466" s="294"/>
      <c r="O466" s="294"/>
      <c r="P466" s="294"/>
      <c r="Q466" s="294"/>
      <c r="R466" s="294"/>
      <c r="S466" s="294"/>
      <c r="T466" s="294"/>
      <c r="U466" s="294"/>
      <c r="V466" s="294"/>
      <c r="W466" s="294"/>
      <c r="X466" s="294"/>
      <c r="Y466" s="294"/>
      <c r="Z466" s="294"/>
      <c r="AA466" s="294"/>
      <c r="AB466" s="294"/>
      <c r="AC466" s="294"/>
    </row>
    <row r="467" ht="15.75" customHeight="1">
      <c r="A467" s="294"/>
      <c r="B467" s="294"/>
      <c r="C467" s="294"/>
      <c r="D467" s="294"/>
      <c r="E467" s="294"/>
      <c r="F467" s="294"/>
      <c r="G467" s="295"/>
      <c r="H467" s="294"/>
      <c r="I467" s="294"/>
      <c r="J467" s="294"/>
      <c r="K467" s="294"/>
      <c r="L467" s="294"/>
      <c r="M467" s="294"/>
      <c r="N467" s="294"/>
      <c r="O467" s="294"/>
      <c r="P467" s="294"/>
      <c r="Q467" s="294"/>
      <c r="R467" s="294"/>
      <c r="S467" s="294"/>
      <c r="T467" s="294"/>
      <c r="U467" s="294"/>
      <c r="V467" s="294"/>
      <c r="W467" s="294"/>
      <c r="X467" s="294"/>
      <c r="Y467" s="294"/>
      <c r="Z467" s="294"/>
      <c r="AA467" s="294"/>
      <c r="AB467" s="294"/>
      <c r="AC467" s="294"/>
    </row>
    <row r="468" ht="15.75" customHeight="1">
      <c r="A468" s="294"/>
      <c r="B468" s="294"/>
      <c r="C468" s="294"/>
      <c r="D468" s="294"/>
      <c r="E468" s="294"/>
      <c r="F468" s="294"/>
      <c r="G468" s="295"/>
      <c r="H468" s="294"/>
      <c r="I468" s="294"/>
      <c r="J468" s="294"/>
      <c r="K468" s="294"/>
      <c r="L468" s="294"/>
      <c r="M468" s="294"/>
      <c r="N468" s="294"/>
      <c r="O468" s="294"/>
      <c r="P468" s="294"/>
      <c r="Q468" s="294"/>
      <c r="R468" s="294"/>
      <c r="S468" s="294"/>
      <c r="T468" s="294"/>
      <c r="U468" s="294"/>
      <c r="V468" s="294"/>
      <c r="W468" s="294"/>
      <c r="X468" s="294"/>
      <c r="Y468" s="294"/>
      <c r="Z468" s="294"/>
      <c r="AA468" s="294"/>
      <c r="AB468" s="294"/>
      <c r="AC468" s="294"/>
    </row>
    <row r="469" ht="15.75" customHeight="1">
      <c r="A469" s="294"/>
      <c r="B469" s="294"/>
      <c r="C469" s="294"/>
      <c r="D469" s="294"/>
      <c r="E469" s="294"/>
      <c r="F469" s="294"/>
      <c r="G469" s="295"/>
      <c r="H469" s="294"/>
      <c r="I469" s="294"/>
      <c r="J469" s="294"/>
      <c r="K469" s="294"/>
      <c r="L469" s="294"/>
      <c r="M469" s="294"/>
      <c r="N469" s="294"/>
      <c r="O469" s="294"/>
      <c r="P469" s="294"/>
      <c r="Q469" s="294"/>
      <c r="R469" s="294"/>
      <c r="S469" s="294"/>
      <c r="T469" s="294"/>
      <c r="U469" s="294"/>
      <c r="V469" s="294"/>
      <c r="W469" s="294"/>
      <c r="X469" s="294"/>
      <c r="Y469" s="294"/>
      <c r="Z469" s="294"/>
      <c r="AA469" s="294"/>
      <c r="AB469" s="294"/>
      <c r="AC469" s="294"/>
    </row>
    <row r="470" ht="15.75" customHeight="1">
      <c r="A470" s="294"/>
      <c r="B470" s="294"/>
      <c r="C470" s="294"/>
      <c r="D470" s="294"/>
      <c r="E470" s="294"/>
      <c r="F470" s="294"/>
      <c r="G470" s="295"/>
      <c r="H470" s="294"/>
      <c r="I470" s="294"/>
      <c r="J470" s="294"/>
      <c r="K470" s="294"/>
      <c r="L470" s="294"/>
      <c r="M470" s="294"/>
      <c r="N470" s="294"/>
      <c r="O470" s="294"/>
      <c r="P470" s="294"/>
      <c r="Q470" s="294"/>
      <c r="R470" s="294"/>
      <c r="S470" s="294"/>
      <c r="T470" s="294"/>
      <c r="U470" s="294"/>
      <c r="V470" s="294"/>
      <c r="W470" s="294"/>
      <c r="X470" s="294"/>
      <c r="Y470" s="294"/>
      <c r="Z470" s="294"/>
      <c r="AA470" s="294"/>
      <c r="AB470" s="294"/>
      <c r="AC470" s="294"/>
    </row>
    <row r="471" ht="15.75" customHeight="1">
      <c r="A471" s="294"/>
      <c r="B471" s="294"/>
      <c r="C471" s="294"/>
      <c r="D471" s="294"/>
      <c r="E471" s="294"/>
      <c r="F471" s="294"/>
      <c r="G471" s="295"/>
      <c r="H471" s="294"/>
      <c r="I471" s="294"/>
      <c r="J471" s="294"/>
      <c r="K471" s="294"/>
      <c r="L471" s="294"/>
      <c r="M471" s="294"/>
      <c r="N471" s="294"/>
      <c r="O471" s="294"/>
      <c r="P471" s="294"/>
      <c r="Q471" s="294"/>
      <c r="R471" s="294"/>
      <c r="S471" s="294"/>
      <c r="T471" s="294"/>
      <c r="U471" s="294"/>
      <c r="V471" s="294"/>
      <c r="W471" s="294"/>
      <c r="X471" s="294"/>
      <c r="Y471" s="294"/>
      <c r="Z471" s="294"/>
      <c r="AA471" s="294"/>
      <c r="AB471" s="294"/>
      <c r="AC471" s="294"/>
    </row>
    <row r="472" ht="15.75" customHeight="1">
      <c r="A472" s="294"/>
      <c r="B472" s="294"/>
      <c r="C472" s="294"/>
      <c r="D472" s="294"/>
      <c r="E472" s="294"/>
      <c r="F472" s="294"/>
      <c r="G472" s="295"/>
      <c r="H472" s="294"/>
      <c r="I472" s="294"/>
      <c r="J472" s="294"/>
      <c r="K472" s="294"/>
      <c r="L472" s="294"/>
      <c r="M472" s="294"/>
      <c r="N472" s="294"/>
      <c r="O472" s="294"/>
      <c r="P472" s="294"/>
      <c r="Q472" s="294"/>
      <c r="R472" s="294"/>
      <c r="S472" s="294"/>
      <c r="T472" s="294"/>
      <c r="U472" s="294"/>
      <c r="V472" s="294"/>
      <c r="W472" s="294"/>
      <c r="X472" s="294"/>
      <c r="Y472" s="294"/>
      <c r="Z472" s="294"/>
      <c r="AA472" s="294"/>
      <c r="AB472" s="294"/>
      <c r="AC472" s="294"/>
    </row>
    <row r="473" ht="15.75" customHeight="1">
      <c r="A473" s="294"/>
      <c r="B473" s="294"/>
      <c r="C473" s="294"/>
      <c r="D473" s="294"/>
      <c r="E473" s="294"/>
      <c r="F473" s="294"/>
      <c r="G473" s="295"/>
      <c r="H473" s="294"/>
      <c r="I473" s="294"/>
      <c r="J473" s="294"/>
      <c r="K473" s="294"/>
      <c r="L473" s="294"/>
      <c r="M473" s="294"/>
      <c r="N473" s="294"/>
      <c r="O473" s="294"/>
      <c r="P473" s="294"/>
      <c r="Q473" s="294"/>
      <c r="R473" s="294"/>
      <c r="S473" s="294"/>
      <c r="T473" s="294"/>
      <c r="U473" s="294"/>
      <c r="V473" s="294"/>
      <c r="W473" s="294"/>
      <c r="X473" s="294"/>
      <c r="Y473" s="294"/>
      <c r="Z473" s="294"/>
      <c r="AA473" s="294"/>
      <c r="AB473" s="294"/>
      <c r="AC473" s="294"/>
    </row>
    <row r="474" ht="15.75" customHeight="1">
      <c r="A474" s="294"/>
      <c r="B474" s="294"/>
      <c r="C474" s="294"/>
      <c r="D474" s="294"/>
      <c r="E474" s="294"/>
      <c r="F474" s="294"/>
      <c r="G474" s="295"/>
      <c r="H474" s="294"/>
      <c r="I474" s="294"/>
      <c r="J474" s="294"/>
      <c r="K474" s="294"/>
      <c r="L474" s="294"/>
      <c r="M474" s="294"/>
      <c r="N474" s="294"/>
      <c r="O474" s="294"/>
      <c r="P474" s="294"/>
      <c r="Q474" s="294"/>
      <c r="R474" s="294"/>
      <c r="S474" s="294"/>
      <c r="T474" s="294"/>
      <c r="U474" s="294"/>
      <c r="V474" s="294"/>
      <c r="W474" s="294"/>
      <c r="X474" s="294"/>
      <c r="Y474" s="294"/>
      <c r="Z474" s="294"/>
      <c r="AA474" s="294"/>
      <c r="AB474" s="294"/>
      <c r="AC474" s="294"/>
    </row>
    <row r="475" ht="15.75" customHeight="1">
      <c r="A475" s="294"/>
      <c r="B475" s="294"/>
      <c r="C475" s="294"/>
      <c r="D475" s="294"/>
      <c r="E475" s="294"/>
      <c r="F475" s="294"/>
      <c r="G475" s="295"/>
      <c r="H475" s="294"/>
      <c r="I475" s="294"/>
      <c r="J475" s="294"/>
      <c r="K475" s="294"/>
      <c r="L475" s="294"/>
      <c r="M475" s="294"/>
      <c r="N475" s="294"/>
      <c r="O475" s="294"/>
      <c r="P475" s="294"/>
      <c r="Q475" s="294"/>
      <c r="R475" s="294"/>
      <c r="S475" s="294"/>
      <c r="T475" s="294"/>
      <c r="U475" s="294"/>
      <c r="V475" s="294"/>
      <c r="W475" s="294"/>
      <c r="X475" s="294"/>
      <c r="Y475" s="294"/>
      <c r="Z475" s="294"/>
      <c r="AA475" s="294"/>
      <c r="AB475" s="294"/>
      <c r="AC475" s="294"/>
    </row>
    <row r="476" ht="15.75" customHeight="1">
      <c r="A476" s="294"/>
      <c r="B476" s="294"/>
      <c r="C476" s="294"/>
      <c r="D476" s="294"/>
      <c r="E476" s="294"/>
      <c r="F476" s="294"/>
      <c r="G476" s="295"/>
      <c r="H476" s="294"/>
      <c r="I476" s="294"/>
      <c r="J476" s="294"/>
      <c r="K476" s="294"/>
      <c r="L476" s="294"/>
      <c r="M476" s="294"/>
      <c r="N476" s="294"/>
      <c r="O476" s="294"/>
      <c r="P476" s="294"/>
      <c r="Q476" s="294"/>
      <c r="R476" s="294"/>
      <c r="S476" s="294"/>
      <c r="T476" s="294"/>
      <c r="U476" s="294"/>
      <c r="V476" s="294"/>
      <c r="W476" s="294"/>
      <c r="X476" s="294"/>
      <c r="Y476" s="294"/>
      <c r="Z476" s="294"/>
      <c r="AA476" s="294"/>
      <c r="AB476" s="294"/>
      <c r="AC476" s="294"/>
    </row>
    <row r="477" ht="15.75" customHeight="1">
      <c r="A477" s="294"/>
      <c r="B477" s="294"/>
      <c r="C477" s="294"/>
      <c r="D477" s="294"/>
      <c r="E477" s="294"/>
      <c r="F477" s="294"/>
      <c r="G477" s="295"/>
      <c r="H477" s="294"/>
      <c r="I477" s="294"/>
      <c r="J477" s="294"/>
      <c r="K477" s="294"/>
      <c r="L477" s="294"/>
      <c r="M477" s="294"/>
      <c r="N477" s="294"/>
      <c r="O477" s="294"/>
      <c r="P477" s="294"/>
      <c r="Q477" s="294"/>
      <c r="R477" s="294"/>
      <c r="S477" s="294"/>
      <c r="T477" s="294"/>
      <c r="U477" s="294"/>
      <c r="V477" s="294"/>
      <c r="W477" s="294"/>
      <c r="X477" s="294"/>
      <c r="Y477" s="294"/>
      <c r="Z477" s="294"/>
      <c r="AA477" s="294"/>
      <c r="AB477" s="294"/>
      <c r="AC477" s="294"/>
    </row>
    <row r="478" ht="15.75" customHeight="1">
      <c r="A478" s="294"/>
      <c r="B478" s="294"/>
      <c r="C478" s="294"/>
      <c r="D478" s="294"/>
      <c r="E478" s="294"/>
      <c r="F478" s="294"/>
      <c r="G478" s="295"/>
      <c r="H478" s="294"/>
      <c r="I478" s="294"/>
      <c r="J478" s="294"/>
      <c r="K478" s="294"/>
      <c r="L478" s="294"/>
      <c r="M478" s="294"/>
      <c r="N478" s="294"/>
      <c r="O478" s="294"/>
      <c r="P478" s="294"/>
      <c r="Q478" s="294"/>
      <c r="R478" s="294"/>
      <c r="S478" s="294"/>
      <c r="T478" s="294"/>
      <c r="U478" s="294"/>
      <c r="V478" s="294"/>
      <c r="W478" s="294"/>
      <c r="X478" s="294"/>
      <c r="Y478" s="294"/>
      <c r="Z478" s="294"/>
      <c r="AA478" s="294"/>
      <c r="AB478" s="294"/>
      <c r="AC478" s="294"/>
    </row>
    <row r="479" ht="15.75" customHeight="1">
      <c r="A479" s="294"/>
      <c r="B479" s="294"/>
      <c r="C479" s="294"/>
      <c r="D479" s="294"/>
      <c r="E479" s="294"/>
      <c r="F479" s="294"/>
      <c r="G479" s="295"/>
      <c r="H479" s="294"/>
      <c r="I479" s="294"/>
      <c r="J479" s="294"/>
      <c r="K479" s="294"/>
      <c r="L479" s="294"/>
      <c r="M479" s="294"/>
      <c r="N479" s="294"/>
      <c r="O479" s="294"/>
      <c r="P479" s="294"/>
      <c r="Q479" s="294"/>
      <c r="R479" s="294"/>
      <c r="S479" s="294"/>
      <c r="T479" s="294"/>
      <c r="U479" s="294"/>
      <c r="V479" s="294"/>
      <c r="W479" s="294"/>
      <c r="X479" s="294"/>
      <c r="Y479" s="294"/>
      <c r="Z479" s="294"/>
      <c r="AA479" s="294"/>
      <c r="AB479" s="294"/>
      <c r="AC479" s="294"/>
    </row>
    <row r="480" ht="15.75" customHeight="1">
      <c r="A480" s="294"/>
      <c r="B480" s="294"/>
      <c r="C480" s="294"/>
      <c r="D480" s="294"/>
      <c r="E480" s="294"/>
      <c r="F480" s="294"/>
      <c r="G480" s="295"/>
      <c r="H480" s="294"/>
      <c r="I480" s="294"/>
      <c r="J480" s="294"/>
      <c r="K480" s="294"/>
      <c r="L480" s="294"/>
      <c r="M480" s="294"/>
      <c r="N480" s="294"/>
      <c r="O480" s="294"/>
      <c r="P480" s="294"/>
      <c r="Q480" s="294"/>
      <c r="R480" s="294"/>
      <c r="S480" s="294"/>
      <c r="T480" s="294"/>
      <c r="U480" s="294"/>
      <c r="V480" s="294"/>
      <c r="W480" s="294"/>
      <c r="X480" s="294"/>
      <c r="Y480" s="294"/>
      <c r="Z480" s="294"/>
      <c r="AA480" s="294"/>
      <c r="AB480" s="294"/>
      <c r="AC480" s="294"/>
    </row>
    <row r="481" ht="15.75" customHeight="1">
      <c r="A481" s="294"/>
      <c r="B481" s="294"/>
      <c r="C481" s="294"/>
      <c r="D481" s="294"/>
      <c r="E481" s="294"/>
      <c r="F481" s="294"/>
      <c r="G481" s="295"/>
      <c r="H481" s="294"/>
      <c r="I481" s="294"/>
      <c r="J481" s="294"/>
      <c r="K481" s="294"/>
      <c r="L481" s="294"/>
      <c r="M481" s="294"/>
      <c r="N481" s="294"/>
      <c r="O481" s="294"/>
      <c r="P481" s="294"/>
      <c r="Q481" s="294"/>
      <c r="R481" s="294"/>
      <c r="S481" s="294"/>
      <c r="T481" s="294"/>
      <c r="U481" s="294"/>
      <c r="V481" s="294"/>
      <c r="W481" s="294"/>
      <c r="X481" s="294"/>
      <c r="Y481" s="294"/>
      <c r="Z481" s="294"/>
      <c r="AA481" s="294"/>
      <c r="AB481" s="294"/>
      <c r="AC481" s="294"/>
    </row>
    <row r="482" ht="15.75" customHeight="1">
      <c r="A482" s="294"/>
      <c r="B482" s="294"/>
      <c r="C482" s="294"/>
      <c r="D482" s="294"/>
      <c r="E482" s="294"/>
      <c r="F482" s="294"/>
      <c r="G482" s="295"/>
      <c r="H482" s="294"/>
      <c r="I482" s="294"/>
      <c r="J482" s="294"/>
      <c r="K482" s="294"/>
      <c r="L482" s="294"/>
      <c r="M482" s="294"/>
      <c r="N482" s="294"/>
      <c r="O482" s="294"/>
      <c r="P482" s="294"/>
      <c r="Q482" s="294"/>
      <c r="R482" s="294"/>
      <c r="S482" s="294"/>
      <c r="T482" s="294"/>
      <c r="U482" s="294"/>
      <c r="V482" s="294"/>
      <c r="W482" s="294"/>
      <c r="X482" s="294"/>
      <c r="Y482" s="294"/>
      <c r="Z482" s="294"/>
      <c r="AA482" s="294"/>
      <c r="AB482" s="294"/>
      <c r="AC482" s="294"/>
    </row>
    <row r="483" ht="15.75" customHeight="1">
      <c r="A483" s="294"/>
      <c r="B483" s="294"/>
      <c r="C483" s="294"/>
      <c r="D483" s="294"/>
      <c r="E483" s="294"/>
      <c r="F483" s="294"/>
      <c r="G483" s="295"/>
      <c r="H483" s="294"/>
      <c r="I483" s="294"/>
      <c r="J483" s="294"/>
      <c r="K483" s="294"/>
      <c r="L483" s="294"/>
      <c r="M483" s="294"/>
      <c r="N483" s="294"/>
      <c r="O483" s="294"/>
      <c r="P483" s="294"/>
      <c r="Q483" s="294"/>
      <c r="R483" s="294"/>
      <c r="S483" s="294"/>
      <c r="T483" s="294"/>
      <c r="U483" s="294"/>
      <c r="V483" s="294"/>
      <c r="W483" s="294"/>
      <c r="X483" s="294"/>
      <c r="Y483" s="294"/>
      <c r="Z483" s="294"/>
      <c r="AA483" s="294"/>
      <c r="AB483" s="294"/>
      <c r="AC483" s="294"/>
    </row>
    <row r="484" ht="15.75" customHeight="1">
      <c r="A484" s="294"/>
      <c r="B484" s="294"/>
      <c r="C484" s="294"/>
      <c r="D484" s="294"/>
      <c r="E484" s="294"/>
      <c r="F484" s="294"/>
      <c r="G484" s="295"/>
      <c r="H484" s="294"/>
      <c r="I484" s="294"/>
      <c r="J484" s="294"/>
      <c r="K484" s="294"/>
      <c r="L484" s="294"/>
      <c r="M484" s="294"/>
      <c r="N484" s="294"/>
      <c r="O484" s="294"/>
      <c r="P484" s="294"/>
      <c r="Q484" s="294"/>
      <c r="R484" s="294"/>
      <c r="S484" s="294"/>
      <c r="T484" s="294"/>
      <c r="U484" s="294"/>
      <c r="V484" s="294"/>
      <c r="W484" s="294"/>
      <c r="X484" s="294"/>
      <c r="Y484" s="294"/>
      <c r="Z484" s="294"/>
      <c r="AA484" s="294"/>
      <c r="AB484" s="294"/>
      <c r="AC484" s="294"/>
    </row>
    <row r="485" ht="15.75" customHeight="1">
      <c r="A485" s="294"/>
      <c r="B485" s="294"/>
      <c r="C485" s="294"/>
      <c r="D485" s="294"/>
      <c r="E485" s="294"/>
      <c r="F485" s="294"/>
      <c r="G485" s="295"/>
      <c r="H485" s="294"/>
      <c r="I485" s="294"/>
      <c r="J485" s="294"/>
      <c r="K485" s="294"/>
      <c r="L485" s="294"/>
      <c r="M485" s="294"/>
      <c r="N485" s="294"/>
      <c r="O485" s="294"/>
      <c r="P485" s="294"/>
      <c r="Q485" s="294"/>
      <c r="R485" s="294"/>
      <c r="S485" s="294"/>
      <c r="T485" s="294"/>
      <c r="U485" s="294"/>
      <c r="V485" s="294"/>
      <c r="W485" s="294"/>
      <c r="X485" s="294"/>
      <c r="Y485" s="294"/>
      <c r="Z485" s="294"/>
      <c r="AA485" s="294"/>
      <c r="AB485" s="294"/>
      <c r="AC485" s="294"/>
    </row>
    <row r="486" ht="15.75" customHeight="1">
      <c r="A486" s="294"/>
      <c r="B486" s="294"/>
      <c r="C486" s="294"/>
      <c r="D486" s="294"/>
      <c r="E486" s="294"/>
      <c r="F486" s="294"/>
      <c r="G486" s="295"/>
      <c r="H486" s="294"/>
      <c r="I486" s="294"/>
      <c r="J486" s="294"/>
      <c r="K486" s="294"/>
      <c r="L486" s="294"/>
      <c r="M486" s="294"/>
      <c r="N486" s="294"/>
      <c r="O486" s="294"/>
      <c r="P486" s="294"/>
      <c r="Q486" s="294"/>
      <c r="R486" s="294"/>
      <c r="S486" s="294"/>
      <c r="T486" s="294"/>
      <c r="U486" s="294"/>
      <c r="V486" s="294"/>
      <c r="W486" s="294"/>
      <c r="X486" s="294"/>
      <c r="Y486" s="294"/>
      <c r="Z486" s="294"/>
      <c r="AA486" s="294"/>
      <c r="AB486" s="294"/>
      <c r="AC486" s="294"/>
    </row>
    <row r="487" ht="15.75" customHeight="1">
      <c r="A487" s="294"/>
      <c r="B487" s="294"/>
      <c r="C487" s="294"/>
      <c r="D487" s="294"/>
      <c r="E487" s="294"/>
      <c r="F487" s="294"/>
      <c r="G487" s="295"/>
      <c r="H487" s="294"/>
      <c r="I487" s="294"/>
      <c r="J487" s="294"/>
      <c r="K487" s="294"/>
      <c r="L487" s="294"/>
      <c r="M487" s="294"/>
      <c r="N487" s="294"/>
      <c r="O487" s="294"/>
      <c r="P487" s="294"/>
      <c r="Q487" s="294"/>
      <c r="R487" s="294"/>
      <c r="S487" s="294"/>
      <c r="T487" s="294"/>
      <c r="U487" s="294"/>
      <c r="V487" s="294"/>
      <c r="W487" s="294"/>
      <c r="X487" s="294"/>
      <c r="Y487" s="294"/>
      <c r="Z487" s="294"/>
      <c r="AA487" s="294"/>
      <c r="AB487" s="294"/>
      <c r="AC487" s="294"/>
    </row>
    <row r="488" ht="15.75" customHeight="1">
      <c r="A488" s="294"/>
      <c r="B488" s="294"/>
      <c r="C488" s="294"/>
      <c r="D488" s="294"/>
      <c r="E488" s="294"/>
      <c r="F488" s="294"/>
      <c r="G488" s="295"/>
      <c r="H488" s="294"/>
      <c r="I488" s="294"/>
      <c r="J488" s="294"/>
      <c r="K488" s="294"/>
      <c r="L488" s="294"/>
      <c r="M488" s="294"/>
      <c r="N488" s="294"/>
      <c r="O488" s="294"/>
      <c r="P488" s="294"/>
      <c r="Q488" s="294"/>
      <c r="R488" s="294"/>
      <c r="S488" s="294"/>
      <c r="T488" s="294"/>
      <c r="U488" s="294"/>
      <c r="V488" s="294"/>
      <c r="W488" s="294"/>
      <c r="X488" s="294"/>
      <c r="Y488" s="294"/>
      <c r="Z488" s="294"/>
      <c r="AA488" s="294"/>
      <c r="AB488" s="294"/>
      <c r="AC488" s="294"/>
    </row>
    <row r="489" ht="15.75" customHeight="1">
      <c r="A489" s="294"/>
      <c r="B489" s="294"/>
      <c r="C489" s="294"/>
      <c r="D489" s="294"/>
      <c r="E489" s="294"/>
      <c r="F489" s="294"/>
      <c r="G489" s="295"/>
      <c r="H489" s="294"/>
      <c r="I489" s="294"/>
      <c r="J489" s="294"/>
      <c r="K489" s="294"/>
      <c r="L489" s="294"/>
      <c r="M489" s="294"/>
      <c r="N489" s="294"/>
      <c r="O489" s="294"/>
      <c r="P489" s="294"/>
      <c r="Q489" s="294"/>
      <c r="R489" s="294"/>
      <c r="S489" s="294"/>
      <c r="T489" s="294"/>
      <c r="U489" s="294"/>
      <c r="V489" s="294"/>
      <c r="W489" s="294"/>
      <c r="X489" s="294"/>
      <c r="Y489" s="294"/>
      <c r="Z489" s="294"/>
      <c r="AA489" s="294"/>
      <c r="AB489" s="294"/>
      <c r="AC489" s="294"/>
    </row>
    <row r="490" ht="15.75" customHeight="1">
      <c r="A490" s="294"/>
      <c r="B490" s="294"/>
      <c r="C490" s="294"/>
      <c r="D490" s="294"/>
      <c r="E490" s="294"/>
      <c r="F490" s="294"/>
      <c r="G490" s="295"/>
      <c r="H490" s="294"/>
      <c r="I490" s="294"/>
      <c r="J490" s="294"/>
      <c r="K490" s="294"/>
      <c r="L490" s="294"/>
      <c r="M490" s="294"/>
      <c r="N490" s="294"/>
      <c r="O490" s="294"/>
      <c r="P490" s="294"/>
      <c r="Q490" s="294"/>
      <c r="R490" s="294"/>
      <c r="S490" s="294"/>
      <c r="T490" s="294"/>
      <c r="U490" s="294"/>
      <c r="V490" s="294"/>
      <c r="W490" s="294"/>
      <c r="X490" s="294"/>
      <c r="Y490" s="294"/>
      <c r="Z490" s="294"/>
      <c r="AA490" s="294"/>
      <c r="AB490" s="294"/>
      <c r="AC490" s="294"/>
    </row>
    <row r="491" ht="15.75" customHeight="1">
      <c r="A491" s="294"/>
      <c r="B491" s="294"/>
      <c r="C491" s="294"/>
      <c r="D491" s="294"/>
      <c r="E491" s="294"/>
      <c r="F491" s="294"/>
      <c r="G491" s="295"/>
      <c r="H491" s="294"/>
      <c r="I491" s="294"/>
      <c r="J491" s="294"/>
      <c r="K491" s="294"/>
      <c r="L491" s="294"/>
      <c r="M491" s="294"/>
      <c r="N491" s="294"/>
      <c r="O491" s="294"/>
      <c r="P491" s="294"/>
      <c r="Q491" s="294"/>
      <c r="R491" s="294"/>
      <c r="S491" s="294"/>
      <c r="T491" s="294"/>
      <c r="U491" s="294"/>
      <c r="V491" s="294"/>
      <c r="W491" s="294"/>
      <c r="X491" s="294"/>
      <c r="Y491" s="294"/>
      <c r="Z491" s="294"/>
      <c r="AA491" s="294"/>
      <c r="AB491" s="294"/>
      <c r="AC491" s="294"/>
    </row>
    <row r="492" ht="15.75" customHeight="1">
      <c r="A492" s="294"/>
      <c r="B492" s="294"/>
      <c r="C492" s="294"/>
      <c r="D492" s="294"/>
      <c r="E492" s="294"/>
      <c r="F492" s="294"/>
      <c r="G492" s="295"/>
      <c r="H492" s="294"/>
      <c r="I492" s="294"/>
      <c r="J492" s="294"/>
      <c r="K492" s="294"/>
      <c r="L492" s="294"/>
      <c r="M492" s="294"/>
      <c r="N492" s="294"/>
      <c r="O492" s="294"/>
      <c r="P492" s="294"/>
      <c r="Q492" s="294"/>
      <c r="R492" s="294"/>
      <c r="S492" s="294"/>
      <c r="T492" s="294"/>
      <c r="U492" s="294"/>
      <c r="V492" s="294"/>
      <c r="W492" s="294"/>
      <c r="X492" s="294"/>
      <c r="Y492" s="294"/>
      <c r="Z492" s="294"/>
      <c r="AA492" s="294"/>
      <c r="AB492" s="294"/>
      <c r="AC492" s="294"/>
    </row>
    <row r="493" ht="15.75" customHeight="1">
      <c r="A493" s="294"/>
      <c r="B493" s="294"/>
      <c r="C493" s="294"/>
      <c r="D493" s="294"/>
      <c r="E493" s="294"/>
      <c r="F493" s="294"/>
      <c r="G493" s="295"/>
      <c r="H493" s="294"/>
      <c r="I493" s="294"/>
      <c r="J493" s="294"/>
      <c r="K493" s="294"/>
      <c r="L493" s="294"/>
      <c r="M493" s="294"/>
      <c r="N493" s="294"/>
      <c r="O493" s="294"/>
      <c r="P493" s="294"/>
      <c r="Q493" s="294"/>
      <c r="R493" s="294"/>
      <c r="S493" s="294"/>
      <c r="T493" s="294"/>
      <c r="U493" s="294"/>
      <c r="V493" s="294"/>
      <c r="W493" s="294"/>
      <c r="X493" s="294"/>
      <c r="Y493" s="294"/>
      <c r="Z493" s="294"/>
      <c r="AA493" s="294"/>
      <c r="AB493" s="294"/>
      <c r="AC493" s="294"/>
    </row>
    <row r="494" ht="15.75" customHeight="1">
      <c r="A494" s="294"/>
      <c r="B494" s="294"/>
      <c r="C494" s="294"/>
      <c r="D494" s="294"/>
      <c r="E494" s="294"/>
      <c r="F494" s="294"/>
      <c r="G494" s="295"/>
      <c r="H494" s="294"/>
      <c r="I494" s="294"/>
      <c r="J494" s="294"/>
      <c r="K494" s="294"/>
      <c r="L494" s="294"/>
      <c r="M494" s="294"/>
      <c r="N494" s="294"/>
      <c r="O494" s="294"/>
      <c r="P494" s="294"/>
      <c r="Q494" s="294"/>
      <c r="R494" s="294"/>
      <c r="S494" s="294"/>
      <c r="T494" s="294"/>
      <c r="U494" s="294"/>
      <c r="V494" s="294"/>
      <c r="W494" s="294"/>
      <c r="X494" s="294"/>
      <c r="Y494" s="294"/>
      <c r="Z494" s="294"/>
      <c r="AA494" s="294"/>
      <c r="AB494" s="294"/>
      <c r="AC494" s="294"/>
    </row>
    <row r="495" ht="15.75" customHeight="1">
      <c r="A495" s="294"/>
      <c r="B495" s="294"/>
      <c r="C495" s="294"/>
      <c r="D495" s="294"/>
      <c r="E495" s="294"/>
      <c r="F495" s="294"/>
      <c r="G495" s="295"/>
      <c r="H495" s="294"/>
      <c r="I495" s="294"/>
      <c r="J495" s="294"/>
      <c r="K495" s="294"/>
      <c r="L495" s="294"/>
      <c r="M495" s="294"/>
      <c r="N495" s="294"/>
      <c r="O495" s="294"/>
      <c r="P495" s="294"/>
      <c r="Q495" s="294"/>
      <c r="R495" s="294"/>
      <c r="S495" s="294"/>
      <c r="T495" s="294"/>
      <c r="U495" s="294"/>
      <c r="V495" s="294"/>
      <c r="W495" s="294"/>
      <c r="X495" s="294"/>
      <c r="Y495" s="294"/>
      <c r="Z495" s="294"/>
      <c r="AA495" s="294"/>
      <c r="AB495" s="294"/>
      <c r="AC495" s="294"/>
    </row>
    <row r="496" ht="15.75" customHeight="1">
      <c r="A496" s="294"/>
      <c r="B496" s="294"/>
      <c r="C496" s="294"/>
      <c r="D496" s="294"/>
      <c r="E496" s="294"/>
      <c r="F496" s="294"/>
      <c r="G496" s="295"/>
      <c r="H496" s="294"/>
      <c r="I496" s="294"/>
      <c r="J496" s="294"/>
      <c r="K496" s="294"/>
      <c r="L496" s="294"/>
      <c r="M496" s="294"/>
      <c r="N496" s="294"/>
      <c r="O496" s="294"/>
      <c r="P496" s="294"/>
      <c r="Q496" s="294"/>
      <c r="R496" s="294"/>
      <c r="S496" s="294"/>
      <c r="T496" s="294"/>
      <c r="U496" s="294"/>
      <c r="V496" s="294"/>
      <c r="W496" s="294"/>
      <c r="X496" s="294"/>
      <c r="Y496" s="294"/>
      <c r="Z496" s="294"/>
      <c r="AA496" s="294"/>
      <c r="AB496" s="294"/>
      <c r="AC496" s="294"/>
    </row>
    <row r="497" ht="15.75" customHeight="1">
      <c r="A497" s="294"/>
      <c r="B497" s="294"/>
      <c r="C497" s="294"/>
      <c r="D497" s="294"/>
      <c r="E497" s="294"/>
      <c r="F497" s="294"/>
      <c r="G497" s="295"/>
      <c r="H497" s="294"/>
      <c r="I497" s="294"/>
      <c r="J497" s="294"/>
      <c r="K497" s="294"/>
      <c r="L497" s="294"/>
      <c r="M497" s="294"/>
      <c r="N497" s="294"/>
      <c r="O497" s="294"/>
      <c r="P497" s="294"/>
      <c r="Q497" s="294"/>
      <c r="R497" s="294"/>
      <c r="S497" s="294"/>
      <c r="T497" s="294"/>
      <c r="U497" s="294"/>
      <c r="V497" s="294"/>
      <c r="W497" s="294"/>
      <c r="X497" s="294"/>
      <c r="Y497" s="294"/>
      <c r="Z497" s="294"/>
      <c r="AA497" s="294"/>
      <c r="AB497" s="294"/>
      <c r="AC497" s="294"/>
    </row>
    <row r="498" ht="15.75" customHeight="1">
      <c r="A498" s="294"/>
      <c r="B498" s="294"/>
      <c r="C498" s="294"/>
      <c r="D498" s="294"/>
      <c r="E498" s="294"/>
      <c r="F498" s="294"/>
      <c r="G498" s="295"/>
      <c r="H498" s="294"/>
      <c r="I498" s="294"/>
      <c r="J498" s="294"/>
      <c r="K498" s="294"/>
      <c r="L498" s="294"/>
      <c r="M498" s="294"/>
      <c r="N498" s="294"/>
      <c r="O498" s="294"/>
      <c r="P498" s="294"/>
      <c r="Q498" s="294"/>
      <c r="R498" s="294"/>
      <c r="S498" s="294"/>
      <c r="T498" s="294"/>
      <c r="U498" s="294"/>
      <c r="V498" s="294"/>
      <c r="W498" s="294"/>
      <c r="X498" s="294"/>
      <c r="Y498" s="294"/>
      <c r="Z498" s="294"/>
      <c r="AA498" s="294"/>
      <c r="AB498" s="294"/>
      <c r="AC498" s="294"/>
    </row>
    <row r="499" ht="15.75" customHeight="1">
      <c r="A499" s="294"/>
      <c r="B499" s="294"/>
      <c r="C499" s="294"/>
      <c r="D499" s="294"/>
      <c r="E499" s="294"/>
      <c r="F499" s="294"/>
      <c r="G499" s="295"/>
      <c r="H499" s="294"/>
      <c r="I499" s="294"/>
      <c r="J499" s="294"/>
      <c r="K499" s="294"/>
      <c r="L499" s="294"/>
      <c r="M499" s="294"/>
      <c r="N499" s="294"/>
      <c r="O499" s="294"/>
      <c r="P499" s="294"/>
      <c r="Q499" s="294"/>
      <c r="R499" s="294"/>
      <c r="S499" s="294"/>
      <c r="T499" s="294"/>
      <c r="U499" s="294"/>
      <c r="V499" s="294"/>
      <c r="W499" s="294"/>
      <c r="X499" s="294"/>
      <c r="Y499" s="294"/>
      <c r="Z499" s="294"/>
      <c r="AA499" s="294"/>
      <c r="AB499" s="294"/>
      <c r="AC499" s="294"/>
    </row>
    <row r="500" ht="15.75" customHeight="1">
      <c r="A500" s="294"/>
      <c r="B500" s="294"/>
      <c r="C500" s="294"/>
      <c r="D500" s="294"/>
      <c r="E500" s="294"/>
      <c r="F500" s="294"/>
      <c r="G500" s="295"/>
      <c r="H500" s="294"/>
      <c r="I500" s="294"/>
      <c r="J500" s="294"/>
      <c r="K500" s="294"/>
      <c r="L500" s="294"/>
      <c r="M500" s="294"/>
      <c r="N500" s="294"/>
      <c r="O500" s="294"/>
      <c r="P500" s="294"/>
      <c r="Q500" s="294"/>
      <c r="R500" s="294"/>
      <c r="S500" s="294"/>
      <c r="T500" s="294"/>
      <c r="U500" s="294"/>
      <c r="V500" s="294"/>
      <c r="W500" s="294"/>
      <c r="X500" s="294"/>
      <c r="Y500" s="294"/>
      <c r="Z500" s="294"/>
      <c r="AA500" s="294"/>
      <c r="AB500" s="294"/>
      <c r="AC500" s="294"/>
    </row>
    <row r="501" ht="15.75" customHeight="1">
      <c r="A501" s="294"/>
      <c r="B501" s="294"/>
      <c r="C501" s="294"/>
      <c r="D501" s="294"/>
      <c r="E501" s="294"/>
      <c r="F501" s="294"/>
      <c r="G501" s="295"/>
      <c r="H501" s="294"/>
      <c r="I501" s="294"/>
      <c r="J501" s="294"/>
      <c r="K501" s="294"/>
      <c r="L501" s="294"/>
      <c r="M501" s="294"/>
      <c r="N501" s="294"/>
      <c r="O501" s="294"/>
      <c r="P501" s="294"/>
      <c r="Q501" s="294"/>
      <c r="R501" s="294"/>
      <c r="S501" s="294"/>
      <c r="T501" s="294"/>
      <c r="U501" s="294"/>
      <c r="V501" s="294"/>
      <c r="W501" s="294"/>
      <c r="X501" s="294"/>
      <c r="Y501" s="294"/>
      <c r="Z501" s="294"/>
      <c r="AA501" s="294"/>
      <c r="AB501" s="294"/>
      <c r="AC501" s="294"/>
    </row>
    <row r="502" ht="15.75" customHeight="1">
      <c r="A502" s="294"/>
      <c r="B502" s="294"/>
      <c r="C502" s="294"/>
      <c r="D502" s="294"/>
      <c r="E502" s="294"/>
      <c r="F502" s="294"/>
      <c r="G502" s="295"/>
      <c r="H502" s="294"/>
      <c r="I502" s="294"/>
      <c r="J502" s="294"/>
      <c r="K502" s="294"/>
      <c r="L502" s="294"/>
      <c r="M502" s="294"/>
      <c r="N502" s="294"/>
      <c r="O502" s="294"/>
      <c r="P502" s="294"/>
      <c r="Q502" s="294"/>
      <c r="R502" s="294"/>
      <c r="S502" s="294"/>
      <c r="T502" s="294"/>
      <c r="U502" s="294"/>
      <c r="V502" s="294"/>
      <c r="W502" s="294"/>
      <c r="X502" s="294"/>
      <c r="Y502" s="294"/>
      <c r="Z502" s="294"/>
      <c r="AA502" s="294"/>
      <c r="AB502" s="294"/>
      <c r="AC502" s="294"/>
    </row>
    <row r="503" ht="15.75" customHeight="1">
      <c r="A503" s="294"/>
      <c r="B503" s="294"/>
      <c r="C503" s="294"/>
      <c r="D503" s="294"/>
      <c r="E503" s="294"/>
      <c r="F503" s="294"/>
      <c r="G503" s="295"/>
      <c r="H503" s="294"/>
      <c r="I503" s="294"/>
      <c r="J503" s="294"/>
      <c r="K503" s="294"/>
      <c r="L503" s="294"/>
      <c r="M503" s="294"/>
      <c r="N503" s="294"/>
      <c r="O503" s="294"/>
      <c r="P503" s="294"/>
      <c r="Q503" s="294"/>
      <c r="R503" s="294"/>
      <c r="S503" s="294"/>
      <c r="T503" s="294"/>
      <c r="U503" s="294"/>
      <c r="V503" s="294"/>
      <c r="W503" s="294"/>
      <c r="X503" s="294"/>
      <c r="Y503" s="294"/>
      <c r="Z503" s="294"/>
      <c r="AA503" s="294"/>
      <c r="AB503" s="294"/>
      <c r="AC503" s="294"/>
    </row>
    <row r="504" ht="15.75" customHeight="1">
      <c r="A504" s="294"/>
      <c r="B504" s="294"/>
      <c r="C504" s="294"/>
      <c r="D504" s="294"/>
      <c r="E504" s="294"/>
      <c r="F504" s="294"/>
      <c r="G504" s="295"/>
      <c r="H504" s="294"/>
      <c r="I504" s="294"/>
      <c r="J504" s="294"/>
      <c r="K504" s="294"/>
      <c r="L504" s="294"/>
      <c r="M504" s="294"/>
      <c r="N504" s="294"/>
      <c r="O504" s="294"/>
      <c r="P504" s="294"/>
      <c r="Q504" s="294"/>
      <c r="R504" s="294"/>
      <c r="S504" s="294"/>
      <c r="T504" s="294"/>
      <c r="U504" s="294"/>
      <c r="V504" s="294"/>
      <c r="W504" s="294"/>
      <c r="X504" s="294"/>
      <c r="Y504" s="294"/>
      <c r="Z504" s="294"/>
      <c r="AA504" s="294"/>
      <c r="AB504" s="294"/>
      <c r="AC504" s="294"/>
    </row>
    <row r="505" ht="15.75" customHeight="1">
      <c r="A505" s="294"/>
      <c r="B505" s="294"/>
      <c r="C505" s="294"/>
      <c r="D505" s="294"/>
      <c r="E505" s="294"/>
      <c r="F505" s="294"/>
      <c r="G505" s="295"/>
      <c r="H505" s="294"/>
      <c r="I505" s="294"/>
      <c r="J505" s="294"/>
      <c r="K505" s="294"/>
      <c r="L505" s="294"/>
      <c r="M505" s="294"/>
      <c r="N505" s="294"/>
      <c r="O505" s="294"/>
      <c r="P505" s="294"/>
      <c r="Q505" s="294"/>
      <c r="R505" s="294"/>
      <c r="S505" s="294"/>
      <c r="T505" s="294"/>
      <c r="U505" s="294"/>
      <c r="V505" s="294"/>
      <c r="W505" s="294"/>
      <c r="X505" s="294"/>
      <c r="Y505" s="294"/>
      <c r="Z505" s="294"/>
      <c r="AA505" s="294"/>
      <c r="AB505" s="294"/>
      <c r="AC505" s="294"/>
    </row>
    <row r="506" ht="15.75" customHeight="1">
      <c r="A506" s="294"/>
      <c r="B506" s="294"/>
      <c r="C506" s="294"/>
      <c r="D506" s="294"/>
      <c r="E506" s="294"/>
      <c r="F506" s="294"/>
      <c r="G506" s="295"/>
      <c r="H506" s="294"/>
      <c r="I506" s="294"/>
      <c r="J506" s="294"/>
      <c r="K506" s="294"/>
      <c r="L506" s="294"/>
      <c r="M506" s="294"/>
      <c r="N506" s="294"/>
      <c r="O506" s="294"/>
      <c r="P506" s="294"/>
      <c r="Q506" s="294"/>
      <c r="R506" s="294"/>
      <c r="S506" s="294"/>
      <c r="T506" s="294"/>
      <c r="U506" s="294"/>
      <c r="V506" s="294"/>
      <c r="W506" s="294"/>
      <c r="X506" s="294"/>
      <c r="Y506" s="294"/>
      <c r="Z506" s="294"/>
      <c r="AA506" s="294"/>
      <c r="AB506" s="294"/>
      <c r="AC506" s="294"/>
    </row>
    <row r="507" ht="15.75" customHeight="1">
      <c r="A507" s="294"/>
      <c r="B507" s="294"/>
      <c r="C507" s="294"/>
      <c r="D507" s="294"/>
      <c r="E507" s="294"/>
      <c r="F507" s="294"/>
      <c r="G507" s="295"/>
      <c r="H507" s="294"/>
      <c r="I507" s="294"/>
      <c r="J507" s="294"/>
      <c r="K507" s="294"/>
      <c r="L507" s="294"/>
      <c r="M507" s="294"/>
      <c r="N507" s="294"/>
      <c r="O507" s="294"/>
      <c r="P507" s="294"/>
      <c r="Q507" s="294"/>
      <c r="R507" s="294"/>
      <c r="S507" s="294"/>
      <c r="T507" s="294"/>
      <c r="U507" s="294"/>
      <c r="V507" s="294"/>
      <c r="W507" s="294"/>
      <c r="X507" s="294"/>
      <c r="Y507" s="294"/>
      <c r="Z507" s="294"/>
      <c r="AA507" s="294"/>
      <c r="AB507" s="294"/>
      <c r="AC507" s="294"/>
    </row>
    <row r="508" ht="15.75" customHeight="1">
      <c r="A508" s="294"/>
      <c r="B508" s="294"/>
      <c r="C508" s="294"/>
      <c r="D508" s="294"/>
      <c r="E508" s="294"/>
      <c r="F508" s="294"/>
      <c r="G508" s="295"/>
      <c r="H508" s="294"/>
      <c r="I508" s="294"/>
      <c r="J508" s="294"/>
      <c r="K508" s="294"/>
      <c r="L508" s="294"/>
      <c r="M508" s="294"/>
      <c r="N508" s="294"/>
      <c r="O508" s="294"/>
      <c r="P508" s="294"/>
      <c r="Q508" s="294"/>
      <c r="R508" s="294"/>
      <c r="S508" s="294"/>
      <c r="T508" s="294"/>
      <c r="U508" s="294"/>
      <c r="V508" s="294"/>
      <c r="W508" s="294"/>
      <c r="X508" s="294"/>
      <c r="Y508" s="294"/>
      <c r="Z508" s="294"/>
      <c r="AA508" s="294"/>
      <c r="AB508" s="294"/>
      <c r="AC508" s="294"/>
    </row>
    <row r="509" ht="15.75" customHeight="1">
      <c r="A509" s="294"/>
      <c r="B509" s="294"/>
      <c r="C509" s="294"/>
      <c r="D509" s="294"/>
      <c r="E509" s="294"/>
      <c r="F509" s="294"/>
      <c r="G509" s="295"/>
      <c r="H509" s="294"/>
      <c r="I509" s="294"/>
      <c r="J509" s="294"/>
      <c r="K509" s="294"/>
      <c r="L509" s="294"/>
      <c r="M509" s="294"/>
      <c r="N509" s="294"/>
      <c r="O509" s="294"/>
      <c r="P509" s="294"/>
      <c r="Q509" s="294"/>
      <c r="R509" s="294"/>
      <c r="S509" s="294"/>
      <c r="T509" s="294"/>
      <c r="U509" s="294"/>
      <c r="V509" s="294"/>
      <c r="W509" s="294"/>
      <c r="X509" s="294"/>
      <c r="Y509" s="294"/>
      <c r="Z509" s="294"/>
      <c r="AA509" s="294"/>
      <c r="AB509" s="294"/>
      <c r="AC509" s="294"/>
    </row>
    <row r="510" ht="15.75" customHeight="1">
      <c r="A510" s="294"/>
      <c r="B510" s="294"/>
      <c r="C510" s="294"/>
      <c r="D510" s="294"/>
      <c r="E510" s="294"/>
      <c r="F510" s="294"/>
      <c r="G510" s="295"/>
      <c r="H510" s="294"/>
      <c r="I510" s="294"/>
      <c r="J510" s="294"/>
      <c r="K510" s="294"/>
      <c r="L510" s="294"/>
      <c r="M510" s="294"/>
      <c r="N510" s="294"/>
      <c r="O510" s="294"/>
      <c r="P510" s="294"/>
      <c r="Q510" s="294"/>
      <c r="R510" s="294"/>
      <c r="S510" s="294"/>
      <c r="T510" s="294"/>
      <c r="U510" s="294"/>
      <c r="V510" s="294"/>
      <c r="W510" s="294"/>
      <c r="X510" s="294"/>
      <c r="Y510" s="294"/>
      <c r="Z510" s="294"/>
      <c r="AA510" s="294"/>
      <c r="AB510" s="294"/>
      <c r="AC510" s="294"/>
    </row>
    <row r="511" ht="15.75" customHeight="1">
      <c r="A511" s="294"/>
      <c r="B511" s="294"/>
      <c r="C511" s="294"/>
      <c r="D511" s="294"/>
      <c r="E511" s="294"/>
      <c r="F511" s="294"/>
      <c r="G511" s="295"/>
      <c r="H511" s="294"/>
      <c r="I511" s="294"/>
      <c r="J511" s="294"/>
      <c r="K511" s="294"/>
      <c r="L511" s="294"/>
      <c r="M511" s="294"/>
      <c r="N511" s="294"/>
      <c r="O511" s="294"/>
      <c r="P511" s="294"/>
      <c r="Q511" s="294"/>
      <c r="R511" s="294"/>
      <c r="S511" s="294"/>
      <c r="T511" s="294"/>
      <c r="U511" s="294"/>
      <c r="V511" s="294"/>
      <c r="W511" s="294"/>
      <c r="X511" s="294"/>
      <c r="Y511" s="294"/>
      <c r="Z511" s="294"/>
      <c r="AA511" s="294"/>
      <c r="AB511" s="294"/>
      <c r="AC511" s="294"/>
    </row>
    <row r="512" ht="15.75" customHeight="1">
      <c r="A512" s="294"/>
      <c r="B512" s="294"/>
      <c r="C512" s="294"/>
      <c r="D512" s="294"/>
      <c r="E512" s="294"/>
      <c r="F512" s="294"/>
      <c r="G512" s="295"/>
      <c r="H512" s="294"/>
      <c r="I512" s="294"/>
      <c r="J512" s="294"/>
      <c r="K512" s="294"/>
      <c r="L512" s="294"/>
      <c r="M512" s="294"/>
      <c r="N512" s="294"/>
      <c r="O512" s="294"/>
      <c r="P512" s="294"/>
      <c r="Q512" s="294"/>
      <c r="R512" s="294"/>
      <c r="S512" s="294"/>
      <c r="T512" s="294"/>
      <c r="U512" s="294"/>
      <c r="V512" s="294"/>
      <c r="W512" s="294"/>
      <c r="X512" s="294"/>
      <c r="Y512" s="294"/>
      <c r="Z512" s="294"/>
      <c r="AA512" s="294"/>
      <c r="AB512" s="294"/>
      <c r="AC512" s="294"/>
    </row>
    <row r="513" ht="15.75" customHeight="1">
      <c r="A513" s="294"/>
      <c r="B513" s="294"/>
      <c r="C513" s="294"/>
      <c r="D513" s="294"/>
      <c r="E513" s="294"/>
      <c r="F513" s="294"/>
      <c r="G513" s="295"/>
      <c r="H513" s="294"/>
      <c r="I513" s="294"/>
      <c r="J513" s="294"/>
      <c r="K513" s="294"/>
      <c r="L513" s="294"/>
      <c r="M513" s="294"/>
      <c r="N513" s="294"/>
      <c r="O513" s="294"/>
      <c r="P513" s="294"/>
      <c r="Q513" s="294"/>
      <c r="R513" s="294"/>
      <c r="S513" s="294"/>
      <c r="T513" s="294"/>
      <c r="U513" s="294"/>
      <c r="V513" s="294"/>
      <c r="W513" s="294"/>
      <c r="X513" s="294"/>
      <c r="Y513" s="294"/>
      <c r="Z513" s="294"/>
      <c r="AA513" s="294"/>
      <c r="AB513" s="294"/>
      <c r="AC513" s="294"/>
    </row>
    <row r="514" ht="15.75" customHeight="1">
      <c r="A514" s="294"/>
      <c r="B514" s="294"/>
      <c r="C514" s="294"/>
      <c r="D514" s="294"/>
      <c r="E514" s="294"/>
      <c r="F514" s="294"/>
      <c r="G514" s="295"/>
      <c r="H514" s="294"/>
      <c r="I514" s="294"/>
      <c r="J514" s="294"/>
      <c r="K514" s="294"/>
      <c r="L514" s="294"/>
      <c r="M514" s="294"/>
      <c r="N514" s="294"/>
      <c r="O514" s="294"/>
      <c r="P514" s="294"/>
      <c r="Q514" s="294"/>
      <c r="R514" s="294"/>
      <c r="S514" s="294"/>
      <c r="T514" s="294"/>
      <c r="U514" s="294"/>
      <c r="V514" s="294"/>
      <c r="W514" s="294"/>
      <c r="X514" s="294"/>
      <c r="Y514" s="294"/>
      <c r="Z514" s="294"/>
      <c r="AA514" s="294"/>
      <c r="AB514" s="294"/>
      <c r="AC514" s="294"/>
    </row>
    <row r="515" ht="15.75" customHeight="1">
      <c r="A515" s="294"/>
      <c r="B515" s="294"/>
      <c r="C515" s="294"/>
      <c r="D515" s="294"/>
      <c r="E515" s="294"/>
      <c r="F515" s="294"/>
      <c r="G515" s="295"/>
      <c r="H515" s="294"/>
      <c r="I515" s="294"/>
      <c r="J515" s="294"/>
      <c r="K515" s="294"/>
      <c r="L515" s="294"/>
      <c r="M515" s="294"/>
      <c r="N515" s="294"/>
      <c r="O515" s="294"/>
      <c r="P515" s="294"/>
      <c r="Q515" s="294"/>
      <c r="R515" s="294"/>
      <c r="S515" s="294"/>
      <c r="T515" s="294"/>
      <c r="U515" s="294"/>
      <c r="V515" s="294"/>
      <c r="W515" s="294"/>
      <c r="X515" s="294"/>
      <c r="Y515" s="294"/>
      <c r="Z515" s="294"/>
      <c r="AA515" s="294"/>
      <c r="AB515" s="294"/>
      <c r="AC515" s="294"/>
    </row>
    <row r="516" ht="15.75" customHeight="1">
      <c r="A516" s="294"/>
      <c r="B516" s="294"/>
      <c r="C516" s="294"/>
      <c r="D516" s="294"/>
      <c r="E516" s="294"/>
      <c r="F516" s="294"/>
      <c r="G516" s="295"/>
      <c r="H516" s="294"/>
      <c r="I516" s="294"/>
      <c r="J516" s="294"/>
      <c r="K516" s="294"/>
      <c r="L516" s="294"/>
      <c r="M516" s="294"/>
      <c r="N516" s="294"/>
      <c r="O516" s="294"/>
      <c r="P516" s="294"/>
      <c r="Q516" s="294"/>
      <c r="R516" s="294"/>
      <c r="S516" s="294"/>
      <c r="T516" s="294"/>
      <c r="U516" s="294"/>
      <c r="V516" s="294"/>
      <c r="W516" s="294"/>
      <c r="X516" s="294"/>
      <c r="Y516" s="294"/>
      <c r="Z516" s="294"/>
      <c r="AA516" s="294"/>
      <c r="AB516" s="294"/>
      <c r="AC516" s="294"/>
    </row>
    <row r="517" ht="15.75" customHeight="1">
      <c r="A517" s="294"/>
      <c r="B517" s="294"/>
      <c r="C517" s="294"/>
      <c r="D517" s="294"/>
      <c r="E517" s="294"/>
      <c r="F517" s="294"/>
      <c r="G517" s="295"/>
      <c r="H517" s="294"/>
      <c r="I517" s="294"/>
      <c r="J517" s="294"/>
      <c r="K517" s="294"/>
      <c r="L517" s="294"/>
      <c r="M517" s="294"/>
      <c r="N517" s="294"/>
      <c r="O517" s="294"/>
      <c r="P517" s="294"/>
      <c r="Q517" s="294"/>
      <c r="R517" s="294"/>
      <c r="S517" s="294"/>
      <c r="T517" s="294"/>
      <c r="U517" s="294"/>
      <c r="V517" s="294"/>
      <c r="W517" s="294"/>
      <c r="X517" s="294"/>
      <c r="Y517" s="294"/>
      <c r="Z517" s="294"/>
      <c r="AA517" s="294"/>
      <c r="AB517" s="294"/>
      <c r="AC517" s="294"/>
    </row>
    <row r="518" ht="15.75" customHeight="1">
      <c r="A518" s="294"/>
      <c r="B518" s="294"/>
      <c r="C518" s="294"/>
      <c r="D518" s="294"/>
      <c r="E518" s="294"/>
      <c r="F518" s="294"/>
      <c r="G518" s="295"/>
      <c r="H518" s="294"/>
      <c r="I518" s="294"/>
      <c r="J518" s="294"/>
      <c r="K518" s="294"/>
      <c r="L518" s="294"/>
      <c r="M518" s="294"/>
      <c r="N518" s="294"/>
      <c r="O518" s="294"/>
      <c r="P518" s="294"/>
      <c r="Q518" s="294"/>
      <c r="R518" s="294"/>
      <c r="S518" s="294"/>
      <c r="T518" s="294"/>
      <c r="U518" s="294"/>
      <c r="V518" s="294"/>
      <c r="W518" s="294"/>
      <c r="X518" s="294"/>
      <c r="Y518" s="294"/>
      <c r="Z518" s="294"/>
      <c r="AA518" s="294"/>
      <c r="AB518" s="294"/>
      <c r="AC518" s="294"/>
    </row>
    <row r="519" ht="15.75" customHeight="1">
      <c r="A519" s="294"/>
      <c r="B519" s="294"/>
      <c r="C519" s="294"/>
      <c r="D519" s="294"/>
      <c r="E519" s="294"/>
      <c r="F519" s="294"/>
      <c r="G519" s="295"/>
      <c r="H519" s="294"/>
      <c r="I519" s="294"/>
      <c r="J519" s="294"/>
      <c r="K519" s="294"/>
      <c r="L519" s="294"/>
      <c r="M519" s="294"/>
      <c r="N519" s="294"/>
      <c r="O519" s="294"/>
      <c r="P519" s="294"/>
      <c r="Q519" s="294"/>
      <c r="R519" s="294"/>
      <c r="S519" s="294"/>
      <c r="T519" s="294"/>
      <c r="U519" s="294"/>
      <c r="V519" s="294"/>
      <c r="W519" s="294"/>
      <c r="X519" s="294"/>
      <c r="Y519" s="294"/>
      <c r="Z519" s="294"/>
      <c r="AA519" s="294"/>
      <c r="AB519" s="294"/>
      <c r="AC519" s="294"/>
    </row>
    <row r="520" ht="15.75" customHeight="1">
      <c r="A520" s="294"/>
      <c r="B520" s="294"/>
      <c r="C520" s="294"/>
      <c r="D520" s="294"/>
      <c r="E520" s="294"/>
      <c r="F520" s="294"/>
      <c r="G520" s="295"/>
      <c r="H520" s="294"/>
      <c r="I520" s="294"/>
      <c r="J520" s="294"/>
      <c r="K520" s="294"/>
      <c r="L520" s="294"/>
      <c r="M520" s="294"/>
      <c r="N520" s="294"/>
      <c r="O520" s="294"/>
      <c r="P520" s="294"/>
      <c r="Q520" s="294"/>
      <c r="R520" s="294"/>
      <c r="S520" s="294"/>
      <c r="T520" s="294"/>
      <c r="U520" s="294"/>
      <c r="V520" s="294"/>
      <c r="W520" s="294"/>
      <c r="X520" s="294"/>
      <c r="Y520" s="294"/>
      <c r="Z520" s="294"/>
      <c r="AA520" s="294"/>
      <c r="AB520" s="294"/>
      <c r="AC520" s="294"/>
    </row>
    <row r="521" ht="15.75" customHeight="1">
      <c r="A521" s="294"/>
      <c r="B521" s="294"/>
      <c r="C521" s="294"/>
      <c r="D521" s="294"/>
      <c r="E521" s="294"/>
      <c r="F521" s="294"/>
      <c r="G521" s="295"/>
      <c r="H521" s="294"/>
      <c r="I521" s="294"/>
      <c r="J521" s="294"/>
      <c r="K521" s="294"/>
      <c r="L521" s="294"/>
      <c r="M521" s="294"/>
      <c r="N521" s="294"/>
      <c r="O521" s="294"/>
      <c r="P521" s="294"/>
      <c r="Q521" s="294"/>
      <c r="R521" s="294"/>
      <c r="S521" s="294"/>
      <c r="T521" s="294"/>
      <c r="U521" s="294"/>
      <c r="V521" s="294"/>
      <c r="W521" s="294"/>
      <c r="X521" s="294"/>
      <c r="Y521" s="294"/>
      <c r="Z521" s="294"/>
      <c r="AA521" s="294"/>
      <c r="AB521" s="294"/>
      <c r="AC521" s="294"/>
    </row>
    <row r="522" ht="15.75" customHeight="1">
      <c r="A522" s="294"/>
      <c r="B522" s="294"/>
      <c r="C522" s="294"/>
      <c r="D522" s="294"/>
      <c r="E522" s="294"/>
      <c r="F522" s="294"/>
      <c r="G522" s="295"/>
      <c r="H522" s="294"/>
      <c r="I522" s="294"/>
      <c r="J522" s="294"/>
      <c r="K522" s="294"/>
      <c r="L522" s="294"/>
      <c r="M522" s="294"/>
      <c r="N522" s="294"/>
      <c r="O522" s="294"/>
      <c r="P522" s="294"/>
      <c r="Q522" s="294"/>
      <c r="R522" s="294"/>
      <c r="S522" s="294"/>
      <c r="T522" s="294"/>
      <c r="U522" s="294"/>
      <c r="V522" s="294"/>
      <c r="W522" s="294"/>
      <c r="X522" s="294"/>
      <c r="Y522" s="294"/>
      <c r="Z522" s="294"/>
      <c r="AA522" s="294"/>
      <c r="AB522" s="294"/>
      <c r="AC522" s="294"/>
    </row>
    <row r="523" ht="15.75" customHeight="1">
      <c r="A523" s="294"/>
      <c r="B523" s="294"/>
      <c r="C523" s="294"/>
      <c r="D523" s="294"/>
      <c r="E523" s="294"/>
      <c r="F523" s="294"/>
      <c r="G523" s="295"/>
      <c r="H523" s="294"/>
      <c r="I523" s="294"/>
      <c r="J523" s="294"/>
      <c r="K523" s="294"/>
      <c r="L523" s="294"/>
      <c r="M523" s="294"/>
      <c r="N523" s="294"/>
      <c r="O523" s="294"/>
      <c r="P523" s="294"/>
      <c r="Q523" s="294"/>
      <c r="R523" s="294"/>
      <c r="S523" s="294"/>
      <c r="T523" s="294"/>
      <c r="U523" s="294"/>
      <c r="V523" s="294"/>
      <c r="W523" s="294"/>
      <c r="X523" s="294"/>
      <c r="Y523" s="294"/>
      <c r="Z523" s="294"/>
      <c r="AA523" s="294"/>
      <c r="AB523" s="294"/>
      <c r="AC523" s="294"/>
    </row>
    <row r="524" ht="15.75" customHeight="1">
      <c r="A524" s="294"/>
      <c r="B524" s="294"/>
      <c r="C524" s="294"/>
      <c r="D524" s="294"/>
      <c r="E524" s="294"/>
      <c r="F524" s="294"/>
      <c r="G524" s="295"/>
      <c r="H524" s="294"/>
      <c r="I524" s="294"/>
      <c r="J524" s="294"/>
      <c r="K524" s="294"/>
      <c r="L524" s="294"/>
      <c r="M524" s="294"/>
      <c r="N524" s="294"/>
      <c r="O524" s="294"/>
      <c r="P524" s="294"/>
      <c r="Q524" s="294"/>
      <c r="R524" s="294"/>
      <c r="S524" s="294"/>
      <c r="T524" s="294"/>
      <c r="U524" s="294"/>
      <c r="V524" s="294"/>
      <c r="W524" s="294"/>
      <c r="X524" s="294"/>
      <c r="Y524" s="294"/>
      <c r="Z524" s="294"/>
      <c r="AA524" s="294"/>
      <c r="AB524" s="294"/>
      <c r="AC524" s="294"/>
    </row>
    <row r="525" ht="15.75" customHeight="1">
      <c r="A525" s="294"/>
      <c r="B525" s="294"/>
      <c r="C525" s="294"/>
      <c r="D525" s="294"/>
      <c r="E525" s="294"/>
      <c r="F525" s="294"/>
      <c r="G525" s="295"/>
      <c r="H525" s="294"/>
      <c r="I525" s="294"/>
      <c r="J525" s="294"/>
      <c r="K525" s="294"/>
      <c r="L525" s="294"/>
      <c r="M525" s="294"/>
      <c r="N525" s="294"/>
      <c r="O525" s="294"/>
      <c r="P525" s="294"/>
      <c r="Q525" s="294"/>
      <c r="R525" s="294"/>
      <c r="S525" s="294"/>
      <c r="T525" s="294"/>
      <c r="U525" s="294"/>
      <c r="V525" s="294"/>
      <c r="W525" s="294"/>
      <c r="X525" s="294"/>
      <c r="Y525" s="294"/>
      <c r="Z525" s="294"/>
      <c r="AA525" s="294"/>
      <c r="AB525" s="294"/>
      <c r="AC525" s="294"/>
    </row>
    <row r="526" ht="15.75" customHeight="1">
      <c r="A526" s="294"/>
      <c r="B526" s="294"/>
      <c r="C526" s="294"/>
      <c r="D526" s="294"/>
      <c r="E526" s="294"/>
      <c r="F526" s="294"/>
      <c r="G526" s="295"/>
      <c r="H526" s="294"/>
      <c r="I526" s="294"/>
      <c r="J526" s="294"/>
      <c r="K526" s="294"/>
      <c r="L526" s="294"/>
      <c r="M526" s="294"/>
      <c r="N526" s="294"/>
      <c r="O526" s="294"/>
      <c r="P526" s="294"/>
      <c r="Q526" s="294"/>
      <c r="R526" s="294"/>
      <c r="S526" s="294"/>
      <c r="T526" s="294"/>
      <c r="U526" s="294"/>
      <c r="V526" s="294"/>
      <c r="W526" s="294"/>
      <c r="X526" s="294"/>
      <c r="Y526" s="294"/>
      <c r="Z526" s="294"/>
      <c r="AA526" s="294"/>
      <c r="AB526" s="294"/>
      <c r="AC526" s="294"/>
    </row>
    <row r="527" ht="15.75" customHeight="1">
      <c r="A527" s="294"/>
      <c r="B527" s="294"/>
      <c r="C527" s="294"/>
      <c r="D527" s="294"/>
      <c r="E527" s="294"/>
      <c r="F527" s="294"/>
      <c r="G527" s="295"/>
      <c r="H527" s="294"/>
      <c r="I527" s="294"/>
      <c r="J527" s="294"/>
      <c r="K527" s="294"/>
      <c r="L527" s="294"/>
      <c r="M527" s="294"/>
      <c r="N527" s="294"/>
      <c r="O527" s="294"/>
      <c r="P527" s="294"/>
      <c r="Q527" s="294"/>
      <c r="R527" s="294"/>
      <c r="S527" s="294"/>
      <c r="T527" s="294"/>
      <c r="U527" s="294"/>
      <c r="V527" s="294"/>
      <c r="W527" s="294"/>
      <c r="X527" s="294"/>
      <c r="Y527" s="294"/>
      <c r="Z527" s="294"/>
      <c r="AA527" s="294"/>
      <c r="AB527" s="294"/>
      <c r="AC527" s="294"/>
    </row>
    <row r="528" ht="15.75" customHeight="1">
      <c r="A528" s="294"/>
      <c r="B528" s="294"/>
      <c r="C528" s="294"/>
      <c r="D528" s="294"/>
      <c r="E528" s="294"/>
      <c r="F528" s="294"/>
      <c r="G528" s="295"/>
      <c r="H528" s="294"/>
      <c r="I528" s="294"/>
      <c r="J528" s="294"/>
      <c r="K528" s="294"/>
      <c r="L528" s="294"/>
      <c r="M528" s="294"/>
      <c r="N528" s="294"/>
      <c r="O528" s="294"/>
      <c r="P528" s="294"/>
      <c r="Q528" s="294"/>
      <c r="R528" s="294"/>
      <c r="S528" s="294"/>
      <c r="T528" s="294"/>
      <c r="U528" s="294"/>
      <c r="V528" s="294"/>
      <c r="W528" s="294"/>
      <c r="X528" s="294"/>
      <c r="Y528" s="294"/>
      <c r="Z528" s="294"/>
      <c r="AA528" s="294"/>
      <c r="AB528" s="294"/>
      <c r="AC528" s="294"/>
    </row>
    <row r="529" ht="15.75" customHeight="1">
      <c r="A529" s="294"/>
      <c r="B529" s="294"/>
      <c r="C529" s="294"/>
      <c r="D529" s="294"/>
      <c r="E529" s="294"/>
      <c r="F529" s="294"/>
      <c r="G529" s="295"/>
      <c r="H529" s="294"/>
      <c r="I529" s="294"/>
      <c r="J529" s="294"/>
      <c r="K529" s="294"/>
      <c r="L529" s="294"/>
      <c r="M529" s="294"/>
      <c r="N529" s="294"/>
      <c r="O529" s="294"/>
      <c r="P529" s="294"/>
      <c r="Q529" s="294"/>
      <c r="R529" s="294"/>
      <c r="S529" s="294"/>
      <c r="T529" s="294"/>
      <c r="U529" s="294"/>
      <c r="V529" s="294"/>
      <c r="W529" s="294"/>
      <c r="X529" s="294"/>
      <c r="Y529" s="294"/>
      <c r="Z529" s="294"/>
      <c r="AA529" s="294"/>
      <c r="AB529" s="294"/>
      <c r="AC529" s="294"/>
    </row>
    <row r="530" ht="15.75" customHeight="1">
      <c r="A530" s="294"/>
      <c r="B530" s="294"/>
      <c r="C530" s="294"/>
      <c r="D530" s="294"/>
      <c r="E530" s="294"/>
      <c r="F530" s="294"/>
      <c r="G530" s="295"/>
      <c r="H530" s="294"/>
      <c r="I530" s="294"/>
      <c r="J530" s="294"/>
      <c r="K530" s="294"/>
      <c r="L530" s="294"/>
      <c r="M530" s="294"/>
      <c r="N530" s="294"/>
      <c r="O530" s="294"/>
      <c r="P530" s="294"/>
      <c r="Q530" s="294"/>
      <c r="R530" s="294"/>
      <c r="S530" s="294"/>
      <c r="T530" s="294"/>
      <c r="U530" s="294"/>
      <c r="V530" s="294"/>
      <c r="W530" s="294"/>
      <c r="X530" s="294"/>
      <c r="Y530" s="294"/>
      <c r="Z530" s="294"/>
      <c r="AA530" s="294"/>
      <c r="AB530" s="294"/>
      <c r="AC530" s="294"/>
    </row>
    <row r="531" ht="15.75" customHeight="1">
      <c r="A531" s="294"/>
      <c r="B531" s="294"/>
      <c r="C531" s="294"/>
      <c r="D531" s="294"/>
      <c r="E531" s="294"/>
      <c r="F531" s="294"/>
      <c r="G531" s="295"/>
      <c r="H531" s="294"/>
      <c r="I531" s="294"/>
      <c r="J531" s="294"/>
      <c r="K531" s="294"/>
      <c r="L531" s="294"/>
      <c r="M531" s="294"/>
      <c r="N531" s="294"/>
      <c r="O531" s="294"/>
      <c r="P531" s="294"/>
      <c r="Q531" s="294"/>
      <c r="R531" s="294"/>
      <c r="S531" s="294"/>
      <c r="T531" s="294"/>
      <c r="U531" s="294"/>
      <c r="V531" s="294"/>
      <c r="W531" s="294"/>
      <c r="X531" s="294"/>
      <c r="Y531" s="294"/>
      <c r="Z531" s="294"/>
      <c r="AA531" s="294"/>
      <c r="AB531" s="294"/>
      <c r="AC531" s="294"/>
    </row>
    <row r="532" ht="15.75" customHeight="1">
      <c r="A532" s="294"/>
      <c r="B532" s="294"/>
      <c r="C532" s="294"/>
      <c r="D532" s="294"/>
      <c r="E532" s="294"/>
      <c r="F532" s="294"/>
      <c r="G532" s="295"/>
      <c r="H532" s="294"/>
      <c r="I532" s="294"/>
      <c r="J532" s="294"/>
      <c r="K532" s="294"/>
      <c r="L532" s="294"/>
      <c r="M532" s="294"/>
      <c r="N532" s="294"/>
      <c r="O532" s="294"/>
      <c r="P532" s="294"/>
      <c r="Q532" s="294"/>
      <c r="R532" s="294"/>
      <c r="S532" s="294"/>
      <c r="T532" s="294"/>
      <c r="U532" s="294"/>
      <c r="V532" s="294"/>
      <c r="W532" s="294"/>
      <c r="X532" s="294"/>
      <c r="Y532" s="294"/>
      <c r="Z532" s="294"/>
      <c r="AA532" s="294"/>
      <c r="AB532" s="294"/>
      <c r="AC532" s="294"/>
    </row>
    <row r="533" ht="15.75" customHeight="1">
      <c r="A533" s="294"/>
      <c r="B533" s="294"/>
      <c r="C533" s="294"/>
      <c r="D533" s="294"/>
      <c r="E533" s="294"/>
      <c r="F533" s="294"/>
      <c r="G533" s="295"/>
      <c r="H533" s="294"/>
      <c r="I533" s="294"/>
      <c r="J533" s="294"/>
      <c r="K533" s="294"/>
      <c r="L533" s="294"/>
      <c r="M533" s="294"/>
      <c r="N533" s="294"/>
      <c r="O533" s="294"/>
      <c r="P533" s="294"/>
      <c r="Q533" s="294"/>
      <c r="R533" s="294"/>
      <c r="S533" s="294"/>
      <c r="T533" s="294"/>
      <c r="U533" s="294"/>
      <c r="V533" s="294"/>
      <c r="W533" s="294"/>
      <c r="X533" s="294"/>
      <c r="Y533" s="294"/>
      <c r="Z533" s="294"/>
      <c r="AA533" s="294"/>
      <c r="AB533" s="294"/>
      <c r="AC533" s="294"/>
    </row>
    <row r="534" ht="15.75" customHeight="1">
      <c r="A534" s="294"/>
      <c r="B534" s="294"/>
      <c r="C534" s="294"/>
      <c r="D534" s="294"/>
      <c r="E534" s="294"/>
      <c r="F534" s="294"/>
      <c r="G534" s="295"/>
      <c r="H534" s="294"/>
      <c r="I534" s="294"/>
      <c r="J534" s="294"/>
      <c r="K534" s="294"/>
      <c r="L534" s="294"/>
      <c r="M534" s="294"/>
      <c r="N534" s="294"/>
      <c r="O534" s="294"/>
      <c r="P534" s="294"/>
      <c r="Q534" s="294"/>
      <c r="R534" s="294"/>
      <c r="S534" s="294"/>
      <c r="T534" s="294"/>
      <c r="U534" s="294"/>
      <c r="V534" s="294"/>
      <c r="W534" s="294"/>
      <c r="X534" s="294"/>
      <c r="Y534" s="294"/>
      <c r="Z534" s="294"/>
      <c r="AA534" s="294"/>
      <c r="AB534" s="294"/>
      <c r="AC534" s="294"/>
    </row>
    <row r="535" ht="15.75" customHeight="1">
      <c r="A535" s="294"/>
      <c r="B535" s="294"/>
      <c r="C535" s="294"/>
      <c r="D535" s="294"/>
      <c r="E535" s="294"/>
      <c r="F535" s="294"/>
      <c r="G535" s="295"/>
      <c r="H535" s="294"/>
      <c r="I535" s="294"/>
      <c r="J535" s="294"/>
      <c r="K535" s="294"/>
      <c r="L535" s="294"/>
      <c r="M535" s="294"/>
      <c r="N535" s="294"/>
      <c r="O535" s="294"/>
      <c r="P535" s="294"/>
      <c r="Q535" s="294"/>
      <c r="R535" s="294"/>
      <c r="S535" s="294"/>
      <c r="T535" s="294"/>
      <c r="U535" s="294"/>
      <c r="V535" s="294"/>
      <c r="W535" s="294"/>
      <c r="X535" s="294"/>
      <c r="Y535" s="294"/>
      <c r="Z535" s="294"/>
      <c r="AA535" s="294"/>
      <c r="AB535" s="294"/>
      <c r="AC535" s="294"/>
    </row>
    <row r="536" ht="15.75" customHeight="1">
      <c r="A536" s="294"/>
      <c r="B536" s="294"/>
      <c r="C536" s="294"/>
      <c r="D536" s="294"/>
      <c r="E536" s="294"/>
      <c r="F536" s="294"/>
      <c r="G536" s="295"/>
      <c r="H536" s="294"/>
      <c r="I536" s="294"/>
      <c r="J536" s="294"/>
      <c r="K536" s="294"/>
      <c r="L536" s="294"/>
      <c r="M536" s="294"/>
      <c r="N536" s="294"/>
      <c r="O536" s="294"/>
      <c r="P536" s="294"/>
      <c r="Q536" s="294"/>
      <c r="R536" s="294"/>
      <c r="S536" s="294"/>
      <c r="T536" s="294"/>
      <c r="U536" s="294"/>
      <c r="V536" s="294"/>
      <c r="W536" s="294"/>
      <c r="X536" s="294"/>
      <c r="Y536" s="294"/>
      <c r="Z536" s="294"/>
      <c r="AA536" s="294"/>
      <c r="AB536" s="294"/>
      <c r="AC536" s="294"/>
    </row>
    <row r="537" ht="15.75" customHeight="1">
      <c r="A537" s="294"/>
      <c r="B537" s="294"/>
      <c r="C537" s="294"/>
      <c r="D537" s="294"/>
      <c r="E537" s="294"/>
      <c r="F537" s="294"/>
      <c r="G537" s="295"/>
      <c r="H537" s="294"/>
      <c r="I537" s="294"/>
      <c r="J537" s="294"/>
      <c r="K537" s="294"/>
      <c r="L537" s="294"/>
      <c r="M537" s="294"/>
      <c r="N537" s="294"/>
      <c r="O537" s="294"/>
      <c r="P537" s="294"/>
      <c r="Q537" s="294"/>
      <c r="R537" s="294"/>
      <c r="S537" s="294"/>
      <c r="T537" s="294"/>
      <c r="U537" s="294"/>
      <c r="V537" s="294"/>
      <c r="W537" s="294"/>
      <c r="X537" s="294"/>
      <c r="Y537" s="294"/>
      <c r="Z537" s="294"/>
      <c r="AA537" s="294"/>
      <c r="AB537" s="294"/>
      <c r="AC537" s="294"/>
    </row>
    <row r="538" ht="15.75" customHeight="1">
      <c r="A538" s="294"/>
      <c r="B538" s="294"/>
      <c r="C538" s="294"/>
      <c r="D538" s="294"/>
      <c r="E538" s="294"/>
      <c r="F538" s="294"/>
      <c r="G538" s="295"/>
      <c r="H538" s="294"/>
      <c r="I538" s="294"/>
      <c r="J538" s="294"/>
      <c r="K538" s="294"/>
      <c r="L538" s="294"/>
      <c r="M538" s="294"/>
      <c r="N538" s="294"/>
      <c r="O538" s="294"/>
      <c r="P538" s="294"/>
      <c r="Q538" s="294"/>
      <c r="R538" s="294"/>
      <c r="S538" s="294"/>
      <c r="T538" s="294"/>
      <c r="U538" s="294"/>
      <c r="V538" s="294"/>
      <c r="W538" s="294"/>
      <c r="X538" s="294"/>
      <c r="Y538" s="294"/>
      <c r="Z538" s="294"/>
      <c r="AA538" s="294"/>
      <c r="AB538" s="294"/>
      <c r="AC538" s="294"/>
    </row>
    <row r="539" ht="15.75" customHeight="1">
      <c r="A539" s="294"/>
      <c r="B539" s="294"/>
      <c r="C539" s="294"/>
      <c r="D539" s="294"/>
      <c r="E539" s="294"/>
      <c r="F539" s="294"/>
      <c r="G539" s="295"/>
      <c r="H539" s="294"/>
      <c r="I539" s="294"/>
      <c r="J539" s="294"/>
      <c r="K539" s="294"/>
      <c r="L539" s="294"/>
      <c r="M539" s="294"/>
      <c r="N539" s="294"/>
      <c r="O539" s="294"/>
      <c r="P539" s="294"/>
      <c r="Q539" s="294"/>
      <c r="R539" s="294"/>
      <c r="S539" s="294"/>
      <c r="T539" s="294"/>
      <c r="U539" s="294"/>
      <c r="V539" s="294"/>
      <c r="W539" s="294"/>
      <c r="X539" s="294"/>
      <c r="Y539" s="294"/>
      <c r="Z539" s="294"/>
      <c r="AA539" s="294"/>
      <c r="AB539" s="294"/>
      <c r="AC539" s="294"/>
    </row>
    <row r="540" ht="15.75" customHeight="1">
      <c r="A540" s="294"/>
      <c r="B540" s="294"/>
      <c r="C540" s="294"/>
      <c r="D540" s="294"/>
      <c r="E540" s="294"/>
      <c r="F540" s="294"/>
      <c r="G540" s="295"/>
      <c r="H540" s="294"/>
      <c r="I540" s="294"/>
      <c r="J540" s="294"/>
      <c r="K540" s="294"/>
      <c r="L540" s="294"/>
      <c r="M540" s="294"/>
      <c r="N540" s="294"/>
      <c r="O540" s="294"/>
      <c r="P540" s="294"/>
      <c r="Q540" s="294"/>
      <c r="R540" s="294"/>
      <c r="S540" s="294"/>
      <c r="T540" s="294"/>
      <c r="U540" s="294"/>
      <c r="V540" s="294"/>
      <c r="W540" s="294"/>
      <c r="X540" s="294"/>
      <c r="Y540" s="294"/>
      <c r="Z540" s="294"/>
      <c r="AA540" s="294"/>
      <c r="AB540" s="294"/>
      <c r="AC540" s="294"/>
    </row>
    <row r="541" ht="15.75" customHeight="1">
      <c r="A541" s="294"/>
      <c r="B541" s="294"/>
      <c r="C541" s="294"/>
      <c r="D541" s="294"/>
      <c r="E541" s="294"/>
      <c r="F541" s="294"/>
      <c r="G541" s="295"/>
      <c r="H541" s="294"/>
      <c r="I541" s="294"/>
      <c r="J541" s="294"/>
      <c r="K541" s="294"/>
      <c r="L541" s="294"/>
      <c r="M541" s="294"/>
      <c r="N541" s="294"/>
      <c r="O541" s="294"/>
      <c r="P541" s="294"/>
      <c r="Q541" s="294"/>
      <c r="R541" s="294"/>
      <c r="S541" s="294"/>
      <c r="T541" s="294"/>
      <c r="U541" s="294"/>
      <c r="V541" s="294"/>
      <c r="W541" s="294"/>
      <c r="X541" s="294"/>
      <c r="Y541" s="294"/>
      <c r="Z541" s="294"/>
      <c r="AA541" s="294"/>
      <c r="AB541" s="294"/>
      <c r="AC541" s="294"/>
    </row>
    <row r="542" ht="15.75" customHeight="1">
      <c r="A542" s="294"/>
      <c r="B542" s="294"/>
      <c r="C542" s="294"/>
      <c r="D542" s="294"/>
      <c r="E542" s="294"/>
      <c r="F542" s="294"/>
      <c r="G542" s="295"/>
      <c r="H542" s="294"/>
      <c r="I542" s="294"/>
      <c r="J542" s="294"/>
      <c r="K542" s="294"/>
      <c r="L542" s="294"/>
      <c r="M542" s="294"/>
      <c r="N542" s="294"/>
      <c r="O542" s="294"/>
      <c r="P542" s="294"/>
      <c r="Q542" s="294"/>
      <c r="R542" s="294"/>
      <c r="S542" s="294"/>
      <c r="T542" s="294"/>
      <c r="U542" s="294"/>
      <c r="V542" s="294"/>
      <c r="W542" s="294"/>
      <c r="X542" s="294"/>
      <c r="Y542" s="294"/>
      <c r="Z542" s="294"/>
      <c r="AA542" s="294"/>
      <c r="AB542" s="294"/>
      <c r="AC542" s="294"/>
    </row>
    <row r="543" ht="15.75" customHeight="1">
      <c r="A543" s="294"/>
      <c r="B543" s="294"/>
      <c r="C543" s="294"/>
      <c r="D543" s="294"/>
      <c r="E543" s="294"/>
      <c r="F543" s="294"/>
      <c r="G543" s="295"/>
      <c r="H543" s="294"/>
      <c r="I543" s="294"/>
      <c r="J543" s="294"/>
      <c r="K543" s="294"/>
      <c r="L543" s="294"/>
      <c r="M543" s="294"/>
      <c r="N543" s="294"/>
      <c r="O543" s="294"/>
      <c r="P543" s="294"/>
      <c r="Q543" s="294"/>
      <c r="R543" s="294"/>
      <c r="S543" s="294"/>
      <c r="T543" s="294"/>
      <c r="U543" s="294"/>
      <c r="V543" s="294"/>
      <c r="W543" s="294"/>
      <c r="X543" s="294"/>
      <c r="Y543" s="294"/>
      <c r="Z543" s="294"/>
      <c r="AA543" s="294"/>
      <c r="AB543" s="294"/>
      <c r="AC543" s="294"/>
    </row>
    <row r="544" ht="15.75" customHeight="1">
      <c r="A544" s="294"/>
      <c r="B544" s="294"/>
      <c r="C544" s="294"/>
      <c r="D544" s="294"/>
      <c r="E544" s="294"/>
      <c r="F544" s="294"/>
      <c r="G544" s="295"/>
      <c r="H544" s="294"/>
      <c r="I544" s="294"/>
      <c r="J544" s="294"/>
      <c r="K544" s="294"/>
      <c r="L544" s="294"/>
      <c r="M544" s="294"/>
      <c r="N544" s="294"/>
      <c r="O544" s="294"/>
      <c r="P544" s="294"/>
      <c r="Q544" s="294"/>
      <c r="R544" s="294"/>
      <c r="S544" s="294"/>
      <c r="T544" s="294"/>
      <c r="U544" s="294"/>
      <c r="V544" s="294"/>
      <c r="W544" s="294"/>
      <c r="X544" s="294"/>
      <c r="Y544" s="294"/>
      <c r="Z544" s="294"/>
      <c r="AA544" s="294"/>
      <c r="AB544" s="294"/>
      <c r="AC544" s="294"/>
    </row>
    <row r="545" ht="15.75" customHeight="1">
      <c r="A545" s="294"/>
      <c r="B545" s="294"/>
      <c r="C545" s="294"/>
      <c r="D545" s="294"/>
      <c r="E545" s="294"/>
      <c r="F545" s="294"/>
      <c r="G545" s="295"/>
      <c r="H545" s="294"/>
      <c r="I545" s="294"/>
      <c r="J545" s="294"/>
      <c r="K545" s="294"/>
      <c r="L545" s="294"/>
      <c r="M545" s="294"/>
      <c r="N545" s="294"/>
      <c r="O545" s="294"/>
      <c r="P545" s="294"/>
      <c r="Q545" s="294"/>
      <c r="R545" s="294"/>
      <c r="S545" s="294"/>
      <c r="T545" s="294"/>
      <c r="U545" s="294"/>
      <c r="V545" s="294"/>
      <c r="W545" s="294"/>
      <c r="X545" s="294"/>
      <c r="Y545" s="294"/>
      <c r="Z545" s="294"/>
      <c r="AA545" s="294"/>
      <c r="AB545" s="294"/>
      <c r="AC545" s="294"/>
    </row>
    <row r="546" ht="15.75" customHeight="1">
      <c r="A546" s="294"/>
      <c r="B546" s="294"/>
      <c r="C546" s="294"/>
      <c r="D546" s="294"/>
      <c r="E546" s="294"/>
      <c r="F546" s="294"/>
      <c r="G546" s="295"/>
      <c r="H546" s="294"/>
      <c r="I546" s="294"/>
      <c r="J546" s="294"/>
      <c r="K546" s="294"/>
      <c r="L546" s="294"/>
      <c r="M546" s="294"/>
      <c r="N546" s="294"/>
      <c r="O546" s="294"/>
      <c r="P546" s="294"/>
      <c r="Q546" s="294"/>
      <c r="R546" s="294"/>
      <c r="S546" s="294"/>
      <c r="T546" s="294"/>
      <c r="U546" s="294"/>
      <c r="V546" s="294"/>
      <c r="W546" s="294"/>
      <c r="X546" s="294"/>
      <c r="Y546" s="294"/>
      <c r="Z546" s="294"/>
      <c r="AA546" s="294"/>
      <c r="AB546" s="294"/>
      <c r="AC546" s="294"/>
    </row>
    <row r="547" ht="15.75" customHeight="1">
      <c r="A547" s="294"/>
      <c r="B547" s="294"/>
      <c r="C547" s="294"/>
      <c r="D547" s="294"/>
      <c r="E547" s="294"/>
      <c r="F547" s="294"/>
      <c r="G547" s="295"/>
      <c r="H547" s="294"/>
      <c r="I547" s="294"/>
      <c r="J547" s="294"/>
      <c r="K547" s="294"/>
      <c r="L547" s="294"/>
      <c r="M547" s="294"/>
      <c r="N547" s="294"/>
      <c r="O547" s="294"/>
      <c r="P547" s="294"/>
      <c r="Q547" s="294"/>
      <c r="R547" s="294"/>
      <c r="S547" s="294"/>
      <c r="T547" s="294"/>
      <c r="U547" s="294"/>
      <c r="V547" s="294"/>
      <c r="W547" s="294"/>
      <c r="X547" s="294"/>
      <c r="Y547" s="294"/>
      <c r="Z547" s="294"/>
      <c r="AA547" s="294"/>
      <c r="AB547" s="294"/>
      <c r="AC547" s="294"/>
    </row>
    <row r="548" ht="15.75" customHeight="1">
      <c r="A548" s="294"/>
      <c r="B548" s="294"/>
      <c r="C548" s="294"/>
      <c r="D548" s="294"/>
      <c r="E548" s="294"/>
      <c r="F548" s="294"/>
      <c r="G548" s="295"/>
      <c r="H548" s="294"/>
      <c r="I548" s="294"/>
      <c r="J548" s="294"/>
      <c r="K548" s="294"/>
      <c r="L548" s="294"/>
      <c r="M548" s="294"/>
      <c r="N548" s="294"/>
      <c r="O548" s="294"/>
      <c r="P548" s="294"/>
      <c r="Q548" s="294"/>
      <c r="R548" s="294"/>
      <c r="S548" s="294"/>
      <c r="T548" s="294"/>
      <c r="U548" s="294"/>
      <c r="V548" s="294"/>
      <c r="W548" s="294"/>
      <c r="X548" s="294"/>
      <c r="Y548" s="294"/>
      <c r="Z548" s="294"/>
      <c r="AA548" s="294"/>
      <c r="AB548" s="294"/>
      <c r="AC548" s="294"/>
    </row>
    <row r="549" ht="15.75" customHeight="1">
      <c r="A549" s="294"/>
      <c r="B549" s="294"/>
      <c r="C549" s="294"/>
      <c r="D549" s="294"/>
      <c r="E549" s="294"/>
      <c r="F549" s="294"/>
      <c r="G549" s="295"/>
      <c r="H549" s="294"/>
      <c r="I549" s="294"/>
      <c r="J549" s="294"/>
      <c r="K549" s="294"/>
      <c r="L549" s="294"/>
      <c r="M549" s="294"/>
      <c r="N549" s="294"/>
      <c r="O549" s="294"/>
      <c r="P549" s="294"/>
      <c r="Q549" s="294"/>
      <c r="R549" s="294"/>
      <c r="S549" s="294"/>
      <c r="T549" s="294"/>
      <c r="U549" s="294"/>
      <c r="V549" s="294"/>
      <c r="W549" s="294"/>
      <c r="X549" s="294"/>
      <c r="Y549" s="294"/>
      <c r="Z549" s="294"/>
      <c r="AA549" s="294"/>
      <c r="AB549" s="294"/>
      <c r="AC549" s="294"/>
    </row>
    <row r="550" ht="15.75" customHeight="1">
      <c r="A550" s="294"/>
      <c r="B550" s="294"/>
      <c r="C550" s="294"/>
      <c r="D550" s="294"/>
      <c r="E550" s="294"/>
      <c r="F550" s="294"/>
      <c r="G550" s="295"/>
      <c r="H550" s="294"/>
      <c r="I550" s="294"/>
      <c r="J550" s="294"/>
      <c r="K550" s="294"/>
      <c r="L550" s="294"/>
      <c r="M550" s="294"/>
      <c r="N550" s="294"/>
      <c r="O550" s="294"/>
      <c r="P550" s="294"/>
      <c r="Q550" s="294"/>
      <c r="R550" s="294"/>
      <c r="S550" s="294"/>
      <c r="T550" s="294"/>
      <c r="U550" s="294"/>
      <c r="V550" s="294"/>
      <c r="W550" s="294"/>
      <c r="X550" s="294"/>
      <c r="Y550" s="294"/>
      <c r="Z550" s="294"/>
      <c r="AA550" s="294"/>
      <c r="AB550" s="294"/>
      <c r="AC550" s="294"/>
    </row>
    <row r="551" ht="15.75" customHeight="1">
      <c r="A551" s="294"/>
      <c r="B551" s="294"/>
      <c r="C551" s="294"/>
      <c r="D551" s="294"/>
      <c r="E551" s="294"/>
      <c r="F551" s="294"/>
      <c r="G551" s="295"/>
      <c r="H551" s="294"/>
      <c r="I551" s="294"/>
      <c r="J551" s="294"/>
      <c r="K551" s="294"/>
      <c r="L551" s="294"/>
      <c r="M551" s="294"/>
      <c r="N551" s="294"/>
      <c r="O551" s="294"/>
      <c r="P551" s="294"/>
      <c r="Q551" s="294"/>
      <c r="R551" s="294"/>
      <c r="S551" s="294"/>
      <c r="T551" s="294"/>
      <c r="U551" s="294"/>
      <c r="V551" s="294"/>
      <c r="W551" s="294"/>
      <c r="X551" s="294"/>
      <c r="Y551" s="294"/>
      <c r="Z551" s="294"/>
      <c r="AA551" s="294"/>
      <c r="AB551" s="294"/>
      <c r="AC551" s="294"/>
    </row>
    <row r="552" ht="15.75" customHeight="1">
      <c r="A552" s="294"/>
      <c r="B552" s="294"/>
      <c r="C552" s="294"/>
      <c r="D552" s="294"/>
      <c r="E552" s="294"/>
      <c r="F552" s="294"/>
      <c r="G552" s="295"/>
      <c r="H552" s="294"/>
      <c r="I552" s="294"/>
      <c r="J552" s="294"/>
      <c r="K552" s="294"/>
      <c r="L552" s="294"/>
      <c r="M552" s="294"/>
      <c r="N552" s="294"/>
      <c r="O552" s="294"/>
      <c r="P552" s="294"/>
      <c r="Q552" s="294"/>
      <c r="R552" s="294"/>
      <c r="S552" s="294"/>
      <c r="T552" s="294"/>
      <c r="U552" s="294"/>
      <c r="V552" s="294"/>
      <c r="W552" s="294"/>
      <c r="X552" s="294"/>
      <c r="Y552" s="294"/>
      <c r="Z552" s="294"/>
      <c r="AA552" s="294"/>
      <c r="AB552" s="294"/>
      <c r="AC552" s="294"/>
    </row>
    <row r="553" ht="15.75" customHeight="1">
      <c r="A553" s="294"/>
      <c r="B553" s="294"/>
      <c r="C553" s="294"/>
      <c r="D553" s="294"/>
      <c r="E553" s="294"/>
      <c r="F553" s="294"/>
      <c r="G553" s="295"/>
      <c r="H553" s="294"/>
      <c r="I553" s="294"/>
      <c r="J553" s="294"/>
      <c r="K553" s="294"/>
      <c r="L553" s="294"/>
      <c r="M553" s="294"/>
      <c r="N553" s="294"/>
      <c r="O553" s="294"/>
      <c r="P553" s="294"/>
      <c r="Q553" s="294"/>
      <c r="R553" s="294"/>
      <c r="S553" s="294"/>
      <c r="T553" s="294"/>
      <c r="U553" s="294"/>
      <c r="V553" s="294"/>
      <c r="W553" s="294"/>
      <c r="X553" s="294"/>
      <c r="Y553" s="294"/>
      <c r="Z553" s="294"/>
      <c r="AA553" s="294"/>
      <c r="AB553" s="294"/>
      <c r="AC553" s="294"/>
    </row>
    <row r="554" ht="15.75" customHeight="1">
      <c r="A554" s="294"/>
      <c r="B554" s="294"/>
      <c r="C554" s="294"/>
      <c r="D554" s="294"/>
      <c r="E554" s="294"/>
      <c r="F554" s="294"/>
      <c r="G554" s="295"/>
      <c r="H554" s="294"/>
      <c r="I554" s="294"/>
      <c r="J554" s="294"/>
      <c r="K554" s="294"/>
      <c r="L554" s="294"/>
      <c r="M554" s="294"/>
      <c r="N554" s="294"/>
      <c r="O554" s="294"/>
      <c r="P554" s="294"/>
      <c r="Q554" s="294"/>
      <c r="R554" s="294"/>
      <c r="S554" s="294"/>
      <c r="T554" s="294"/>
      <c r="U554" s="294"/>
      <c r="V554" s="294"/>
      <c r="W554" s="294"/>
      <c r="X554" s="294"/>
      <c r="Y554" s="294"/>
      <c r="Z554" s="294"/>
      <c r="AA554" s="294"/>
      <c r="AB554" s="294"/>
      <c r="AC554" s="294"/>
    </row>
    <row r="555" ht="15.75" customHeight="1">
      <c r="A555" s="294"/>
      <c r="B555" s="294"/>
      <c r="C555" s="294"/>
      <c r="D555" s="294"/>
      <c r="E555" s="294"/>
      <c r="F555" s="294"/>
      <c r="G555" s="295"/>
      <c r="H555" s="294"/>
      <c r="I555" s="294"/>
      <c r="J555" s="294"/>
      <c r="K555" s="294"/>
      <c r="L555" s="294"/>
      <c r="M555" s="294"/>
      <c r="N555" s="294"/>
      <c r="O555" s="294"/>
      <c r="P555" s="294"/>
      <c r="Q555" s="294"/>
      <c r="R555" s="294"/>
      <c r="S555" s="294"/>
      <c r="T555" s="294"/>
      <c r="U555" s="294"/>
      <c r="V555" s="294"/>
      <c r="W555" s="294"/>
      <c r="X555" s="294"/>
      <c r="Y555" s="294"/>
      <c r="Z555" s="294"/>
      <c r="AA555" s="294"/>
      <c r="AB555" s="294"/>
      <c r="AC555" s="294"/>
    </row>
    <row r="556" ht="15.75" customHeight="1">
      <c r="A556" s="294"/>
      <c r="B556" s="294"/>
      <c r="C556" s="294"/>
      <c r="D556" s="294"/>
      <c r="E556" s="294"/>
      <c r="F556" s="294"/>
      <c r="G556" s="295"/>
      <c r="H556" s="294"/>
      <c r="I556" s="294"/>
      <c r="J556" s="294"/>
      <c r="K556" s="294"/>
      <c r="L556" s="294"/>
      <c r="M556" s="294"/>
      <c r="N556" s="294"/>
      <c r="O556" s="294"/>
      <c r="P556" s="294"/>
      <c r="Q556" s="294"/>
      <c r="R556" s="294"/>
      <c r="S556" s="294"/>
      <c r="T556" s="294"/>
      <c r="U556" s="294"/>
      <c r="V556" s="294"/>
      <c r="W556" s="294"/>
      <c r="X556" s="294"/>
      <c r="Y556" s="294"/>
      <c r="Z556" s="294"/>
      <c r="AA556" s="294"/>
      <c r="AB556" s="294"/>
      <c r="AC556" s="294"/>
    </row>
    <row r="557" ht="15.75" customHeight="1">
      <c r="A557" s="294"/>
      <c r="B557" s="294"/>
      <c r="C557" s="294"/>
      <c r="D557" s="294"/>
      <c r="E557" s="294"/>
      <c r="F557" s="294"/>
      <c r="G557" s="295"/>
      <c r="H557" s="294"/>
      <c r="I557" s="294"/>
      <c r="J557" s="294"/>
      <c r="K557" s="294"/>
      <c r="L557" s="294"/>
      <c r="M557" s="294"/>
      <c r="N557" s="294"/>
      <c r="O557" s="294"/>
      <c r="P557" s="294"/>
      <c r="Q557" s="294"/>
      <c r="R557" s="294"/>
      <c r="S557" s="294"/>
      <c r="T557" s="294"/>
      <c r="U557" s="294"/>
      <c r="V557" s="294"/>
      <c r="W557" s="294"/>
      <c r="X557" s="294"/>
      <c r="Y557" s="294"/>
      <c r="Z557" s="294"/>
      <c r="AA557" s="294"/>
      <c r="AB557" s="294"/>
      <c r="AC557" s="294"/>
    </row>
    <row r="558" ht="15.75" customHeight="1">
      <c r="A558" s="294"/>
      <c r="B558" s="294"/>
      <c r="C558" s="294"/>
      <c r="D558" s="294"/>
      <c r="E558" s="294"/>
      <c r="F558" s="294"/>
      <c r="G558" s="295"/>
      <c r="H558" s="294"/>
      <c r="I558" s="294"/>
      <c r="J558" s="294"/>
      <c r="K558" s="294"/>
      <c r="L558" s="294"/>
      <c r="M558" s="294"/>
      <c r="N558" s="294"/>
      <c r="O558" s="294"/>
      <c r="P558" s="294"/>
      <c r="Q558" s="294"/>
      <c r="R558" s="294"/>
      <c r="S558" s="294"/>
      <c r="T558" s="294"/>
      <c r="U558" s="294"/>
      <c r="V558" s="294"/>
      <c r="W558" s="294"/>
      <c r="X558" s="294"/>
      <c r="Y558" s="294"/>
      <c r="Z558" s="294"/>
      <c r="AA558" s="294"/>
      <c r="AB558" s="294"/>
      <c r="AC558" s="294"/>
    </row>
    <row r="559" ht="15.75" customHeight="1">
      <c r="A559" s="294"/>
      <c r="B559" s="294"/>
      <c r="C559" s="294"/>
      <c r="D559" s="294"/>
      <c r="E559" s="294"/>
      <c r="F559" s="294"/>
      <c r="G559" s="295"/>
      <c r="H559" s="294"/>
      <c r="I559" s="294"/>
      <c r="J559" s="294"/>
      <c r="K559" s="294"/>
      <c r="L559" s="294"/>
      <c r="M559" s="294"/>
      <c r="N559" s="294"/>
      <c r="O559" s="294"/>
      <c r="P559" s="294"/>
      <c r="Q559" s="294"/>
      <c r="R559" s="294"/>
      <c r="S559" s="294"/>
      <c r="T559" s="294"/>
      <c r="U559" s="294"/>
      <c r="V559" s="294"/>
      <c r="W559" s="294"/>
      <c r="X559" s="294"/>
      <c r="Y559" s="294"/>
      <c r="Z559" s="294"/>
      <c r="AA559" s="294"/>
      <c r="AB559" s="294"/>
      <c r="AC559" s="294"/>
    </row>
    <row r="560" ht="15.75" customHeight="1">
      <c r="A560" s="294"/>
      <c r="B560" s="294"/>
      <c r="C560" s="294"/>
      <c r="D560" s="294"/>
      <c r="E560" s="294"/>
      <c r="F560" s="294"/>
      <c r="G560" s="295"/>
      <c r="H560" s="294"/>
      <c r="I560" s="294"/>
      <c r="J560" s="294"/>
      <c r="K560" s="294"/>
      <c r="L560" s="294"/>
      <c r="M560" s="294"/>
      <c r="N560" s="294"/>
      <c r="O560" s="294"/>
      <c r="P560" s="294"/>
      <c r="Q560" s="294"/>
      <c r="R560" s="294"/>
      <c r="S560" s="294"/>
      <c r="T560" s="294"/>
      <c r="U560" s="294"/>
      <c r="V560" s="294"/>
      <c r="W560" s="294"/>
      <c r="X560" s="294"/>
      <c r="Y560" s="294"/>
      <c r="Z560" s="294"/>
      <c r="AA560" s="294"/>
      <c r="AB560" s="294"/>
      <c r="AC560" s="294"/>
    </row>
    <row r="561" ht="15.75" customHeight="1">
      <c r="A561" s="294"/>
      <c r="B561" s="294"/>
      <c r="C561" s="294"/>
      <c r="D561" s="294"/>
      <c r="E561" s="294"/>
      <c r="F561" s="294"/>
      <c r="G561" s="295"/>
      <c r="H561" s="294"/>
      <c r="I561" s="294"/>
      <c r="J561" s="294"/>
      <c r="K561" s="294"/>
      <c r="L561" s="294"/>
      <c r="M561" s="294"/>
      <c r="N561" s="294"/>
      <c r="O561" s="294"/>
      <c r="P561" s="294"/>
      <c r="Q561" s="294"/>
      <c r="R561" s="294"/>
      <c r="S561" s="294"/>
      <c r="T561" s="294"/>
      <c r="U561" s="294"/>
      <c r="V561" s="294"/>
      <c r="W561" s="294"/>
      <c r="X561" s="294"/>
      <c r="Y561" s="294"/>
      <c r="Z561" s="294"/>
      <c r="AA561" s="294"/>
      <c r="AB561" s="294"/>
      <c r="AC561" s="294"/>
    </row>
    <row r="562" ht="15.75" customHeight="1">
      <c r="A562" s="294"/>
      <c r="B562" s="294"/>
      <c r="C562" s="294"/>
      <c r="D562" s="294"/>
      <c r="E562" s="294"/>
      <c r="F562" s="294"/>
      <c r="G562" s="295"/>
      <c r="H562" s="294"/>
      <c r="I562" s="294"/>
      <c r="J562" s="294"/>
      <c r="K562" s="294"/>
      <c r="L562" s="294"/>
      <c r="M562" s="294"/>
      <c r="N562" s="294"/>
      <c r="O562" s="294"/>
      <c r="P562" s="294"/>
      <c r="Q562" s="294"/>
      <c r="R562" s="294"/>
      <c r="S562" s="294"/>
      <c r="T562" s="294"/>
      <c r="U562" s="294"/>
      <c r="V562" s="294"/>
      <c r="W562" s="294"/>
      <c r="X562" s="294"/>
      <c r="Y562" s="294"/>
      <c r="Z562" s="294"/>
      <c r="AA562" s="294"/>
      <c r="AB562" s="294"/>
      <c r="AC562" s="294"/>
    </row>
    <row r="563" ht="15.75" customHeight="1">
      <c r="A563" s="294"/>
      <c r="B563" s="294"/>
      <c r="C563" s="294"/>
      <c r="D563" s="294"/>
      <c r="E563" s="294"/>
      <c r="F563" s="294"/>
      <c r="G563" s="295"/>
      <c r="H563" s="294"/>
      <c r="I563" s="294"/>
      <c r="J563" s="294"/>
      <c r="K563" s="294"/>
      <c r="L563" s="294"/>
      <c r="M563" s="294"/>
      <c r="N563" s="294"/>
      <c r="O563" s="294"/>
      <c r="P563" s="294"/>
      <c r="Q563" s="294"/>
      <c r="R563" s="294"/>
      <c r="S563" s="294"/>
      <c r="T563" s="294"/>
      <c r="U563" s="294"/>
      <c r="V563" s="294"/>
      <c r="W563" s="294"/>
      <c r="X563" s="294"/>
      <c r="Y563" s="294"/>
      <c r="Z563" s="294"/>
      <c r="AA563" s="294"/>
      <c r="AB563" s="294"/>
      <c r="AC563" s="294"/>
    </row>
    <row r="564" ht="15.75" customHeight="1">
      <c r="A564" s="294"/>
      <c r="B564" s="294"/>
      <c r="C564" s="294"/>
      <c r="D564" s="294"/>
      <c r="E564" s="294"/>
      <c r="F564" s="294"/>
      <c r="G564" s="295"/>
      <c r="H564" s="294"/>
      <c r="I564" s="294"/>
      <c r="J564" s="294"/>
      <c r="K564" s="294"/>
      <c r="L564" s="294"/>
      <c r="M564" s="294"/>
      <c r="N564" s="294"/>
      <c r="O564" s="294"/>
      <c r="P564" s="294"/>
      <c r="Q564" s="294"/>
      <c r="R564" s="294"/>
      <c r="S564" s="294"/>
      <c r="T564" s="294"/>
      <c r="U564" s="294"/>
      <c r="V564" s="294"/>
      <c r="W564" s="294"/>
      <c r="X564" s="294"/>
      <c r="Y564" s="294"/>
      <c r="Z564" s="294"/>
      <c r="AA564" s="294"/>
      <c r="AB564" s="294"/>
      <c r="AC564" s="294"/>
    </row>
    <row r="565" ht="15.75" customHeight="1">
      <c r="A565" s="294"/>
      <c r="B565" s="294"/>
      <c r="C565" s="294"/>
      <c r="D565" s="294"/>
      <c r="E565" s="294"/>
      <c r="F565" s="294"/>
      <c r="G565" s="295"/>
      <c r="H565" s="294"/>
      <c r="I565" s="294"/>
      <c r="J565" s="294"/>
      <c r="K565" s="294"/>
      <c r="L565" s="294"/>
      <c r="M565" s="294"/>
      <c r="N565" s="294"/>
      <c r="O565" s="294"/>
      <c r="P565" s="294"/>
      <c r="Q565" s="294"/>
      <c r="R565" s="294"/>
      <c r="S565" s="294"/>
      <c r="T565" s="294"/>
      <c r="U565" s="294"/>
      <c r="V565" s="294"/>
      <c r="W565" s="294"/>
      <c r="X565" s="294"/>
      <c r="Y565" s="294"/>
      <c r="Z565" s="294"/>
      <c r="AA565" s="294"/>
      <c r="AB565" s="294"/>
      <c r="AC565" s="294"/>
    </row>
    <row r="566" ht="15.75" customHeight="1">
      <c r="A566" s="294"/>
      <c r="B566" s="294"/>
      <c r="C566" s="294"/>
      <c r="D566" s="294"/>
      <c r="E566" s="294"/>
      <c r="F566" s="294"/>
      <c r="G566" s="295"/>
      <c r="H566" s="294"/>
      <c r="I566" s="294"/>
      <c r="J566" s="294"/>
      <c r="K566" s="294"/>
      <c r="L566" s="294"/>
      <c r="M566" s="294"/>
      <c r="N566" s="294"/>
      <c r="O566" s="294"/>
      <c r="P566" s="294"/>
      <c r="Q566" s="294"/>
      <c r="R566" s="294"/>
      <c r="S566" s="294"/>
      <c r="T566" s="294"/>
      <c r="U566" s="294"/>
      <c r="V566" s="294"/>
      <c r="W566" s="294"/>
      <c r="X566" s="294"/>
      <c r="Y566" s="294"/>
      <c r="Z566" s="294"/>
      <c r="AA566" s="294"/>
      <c r="AB566" s="294"/>
      <c r="AC566" s="294"/>
    </row>
    <row r="567" ht="15.75" customHeight="1">
      <c r="A567" s="294"/>
      <c r="B567" s="294"/>
      <c r="C567" s="294"/>
      <c r="D567" s="294"/>
      <c r="E567" s="294"/>
      <c r="F567" s="294"/>
      <c r="G567" s="295"/>
      <c r="H567" s="294"/>
      <c r="I567" s="294"/>
      <c r="J567" s="294"/>
      <c r="K567" s="294"/>
      <c r="L567" s="294"/>
      <c r="M567" s="294"/>
      <c r="N567" s="294"/>
      <c r="O567" s="294"/>
      <c r="P567" s="294"/>
      <c r="Q567" s="294"/>
      <c r="R567" s="294"/>
      <c r="S567" s="294"/>
      <c r="T567" s="294"/>
      <c r="U567" s="294"/>
      <c r="V567" s="294"/>
      <c r="W567" s="294"/>
      <c r="X567" s="294"/>
      <c r="Y567" s="294"/>
      <c r="Z567" s="294"/>
      <c r="AA567" s="294"/>
      <c r="AB567" s="294"/>
      <c r="AC567" s="294"/>
    </row>
    <row r="568" ht="15.75" customHeight="1">
      <c r="A568" s="294"/>
      <c r="B568" s="294"/>
      <c r="C568" s="294"/>
      <c r="D568" s="294"/>
      <c r="E568" s="294"/>
      <c r="F568" s="294"/>
      <c r="G568" s="295"/>
      <c r="H568" s="294"/>
      <c r="I568" s="294"/>
      <c r="J568" s="294"/>
      <c r="K568" s="294"/>
      <c r="L568" s="294"/>
      <c r="M568" s="294"/>
      <c r="N568" s="294"/>
      <c r="O568" s="294"/>
      <c r="P568" s="294"/>
      <c r="Q568" s="294"/>
      <c r="R568" s="294"/>
      <c r="S568" s="294"/>
      <c r="T568" s="294"/>
      <c r="U568" s="294"/>
      <c r="V568" s="294"/>
      <c r="W568" s="294"/>
      <c r="X568" s="294"/>
      <c r="Y568" s="294"/>
      <c r="Z568" s="294"/>
      <c r="AA568" s="294"/>
      <c r="AB568" s="294"/>
      <c r="AC568" s="294"/>
    </row>
    <row r="569" ht="15.75" customHeight="1">
      <c r="A569" s="294"/>
      <c r="B569" s="294"/>
      <c r="C569" s="294"/>
      <c r="D569" s="294"/>
      <c r="E569" s="294"/>
      <c r="F569" s="294"/>
      <c r="G569" s="295"/>
      <c r="H569" s="294"/>
      <c r="I569" s="294"/>
      <c r="J569" s="294"/>
      <c r="K569" s="294"/>
      <c r="L569" s="294"/>
      <c r="M569" s="294"/>
      <c r="N569" s="294"/>
      <c r="O569" s="294"/>
      <c r="P569" s="294"/>
      <c r="Q569" s="294"/>
      <c r="R569" s="294"/>
      <c r="S569" s="294"/>
      <c r="T569" s="294"/>
      <c r="U569" s="294"/>
      <c r="V569" s="294"/>
      <c r="W569" s="294"/>
      <c r="X569" s="294"/>
      <c r="Y569" s="294"/>
      <c r="Z569" s="294"/>
      <c r="AA569" s="294"/>
      <c r="AB569" s="294"/>
      <c r="AC569" s="294"/>
    </row>
    <row r="570" ht="15.75" customHeight="1">
      <c r="A570" s="294"/>
      <c r="B570" s="294"/>
      <c r="C570" s="294"/>
      <c r="D570" s="294"/>
      <c r="E570" s="294"/>
      <c r="F570" s="294"/>
      <c r="G570" s="295"/>
      <c r="H570" s="294"/>
      <c r="I570" s="294"/>
      <c r="J570" s="294"/>
      <c r="K570" s="294"/>
      <c r="L570" s="294"/>
      <c r="M570" s="294"/>
      <c r="N570" s="294"/>
      <c r="O570" s="294"/>
      <c r="P570" s="294"/>
      <c r="Q570" s="294"/>
      <c r="R570" s="294"/>
      <c r="S570" s="294"/>
      <c r="T570" s="294"/>
      <c r="U570" s="294"/>
      <c r="V570" s="294"/>
      <c r="W570" s="294"/>
      <c r="X570" s="294"/>
      <c r="Y570" s="294"/>
      <c r="Z570" s="294"/>
      <c r="AA570" s="294"/>
      <c r="AB570" s="294"/>
      <c r="AC570" s="294"/>
    </row>
    <row r="571" ht="15.75" customHeight="1">
      <c r="A571" s="294"/>
      <c r="B571" s="294"/>
      <c r="C571" s="294"/>
      <c r="D571" s="294"/>
      <c r="E571" s="294"/>
      <c r="F571" s="294"/>
      <c r="G571" s="295"/>
      <c r="H571" s="294"/>
      <c r="I571" s="294"/>
      <c r="J571" s="294"/>
      <c r="K571" s="294"/>
      <c r="L571" s="294"/>
      <c r="M571" s="294"/>
      <c r="N571" s="294"/>
      <c r="O571" s="294"/>
      <c r="P571" s="294"/>
      <c r="Q571" s="294"/>
      <c r="R571" s="294"/>
      <c r="S571" s="294"/>
      <c r="T571" s="294"/>
      <c r="U571" s="294"/>
      <c r="V571" s="294"/>
      <c r="W571" s="294"/>
      <c r="X571" s="294"/>
      <c r="Y571" s="294"/>
      <c r="Z571" s="294"/>
      <c r="AA571" s="294"/>
      <c r="AB571" s="294"/>
      <c r="AC571" s="294"/>
    </row>
    <row r="572" ht="15.75" customHeight="1">
      <c r="A572" s="294"/>
      <c r="B572" s="294"/>
      <c r="C572" s="294"/>
      <c r="D572" s="294"/>
      <c r="E572" s="294"/>
      <c r="F572" s="294"/>
      <c r="G572" s="295"/>
      <c r="H572" s="294"/>
      <c r="I572" s="294"/>
      <c r="J572" s="294"/>
      <c r="K572" s="294"/>
      <c r="L572" s="294"/>
      <c r="M572" s="294"/>
      <c r="N572" s="294"/>
      <c r="O572" s="294"/>
      <c r="P572" s="294"/>
      <c r="Q572" s="294"/>
      <c r="R572" s="294"/>
      <c r="S572" s="294"/>
      <c r="T572" s="294"/>
      <c r="U572" s="294"/>
      <c r="V572" s="294"/>
      <c r="W572" s="294"/>
      <c r="X572" s="294"/>
      <c r="Y572" s="294"/>
      <c r="Z572" s="294"/>
      <c r="AA572" s="294"/>
      <c r="AB572" s="294"/>
      <c r="AC572" s="294"/>
    </row>
    <row r="573" ht="15.75" customHeight="1">
      <c r="A573" s="294"/>
      <c r="B573" s="294"/>
      <c r="C573" s="294"/>
      <c r="D573" s="294"/>
      <c r="E573" s="294"/>
      <c r="F573" s="294"/>
      <c r="G573" s="295"/>
      <c r="H573" s="294"/>
      <c r="I573" s="294"/>
      <c r="J573" s="294"/>
      <c r="K573" s="294"/>
      <c r="L573" s="294"/>
      <c r="M573" s="294"/>
      <c r="N573" s="294"/>
      <c r="O573" s="294"/>
      <c r="P573" s="294"/>
      <c r="Q573" s="294"/>
      <c r="R573" s="294"/>
      <c r="S573" s="294"/>
      <c r="T573" s="294"/>
      <c r="U573" s="294"/>
      <c r="V573" s="294"/>
      <c r="W573" s="294"/>
      <c r="X573" s="294"/>
      <c r="Y573" s="294"/>
      <c r="Z573" s="294"/>
      <c r="AA573" s="294"/>
      <c r="AB573" s="294"/>
      <c r="AC573" s="294"/>
    </row>
    <row r="574" ht="15.75" customHeight="1">
      <c r="A574" s="294"/>
      <c r="B574" s="294"/>
      <c r="C574" s="294"/>
      <c r="D574" s="294"/>
      <c r="E574" s="294"/>
      <c r="F574" s="294"/>
      <c r="G574" s="295"/>
      <c r="H574" s="294"/>
      <c r="I574" s="294"/>
      <c r="J574" s="294"/>
      <c r="K574" s="294"/>
      <c r="L574" s="294"/>
      <c r="M574" s="294"/>
      <c r="N574" s="294"/>
      <c r="O574" s="294"/>
      <c r="P574" s="294"/>
      <c r="Q574" s="294"/>
      <c r="R574" s="294"/>
      <c r="S574" s="294"/>
      <c r="T574" s="294"/>
      <c r="U574" s="294"/>
      <c r="V574" s="294"/>
      <c r="W574" s="294"/>
      <c r="X574" s="294"/>
      <c r="Y574" s="294"/>
      <c r="Z574" s="294"/>
      <c r="AA574" s="294"/>
      <c r="AB574" s="294"/>
      <c r="AC574" s="294"/>
    </row>
    <row r="575" ht="15.75" customHeight="1">
      <c r="A575" s="294"/>
      <c r="B575" s="294"/>
      <c r="C575" s="294"/>
      <c r="D575" s="294"/>
      <c r="E575" s="294"/>
      <c r="F575" s="294"/>
      <c r="G575" s="295"/>
      <c r="H575" s="294"/>
      <c r="I575" s="294"/>
      <c r="J575" s="294"/>
      <c r="K575" s="294"/>
      <c r="L575" s="294"/>
      <c r="M575" s="294"/>
      <c r="N575" s="294"/>
      <c r="O575" s="294"/>
      <c r="P575" s="294"/>
      <c r="Q575" s="294"/>
      <c r="R575" s="294"/>
      <c r="S575" s="294"/>
      <c r="T575" s="294"/>
      <c r="U575" s="294"/>
      <c r="V575" s="294"/>
      <c r="W575" s="294"/>
      <c r="X575" s="294"/>
      <c r="Y575" s="294"/>
      <c r="Z575" s="294"/>
      <c r="AA575" s="294"/>
      <c r="AB575" s="294"/>
      <c r="AC575" s="294"/>
    </row>
    <row r="576" ht="15.75" customHeight="1">
      <c r="A576" s="294"/>
      <c r="B576" s="294"/>
      <c r="C576" s="294"/>
      <c r="D576" s="294"/>
      <c r="E576" s="294"/>
      <c r="F576" s="294"/>
      <c r="G576" s="295"/>
      <c r="H576" s="294"/>
      <c r="I576" s="294"/>
      <c r="J576" s="294"/>
      <c r="K576" s="294"/>
      <c r="L576" s="294"/>
      <c r="M576" s="294"/>
      <c r="N576" s="294"/>
      <c r="O576" s="294"/>
      <c r="P576" s="294"/>
      <c r="Q576" s="294"/>
      <c r="R576" s="294"/>
      <c r="S576" s="294"/>
      <c r="T576" s="294"/>
      <c r="U576" s="294"/>
      <c r="V576" s="294"/>
      <c r="W576" s="294"/>
      <c r="X576" s="294"/>
      <c r="Y576" s="294"/>
      <c r="Z576" s="294"/>
      <c r="AA576" s="294"/>
      <c r="AB576" s="294"/>
      <c r="AC576" s="294"/>
    </row>
    <row r="577" ht="15.75" customHeight="1">
      <c r="A577" s="294"/>
      <c r="B577" s="294"/>
      <c r="C577" s="294"/>
      <c r="D577" s="294"/>
      <c r="E577" s="294"/>
      <c r="F577" s="294"/>
      <c r="G577" s="295"/>
      <c r="H577" s="294"/>
      <c r="I577" s="294"/>
      <c r="J577" s="294"/>
      <c r="K577" s="294"/>
      <c r="L577" s="294"/>
      <c r="M577" s="294"/>
      <c r="N577" s="294"/>
      <c r="O577" s="294"/>
      <c r="P577" s="294"/>
      <c r="Q577" s="294"/>
      <c r="R577" s="294"/>
      <c r="S577" s="294"/>
      <c r="T577" s="294"/>
      <c r="U577" s="294"/>
      <c r="V577" s="294"/>
      <c r="W577" s="294"/>
      <c r="X577" s="294"/>
      <c r="Y577" s="294"/>
      <c r="Z577" s="294"/>
      <c r="AA577" s="294"/>
      <c r="AB577" s="294"/>
      <c r="AC577" s="294"/>
    </row>
    <row r="578" ht="15.75" customHeight="1">
      <c r="A578" s="294"/>
      <c r="B578" s="294"/>
      <c r="C578" s="294"/>
      <c r="D578" s="294"/>
      <c r="E578" s="294"/>
      <c r="F578" s="294"/>
      <c r="G578" s="295"/>
      <c r="H578" s="294"/>
      <c r="I578" s="294"/>
      <c r="J578" s="294"/>
      <c r="K578" s="294"/>
      <c r="L578" s="294"/>
      <c r="M578" s="294"/>
      <c r="N578" s="294"/>
      <c r="O578" s="294"/>
      <c r="P578" s="294"/>
      <c r="Q578" s="294"/>
      <c r="R578" s="294"/>
      <c r="S578" s="294"/>
      <c r="T578" s="294"/>
      <c r="U578" s="294"/>
      <c r="V578" s="294"/>
      <c r="W578" s="294"/>
      <c r="X578" s="294"/>
      <c r="Y578" s="294"/>
      <c r="Z578" s="294"/>
      <c r="AA578" s="294"/>
      <c r="AB578" s="294"/>
      <c r="AC578" s="294"/>
    </row>
    <row r="579" ht="15.75" customHeight="1">
      <c r="A579" s="294"/>
      <c r="B579" s="294"/>
      <c r="C579" s="294"/>
      <c r="D579" s="294"/>
      <c r="E579" s="294"/>
      <c r="F579" s="294"/>
      <c r="G579" s="295"/>
      <c r="H579" s="294"/>
      <c r="I579" s="294"/>
      <c r="J579" s="294"/>
      <c r="K579" s="294"/>
      <c r="L579" s="294"/>
      <c r="M579" s="294"/>
      <c r="N579" s="294"/>
      <c r="O579" s="294"/>
      <c r="P579" s="294"/>
      <c r="Q579" s="294"/>
      <c r="R579" s="294"/>
      <c r="S579" s="294"/>
      <c r="T579" s="294"/>
      <c r="U579" s="294"/>
      <c r="V579" s="294"/>
      <c r="W579" s="294"/>
      <c r="X579" s="294"/>
      <c r="Y579" s="294"/>
      <c r="Z579" s="294"/>
      <c r="AA579" s="294"/>
      <c r="AB579" s="294"/>
      <c r="AC579" s="294"/>
    </row>
    <row r="580" ht="15.75" customHeight="1">
      <c r="A580" s="294"/>
      <c r="B580" s="294"/>
      <c r="C580" s="294"/>
      <c r="D580" s="294"/>
      <c r="E580" s="294"/>
      <c r="F580" s="294"/>
      <c r="G580" s="295"/>
      <c r="H580" s="294"/>
      <c r="I580" s="294"/>
      <c r="J580" s="294"/>
      <c r="K580" s="294"/>
      <c r="L580" s="294"/>
      <c r="M580" s="294"/>
      <c r="N580" s="294"/>
      <c r="O580" s="294"/>
      <c r="P580" s="294"/>
      <c r="Q580" s="294"/>
      <c r="R580" s="294"/>
      <c r="S580" s="294"/>
      <c r="T580" s="294"/>
      <c r="U580" s="294"/>
      <c r="V580" s="294"/>
      <c r="W580" s="294"/>
      <c r="X580" s="294"/>
      <c r="Y580" s="294"/>
      <c r="Z580" s="294"/>
      <c r="AA580" s="294"/>
      <c r="AB580" s="294"/>
      <c r="AC580" s="294"/>
    </row>
    <row r="581" ht="15.75" customHeight="1">
      <c r="A581" s="294"/>
      <c r="B581" s="294"/>
      <c r="C581" s="294"/>
      <c r="D581" s="294"/>
      <c r="E581" s="294"/>
      <c r="F581" s="294"/>
      <c r="G581" s="295"/>
      <c r="H581" s="294"/>
      <c r="I581" s="294"/>
      <c r="J581" s="294"/>
      <c r="K581" s="294"/>
      <c r="L581" s="294"/>
      <c r="M581" s="294"/>
      <c r="N581" s="294"/>
      <c r="O581" s="294"/>
      <c r="P581" s="294"/>
      <c r="Q581" s="294"/>
      <c r="R581" s="294"/>
      <c r="S581" s="294"/>
      <c r="T581" s="294"/>
      <c r="U581" s="294"/>
      <c r="V581" s="294"/>
      <c r="W581" s="294"/>
      <c r="X581" s="294"/>
      <c r="Y581" s="294"/>
      <c r="Z581" s="294"/>
      <c r="AA581" s="294"/>
      <c r="AB581" s="294"/>
      <c r="AC581" s="294"/>
    </row>
    <row r="582" ht="15.75" customHeight="1">
      <c r="A582" s="294"/>
      <c r="B582" s="294"/>
      <c r="C582" s="294"/>
      <c r="D582" s="294"/>
      <c r="E582" s="294"/>
      <c r="F582" s="294"/>
      <c r="G582" s="295"/>
      <c r="H582" s="294"/>
      <c r="I582" s="294"/>
      <c r="J582" s="294"/>
      <c r="K582" s="294"/>
      <c r="L582" s="294"/>
      <c r="M582" s="294"/>
      <c r="N582" s="294"/>
      <c r="O582" s="294"/>
      <c r="P582" s="294"/>
      <c r="Q582" s="294"/>
      <c r="R582" s="294"/>
      <c r="S582" s="294"/>
      <c r="T582" s="294"/>
      <c r="U582" s="294"/>
      <c r="V582" s="294"/>
      <c r="W582" s="294"/>
      <c r="X582" s="294"/>
      <c r="Y582" s="294"/>
      <c r="Z582" s="294"/>
      <c r="AA582" s="294"/>
      <c r="AB582" s="294"/>
      <c r="AC582" s="294"/>
    </row>
    <row r="583" ht="15.75" customHeight="1">
      <c r="A583" s="294"/>
      <c r="B583" s="294"/>
      <c r="C583" s="294"/>
      <c r="D583" s="294"/>
      <c r="E583" s="294"/>
      <c r="F583" s="294"/>
      <c r="G583" s="295"/>
      <c r="H583" s="294"/>
      <c r="I583" s="294"/>
      <c r="J583" s="294"/>
      <c r="K583" s="294"/>
      <c r="L583" s="294"/>
      <c r="M583" s="294"/>
      <c r="N583" s="294"/>
      <c r="O583" s="294"/>
      <c r="P583" s="294"/>
      <c r="Q583" s="294"/>
      <c r="R583" s="294"/>
      <c r="S583" s="294"/>
      <c r="T583" s="294"/>
      <c r="U583" s="294"/>
      <c r="V583" s="294"/>
      <c r="W583" s="294"/>
      <c r="X583" s="294"/>
      <c r="Y583" s="294"/>
      <c r="Z583" s="294"/>
      <c r="AA583" s="294"/>
      <c r="AB583" s="294"/>
      <c r="AC583" s="294"/>
    </row>
    <row r="584" ht="15.75" customHeight="1">
      <c r="A584" s="294"/>
      <c r="B584" s="294"/>
      <c r="C584" s="294"/>
      <c r="D584" s="294"/>
      <c r="E584" s="294"/>
      <c r="F584" s="294"/>
      <c r="G584" s="295"/>
      <c r="H584" s="294"/>
      <c r="I584" s="294"/>
      <c r="J584" s="294"/>
      <c r="K584" s="294"/>
      <c r="L584" s="294"/>
      <c r="M584" s="294"/>
      <c r="N584" s="294"/>
      <c r="O584" s="294"/>
      <c r="P584" s="294"/>
      <c r="Q584" s="294"/>
      <c r="R584" s="294"/>
      <c r="S584" s="294"/>
      <c r="T584" s="294"/>
      <c r="U584" s="294"/>
      <c r="V584" s="294"/>
      <c r="W584" s="294"/>
      <c r="X584" s="294"/>
      <c r="Y584" s="294"/>
      <c r="Z584" s="294"/>
      <c r="AA584" s="294"/>
      <c r="AB584" s="294"/>
      <c r="AC584" s="294"/>
    </row>
    <row r="585" ht="15.75" customHeight="1">
      <c r="A585" s="294"/>
      <c r="B585" s="294"/>
      <c r="C585" s="294"/>
      <c r="D585" s="294"/>
      <c r="E585" s="294"/>
      <c r="F585" s="294"/>
      <c r="G585" s="295"/>
      <c r="H585" s="294"/>
      <c r="I585" s="294"/>
      <c r="J585" s="294"/>
      <c r="K585" s="294"/>
      <c r="L585" s="294"/>
      <c r="M585" s="294"/>
      <c r="N585" s="294"/>
      <c r="O585" s="294"/>
      <c r="P585" s="294"/>
      <c r="Q585" s="294"/>
      <c r="R585" s="294"/>
      <c r="S585" s="294"/>
      <c r="T585" s="294"/>
      <c r="U585" s="294"/>
      <c r="V585" s="294"/>
      <c r="W585" s="294"/>
      <c r="X585" s="294"/>
      <c r="Y585" s="294"/>
      <c r="Z585" s="294"/>
      <c r="AA585" s="294"/>
      <c r="AB585" s="294"/>
      <c r="AC585" s="294"/>
    </row>
    <row r="586" ht="15.75" customHeight="1">
      <c r="A586" s="294"/>
      <c r="B586" s="294"/>
      <c r="C586" s="294"/>
      <c r="D586" s="294"/>
      <c r="E586" s="294"/>
      <c r="F586" s="294"/>
      <c r="G586" s="295"/>
      <c r="H586" s="294"/>
      <c r="I586" s="294"/>
      <c r="J586" s="294"/>
      <c r="K586" s="294"/>
      <c r="L586" s="294"/>
      <c r="M586" s="294"/>
      <c r="N586" s="294"/>
      <c r="O586" s="294"/>
      <c r="P586" s="294"/>
      <c r="Q586" s="294"/>
      <c r="R586" s="294"/>
      <c r="S586" s="294"/>
      <c r="T586" s="294"/>
      <c r="U586" s="294"/>
      <c r="V586" s="294"/>
      <c r="W586" s="294"/>
      <c r="X586" s="294"/>
      <c r="Y586" s="294"/>
      <c r="Z586" s="294"/>
      <c r="AA586" s="294"/>
      <c r="AB586" s="294"/>
      <c r="AC586" s="294"/>
    </row>
    <row r="587" ht="15.75" customHeight="1">
      <c r="A587" s="294"/>
      <c r="B587" s="294"/>
      <c r="C587" s="294"/>
      <c r="D587" s="294"/>
      <c r="E587" s="294"/>
      <c r="F587" s="294"/>
      <c r="G587" s="295"/>
      <c r="H587" s="294"/>
      <c r="I587" s="294"/>
      <c r="J587" s="294"/>
      <c r="K587" s="294"/>
      <c r="L587" s="294"/>
      <c r="M587" s="294"/>
      <c r="N587" s="294"/>
      <c r="O587" s="294"/>
      <c r="P587" s="294"/>
      <c r="Q587" s="294"/>
      <c r="R587" s="294"/>
      <c r="S587" s="294"/>
      <c r="T587" s="294"/>
      <c r="U587" s="294"/>
      <c r="V587" s="294"/>
      <c r="W587" s="294"/>
      <c r="X587" s="294"/>
      <c r="Y587" s="294"/>
      <c r="Z587" s="294"/>
      <c r="AA587" s="294"/>
      <c r="AB587" s="294"/>
      <c r="AC587" s="294"/>
    </row>
    <row r="588" ht="15.75" customHeight="1">
      <c r="A588" s="294"/>
      <c r="B588" s="294"/>
      <c r="C588" s="294"/>
      <c r="D588" s="294"/>
      <c r="E588" s="294"/>
      <c r="F588" s="294"/>
      <c r="G588" s="295"/>
      <c r="H588" s="294"/>
      <c r="I588" s="294"/>
      <c r="J588" s="294"/>
      <c r="K588" s="294"/>
      <c r="L588" s="294"/>
      <c r="M588" s="294"/>
      <c r="N588" s="294"/>
      <c r="O588" s="294"/>
      <c r="P588" s="294"/>
      <c r="Q588" s="294"/>
      <c r="R588" s="294"/>
      <c r="S588" s="294"/>
      <c r="T588" s="294"/>
      <c r="U588" s="294"/>
      <c r="V588" s="294"/>
      <c r="W588" s="294"/>
      <c r="X588" s="294"/>
      <c r="Y588" s="294"/>
      <c r="Z588" s="294"/>
      <c r="AA588" s="294"/>
      <c r="AB588" s="294"/>
      <c r="AC588" s="294"/>
    </row>
    <row r="589" ht="15.75" customHeight="1">
      <c r="A589" s="294"/>
      <c r="B589" s="294"/>
      <c r="C589" s="294"/>
      <c r="D589" s="294"/>
      <c r="E589" s="294"/>
      <c r="F589" s="294"/>
      <c r="G589" s="295"/>
      <c r="H589" s="294"/>
      <c r="I589" s="294"/>
      <c r="J589" s="294"/>
      <c r="K589" s="294"/>
      <c r="L589" s="294"/>
      <c r="M589" s="294"/>
      <c r="N589" s="294"/>
      <c r="O589" s="294"/>
      <c r="P589" s="294"/>
      <c r="Q589" s="294"/>
      <c r="R589" s="294"/>
      <c r="S589" s="294"/>
      <c r="T589" s="294"/>
      <c r="U589" s="294"/>
      <c r="V589" s="294"/>
      <c r="W589" s="294"/>
      <c r="X589" s="294"/>
      <c r="Y589" s="294"/>
      <c r="Z589" s="294"/>
      <c r="AA589" s="294"/>
      <c r="AB589" s="294"/>
      <c r="AC589" s="294"/>
    </row>
    <row r="590" ht="15.75" customHeight="1">
      <c r="A590" s="294"/>
      <c r="B590" s="294"/>
      <c r="C590" s="294"/>
      <c r="D590" s="294"/>
      <c r="E590" s="294"/>
      <c r="F590" s="294"/>
      <c r="G590" s="295"/>
      <c r="H590" s="294"/>
      <c r="I590" s="294"/>
      <c r="J590" s="294"/>
      <c r="K590" s="294"/>
      <c r="L590" s="294"/>
      <c r="M590" s="294"/>
      <c r="N590" s="294"/>
      <c r="O590" s="294"/>
      <c r="P590" s="294"/>
      <c r="Q590" s="294"/>
      <c r="R590" s="294"/>
      <c r="S590" s="294"/>
      <c r="T590" s="294"/>
      <c r="U590" s="294"/>
      <c r="V590" s="294"/>
      <c r="W590" s="294"/>
      <c r="X590" s="294"/>
      <c r="Y590" s="294"/>
      <c r="Z590" s="294"/>
      <c r="AA590" s="294"/>
      <c r="AB590" s="294"/>
      <c r="AC590" s="294"/>
    </row>
    <row r="591" ht="15.75" customHeight="1">
      <c r="A591" s="294"/>
      <c r="B591" s="294"/>
      <c r="C591" s="294"/>
      <c r="D591" s="294"/>
      <c r="E591" s="294"/>
      <c r="F591" s="294"/>
      <c r="G591" s="295"/>
      <c r="H591" s="294"/>
      <c r="I591" s="294"/>
      <c r="J591" s="294"/>
      <c r="K591" s="294"/>
      <c r="L591" s="294"/>
      <c r="M591" s="294"/>
      <c r="N591" s="294"/>
      <c r="O591" s="294"/>
      <c r="P591" s="294"/>
      <c r="Q591" s="294"/>
      <c r="R591" s="294"/>
      <c r="S591" s="294"/>
      <c r="T591" s="294"/>
      <c r="U591" s="294"/>
      <c r="V591" s="294"/>
      <c r="W591" s="294"/>
      <c r="X591" s="294"/>
      <c r="Y591" s="294"/>
      <c r="Z591" s="294"/>
      <c r="AA591" s="294"/>
      <c r="AB591" s="294"/>
      <c r="AC591" s="294"/>
    </row>
    <row r="592" ht="15.75" customHeight="1">
      <c r="A592" s="294"/>
      <c r="B592" s="294"/>
      <c r="C592" s="294"/>
      <c r="D592" s="294"/>
      <c r="E592" s="294"/>
      <c r="F592" s="294"/>
      <c r="G592" s="295"/>
      <c r="H592" s="294"/>
      <c r="I592" s="294"/>
      <c r="J592" s="294"/>
      <c r="K592" s="294"/>
      <c r="L592" s="294"/>
      <c r="M592" s="294"/>
      <c r="N592" s="294"/>
      <c r="O592" s="294"/>
      <c r="P592" s="294"/>
      <c r="Q592" s="294"/>
      <c r="R592" s="294"/>
      <c r="S592" s="294"/>
      <c r="T592" s="294"/>
      <c r="U592" s="294"/>
      <c r="V592" s="294"/>
      <c r="W592" s="294"/>
      <c r="X592" s="294"/>
      <c r="Y592" s="294"/>
      <c r="Z592" s="294"/>
      <c r="AA592" s="294"/>
      <c r="AB592" s="294"/>
      <c r="AC592" s="294"/>
    </row>
    <row r="593" ht="15.75" customHeight="1">
      <c r="A593" s="294"/>
      <c r="B593" s="294"/>
      <c r="C593" s="294"/>
      <c r="D593" s="294"/>
      <c r="E593" s="294"/>
      <c r="F593" s="294"/>
      <c r="G593" s="295"/>
      <c r="H593" s="294"/>
      <c r="I593" s="294"/>
      <c r="J593" s="294"/>
      <c r="K593" s="294"/>
      <c r="L593" s="294"/>
      <c r="M593" s="294"/>
      <c r="N593" s="294"/>
      <c r="O593" s="294"/>
      <c r="P593" s="294"/>
      <c r="Q593" s="294"/>
      <c r="R593" s="294"/>
      <c r="S593" s="294"/>
      <c r="T593" s="294"/>
      <c r="U593" s="294"/>
      <c r="V593" s="294"/>
      <c r="W593" s="294"/>
      <c r="X593" s="294"/>
      <c r="Y593" s="294"/>
      <c r="Z593" s="294"/>
      <c r="AA593" s="294"/>
      <c r="AB593" s="294"/>
      <c r="AC593" s="294"/>
    </row>
    <row r="594" ht="15.75" customHeight="1">
      <c r="A594" s="294"/>
      <c r="B594" s="294"/>
      <c r="C594" s="294"/>
      <c r="D594" s="294"/>
      <c r="E594" s="294"/>
      <c r="F594" s="294"/>
      <c r="G594" s="295"/>
      <c r="H594" s="294"/>
      <c r="I594" s="294"/>
      <c r="J594" s="294"/>
      <c r="K594" s="294"/>
      <c r="L594" s="294"/>
      <c r="M594" s="294"/>
      <c r="N594" s="294"/>
      <c r="O594" s="294"/>
      <c r="P594" s="294"/>
      <c r="Q594" s="294"/>
      <c r="R594" s="294"/>
      <c r="S594" s="294"/>
      <c r="T594" s="294"/>
      <c r="U594" s="294"/>
      <c r="V594" s="294"/>
      <c r="W594" s="294"/>
      <c r="X594" s="294"/>
      <c r="Y594" s="294"/>
      <c r="Z594" s="294"/>
      <c r="AA594" s="294"/>
      <c r="AB594" s="294"/>
      <c r="AC594" s="294"/>
    </row>
    <row r="595" ht="15.75" customHeight="1">
      <c r="A595" s="294"/>
      <c r="B595" s="294"/>
      <c r="C595" s="294"/>
      <c r="D595" s="294"/>
      <c r="E595" s="294"/>
      <c r="F595" s="294"/>
      <c r="G595" s="295"/>
      <c r="H595" s="294"/>
      <c r="I595" s="294"/>
      <c r="J595" s="294"/>
      <c r="K595" s="294"/>
      <c r="L595" s="294"/>
      <c r="M595" s="294"/>
      <c r="N595" s="294"/>
      <c r="O595" s="294"/>
      <c r="P595" s="294"/>
      <c r="Q595" s="294"/>
      <c r="R595" s="294"/>
      <c r="S595" s="294"/>
      <c r="T595" s="294"/>
      <c r="U595" s="294"/>
      <c r="V595" s="294"/>
      <c r="W595" s="294"/>
      <c r="X595" s="294"/>
      <c r="Y595" s="294"/>
      <c r="Z595" s="294"/>
      <c r="AA595" s="294"/>
      <c r="AB595" s="294"/>
      <c r="AC595" s="294"/>
    </row>
    <row r="596" ht="15.75" customHeight="1">
      <c r="A596" s="294"/>
      <c r="B596" s="294"/>
      <c r="C596" s="294"/>
      <c r="D596" s="294"/>
      <c r="E596" s="294"/>
      <c r="F596" s="294"/>
      <c r="G596" s="295"/>
      <c r="H596" s="294"/>
      <c r="I596" s="294"/>
      <c r="J596" s="294"/>
      <c r="K596" s="294"/>
      <c r="L596" s="294"/>
      <c r="M596" s="294"/>
      <c r="N596" s="294"/>
      <c r="O596" s="294"/>
      <c r="P596" s="294"/>
      <c r="Q596" s="294"/>
      <c r="R596" s="294"/>
      <c r="S596" s="294"/>
      <c r="T596" s="294"/>
      <c r="U596" s="294"/>
      <c r="V596" s="294"/>
      <c r="W596" s="294"/>
      <c r="X596" s="294"/>
      <c r="Y596" s="294"/>
      <c r="Z596" s="294"/>
      <c r="AA596" s="294"/>
      <c r="AB596" s="294"/>
      <c r="AC596" s="294"/>
    </row>
    <row r="597" ht="15.75" customHeight="1">
      <c r="A597" s="294"/>
      <c r="B597" s="294"/>
      <c r="C597" s="294"/>
      <c r="D597" s="294"/>
      <c r="E597" s="294"/>
      <c r="F597" s="294"/>
      <c r="G597" s="295"/>
      <c r="H597" s="294"/>
      <c r="I597" s="294"/>
      <c r="J597" s="294"/>
      <c r="K597" s="294"/>
      <c r="L597" s="294"/>
      <c r="M597" s="294"/>
      <c r="N597" s="294"/>
      <c r="O597" s="294"/>
      <c r="P597" s="294"/>
      <c r="Q597" s="294"/>
      <c r="R597" s="294"/>
      <c r="S597" s="294"/>
      <c r="T597" s="294"/>
      <c r="U597" s="294"/>
      <c r="V597" s="294"/>
      <c r="W597" s="294"/>
      <c r="X597" s="294"/>
      <c r="Y597" s="294"/>
      <c r="Z597" s="294"/>
      <c r="AA597" s="294"/>
      <c r="AB597" s="294"/>
      <c r="AC597" s="294"/>
    </row>
    <row r="598" ht="15.75" customHeight="1">
      <c r="A598" s="294"/>
      <c r="B598" s="294"/>
      <c r="C598" s="294"/>
      <c r="D598" s="294"/>
      <c r="E598" s="294"/>
      <c r="F598" s="294"/>
      <c r="G598" s="295"/>
      <c r="H598" s="294"/>
      <c r="I598" s="294"/>
      <c r="J598" s="294"/>
      <c r="K598" s="294"/>
      <c r="L598" s="294"/>
      <c r="M598" s="294"/>
      <c r="N598" s="294"/>
      <c r="O598" s="294"/>
      <c r="P598" s="294"/>
      <c r="Q598" s="294"/>
      <c r="R598" s="294"/>
      <c r="S598" s="294"/>
      <c r="T598" s="294"/>
      <c r="U598" s="294"/>
      <c r="V598" s="294"/>
      <c r="W598" s="294"/>
      <c r="X598" s="294"/>
      <c r="Y598" s="294"/>
      <c r="Z598" s="294"/>
      <c r="AA598" s="294"/>
      <c r="AB598" s="294"/>
      <c r="AC598" s="294"/>
    </row>
    <row r="599" ht="15.75" customHeight="1">
      <c r="A599" s="294"/>
      <c r="B599" s="294"/>
      <c r="C599" s="294"/>
      <c r="D599" s="294"/>
      <c r="E599" s="294"/>
      <c r="F599" s="294"/>
      <c r="G599" s="295"/>
      <c r="H599" s="294"/>
      <c r="I599" s="294"/>
      <c r="J599" s="294"/>
      <c r="K599" s="294"/>
      <c r="L599" s="294"/>
      <c r="M599" s="294"/>
      <c r="N599" s="294"/>
      <c r="O599" s="294"/>
      <c r="P599" s="294"/>
      <c r="Q599" s="294"/>
      <c r="R599" s="294"/>
      <c r="S599" s="294"/>
      <c r="T599" s="294"/>
      <c r="U599" s="294"/>
      <c r="V599" s="294"/>
      <c r="W599" s="294"/>
      <c r="X599" s="294"/>
      <c r="Y599" s="294"/>
      <c r="Z599" s="294"/>
      <c r="AA599" s="294"/>
      <c r="AB599" s="294"/>
      <c r="AC599" s="294"/>
    </row>
    <row r="600" ht="15.75" customHeight="1">
      <c r="A600" s="294"/>
      <c r="B600" s="294"/>
      <c r="C600" s="294"/>
      <c r="D600" s="294"/>
      <c r="E600" s="294"/>
      <c r="F600" s="294"/>
      <c r="G600" s="295"/>
      <c r="H600" s="294"/>
      <c r="I600" s="294"/>
      <c r="J600" s="294"/>
      <c r="K600" s="294"/>
      <c r="L600" s="294"/>
      <c r="M600" s="294"/>
      <c r="N600" s="294"/>
      <c r="O600" s="294"/>
      <c r="P600" s="294"/>
      <c r="Q600" s="294"/>
      <c r="R600" s="294"/>
      <c r="S600" s="294"/>
      <c r="T600" s="294"/>
      <c r="U600" s="294"/>
      <c r="V600" s="294"/>
      <c r="W600" s="294"/>
      <c r="X600" s="294"/>
      <c r="Y600" s="294"/>
      <c r="Z600" s="294"/>
      <c r="AA600" s="294"/>
      <c r="AB600" s="294"/>
      <c r="AC600" s="294"/>
    </row>
    <row r="601" ht="15.75" customHeight="1">
      <c r="A601" s="294"/>
      <c r="B601" s="294"/>
      <c r="C601" s="294"/>
      <c r="D601" s="294"/>
      <c r="E601" s="294"/>
      <c r="F601" s="294"/>
      <c r="G601" s="295"/>
      <c r="H601" s="294"/>
      <c r="I601" s="294"/>
      <c r="J601" s="294"/>
      <c r="K601" s="294"/>
      <c r="L601" s="294"/>
      <c r="M601" s="294"/>
      <c r="N601" s="294"/>
      <c r="O601" s="294"/>
      <c r="P601" s="294"/>
      <c r="Q601" s="294"/>
      <c r="R601" s="294"/>
      <c r="S601" s="294"/>
      <c r="T601" s="294"/>
      <c r="U601" s="294"/>
      <c r="V601" s="294"/>
      <c r="W601" s="294"/>
      <c r="X601" s="294"/>
      <c r="Y601" s="294"/>
      <c r="Z601" s="294"/>
      <c r="AA601" s="294"/>
      <c r="AB601" s="294"/>
      <c r="AC601" s="294"/>
    </row>
    <row r="602" ht="15.75" customHeight="1">
      <c r="A602" s="294"/>
      <c r="B602" s="294"/>
      <c r="C602" s="294"/>
      <c r="D602" s="294"/>
      <c r="E602" s="294"/>
      <c r="F602" s="294"/>
      <c r="G602" s="295"/>
      <c r="H602" s="294"/>
      <c r="I602" s="294"/>
      <c r="J602" s="294"/>
      <c r="K602" s="294"/>
      <c r="L602" s="294"/>
      <c r="M602" s="294"/>
      <c r="N602" s="294"/>
      <c r="O602" s="294"/>
      <c r="P602" s="294"/>
      <c r="Q602" s="294"/>
      <c r="R602" s="294"/>
      <c r="S602" s="294"/>
      <c r="T602" s="294"/>
      <c r="U602" s="294"/>
      <c r="V602" s="294"/>
      <c r="W602" s="294"/>
      <c r="X602" s="294"/>
      <c r="Y602" s="294"/>
      <c r="Z602" s="294"/>
      <c r="AA602" s="294"/>
      <c r="AB602" s="294"/>
      <c r="AC602" s="294"/>
    </row>
    <row r="603" ht="15.75" customHeight="1">
      <c r="A603" s="294"/>
      <c r="B603" s="294"/>
      <c r="C603" s="294"/>
      <c r="D603" s="294"/>
      <c r="E603" s="294"/>
      <c r="F603" s="294"/>
      <c r="G603" s="295"/>
      <c r="H603" s="294"/>
      <c r="I603" s="294"/>
      <c r="J603" s="294"/>
      <c r="K603" s="294"/>
      <c r="L603" s="294"/>
      <c r="M603" s="294"/>
      <c r="N603" s="294"/>
      <c r="O603" s="294"/>
      <c r="P603" s="294"/>
      <c r="Q603" s="294"/>
      <c r="R603" s="294"/>
      <c r="S603" s="294"/>
      <c r="T603" s="294"/>
      <c r="U603" s="294"/>
      <c r="V603" s="294"/>
      <c r="W603" s="294"/>
      <c r="X603" s="294"/>
      <c r="Y603" s="294"/>
      <c r="Z603" s="294"/>
      <c r="AA603" s="294"/>
      <c r="AB603" s="294"/>
      <c r="AC603" s="294"/>
    </row>
    <row r="604" ht="15.75" customHeight="1">
      <c r="A604" s="294"/>
      <c r="B604" s="294"/>
      <c r="C604" s="294"/>
      <c r="D604" s="294"/>
      <c r="E604" s="294"/>
      <c r="F604" s="294"/>
      <c r="G604" s="295"/>
      <c r="H604" s="294"/>
      <c r="I604" s="294"/>
      <c r="J604" s="294"/>
      <c r="K604" s="294"/>
      <c r="L604" s="294"/>
      <c r="M604" s="294"/>
      <c r="N604" s="294"/>
      <c r="O604" s="294"/>
      <c r="P604" s="294"/>
      <c r="Q604" s="294"/>
      <c r="R604" s="294"/>
      <c r="S604" s="294"/>
      <c r="T604" s="294"/>
      <c r="U604" s="294"/>
      <c r="V604" s="294"/>
      <c r="W604" s="294"/>
      <c r="X604" s="294"/>
      <c r="Y604" s="294"/>
      <c r="Z604" s="294"/>
      <c r="AA604" s="294"/>
      <c r="AB604" s="294"/>
      <c r="AC604" s="294"/>
    </row>
    <row r="605" ht="15.75" customHeight="1">
      <c r="A605" s="294"/>
      <c r="B605" s="294"/>
      <c r="C605" s="294"/>
      <c r="D605" s="294"/>
      <c r="E605" s="294"/>
      <c r="F605" s="294"/>
      <c r="G605" s="295"/>
      <c r="H605" s="294"/>
      <c r="I605" s="294"/>
      <c r="J605" s="294"/>
      <c r="K605" s="294"/>
      <c r="L605" s="294"/>
      <c r="M605" s="294"/>
      <c r="N605" s="294"/>
      <c r="O605" s="294"/>
      <c r="P605" s="294"/>
      <c r="Q605" s="294"/>
      <c r="R605" s="294"/>
      <c r="S605" s="294"/>
      <c r="T605" s="294"/>
      <c r="U605" s="294"/>
      <c r="V605" s="294"/>
      <c r="W605" s="294"/>
      <c r="X605" s="294"/>
      <c r="Y605" s="294"/>
      <c r="Z605" s="294"/>
      <c r="AA605" s="294"/>
      <c r="AB605" s="294"/>
      <c r="AC605" s="294"/>
    </row>
    <row r="606" ht="15.75" customHeight="1">
      <c r="A606" s="294"/>
      <c r="B606" s="294"/>
      <c r="C606" s="294"/>
      <c r="D606" s="294"/>
      <c r="E606" s="294"/>
      <c r="F606" s="294"/>
      <c r="G606" s="295"/>
      <c r="H606" s="294"/>
      <c r="I606" s="294"/>
      <c r="J606" s="294"/>
      <c r="K606" s="294"/>
      <c r="L606" s="294"/>
      <c r="M606" s="294"/>
      <c r="N606" s="294"/>
      <c r="O606" s="294"/>
      <c r="P606" s="294"/>
      <c r="Q606" s="294"/>
      <c r="R606" s="294"/>
      <c r="S606" s="294"/>
      <c r="T606" s="294"/>
      <c r="U606" s="294"/>
      <c r="V606" s="294"/>
      <c r="W606" s="294"/>
      <c r="X606" s="294"/>
      <c r="Y606" s="294"/>
      <c r="Z606" s="294"/>
      <c r="AA606" s="294"/>
      <c r="AB606" s="294"/>
      <c r="AC606" s="294"/>
    </row>
    <row r="607" ht="15.75" customHeight="1">
      <c r="A607" s="294"/>
      <c r="B607" s="294"/>
      <c r="C607" s="294"/>
      <c r="D607" s="294"/>
      <c r="E607" s="294"/>
      <c r="F607" s="294"/>
      <c r="G607" s="295"/>
      <c r="H607" s="294"/>
      <c r="I607" s="294"/>
      <c r="J607" s="294"/>
      <c r="K607" s="294"/>
      <c r="L607" s="294"/>
      <c r="M607" s="294"/>
      <c r="N607" s="294"/>
      <c r="O607" s="294"/>
      <c r="P607" s="294"/>
      <c r="Q607" s="294"/>
      <c r="R607" s="294"/>
      <c r="S607" s="294"/>
      <c r="T607" s="294"/>
      <c r="U607" s="294"/>
      <c r="V607" s="294"/>
      <c r="W607" s="294"/>
      <c r="X607" s="294"/>
      <c r="Y607" s="294"/>
      <c r="Z607" s="294"/>
      <c r="AA607" s="294"/>
      <c r="AB607" s="294"/>
      <c r="AC607" s="294"/>
    </row>
    <row r="608" ht="15.75" customHeight="1">
      <c r="A608" s="294"/>
      <c r="B608" s="294"/>
      <c r="C608" s="294"/>
      <c r="D608" s="294"/>
      <c r="E608" s="294"/>
      <c r="F608" s="294"/>
      <c r="G608" s="295"/>
      <c r="H608" s="294"/>
      <c r="I608" s="294"/>
      <c r="J608" s="294"/>
      <c r="K608" s="294"/>
      <c r="L608" s="294"/>
      <c r="M608" s="294"/>
      <c r="N608" s="294"/>
      <c r="O608" s="294"/>
      <c r="P608" s="294"/>
      <c r="Q608" s="294"/>
      <c r="R608" s="294"/>
      <c r="S608" s="294"/>
      <c r="T608" s="294"/>
      <c r="U608" s="294"/>
      <c r="V608" s="294"/>
      <c r="W608" s="294"/>
      <c r="X608" s="294"/>
      <c r="Y608" s="294"/>
      <c r="Z608" s="294"/>
      <c r="AA608" s="294"/>
      <c r="AB608" s="294"/>
      <c r="AC608" s="294"/>
    </row>
    <row r="609" ht="15.75" customHeight="1">
      <c r="A609" s="294"/>
      <c r="B609" s="294"/>
      <c r="C609" s="294"/>
      <c r="D609" s="294"/>
      <c r="E609" s="294"/>
      <c r="F609" s="294"/>
      <c r="G609" s="295"/>
      <c r="H609" s="294"/>
      <c r="I609" s="294"/>
      <c r="J609" s="294"/>
      <c r="K609" s="294"/>
      <c r="L609" s="294"/>
      <c r="M609" s="294"/>
      <c r="N609" s="294"/>
      <c r="O609" s="294"/>
      <c r="P609" s="294"/>
      <c r="Q609" s="294"/>
      <c r="R609" s="294"/>
      <c r="S609" s="294"/>
      <c r="T609" s="294"/>
      <c r="U609" s="294"/>
      <c r="V609" s="294"/>
      <c r="W609" s="294"/>
      <c r="X609" s="294"/>
      <c r="Y609" s="294"/>
      <c r="Z609" s="294"/>
      <c r="AA609" s="294"/>
      <c r="AB609" s="294"/>
      <c r="AC609" s="294"/>
    </row>
    <row r="610" ht="15.75" customHeight="1">
      <c r="A610" s="294"/>
      <c r="B610" s="294"/>
      <c r="C610" s="294"/>
      <c r="D610" s="294"/>
      <c r="E610" s="294"/>
      <c r="F610" s="294"/>
      <c r="G610" s="295"/>
      <c r="H610" s="294"/>
      <c r="I610" s="294"/>
      <c r="J610" s="294"/>
      <c r="K610" s="294"/>
      <c r="L610" s="294"/>
      <c r="M610" s="294"/>
      <c r="N610" s="294"/>
      <c r="O610" s="294"/>
      <c r="P610" s="294"/>
      <c r="Q610" s="294"/>
      <c r="R610" s="294"/>
      <c r="S610" s="294"/>
      <c r="T610" s="294"/>
      <c r="U610" s="294"/>
      <c r="V610" s="294"/>
      <c r="W610" s="294"/>
      <c r="X610" s="294"/>
      <c r="Y610" s="294"/>
      <c r="Z610" s="294"/>
      <c r="AA610" s="294"/>
      <c r="AB610" s="294"/>
      <c r="AC610" s="294"/>
    </row>
    <row r="611" ht="15.75" customHeight="1">
      <c r="A611" s="294"/>
      <c r="B611" s="294"/>
      <c r="C611" s="294"/>
      <c r="D611" s="294"/>
      <c r="E611" s="294"/>
      <c r="F611" s="294"/>
      <c r="G611" s="295"/>
      <c r="H611" s="294"/>
      <c r="I611" s="294"/>
      <c r="J611" s="294"/>
      <c r="K611" s="294"/>
      <c r="L611" s="294"/>
      <c r="M611" s="294"/>
      <c r="N611" s="294"/>
      <c r="O611" s="294"/>
      <c r="P611" s="294"/>
      <c r="Q611" s="294"/>
      <c r="R611" s="294"/>
      <c r="S611" s="294"/>
      <c r="T611" s="294"/>
      <c r="U611" s="294"/>
      <c r="V611" s="294"/>
      <c r="W611" s="294"/>
      <c r="X611" s="294"/>
      <c r="Y611" s="294"/>
      <c r="Z611" s="294"/>
      <c r="AA611" s="294"/>
      <c r="AB611" s="294"/>
      <c r="AC611" s="294"/>
    </row>
    <row r="612" ht="15.75" customHeight="1">
      <c r="A612" s="294"/>
      <c r="B612" s="294"/>
      <c r="C612" s="294"/>
      <c r="D612" s="294"/>
      <c r="E612" s="294"/>
      <c r="F612" s="294"/>
      <c r="G612" s="295"/>
      <c r="H612" s="294"/>
      <c r="I612" s="294"/>
      <c r="J612" s="294"/>
      <c r="K612" s="294"/>
      <c r="L612" s="294"/>
      <c r="M612" s="294"/>
      <c r="N612" s="294"/>
      <c r="O612" s="294"/>
      <c r="P612" s="294"/>
      <c r="Q612" s="294"/>
      <c r="R612" s="294"/>
      <c r="S612" s="294"/>
      <c r="T612" s="294"/>
      <c r="U612" s="294"/>
      <c r="V612" s="294"/>
      <c r="W612" s="294"/>
      <c r="X612" s="294"/>
      <c r="Y612" s="294"/>
      <c r="Z612" s="294"/>
      <c r="AA612" s="294"/>
      <c r="AB612" s="294"/>
      <c r="AC612" s="294"/>
    </row>
    <row r="613" ht="15.75" customHeight="1">
      <c r="A613" s="294"/>
      <c r="B613" s="294"/>
      <c r="C613" s="294"/>
      <c r="D613" s="294"/>
      <c r="E613" s="294"/>
      <c r="F613" s="294"/>
      <c r="G613" s="295"/>
      <c r="H613" s="294"/>
      <c r="I613" s="294"/>
      <c r="J613" s="294"/>
      <c r="K613" s="294"/>
      <c r="L613" s="294"/>
      <c r="M613" s="294"/>
      <c r="N613" s="294"/>
      <c r="O613" s="294"/>
      <c r="P613" s="294"/>
      <c r="Q613" s="294"/>
      <c r="R613" s="294"/>
      <c r="S613" s="294"/>
      <c r="T613" s="294"/>
      <c r="U613" s="294"/>
      <c r="V613" s="294"/>
      <c r="W613" s="294"/>
      <c r="X613" s="294"/>
      <c r="Y613" s="294"/>
      <c r="Z613" s="294"/>
      <c r="AA613" s="294"/>
      <c r="AB613" s="294"/>
      <c r="AC613" s="294"/>
    </row>
    <row r="614" ht="15.75" customHeight="1">
      <c r="A614" s="294"/>
      <c r="B614" s="294"/>
      <c r="C614" s="294"/>
      <c r="D614" s="294"/>
      <c r="E614" s="294"/>
      <c r="F614" s="294"/>
      <c r="G614" s="295"/>
      <c r="H614" s="294"/>
      <c r="I614" s="294"/>
      <c r="J614" s="294"/>
      <c r="K614" s="294"/>
      <c r="L614" s="294"/>
      <c r="M614" s="294"/>
      <c r="N614" s="294"/>
      <c r="O614" s="294"/>
      <c r="P614" s="294"/>
      <c r="Q614" s="294"/>
      <c r="R614" s="294"/>
      <c r="S614" s="294"/>
      <c r="T614" s="294"/>
      <c r="U614" s="294"/>
      <c r="V614" s="294"/>
      <c r="W614" s="294"/>
      <c r="X614" s="294"/>
      <c r="Y614" s="294"/>
      <c r="Z614" s="294"/>
      <c r="AA614" s="294"/>
      <c r="AB614" s="294"/>
      <c r="AC614" s="294"/>
    </row>
    <row r="615" ht="15.75" customHeight="1">
      <c r="A615" s="294"/>
      <c r="B615" s="294"/>
      <c r="C615" s="294"/>
      <c r="D615" s="294"/>
      <c r="E615" s="294"/>
      <c r="F615" s="294"/>
      <c r="G615" s="295"/>
      <c r="H615" s="294"/>
      <c r="I615" s="294"/>
      <c r="J615" s="294"/>
      <c r="K615" s="294"/>
      <c r="L615" s="294"/>
      <c r="M615" s="294"/>
      <c r="N615" s="294"/>
      <c r="O615" s="294"/>
      <c r="P615" s="294"/>
      <c r="Q615" s="294"/>
      <c r="R615" s="294"/>
      <c r="S615" s="294"/>
      <c r="T615" s="294"/>
      <c r="U615" s="294"/>
      <c r="V615" s="294"/>
      <c r="W615" s="294"/>
      <c r="X615" s="294"/>
      <c r="Y615" s="294"/>
      <c r="Z615" s="294"/>
      <c r="AA615" s="294"/>
      <c r="AB615" s="294"/>
      <c r="AC615" s="294"/>
    </row>
    <row r="616" ht="15.75" customHeight="1">
      <c r="A616" s="294"/>
      <c r="B616" s="294"/>
      <c r="C616" s="294"/>
      <c r="D616" s="294"/>
      <c r="E616" s="294"/>
      <c r="F616" s="294"/>
      <c r="G616" s="295"/>
      <c r="H616" s="294"/>
      <c r="I616" s="294"/>
      <c r="J616" s="294"/>
      <c r="K616" s="294"/>
      <c r="L616" s="294"/>
      <c r="M616" s="294"/>
      <c r="N616" s="294"/>
      <c r="O616" s="294"/>
      <c r="P616" s="294"/>
      <c r="Q616" s="294"/>
      <c r="R616" s="294"/>
      <c r="S616" s="294"/>
      <c r="T616" s="294"/>
      <c r="U616" s="294"/>
      <c r="V616" s="294"/>
      <c r="W616" s="294"/>
      <c r="X616" s="294"/>
      <c r="Y616" s="294"/>
      <c r="Z616" s="294"/>
      <c r="AA616" s="294"/>
      <c r="AB616" s="294"/>
      <c r="AC616" s="294"/>
    </row>
    <row r="617" ht="15.75" customHeight="1">
      <c r="A617" s="294"/>
      <c r="B617" s="294"/>
      <c r="C617" s="294"/>
      <c r="D617" s="294"/>
      <c r="E617" s="294"/>
      <c r="F617" s="294"/>
      <c r="G617" s="295"/>
      <c r="H617" s="294"/>
      <c r="I617" s="294"/>
      <c r="J617" s="294"/>
      <c r="K617" s="294"/>
      <c r="L617" s="294"/>
      <c r="M617" s="294"/>
      <c r="N617" s="294"/>
      <c r="O617" s="294"/>
      <c r="P617" s="294"/>
      <c r="Q617" s="294"/>
      <c r="R617" s="294"/>
      <c r="S617" s="294"/>
      <c r="T617" s="294"/>
      <c r="U617" s="294"/>
      <c r="V617" s="294"/>
      <c r="W617" s="294"/>
      <c r="X617" s="294"/>
      <c r="Y617" s="294"/>
      <c r="Z617" s="294"/>
      <c r="AA617" s="294"/>
      <c r="AB617" s="294"/>
      <c r="AC617" s="294"/>
    </row>
    <row r="618" ht="15.75" customHeight="1">
      <c r="A618" s="294"/>
      <c r="B618" s="294"/>
      <c r="C618" s="294"/>
      <c r="D618" s="294"/>
      <c r="E618" s="294"/>
      <c r="F618" s="294"/>
      <c r="G618" s="295"/>
      <c r="H618" s="294"/>
      <c r="I618" s="294"/>
      <c r="J618" s="294"/>
      <c r="K618" s="294"/>
      <c r="L618" s="294"/>
      <c r="M618" s="294"/>
      <c r="N618" s="294"/>
      <c r="O618" s="294"/>
      <c r="P618" s="294"/>
      <c r="Q618" s="294"/>
      <c r="R618" s="294"/>
      <c r="S618" s="294"/>
      <c r="T618" s="294"/>
      <c r="U618" s="294"/>
      <c r="V618" s="294"/>
      <c r="W618" s="294"/>
      <c r="X618" s="294"/>
      <c r="Y618" s="294"/>
      <c r="Z618" s="294"/>
      <c r="AA618" s="294"/>
      <c r="AB618" s="294"/>
      <c r="AC618" s="294"/>
    </row>
    <row r="619" ht="15.75" customHeight="1">
      <c r="A619" s="294"/>
      <c r="B619" s="294"/>
      <c r="C619" s="294"/>
      <c r="D619" s="294"/>
      <c r="E619" s="294"/>
      <c r="F619" s="294"/>
      <c r="G619" s="295"/>
      <c r="H619" s="294"/>
      <c r="I619" s="294"/>
      <c r="J619" s="294"/>
      <c r="K619" s="294"/>
      <c r="L619" s="294"/>
      <c r="M619" s="294"/>
      <c r="N619" s="294"/>
      <c r="O619" s="294"/>
      <c r="P619" s="294"/>
      <c r="Q619" s="294"/>
      <c r="R619" s="294"/>
      <c r="S619" s="294"/>
      <c r="T619" s="294"/>
      <c r="U619" s="294"/>
      <c r="V619" s="294"/>
      <c r="W619" s="294"/>
      <c r="X619" s="294"/>
      <c r="Y619" s="294"/>
      <c r="Z619" s="294"/>
      <c r="AA619" s="294"/>
      <c r="AB619" s="294"/>
      <c r="AC619" s="294"/>
    </row>
    <row r="620" ht="15.75" customHeight="1">
      <c r="A620" s="294"/>
      <c r="B620" s="294"/>
      <c r="C620" s="294"/>
      <c r="D620" s="294"/>
      <c r="E620" s="294"/>
      <c r="F620" s="294"/>
      <c r="G620" s="295"/>
      <c r="H620" s="294"/>
      <c r="I620" s="294"/>
      <c r="J620" s="294"/>
      <c r="K620" s="294"/>
      <c r="L620" s="294"/>
      <c r="M620" s="294"/>
      <c r="N620" s="294"/>
      <c r="O620" s="294"/>
      <c r="P620" s="294"/>
      <c r="Q620" s="294"/>
      <c r="R620" s="294"/>
      <c r="S620" s="294"/>
      <c r="T620" s="294"/>
      <c r="U620" s="294"/>
      <c r="V620" s="294"/>
      <c r="W620" s="294"/>
      <c r="X620" s="294"/>
      <c r="Y620" s="294"/>
      <c r="Z620" s="294"/>
      <c r="AA620" s="294"/>
      <c r="AB620" s="294"/>
      <c r="AC620" s="294"/>
    </row>
    <row r="621" ht="15.75" customHeight="1">
      <c r="A621" s="294"/>
      <c r="B621" s="294"/>
      <c r="C621" s="294"/>
      <c r="D621" s="294"/>
      <c r="E621" s="294"/>
      <c r="F621" s="294"/>
      <c r="G621" s="295"/>
      <c r="H621" s="294"/>
      <c r="I621" s="294"/>
      <c r="J621" s="294"/>
      <c r="K621" s="294"/>
      <c r="L621" s="294"/>
      <c r="M621" s="294"/>
      <c r="N621" s="294"/>
      <c r="O621" s="294"/>
      <c r="P621" s="294"/>
      <c r="Q621" s="294"/>
      <c r="R621" s="294"/>
      <c r="S621" s="294"/>
      <c r="T621" s="294"/>
      <c r="U621" s="294"/>
      <c r="V621" s="294"/>
      <c r="W621" s="294"/>
      <c r="X621" s="294"/>
      <c r="Y621" s="294"/>
      <c r="Z621" s="294"/>
      <c r="AA621" s="294"/>
      <c r="AB621" s="294"/>
      <c r="AC621" s="294"/>
    </row>
    <row r="622" ht="15.75" customHeight="1">
      <c r="A622" s="294"/>
      <c r="B622" s="294"/>
      <c r="C622" s="294"/>
      <c r="D622" s="294"/>
      <c r="E622" s="294"/>
      <c r="F622" s="294"/>
      <c r="G622" s="295"/>
      <c r="H622" s="294"/>
      <c r="I622" s="294"/>
      <c r="J622" s="294"/>
      <c r="K622" s="294"/>
      <c r="L622" s="294"/>
      <c r="M622" s="294"/>
      <c r="N622" s="294"/>
      <c r="O622" s="294"/>
      <c r="P622" s="294"/>
      <c r="Q622" s="294"/>
      <c r="R622" s="294"/>
      <c r="S622" s="294"/>
      <c r="T622" s="294"/>
      <c r="U622" s="294"/>
      <c r="V622" s="294"/>
      <c r="W622" s="294"/>
      <c r="X622" s="294"/>
      <c r="Y622" s="294"/>
      <c r="Z622" s="294"/>
      <c r="AA622" s="294"/>
      <c r="AB622" s="294"/>
      <c r="AC622" s="294"/>
    </row>
    <row r="623" ht="15.75" customHeight="1">
      <c r="A623" s="294"/>
      <c r="B623" s="294"/>
      <c r="C623" s="294"/>
      <c r="D623" s="294"/>
      <c r="E623" s="294"/>
      <c r="F623" s="294"/>
      <c r="G623" s="295"/>
      <c r="H623" s="294"/>
      <c r="I623" s="294"/>
      <c r="J623" s="294"/>
      <c r="K623" s="294"/>
      <c r="L623" s="294"/>
      <c r="M623" s="294"/>
      <c r="N623" s="294"/>
      <c r="O623" s="294"/>
      <c r="P623" s="294"/>
      <c r="Q623" s="294"/>
      <c r="R623" s="294"/>
      <c r="S623" s="294"/>
      <c r="T623" s="294"/>
      <c r="U623" s="294"/>
      <c r="V623" s="294"/>
      <c r="W623" s="294"/>
      <c r="X623" s="294"/>
      <c r="Y623" s="294"/>
      <c r="Z623" s="294"/>
      <c r="AA623" s="294"/>
      <c r="AB623" s="294"/>
      <c r="AC623" s="294"/>
    </row>
    <row r="624" ht="15.75" customHeight="1">
      <c r="A624" s="294"/>
      <c r="B624" s="294"/>
      <c r="C624" s="294"/>
      <c r="D624" s="294"/>
      <c r="E624" s="294"/>
      <c r="F624" s="294"/>
      <c r="G624" s="295"/>
      <c r="H624" s="294"/>
      <c r="I624" s="294"/>
      <c r="J624" s="294"/>
      <c r="K624" s="294"/>
      <c r="L624" s="294"/>
      <c r="M624" s="294"/>
      <c r="N624" s="294"/>
      <c r="O624" s="294"/>
      <c r="P624" s="294"/>
      <c r="Q624" s="294"/>
      <c r="R624" s="294"/>
      <c r="S624" s="294"/>
      <c r="T624" s="294"/>
      <c r="U624" s="294"/>
      <c r="V624" s="294"/>
      <c r="W624" s="294"/>
      <c r="X624" s="294"/>
      <c r="Y624" s="294"/>
      <c r="Z624" s="294"/>
      <c r="AA624" s="294"/>
      <c r="AB624" s="294"/>
      <c r="AC624" s="294"/>
    </row>
    <row r="625" ht="15.75" customHeight="1">
      <c r="A625" s="294"/>
      <c r="B625" s="294"/>
      <c r="C625" s="294"/>
      <c r="D625" s="294"/>
      <c r="E625" s="294"/>
      <c r="F625" s="294"/>
      <c r="G625" s="295"/>
      <c r="H625" s="294"/>
      <c r="I625" s="294"/>
      <c r="J625" s="294"/>
      <c r="K625" s="294"/>
      <c r="L625" s="294"/>
      <c r="M625" s="294"/>
      <c r="N625" s="294"/>
      <c r="O625" s="294"/>
      <c r="P625" s="294"/>
      <c r="Q625" s="294"/>
      <c r="R625" s="294"/>
      <c r="S625" s="294"/>
      <c r="T625" s="294"/>
      <c r="U625" s="294"/>
      <c r="V625" s="294"/>
      <c r="W625" s="294"/>
      <c r="X625" s="294"/>
      <c r="Y625" s="294"/>
      <c r="Z625" s="294"/>
      <c r="AA625" s="294"/>
      <c r="AB625" s="294"/>
      <c r="AC625" s="294"/>
    </row>
    <row r="626" ht="15.75" customHeight="1">
      <c r="A626" s="294"/>
      <c r="B626" s="294"/>
      <c r="C626" s="294"/>
      <c r="D626" s="294"/>
      <c r="E626" s="294"/>
      <c r="F626" s="294"/>
      <c r="G626" s="295"/>
      <c r="H626" s="294"/>
      <c r="I626" s="294"/>
      <c r="J626" s="294"/>
      <c r="K626" s="294"/>
      <c r="L626" s="294"/>
      <c r="M626" s="294"/>
      <c r="N626" s="294"/>
      <c r="O626" s="294"/>
      <c r="P626" s="294"/>
      <c r="Q626" s="294"/>
      <c r="R626" s="294"/>
      <c r="S626" s="294"/>
      <c r="T626" s="294"/>
      <c r="U626" s="294"/>
      <c r="V626" s="294"/>
      <c r="W626" s="294"/>
      <c r="X626" s="294"/>
      <c r="Y626" s="294"/>
      <c r="Z626" s="294"/>
      <c r="AA626" s="294"/>
      <c r="AB626" s="294"/>
      <c r="AC626" s="294"/>
    </row>
    <row r="627" ht="15.75" customHeight="1">
      <c r="A627" s="294"/>
      <c r="B627" s="294"/>
      <c r="C627" s="294"/>
      <c r="D627" s="294"/>
      <c r="E627" s="294"/>
      <c r="F627" s="294"/>
      <c r="G627" s="295"/>
      <c r="H627" s="294"/>
      <c r="I627" s="294"/>
      <c r="J627" s="294"/>
      <c r="K627" s="294"/>
      <c r="L627" s="294"/>
      <c r="M627" s="294"/>
      <c r="N627" s="294"/>
      <c r="O627" s="294"/>
      <c r="P627" s="294"/>
      <c r="Q627" s="294"/>
      <c r="R627" s="294"/>
      <c r="S627" s="294"/>
      <c r="T627" s="294"/>
      <c r="U627" s="294"/>
      <c r="V627" s="294"/>
      <c r="W627" s="294"/>
      <c r="X627" s="294"/>
      <c r="Y627" s="294"/>
      <c r="Z627" s="294"/>
      <c r="AA627" s="294"/>
      <c r="AB627" s="294"/>
      <c r="AC627" s="294"/>
    </row>
    <row r="628" ht="15.75" customHeight="1">
      <c r="A628" s="294"/>
      <c r="B628" s="294"/>
      <c r="C628" s="294"/>
      <c r="D628" s="294"/>
      <c r="E628" s="294"/>
      <c r="F628" s="294"/>
      <c r="G628" s="295"/>
      <c r="H628" s="294"/>
      <c r="I628" s="294"/>
      <c r="J628" s="294"/>
      <c r="K628" s="294"/>
      <c r="L628" s="294"/>
      <c r="M628" s="294"/>
      <c r="N628" s="294"/>
      <c r="O628" s="294"/>
      <c r="P628" s="294"/>
      <c r="Q628" s="294"/>
      <c r="R628" s="294"/>
      <c r="S628" s="294"/>
      <c r="T628" s="294"/>
      <c r="U628" s="294"/>
      <c r="V628" s="294"/>
      <c r="W628" s="294"/>
      <c r="X628" s="294"/>
      <c r="Y628" s="294"/>
      <c r="Z628" s="294"/>
      <c r="AA628" s="294"/>
      <c r="AB628" s="294"/>
      <c r="AC628" s="294"/>
    </row>
    <row r="629" ht="15.75" customHeight="1">
      <c r="A629" s="294"/>
      <c r="B629" s="294"/>
      <c r="C629" s="294"/>
      <c r="D629" s="294"/>
      <c r="E629" s="294"/>
      <c r="F629" s="294"/>
      <c r="G629" s="295"/>
      <c r="H629" s="294"/>
      <c r="I629" s="294"/>
      <c r="J629" s="294"/>
      <c r="K629" s="294"/>
      <c r="L629" s="294"/>
      <c r="M629" s="294"/>
      <c r="N629" s="294"/>
      <c r="O629" s="294"/>
      <c r="P629" s="294"/>
      <c r="Q629" s="294"/>
      <c r="R629" s="294"/>
      <c r="S629" s="294"/>
      <c r="T629" s="294"/>
      <c r="U629" s="294"/>
      <c r="V629" s="294"/>
      <c r="W629" s="294"/>
      <c r="X629" s="294"/>
      <c r="Y629" s="294"/>
      <c r="Z629" s="294"/>
      <c r="AA629" s="294"/>
      <c r="AB629" s="294"/>
      <c r="AC629" s="294"/>
    </row>
    <row r="630" ht="15.75" customHeight="1">
      <c r="A630" s="294"/>
      <c r="B630" s="294"/>
      <c r="C630" s="294"/>
      <c r="D630" s="294"/>
      <c r="E630" s="294"/>
      <c r="F630" s="294"/>
      <c r="G630" s="295"/>
      <c r="H630" s="294"/>
      <c r="I630" s="294"/>
      <c r="J630" s="294"/>
      <c r="K630" s="294"/>
      <c r="L630" s="294"/>
      <c r="M630" s="294"/>
      <c r="N630" s="294"/>
      <c r="O630" s="294"/>
      <c r="P630" s="294"/>
      <c r="Q630" s="294"/>
      <c r="R630" s="294"/>
      <c r="S630" s="294"/>
      <c r="T630" s="294"/>
      <c r="U630" s="294"/>
      <c r="V630" s="294"/>
      <c r="W630" s="294"/>
      <c r="X630" s="294"/>
      <c r="Y630" s="294"/>
      <c r="Z630" s="294"/>
      <c r="AA630" s="294"/>
      <c r="AB630" s="294"/>
      <c r="AC630" s="294"/>
    </row>
    <row r="631" ht="15.75" customHeight="1">
      <c r="A631" s="294"/>
      <c r="B631" s="294"/>
      <c r="C631" s="294"/>
      <c r="D631" s="294"/>
      <c r="E631" s="294"/>
      <c r="F631" s="294"/>
      <c r="G631" s="295"/>
      <c r="H631" s="294"/>
      <c r="I631" s="294"/>
      <c r="J631" s="294"/>
      <c r="K631" s="294"/>
      <c r="L631" s="294"/>
      <c r="M631" s="294"/>
      <c r="N631" s="294"/>
      <c r="O631" s="294"/>
      <c r="P631" s="294"/>
      <c r="Q631" s="294"/>
      <c r="R631" s="294"/>
      <c r="S631" s="294"/>
      <c r="T631" s="294"/>
      <c r="U631" s="294"/>
      <c r="V631" s="294"/>
      <c r="W631" s="294"/>
      <c r="X631" s="294"/>
      <c r="Y631" s="294"/>
      <c r="Z631" s="294"/>
      <c r="AA631" s="294"/>
      <c r="AB631" s="294"/>
      <c r="AC631" s="294"/>
    </row>
    <row r="632" ht="15.75" customHeight="1">
      <c r="A632" s="294"/>
      <c r="B632" s="294"/>
      <c r="C632" s="294"/>
      <c r="D632" s="294"/>
      <c r="E632" s="294"/>
      <c r="F632" s="294"/>
      <c r="G632" s="295"/>
      <c r="H632" s="294"/>
      <c r="I632" s="294"/>
      <c r="J632" s="294"/>
      <c r="K632" s="294"/>
      <c r="L632" s="294"/>
      <c r="M632" s="294"/>
      <c r="N632" s="294"/>
      <c r="O632" s="294"/>
      <c r="P632" s="294"/>
      <c r="Q632" s="294"/>
      <c r="R632" s="294"/>
      <c r="S632" s="294"/>
      <c r="T632" s="294"/>
      <c r="U632" s="294"/>
      <c r="V632" s="294"/>
      <c r="W632" s="294"/>
      <c r="X632" s="294"/>
      <c r="Y632" s="294"/>
      <c r="Z632" s="294"/>
      <c r="AA632" s="294"/>
      <c r="AB632" s="294"/>
      <c r="AC632" s="294"/>
    </row>
    <row r="633" ht="15.75" customHeight="1">
      <c r="A633" s="294"/>
      <c r="B633" s="294"/>
      <c r="C633" s="294"/>
      <c r="D633" s="294"/>
      <c r="E633" s="294"/>
      <c r="F633" s="294"/>
      <c r="G633" s="295"/>
      <c r="H633" s="294"/>
      <c r="I633" s="294"/>
      <c r="J633" s="294"/>
      <c r="K633" s="294"/>
      <c r="L633" s="294"/>
      <c r="M633" s="294"/>
      <c r="N633" s="294"/>
      <c r="O633" s="294"/>
      <c r="P633" s="294"/>
      <c r="Q633" s="294"/>
      <c r="R633" s="294"/>
      <c r="S633" s="294"/>
      <c r="T633" s="294"/>
      <c r="U633" s="294"/>
      <c r="V633" s="294"/>
      <c r="W633" s="294"/>
      <c r="X633" s="294"/>
      <c r="Y633" s="294"/>
      <c r="Z633" s="294"/>
      <c r="AA633" s="294"/>
      <c r="AB633" s="294"/>
      <c r="AC633" s="294"/>
    </row>
    <row r="634" ht="15.75" customHeight="1">
      <c r="A634" s="294"/>
      <c r="B634" s="294"/>
      <c r="C634" s="294"/>
      <c r="D634" s="294"/>
      <c r="E634" s="294"/>
      <c r="F634" s="294"/>
      <c r="G634" s="295"/>
      <c r="H634" s="294"/>
      <c r="I634" s="294"/>
      <c r="J634" s="294"/>
      <c r="K634" s="294"/>
      <c r="L634" s="294"/>
      <c r="M634" s="294"/>
      <c r="N634" s="294"/>
      <c r="O634" s="294"/>
      <c r="P634" s="294"/>
      <c r="Q634" s="294"/>
      <c r="R634" s="294"/>
      <c r="S634" s="294"/>
      <c r="T634" s="294"/>
      <c r="U634" s="294"/>
      <c r="V634" s="294"/>
      <c r="W634" s="294"/>
      <c r="X634" s="294"/>
      <c r="Y634" s="294"/>
      <c r="Z634" s="294"/>
      <c r="AA634" s="294"/>
      <c r="AB634" s="294"/>
      <c r="AC634" s="294"/>
    </row>
    <row r="635" ht="15.75" customHeight="1">
      <c r="A635" s="294"/>
      <c r="B635" s="294"/>
      <c r="C635" s="294"/>
      <c r="D635" s="294"/>
      <c r="E635" s="294"/>
      <c r="F635" s="294"/>
      <c r="G635" s="295"/>
      <c r="H635" s="294"/>
      <c r="I635" s="294"/>
      <c r="J635" s="294"/>
      <c r="K635" s="294"/>
      <c r="L635" s="294"/>
      <c r="M635" s="294"/>
      <c r="N635" s="294"/>
      <c r="O635" s="294"/>
      <c r="P635" s="294"/>
      <c r="Q635" s="294"/>
      <c r="R635" s="294"/>
      <c r="S635" s="294"/>
      <c r="T635" s="294"/>
      <c r="U635" s="294"/>
      <c r="V635" s="294"/>
      <c r="W635" s="294"/>
      <c r="X635" s="294"/>
      <c r="Y635" s="294"/>
      <c r="Z635" s="294"/>
      <c r="AA635" s="294"/>
      <c r="AB635" s="294"/>
      <c r="AC635" s="294"/>
    </row>
    <row r="636" ht="15.75" customHeight="1">
      <c r="A636" s="294"/>
      <c r="B636" s="294"/>
      <c r="C636" s="294"/>
      <c r="D636" s="294"/>
      <c r="E636" s="294"/>
      <c r="F636" s="294"/>
      <c r="G636" s="295"/>
      <c r="H636" s="294"/>
      <c r="I636" s="294"/>
      <c r="J636" s="294"/>
      <c r="K636" s="294"/>
      <c r="L636" s="294"/>
      <c r="M636" s="294"/>
      <c r="N636" s="294"/>
      <c r="O636" s="294"/>
      <c r="P636" s="294"/>
      <c r="Q636" s="294"/>
      <c r="R636" s="294"/>
      <c r="S636" s="294"/>
      <c r="T636" s="294"/>
      <c r="U636" s="294"/>
      <c r="V636" s="294"/>
      <c r="W636" s="294"/>
      <c r="X636" s="294"/>
      <c r="Y636" s="294"/>
      <c r="Z636" s="294"/>
      <c r="AA636" s="294"/>
      <c r="AB636" s="294"/>
      <c r="AC636" s="294"/>
    </row>
    <row r="637" ht="15.75" customHeight="1">
      <c r="A637" s="294"/>
      <c r="B637" s="294"/>
      <c r="C637" s="294"/>
      <c r="D637" s="294"/>
      <c r="E637" s="294"/>
      <c r="F637" s="294"/>
      <c r="G637" s="295"/>
      <c r="H637" s="294"/>
      <c r="I637" s="294"/>
      <c r="J637" s="294"/>
      <c r="K637" s="294"/>
      <c r="L637" s="294"/>
      <c r="M637" s="294"/>
      <c r="N637" s="294"/>
      <c r="O637" s="294"/>
      <c r="P637" s="294"/>
      <c r="Q637" s="294"/>
      <c r="R637" s="294"/>
      <c r="S637" s="294"/>
      <c r="T637" s="294"/>
      <c r="U637" s="294"/>
      <c r="V637" s="294"/>
      <c r="W637" s="294"/>
      <c r="X637" s="294"/>
      <c r="Y637" s="294"/>
      <c r="Z637" s="294"/>
      <c r="AA637" s="294"/>
      <c r="AB637" s="294"/>
      <c r="AC637" s="294"/>
    </row>
    <row r="638" ht="15.75" customHeight="1">
      <c r="A638" s="294"/>
      <c r="B638" s="294"/>
      <c r="C638" s="294"/>
      <c r="D638" s="294"/>
      <c r="E638" s="294"/>
      <c r="F638" s="294"/>
      <c r="G638" s="295"/>
      <c r="H638" s="294"/>
      <c r="I638" s="294"/>
      <c r="J638" s="294"/>
      <c r="K638" s="294"/>
      <c r="L638" s="294"/>
      <c r="M638" s="294"/>
      <c r="N638" s="294"/>
      <c r="O638" s="294"/>
      <c r="P638" s="294"/>
      <c r="Q638" s="294"/>
      <c r="R638" s="294"/>
      <c r="S638" s="294"/>
      <c r="T638" s="294"/>
      <c r="U638" s="294"/>
      <c r="V638" s="294"/>
      <c r="W638" s="294"/>
      <c r="X638" s="294"/>
      <c r="Y638" s="294"/>
      <c r="Z638" s="294"/>
      <c r="AA638" s="294"/>
      <c r="AB638" s="294"/>
      <c r="AC638" s="294"/>
    </row>
    <row r="639" ht="15.75" customHeight="1">
      <c r="A639" s="294"/>
      <c r="B639" s="294"/>
      <c r="C639" s="294"/>
      <c r="D639" s="294"/>
      <c r="E639" s="294"/>
      <c r="F639" s="294"/>
      <c r="G639" s="295"/>
      <c r="H639" s="294"/>
      <c r="I639" s="294"/>
      <c r="J639" s="294"/>
      <c r="K639" s="294"/>
      <c r="L639" s="294"/>
      <c r="M639" s="294"/>
      <c r="N639" s="294"/>
      <c r="O639" s="294"/>
      <c r="P639" s="294"/>
      <c r="Q639" s="294"/>
      <c r="R639" s="294"/>
      <c r="S639" s="294"/>
      <c r="T639" s="294"/>
      <c r="U639" s="294"/>
      <c r="V639" s="294"/>
      <c r="W639" s="294"/>
      <c r="X639" s="294"/>
      <c r="Y639" s="294"/>
      <c r="Z639" s="294"/>
      <c r="AA639" s="294"/>
      <c r="AB639" s="294"/>
      <c r="AC639" s="294"/>
    </row>
    <row r="640" ht="15.75" customHeight="1">
      <c r="A640" s="294"/>
      <c r="B640" s="294"/>
      <c r="C640" s="294"/>
      <c r="D640" s="294"/>
      <c r="E640" s="294"/>
      <c r="F640" s="294"/>
      <c r="G640" s="295"/>
      <c r="H640" s="294"/>
      <c r="I640" s="294"/>
      <c r="J640" s="294"/>
      <c r="K640" s="294"/>
      <c r="L640" s="294"/>
      <c r="M640" s="294"/>
      <c r="N640" s="294"/>
      <c r="O640" s="294"/>
      <c r="P640" s="294"/>
      <c r="Q640" s="294"/>
      <c r="R640" s="294"/>
      <c r="S640" s="294"/>
      <c r="T640" s="294"/>
      <c r="U640" s="294"/>
      <c r="V640" s="294"/>
      <c r="W640" s="294"/>
      <c r="X640" s="294"/>
      <c r="Y640" s="294"/>
      <c r="Z640" s="294"/>
      <c r="AA640" s="294"/>
      <c r="AB640" s="294"/>
      <c r="AC640" s="294"/>
    </row>
    <row r="641" ht="15.75" customHeight="1">
      <c r="A641" s="294"/>
      <c r="B641" s="294"/>
      <c r="C641" s="294"/>
      <c r="D641" s="294"/>
      <c r="E641" s="294"/>
      <c r="F641" s="294"/>
      <c r="G641" s="295"/>
      <c r="H641" s="294"/>
      <c r="I641" s="294"/>
      <c r="J641" s="294"/>
      <c r="K641" s="294"/>
      <c r="L641" s="294"/>
      <c r="M641" s="294"/>
      <c r="N641" s="294"/>
      <c r="O641" s="294"/>
      <c r="P641" s="294"/>
      <c r="Q641" s="294"/>
      <c r="R641" s="294"/>
      <c r="S641" s="294"/>
      <c r="T641" s="294"/>
      <c r="U641" s="294"/>
      <c r="V641" s="294"/>
      <c r="W641" s="294"/>
      <c r="X641" s="294"/>
      <c r="Y641" s="294"/>
      <c r="Z641" s="294"/>
      <c r="AA641" s="294"/>
      <c r="AB641" s="294"/>
      <c r="AC641" s="294"/>
    </row>
    <row r="642" ht="15.75" customHeight="1">
      <c r="A642" s="294"/>
      <c r="B642" s="294"/>
      <c r="C642" s="294"/>
      <c r="D642" s="294"/>
      <c r="E642" s="294"/>
      <c r="F642" s="294"/>
      <c r="G642" s="295"/>
      <c r="H642" s="294"/>
      <c r="I642" s="294"/>
      <c r="J642" s="294"/>
      <c r="K642" s="294"/>
      <c r="L642" s="294"/>
      <c r="M642" s="294"/>
      <c r="N642" s="294"/>
      <c r="O642" s="294"/>
      <c r="P642" s="294"/>
      <c r="Q642" s="294"/>
      <c r="R642" s="294"/>
      <c r="S642" s="294"/>
      <c r="T642" s="294"/>
      <c r="U642" s="294"/>
      <c r="V642" s="294"/>
      <c r="W642" s="294"/>
      <c r="X642" s="294"/>
      <c r="Y642" s="294"/>
      <c r="Z642" s="294"/>
      <c r="AA642" s="294"/>
      <c r="AB642" s="294"/>
      <c r="AC642" s="294"/>
    </row>
    <row r="643" ht="15.75" customHeight="1">
      <c r="A643" s="294"/>
      <c r="B643" s="294"/>
      <c r="C643" s="294"/>
      <c r="D643" s="294"/>
      <c r="E643" s="294"/>
      <c r="F643" s="294"/>
      <c r="G643" s="295"/>
      <c r="H643" s="294"/>
      <c r="I643" s="294"/>
      <c r="J643" s="294"/>
      <c r="K643" s="294"/>
      <c r="L643" s="294"/>
      <c r="M643" s="294"/>
      <c r="N643" s="294"/>
      <c r="O643" s="294"/>
      <c r="P643" s="294"/>
      <c r="Q643" s="294"/>
      <c r="R643" s="294"/>
      <c r="S643" s="294"/>
      <c r="T643" s="294"/>
      <c r="U643" s="294"/>
      <c r="V643" s="294"/>
      <c r="W643" s="294"/>
      <c r="X643" s="294"/>
      <c r="Y643" s="294"/>
      <c r="Z643" s="294"/>
      <c r="AA643" s="294"/>
      <c r="AB643" s="294"/>
      <c r="AC643" s="294"/>
    </row>
    <row r="644" ht="15.75" customHeight="1">
      <c r="A644" s="294"/>
      <c r="B644" s="294"/>
      <c r="C644" s="294"/>
      <c r="D644" s="294"/>
      <c r="E644" s="294"/>
      <c r="F644" s="294"/>
      <c r="G644" s="295"/>
      <c r="H644" s="294"/>
      <c r="I644" s="294"/>
      <c r="J644" s="294"/>
      <c r="K644" s="294"/>
      <c r="L644" s="294"/>
      <c r="M644" s="294"/>
      <c r="N644" s="294"/>
      <c r="O644" s="294"/>
      <c r="P644" s="294"/>
      <c r="Q644" s="294"/>
      <c r="R644" s="294"/>
      <c r="S644" s="294"/>
      <c r="T644" s="294"/>
      <c r="U644" s="294"/>
      <c r="V644" s="294"/>
      <c r="W644" s="294"/>
      <c r="X644" s="294"/>
      <c r="Y644" s="294"/>
      <c r="Z644" s="294"/>
      <c r="AA644" s="294"/>
      <c r="AB644" s="294"/>
      <c r="AC644" s="294"/>
    </row>
    <row r="645" ht="15.75" customHeight="1">
      <c r="A645" s="294"/>
      <c r="B645" s="294"/>
      <c r="C645" s="294"/>
      <c r="D645" s="294"/>
      <c r="E645" s="294"/>
      <c r="F645" s="294"/>
      <c r="G645" s="295"/>
      <c r="H645" s="294"/>
      <c r="I645" s="294"/>
      <c r="J645" s="294"/>
      <c r="K645" s="294"/>
      <c r="L645" s="294"/>
      <c r="M645" s="294"/>
      <c r="N645" s="294"/>
      <c r="O645" s="294"/>
      <c r="P645" s="294"/>
      <c r="Q645" s="294"/>
      <c r="R645" s="294"/>
      <c r="S645" s="294"/>
      <c r="T645" s="294"/>
      <c r="U645" s="294"/>
      <c r="V645" s="294"/>
      <c r="W645" s="294"/>
      <c r="X645" s="294"/>
      <c r="Y645" s="294"/>
      <c r="Z645" s="294"/>
      <c r="AA645" s="294"/>
      <c r="AB645" s="294"/>
      <c r="AC645" s="294"/>
    </row>
    <row r="646" ht="15.75" customHeight="1">
      <c r="A646" s="294"/>
      <c r="B646" s="294"/>
      <c r="C646" s="294"/>
      <c r="D646" s="294"/>
      <c r="E646" s="294"/>
      <c r="F646" s="294"/>
      <c r="G646" s="295"/>
      <c r="H646" s="294"/>
      <c r="I646" s="294"/>
      <c r="J646" s="294"/>
      <c r="K646" s="294"/>
      <c r="L646" s="294"/>
      <c r="M646" s="294"/>
      <c r="N646" s="294"/>
      <c r="O646" s="294"/>
      <c r="P646" s="294"/>
      <c r="Q646" s="294"/>
      <c r="R646" s="294"/>
      <c r="S646" s="294"/>
      <c r="T646" s="294"/>
      <c r="U646" s="294"/>
      <c r="V646" s="294"/>
      <c r="W646" s="294"/>
      <c r="X646" s="294"/>
      <c r="Y646" s="294"/>
      <c r="Z646" s="294"/>
      <c r="AA646" s="294"/>
      <c r="AB646" s="294"/>
      <c r="AC646" s="294"/>
    </row>
    <row r="647" ht="15.75" customHeight="1">
      <c r="A647" s="294"/>
      <c r="B647" s="294"/>
      <c r="C647" s="294"/>
      <c r="D647" s="294"/>
      <c r="E647" s="294"/>
      <c r="F647" s="294"/>
      <c r="G647" s="295"/>
      <c r="H647" s="294"/>
      <c r="I647" s="294"/>
      <c r="J647" s="294"/>
      <c r="K647" s="294"/>
      <c r="L647" s="294"/>
      <c r="M647" s="294"/>
      <c r="N647" s="294"/>
      <c r="O647" s="294"/>
      <c r="P647" s="294"/>
      <c r="Q647" s="294"/>
      <c r="R647" s="294"/>
      <c r="S647" s="294"/>
      <c r="T647" s="294"/>
      <c r="U647" s="294"/>
      <c r="V647" s="294"/>
      <c r="W647" s="294"/>
      <c r="X647" s="294"/>
      <c r="Y647" s="294"/>
      <c r="Z647" s="294"/>
      <c r="AA647" s="294"/>
      <c r="AB647" s="294"/>
      <c r="AC647" s="294"/>
    </row>
    <row r="648" ht="15.75" customHeight="1">
      <c r="A648" s="294"/>
      <c r="B648" s="294"/>
      <c r="C648" s="294"/>
      <c r="D648" s="294"/>
      <c r="E648" s="294"/>
      <c r="F648" s="294"/>
      <c r="G648" s="295"/>
      <c r="H648" s="294"/>
      <c r="I648" s="294"/>
      <c r="J648" s="294"/>
      <c r="K648" s="294"/>
      <c r="L648" s="294"/>
      <c r="M648" s="294"/>
      <c r="N648" s="294"/>
      <c r="O648" s="294"/>
      <c r="P648" s="294"/>
      <c r="Q648" s="294"/>
      <c r="R648" s="294"/>
      <c r="S648" s="294"/>
      <c r="T648" s="294"/>
      <c r="U648" s="294"/>
      <c r="V648" s="294"/>
      <c r="W648" s="294"/>
      <c r="X648" s="294"/>
      <c r="Y648" s="294"/>
      <c r="Z648" s="294"/>
      <c r="AA648" s="294"/>
      <c r="AB648" s="294"/>
      <c r="AC648" s="294"/>
    </row>
    <row r="649" ht="15.75" customHeight="1">
      <c r="A649" s="294"/>
      <c r="B649" s="294"/>
      <c r="C649" s="294"/>
      <c r="D649" s="294"/>
      <c r="E649" s="294"/>
      <c r="F649" s="294"/>
      <c r="G649" s="295"/>
      <c r="H649" s="294"/>
      <c r="I649" s="294"/>
      <c r="J649" s="294"/>
      <c r="K649" s="294"/>
      <c r="L649" s="294"/>
      <c r="M649" s="294"/>
      <c r="N649" s="294"/>
      <c r="O649" s="294"/>
      <c r="P649" s="294"/>
      <c r="Q649" s="294"/>
      <c r="R649" s="294"/>
      <c r="S649" s="294"/>
      <c r="T649" s="294"/>
      <c r="U649" s="294"/>
      <c r="V649" s="294"/>
      <c r="W649" s="294"/>
      <c r="X649" s="294"/>
      <c r="Y649" s="294"/>
      <c r="Z649" s="294"/>
      <c r="AA649" s="294"/>
      <c r="AB649" s="294"/>
      <c r="AC649" s="294"/>
    </row>
    <row r="650" ht="15.75" customHeight="1">
      <c r="A650" s="294"/>
      <c r="B650" s="294"/>
      <c r="C650" s="294"/>
      <c r="D650" s="294"/>
      <c r="E650" s="294"/>
      <c r="F650" s="294"/>
      <c r="G650" s="295"/>
      <c r="H650" s="294"/>
      <c r="I650" s="294"/>
      <c r="J650" s="294"/>
      <c r="K650" s="294"/>
      <c r="L650" s="294"/>
      <c r="M650" s="294"/>
      <c r="N650" s="294"/>
      <c r="O650" s="294"/>
      <c r="P650" s="294"/>
      <c r="Q650" s="294"/>
      <c r="R650" s="294"/>
      <c r="S650" s="294"/>
      <c r="T650" s="294"/>
      <c r="U650" s="294"/>
      <c r="V650" s="294"/>
      <c r="W650" s="294"/>
      <c r="X650" s="294"/>
      <c r="Y650" s="294"/>
      <c r="Z650" s="294"/>
      <c r="AA650" s="294"/>
      <c r="AB650" s="294"/>
      <c r="AC650" s="294"/>
    </row>
    <row r="651" ht="15.75" customHeight="1">
      <c r="A651" s="294"/>
      <c r="B651" s="294"/>
      <c r="C651" s="294"/>
      <c r="D651" s="294"/>
      <c r="E651" s="294"/>
      <c r="F651" s="294"/>
      <c r="G651" s="295"/>
      <c r="H651" s="294"/>
      <c r="I651" s="294"/>
      <c r="J651" s="294"/>
      <c r="K651" s="294"/>
      <c r="L651" s="294"/>
      <c r="M651" s="294"/>
      <c r="N651" s="294"/>
      <c r="O651" s="294"/>
      <c r="P651" s="294"/>
      <c r="Q651" s="294"/>
      <c r="R651" s="294"/>
      <c r="S651" s="294"/>
      <c r="T651" s="294"/>
      <c r="U651" s="294"/>
      <c r="V651" s="294"/>
      <c r="W651" s="294"/>
      <c r="X651" s="294"/>
      <c r="Y651" s="294"/>
      <c r="Z651" s="294"/>
      <c r="AA651" s="294"/>
      <c r="AB651" s="294"/>
      <c r="AC651" s="294"/>
    </row>
    <row r="652" ht="15.75" customHeight="1">
      <c r="A652" s="294"/>
      <c r="B652" s="294"/>
      <c r="C652" s="294"/>
      <c r="D652" s="294"/>
      <c r="E652" s="294"/>
      <c r="F652" s="294"/>
      <c r="G652" s="295"/>
      <c r="H652" s="294"/>
      <c r="I652" s="294"/>
      <c r="J652" s="294"/>
      <c r="K652" s="294"/>
      <c r="L652" s="294"/>
      <c r="M652" s="294"/>
      <c r="N652" s="294"/>
      <c r="O652" s="294"/>
      <c r="P652" s="294"/>
      <c r="Q652" s="294"/>
      <c r="R652" s="294"/>
      <c r="S652" s="294"/>
      <c r="T652" s="294"/>
      <c r="U652" s="294"/>
      <c r="V652" s="294"/>
      <c r="W652" s="294"/>
      <c r="X652" s="294"/>
      <c r="Y652" s="294"/>
      <c r="Z652" s="294"/>
      <c r="AA652" s="294"/>
      <c r="AB652" s="294"/>
      <c r="AC652" s="294"/>
    </row>
    <row r="653" ht="15.75" customHeight="1">
      <c r="A653" s="294"/>
      <c r="B653" s="294"/>
      <c r="C653" s="294"/>
      <c r="D653" s="294"/>
      <c r="E653" s="294"/>
      <c r="F653" s="294"/>
      <c r="G653" s="295"/>
      <c r="H653" s="294"/>
      <c r="I653" s="294"/>
      <c r="J653" s="294"/>
      <c r="K653" s="294"/>
      <c r="L653" s="294"/>
      <c r="M653" s="294"/>
      <c r="N653" s="294"/>
      <c r="O653" s="294"/>
      <c r="P653" s="294"/>
      <c r="Q653" s="294"/>
      <c r="R653" s="294"/>
      <c r="S653" s="294"/>
      <c r="T653" s="294"/>
      <c r="U653" s="294"/>
      <c r="V653" s="294"/>
      <c r="W653" s="294"/>
      <c r="X653" s="294"/>
      <c r="Y653" s="294"/>
      <c r="Z653" s="294"/>
      <c r="AA653" s="294"/>
      <c r="AB653" s="294"/>
      <c r="AC653" s="294"/>
    </row>
    <row r="654" ht="15.75" customHeight="1">
      <c r="A654" s="294"/>
      <c r="B654" s="294"/>
      <c r="C654" s="294"/>
      <c r="D654" s="294"/>
      <c r="E654" s="294"/>
      <c r="F654" s="294"/>
      <c r="G654" s="295"/>
      <c r="H654" s="294"/>
      <c r="I654" s="294"/>
      <c r="J654" s="294"/>
      <c r="K654" s="294"/>
      <c r="L654" s="294"/>
      <c r="M654" s="294"/>
      <c r="N654" s="294"/>
      <c r="O654" s="294"/>
      <c r="P654" s="294"/>
      <c r="Q654" s="294"/>
      <c r="R654" s="294"/>
      <c r="S654" s="294"/>
      <c r="T654" s="294"/>
      <c r="U654" s="294"/>
      <c r="V654" s="294"/>
      <c r="W654" s="294"/>
      <c r="X654" s="294"/>
      <c r="Y654" s="294"/>
      <c r="Z654" s="294"/>
      <c r="AA654" s="294"/>
      <c r="AB654" s="294"/>
      <c r="AC654" s="294"/>
    </row>
    <row r="655" ht="15.75" customHeight="1">
      <c r="A655" s="294"/>
      <c r="B655" s="294"/>
      <c r="C655" s="294"/>
      <c r="D655" s="294"/>
      <c r="E655" s="294"/>
      <c r="F655" s="294"/>
      <c r="G655" s="295"/>
      <c r="H655" s="294"/>
      <c r="I655" s="294"/>
      <c r="J655" s="294"/>
      <c r="K655" s="294"/>
      <c r="L655" s="294"/>
      <c r="M655" s="294"/>
      <c r="N655" s="294"/>
      <c r="O655" s="294"/>
      <c r="P655" s="294"/>
      <c r="Q655" s="294"/>
      <c r="R655" s="294"/>
      <c r="S655" s="294"/>
      <c r="T655" s="294"/>
      <c r="U655" s="294"/>
      <c r="V655" s="294"/>
      <c r="W655" s="294"/>
      <c r="X655" s="294"/>
      <c r="Y655" s="294"/>
      <c r="Z655" s="294"/>
      <c r="AA655" s="294"/>
      <c r="AB655" s="294"/>
      <c r="AC655" s="294"/>
    </row>
    <row r="656" ht="15.75" customHeight="1">
      <c r="A656" s="294"/>
      <c r="B656" s="294"/>
      <c r="C656" s="294"/>
      <c r="D656" s="294"/>
      <c r="E656" s="294"/>
      <c r="F656" s="294"/>
      <c r="G656" s="295"/>
      <c r="H656" s="294"/>
      <c r="I656" s="294"/>
      <c r="J656" s="294"/>
      <c r="K656" s="294"/>
      <c r="L656" s="294"/>
      <c r="M656" s="294"/>
      <c r="N656" s="294"/>
      <c r="O656" s="294"/>
      <c r="P656" s="294"/>
      <c r="Q656" s="294"/>
      <c r="R656" s="294"/>
      <c r="S656" s="294"/>
      <c r="T656" s="294"/>
      <c r="U656" s="294"/>
      <c r="V656" s="294"/>
      <c r="W656" s="294"/>
      <c r="X656" s="294"/>
      <c r="Y656" s="294"/>
      <c r="Z656" s="294"/>
      <c r="AA656" s="294"/>
      <c r="AB656" s="294"/>
      <c r="AC656" s="294"/>
    </row>
    <row r="657" ht="15.75" customHeight="1">
      <c r="A657" s="294"/>
      <c r="B657" s="294"/>
      <c r="C657" s="294"/>
      <c r="D657" s="294"/>
      <c r="E657" s="294"/>
      <c r="F657" s="294"/>
      <c r="G657" s="295"/>
      <c r="H657" s="294"/>
      <c r="I657" s="294"/>
      <c r="J657" s="294"/>
      <c r="K657" s="294"/>
      <c r="L657" s="294"/>
      <c r="M657" s="294"/>
      <c r="N657" s="294"/>
      <c r="O657" s="294"/>
      <c r="P657" s="294"/>
      <c r="Q657" s="294"/>
      <c r="R657" s="294"/>
      <c r="S657" s="294"/>
      <c r="T657" s="294"/>
      <c r="U657" s="294"/>
      <c r="V657" s="294"/>
      <c r="W657" s="294"/>
      <c r="X657" s="294"/>
      <c r="Y657" s="294"/>
      <c r="Z657" s="294"/>
      <c r="AA657" s="294"/>
      <c r="AB657" s="294"/>
      <c r="AC657" s="294"/>
    </row>
    <row r="658" ht="15.75" customHeight="1">
      <c r="A658" s="294"/>
      <c r="B658" s="294"/>
      <c r="C658" s="294"/>
      <c r="D658" s="294"/>
      <c r="E658" s="294"/>
      <c r="F658" s="294"/>
      <c r="G658" s="295"/>
      <c r="H658" s="294"/>
      <c r="I658" s="294"/>
      <c r="J658" s="294"/>
      <c r="K658" s="294"/>
      <c r="L658" s="294"/>
      <c r="M658" s="294"/>
      <c r="N658" s="294"/>
      <c r="O658" s="294"/>
      <c r="P658" s="294"/>
      <c r="Q658" s="294"/>
      <c r="R658" s="294"/>
      <c r="S658" s="294"/>
      <c r="T658" s="294"/>
      <c r="U658" s="294"/>
      <c r="V658" s="294"/>
      <c r="W658" s="294"/>
      <c r="X658" s="294"/>
      <c r="Y658" s="294"/>
      <c r="Z658" s="294"/>
      <c r="AA658" s="294"/>
      <c r="AB658" s="294"/>
      <c r="AC658" s="294"/>
    </row>
    <row r="659" ht="15.75" customHeight="1">
      <c r="A659" s="294"/>
      <c r="B659" s="294"/>
      <c r="C659" s="294"/>
      <c r="D659" s="294"/>
      <c r="E659" s="294"/>
      <c r="F659" s="294"/>
      <c r="G659" s="295"/>
      <c r="H659" s="294"/>
      <c r="I659" s="294"/>
      <c r="J659" s="294"/>
      <c r="K659" s="294"/>
      <c r="L659" s="294"/>
      <c r="M659" s="294"/>
      <c r="N659" s="294"/>
      <c r="O659" s="294"/>
      <c r="P659" s="294"/>
      <c r="Q659" s="294"/>
      <c r="R659" s="294"/>
      <c r="S659" s="294"/>
      <c r="T659" s="294"/>
      <c r="U659" s="294"/>
      <c r="V659" s="294"/>
      <c r="W659" s="294"/>
      <c r="X659" s="294"/>
      <c r="Y659" s="294"/>
      <c r="Z659" s="294"/>
      <c r="AA659" s="294"/>
      <c r="AB659" s="294"/>
      <c r="AC659" s="294"/>
    </row>
    <row r="660" ht="15.75" customHeight="1">
      <c r="A660" s="294"/>
      <c r="B660" s="294"/>
      <c r="C660" s="294"/>
      <c r="D660" s="294"/>
      <c r="E660" s="294"/>
      <c r="F660" s="294"/>
      <c r="G660" s="295"/>
      <c r="H660" s="294"/>
      <c r="I660" s="294"/>
      <c r="J660" s="294"/>
      <c r="K660" s="294"/>
      <c r="L660" s="294"/>
      <c r="M660" s="294"/>
      <c r="N660" s="294"/>
      <c r="O660" s="294"/>
      <c r="P660" s="294"/>
      <c r="Q660" s="294"/>
      <c r="R660" s="294"/>
      <c r="S660" s="294"/>
      <c r="T660" s="294"/>
      <c r="U660" s="294"/>
      <c r="V660" s="294"/>
      <c r="W660" s="294"/>
      <c r="X660" s="294"/>
      <c r="Y660" s="294"/>
      <c r="Z660" s="294"/>
      <c r="AA660" s="294"/>
      <c r="AB660" s="294"/>
      <c r="AC660" s="294"/>
    </row>
    <row r="661" ht="15.75" customHeight="1">
      <c r="A661" s="294"/>
      <c r="B661" s="294"/>
      <c r="C661" s="294"/>
      <c r="D661" s="294"/>
      <c r="E661" s="294"/>
      <c r="F661" s="294"/>
      <c r="G661" s="295"/>
      <c r="H661" s="294"/>
      <c r="I661" s="294"/>
      <c r="J661" s="294"/>
      <c r="K661" s="294"/>
      <c r="L661" s="294"/>
      <c r="M661" s="294"/>
      <c r="N661" s="294"/>
      <c r="O661" s="294"/>
      <c r="P661" s="294"/>
      <c r="Q661" s="294"/>
      <c r="R661" s="294"/>
      <c r="S661" s="294"/>
      <c r="T661" s="294"/>
      <c r="U661" s="294"/>
      <c r="V661" s="294"/>
      <c r="W661" s="294"/>
      <c r="X661" s="294"/>
      <c r="Y661" s="294"/>
      <c r="Z661" s="294"/>
      <c r="AA661" s="294"/>
      <c r="AB661" s="294"/>
      <c r="AC661" s="294"/>
    </row>
    <row r="662" ht="15.75" customHeight="1">
      <c r="A662" s="294"/>
      <c r="B662" s="294"/>
      <c r="C662" s="294"/>
      <c r="D662" s="294"/>
      <c r="E662" s="294"/>
      <c r="F662" s="294"/>
      <c r="G662" s="295"/>
      <c r="H662" s="294"/>
      <c r="I662" s="294"/>
      <c r="J662" s="294"/>
      <c r="K662" s="294"/>
      <c r="L662" s="294"/>
      <c r="M662" s="294"/>
      <c r="N662" s="294"/>
      <c r="O662" s="294"/>
      <c r="P662" s="294"/>
      <c r="Q662" s="294"/>
      <c r="R662" s="294"/>
      <c r="S662" s="294"/>
      <c r="T662" s="294"/>
      <c r="U662" s="294"/>
      <c r="V662" s="294"/>
      <c r="W662" s="294"/>
      <c r="X662" s="294"/>
      <c r="Y662" s="294"/>
      <c r="Z662" s="294"/>
      <c r="AA662" s="294"/>
      <c r="AB662" s="294"/>
      <c r="AC662" s="294"/>
    </row>
    <row r="663" ht="15.75" customHeight="1">
      <c r="A663" s="294"/>
      <c r="B663" s="294"/>
      <c r="C663" s="294"/>
      <c r="D663" s="294"/>
      <c r="E663" s="294"/>
      <c r="F663" s="294"/>
      <c r="G663" s="295"/>
      <c r="H663" s="294"/>
      <c r="I663" s="294"/>
      <c r="J663" s="294"/>
      <c r="K663" s="294"/>
      <c r="L663" s="294"/>
      <c r="M663" s="294"/>
      <c r="N663" s="294"/>
      <c r="O663" s="294"/>
      <c r="P663" s="294"/>
      <c r="Q663" s="294"/>
      <c r="R663" s="294"/>
      <c r="S663" s="294"/>
      <c r="T663" s="294"/>
      <c r="U663" s="294"/>
      <c r="V663" s="294"/>
      <c r="W663" s="294"/>
      <c r="X663" s="294"/>
      <c r="Y663" s="294"/>
      <c r="Z663" s="294"/>
      <c r="AA663" s="294"/>
      <c r="AB663" s="294"/>
      <c r="AC663" s="294"/>
    </row>
    <row r="664" ht="15.75" customHeight="1">
      <c r="A664" s="294"/>
      <c r="B664" s="294"/>
      <c r="C664" s="294"/>
      <c r="D664" s="294"/>
      <c r="E664" s="294"/>
      <c r="F664" s="294"/>
      <c r="G664" s="295"/>
      <c r="H664" s="294"/>
      <c r="I664" s="294"/>
      <c r="J664" s="294"/>
      <c r="K664" s="294"/>
      <c r="L664" s="294"/>
      <c r="M664" s="294"/>
      <c r="N664" s="294"/>
      <c r="O664" s="294"/>
      <c r="P664" s="294"/>
      <c r="Q664" s="294"/>
      <c r="R664" s="294"/>
      <c r="S664" s="294"/>
      <c r="T664" s="294"/>
      <c r="U664" s="294"/>
      <c r="V664" s="294"/>
      <c r="W664" s="294"/>
      <c r="X664" s="294"/>
      <c r="Y664" s="294"/>
      <c r="Z664" s="294"/>
      <c r="AA664" s="294"/>
      <c r="AB664" s="294"/>
      <c r="AC664" s="294"/>
    </row>
    <row r="665" ht="15.75" customHeight="1">
      <c r="A665" s="294"/>
      <c r="B665" s="294"/>
      <c r="C665" s="294"/>
      <c r="D665" s="294"/>
      <c r="E665" s="294"/>
      <c r="F665" s="294"/>
      <c r="G665" s="295"/>
      <c r="H665" s="294"/>
      <c r="I665" s="294"/>
      <c r="J665" s="294"/>
      <c r="K665" s="294"/>
      <c r="L665" s="294"/>
      <c r="M665" s="294"/>
      <c r="N665" s="294"/>
      <c r="O665" s="294"/>
      <c r="P665" s="294"/>
      <c r="Q665" s="294"/>
      <c r="R665" s="294"/>
      <c r="S665" s="294"/>
      <c r="T665" s="294"/>
      <c r="U665" s="294"/>
      <c r="V665" s="294"/>
      <c r="W665" s="294"/>
      <c r="X665" s="294"/>
      <c r="Y665" s="294"/>
      <c r="Z665" s="294"/>
      <c r="AA665" s="294"/>
      <c r="AB665" s="294"/>
      <c r="AC665" s="294"/>
    </row>
    <row r="666" ht="15.75" customHeight="1">
      <c r="A666" s="294"/>
      <c r="B666" s="294"/>
      <c r="C666" s="294"/>
      <c r="D666" s="294"/>
      <c r="E666" s="294"/>
      <c r="F666" s="294"/>
      <c r="G666" s="295"/>
      <c r="H666" s="294"/>
      <c r="I666" s="294"/>
      <c r="J666" s="294"/>
      <c r="K666" s="294"/>
      <c r="L666" s="294"/>
      <c r="M666" s="294"/>
      <c r="N666" s="294"/>
      <c r="O666" s="294"/>
      <c r="P666" s="294"/>
      <c r="Q666" s="294"/>
      <c r="R666" s="294"/>
      <c r="S666" s="294"/>
      <c r="T666" s="294"/>
      <c r="U666" s="294"/>
      <c r="V666" s="294"/>
      <c r="W666" s="294"/>
      <c r="X666" s="294"/>
      <c r="Y666" s="294"/>
      <c r="Z666" s="294"/>
      <c r="AA666" s="294"/>
      <c r="AB666" s="294"/>
      <c r="AC666" s="294"/>
    </row>
    <row r="667" ht="15.75" customHeight="1">
      <c r="A667" s="294"/>
      <c r="B667" s="294"/>
      <c r="C667" s="294"/>
      <c r="D667" s="294"/>
      <c r="E667" s="294"/>
      <c r="F667" s="294"/>
      <c r="G667" s="295"/>
      <c r="H667" s="294"/>
      <c r="I667" s="294"/>
      <c r="J667" s="294"/>
      <c r="K667" s="294"/>
      <c r="L667" s="294"/>
      <c r="M667" s="294"/>
      <c r="N667" s="294"/>
      <c r="O667" s="294"/>
      <c r="P667" s="294"/>
      <c r="Q667" s="294"/>
      <c r="R667" s="294"/>
      <c r="S667" s="294"/>
      <c r="T667" s="294"/>
      <c r="U667" s="294"/>
      <c r="V667" s="294"/>
      <c r="W667" s="294"/>
      <c r="X667" s="294"/>
      <c r="Y667" s="294"/>
      <c r="Z667" s="294"/>
      <c r="AA667" s="294"/>
      <c r="AB667" s="294"/>
      <c r="AC667" s="294"/>
    </row>
    <row r="668" ht="15.75" customHeight="1">
      <c r="A668" s="294"/>
      <c r="B668" s="294"/>
      <c r="C668" s="294"/>
      <c r="D668" s="294"/>
      <c r="E668" s="294"/>
      <c r="F668" s="294"/>
      <c r="G668" s="295"/>
      <c r="H668" s="294"/>
      <c r="I668" s="294"/>
      <c r="J668" s="294"/>
      <c r="K668" s="294"/>
      <c r="L668" s="294"/>
      <c r="M668" s="294"/>
      <c r="N668" s="294"/>
      <c r="O668" s="294"/>
      <c r="P668" s="294"/>
      <c r="Q668" s="294"/>
      <c r="R668" s="294"/>
      <c r="S668" s="294"/>
      <c r="T668" s="294"/>
      <c r="U668" s="294"/>
      <c r="V668" s="294"/>
      <c r="W668" s="294"/>
      <c r="X668" s="294"/>
      <c r="Y668" s="294"/>
      <c r="Z668" s="294"/>
      <c r="AA668" s="294"/>
      <c r="AB668" s="294"/>
      <c r="AC668" s="294"/>
    </row>
    <row r="669" ht="15.75" customHeight="1">
      <c r="A669" s="294"/>
      <c r="B669" s="294"/>
      <c r="C669" s="294"/>
      <c r="D669" s="294"/>
      <c r="E669" s="294"/>
      <c r="F669" s="294"/>
      <c r="G669" s="295"/>
      <c r="H669" s="294"/>
      <c r="I669" s="294"/>
      <c r="J669" s="294"/>
      <c r="K669" s="294"/>
      <c r="L669" s="294"/>
      <c r="M669" s="294"/>
      <c r="N669" s="294"/>
      <c r="O669" s="294"/>
      <c r="P669" s="294"/>
      <c r="Q669" s="294"/>
      <c r="R669" s="294"/>
      <c r="S669" s="294"/>
      <c r="T669" s="294"/>
      <c r="U669" s="294"/>
      <c r="V669" s="294"/>
      <c r="W669" s="294"/>
      <c r="X669" s="294"/>
      <c r="Y669" s="294"/>
      <c r="Z669" s="294"/>
      <c r="AA669" s="294"/>
      <c r="AB669" s="294"/>
      <c r="AC669" s="294"/>
    </row>
    <row r="670" ht="15.75" customHeight="1">
      <c r="A670" s="294"/>
      <c r="B670" s="294"/>
      <c r="C670" s="294"/>
      <c r="D670" s="294"/>
      <c r="E670" s="294"/>
      <c r="F670" s="294"/>
      <c r="G670" s="295"/>
      <c r="H670" s="294"/>
      <c r="I670" s="294"/>
      <c r="J670" s="294"/>
      <c r="K670" s="294"/>
      <c r="L670" s="294"/>
      <c r="M670" s="294"/>
      <c r="N670" s="294"/>
      <c r="O670" s="294"/>
      <c r="P670" s="294"/>
      <c r="Q670" s="294"/>
      <c r="R670" s="294"/>
      <c r="S670" s="294"/>
      <c r="T670" s="294"/>
      <c r="U670" s="294"/>
      <c r="V670" s="294"/>
      <c r="W670" s="294"/>
      <c r="X670" s="294"/>
      <c r="Y670" s="294"/>
      <c r="Z670" s="294"/>
      <c r="AA670" s="294"/>
      <c r="AB670" s="294"/>
      <c r="AC670" s="294"/>
    </row>
    <row r="671" ht="15.75" customHeight="1">
      <c r="A671" s="294"/>
      <c r="B671" s="294"/>
      <c r="C671" s="294"/>
      <c r="D671" s="294"/>
      <c r="E671" s="294"/>
      <c r="F671" s="294"/>
      <c r="G671" s="295"/>
      <c r="H671" s="294"/>
      <c r="I671" s="294"/>
      <c r="J671" s="294"/>
      <c r="K671" s="294"/>
      <c r="L671" s="294"/>
      <c r="M671" s="294"/>
      <c r="N671" s="294"/>
      <c r="O671" s="294"/>
      <c r="P671" s="294"/>
      <c r="Q671" s="294"/>
      <c r="R671" s="294"/>
      <c r="S671" s="294"/>
      <c r="T671" s="294"/>
      <c r="U671" s="294"/>
      <c r="V671" s="294"/>
      <c r="W671" s="294"/>
      <c r="X671" s="294"/>
      <c r="Y671" s="294"/>
      <c r="Z671" s="294"/>
      <c r="AA671" s="294"/>
      <c r="AB671" s="294"/>
      <c r="AC671" s="294"/>
    </row>
    <row r="672" ht="15.75" customHeight="1">
      <c r="A672" s="294"/>
      <c r="B672" s="294"/>
      <c r="C672" s="294"/>
      <c r="D672" s="294"/>
      <c r="E672" s="294"/>
      <c r="F672" s="294"/>
      <c r="G672" s="295"/>
      <c r="H672" s="294"/>
      <c r="I672" s="294"/>
      <c r="J672" s="294"/>
      <c r="K672" s="294"/>
      <c r="L672" s="294"/>
      <c r="M672" s="294"/>
      <c r="N672" s="294"/>
      <c r="O672" s="294"/>
      <c r="P672" s="294"/>
      <c r="Q672" s="294"/>
      <c r="R672" s="294"/>
      <c r="S672" s="294"/>
      <c r="T672" s="294"/>
      <c r="U672" s="294"/>
      <c r="V672" s="294"/>
      <c r="W672" s="294"/>
      <c r="X672" s="294"/>
      <c r="Y672" s="294"/>
      <c r="Z672" s="294"/>
      <c r="AA672" s="294"/>
      <c r="AB672" s="294"/>
      <c r="AC672" s="294"/>
    </row>
    <row r="673" ht="15.75" customHeight="1">
      <c r="A673" s="294"/>
      <c r="B673" s="294"/>
      <c r="C673" s="294"/>
      <c r="D673" s="294"/>
      <c r="E673" s="294"/>
      <c r="F673" s="294"/>
      <c r="G673" s="295"/>
      <c r="H673" s="294"/>
      <c r="I673" s="294"/>
      <c r="J673" s="294"/>
      <c r="K673" s="294"/>
      <c r="L673" s="294"/>
      <c r="M673" s="294"/>
      <c r="N673" s="294"/>
      <c r="O673" s="294"/>
      <c r="P673" s="294"/>
      <c r="Q673" s="294"/>
      <c r="R673" s="294"/>
      <c r="S673" s="294"/>
      <c r="T673" s="294"/>
      <c r="U673" s="294"/>
      <c r="V673" s="294"/>
      <c r="W673" s="294"/>
      <c r="X673" s="294"/>
      <c r="Y673" s="294"/>
      <c r="Z673" s="294"/>
      <c r="AA673" s="294"/>
      <c r="AB673" s="294"/>
      <c r="AC673" s="294"/>
    </row>
    <row r="674" ht="15.75" customHeight="1">
      <c r="A674" s="294"/>
      <c r="B674" s="294"/>
      <c r="C674" s="294"/>
      <c r="D674" s="294"/>
      <c r="E674" s="294"/>
      <c r="F674" s="294"/>
      <c r="G674" s="295"/>
      <c r="H674" s="294"/>
      <c r="I674" s="294"/>
      <c r="J674" s="294"/>
      <c r="K674" s="294"/>
      <c r="L674" s="294"/>
      <c r="M674" s="294"/>
      <c r="N674" s="294"/>
      <c r="O674" s="294"/>
      <c r="P674" s="294"/>
      <c r="Q674" s="294"/>
      <c r="R674" s="294"/>
      <c r="S674" s="294"/>
      <c r="T674" s="294"/>
      <c r="U674" s="294"/>
      <c r="V674" s="294"/>
      <c r="W674" s="294"/>
      <c r="X674" s="294"/>
      <c r="Y674" s="294"/>
      <c r="Z674" s="294"/>
      <c r="AA674" s="294"/>
      <c r="AB674" s="294"/>
      <c r="AC674" s="294"/>
    </row>
    <row r="675" ht="15.75" customHeight="1">
      <c r="A675" s="294"/>
      <c r="B675" s="294"/>
      <c r="C675" s="294"/>
      <c r="D675" s="294"/>
      <c r="E675" s="294"/>
      <c r="F675" s="294"/>
      <c r="G675" s="295"/>
      <c r="H675" s="294"/>
      <c r="I675" s="294"/>
      <c r="J675" s="294"/>
      <c r="K675" s="294"/>
      <c r="L675" s="294"/>
      <c r="M675" s="294"/>
      <c r="N675" s="294"/>
      <c r="O675" s="294"/>
      <c r="P675" s="294"/>
      <c r="Q675" s="294"/>
      <c r="R675" s="294"/>
      <c r="S675" s="294"/>
      <c r="T675" s="294"/>
      <c r="U675" s="294"/>
      <c r="V675" s="294"/>
      <c r="W675" s="294"/>
      <c r="X675" s="294"/>
      <c r="Y675" s="294"/>
      <c r="Z675" s="294"/>
      <c r="AA675" s="294"/>
      <c r="AB675" s="294"/>
      <c r="AC675" s="294"/>
    </row>
    <row r="676" ht="15.75" customHeight="1">
      <c r="A676" s="294"/>
      <c r="B676" s="294"/>
      <c r="C676" s="294"/>
      <c r="D676" s="294"/>
      <c r="E676" s="294"/>
      <c r="F676" s="294"/>
      <c r="G676" s="295"/>
      <c r="H676" s="294"/>
      <c r="I676" s="294"/>
      <c r="J676" s="294"/>
      <c r="K676" s="294"/>
      <c r="L676" s="294"/>
      <c r="M676" s="294"/>
      <c r="N676" s="294"/>
      <c r="O676" s="294"/>
      <c r="P676" s="294"/>
      <c r="Q676" s="294"/>
      <c r="R676" s="294"/>
      <c r="S676" s="294"/>
      <c r="T676" s="294"/>
      <c r="U676" s="294"/>
      <c r="V676" s="294"/>
      <c r="W676" s="294"/>
      <c r="X676" s="294"/>
      <c r="Y676" s="294"/>
      <c r="Z676" s="294"/>
      <c r="AA676" s="294"/>
      <c r="AB676" s="294"/>
      <c r="AC676" s="294"/>
    </row>
    <row r="677" ht="15.75" customHeight="1">
      <c r="A677" s="294"/>
      <c r="B677" s="294"/>
      <c r="C677" s="294"/>
      <c r="D677" s="294"/>
      <c r="E677" s="294"/>
      <c r="F677" s="294"/>
      <c r="G677" s="295"/>
      <c r="H677" s="294"/>
      <c r="I677" s="294"/>
      <c r="J677" s="294"/>
      <c r="K677" s="294"/>
      <c r="L677" s="294"/>
      <c r="M677" s="294"/>
      <c r="N677" s="294"/>
      <c r="O677" s="294"/>
      <c r="P677" s="294"/>
      <c r="Q677" s="294"/>
      <c r="R677" s="294"/>
      <c r="S677" s="294"/>
      <c r="T677" s="294"/>
      <c r="U677" s="294"/>
      <c r="V677" s="294"/>
      <c r="W677" s="294"/>
      <c r="X677" s="294"/>
      <c r="Y677" s="294"/>
      <c r="Z677" s="294"/>
      <c r="AA677" s="294"/>
      <c r="AB677" s="294"/>
      <c r="AC677" s="294"/>
    </row>
    <row r="678" ht="15.75" customHeight="1">
      <c r="A678" s="294"/>
      <c r="B678" s="294"/>
      <c r="C678" s="294"/>
      <c r="D678" s="294"/>
      <c r="E678" s="294"/>
      <c r="F678" s="294"/>
      <c r="G678" s="295"/>
      <c r="H678" s="294"/>
      <c r="I678" s="294"/>
      <c r="J678" s="294"/>
      <c r="K678" s="294"/>
      <c r="L678" s="294"/>
      <c r="M678" s="294"/>
      <c r="N678" s="294"/>
      <c r="O678" s="294"/>
      <c r="P678" s="294"/>
      <c r="Q678" s="294"/>
      <c r="R678" s="294"/>
      <c r="S678" s="294"/>
      <c r="T678" s="294"/>
      <c r="U678" s="294"/>
      <c r="V678" s="294"/>
      <c r="W678" s="294"/>
      <c r="X678" s="294"/>
      <c r="Y678" s="294"/>
      <c r="Z678" s="294"/>
      <c r="AA678" s="294"/>
      <c r="AB678" s="294"/>
      <c r="AC678" s="294"/>
    </row>
    <row r="679" ht="15.75" customHeight="1">
      <c r="A679" s="294"/>
      <c r="B679" s="294"/>
      <c r="C679" s="294"/>
      <c r="D679" s="294"/>
      <c r="E679" s="294"/>
      <c r="F679" s="294"/>
      <c r="G679" s="295"/>
      <c r="H679" s="294"/>
      <c r="I679" s="294"/>
      <c r="J679" s="294"/>
      <c r="K679" s="294"/>
      <c r="L679" s="294"/>
      <c r="M679" s="294"/>
      <c r="N679" s="294"/>
      <c r="O679" s="294"/>
      <c r="P679" s="294"/>
      <c r="Q679" s="294"/>
      <c r="R679" s="294"/>
      <c r="S679" s="294"/>
      <c r="T679" s="294"/>
      <c r="U679" s="294"/>
      <c r="V679" s="294"/>
      <c r="W679" s="294"/>
      <c r="X679" s="294"/>
      <c r="Y679" s="294"/>
      <c r="Z679" s="294"/>
      <c r="AA679" s="294"/>
      <c r="AB679" s="294"/>
      <c r="AC679" s="294"/>
    </row>
    <row r="680" ht="15.75" customHeight="1">
      <c r="A680" s="294"/>
      <c r="B680" s="294"/>
      <c r="C680" s="294"/>
      <c r="D680" s="294"/>
      <c r="E680" s="294"/>
      <c r="F680" s="294"/>
      <c r="G680" s="295"/>
      <c r="H680" s="294"/>
      <c r="I680" s="294"/>
      <c r="J680" s="294"/>
      <c r="K680" s="294"/>
      <c r="L680" s="294"/>
      <c r="M680" s="294"/>
      <c r="N680" s="294"/>
      <c r="O680" s="294"/>
      <c r="P680" s="294"/>
      <c r="Q680" s="294"/>
      <c r="R680" s="294"/>
      <c r="S680" s="294"/>
      <c r="T680" s="294"/>
      <c r="U680" s="294"/>
      <c r="V680" s="294"/>
      <c r="W680" s="294"/>
      <c r="X680" s="294"/>
      <c r="Y680" s="294"/>
      <c r="Z680" s="294"/>
      <c r="AA680" s="294"/>
      <c r="AB680" s="294"/>
      <c r="AC680" s="294"/>
    </row>
    <row r="681" ht="15.75" customHeight="1">
      <c r="A681" s="294"/>
      <c r="B681" s="294"/>
      <c r="C681" s="294"/>
      <c r="D681" s="294"/>
      <c r="E681" s="294"/>
      <c r="F681" s="294"/>
      <c r="G681" s="295"/>
      <c r="H681" s="294"/>
      <c r="I681" s="294"/>
      <c r="J681" s="294"/>
      <c r="K681" s="294"/>
      <c r="L681" s="294"/>
      <c r="M681" s="294"/>
      <c r="N681" s="294"/>
      <c r="O681" s="294"/>
      <c r="P681" s="294"/>
      <c r="Q681" s="294"/>
      <c r="R681" s="294"/>
      <c r="S681" s="294"/>
      <c r="T681" s="294"/>
      <c r="U681" s="294"/>
      <c r="V681" s="294"/>
      <c r="W681" s="294"/>
      <c r="X681" s="294"/>
      <c r="Y681" s="294"/>
      <c r="Z681" s="294"/>
      <c r="AA681" s="294"/>
      <c r="AB681" s="294"/>
      <c r="AC681" s="294"/>
    </row>
    <row r="682" ht="15.75" customHeight="1">
      <c r="A682" s="294"/>
      <c r="B682" s="294"/>
      <c r="C682" s="294"/>
      <c r="D682" s="294"/>
      <c r="E682" s="294"/>
      <c r="F682" s="294"/>
      <c r="G682" s="295"/>
      <c r="H682" s="294"/>
      <c r="I682" s="294"/>
      <c r="J682" s="294"/>
      <c r="K682" s="294"/>
      <c r="L682" s="294"/>
      <c r="M682" s="294"/>
      <c r="N682" s="294"/>
      <c r="O682" s="294"/>
      <c r="P682" s="294"/>
      <c r="Q682" s="294"/>
      <c r="R682" s="294"/>
      <c r="S682" s="294"/>
      <c r="T682" s="294"/>
      <c r="U682" s="294"/>
      <c r="V682" s="294"/>
      <c r="W682" s="294"/>
      <c r="X682" s="294"/>
      <c r="Y682" s="294"/>
      <c r="Z682" s="294"/>
      <c r="AA682" s="294"/>
      <c r="AB682" s="294"/>
      <c r="AC682" s="294"/>
    </row>
    <row r="683" ht="15.75" customHeight="1">
      <c r="A683" s="294"/>
      <c r="B683" s="294"/>
      <c r="C683" s="294"/>
      <c r="D683" s="294"/>
      <c r="E683" s="294"/>
      <c r="F683" s="294"/>
      <c r="G683" s="295"/>
      <c r="H683" s="294"/>
      <c r="I683" s="294"/>
      <c r="J683" s="294"/>
      <c r="K683" s="294"/>
      <c r="L683" s="294"/>
      <c r="M683" s="294"/>
      <c r="N683" s="294"/>
      <c r="O683" s="294"/>
      <c r="P683" s="294"/>
      <c r="Q683" s="294"/>
      <c r="R683" s="294"/>
      <c r="S683" s="294"/>
      <c r="T683" s="294"/>
      <c r="U683" s="294"/>
      <c r="V683" s="294"/>
      <c r="W683" s="294"/>
      <c r="X683" s="294"/>
      <c r="Y683" s="294"/>
      <c r="Z683" s="294"/>
      <c r="AA683" s="294"/>
      <c r="AB683" s="294"/>
      <c r="AC683" s="294"/>
    </row>
    <row r="684" ht="15.75" customHeight="1">
      <c r="A684" s="294"/>
      <c r="B684" s="294"/>
      <c r="C684" s="294"/>
      <c r="D684" s="294"/>
      <c r="E684" s="294"/>
      <c r="F684" s="294"/>
      <c r="G684" s="295"/>
      <c r="H684" s="294"/>
      <c r="I684" s="294"/>
      <c r="J684" s="294"/>
      <c r="K684" s="294"/>
      <c r="L684" s="294"/>
      <c r="M684" s="294"/>
      <c r="N684" s="294"/>
      <c r="O684" s="294"/>
      <c r="P684" s="294"/>
      <c r="Q684" s="294"/>
      <c r="R684" s="294"/>
      <c r="S684" s="294"/>
      <c r="T684" s="294"/>
      <c r="U684" s="294"/>
      <c r="V684" s="294"/>
      <c r="W684" s="294"/>
      <c r="X684" s="294"/>
      <c r="Y684" s="294"/>
      <c r="Z684" s="294"/>
      <c r="AA684" s="294"/>
      <c r="AB684" s="294"/>
      <c r="AC684" s="294"/>
    </row>
    <row r="685" ht="15.75" customHeight="1">
      <c r="A685" s="294"/>
      <c r="B685" s="294"/>
      <c r="C685" s="294"/>
      <c r="D685" s="294"/>
      <c r="E685" s="294"/>
      <c r="F685" s="294"/>
      <c r="G685" s="295"/>
      <c r="H685" s="294"/>
      <c r="I685" s="294"/>
      <c r="J685" s="294"/>
      <c r="K685" s="294"/>
      <c r="L685" s="294"/>
      <c r="M685" s="294"/>
      <c r="N685" s="294"/>
      <c r="O685" s="294"/>
      <c r="P685" s="294"/>
      <c r="Q685" s="294"/>
      <c r="R685" s="294"/>
      <c r="S685" s="294"/>
      <c r="T685" s="294"/>
      <c r="U685" s="294"/>
      <c r="V685" s="294"/>
      <c r="W685" s="294"/>
      <c r="X685" s="294"/>
      <c r="Y685" s="294"/>
      <c r="Z685" s="294"/>
      <c r="AA685" s="294"/>
      <c r="AB685" s="294"/>
      <c r="AC685" s="294"/>
    </row>
    <row r="686" ht="15.75" customHeight="1">
      <c r="A686" s="294"/>
      <c r="B686" s="294"/>
      <c r="C686" s="294"/>
      <c r="D686" s="294"/>
      <c r="E686" s="294"/>
      <c r="F686" s="294"/>
      <c r="G686" s="295"/>
      <c r="H686" s="294"/>
      <c r="I686" s="294"/>
      <c r="J686" s="294"/>
      <c r="K686" s="294"/>
      <c r="L686" s="294"/>
      <c r="M686" s="294"/>
      <c r="N686" s="294"/>
      <c r="O686" s="294"/>
      <c r="P686" s="294"/>
      <c r="Q686" s="294"/>
      <c r="R686" s="294"/>
      <c r="S686" s="294"/>
      <c r="T686" s="294"/>
      <c r="U686" s="294"/>
      <c r="V686" s="294"/>
      <c r="W686" s="294"/>
      <c r="X686" s="294"/>
      <c r="Y686" s="294"/>
      <c r="Z686" s="294"/>
      <c r="AA686" s="294"/>
      <c r="AB686" s="294"/>
      <c r="AC686" s="294"/>
    </row>
    <row r="687" ht="15.75" customHeight="1">
      <c r="A687" s="294"/>
      <c r="B687" s="294"/>
      <c r="C687" s="294"/>
      <c r="D687" s="294"/>
      <c r="E687" s="294"/>
      <c r="F687" s="294"/>
      <c r="G687" s="295"/>
      <c r="H687" s="294"/>
      <c r="I687" s="294"/>
      <c r="J687" s="294"/>
      <c r="K687" s="294"/>
      <c r="L687" s="294"/>
      <c r="M687" s="294"/>
      <c r="N687" s="294"/>
      <c r="O687" s="294"/>
      <c r="P687" s="294"/>
      <c r="Q687" s="294"/>
      <c r="R687" s="294"/>
      <c r="S687" s="294"/>
      <c r="T687" s="294"/>
      <c r="U687" s="294"/>
      <c r="V687" s="294"/>
      <c r="W687" s="294"/>
      <c r="X687" s="294"/>
      <c r="Y687" s="294"/>
      <c r="Z687" s="294"/>
      <c r="AA687" s="294"/>
      <c r="AB687" s="294"/>
      <c r="AC687" s="294"/>
    </row>
    <row r="688" ht="15.75" customHeight="1">
      <c r="A688" s="294"/>
      <c r="B688" s="294"/>
      <c r="C688" s="294"/>
      <c r="D688" s="294"/>
      <c r="E688" s="294"/>
      <c r="F688" s="294"/>
      <c r="G688" s="295"/>
      <c r="H688" s="294"/>
      <c r="I688" s="294"/>
      <c r="J688" s="294"/>
      <c r="K688" s="294"/>
      <c r="L688" s="294"/>
      <c r="M688" s="294"/>
      <c r="N688" s="294"/>
      <c r="O688" s="294"/>
      <c r="P688" s="294"/>
      <c r="Q688" s="294"/>
      <c r="R688" s="294"/>
      <c r="S688" s="294"/>
      <c r="T688" s="294"/>
      <c r="U688" s="294"/>
      <c r="V688" s="294"/>
      <c r="W688" s="294"/>
      <c r="X688" s="294"/>
      <c r="Y688" s="294"/>
      <c r="Z688" s="294"/>
      <c r="AA688" s="294"/>
      <c r="AB688" s="294"/>
      <c r="AC688" s="294"/>
    </row>
    <row r="689" ht="15.75" customHeight="1">
      <c r="A689" s="294"/>
      <c r="B689" s="294"/>
      <c r="C689" s="294"/>
      <c r="D689" s="294"/>
      <c r="E689" s="294"/>
      <c r="F689" s="294"/>
      <c r="G689" s="295"/>
      <c r="H689" s="294"/>
      <c r="I689" s="294"/>
      <c r="J689" s="294"/>
      <c r="K689" s="294"/>
      <c r="L689" s="294"/>
      <c r="M689" s="294"/>
      <c r="N689" s="294"/>
      <c r="O689" s="294"/>
      <c r="P689" s="294"/>
      <c r="Q689" s="294"/>
      <c r="R689" s="294"/>
      <c r="S689" s="294"/>
      <c r="T689" s="294"/>
      <c r="U689" s="294"/>
      <c r="V689" s="294"/>
      <c r="W689" s="294"/>
      <c r="X689" s="294"/>
      <c r="Y689" s="294"/>
      <c r="Z689" s="294"/>
      <c r="AA689" s="294"/>
      <c r="AB689" s="294"/>
      <c r="AC689" s="294"/>
    </row>
    <row r="690" ht="15.75" customHeight="1">
      <c r="A690" s="294"/>
      <c r="B690" s="294"/>
      <c r="C690" s="294"/>
      <c r="D690" s="294"/>
      <c r="E690" s="294"/>
      <c r="F690" s="294"/>
      <c r="G690" s="295"/>
      <c r="H690" s="294"/>
      <c r="I690" s="294"/>
      <c r="J690" s="294"/>
      <c r="K690" s="294"/>
      <c r="L690" s="294"/>
      <c r="M690" s="294"/>
      <c r="N690" s="294"/>
      <c r="O690" s="294"/>
      <c r="P690" s="294"/>
      <c r="Q690" s="294"/>
      <c r="R690" s="294"/>
      <c r="S690" s="294"/>
      <c r="T690" s="294"/>
      <c r="U690" s="294"/>
      <c r="V690" s="294"/>
      <c r="W690" s="294"/>
      <c r="X690" s="294"/>
      <c r="Y690" s="294"/>
      <c r="Z690" s="294"/>
      <c r="AA690" s="294"/>
      <c r="AB690" s="294"/>
      <c r="AC690" s="294"/>
    </row>
    <row r="691" ht="15.75" customHeight="1">
      <c r="A691" s="294"/>
      <c r="B691" s="294"/>
      <c r="C691" s="294"/>
      <c r="D691" s="294"/>
      <c r="E691" s="294"/>
      <c r="F691" s="294"/>
      <c r="G691" s="295"/>
      <c r="H691" s="294"/>
      <c r="I691" s="294"/>
      <c r="J691" s="294"/>
      <c r="K691" s="294"/>
      <c r="L691" s="294"/>
      <c r="M691" s="294"/>
      <c r="N691" s="294"/>
      <c r="O691" s="294"/>
      <c r="P691" s="294"/>
      <c r="Q691" s="294"/>
      <c r="R691" s="294"/>
      <c r="S691" s="294"/>
      <c r="T691" s="294"/>
      <c r="U691" s="294"/>
      <c r="V691" s="294"/>
      <c r="W691" s="294"/>
      <c r="X691" s="294"/>
      <c r="Y691" s="294"/>
      <c r="Z691" s="294"/>
      <c r="AA691" s="294"/>
      <c r="AB691" s="294"/>
      <c r="AC691" s="294"/>
    </row>
    <row r="692" ht="15.75" customHeight="1">
      <c r="A692" s="294"/>
      <c r="B692" s="294"/>
      <c r="C692" s="294"/>
      <c r="D692" s="294"/>
      <c r="E692" s="294"/>
      <c r="F692" s="294"/>
      <c r="G692" s="295"/>
      <c r="H692" s="294"/>
      <c r="I692" s="294"/>
      <c r="J692" s="294"/>
      <c r="K692" s="294"/>
      <c r="L692" s="294"/>
      <c r="M692" s="294"/>
      <c r="N692" s="294"/>
      <c r="O692" s="294"/>
      <c r="P692" s="294"/>
      <c r="Q692" s="294"/>
      <c r="R692" s="294"/>
      <c r="S692" s="294"/>
      <c r="T692" s="294"/>
      <c r="U692" s="294"/>
      <c r="V692" s="294"/>
      <c r="W692" s="294"/>
      <c r="X692" s="294"/>
      <c r="Y692" s="294"/>
      <c r="Z692" s="294"/>
      <c r="AA692" s="294"/>
      <c r="AB692" s="294"/>
      <c r="AC692" s="294"/>
    </row>
    <row r="693" ht="15.75" customHeight="1">
      <c r="A693" s="294"/>
      <c r="B693" s="294"/>
      <c r="C693" s="294"/>
      <c r="D693" s="294"/>
      <c r="E693" s="294"/>
      <c r="F693" s="294"/>
      <c r="G693" s="295"/>
      <c r="H693" s="294"/>
      <c r="I693" s="294"/>
      <c r="J693" s="294"/>
      <c r="K693" s="294"/>
      <c r="L693" s="294"/>
      <c r="M693" s="294"/>
      <c r="N693" s="294"/>
      <c r="O693" s="294"/>
      <c r="P693" s="294"/>
      <c r="Q693" s="294"/>
      <c r="R693" s="294"/>
      <c r="S693" s="294"/>
      <c r="T693" s="294"/>
      <c r="U693" s="294"/>
      <c r="V693" s="294"/>
      <c r="W693" s="294"/>
      <c r="X693" s="294"/>
      <c r="Y693" s="294"/>
      <c r="Z693" s="294"/>
      <c r="AA693" s="294"/>
      <c r="AB693" s="294"/>
      <c r="AC693" s="294"/>
    </row>
    <row r="694" ht="15.75" customHeight="1">
      <c r="A694" s="294"/>
      <c r="B694" s="294"/>
      <c r="C694" s="294"/>
      <c r="D694" s="294"/>
      <c r="E694" s="294"/>
      <c r="F694" s="294"/>
      <c r="G694" s="295"/>
      <c r="H694" s="294"/>
      <c r="I694" s="294"/>
      <c r="J694" s="294"/>
      <c r="K694" s="294"/>
      <c r="L694" s="294"/>
      <c r="M694" s="294"/>
      <c r="N694" s="294"/>
      <c r="O694" s="294"/>
      <c r="P694" s="294"/>
      <c r="Q694" s="294"/>
      <c r="R694" s="294"/>
      <c r="S694" s="294"/>
      <c r="T694" s="294"/>
      <c r="U694" s="294"/>
      <c r="V694" s="294"/>
      <c r="W694" s="294"/>
      <c r="X694" s="294"/>
      <c r="Y694" s="294"/>
      <c r="Z694" s="294"/>
      <c r="AA694" s="294"/>
      <c r="AB694" s="294"/>
      <c r="AC694" s="294"/>
    </row>
    <row r="695" ht="15.75" customHeight="1">
      <c r="A695" s="294"/>
      <c r="B695" s="294"/>
      <c r="C695" s="294"/>
      <c r="D695" s="294"/>
      <c r="E695" s="294"/>
      <c r="F695" s="294"/>
      <c r="G695" s="295"/>
      <c r="H695" s="294"/>
      <c r="I695" s="294"/>
      <c r="J695" s="294"/>
      <c r="K695" s="294"/>
      <c r="L695" s="294"/>
      <c r="M695" s="294"/>
      <c r="N695" s="294"/>
      <c r="O695" s="294"/>
      <c r="P695" s="294"/>
      <c r="Q695" s="294"/>
      <c r="R695" s="294"/>
      <c r="S695" s="294"/>
      <c r="T695" s="294"/>
      <c r="U695" s="294"/>
      <c r="V695" s="294"/>
      <c r="W695" s="294"/>
      <c r="X695" s="294"/>
      <c r="Y695" s="294"/>
      <c r="Z695" s="294"/>
      <c r="AA695" s="294"/>
      <c r="AB695" s="294"/>
      <c r="AC695" s="294"/>
    </row>
    <row r="696" ht="15.75" customHeight="1">
      <c r="A696" s="294"/>
      <c r="B696" s="294"/>
      <c r="C696" s="294"/>
      <c r="D696" s="294"/>
      <c r="E696" s="294"/>
      <c r="F696" s="294"/>
      <c r="G696" s="295"/>
      <c r="H696" s="294"/>
      <c r="I696" s="294"/>
      <c r="J696" s="294"/>
      <c r="K696" s="294"/>
      <c r="L696" s="294"/>
      <c r="M696" s="294"/>
      <c r="N696" s="294"/>
      <c r="O696" s="294"/>
      <c r="P696" s="294"/>
      <c r="Q696" s="294"/>
      <c r="R696" s="294"/>
      <c r="S696" s="294"/>
      <c r="T696" s="294"/>
      <c r="U696" s="294"/>
      <c r="V696" s="294"/>
      <c r="W696" s="294"/>
      <c r="X696" s="294"/>
      <c r="Y696" s="294"/>
      <c r="Z696" s="294"/>
      <c r="AA696" s="294"/>
      <c r="AB696" s="294"/>
      <c r="AC696" s="294"/>
    </row>
    <row r="697" ht="15.75" customHeight="1">
      <c r="A697" s="294"/>
      <c r="B697" s="294"/>
      <c r="C697" s="294"/>
      <c r="D697" s="294"/>
      <c r="E697" s="294"/>
      <c r="F697" s="294"/>
      <c r="G697" s="295"/>
      <c r="H697" s="294"/>
      <c r="I697" s="294"/>
      <c r="J697" s="294"/>
      <c r="K697" s="294"/>
      <c r="L697" s="294"/>
      <c r="M697" s="294"/>
      <c r="N697" s="294"/>
      <c r="O697" s="294"/>
      <c r="P697" s="294"/>
      <c r="Q697" s="294"/>
      <c r="R697" s="294"/>
      <c r="S697" s="294"/>
      <c r="T697" s="294"/>
      <c r="U697" s="294"/>
      <c r="V697" s="294"/>
      <c r="W697" s="294"/>
      <c r="X697" s="294"/>
      <c r="Y697" s="294"/>
      <c r="Z697" s="294"/>
      <c r="AA697" s="294"/>
      <c r="AB697" s="294"/>
      <c r="AC697" s="294"/>
    </row>
    <row r="698" ht="15.75" customHeight="1">
      <c r="A698" s="294"/>
      <c r="B698" s="294"/>
      <c r="C698" s="294"/>
      <c r="D698" s="294"/>
      <c r="E698" s="294"/>
      <c r="F698" s="294"/>
      <c r="G698" s="295"/>
      <c r="H698" s="294"/>
      <c r="I698" s="294"/>
      <c r="J698" s="294"/>
      <c r="K698" s="294"/>
      <c r="L698" s="294"/>
      <c r="M698" s="294"/>
      <c r="N698" s="294"/>
      <c r="O698" s="294"/>
      <c r="P698" s="294"/>
      <c r="Q698" s="294"/>
      <c r="R698" s="294"/>
      <c r="S698" s="294"/>
      <c r="T698" s="294"/>
      <c r="U698" s="294"/>
      <c r="V698" s="294"/>
      <c r="W698" s="294"/>
      <c r="X698" s="294"/>
      <c r="Y698" s="294"/>
      <c r="Z698" s="294"/>
      <c r="AA698" s="294"/>
      <c r="AB698" s="294"/>
      <c r="AC698" s="294"/>
    </row>
    <row r="699" ht="15.75" customHeight="1">
      <c r="A699" s="294"/>
      <c r="B699" s="294"/>
      <c r="C699" s="294"/>
      <c r="D699" s="294"/>
      <c r="E699" s="294"/>
      <c r="F699" s="294"/>
      <c r="G699" s="295"/>
      <c r="H699" s="294"/>
      <c r="I699" s="294"/>
      <c r="J699" s="294"/>
      <c r="K699" s="294"/>
      <c r="L699" s="294"/>
      <c r="M699" s="294"/>
      <c r="N699" s="294"/>
      <c r="O699" s="294"/>
      <c r="P699" s="294"/>
      <c r="Q699" s="294"/>
      <c r="R699" s="294"/>
      <c r="S699" s="294"/>
      <c r="T699" s="294"/>
      <c r="U699" s="294"/>
      <c r="V699" s="294"/>
      <c r="W699" s="294"/>
      <c r="X699" s="294"/>
      <c r="Y699" s="294"/>
      <c r="Z699" s="294"/>
      <c r="AA699" s="294"/>
      <c r="AB699" s="294"/>
      <c r="AC699" s="294"/>
    </row>
    <row r="700" ht="15.75" customHeight="1">
      <c r="A700" s="294"/>
      <c r="B700" s="294"/>
      <c r="C700" s="294"/>
      <c r="D700" s="294"/>
      <c r="E700" s="294"/>
      <c r="F700" s="294"/>
      <c r="G700" s="295"/>
      <c r="H700" s="294"/>
      <c r="I700" s="294"/>
      <c r="J700" s="294"/>
      <c r="K700" s="294"/>
      <c r="L700" s="294"/>
      <c r="M700" s="294"/>
      <c r="N700" s="294"/>
      <c r="O700" s="294"/>
      <c r="P700" s="294"/>
      <c r="Q700" s="294"/>
      <c r="R700" s="294"/>
      <c r="S700" s="294"/>
      <c r="T700" s="294"/>
      <c r="U700" s="294"/>
      <c r="V700" s="294"/>
      <c r="W700" s="294"/>
      <c r="X700" s="294"/>
      <c r="Y700" s="294"/>
      <c r="Z700" s="294"/>
      <c r="AA700" s="294"/>
      <c r="AB700" s="294"/>
      <c r="AC700" s="294"/>
    </row>
    <row r="701" ht="15.75" customHeight="1">
      <c r="A701" s="294"/>
      <c r="B701" s="294"/>
      <c r="C701" s="294"/>
      <c r="D701" s="294"/>
      <c r="E701" s="294"/>
      <c r="F701" s="294"/>
      <c r="G701" s="295"/>
      <c r="H701" s="294"/>
      <c r="I701" s="294"/>
      <c r="J701" s="294"/>
      <c r="K701" s="294"/>
      <c r="L701" s="294"/>
      <c r="M701" s="294"/>
      <c r="N701" s="294"/>
      <c r="O701" s="294"/>
      <c r="P701" s="294"/>
      <c r="Q701" s="294"/>
      <c r="R701" s="294"/>
      <c r="S701" s="294"/>
      <c r="T701" s="294"/>
      <c r="U701" s="294"/>
      <c r="V701" s="294"/>
      <c r="W701" s="294"/>
      <c r="X701" s="294"/>
      <c r="Y701" s="294"/>
      <c r="Z701" s="294"/>
      <c r="AA701" s="294"/>
      <c r="AB701" s="294"/>
      <c r="AC701" s="294"/>
    </row>
    <row r="702" ht="15.75" customHeight="1">
      <c r="A702" s="294"/>
      <c r="B702" s="294"/>
      <c r="C702" s="294"/>
      <c r="D702" s="294"/>
      <c r="E702" s="294"/>
      <c r="F702" s="294"/>
      <c r="G702" s="295"/>
      <c r="H702" s="294"/>
      <c r="I702" s="294"/>
      <c r="J702" s="294"/>
      <c r="K702" s="294"/>
      <c r="L702" s="294"/>
      <c r="M702" s="294"/>
      <c r="N702" s="294"/>
      <c r="O702" s="294"/>
      <c r="P702" s="294"/>
      <c r="Q702" s="294"/>
      <c r="R702" s="294"/>
      <c r="S702" s="294"/>
      <c r="T702" s="294"/>
      <c r="U702" s="294"/>
      <c r="V702" s="294"/>
      <c r="W702" s="294"/>
      <c r="X702" s="294"/>
      <c r="Y702" s="294"/>
      <c r="Z702" s="294"/>
      <c r="AA702" s="294"/>
      <c r="AB702" s="294"/>
      <c r="AC702" s="294"/>
    </row>
    <row r="703" ht="15.75" customHeight="1">
      <c r="A703" s="294"/>
      <c r="B703" s="294"/>
      <c r="C703" s="294"/>
      <c r="D703" s="294"/>
      <c r="E703" s="294"/>
      <c r="F703" s="294"/>
      <c r="G703" s="295"/>
      <c r="H703" s="294"/>
      <c r="I703" s="294"/>
      <c r="J703" s="294"/>
      <c r="K703" s="294"/>
      <c r="L703" s="294"/>
      <c r="M703" s="294"/>
      <c r="N703" s="294"/>
      <c r="O703" s="294"/>
      <c r="P703" s="294"/>
      <c r="Q703" s="294"/>
      <c r="R703" s="294"/>
      <c r="S703" s="294"/>
      <c r="T703" s="294"/>
      <c r="U703" s="294"/>
      <c r="V703" s="294"/>
      <c r="W703" s="294"/>
      <c r="X703" s="294"/>
      <c r="Y703" s="294"/>
      <c r="Z703" s="294"/>
      <c r="AA703" s="294"/>
      <c r="AB703" s="294"/>
      <c r="AC703" s="294"/>
    </row>
    <row r="704" ht="15.75" customHeight="1">
      <c r="A704" s="294"/>
      <c r="B704" s="294"/>
      <c r="C704" s="294"/>
      <c r="D704" s="294"/>
      <c r="E704" s="294"/>
      <c r="F704" s="294"/>
      <c r="G704" s="295"/>
      <c r="H704" s="294"/>
      <c r="I704" s="294"/>
      <c r="J704" s="294"/>
      <c r="K704" s="294"/>
      <c r="L704" s="294"/>
      <c r="M704" s="294"/>
      <c r="N704" s="294"/>
      <c r="O704" s="294"/>
      <c r="P704" s="294"/>
      <c r="Q704" s="294"/>
      <c r="R704" s="294"/>
      <c r="S704" s="294"/>
      <c r="T704" s="294"/>
      <c r="U704" s="294"/>
      <c r="V704" s="294"/>
      <c r="W704" s="294"/>
      <c r="X704" s="294"/>
      <c r="Y704" s="294"/>
      <c r="Z704" s="294"/>
      <c r="AA704" s="294"/>
      <c r="AB704" s="294"/>
      <c r="AC704" s="294"/>
    </row>
    <row r="705" ht="15.75" customHeight="1">
      <c r="A705" s="294"/>
      <c r="B705" s="294"/>
      <c r="C705" s="294"/>
      <c r="D705" s="294"/>
      <c r="E705" s="294"/>
      <c r="F705" s="294"/>
      <c r="G705" s="295"/>
      <c r="H705" s="294"/>
      <c r="I705" s="294"/>
      <c r="J705" s="294"/>
      <c r="K705" s="294"/>
      <c r="L705" s="294"/>
      <c r="M705" s="294"/>
      <c r="N705" s="294"/>
      <c r="O705" s="294"/>
      <c r="P705" s="294"/>
      <c r="Q705" s="294"/>
      <c r="R705" s="294"/>
      <c r="S705" s="294"/>
      <c r="T705" s="294"/>
      <c r="U705" s="294"/>
      <c r="V705" s="294"/>
      <c r="W705" s="294"/>
      <c r="X705" s="294"/>
      <c r="Y705" s="294"/>
      <c r="Z705" s="294"/>
      <c r="AA705" s="294"/>
      <c r="AB705" s="294"/>
      <c r="AC705" s="294"/>
    </row>
    <row r="706" ht="15.75" customHeight="1">
      <c r="A706" s="294"/>
      <c r="B706" s="294"/>
      <c r="C706" s="294"/>
      <c r="D706" s="294"/>
      <c r="E706" s="294"/>
      <c r="F706" s="294"/>
      <c r="G706" s="295"/>
      <c r="H706" s="294"/>
      <c r="I706" s="294"/>
      <c r="J706" s="294"/>
      <c r="K706" s="294"/>
      <c r="L706" s="294"/>
      <c r="M706" s="294"/>
      <c r="N706" s="294"/>
      <c r="O706" s="294"/>
      <c r="P706" s="294"/>
      <c r="Q706" s="294"/>
      <c r="R706" s="294"/>
      <c r="S706" s="294"/>
      <c r="T706" s="294"/>
      <c r="U706" s="294"/>
      <c r="V706" s="294"/>
      <c r="W706" s="294"/>
      <c r="X706" s="294"/>
      <c r="Y706" s="294"/>
      <c r="Z706" s="294"/>
      <c r="AA706" s="294"/>
      <c r="AB706" s="294"/>
      <c r="AC706" s="294"/>
    </row>
    <row r="707" ht="15.75" customHeight="1">
      <c r="A707" s="294"/>
      <c r="B707" s="294"/>
      <c r="C707" s="294"/>
      <c r="D707" s="294"/>
      <c r="E707" s="294"/>
      <c r="F707" s="294"/>
      <c r="G707" s="295"/>
      <c r="H707" s="294"/>
      <c r="I707" s="294"/>
      <c r="J707" s="294"/>
      <c r="K707" s="294"/>
      <c r="L707" s="294"/>
      <c r="M707" s="294"/>
      <c r="N707" s="294"/>
      <c r="O707" s="294"/>
      <c r="P707" s="294"/>
      <c r="Q707" s="294"/>
      <c r="R707" s="294"/>
      <c r="S707" s="294"/>
      <c r="T707" s="294"/>
      <c r="U707" s="294"/>
      <c r="V707" s="294"/>
      <c r="W707" s="294"/>
      <c r="X707" s="294"/>
      <c r="Y707" s="294"/>
      <c r="Z707" s="294"/>
      <c r="AA707" s="294"/>
      <c r="AB707" s="294"/>
      <c r="AC707" s="294"/>
    </row>
    <row r="708" ht="15.75" customHeight="1">
      <c r="A708" s="294"/>
      <c r="B708" s="294"/>
      <c r="C708" s="294"/>
      <c r="D708" s="294"/>
      <c r="E708" s="294"/>
      <c r="F708" s="294"/>
      <c r="G708" s="295"/>
      <c r="H708" s="294"/>
      <c r="I708" s="294"/>
      <c r="J708" s="294"/>
      <c r="K708" s="294"/>
      <c r="L708" s="294"/>
      <c r="M708" s="294"/>
      <c r="N708" s="294"/>
      <c r="O708" s="294"/>
      <c r="P708" s="294"/>
      <c r="Q708" s="294"/>
      <c r="R708" s="294"/>
      <c r="S708" s="294"/>
      <c r="T708" s="294"/>
      <c r="U708" s="294"/>
      <c r="V708" s="294"/>
      <c r="W708" s="294"/>
      <c r="X708" s="294"/>
      <c r="Y708" s="294"/>
      <c r="Z708" s="294"/>
      <c r="AA708" s="294"/>
      <c r="AB708" s="294"/>
      <c r="AC708" s="294"/>
    </row>
    <row r="709" ht="15.75" customHeight="1">
      <c r="A709" s="294"/>
      <c r="B709" s="294"/>
      <c r="C709" s="294"/>
      <c r="D709" s="294"/>
      <c r="E709" s="294"/>
      <c r="F709" s="294"/>
      <c r="G709" s="295"/>
      <c r="H709" s="294"/>
      <c r="I709" s="294"/>
      <c r="J709" s="294"/>
      <c r="K709" s="294"/>
      <c r="L709" s="294"/>
      <c r="M709" s="294"/>
      <c r="N709" s="294"/>
      <c r="O709" s="294"/>
      <c r="P709" s="294"/>
      <c r="Q709" s="294"/>
      <c r="R709" s="294"/>
      <c r="S709" s="294"/>
      <c r="T709" s="294"/>
      <c r="U709" s="294"/>
      <c r="V709" s="294"/>
      <c r="W709" s="294"/>
      <c r="X709" s="294"/>
      <c r="Y709" s="294"/>
      <c r="Z709" s="294"/>
      <c r="AA709" s="294"/>
      <c r="AB709" s="294"/>
      <c r="AC709" s="294"/>
    </row>
    <row r="710" ht="15.75" customHeight="1">
      <c r="A710" s="294"/>
      <c r="B710" s="294"/>
      <c r="C710" s="294"/>
      <c r="D710" s="294"/>
      <c r="E710" s="294"/>
      <c r="F710" s="294"/>
      <c r="G710" s="295"/>
      <c r="H710" s="294"/>
      <c r="I710" s="294"/>
      <c r="J710" s="294"/>
      <c r="K710" s="294"/>
      <c r="L710" s="294"/>
      <c r="M710" s="294"/>
      <c r="N710" s="294"/>
      <c r="O710" s="294"/>
      <c r="P710" s="294"/>
      <c r="Q710" s="294"/>
      <c r="R710" s="294"/>
      <c r="S710" s="294"/>
      <c r="T710" s="294"/>
      <c r="U710" s="294"/>
      <c r="V710" s="294"/>
      <c r="W710" s="294"/>
      <c r="X710" s="294"/>
      <c r="Y710" s="294"/>
      <c r="Z710" s="294"/>
      <c r="AA710" s="294"/>
      <c r="AB710" s="294"/>
      <c r="AC710" s="294"/>
    </row>
    <row r="711" ht="15.75" customHeight="1">
      <c r="A711" s="294"/>
      <c r="B711" s="294"/>
      <c r="C711" s="294"/>
      <c r="D711" s="294"/>
      <c r="E711" s="294"/>
      <c r="F711" s="294"/>
      <c r="G711" s="295"/>
      <c r="H711" s="294"/>
      <c r="I711" s="294"/>
      <c r="J711" s="294"/>
      <c r="K711" s="294"/>
      <c r="L711" s="294"/>
      <c r="M711" s="294"/>
      <c r="N711" s="294"/>
      <c r="O711" s="294"/>
      <c r="P711" s="294"/>
      <c r="Q711" s="294"/>
      <c r="R711" s="294"/>
      <c r="S711" s="294"/>
      <c r="T711" s="294"/>
      <c r="U711" s="294"/>
      <c r="V711" s="294"/>
      <c r="W711" s="294"/>
      <c r="X711" s="294"/>
      <c r="Y711" s="294"/>
      <c r="Z711" s="294"/>
      <c r="AA711" s="294"/>
      <c r="AB711" s="294"/>
      <c r="AC711" s="294"/>
    </row>
    <row r="712" ht="15.75" customHeight="1">
      <c r="A712" s="294"/>
      <c r="B712" s="294"/>
      <c r="C712" s="294"/>
      <c r="D712" s="294"/>
      <c r="E712" s="294"/>
      <c r="F712" s="294"/>
      <c r="G712" s="295"/>
      <c r="H712" s="294"/>
      <c r="I712" s="294"/>
      <c r="J712" s="294"/>
      <c r="K712" s="294"/>
      <c r="L712" s="294"/>
      <c r="M712" s="294"/>
      <c r="N712" s="294"/>
      <c r="O712" s="294"/>
      <c r="P712" s="294"/>
      <c r="Q712" s="294"/>
      <c r="R712" s="294"/>
      <c r="S712" s="294"/>
      <c r="T712" s="294"/>
      <c r="U712" s="294"/>
      <c r="V712" s="294"/>
      <c r="W712" s="294"/>
      <c r="X712" s="294"/>
      <c r="Y712" s="294"/>
      <c r="Z712" s="294"/>
      <c r="AA712" s="294"/>
      <c r="AB712" s="294"/>
      <c r="AC712" s="294"/>
    </row>
    <row r="713" ht="15.75" customHeight="1">
      <c r="A713" s="294"/>
      <c r="B713" s="294"/>
      <c r="C713" s="294"/>
      <c r="D713" s="294"/>
      <c r="E713" s="294"/>
      <c r="F713" s="294"/>
      <c r="G713" s="295"/>
      <c r="H713" s="294"/>
      <c r="I713" s="294"/>
      <c r="J713" s="294"/>
      <c r="K713" s="294"/>
      <c r="L713" s="294"/>
      <c r="M713" s="294"/>
      <c r="N713" s="294"/>
      <c r="O713" s="294"/>
      <c r="P713" s="294"/>
      <c r="Q713" s="294"/>
      <c r="R713" s="294"/>
      <c r="S713" s="294"/>
      <c r="T713" s="294"/>
      <c r="U713" s="294"/>
      <c r="V713" s="294"/>
      <c r="W713" s="294"/>
      <c r="X713" s="294"/>
      <c r="Y713" s="294"/>
      <c r="Z713" s="294"/>
      <c r="AA713" s="294"/>
      <c r="AB713" s="294"/>
      <c r="AC713" s="294"/>
    </row>
    <row r="714" ht="15.75" customHeight="1">
      <c r="A714" s="294"/>
      <c r="B714" s="294"/>
      <c r="C714" s="294"/>
      <c r="D714" s="294"/>
      <c r="E714" s="294"/>
      <c r="F714" s="294"/>
      <c r="G714" s="295"/>
      <c r="H714" s="294"/>
      <c r="I714" s="294"/>
      <c r="J714" s="294"/>
      <c r="K714" s="294"/>
      <c r="L714" s="294"/>
      <c r="M714" s="294"/>
      <c r="N714" s="294"/>
      <c r="O714" s="294"/>
      <c r="P714" s="294"/>
      <c r="Q714" s="294"/>
      <c r="R714" s="294"/>
      <c r="S714" s="294"/>
      <c r="T714" s="294"/>
      <c r="U714" s="294"/>
      <c r="V714" s="294"/>
      <c r="W714" s="294"/>
      <c r="X714" s="294"/>
      <c r="Y714" s="294"/>
      <c r="Z714" s="294"/>
      <c r="AA714" s="294"/>
      <c r="AB714" s="294"/>
      <c r="AC714" s="294"/>
    </row>
    <row r="715" ht="15.75" customHeight="1">
      <c r="A715" s="294"/>
      <c r="B715" s="294"/>
      <c r="C715" s="294"/>
      <c r="D715" s="294"/>
      <c r="E715" s="294"/>
      <c r="F715" s="294"/>
      <c r="G715" s="295"/>
      <c r="H715" s="294"/>
      <c r="I715" s="294"/>
      <c r="J715" s="294"/>
      <c r="K715" s="294"/>
      <c r="L715" s="294"/>
      <c r="M715" s="294"/>
      <c r="N715" s="294"/>
      <c r="O715" s="294"/>
      <c r="P715" s="294"/>
      <c r="Q715" s="294"/>
      <c r="R715" s="294"/>
      <c r="S715" s="294"/>
      <c r="T715" s="294"/>
      <c r="U715" s="294"/>
      <c r="V715" s="294"/>
      <c r="W715" s="294"/>
      <c r="X715" s="294"/>
      <c r="Y715" s="294"/>
      <c r="Z715" s="294"/>
      <c r="AA715" s="294"/>
      <c r="AB715" s="294"/>
      <c r="AC715" s="294"/>
    </row>
    <row r="716" ht="15.75" customHeight="1">
      <c r="A716" s="294"/>
      <c r="B716" s="294"/>
      <c r="C716" s="294"/>
      <c r="D716" s="294"/>
      <c r="E716" s="294"/>
      <c r="F716" s="294"/>
      <c r="G716" s="295"/>
      <c r="H716" s="294"/>
      <c r="I716" s="294"/>
      <c r="J716" s="294"/>
      <c r="K716" s="294"/>
      <c r="L716" s="294"/>
      <c r="M716" s="294"/>
      <c r="N716" s="294"/>
      <c r="O716" s="294"/>
      <c r="P716" s="294"/>
      <c r="Q716" s="294"/>
      <c r="R716" s="294"/>
      <c r="S716" s="294"/>
      <c r="T716" s="294"/>
      <c r="U716" s="294"/>
      <c r="V716" s="294"/>
      <c r="W716" s="294"/>
      <c r="X716" s="294"/>
      <c r="Y716" s="294"/>
      <c r="Z716" s="294"/>
      <c r="AA716" s="294"/>
      <c r="AB716" s="294"/>
      <c r="AC716" s="294"/>
    </row>
    <row r="717" ht="15.75" customHeight="1">
      <c r="A717" s="294"/>
      <c r="B717" s="294"/>
      <c r="C717" s="294"/>
      <c r="D717" s="294"/>
      <c r="E717" s="294"/>
      <c r="F717" s="294"/>
      <c r="G717" s="295"/>
      <c r="H717" s="294"/>
      <c r="I717" s="294"/>
      <c r="J717" s="294"/>
      <c r="K717" s="294"/>
      <c r="L717" s="294"/>
      <c r="M717" s="294"/>
      <c r="N717" s="294"/>
      <c r="O717" s="294"/>
      <c r="P717" s="294"/>
      <c r="Q717" s="294"/>
      <c r="R717" s="294"/>
      <c r="S717" s="294"/>
      <c r="T717" s="294"/>
      <c r="U717" s="294"/>
      <c r="V717" s="294"/>
      <c r="W717" s="294"/>
      <c r="X717" s="294"/>
      <c r="Y717" s="294"/>
      <c r="Z717" s="294"/>
      <c r="AA717" s="294"/>
      <c r="AB717" s="294"/>
      <c r="AC717" s="294"/>
    </row>
    <row r="718" ht="15.75" customHeight="1">
      <c r="A718" s="294"/>
      <c r="B718" s="294"/>
      <c r="C718" s="294"/>
      <c r="D718" s="294"/>
      <c r="E718" s="294"/>
      <c r="F718" s="294"/>
      <c r="G718" s="295"/>
      <c r="H718" s="294"/>
      <c r="I718" s="294"/>
      <c r="J718" s="294"/>
      <c r="K718" s="294"/>
      <c r="L718" s="294"/>
      <c r="M718" s="294"/>
      <c r="N718" s="294"/>
      <c r="O718" s="294"/>
      <c r="P718" s="294"/>
      <c r="Q718" s="294"/>
      <c r="R718" s="294"/>
      <c r="S718" s="294"/>
      <c r="T718" s="294"/>
      <c r="U718" s="294"/>
      <c r="V718" s="294"/>
      <c r="W718" s="294"/>
      <c r="X718" s="294"/>
      <c r="Y718" s="294"/>
      <c r="Z718" s="294"/>
      <c r="AA718" s="294"/>
      <c r="AB718" s="294"/>
      <c r="AC718" s="294"/>
    </row>
    <row r="719" ht="15.75" customHeight="1">
      <c r="A719" s="294"/>
      <c r="B719" s="294"/>
      <c r="C719" s="294"/>
      <c r="D719" s="294"/>
      <c r="E719" s="294"/>
      <c r="F719" s="294"/>
      <c r="G719" s="295"/>
      <c r="H719" s="294"/>
      <c r="I719" s="294"/>
      <c r="J719" s="294"/>
      <c r="K719" s="294"/>
      <c r="L719" s="294"/>
      <c r="M719" s="294"/>
      <c r="N719" s="294"/>
      <c r="O719" s="294"/>
      <c r="P719" s="294"/>
      <c r="Q719" s="294"/>
      <c r="R719" s="294"/>
      <c r="S719" s="294"/>
      <c r="T719" s="294"/>
      <c r="U719" s="294"/>
      <c r="V719" s="294"/>
      <c r="W719" s="294"/>
      <c r="X719" s="294"/>
      <c r="Y719" s="294"/>
      <c r="Z719" s="294"/>
      <c r="AA719" s="294"/>
      <c r="AB719" s="294"/>
      <c r="AC719" s="294"/>
    </row>
    <row r="720" ht="15.75" customHeight="1">
      <c r="A720" s="294"/>
      <c r="B720" s="294"/>
      <c r="C720" s="294"/>
      <c r="D720" s="294"/>
      <c r="E720" s="294"/>
      <c r="F720" s="294"/>
      <c r="G720" s="295"/>
      <c r="H720" s="294"/>
      <c r="I720" s="294"/>
      <c r="J720" s="294"/>
      <c r="K720" s="294"/>
      <c r="L720" s="294"/>
      <c r="M720" s="294"/>
      <c r="N720" s="294"/>
      <c r="O720" s="294"/>
      <c r="P720" s="294"/>
      <c r="Q720" s="294"/>
      <c r="R720" s="294"/>
      <c r="S720" s="294"/>
      <c r="T720" s="294"/>
      <c r="U720" s="294"/>
      <c r="V720" s="294"/>
      <c r="W720" s="294"/>
      <c r="X720" s="294"/>
      <c r="Y720" s="294"/>
      <c r="Z720" s="294"/>
      <c r="AA720" s="294"/>
      <c r="AB720" s="294"/>
      <c r="AC720" s="294"/>
    </row>
    <row r="721" ht="15.75" customHeight="1">
      <c r="A721" s="294"/>
      <c r="B721" s="294"/>
      <c r="C721" s="294"/>
      <c r="D721" s="294"/>
      <c r="E721" s="294"/>
      <c r="F721" s="294"/>
      <c r="G721" s="295"/>
      <c r="H721" s="294"/>
      <c r="I721" s="294"/>
      <c r="J721" s="294"/>
      <c r="K721" s="294"/>
      <c r="L721" s="294"/>
      <c r="M721" s="294"/>
      <c r="N721" s="294"/>
      <c r="O721" s="294"/>
      <c r="P721" s="294"/>
      <c r="Q721" s="294"/>
      <c r="R721" s="294"/>
      <c r="S721" s="294"/>
      <c r="T721" s="294"/>
      <c r="U721" s="294"/>
      <c r="V721" s="294"/>
      <c r="W721" s="294"/>
      <c r="X721" s="294"/>
      <c r="Y721" s="294"/>
      <c r="Z721" s="294"/>
      <c r="AA721" s="294"/>
      <c r="AB721" s="294"/>
      <c r="AC721" s="294"/>
    </row>
    <row r="722" ht="15.75" customHeight="1">
      <c r="A722" s="294"/>
      <c r="B722" s="294"/>
      <c r="C722" s="294"/>
      <c r="D722" s="294"/>
      <c r="E722" s="294"/>
      <c r="F722" s="294"/>
      <c r="G722" s="295"/>
      <c r="H722" s="294"/>
      <c r="I722" s="294"/>
      <c r="J722" s="294"/>
      <c r="K722" s="294"/>
      <c r="L722" s="294"/>
      <c r="M722" s="294"/>
      <c r="N722" s="294"/>
      <c r="O722" s="294"/>
      <c r="P722" s="294"/>
      <c r="Q722" s="294"/>
      <c r="R722" s="294"/>
      <c r="S722" s="294"/>
      <c r="T722" s="294"/>
      <c r="U722" s="294"/>
      <c r="V722" s="294"/>
      <c r="W722" s="294"/>
      <c r="X722" s="294"/>
      <c r="Y722" s="294"/>
      <c r="Z722" s="294"/>
      <c r="AA722" s="294"/>
      <c r="AB722" s="294"/>
      <c r="AC722" s="294"/>
    </row>
    <row r="723" ht="15.75" customHeight="1">
      <c r="A723" s="294"/>
      <c r="B723" s="294"/>
      <c r="C723" s="294"/>
      <c r="D723" s="294"/>
      <c r="E723" s="294"/>
      <c r="F723" s="294"/>
      <c r="G723" s="295"/>
      <c r="H723" s="294"/>
      <c r="I723" s="294"/>
      <c r="J723" s="294"/>
      <c r="K723" s="294"/>
      <c r="L723" s="294"/>
      <c r="M723" s="294"/>
      <c r="N723" s="294"/>
      <c r="O723" s="294"/>
      <c r="P723" s="294"/>
      <c r="Q723" s="294"/>
      <c r="R723" s="294"/>
      <c r="S723" s="294"/>
      <c r="T723" s="294"/>
      <c r="U723" s="294"/>
      <c r="V723" s="294"/>
      <c r="W723" s="294"/>
      <c r="X723" s="294"/>
      <c r="Y723" s="294"/>
      <c r="Z723" s="294"/>
      <c r="AA723" s="294"/>
      <c r="AB723" s="294"/>
      <c r="AC723" s="294"/>
    </row>
    <row r="724" ht="15.75" customHeight="1">
      <c r="A724" s="294"/>
      <c r="B724" s="294"/>
      <c r="C724" s="294"/>
      <c r="D724" s="294"/>
      <c r="E724" s="294"/>
      <c r="F724" s="294"/>
      <c r="G724" s="295"/>
      <c r="H724" s="294"/>
      <c r="I724" s="294"/>
      <c r="J724" s="294"/>
      <c r="K724" s="294"/>
      <c r="L724" s="294"/>
      <c r="M724" s="294"/>
      <c r="N724" s="294"/>
      <c r="O724" s="294"/>
      <c r="P724" s="294"/>
      <c r="Q724" s="294"/>
      <c r="R724" s="294"/>
      <c r="S724" s="294"/>
      <c r="T724" s="294"/>
      <c r="U724" s="294"/>
      <c r="V724" s="294"/>
      <c r="W724" s="294"/>
      <c r="X724" s="294"/>
      <c r="Y724" s="294"/>
      <c r="Z724" s="294"/>
      <c r="AA724" s="294"/>
      <c r="AB724" s="294"/>
      <c r="AC724" s="294"/>
    </row>
    <row r="725" ht="15.75" customHeight="1">
      <c r="A725" s="294"/>
      <c r="B725" s="294"/>
      <c r="C725" s="294"/>
      <c r="D725" s="294"/>
      <c r="E725" s="294"/>
      <c r="F725" s="294"/>
      <c r="G725" s="295"/>
      <c r="H725" s="294"/>
      <c r="I725" s="294"/>
      <c r="J725" s="294"/>
      <c r="K725" s="294"/>
      <c r="L725" s="294"/>
      <c r="M725" s="294"/>
      <c r="N725" s="294"/>
      <c r="O725" s="294"/>
      <c r="P725" s="294"/>
      <c r="Q725" s="294"/>
      <c r="R725" s="294"/>
      <c r="S725" s="294"/>
      <c r="T725" s="294"/>
      <c r="U725" s="294"/>
      <c r="V725" s="294"/>
      <c r="W725" s="294"/>
      <c r="X725" s="294"/>
      <c r="Y725" s="294"/>
      <c r="Z725" s="294"/>
      <c r="AA725" s="294"/>
      <c r="AB725" s="294"/>
      <c r="AC725" s="294"/>
    </row>
    <row r="726" ht="15.75" customHeight="1">
      <c r="A726" s="294"/>
      <c r="B726" s="294"/>
      <c r="C726" s="294"/>
      <c r="D726" s="294"/>
      <c r="E726" s="294"/>
      <c r="F726" s="294"/>
      <c r="G726" s="295"/>
      <c r="H726" s="294"/>
      <c r="I726" s="294"/>
      <c r="J726" s="294"/>
      <c r="K726" s="294"/>
      <c r="L726" s="294"/>
      <c r="M726" s="294"/>
      <c r="N726" s="294"/>
      <c r="O726" s="294"/>
      <c r="P726" s="294"/>
      <c r="Q726" s="294"/>
      <c r="R726" s="294"/>
      <c r="S726" s="294"/>
      <c r="T726" s="294"/>
      <c r="U726" s="294"/>
      <c r="V726" s="294"/>
      <c r="W726" s="294"/>
      <c r="X726" s="294"/>
      <c r="Y726" s="294"/>
      <c r="Z726" s="294"/>
      <c r="AA726" s="294"/>
      <c r="AB726" s="294"/>
      <c r="AC726" s="294"/>
    </row>
    <row r="727" ht="15.75" customHeight="1">
      <c r="A727" s="294"/>
      <c r="B727" s="294"/>
      <c r="C727" s="294"/>
      <c r="D727" s="294"/>
      <c r="E727" s="294"/>
      <c r="F727" s="294"/>
      <c r="G727" s="295"/>
      <c r="H727" s="294"/>
      <c r="I727" s="294"/>
      <c r="J727" s="294"/>
      <c r="K727" s="294"/>
      <c r="L727" s="294"/>
      <c r="M727" s="294"/>
      <c r="N727" s="294"/>
      <c r="O727" s="294"/>
      <c r="P727" s="294"/>
      <c r="Q727" s="294"/>
      <c r="R727" s="294"/>
      <c r="S727" s="294"/>
      <c r="T727" s="294"/>
      <c r="U727" s="294"/>
      <c r="V727" s="294"/>
      <c r="W727" s="294"/>
      <c r="X727" s="294"/>
      <c r="Y727" s="294"/>
      <c r="Z727" s="294"/>
      <c r="AA727" s="294"/>
      <c r="AB727" s="294"/>
      <c r="AC727" s="294"/>
    </row>
    <row r="728" ht="15.75" customHeight="1">
      <c r="A728" s="294"/>
      <c r="B728" s="294"/>
      <c r="C728" s="294"/>
      <c r="D728" s="294"/>
      <c r="E728" s="294"/>
      <c r="F728" s="294"/>
      <c r="G728" s="295"/>
      <c r="H728" s="294"/>
      <c r="I728" s="294"/>
      <c r="J728" s="294"/>
      <c r="K728" s="294"/>
      <c r="L728" s="294"/>
      <c r="M728" s="294"/>
      <c r="N728" s="294"/>
      <c r="O728" s="294"/>
      <c r="P728" s="294"/>
      <c r="Q728" s="294"/>
      <c r="R728" s="294"/>
      <c r="S728" s="294"/>
      <c r="T728" s="294"/>
      <c r="U728" s="294"/>
      <c r="V728" s="294"/>
      <c r="W728" s="294"/>
      <c r="X728" s="294"/>
      <c r="Y728" s="294"/>
      <c r="Z728" s="294"/>
      <c r="AA728" s="294"/>
      <c r="AB728" s="294"/>
      <c r="AC728" s="294"/>
    </row>
    <row r="729" ht="15.75" customHeight="1">
      <c r="A729" s="294"/>
      <c r="B729" s="294"/>
      <c r="C729" s="294"/>
      <c r="D729" s="294"/>
      <c r="E729" s="294"/>
      <c r="F729" s="294"/>
      <c r="G729" s="295"/>
      <c r="H729" s="294"/>
      <c r="I729" s="294"/>
      <c r="J729" s="294"/>
      <c r="K729" s="294"/>
      <c r="L729" s="294"/>
      <c r="M729" s="294"/>
      <c r="N729" s="294"/>
      <c r="O729" s="294"/>
      <c r="P729" s="294"/>
      <c r="Q729" s="294"/>
      <c r="R729" s="294"/>
      <c r="S729" s="294"/>
      <c r="T729" s="294"/>
      <c r="U729" s="294"/>
      <c r="V729" s="294"/>
      <c r="W729" s="294"/>
      <c r="X729" s="294"/>
      <c r="Y729" s="294"/>
      <c r="Z729" s="294"/>
      <c r="AA729" s="294"/>
      <c r="AB729" s="294"/>
      <c r="AC729" s="294"/>
    </row>
    <row r="730" ht="15.75" customHeight="1">
      <c r="A730" s="294"/>
      <c r="B730" s="294"/>
      <c r="C730" s="294"/>
      <c r="D730" s="294"/>
      <c r="E730" s="294"/>
      <c r="F730" s="294"/>
      <c r="G730" s="295"/>
      <c r="H730" s="294"/>
      <c r="I730" s="294"/>
      <c r="J730" s="294"/>
      <c r="K730" s="294"/>
      <c r="L730" s="294"/>
      <c r="M730" s="294"/>
      <c r="N730" s="294"/>
      <c r="O730" s="294"/>
      <c r="P730" s="294"/>
      <c r="Q730" s="294"/>
      <c r="R730" s="294"/>
      <c r="S730" s="294"/>
      <c r="T730" s="294"/>
      <c r="U730" s="294"/>
      <c r="V730" s="294"/>
      <c r="W730" s="294"/>
      <c r="X730" s="294"/>
      <c r="Y730" s="294"/>
      <c r="Z730" s="294"/>
      <c r="AA730" s="294"/>
      <c r="AB730" s="294"/>
      <c r="AC730" s="294"/>
    </row>
    <row r="731" ht="15.75" customHeight="1">
      <c r="A731" s="294"/>
      <c r="B731" s="294"/>
      <c r="C731" s="294"/>
      <c r="D731" s="294"/>
      <c r="E731" s="294"/>
      <c r="F731" s="294"/>
      <c r="G731" s="295"/>
      <c r="H731" s="294"/>
      <c r="I731" s="294"/>
      <c r="J731" s="294"/>
      <c r="K731" s="294"/>
      <c r="L731" s="294"/>
      <c r="M731" s="294"/>
      <c r="N731" s="294"/>
      <c r="O731" s="294"/>
      <c r="P731" s="294"/>
      <c r="Q731" s="294"/>
      <c r="R731" s="294"/>
      <c r="S731" s="294"/>
      <c r="T731" s="294"/>
      <c r="U731" s="294"/>
      <c r="V731" s="294"/>
      <c r="W731" s="294"/>
      <c r="X731" s="294"/>
      <c r="Y731" s="294"/>
      <c r="Z731" s="294"/>
      <c r="AA731" s="294"/>
      <c r="AB731" s="294"/>
      <c r="AC731" s="294"/>
    </row>
    <row r="732" ht="15.75" customHeight="1">
      <c r="A732" s="294"/>
      <c r="B732" s="294"/>
      <c r="C732" s="294"/>
      <c r="D732" s="294"/>
      <c r="E732" s="294"/>
      <c r="F732" s="294"/>
      <c r="G732" s="295"/>
      <c r="H732" s="294"/>
      <c r="I732" s="294"/>
      <c r="J732" s="294"/>
      <c r="K732" s="294"/>
      <c r="L732" s="294"/>
      <c r="M732" s="294"/>
      <c r="N732" s="294"/>
      <c r="O732" s="294"/>
      <c r="P732" s="294"/>
      <c r="Q732" s="294"/>
      <c r="R732" s="294"/>
      <c r="S732" s="294"/>
      <c r="T732" s="294"/>
      <c r="U732" s="294"/>
      <c r="V732" s="294"/>
      <c r="W732" s="294"/>
      <c r="X732" s="294"/>
      <c r="Y732" s="294"/>
      <c r="Z732" s="294"/>
      <c r="AA732" s="294"/>
      <c r="AB732" s="294"/>
      <c r="AC732" s="294"/>
    </row>
    <row r="733" ht="15.75" customHeight="1">
      <c r="A733" s="294"/>
      <c r="B733" s="294"/>
      <c r="C733" s="294"/>
      <c r="D733" s="294"/>
      <c r="E733" s="294"/>
      <c r="F733" s="294"/>
      <c r="G733" s="295"/>
      <c r="H733" s="294"/>
      <c r="I733" s="294"/>
      <c r="J733" s="294"/>
      <c r="K733" s="294"/>
      <c r="L733" s="294"/>
      <c r="M733" s="294"/>
      <c r="N733" s="294"/>
      <c r="O733" s="294"/>
      <c r="P733" s="294"/>
      <c r="Q733" s="294"/>
      <c r="R733" s="294"/>
      <c r="S733" s="294"/>
      <c r="T733" s="294"/>
      <c r="U733" s="294"/>
      <c r="V733" s="294"/>
      <c r="W733" s="294"/>
      <c r="X733" s="294"/>
      <c r="Y733" s="294"/>
      <c r="Z733" s="294"/>
      <c r="AA733" s="294"/>
      <c r="AB733" s="294"/>
      <c r="AC733" s="294"/>
    </row>
    <row r="734" ht="15.75" customHeight="1">
      <c r="A734" s="294"/>
      <c r="B734" s="294"/>
      <c r="C734" s="294"/>
      <c r="D734" s="294"/>
      <c r="E734" s="294"/>
      <c r="F734" s="294"/>
      <c r="G734" s="295"/>
      <c r="H734" s="294"/>
      <c r="I734" s="294"/>
      <c r="J734" s="294"/>
      <c r="K734" s="294"/>
      <c r="L734" s="294"/>
      <c r="M734" s="294"/>
      <c r="N734" s="294"/>
      <c r="O734" s="294"/>
      <c r="P734" s="294"/>
      <c r="Q734" s="294"/>
      <c r="R734" s="294"/>
      <c r="S734" s="294"/>
      <c r="T734" s="294"/>
      <c r="U734" s="294"/>
      <c r="V734" s="294"/>
      <c r="W734" s="294"/>
      <c r="X734" s="294"/>
      <c r="Y734" s="294"/>
      <c r="Z734" s="294"/>
      <c r="AA734" s="294"/>
      <c r="AB734" s="294"/>
      <c r="AC734" s="294"/>
    </row>
    <row r="735" ht="15.75" customHeight="1">
      <c r="A735" s="294"/>
      <c r="B735" s="294"/>
      <c r="C735" s="294"/>
      <c r="D735" s="294"/>
      <c r="E735" s="294"/>
      <c r="F735" s="294"/>
      <c r="G735" s="295"/>
      <c r="H735" s="294"/>
      <c r="I735" s="294"/>
      <c r="J735" s="294"/>
      <c r="K735" s="294"/>
      <c r="L735" s="294"/>
      <c r="M735" s="294"/>
      <c r="N735" s="294"/>
      <c r="O735" s="294"/>
      <c r="P735" s="294"/>
      <c r="Q735" s="294"/>
      <c r="R735" s="294"/>
      <c r="S735" s="294"/>
      <c r="T735" s="294"/>
      <c r="U735" s="294"/>
      <c r="V735" s="294"/>
      <c r="W735" s="294"/>
      <c r="X735" s="294"/>
      <c r="Y735" s="294"/>
      <c r="Z735" s="294"/>
      <c r="AA735" s="294"/>
      <c r="AB735" s="294"/>
      <c r="AC735" s="294"/>
    </row>
    <row r="736" ht="15.75" customHeight="1">
      <c r="A736" s="294"/>
      <c r="B736" s="294"/>
      <c r="C736" s="294"/>
      <c r="D736" s="294"/>
      <c r="E736" s="294"/>
      <c r="F736" s="294"/>
      <c r="G736" s="295"/>
      <c r="H736" s="294"/>
      <c r="I736" s="294"/>
      <c r="J736" s="294"/>
      <c r="K736" s="294"/>
      <c r="L736" s="294"/>
      <c r="M736" s="294"/>
      <c r="N736" s="294"/>
      <c r="O736" s="294"/>
      <c r="P736" s="294"/>
      <c r="Q736" s="294"/>
      <c r="R736" s="294"/>
      <c r="S736" s="294"/>
      <c r="T736" s="294"/>
      <c r="U736" s="294"/>
      <c r="V736" s="294"/>
      <c r="W736" s="294"/>
      <c r="X736" s="294"/>
      <c r="Y736" s="294"/>
      <c r="Z736" s="294"/>
      <c r="AA736" s="294"/>
      <c r="AB736" s="294"/>
      <c r="AC736" s="294"/>
    </row>
    <row r="737" ht="15.75" customHeight="1">
      <c r="A737" s="294"/>
      <c r="B737" s="294"/>
      <c r="C737" s="294"/>
      <c r="D737" s="294"/>
      <c r="E737" s="294"/>
      <c r="F737" s="294"/>
      <c r="G737" s="295"/>
      <c r="H737" s="294"/>
      <c r="I737" s="294"/>
      <c r="J737" s="294"/>
      <c r="K737" s="294"/>
      <c r="L737" s="294"/>
      <c r="M737" s="294"/>
      <c r="N737" s="294"/>
      <c r="O737" s="294"/>
      <c r="P737" s="294"/>
      <c r="Q737" s="294"/>
      <c r="R737" s="294"/>
      <c r="S737" s="294"/>
      <c r="T737" s="294"/>
      <c r="U737" s="294"/>
      <c r="V737" s="294"/>
      <c r="W737" s="294"/>
      <c r="X737" s="294"/>
      <c r="Y737" s="294"/>
      <c r="Z737" s="294"/>
      <c r="AA737" s="294"/>
      <c r="AB737" s="294"/>
      <c r="AC737" s="294"/>
    </row>
    <row r="738" ht="15.75" customHeight="1">
      <c r="A738" s="294"/>
      <c r="B738" s="294"/>
      <c r="C738" s="294"/>
      <c r="D738" s="294"/>
      <c r="E738" s="294"/>
      <c r="F738" s="294"/>
      <c r="G738" s="295"/>
      <c r="H738" s="294"/>
      <c r="I738" s="294"/>
      <c r="J738" s="294"/>
      <c r="K738" s="294"/>
      <c r="L738" s="294"/>
      <c r="M738" s="294"/>
      <c r="N738" s="294"/>
      <c r="O738" s="294"/>
      <c r="P738" s="294"/>
      <c r="Q738" s="294"/>
      <c r="R738" s="294"/>
      <c r="S738" s="294"/>
      <c r="T738" s="294"/>
      <c r="U738" s="294"/>
      <c r="V738" s="294"/>
      <c r="W738" s="294"/>
      <c r="X738" s="294"/>
      <c r="Y738" s="294"/>
      <c r="Z738" s="294"/>
      <c r="AA738" s="294"/>
      <c r="AB738" s="294"/>
      <c r="AC738" s="294"/>
    </row>
    <row r="739" ht="15.75" customHeight="1">
      <c r="A739" s="294"/>
      <c r="B739" s="294"/>
      <c r="C739" s="294"/>
      <c r="D739" s="294"/>
      <c r="E739" s="294"/>
      <c r="F739" s="294"/>
      <c r="G739" s="295"/>
      <c r="H739" s="294"/>
      <c r="I739" s="294"/>
      <c r="J739" s="294"/>
      <c r="K739" s="294"/>
      <c r="L739" s="294"/>
      <c r="M739" s="294"/>
      <c r="N739" s="294"/>
      <c r="O739" s="294"/>
      <c r="P739" s="294"/>
      <c r="Q739" s="294"/>
      <c r="R739" s="294"/>
      <c r="S739" s="294"/>
      <c r="T739" s="294"/>
      <c r="U739" s="294"/>
      <c r="V739" s="294"/>
      <c r="W739" s="294"/>
      <c r="X739" s="294"/>
      <c r="Y739" s="294"/>
      <c r="Z739" s="294"/>
      <c r="AA739" s="294"/>
      <c r="AB739" s="294"/>
      <c r="AC739" s="294"/>
    </row>
    <row r="740" ht="15.75" customHeight="1">
      <c r="A740" s="294"/>
      <c r="B740" s="294"/>
      <c r="C740" s="294"/>
      <c r="D740" s="294"/>
      <c r="E740" s="294"/>
      <c r="F740" s="294"/>
      <c r="G740" s="295"/>
      <c r="H740" s="294"/>
      <c r="I740" s="294"/>
      <c r="J740" s="294"/>
      <c r="K740" s="294"/>
      <c r="L740" s="294"/>
      <c r="M740" s="294"/>
      <c r="N740" s="294"/>
      <c r="O740" s="294"/>
      <c r="P740" s="294"/>
      <c r="Q740" s="294"/>
      <c r="R740" s="294"/>
      <c r="S740" s="294"/>
      <c r="T740" s="294"/>
      <c r="U740" s="294"/>
      <c r="V740" s="294"/>
      <c r="W740" s="294"/>
      <c r="X740" s="294"/>
      <c r="Y740" s="294"/>
      <c r="Z740" s="294"/>
      <c r="AA740" s="294"/>
      <c r="AB740" s="294"/>
      <c r="AC740" s="294"/>
    </row>
    <row r="741" ht="15.75" customHeight="1">
      <c r="A741" s="294"/>
      <c r="B741" s="294"/>
      <c r="C741" s="294"/>
      <c r="D741" s="294"/>
      <c r="E741" s="294"/>
      <c r="F741" s="294"/>
      <c r="G741" s="295"/>
      <c r="H741" s="294"/>
      <c r="I741" s="294"/>
      <c r="J741" s="294"/>
      <c r="K741" s="294"/>
      <c r="L741" s="294"/>
      <c r="M741" s="294"/>
      <c r="N741" s="294"/>
      <c r="O741" s="294"/>
      <c r="P741" s="294"/>
      <c r="Q741" s="294"/>
      <c r="R741" s="294"/>
      <c r="S741" s="294"/>
      <c r="T741" s="294"/>
      <c r="U741" s="294"/>
      <c r="V741" s="294"/>
      <c r="W741" s="294"/>
      <c r="X741" s="294"/>
      <c r="Y741" s="294"/>
      <c r="Z741" s="294"/>
      <c r="AA741" s="294"/>
      <c r="AB741" s="294"/>
      <c r="AC741" s="294"/>
    </row>
    <row r="742" ht="15.75" customHeight="1">
      <c r="A742" s="294"/>
      <c r="B742" s="294"/>
      <c r="C742" s="294"/>
      <c r="D742" s="294"/>
      <c r="E742" s="294"/>
      <c r="F742" s="294"/>
      <c r="G742" s="295"/>
      <c r="H742" s="294"/>
      <c r="I742" s="294"/>
      <c r="J742" s="294"/>
      <c r="K742" s="294"/>
      <c r="L742" s="294"/>
      <c r="M742" s="294"/>
      <c r="N742" s="294"/>
      <c r="O742" s="294"/>
      <c r="P742" s="294"/>
      <c r="Q742" s="294"/>
      <c r="R742" s="294"/>
      <c r="S742" s="294"/>
      <c r="T742" s="294"/>
      <c r="U742" s="294"/>
      <c r="V742" s="294"/>
      <c r="W742" s="294"/>
      <c r="X742" s="294"/>
      <c r="Y742" s="294"/>
      <c r="Z742" s="294"/>
      <c r="AA742" s="294"/>
      <c r="AB742" s="294"/>
      <c r="AC742" s="294"/>
    </row>
    <row r="743" ht="15.75" customHeight="1">
      <c r="A743" s="294"/>
      <c r="B743" s="294"/>
      <c r="C743" s="294"/>
      <c r="D743" s="294"/>
      <c r="E743" s="294"/>
      <c r="F743" s="294"/>
      <c r="G743" s="295"/>
      <c r="H743" s="294"/>
      <c r="I743" s="294"/>
      <c r="J743" s="294"/>
      <c r="K743" s="294"/>
      <c r="L743" s="294"/>
      <c r="M743" s="294"/>
      <c r="N743" s="294"/>
      <c r="O743" s="294"/>
      <c r="P743" s="294"/>
      <c r="Q743" s="294"/>
      <c r="R743" s="294"/>
      <c r="S743" s="294"/>
      <c r="T743" s="294"/>
      <c r="U743" s="294"/>
      <c r="V743" s="294"/>
      <c r="W743" s="294"/>
      <c r="X743" s="294"/>
      <c r="Y743" s="294"/>
      <c r="Z743" s="294"/>
      <c r="AA743" s="294"/>
      <c r="AB743" s="294"/>
      <c r="AC743" s="294"/>
    </row>
    <row r="744" ht="15.75" customHeight="1">
      <c r="A744" s="294"/>
      <c r="B744" s="294"/>
      <c r="C744" s="294"/>
      <c r="D744" s="294"/>
      <c r="E744" s="294"/>
      <c r="F744" s="294"/>
      <c r="G744" s="295"/>
      <c r="H744" s="294"/>
      <c r="I744" s="294"/>
      <c r="J744" s="294"/>
      <c r="K744" s="294"/>
      <c r="L744" s="294"/>
      <c r="M744" s="294"/>
      <c r="N744" s="294"/>
      <c r="O744" s="294"/>
      <c r="P744" s="294"/>
      <c r="Q744" s="294"/>
      <c r="R744" s="294"/>
      <c r="S744" s="294"/>
      <c r="T744" s="294"/>
      <c r="U744" s="294"/>
      <c r="V744" s="294"/>
      <c r="W744" s="294"/>
      <c r="X744" s="294"/>
      <c r="Y744" s="294"/>
      <c r="Z744" s="294"/>
      <c r="AA744" s="294"/>
      <c r="AB744" s="294"/>
      <c r="AC744" s="294"/>
    </row>
    <row r="745" ht="15.75" customHeight="1">
      <c r="A745" s="294"/>
      <c r="B745" s="294"/>
      <c r="C745" s="294"/>
      <c r="D745" s="294"/>
      <c r="E745" s="294"/>
      <c r="F745" s="294"/>
      <c r="G745" s="295"/>
      <c r="H745" s="294"/>
      <c r="I745" s="294"/>
      <c r="J745" s="294"/>
      <c r="K745" s="294"/>
      <c r="L745" s="294"/>
      <c r="M745" s="294"/>
      <c r="N745" s="294"/>
      <c r="O745" s="294"/>
      <c r="P745" s="294"/>
      <c r="Q745" s="294"/>
      <c r="R745" s="294"/>
      <c r="S745" s="294"/>
      <c r="T745" s="294"/>
      <c r="U745" s="294"/>
      <c r="V745" s="294"/>
      <c r="W745" s="294"/>
      <c r="X745" s="294"/>
      <c r="Y745" s="294"/>
      <c r="Z745" s="294"/>
      <c r="AA745" s="294"/>
      <c r="AB745" s="294"/>
      <c r="AC745" s="294"/>
    </row>
    <row r="746" ht="15.75" customHeight="1">
      <c r="A746" s="294"/>
      <c r="B746" s="294"/>
      <c r="C746" s="294"/>
      <c r="D746" s="294"/>
      <c r="E746" s="294"/>
      <c r="F746" s="294"/>
      <c r="G746" s="295"/>
      <c r="H746" s="294"/>
      <c r="I746" s="294"/>
      <c r="J746" s="294"/>
      <c r="K746" s="294"/>
      <c r="L746" s="294"/>
      <c r="M746" s="294"/>
      <c r="N746" s="294"/>
      <c r="O746" s="294"/>
      <c r="P746" s="294"/>
      <c r="Q746" s="294"/>
      <c r="R746" s="294"/>
      <c r="S746" s="294"/>
      <c r="T746" s="294"/>
      <c r="U746" s="294"/>
      <c r="V746" s="294"/>
      <c r="W746" s="294"/>
      <c r="X746" s="294"/>
      <c r="Y746" s="294"/>
      <c r="Z746" s="294"/>
      <c r="AA746" s="294"/>
      <c r="AB746" s="294"/>
      <c r="AC746" s="294"/>
    </row>
    <row r="747" ht="15.75" customHeight="1">
      <c r="A747" s="294"/>
      <c r="B747" s="294"/>
      <c r="C747" s="294"/>
      <c r="D747" s="294"/>
      <c r="E747" s="294"/>
      <c r="F747" s="294"/>
      <c r="G747" s="295"/>
      <c r="H747" s="294"/>
      <c r="I747" s="294"/>
      <c r="J747" s="294"/>
      <c r="K747" s="294"/>
      <c r="L747" s="294"/>
      <c r="M747" s="294"/>
      <c r="N747" s="294"/>
      <c r="O747" s="294"/>
      <c r="P747" s="294"/>
      <c r="Q747" s="294"/>
      <c r="R747" s="294"/>
      <c r="S747" s="294"/>
      <c r="T747" s="294"/>
      <c r="U747" s="294"/>
      <c r="V747" s="294"/>
      <c r="W747" s="294"/>
      <c r="X747" s="294"/>
      <c r="Y747" s="294"/>
      <c r="Z747" s="294"/>
      <c r="AA747" s="294"/>
      <c r="AB747" s="294"/>
      <c r="AC747" s="294"/>
    </row>
    <row r="748" ht="15.75" customHeight="1">
      <c r="A748" s="294"/>
      <c r="B748" s="294"/>
      <c r="C748" s="294"/>
      <c r="D748" s="294"/>
      <c r="E748" s="294"/>
      <c r="F748" s="294"/>
      <c r="G748" s="295"/>
      <c r="H748" s="294"/>
      <c r="I748" s="294"/>
      <c r="J748" s="294"/>
      <c r="K748" s="294"/>
      <c r="L748" s="294"/>
      <c r="M748" s="294"/>
      <c r="N748" s="294"/>
      <c r="O748" s="294"/>
      <c r="P748" s="294"/>
      <c r="Q748" s="294"/>
      <c r="R748" s="294"/>
      <c r="S748" s="294"/>
      <c r="T748" s="294"/>
      <c r="U748" s="294"/>
      <c r="V748" s="294"/>
      <c r="W748" s="294"/>
      <c r="X748" s="294"/>
      <c r="Y748" s="294"/>
      <c r="Z748" s="294"/>
      <c r="AA748" s="294"/>
      <c r="AB748" s="294"/>
      <c r="AC748" s="294"/>
    </row>
    <row r="749" ht="15.75" customHeight="1">
      <c r="A749" s="294"/>
      <c r="B749" s="294"/>
      <c r="C749" s="294"/>
      <c r="D749" s="294"/>
      <c r="E749" s="294"/>
      <c r="F749" s="294"/>
      <c r="G749" s="295"/>
      <c r="H749" s="294"/>
      <c r="I749" s="294"/>
      <c r="J749" s="294"/>
      <c r="K749" s="294"/>
      <c r="L749" s="294"/>
      <c r="M749" s="294"/>
      <c r="N749" s="294"/>
      <c r="O749" s="294"/>
      <c r="P749" s="294"/>
      <c r="Q749" s="294"/>
      <c r="R749" s="294"/>
      <c r="S749" s="294"/>
      <c r="T749" s="294"/>
      <c r="U749" s="294"/>
      <c r="V749" s="294"/>
      <c r="W749" s="294"/>
      <c r="X749" s="294"/>
      <c r="Y749" s="294"/>
      <c r="Z749" s="294"/>
      <c r="AA749" s="294"/>
      <c r="AB749" s="294"/>
      <c r="AC749" s="294"/>
    </row>
    <row r="750" ht="15.75" customHeight="1">
      <c r="A750" s="294"/>
      <c r="B750" s="294"/>
      <c r="C750" s="294"/>
      <c r="D750" s="294"/>
      <c r="E750" s="294"/>
      <c r="F750" s="294"/>
      <c r="G750" s="295"/>
      <c r="H750" s="294"/>
      <c r="I750" s="294"/>
      <c r="J750" s="294"/>
      <c r="K750" s="294"/>
      <c r="L750" s="294"/>
      <c r="M750" s="294"/>
      <c r="N750" s="294"/>
      <c r="O750" s="294"/>
      <c r="P750" s="294"/>
      <c r="Q750" s="294"/>
      <c r="R750" s="294"/>
      <c r="S750" s="294"/>
      <c r="T750" s="294"/>
      <c r="U750" s="294"/>
      <c r="V750" s="294"/>
      <c r="W750" s="294"/>
      <c r="X750" s="294"/>
      <c r="Y750" s="294"/>
      <c r="Z750" s="294"/>
      <c r="AA750" s="294"/>
      <c r="AB750" s="294"/>
      <c r="AC750" s="294"/>
    </row>
    <row r="751" ht="15.75" customHeight="1">
      <c r="A751" s="294"/>
      <c r="B751" s="294"/>
      <c r="C751" s="294"/>
      <c r="D751" s="294"/>
      <c r="E751" s="294"/>
      <c r="F751" s="294"/>
      <c r="G751" s="295"/>
      <c r="H751" s="294"/>
      <c r="I751" s="294"/>
      <c r="J751" s="294"/>
      <c r="K751" s="294"/>
      <c r="L751" s="294"/>
      <c r="M751" s="294"/>
      <c r="N751" s="294"/>
      <c r="O751" s="294"/>
      <c r="P751" s="294"/>
      <c r="Q751" s="294"/>
      <c r="R751" s="294"/>
      <c r="S751" s="294"/>
      <c r="T751" s="294"/>
      <c r="U751" s="294"/>
      <c r="V751" s="294"/>
      <c r="W751" s="294"/>
      <c r="X751" s="294"/>
      <c r="Y751" s="294"/>
      <c r="Z751" s="294"/>
      <c r="AA751" s="294"/>
      <c r="AB751" s="294"/>
      <c r="AC751" s="294"/>
    </row>
    <row r="752" ht="15.75" customHeight="1">
      <c r="A752" s="294"/>
      <c r="B752" s="294"/>
      <c r="C752" s="294"/>
      <c r="D752" s="294"/>
      <c r="E752" s="294"/>
      <c r="F752" s="294"/>
      <c r="G752" s="295"/>
      <c r="H752" s="294"/>
      <c r="I752" s="294"/>
      <c r="J752" s="294"/>
      <c r="K752" s="294"/>
      <c r="L752" s="294"/>
      <c r="M752" s="294"/>
      <c r="N752" s="294"/>
      <c r="O752" s="294"/>
      <c r="P752" s="294"/>
      <c r="Q752" s="294"/>
      <c r="R752" s="294"/>
      <c r="S752" s="294"/>
      <c r="T752" s="294"/>
      <c r="U752" s="294"/>
      <c r="V752" s="294"/>
      <c r="W752" s="294"/>
      <c r="X752" s="294"/>
      <c r="Y752" s="294"/>
      <c r="Z752" s="294"/>
      <c r="AA752" s="294"/>
      <c r="AB752" s="294"/>
      <c r="AC752" s="294"/>
    </row>
    <row r="753" ht="15.75" customHeight="1">
      <c r="A753" s="294"/>
      <c r="B753" s="294"/>
      <c r="C753" s="294"/>
      <c r="D753" s="294"/>
      <c r="E753" s="294"/>
      <c r="F753" s="294"/>
      <c r="G753" s="295"/>
      <c r="H753" s="294"/>
      <c r="I753" s="294"/>
      <c r="J753" s="294"/>
      <c r="K753" s="294"/>
      <c r="L753" s="294"/>
      <c r="M753" s="294"/>
      <c r="N753" s="294"/>
      <c r="O753" s="294"/>
      <c r="P753" s="294"/>
      <c r="Q753" s="294"/>
      <c r="R753" s="294"/>
      <c r="S753" s="294"/>
      <c r="T753" s="294"/>
      <c r="U753" s="294"/>
      <c r="V753" s="294"/>
      <c r="W753" s="294"/>
      <c r="X753" s="294"/>
      <c r="Y753" s="294"/>
      <c r="Z753" s="294"/>
      <c r="AA753" s="294"/>
      <c r="AB753" s="294"/>
      <c r="AC753" s="294"/>
    </row>
    <row r="754" ht="15.75" customHeight="1">
      <c r="A754" s="294"/>
      <c r="B754" s="294"/>
      <c r="C754" s="294"/>
      <c r="D754" s="294"/>
      <c r="E754" s="294"/>
      <c r="F754" s="294"/>
      <c r="G754" s="295"/>
      <c r="H754" s="294"/>
      <c r="I754" s="294"/>
      <c r="J754" s="294"/>
      <c r="K754" s="294"/>
      <c r="L754" s="294"/>
      <c r="M754" s="294"/>
      <c r="N754" s="294"/>
      <c r="O754" s="294"/>
      <c r="P754" s="294"/>
      <c r="Q754" s="294"/>
      <c r="R754" s="294"/>
      <c r="S754" s="294"/>
      <c r="T754" s="294"/>
      <c r="U754" s="294"/>
      <c r="V754" s="294"/>
      <c r="W754" s="294"/>
      <c r="X754" s="294"/>
      <c r="Y754" s="294"/>
      <c r="Z754" s="294"/>
      <c r="AA754" s="294"/>
      <c r="AB754" s="294"/>
      <c r="AC754" s="294"/>
    </row>
    <row r="755" ht="15.75" customHeight="1">
      <c r="A755" s="294"/>
      <c r="B755" s="294"/>
      <c r="C755" s="294"/>
      <c r="D755" s="294"/>
      <c r="E755" s="294"/>
      <c r="F755" s="294"/>
      <c r="G755" s="295"/>
      <c r="H755" s="294"/>
      <c r="I755" s="294"/>
      <c r="J755" s="294"/>
      <c r="K755" s="294"/>
      <c r="L755" s="294"/>
      <c r="M755" s="294"/>
      <c r="N755" s="294"/>
      <c r="O755" s="294"/>
      <c r="P755" s="294"/>
      <c r="Q755" s="294"/>
      <c r="R755" s="294"/>
      <c r="S755" s="294"/>
      <c r="T755" s="294"/>
      <c r="U755" s="294"/>
      <c r="V755" s="294"/>
      <c r="W755" s="294"/>
      <c r="X755" s="294"/>
      <c r="Y755" s="294"/>
      <c r="Z755" s="294"/>
      <c r="AA755" s="294"/>
      <c r="AB755" s="294"/>
      <c r="AC755" s="294"/>
    </row>
    <row r="756" ht="15.75" customHeight="1">
      <c r="A756" s="294"/>
      <c r="B756" s="294"/>
      <c r="C756" s="294"/>
      <c r="D756" s="294"/>
      <c r="E756" s="294"/>
      <c r="F756" s="294"/>
      <c r="G756" s="295"/>
      <c r="H756" s="294"/>
      <c r="I756" s="294"/>
      <c r="J756" s="294"/>
      <c r="K756" s="294"/>
      <c r="L756" s="294"/>
      <c r="M756" s="294"/>
      <c r="N756" s="294"/>
      <c r="O756" s="294"/>
      <c r="P756" s="294"/>
      <c r="Q756" s="294"/>
      <c r="R756" s="294"/>
      <c r="S756" s="294"/>
      <c r="T756" s="294"/>
      <c r="U756" s="294"/>
      <c r="V756" s="294"/>
      <c r="W756" s="294"/>
      <c r="X756" s="294"/>
      <c r="Y756" s="294"/>
      <c r="Z756" s="294"/>
      <c r="AA756" s="294"/>
      <c r="AB756" s="294"/>
      <c r="AC756" s="294"/>
    </row>
    <row r="757" ht="15.75" customHeight="1">
      <c r="A757" s="294"/>
      <c r="B757" s="294"/>
      <c r="C757" s="294"/>
      <c r="D757" s="294"/>
      <c r="E757" s="294"/>
      <c r="F757" s="294"/>
      <c r="G757" s="295"/>
      <c r="H757" s="294"/>
      <c r="I757" s="294"/>
      <c r="J757" s="294"/>
      <c r="K757" s="294"/>
      <c r="L757" s="294"/>
      <c r="M757" s="294"/>
      <c r="N757" s="294"/>
      <c r="O757" s="294"/>
      <c r="P757" s="294"/>
      <c r="Q757" s="294"/>
      <c r="R757" s="294"/>
      <c r="S757" s="294"/>
      <c r="T757" s="294"/>
      <c r="U757" s="294"/>
      <c r="V757" s="294"/>
      <c r="W757" s="294"/>
      <c r="X757" s="294"/>
      <c r="Y757" s="294"/>
      <c r="Z757" s="294"/>
      <c r="AA757" s="294"/>
      <c r="AB757" s="294"/>
      <c r="AC757" s="294"/>
    </row>
    <row r="758" ht="15.75" customHeight="1">
      <c r="A758" s="294"/>
      <c r="B758" s="294"/>
      <c r="C758" s="294"/>
      <c r="D758" s="294"/>
      <c r="E758" s="294"/>
      <c r="F758" s="294"/>
      <c r="G758" s="295"/>
      <c r="H758" s="294"/>
      <c r="I758" s="294"/>
      <c r="J758" s="294"/>
      <c r="K758" s="294"/>
      <c r="L758" s="294"/>
      <c r="M758" s="294"/>
      <c r="N758" s="294"/>
      <c r="O758" s="294"/>
      <c r="P758" s="294"/>
      <c r="Q758" s="294"/>
      <c r="R758" s="294"/>
      <c r="S758" s="294"/>
      <c r="T758" s="294"/>
      <c r="U758" s="294"/>
      <c r="V758" s="294"/>
      <c r="W758" s="294"/>
      <c r="X758" s="294"/>
      <c r="Y758" s="294"/>
      <c r="Z758" s="294"/>
      <c r="AA758" s="294"/>
      <c r="AB758" s="294"/>
      <c r="AC758" s="294"/>
    </row>
    <row r="759" ht="15.75" customHeight="1">
      <c r="A759" s="294"/>
      <c r="B759" s="294"/>
      <c r="C759" s="294"/>
      <c r="D759" s="294"/>
      <c r="E759" s="294"/>
      <c r="F759" s="294"/>
      <c r="G759" s="295"/>
      <c r="H759" s="294"/>
      <c r="I759" s="294"/>
      <c r="J759" s="294"/>
      <c r="K759" s="294"/>
      <c r="L759" s="294"/>
      <c r="M759" s="294"/>
      <c r="N759" s="294"/>
      <c r="O759" s="294"/>
      <c r="P759" s="294"/>
      <c r="Q759" s="294"/>
      <c r="R759" s="294"/>
      <c r="S759" s="294"/>
      <c r="T759" s="294"/>
      <c r="U759" s="294"/>
      <c r="V759" s="294"/>
      <c r="W759" s="294"/>
      <c r="X759" s="294"/>
      <c r="Y759" s="294"/>
      <c r="Z759" s="294"/>
      <c r="AA759" s="294"/>
      <c r="AB759" s="294"/>
      <c r="AC759" s="294"/>
    </row>
    <row r="760" ht="15.75" customHeight="1">
      <c r="A760" s="294"/>
      <c r="B760" s="294"/>
      <c r="C760" s="294"/>
      <c r="D760" s="294"/>
      <c r="E760" s="294"/>
      <c r="F760" s="294"/>
      <c r="G760" s="295"/>
      <c r="H760" s="294"/>
      <c r="I760" s="294"/>
      <c r="J760" s="294"/>
      <c r="K760" s="294"/>
      <c r="L760" s="294"/>
      <c r="M760" s="294"/>
      <c r="N760" s="294"/>
      <c r="O760" s="294"/>
      <c r="P760" s="294"/>
      <c r="Q760" s="294"/>
      <c r="R760" s="294"/>
      <c r="S760" s="294"/>
      <c r="T760" s="294"/>
      <c r="U760" s="294"/>
      <c r="V760" s="294"/>
      <c r="W760" s="294"/>
      <c r="X760" s="294"/>
      <c r="Y760" s="294"/>
      <c r="Z760" s="294"/>
      <c r="AA760" s="294"/>
      <c r="AB760" s="294"/>
      <c r="AC760" s="294"/>
    </row>
    <row r="761" ht="15.75" customHeight="1">
      <c r="A761" s="294"/>
      <c r="B761" s="294"/>
      <c r="C761" s="294"/>
      <c r="D761" s="294"/>
      <c r="E761" s="294"/>
      <c r="F761" s="294"/>
      <c r="G761" s="295"/>
      <c r="H761" s="294"/>
      <c r="I761" s="294"/>
      <c r="J761" s="294"/>
      <c r="K761" s="294"/>
      <c r="L761" s="294"/>
      <c r="M761" s="294"/>
      <c r="N761" s="294"/>
      <c r="O761" s="294"/>
      <c r="P761" s="294"/>
      <c r="Q761" s="294"/>
      <c r="R761" s="294"/>
      <c r="S761" s="294"/>
      <c r="T761" s="294"/>
      <c r="U761" s="294"/>
      <c r="V761" s="294"/>
      <c r="W761" s="294"/>
      <c r="X761" s="294"/>
      <c r="Y761" s="294"/>
      <c r="Z761" s="294"/>
      <c r="AA761" s="294"/>
      <c r="AB761" s="294"/>
      <c r="AC761" s="294"/>
    </row>
    <row r="762" ht="15.75" customHeight="1">
      <c r="A762" s="294"/>
      <c r="B762" s="294"/>
      <c r="C762" s="294"/>
      <c r="D762" s="294"/>
      <c r="E762" s="294"/>
      <c r="F762" s="294"/>
      <c r="G762" s="295"/>
      <c r="H762" s="294"/>
      <c r="I762" s="294"/>
      <c r="J762" s="294"/>
      <c r="K762" s="294"/>
      <c r="L762" s="294"/>
      <c r="M762" s="294"/>
      <c r="N762" s="294"/>
      <c r="O762" s="294"/>
      <c r="P762" s="294"/>
      <c r="Q762" s="294"/>
      <c r="R762" s="294"/>
      <c r="S762" s="294"/>
      <c r="T762" s="294"/>
      <c r="U762" s="294"/>
      <c r="V762" s="294"/>
      <c r="W762" s="294"/>
      <c r="X762" s="294"/>
      <c r="Y762" s="294"/>
      <c r="Z762" s="294"/>
      <c r="AA762" s="294"/>
      <c r="AB762" s="294"/>
      <c r="AC762" s="294"/>
    </row>
    <row r="763" ht="15.75" customHeight="1">
      <c r="A763" s="294"/>
      <c r="B763" s="294"/>
      <c r="C763" s="294"/>
      <c r="D763" s="294"/>
      <c r="E763" s="294"/>
      <c r="F763" s="294"/>
      <c r="G763" s="295"/>
      <c r="H763" s="294"/>
      <c r="I763" s="294"/>
      <c r="J763" s="294"/>
      <c r="K763" s="294"/>
      <c r="L763" s="294"/>
      <c r="M763" s="294"/>
      <c r="N763" s="294"/>
      <c r="O763" s="294"/>
      <c r="P763" s="294"/>
      <c r="Q763" s="294"/>
      <c r="R763" s="294"/>
      <c r="S763" s="294"/>
      <c r="T763" s="294"/>
      <c r="U763" s="294"/>
      <c r="V763" s="294"/>
      <c r="W763" s="294"/>
      <c r="X763" s="294"/>
      <c r="Y763" s="294"/>
      <c r="Z763" s="294"/>
      <c r="AA763" s="294"/>
      <c r="AB763" s="294"/>
      <c r="AC763" s="294"/>
    </row>
    <row r="764" ht="15.75" customHeight="1">
      <c r="A764" s="294"/>
      <c r="B764" s="294"/>
      <c r="C764" s="294"/>
      <c r="D764" s="294"/>
      <c r="E764" s="294"/>
      <c r="F764" s="294"/>
      <c r="G764" s="295"/>
      <c r="H764" s="294"/>
      <c r="I764" s="294"/>
      <c r="J764" s="294"/>
      <c r="K764" s="294"/>
      <c r="L764" s="294"/>
      <c r="M764" s="294"/>
      <c r="N764" s="294"/>
      <c r="O764" s="294"/>
      <c r="P764" s="294"/>
      <c r="Q764" s="294"/>
      <c r="R764" s="294"/>
      <c r="S764" s="294"/>
      <c r="T764" s="294"/>
      <c r="U764" s="294"/>
      <c r="V764" s="294"/>
      <c r="W764" s="294"/>
      <c r="X764" s="294"/>
      <c r="Y764" s="294"/>
      <c r="Z764" s="294"/>
      <c r="AA764" s="294"/>
      <c r="AB764" s="294"/>
      <c r="AC764" s="294"/>
    </row>
    <row r="765" ht="15.75" customHeight="1">
      <c r="A765" s="294"/>
      <c r="B765" s="294"/>
      <c r="C765" s="294"/>
      <c r="D765" s="294"/>
      <c r="E765" s="294"/>
      <c r="F765" s="294"/>
      <c r="G765" s="295"/>
      <c r="H765" s="294"/>
      <c r="I765" s="294"/>
      <c r="J765" s="294"/>
      <c r="K765" s="294"/>
      <c r="L765" s="294"/>
      <c r="M765" s="294"/>
      <c r="N765" s="294"/>
      <c r="O765" s="294"/>
      <c r="P765" s="294"/>
      <c r="Q765" s="294"/>
      <c r="R765" s="294"/>
      <c r="S765" s="294"/>
      <c r="T765" s="294"/>
      <c r="U765" s="294"/>
      <c r="V765" s="294"/>
      <c r="W765" s="294"/>
      <c r="X765" s="294"/>
      <c r="Y765" s="294"/>
      <c r="Z765" s="294"/>
      <c r="AA765" s="294"/>
      <c r="AB765" s="294"/>
      <c r="AC765" s="294"/>
    </row>
    <row r="766" ht="15.75" customHeight="1">
      <c r="A766" s="294"/>
      <c r="B766" s="294"/>
      <c r="C766" s="294"/>
      <c r="D766" s="294"/>
      <c r="E766" s="294"/>
      <c r="F766" s="294"/>
      <c r="G766" s="295"/>
      <c r="H766" s="294"/>
      <c r="I766" s="294"/>
      <c r="J766" s="294"/>
      <c r="K766" s="294"/>
      <c r="L766" s="294"/>
      <c r="M766" s="294"/>
      <c r="N766" s="294"/>
      <c r="O766" s="294"/>
      <c r="P766" s="294"/>
      <c r="Q766" s="294"/>
      <c r="R766" s="294"/>
      <c r="S766" s="294"/>
      <c r="T766" s="294"/>
      <c r="U766" s="294"/>
      <c r="V766" s="294"/>
      <c r="W766" s="294"/>
      <c r="X766" s="294"/>
      <c r="Y766" s="294"/>
      <c r="Z766" s="294"/>
      <c r="AA766" s="294"/>
      <c r="AB766" s="294"/>
      <c r="AC766" s="294"/>
    </row>
    <row r="767" ht="15.75" customHeight="1">
      <c r="A767" s="294"/>
      <c r="B767" s="294"/>
      <c r="C767" s="294"/>
      <c r="D767" s="294"/>
      <c r="E767" s="294"/>
      <c r="F767" s="294"/>
      <c r="G767" s="295"/>
      <c r="H767" s="294"/>
      <c r="I767" s="294"/>
      <c r="J767" s="294"/>
      <c r="K767" s="294"/>
      <c r="L767" s="294"/>
      <c r="M767" s="294"/>
      <c r="N767" s="294"/>
      <c r="O767" s="294"/>
      <c r="P767" s="294"/>
      <c r="Q767" s="294"/>
      <c r="R767" s="294"/>
      <c r="S767" s="294"/>
      <c r="T767" s="294"/>
      <c r="U767" s="294"/>
      <c r="V767" s="294"/>
      <c r="W767" s="294"/>
      <c r="X767" s="294"/>
      <c r="Y767" s="294"/>
      <c r="Z767" s="294"/>
      <c r="AA767" s="294"/>
      <c r="AB767" s="294"/>
      <c r="AC767" s="294"/>
    </row>
    <row r="768" ht="15.75" customHeight="1">
      <c r="A768" s="294"/>
      <c r="B768" s="294"/>
      <c r="C768" s="294"/>
      <c r="D768" s="294"/>
      <c r="E768" s="294"/>
      <c r="F768" s="294"/>
      <c r="G768" s="295"/>
      <c r="H768" s="294"/>
      <c r="I768" s="294"/>
      <c r="J768" s="294"/>
      <c r="K768" s="294"/>
      <c r="L768" s="294"/>
      <c r="M768" s="294"/>
      <c r="N768" s="294"/>
      <c r="O768" s="294"/>
      <c r="P768" s="294"/>
      <c r="Q768" s="294"/>
      <c r="R768" s="294"/>
      <c r="S768" s="294"/>
      <c r="T768" s="294"/>
      <c r="U768" s="294"/>
      <c r="V768" s="294"/>
      <c r="W768" s="294"/>
      <c r="X768" s="294"/>
      <c r="Y768" s="294"/>
      <c r="Z768" s="294"/>
      <c r="AA768" s="294"/>
      <c r="AB768" s="294"/>
      <c r="AC768" s="294"/>
    </row>
    <row r="769" ht="15.75" customHeight="1">
      <c r="A769" s="294"/>
      <c r="B769" s="294"/>
      <c r="C769" s="294"/>
      <c r="D769" s="294"/>
      <c r="E769" s="294"/>
      <c r="F769" s="294"/>
      <c r="G769" s="295"/>
      <c r="H769" s="294"/>
      <c r="I769" s="294"/>
      <c r="J769" s="294"/>
      <c r="K769" s="294"/>
      <c r="L769" s="294"/>
      <c r="M769" s="294"/>
      <c r="N769" s="294"/>
      <c r="O769" s="294"/>
      <c r="P769" s="294"/>
      <c r="Q769" s="294"/>
      <c r="R769" s="294"/>
      <c r="S769" s="294"/>
      <c r="T769" s="294"/>
      <c r="U769" s="294"/>
      <c r="V769" s="294"/>
      <c r="W769" s="294"/>
      <c r="X769" s="294"/>
      <c r="Y769" s="294"/>
      <c r="Z769" s="294"/>
      <c r="AA769" s="294"/>
      <c r="AB769" s="294"/>
      <c r="AC769" s="294"/>
    </row>
    <row r="770" ht="15.75" customHeight="1">
      <c r="A770" s="294"/>
      <c r="B770" s="294"/>
      <c r="C770" s="294"/>
      <c r="D770" s="294"/>
      <c r="E770" s="294"/>
      <c r="F770" s="294"/>
      <c r="G770" s="295"/>
      <c r="H770" s="294"/>
      <c r="I770" s="294"/>
      <c r="J770" s="294"/>
      <c r="K770" s="294"/>
      <c r="L770" s="294"/>
      <c r="M770" s="294"/>
      <c r="N770" s="294"/>
      <c r="O770" s="294"/>
      <c r="P770" s="294"/>
      <c r="Q770" s="294"/>
      <c r="R770" s="294"/>
      <c r="S770" s="294"/>
      <c r="T770" s="294"/>
      <c r="U770" s="294"/>
      <c r="V770" s="294"/>
      <c r="W770" s="294"/>
      <c r="X770" s="294"/>
      <c r="Y770" s="294"/>
      <c r="Z770" s="294"/>
      <c r="AA770" s="294"/>
      <c r="AB770" s="294"/>
      <c r="AC770" s="294"/>
    </row>
    <row r="771" ht="15.75" customHeight="1">
      <c r="A771" s="294"/>
      <c r="B771" s="294"/>
      <c r="C771" s="294"/>
      <c r="D771" s="294"/>
      <c r="E771" s="294"/>
      <c r="F771" s="294"/>
      <c r="G771" s="295"/>
      <c r="H771" s="294"/>
      <c r="I771" s="294"/>
      <c r="J771" s="294"/>
      <c r="K771" s="294"/>
      <c r="L771" s="294"/>
      <c r="M771" s="294"/>
      <c r="N771" s="294"/>
      <c r="O771" s="294"/>
      <c r="P771" s="294"/>
      <c r="Q771" s="294"/>
      <c r="R771" s="294"/>
      <c r="S771" s="294"/>
      <c r="T771" s="294"/>
      <c r="U771" s="294"/>
      <c r="V771" s="294"/>
      <c r="W771" s="294"/>
      <c r="X771" s="294"/>
      <c r="Y771" s="294"/>
      <c r="Z771" s="294"/>
      <c r="AA771" s="294"/>
      <c r="AB771" s="294"/>
      <c r="AC771" s="294"/>
    </row>
    <row r="772" ht="15.75" customHeight="1">
      <c r="A772" s="294"/>
      <c r="B772" s="294"/>
      <c r="C772" s="294"/>
      <c r="D772" s="294"/>
      <c r="E772" s="294"/>
      <c r="F772" s="294"/>
      <c r="G772" s="295"/>
      <c r="H772" s="294"/>
      <c r="I772" s="294"/>
      <c r="J772" s="294"/>
      <c r="K772" s="294"/>
      <c r="L772" s="294"/>
      <c r="M772" s="294"/>
      <c r="N772" s="294"/>
      <c r="O772" s="294"/>
      <c r="P772" s="294"/>
      <c r="Q772" s="294"/>
      <c r="R772" s="294"/>
      <c r="S772" s="294"/>
      <c r="T772" s="294"/>
      <c r="U772" s="294"/>
      <c r="V772" s="294"/>
      <c r="W772" s="294"/>
      <c r="X772" s="294"/>
      <c r="Y772" s="294"/>
      <c r="Z772" s="294"/>
      <c r="AA772" s="294"/>
      <c r="AB772" s="294"/>
      <c r="AC772" s="294"/>
    </row>
    <row r="773" ht="15.75" customHeight="1">
      <c r="A773" s="294"/>
      <c r="B773" s="294"/>
      <c r="C773" s="294"/>
      <c r="D773" s="294"/>
      <c r="E773" s="294"/>
      <c r="F773" s="294"/>
      <c r="G773" s="295"/>
      <c r="H773" s="294"/>
      <c r="I773" s="294"/>
      <c r="J773" s="294"/>
      <c r="K773" s="294"/>
      <c r="L773" s="294"/>
      <c r="M773" s="294"/>
      <c r="N773" s="294"/>
      <c r="O773" s="294"/>
      <c r="P773" s="294"/>
      <c r="Q773" s="294"/>
      <c r="R773" s="294"/>
      <c r="S773" s="294"/>
      <c r="T773" s="294"/>
      <c r="U773" s="294"/>
      <c r="V773" s="294"/>
      <c r="W773" s="294"/>
      <c r="X773" s="294"/>
      <c r="Y773" s="294"/>
      <c r="Z773" s="294"/>
      <c r="AA773" s="294"/>
      <c r="AB773" s="294"/>
      <c r="AC773" s="294"/>
    </row>
    <row r="774" ht="15.75" customHeight="1">
      <c r="A774" s="294"/>
      <c r="B774" s="294"/>
      <c r="C774" s="294"/>
      <c r="D774" s="294"/>
      <c r="E774" s="294"/>
      <c r="F774" s="294"/>
      <c r="G774" s="295"/>
      <c r="H774" s="294"/>
      <c r="I774" s="294"/>
      <c r="J774" s="294"/>
      <c r="K774" s="294"/>
      <c r="L774" s="294"/>
      <c r="M774" s="294"/>
      <c r="N774" s="294"/>
      <c r="O774" s="294"/>
      <c r="P774" s="294"/>
      <c r="Q774" s="294"/>
      <c r="R774" s="294"/>
      <c r="S774" s="294"/>
      <c r="T774" s="294"/>
      <c r="U774" s="294"/>
      <c r="V774" s="294"/>
      <c r="W774" s="294"/>
      <c r="X774" s="294"/>
      <c r="Y774" s="294"/>
      <c r="Z774" s="294"/>
      <c r="AA774" s="294"/>
      <c r="AB774" s="294"/>
      <c r="AC774" s="294"/>
    </row>
    <row r="775" ht="15.75" customHeight="1">
      <c r="A775" s="294"/>
      <c r="B775" s="294"/>
      <c r="C775" s="294"/>
      <c r="D775" s="294"/>
      <c r="E775" s="294"/>
      <c r="F775" s="294"/>
      <c r="G775" s="295"/>
      <c r="H775" s="294"/>
      <c r="I775" s="294"/>
      <c r="J775" s="294"/>
      <c r="K775" s="294"/>
      <c r="L775" s="294"/>
      <c r="M775" s="294"/>
      <c r="N775" s="294"/>
      <c r="O775" s="294"/>
      <c r="P775" s="294"/>
      <c r="Q775" s="294"/>
      <c r="R775" s="294"/>
      <c r="S775" s="294"/>
      <c r="T775" s="294"/>
      <c r="U775" s="294"/>
      <c r="V775" s="294"/>
      <c r="W775" s="294"/>
      <c r="X775" s="294"/>
      <c r="Y775" s="294"/>
      <c r="Z775" s="294"/>
      <c r="AA775" s="294"/>
      <c r="AB775" s="294"/>
      <c r="AC775" s="294"/>
    </row>
    <row r="776" ht="15.75" customHeight="1">
      <c r="A776" s="294"/>
      <c r="B776" s="294"/>
      <c r="C776" s="294"/>
      <c r="D776" s="294"/>
      <c r="E776" s="294"/>
      <c r="F776" s="294"/>
      <c r="G776" s="295"/>
      <c r="H776" s="294"/>
      <c r="I776" s="294"/>
      <c r="J776" s="294"/>
      <c r="K776" s="294"/>
      <c r="L776" s="294"/>
      <c r="M776" s="294"/>
      <c r="N776" s="294"/>
      <c r="O776" s="294"/>
      <c r="P776" s="294"/>
      <c r="Q776" s="294"/>
      <c r="R776" s="294"/>
      <c r="S776" s="294"/>
      <c r="T776" s="294"/>
      <c r="U776" s="294"/>
      <c r="V776" s="294"/>
      <c r="W776" s="294"/>
      <c r="X776" s="294"/>
      <c r="Y776" s="294"/>
      <c r="Z776" s="294"/>
      <c r="AA776" s="294"/>
      <c r="AB776" s="294"/>
      <c r="AC776" s="294"/>
    </row>
    <row r="777" ht="15.75" customHeight="1">
      <c r="A777" s="294"/>
      <c r="B777" s="294"/>
      <c r="C777" s="294"/>
      <c r="D777" s="294"/>
      <c r="E777" s="294"/>
      <c r="F777" s="294"/>
      <c r="G777" s="295"/>
      <c r="H777" s="294"/>
      <c r="I777" s="294"/>
      <c r="J777" s="294"/>
      <c r="K777" s="294"/>
      <c r="L777" s="294"/>
      <c r="M777" s="294"/>
      <c r="N777" s="294"/>
      <c r="O777" s="294"/>
      <c r="P777" s="294"/>
      <c r="Q777" s="294"/>
      <c r="R777" s="294"/>
      <c r="S777" s="294"/>
      <c r="T777" s="294"/>
      <c r="U777" s="294"/>
      <c r="V777" s="294"/>
      <c r="W777" s="294"/>
      <c r="X777" s="294"/>
      <c r="Y777" s="294"/>
      <c r="Z777" s="294"/>
      <c r="AA777" s="294"/>
      <c r="AB777" s="294"/>
      <c r="AC777" s="294"/>
    </row>
    <row r="778" ht="15.75" customHeight="1">
      <c r="A778" s="294"/>
      <c r="B778" s="294"/>
      <c r="C778" s="294"/>
      <c r="D778" s="294"/>
      <c r="E778" s="294"/>
      <c r="F778" s="294"/>
      <c r="G778" s="295"/>
      <c r="H778" s="294"/>
      <c r="I778" s="294"/>
      <c r="J778" s="294"/>
      <c r="K778" s="294"/>
      <c r="L778" s="294"/>
      <c r="M778" s="294"/>
      <c r="N778" s="294"/>
      <c r="O778" s="294"/>
      <c r="P778" s="294"/>
      <c r="Q778" s="294"/>
      <c r="R778" s="294"/>
      <c r="S778" s="294"/>
      <c r="T778" s="294"/>
      <c r="U778" s="294"/>
      <c r="V778" s="294"/>
      <c r="W778" s="294"/>
      <c r="X778" s="294"/>
      <c r="Y778" s="294"/>
      <c r="Z778" s="294"/>
      <c r="AA778" s="294"/>
      <c r="AB778" s="294"/>
      <c r="AC778" s="294"/>
    </row>
    <row r="779" ht="15.75" customHeight="1">
      <c r="A779" s="294"/>
      <c r="B779" s="294"/>
      <c r="C779" s="294"/>
      <c r="D779" s="294"/>
      <c r="E779" s="294"/>
      <c r="F779" s="294"/>
      <c r="G779" s="295"/>
      <c r="H779" s="294"/>
      <c r="I779" s="294"/>
      <c r="J779" s="294"/>
      <c r="K779" s="294"/>
      <c r="L779" s="294"/>
      <c r="M779" s="294"/>
      <c r="N779" s="294"/>
      <c r="O779" s="294"/>
      <c r="P779" s="294"/>
      <c r="Q779" s="294"/>
      <c r="R779" s="294"/>
      <c r="S779" s="294"/>
      <c r="T779" s="294"/>
      <c r="U779" s="294"/>
      <c r="V779" s="294"/>
      <c r="W779" s="294"/>
      <c r="X779" s="294"/>
      <c r="Y779" s="294"/>
      <c r="Z779" s="294"/>
      <c r="AA779" s="294"/>
      <c r="AB779" s="294"/>
      <c r="AC779" s="294"/>
    </row>
    <row r="780" ht="15.75" customHeight="1">
      <c r="A780" s="294"/>
      <c r="B780" s="294"/>
      <c r="C780" s="294"/>
      <c r="D780" s="294"/>
      <c r="E780" s="294"/>
      <c r="F780" s="294"/>
      <c r="G780" s="295"/>
      <c r="H780" s="294"/>
      <c r="I780" s="294"/>
      <c r="J780" s="294"/>
      <c r="K780" s="294"/>
      <c r="L780" s="294"/>
      <c r="M780" s="294"/>
      <c r="N780" s="294"/>
      <c r="O780" s="294"/>
      <c r="P780" s="294"/>
      <c r="Q780" s="294"/>
      <c r="R780" s="294"/>
      <c r="S780" s="294"/>
      <c r="T780" s="294"/>
      <c r="U780" s="294"/>
      <c r="V780" s="294"/>
      <c r="W780" s="294"/>
      <c r="X780" s="294"/>
      <c r="Y780" s="294"/>
      <c r="Z780" s="294"/>
      <c r="AA780" s="294"/>
      <c r="AB780" s="294"/>
      <c r="AC780" s="294"/>
    </row>
    <row r="781" ht="15.75" customHeight="1">
      <c r="A781" s="294"/>
      <c r="B781" s="294"/>
      <c r="C781" s="294"/>
      <c r="D781" s="294"/>
      <c r="E781" s="294"/>
      <c r="F781" s="294"/>
      <c r="G781" s="295"/>
      <c r="H781" s="294"/>
      <c r="I781" s="294"/>
      <c r="J781" s="294"/>
      <c r="K781" s="294"/>
      <c r="L781" s="294"/>
      <c r="M781" s="294"/>
      <c r="N781" s="294"/>
      <c r="O781" s="294"/>
      <c r="P781" s="294"/>
      <c r="Q781" s="294"/>
      <c r="R781" s="294"/>
      <c r="S781" s="294"/>
      <c r="T781" s="294"/>
      <c r="U781" s="294"/>
      <c r="V781" s="294"/>
      <c r="W781" s="294"/>
      <c r="X781" s="294"/>
      <c r="Y781" s="294"/>
      <c r="Z781" s="294"/>
      <c r="AA781" s="294"/>
      <c r="AB781" s="294"/>
      <c r="AC781" s="294"/>
    </row>
    <row r="782" ht="15.75" customHeight="1">
      <c r="A782" s="294"/>
      <c r="B782" s="294"/>
      <c r="C782" s="294"/>
      <c r="D782" s="294"/>
      <c r="E782" s="294"/>
      <c r="F782" s="294"/>
      <c r="G782" s="295"/>
      <c r="H782" s="294"/>
      <c r="I782" s="294"/>
      <c r="J782" s="294"/>
      <c r="K782" s="294"/>
      <c r="L782" s="294"/>
      <c r="M782" s="294"/>
      <c r="N782" s="294"/>
      <c r="O782" s="294"/>
      <c r="P782" s="294"/>
      <c r="Q782" s="294"/>
      <c r="R782" s="294"/>
      <c r="S782" s="294"/>
      <c r="T782" s="294"/>
      <c r="U782" s="294"/>
      <c r="V782" s="294"/>
      <c r="W782" s="294"/>
      <c r="X782" s="294"/>
      <c r="Y782" s="294"/>
      <c r="Z782" s="294"/>
      <c r="AA782" s="294"/>
      <c r="AB782" s="294"/>
      <c r="AC782" s="294"/>
    </row>
    <row r="783" ht="15.75" customHeight="1">
      <c r="A783" s="294"/>
      <c r="B783" s="294"/>
      <c r="C783" s="294"/>
      <c r="D783" s="294"/>
      <c r="E783" s="294"/>
      <c r="F783" s="294"/>
      <c r="G783" s="295"/>
      <c r="H783" s="294"/>
      <c r="I783" s="294"/>
      <c r="J783" s="294"/>
      <c r="K783" s="294"/>
      <c r="L783" s="294"/>
      <c r="M783" s="294"/>
      <c r="N783" s="294"/>
      <c r="O783" s="294"/>
      <c r="P783" s="294"/>
      <c r="Q783" s="294"/>
      <c r="R783" s="294"/>
      <c r="S783" s="294"/>
      <c r="T783" s="294"/>
      <c r="U783" s="294"/>
      <c r="V783" s="294"/>
      <c r="W783" s="294"/>
      <c r="X783" s="294"/>
      <c r="Y783" s="294"/>
      <c r="Z783" s="294"/>
      <c r="AA783" s="294"/>
      <c r="AB783" s="294"/>
      <c r="AC783" s="294"/>
    </row>
    <row r="784" ht="15.75" customHeight="1">
      <c r="A784" s="294"/>
      <c r="B784" s="294"/>
      <c r="C784" s="294"/>
      <c r="D784" s="294"/>
      <c r="E784" s="294"/>
      <c r="F784" s="294"/>
      <c r="G784" s="295"/>
      <c r="H784" s="294"/>
      <c r="I784" s="294"/>
      <c r="J784" s="294"/>
      <c r="K784" s="294"/>
      <c r="L784" s="294"/>
      <c r="M784" s="294"/>
      <c r="N784" s="294"/>
      <c r="O784" s="294"/>
      <c r="P784" s="294"/>
      <c r="Q784" s="294"/>
      <c r="R784" s="294"/>
      <c r="S784" s="294"/>
      <c r="T784" s="294"/>
      <c r="U784" s="294"/>
      <c r="V784" s="294"/>
      <c r="W784" s="294"/>
      <c r="X784" s="294"/>
      <c r="Y784" s="294"/>
      <c r="Z784" s="294"/>
      <c r="AA784" s="294"/>
      <c r="AB784" s="294"/>
      <c r="AC784" s="294"/>
    </row>
    <row r="785" ht="15.75" customHeight="1">
      <c r="A785" s="294"/>
      <c r="B785" s="294"/>
      <c r="C785" s="294"/>
      <c r="D785" s="294"/>
      <c r="E785" s="294"/>
      <c r="F785" s="294"/>
      <c r="G785" s="295"/>
      <c r="H785" s="294"/>
      <c r="I785" s="294"/>
      <c r="J785" s="294"/>
      <c r="K785" s="294"/>
      <c r="L785" s="294"/>
      <c r="M785" s="294"/>
      <c r="N785" s="294"/>
      <c r="O785" s="294"/>
      <c r="P785" s="294"/>
      <c r="Q785" s="294"/>
      <c r="R785" s="294"/>
      <c r="S785" s="294"/>
      <c r="T785" s="294"/>
      <c r="U785" s="294"/>
      <c r="V785" s="294"/>
      <c r="W785" s="294"/>
      <c r="X785" s="294"/>
      <c r="Y785" s="294"/>
      <c r="Z785" s="294"/>
      <c r="AA785" s="294"/>
      <c r="AB785" s="294"/>
      <c r="AC785" s="294"/>
    </row>
    <row r="786" ht="15.75" customHeight="1">
      <c r="A786" s="294"/>
      <c r="B786" s="294"/>
      <c r="C786" s="294"/>
      <c r="D786" s="294"/>
      <c r="E786" s="294"/>
      <c r="F786" s="294"/>
      <c r="G786" s="295"/>
      <c r="H786" s="294"/>
      <c r="I786" s="294"/>
      <c r="J786" s="294"/>
      <c r="K786" s="294"/>
      <c r="L786" s="294"/>
      <c r="M786" s="294"/>
      <c r="N786" s="294"/>
      <c r="O786" s="294"/>
      <c r="P786" s="294"/>
      <c r="Q786" s="294"/>
      <c r="R786" s="294"/>
      <c r="S786" s="294"/>
      <c r="T786" s="294"/>
      <c r="U786" s="294"/>
      <c r="V786" s="294"/>
      <c r="W786" s="294"/>
      <c r="X786" s="294"/>
      <c r="Y786" s="294"/>
      <c r="Z786" s="294"/>
      <c r="AA786" s="294"/>
      <c r="AB786" s="294"/>
      <c r="AC786" s="294"/>
    </row>
    <row r="787" ht="15.75" customHeight="1">
      <c r="A787" s="294"/>
      <c r="B787" s="294"/>
      <c r="C787" s="294"/>
      <c r="D787" s="294"/>
      <c r="E787" s="294"/>
      <c r="F787" s="294"/>
      <c r="G787" s="295"/>
      <c r="H787" s="294"/>
      <c r="I787" s="294"/>
      <c r="J787" s="294"/>
      <c r="K787" s="294"/>
      <c r="L787" s="294"/>
      <c r="M787" s="294"/>
      <c r="N787" s="294"/>
      <c r="O787" s="294"/>
      <c r="P787" s="294"/>
      <c r="Q787" s="294"/>
      <c r="R787" s="294"/>
      <c r="S787" s="294"/>
      <c r="T787" s="294"/>
      <c r="U787" s="294"/>
      <c r="V787" s="294"/>
      <c r="W787" s="294"/>
      <c r="X787" s="294"/>
      <c r="Y787" s="294"/>
      <c r="Z787" s="294"/>
      <c r="AA787" s="294"/>
      <c r="AB787" s="294"/>
      <c r="AC787" s="294"/>
    </row>
    <row r="788" ht="15.75" customHeight="1">
      <c r="A788" s="294"/>
      <c r="B788" s="294"/>
      <c r="C788" s="294"/>
      <c r="D788" s="294"/>
      <c r="E788" s="294"/>
      <c r="F788" s="294"/>
      <c r="G788" s="295"/>
      <c r="H788" s="294"/>
      <c r="I788" s="294"/>
      <c r="J788" s="294"/>
      <c r="K788" s="294"/>
      <c r="L788" s="294"/>
      <c r="M788" s="294"/>
      <c r="N788" s="294"/>
      <c r="O788" s="294"/>
      <c r="P788" s="294"/>
      <c r="Q788" s="294"/>
      <c r="R788" s="294"/>
      <c r="S788" s="294"/>
      <c r="T788" s="294"/>
      <c r="U788" s="294"/>
      <c r="V788" s="294"/>
      <c r="W788" s="294"/>
      <c r="X788" s="294"/>
      <c r="Y788" s="294"/>
      <c r="Z788" s="294"/>
      <c r="AA788" s="294"/>
      <c r="AB788" s="294"/>
      <c r="AC788" s="294"/>
    </row>
    <row r="789" ht="15.75" customHeight="1">
      <c r="A789" s="294"/>
      <c r="B789" s="294"/>
      <c r="C789" s="294"/>
      <c r="D789" s="294"/>
      <c r="E789" s="294"/>
      <c r="F789" s="294"/>
      <c r="G789" s="295"/>
      <c r="H789" s="294"/>
      <c r="I789" s="294"/>
      <c r="J789" s="294"/>
      <c r="K789" s="294"/>
      <c r="L789" s="294"/>
      <c r="M789" s="294"/>
      <c r="N789" s="294"/>
      <c r="O789" s="294"/>
      <c r="P789" s="294"/>
      <c r="Q789" s="294"/>
      <c r="R789" s="294"/>
      <c r="S789" s="294"/>
      <c r="T789" s="294"/>
      <c r="U789" s="294"/>
      <c r="V789" s="294"/>
      <c r="W789" s="294"/>
      <c r="X789" s="294"/>
      <c r="Y789" s="294"/>
      <c r="Z789" s="294"/>
      <c r="AA789" s="294"/>
      <c r="AB789" s="294"/>
      <c r="AC789" s="294"/>
    </row>
    <row r="790" ht="15.75" customHeight="1">
      <c r="A790" s="294"/>
      <c r="B790" s="294"/>
      <c r="C790" s="294"/>
      <c r="D790" s="294"/>
      <c r="E790" s="294"/>
      <c r="F790" s="294"/>
      <c r="G790" s="295"/>
      <c r="H790" s="294"/>
      <c r="I790" s="294"/>
      <c r="J790" s="294"/>
      <c r="K790" s="294"/>
      <c r="L790" s="294"/>
      <c r="M790" s="294"/>
      <c r="N790" s="294"/>
      <c r="O790" s="294"/>
      <c r="P790" s="294"/>
      <c r="Q790" s="294"/>
      <c r="R790" s="294"/>
      <c r="S790" s="294"/>
      <c r="T790" s="294"/>
      <c r="U790" s="294"/>
      <c r="V790" s="294"/>
      <c r="W790" s="294"/>
      <c r="X790" s="294"/>
      <c r="Y790" s="294"/>
      <c r="Z790" s="294"/>
      <c r="AA790" s="294"/>
      <c r="AB790" s="294"/>
      <c r="AC790" s="294"/>
    </row>
    <row r="791" ht="15.75" customHeight="1">
      <c r="A791" s="294"/>
      <c r="B791" s="294"/>
      <c r="C791" s="294"/>
      <c r="D791" s="294"/>
      <c r="E791" s="294"/>
      <c r="F791" s="294"/>
      <c r="G791" s="295"/>
      <c r="H791" s="294"/>
      <c r="I791" s="294"/>
      <c r="J791" s="294"/>
      <c r="K791" s="294"/>
      <c r="L791" s="294"/>
      <c r="M791" s="294"/>
      <c r="N791" s="294"/>
      <c r="O791" s="294"/>
      <c r="P791" s="294"/>
      <c r="Q791" s="294"/>
      <c r="R791" s="294"/>
      <c r="S791" s="294"/>
      <c r="T791" s="294"/>
      <c r="U791" s="294"/>
      <c r="V791" s="294"/>
      <c r="W791" s="294"/>
      <c r="X791" s="294"/>
      <c r="Y791" s="294"/>
      <c r="Z791" s="294"/>
      <c r="AA791" s="294"/>
      <c r="AB791" s="294"/>
      <c r="AC791" s="294"/>
    </row>
    <row r="792" ht="15.75" customHeight="1">
      <c r="A792" s="294"/>
      <c r="B792" s="294"/>
      <c r="C792" s="294"/>
      <c r="D792" s="294"/>
      <c r="E792" s="294"/>
      <c r="F792" s="294"/>
      <c r="G792" s="295"/>
      <c r="H792" s="294"/>
      <c r="I792" s="294"/>
      <c r="J792" s="294"/>
      <c r="K792" s="294"/>
      <c r="L792" s="294"/>
      <c r="M792" s="294"/>
      <c r="N792" s="294"/>
      <c r="O792" s="294"/>
      <c r="P792" s="294"/>
      <c r="Q792" s="294"/>
      <c r="R792" s="294"/>
      <c r="S792" s="294"/>
      <c r="T792" s="294"/>
      <c r="U792" s="294"/>
      <c r="V792" s="294"/>
      <c r="W792" s="294"/>
      <c r="X792" s="294"/>
      <c r="Y792" s="294"/>
      <c r="Z792" s="294"/>
      <c r="AA792" s="294"/>
      <c r="AB792" s="294"/>
      <c r="AC792" s="294"/>
    </row>
    <row r="793" ht="15.75" customHeight="1">
      <c r="A793" s="294"/>
      <c r="B793" s="294"/>
      <c r="C793" s="294"/>
      <c r="D793" s="294"/>
      <c r="E793" s="294"/>
      <c r="F793" s="294"/>
      <c r="G793" s="295"/>
      <c r="H793" s="294"/>
      <c r="I793" s="294"/>
      <c r="J793" s="294"/>
      <c r="K793" s="294"/>
      <c r="L793" s="294"/>
      <c r="M793" s="294"/>
      <c r="N793" s="294"/>
      <c r="O793" s="294"/>
      <c r="P793" s="294"/>
      <c r="Q793" s="294"/>
      <c r="R793" s="294"/>
      <c r="S793" s="294"/>
      <c r="T793" s="294"/>
      <c r="U793" s="294"/>
      <c r="V793" s="294"/>
      <c r="W793" s="294"/>
      <c r="X793" s="294"/>
      <c r="Y793" s="294"/>
      <c r="Z793" s="294"/>
      <c r="AA793" s="294"/>
      <c r="AB793" s="294"/>
      <c r="AC793" s="294"/>
    </row>
    <row r="794" ht="15.75" customHeight="1">
      <c r="A794" s="294"/>
      <c r="B794" s="294"/>
      <c r="C794" s="294"/>
      <c r="D794" s="294"/>
      <c r="E794" s="294"/>
      <c r="F794" s="294"/>
      <c r="G794" s="295"/>
      <c r="H794" s="294"/>
      <c r="I794" s="294"/>
      <c r="J794" s="294"/>
      <c r="K794" s="294"/>
      <c r="L794" s="294"/>
      <c r="M794" s="294"/>
      <c r="N794" s="294"/>
      <c r="O794" s="294"/>
      <c r="P794" s="294"/>
      <c r="Q794" s="294"/>
      <c r="R794" s="294"/>
      <c r="S794" s="294"/>
      <c r="T794" s="294"/>
      <c r="U794" s="294"/>
      <c r="V794" s="294"/>
      <c r="W794" s="294"/>
      <c r="X794" s="294"/>
      <c r="Y794" s="294"/>
      <c r="Z794" s="294"/>
      <c r="AA794" s="294"/>
      <c r="AB794" s="294"/>
      <c r="AC794" s="294"/>
    </row>
    <row r="795" ht="15.75" customHeight="1">
      <c r="A795" s="294"/>
      <c r="B795" s="294"/>
      <c r="C795" s="294"/>
      <c r="D795" s="294"/>
      <c r="E795" s="294"/>
      <c r="F795" s="294"/>
      <c r="G795" s="295"/>
      <c r="H795" s="294"/>
      <c r="I795" s="294"/>
      <c r="J795" s="294"/>
      <c r="K795" s="294"/>
      <c r="L795" s="294"/>
      <c r="M795" s="294"/>
      <c r="N795" s="294"/>
      <c r="O795" s="294"/>
      <c r="P795" s="294"/>
      <c r="Q795" s="294"/>
      <c r="R795" s="294"/>
      <c r="S795" s="294"/>
      <c r="T795" s="294"/>
      <c r="U795" s="294"/>
      <c r="V795" s="294"/>
      <c r="W795" s="294"/>
      <c r="X795" s="294"/>
      <c r="Y795" s="294"/>
      <c r="Z795" s="294"/>
      <c r="AA795" s="294"/>
      <c r="AB795" s="294"/>
      <c r="AC795" s="294"/>
    </row>
    <row r="796" ht="15.75" customHeight="1">
      <c r="A796" s="294"/>
      <c r="B796" s="294"/>
      <c r="C796" s="294"/>
      <c r="D796" s="294"/>
      <c r="E796" s="294"/>
      <c r="F796" s="294"/>
      <c r="G796" s="295"/>
      <c r="H796" s="294"/>
      <c r="I796" s="294"/>
      <c r="J796" s="294"/>
      <c r="K796" s="294"/>
      <c r="L796" s="294"/>
      <c r="M796" s="294"/>
      <c r="N796" s="294"/>
      <c r="O796" s="294"/>
      <c r="P796" s="294"/>
      <c r="Q796" s="294"/>
      <c r="R796" s="294"/>
      <c r="S796" s="294"/>
      <c r="T796" s="294"/>
      <c r="U796" s="294"/>
      <c r="V796" s="294"/>
      <c r="W796" s="294"/>
      <c r="X796" s="294"/>
      <c r="Y796" s="294"/>
      <c r="Z796" s="294"/>
      <c r="AA796" s="294"/>
      <c r="AB796" s="294"/>
      <c r="AC796" s="294"/>
    </row>
    <row r="797" ht="15.75" customHeight="1">
      <c r="A797" s="294"/>
      <c r="B797" s="294"/>
      <c r="C797" s="294"/>
      <c r="D797" s="294"/>
      <c r="E797" s="294"/>
      <c r="F797" s="294"/>
      <c r="G797" s="295"/>
      <c r="H797" s="294"/>
      <c r="I797" s="294"/>
      <c r="J797" s="294"/>
      <c r="K797" s="294"/>
      <c r="L797" s="294"/>
      <c r="M797" s="294"/>
      <c r="N797" s="294"/>
      <c r="O797" s="294"/>
      <c r="P797" s="294"/>
      <c r="Q797" s="294"/>
      <c r="R797" s="294"/>
      <c r="S797" s="294"/>
      <c r="T797" s="294"/>
      <c r="U797" s="294"/>
      <c r="V797" s="294"/>
      <c r="W797" s="294"/>
      <c r="X797" s="294"/>
      <c r="Y797" s="294"/>
      <c r="Z797" s="294"/>
      <c r="AA797" s="294"/>
      <c r="AB797" s="294"/>
      <c r="AC797" s="294"/>
    </row>
    <row r="798" ht="15.75" customHeight="1">
      <c r="A798" s="294"/>
      <c r="B798" s="294"/>
      <c r="C798" s="294"/>
      <c r="D798" s="294"/>
      <c r="E798" s="294"/>
      <c r="F798" s="294"/>
      <c r="G798" s="295"/>
      <c r="H798" s="294"/>
      <c r="I798" s="294"/>
      <c r="J798" s="294"/>
      <c r="K798" s="294"/>
      <c r="L798" s="294"/>
      <c r="M798" s="294"/>
      <c r="N798" s="294"/>
      <c r="O798" s="294"/>
      <c r="P798" s="294"/>
      <c r="Q798" s="294"/>
      <c r="R798" s="294"/>
      <c r="S798" s="294"/>
      <c r="T798" s="294"/>
      <c r="U798" s="294"/>
      <c r="V798" s="294"/>
      <c r="W798" s="294"/>
      <c r="X798" s="294"/>
      <c r="Y798" s="294"/>
      <c r="Z798" s="294"/>
      <c r="AA798" s="294"/>
      <c r="AB798" s="294"/>
      <c r="AC798" s="294"/>
    </row>
    <row r="799" ht="15.75" customHeight="1">
      <c r="A799" s="294"/>
      <c r="B799" s="294"/>
      <c r="C799" s="294"/>
      <c r="D799" s="294"/>
      <c r="E799" s="294"/>
      <c r="F799" s="294"/>
      <c r="G799" s="295"/>
      <c r="H799" s="294"/>
      <c r="I799" s="294"/>
      <c r="J799" s="294"/>
      <c r="K799" s="294"/>
      <c r="L799" s="294"/>
      <c r="M799" s="294"/>
      <c r="N799" s="294"/>
      <c r="O799" s="294"/>
      <c r="P799" s="294"/>
      <c r="Q799" s="294"/>
      <c r="R799" s="294"/>
      <c r="S799" s="294"/>
      <c r="T799" s="294"/>
      <c r="U799" s="294"/>
      <c r="V799" s="294"/>
      <c r="W799" s="294"/>
      <c r="X799" s="294"/>
      <c r="Y799" s="294"/>
      <c r="Z799" s="294"/>
      <c r="AA799" s="294"/>
      <c r="AB799" s="294"/>
      <c r="AC799" s="294"/>
    </row>
    <row r="800" ht="15.75" customHeight="1">
      <c r="A800" s="294"/>
      <c r="B800" s="294"/>
      <c r="C800" s="294"/>
      <c r="D800" s="294"/>
      <c r="E800" s="294"/>
      <c r="F800" s="294"/>
      <c r="G800" s="295"/>
      <c r="H800" s="294"/>
      <c r="I800" s="294"/>
      <c r="J800" s="294"/>
      <c r="K800" s="294"/>
      <c r="L800" s="294"/>
      <c r="M800" s="294"/>
      <c r="N800" s="294"/>
      <c r="O800" s="294"/>
      <c r="P800" s="294"/>
      <c r="Q800" s="294"/>
      <c r="R800" s="294"/>
      <c r="S800" s="294"/>
      <c r="T800" s="294"/>
      <c r="U800" s="294"/>
      <c r="V800" s="294"/>
      <c r="W800" s="294"/>
      <c r="X800" s="294"/>
      <c r="Y800" s="294"/>
      <c r="Z800" s="294"/>
      <c r="AA800" s="294"/>
      <c r="AB800" s="294"/>
      <c r="AC800" s="294"/>
    </row>
    <row r="801" ht="15.75" customHeight="1">
      <c r="A801" s="294"/>
      <c r="B801" s="294"/>
      <c r="C801" s="294"/>
      <c r="D801" s="294"/>
      <c r="E801" s="294"/>
      <c r="F801" s="294"/>
      <c r="G801" s="295"/>
      <c r="H801" s="294"/>
      <c r="I801" s="294"/>
      <c r="J801" s="294"/>
      <c r="K801" s="294"/>
      <c r="L801" s="294"/>
      <c r="M801" s="294"/>
      <c r="N801" s="294"/>
      <c r="O801" s="294"/>
      <c r="P801" s="294"/>
      <c r="Q801" s="294"/>
      <c r="R801" s="294"/>
      <c r="S801" s="294"/>
      <c r="T801" s="294"/>
      <c r="U801" s="294"/>
      <c r="V801" s="294"/>
      <c r="W801" s="294"/>
      <c r="X801" s="294"/>
      <c r="Y801" s="294"/>
      <c r="Z801" s="294"/>
      <c r="AA801" s="294"/>
      <c r="AB801" s="294"/>
      <c r="AC801" s="294"/>
    </row>
    <row r="802" ht="15.75" customHeight="1">
      <c r="A802" s="294"/>
      <c r="B802" s="294"/>
      <c r="C802" s="294"/>
      <c r="D802" s="294"/>
      <c r="E802" s="294"/>
      <c r="F802" s="294"/>
      <c r="G802" s="295"/>
      <c r="H802" s="294"/>
      <c r="I802" s="294"/>
      <c r="J802" s="294"/>
      <c r="K802" s="294"/>
      <c r="L802" s="294"/>
      <c r="M802" s="294"/>
      <c r="N802" s="294"/>
      <c r="O802" s="294"/>
      <c r="P802" s="294"/>
      <c r="Q802" s="294"/>
      <c r="R802" s="294"/>
      <c r="S802" s="294"/>
      <c r="T802" s="294"/>
      <c r="U802" s="294"/>
      <c r="V802" s="294"/>
      <c r="W802" s="294"/>
      <c r="X802" s="294"/>
      <c r="Y802" s="294"/>
      <c r="Z802" s="294"/>
      <c r="AA802" s="294"/>
      <c r="AB802" s="294"/>
      <c r="AC802" s="294"/>
    </row>
    <row r="803" ht="15.75" customHeight="1">
      <c r="A803" s="294"/>
      <c r="B803" s="294"/>
      <c r="C803" s="294"/>
      <c r="D803" s="294"/>
      <c r="E803" s="294"/>
      <c r="F803" s="294"/>
      <c r="G803" s="295"/>
      <c r="H803" s="294"/>
      <c r="I803" s="294"/>
      <c r="J803" s="294"/>
      <c r="K803" s="294"/>
      <c r="L803" s="294"/>
      <c r="M803" s="294"/>
      <c r="N803" s="294"/>
      <c r="O803" s="294"/>
      <c r="P803" s="294"/>
      <c r="Q803" s="294"/>
      <c r="R803" s="294"/>
      <c r="S803" s="294"/>
      <c r="T803" s="294"/>
      <c r="U803" s="294"/>
      <c r="V803" s="294"/>
      <c r="W803" s="294"/>
      <c r="X803" s="294"/>
      <c r="Y803" s="294"/>
      <c r="Z803" s="294"/>
      <c r="AA803" s="294"/>
      <c r="AB803" s="294"/>
      <c r="AC803" s="294"/>
    </row>
    <row r="804" ht="15.75" customHeight="1">
      <c r="A804" s="294"/>
      <c r="B804" s="294"/>
      <c r="C804" s="294"/>
      <c r="D804" s="294"/>
      <c r="E804" s="294"/>
      <c r="F804" s="294"/>
      <c r="G804" s="295"/>
      <c r="H804" s="294"/>
      <c r="I804" s="294"/>
      <c r="J804" s="294"/>
      <c r="K804" s="294"/>
      <c r="L804" s="294"/>
      <c r="M804" s="294"/>
      <c r="N804" s="294"/>
      <c r="O804" s="294"/>
      <c r="P804" s="294"/>
      <c r="Q804" s="294"/>
      <c r="R804" s="294"/>
      <c r="S804" s="294"/>
      <c r="T804" s="294"/>
      <c r="U804" s="294"/>
      <c r="V804" s="294"/>
      <c r="W804" s="294"/>
      <c r="X804" s="294"/>
      <c r="Y804" s="294"/>
      <c r="Z804" s="294"/>
      <c r="AA804" s="294"/>
      <c r="AB804" s="294"/>
      <c r="AC804" s="294"/>
    </row>
    <row r="805" ht="15.75" customHeight="1">
      <c r="A805" s="294"/>
      <c r="B805" s="294"/>
      <c r="C805" s="294"/>
      <c r="D805" s="294"/>
      <c r="E805" s="294"/>
      <c r="F805" s="294"/>
      <c r="G805" s="295"/>
      <c r="H805" s="294"/>
      <c r="I805" s="294"/>
      <c r="J805" s="294"/>
      <c r="K805" s="294"/>
      <c r="L805" s="294"/>
      <c r="M805" s="294"/>
      <c r="N805" s="294"/>
      <c r="O805" s="294"/>
      <c r="P805" s="294"/>
      <c r="Q805" s="294"/>
      <c r="R805" s="294"/>
      <c r="S805" s="294"/>
      <c r="T805" s="294"/>
      <c r="U805" s="294"/>
      <c r="V805" s="294"/>
      <c r="W805" s="294"/>
      <c r="X805" s="294"/>
      <c r="Y805" s="294"/>
      <c r="Z805" s="294"/>
      <c r="AA805" s="294"/>
      <c r="AB805" s="294"/>
      <c r="AC805" s="294"/>
    </row>
    <row r="806" ht="15.75" customHeight="1">
      <c r="A806" s="294"/>
      <c r="B806" s="294"/>
      <c r="C806" s="294"/>
      <c r="D806" s="294"/>
      <c r="E806" s="294"/>
      <c r="F806" s="294"/>
      <c r="G806" s="295"/>
      <c r="H806" s="294"/>
      <c r="I806" s="294"/>
      <c r="J806" s="294"/>
      <c r="K806" s="294"/>
      <c r="L806" s="294"/>
      <c r="M806" s="294"/>
      <c r="N806" s="294"/>
      <c r="O806" s="294"/>
      <c r="P806" s="294"/>
      <c r="Q806" s="294"/>
      <c r="R806" s="294"/>
      <c r="S806" s="294"/>
      <c r="T806" s="294"/>
      <c r="U806" s="294"/>
      <c r="V806" s="294"/>
      <c r="W806" s="294"/>
      <c r="X806" s="294"/>
      <c r="Y806" s="294"/>
      <c r="Z806" s="294"/>
      <c r="AA806" s="294"/>
      <c r="AB806" s="294"/>
      <c r="AC806" s="294"/>
    </row>
    <row r="807" ht="15.75" customHeight="1">
      <c r="A807" s="294"/>
      <c r="B807" s="294"/>
      <c r="C807" s="294"/>
      <c r="D807" s="294"/>
      <c r="E807" s="294"/>
      <c r="F807" s="294"/>
      <c r="G807" s="295"/>
      <c r="H807" s="294"/>
      <c r="I807" s="294"/>
      <c r="J807" s="294"/>
      <c r="K807" s="294"/>
      <c r="L807" s="294"/>
      <c r="M807" s="294"/>
      <c r="N807" s="294"/>
      <c r="O807" s="294"/>
      <c r="P807" s="294"/>
      <c r="Q807" s="294"/>
      <c r="R807" s="294"/>
      <c r="S807" s="294"/>
      <c r="T807" s="294"/>
      <c r="U807" s="294"/>
      <c r="V807" s="294"/>
      <c r="W807" s="294"/>
      <c r="X807" s="294"/>
      <c r="Y807" s="294"/>
      <c r="Z807" s="294"/>
      <c r="AA807" s="294"/>
      <c r="AB807" s="294"/>
      <c r="AC807" s="294"/>
    </row>
    <row r="808" ht="15.75" customHeight="1">
      <c r="A808" s="294"/>
      <c r="B808" s="294"/>
      <c r="C808" s="294"/>
      <c r="D808" s="294"/>
      <c r="E808" s="294"/>
      <c r="F808" s="294"/>
      <c r="G808" s="295"/>
      <c r="H808" s="294"/>
      <c r="I808" s="294"/>
      <c r="J808" s="294"/>
      <c r="K808" s="294"/>
      <c r="L808" s="294"/>
      <c r="M808" s="294"/>
      <c r="N808" s="294"/>
      <c r="O808" s="294"/>
      <c r="P808" s="294"/>
      <c r="Q808" s="294"/>
      <c r="R808" s="294"/>
      <c r="S808" s="294"/>
      <c r="T808" s="294"/>
      <c r="U808" s="294"/>
      <c r="V808" s="294"/>
      <c r="W808" s="294"/>
      <c r="X808" s="294"/>
      <c r="Y808" s="294"/>
      <c r="Z808" s="294"/>
      <c r="AA808" s="294"/>
      <c r="AB808" s="294"/>
      <c r="AC808" s="294"/>
    </row>
    <row r="809" ht="15.75" customHeight="1">
      <c r="A809" s="294"/>
      <c r="B809" s="294"/>
      <c r="C809" s="294"/>
      <c r="D809" s="294"/>
      <c r="E809" s="294"/>
      <c r="F809" s="294"/>
      <c r="G809" s="295"/>
      <c r="H809" s="294"/>
      <c r="I809" s="294"/>
      <c r="J809" s="294"/>
      <c r="K809" s="294"/>
      <c r="L809" s="294"/>
      <c r="M809" s="294"/>
      <c r="N809" s="294"/>
      <c r="O809" s="294"/>
      <c r="P809" s="294"/>
      <c r="Q809" s="294"/>
      <c r="R809" s="294"/>
      <c r="S809" s="294"/>
      <c r="T809" s="294"/>
      <c r="U809" s="294"/>
      <c r="V809" s="294"/>
      <c r="W809" s="294"/>
      <c r="X809" s="294"/>
      <c r="Y809" s="294"/>
      <c r="Z809" s="294"/>
      <c r="AA809" s="294"/>
      <c r="AB809" s="294"/>
      <c r="AC809" s="294"/>
    </row>
    <row r="810" ht="15.75" customHeight="1">
      <c r="A810" s="294"/>
      <c r="B810" s="294"/>
      <c r="C810" s="294"/>
      <c r="D810" s="294"/>
      <c r="E810" s="294"/>
      <c r="F810" s="294"/>
      <c r="G810" s="295"/>
      <c r="H810" s="294"/>
      <c r="I810" s="294"/>
      <c r="J810" s="294"/>
      <c r="K810" s="294"/>
      <c r="L810" s="294"/>
      <c r="M810" s="294"/>
      <c r="N810" s="294"/>
      <c r="O810" s="294"/>
      <c r="P810" s="294"/>
      <c r="Q810" s="294"/>
      <c r="R810" s="294"/>
      <c r="S810" s="294"/>
      <c r="T810" s="294"/>
      <c r="U810" s="294"/>
      <c r="V810" s="294"/>
      <c r="W810" s="294"/>
      <c r="X810" s="294"/>
      <c r="Y810" s="294"/>
      <c r="Z810" s="294"/>
      <c r="AA810" s="294"/>
      <c r="AB810" s="294"/>
      <c r="AC810" s="294"/>
    </row>
    <row r="811" ht="15.75" customHeight="1">
      <c r="A811" s="294"/>
      <c r="B811" s="294"/>
      <c r="C811" s="294"/>
      <c r="D811" s="294"/>
      <c r="E811" s="294"/>
      <c r="F811" s="294"/>
      <c r="G811" s="295"/>
      <c r="H811" s="294"/>
      <c r="I811" s="294"/>
      <c r="J811" s="294"/>
      <c r="K811" s="294"/>
      <c r="L811" s="294"/>
      <c r="M811" s="294"/>
      <c r="N811" s="294"/>
      <c r="O811" s="294"/>
      <c r="P811" s="294"/>
      <c r="Q811" s="294"/>
      <c r="R811" s="294"/>
      <c r="S811" s="294"/>
      <c r="T811" s="294"/>
      <c r="U811" s="294"/>
      <c r="V811" s="294"/>
      <c r="W811" s="294"/>
      <c r="X811" s="294"/>
      <c r="Y811" s="294"/>
      <c r="Z811" s="294"/>
      <c r="AA811" s="294"/>
      <c r="AB811" s="294"/>
      <c r="AC811" s="294"/>
    </row>
    <row r="812" ht="15.75" customHeight="1">
      <c r="A812" s="294"/>
      <c r="B812" s="294"/>
      <c r="C812" s="294"/>
      <c r="D812" s="294"/>
      <c r="E812" s="294"/>
      <c r="F812" s="294"/>
      <c r="G812" s="295"/>
      <c r="H812" s="294"/>
      <c r="I812" s="294"/>
      <c r="J812" s="294"/>
      <c r="K812" s="294"/>
      <c r="L812" s="294"/>
      <c r="M812" s="294"/>
      <c r="N812" s="294"/>
      <c r="O812" s="294"/>
      <c r="P812" s="294"/>
      <c r="Q812" s="294"/>
      <c r="R812" s="294"/>
      <c r="S812" s="294"/>
      <c r="T812" s="294"/>
      <c r="U812" s="294"/>
      <c r="V812" s="294"/>
      <c r="W812" s="294"/>
      <c r="X812" s="294"/>
      <c r="Y812" s="294"/>
      <c r="Z812" s="294"/>
      <c r="AA812" s="294"/>
      <c r="AB812" s="294"/>
      <c r="AC812" s="294"/>
    </row>
    <row r="813" ht="15.75" customHeight="1">
      <c r="A813" s="294"/>
      <c r="B813" s="294"/>
      <c r="C813" s="294"/>
      <c r="D813" s="294"/>
      <c r="E813" s="294"/>
      <c r="F813" s="294"/>
      <c r="G813" s="295"/>
      <c r="H813" s="294"/>
      <c r="I813" s="294"/>
      <c r="J813" s="294"/>
      <c r="K813" s="294"/>
      <c r="L813" s="294"/>
      <c r="M813" s="294"/>
      <c r="N813" s="294"/>
      <c r="O813" s="294"/>
      <c r="P813" s="294"/>
      <c r="Q813" s="294"/>
      <c r="R813" s="294"/>
      <c r="S813" s="294"/>
      <c r="T813" s="294"/>
      <c r="U813" s="294"/>
      <c r="V813" s="294"/>
      <c r="W813" s="294"/>
      <c r="X813" s="294"/>
      <c r="Y813" s="294"/>
      <c r="Z813" s="294"/>
      <c r="AA813" s="294"/>
      <c r="AB813" s="294"/>
      <c r="AC813" s="294"/>
    </row>
    <row r="814" ht="15.75" customHeight="1">
      <c r="A814" s="294"/>
      <c r="B814" s="294"/>
      <c r="C814" s="294"/>
      <c r="D814" s="294"/>
      <c r="E814" s="294"/>
      <c r="F814" s="294"/>
      <c r="G814" s="295"/>
      <c r="H814" s="294"/>
      <c r="I814" s="294"/>
      <c r="J814" s="294"/>
      <c r="K814" s="294"/>
      <c r="L814" s="294"/>
      <c r="M814" s="294"/>
      <c r="N814" s="294"/>
      <c r="O814" s="294"/>
      <c r="P814" s="294"/>
      <c r="Q814" s="294"/>
      <c r="R814" s="294"/>
      <c r="S814" s="294"/>
      <c r="T814" s="294"/>
      <c r="U814" s="294"/>
      <c r="V814" s="294"/>
      <c r="W814" s="294"/>
      <c r="X814" s="294"/>
      <c r="Y814" s="294"/>
      <c r="Z814" s="294"/>
      <c r="AA814" s="294"/>
      <c r="AB814" s="294"/>
      <c r="AC814" s="294"/>
    </row>
    <row r="815" ht="15.75" customHeight="1">
      <c r="A815" s="294"/>
      <c r="B815" s="294"/>
      <c r="C815" s="294"/>
      <c r="D815" s="294"/>
      <c r="E815" s="294"/>
      <c r="F815" s="294"/>
      <c r="G815" s="295"/>
      <c r="H815" s="294"/>
      <c r="I815" s="294"/>
      <c r="J815" s="294"/>
      <c r="K815" s="294"/>
      <c r="L815" s="294"/>
      <c r="M815" s="294"/>
      <c r="N815" s="294"/>
      <c r="O815" s="294"/>
      <c r="P815" s="294"/>
      <c r="Q815" s="294"/>
      <c r="R815" s="294"/>
      <c r="S815" s="294"/>
      <c r="T815" s="294"/>
      <c r="U815" s="294"/>
      <c r="V815" s="294"/>
      <c r="W815" s="294"/>
      <c r="X815" s="294"/>
      <c r="Y815" s="294"/>
      <c r="Z815" s="294"/>
      <c r="AA815" s="294"/>
      <c r="AB815" s="294"/>
      <c r="AC815" s="294"/>
    </row>
    <row r="816" ht="15.75" customHeight="1">
      <c r="A816" s="294"/>
      <c r="B816" s="294"/>
      <c r="C816" s="294"/>
      <c r="D816" s="294"/>
      <c r="E816" s="294"/>
      <c r="F816" s="294"/>
      <c r="G816" s="295"/>
      <c r="H816" s="294"/>
      <c r="I816" s="294"/>
      <c r="J816" s="294"/>
      <c r="K816" s="294"/>
      <c r="L816" s="294"/>
      <c r="M816" s="294"/>
      <c r="N816" s="294"/>
      <c r="O816" s="294"/>
      <c r="P816" s="294"/>
      <c r="Q816" s="294"/>
      <c r="R816" s="294"/>
      <c r="S816" s="294"/>
      <c r="T816" s="294"/>
      <c r="U816" s="294"/>
      <c r="V816" s="294"/>
      <c r="W816" s="294"/>
      <c r="X816" s="294"/>
      <c r="Y816" s="294"/>
      <c r="Z816" s="294"/>
      <c r="AA816" s="294"/>
      <c r="AB816" s="294"/>
      <c r="AC816" s="294"/>
    </row>
    <row r="817" ht="15.75" customHeight="1">
      <c r="A817" s="294"/>
      <c r="B817" s="294"/>
      <c r="C817" s="294"/>
      <c r="D817" s="294"/>
      <c r="E817" s="294"/>
      <c r="F817" s="294"/>
      <c r="G817" s="295"/>
      <c r="H817" s="294"/>
      <c r="I817" s="294"/>
      <c r="J817" s="294"/>
      <c r="K817" s="294"/>
      <c r="L817" s="294"/>
      <c r="M817" s="294"/>
      <c r="N817" s="294"/>
      <c r="O817" s="294"/>
      <c r="P817" s="294"/>
      <c r="Q817" s="294"/>
      <c r="R817" s="294"/>
      <c r="S817" s="294"/>
      <c r="T817" s="294"/>
      <c r="U817" s="294"/>
      <c r="V817" s="294"/>
      <c r="W817" s="294"/>
      <c r="X817" s="294"/>
      <c r="Y817" s="294"/>
      <c r="Z817" s="294"/>
      <c r="AA817" s="294"/>
      <c r="AB817" s="294"/>
      <c r="AC817" s="294"/>
    </row>
    <row r="818" ht="15.75" customHeight="1">
      <c r="A818" s="294"/>
      <c r="B818" s="294"/>
      <c r="C818" s="294"/>
      <c r="D818" s="294"/>
      <c r="E818" s="294"/>
      <c r="F818" s="294"/>
      <c r="G818" s="295"/>
      <c r="H818" s="294"/>
      <c r="I818" s="294"/>
      <c r="J818" s="294"/>
      <c r="K818" s="294"/>
      <c r="L818" s="294"/>
      <c r="M818" s="294"/>
      <c r="N818" s="294"/>
      <c r="O818" s="294"/>
      <c r="P818" s="294"/>
      <c r="Q818" s="294"/>
      <c r="R818" s="294"/>
      <c r="S818" s="294"/>
      <c r="T818" s="294"/>
      <c r="U818" s="294"/>
      <c r="V818" s="294"/>
      <c r="W818" s="294"/>
      <c r="X818" s="294"/>
      <c r="Y818" s="294"/>
      <c r="Z818" s="294"/>
      <c r="AA818" s="294"/>
      <c r="AB818" s="294"/>
      <c r="AC818" s="294"/>
    </row>
    <row r="819" ht="15.75" customHeight="1">
      <c r="A819" s="294"/>
      <c r="B819" s="294"/>
      <c r="C819" s="294"/>
      <c r="D819" s="294"/>
      <c r="E819" s="294"/>
      <c r="F819" s="294"/>
      <c r="G819" s="295"/>
      <c r="H819" s="294"/>
      <c r="I819" s="294"/>
      <c r="J819" s="294"/>
      <c r="K819" s="294"/>
      <c r="L819" s="294"/>
      <c r="M819" s="294"/>
      <c r="N819" s="294"/>
      <c r="O819" s="294"/>
      <c r="P819" s="294"/>
      <c r="Q819" s="294"/>
      <c r="R819" s="294"/>
      <c r="S819" s="294"/>
      <c r="T819" s="294"/>
      <c r="U819" s="294"/>
      <c r="V819" s="294"/>
      <c r="W819" s="294"/>
      <c r="X819" s="294"/>
      <c r="Y819" s="294"/>
      <c r="Z819" s="294"/>
      <c r="AA819" s="294"/>
      <c r="AB819" s="294"/>
      <c r="AC819" s="294"/>
    </row>
    <row r="820" ht="15.75" customHeight="1">
      <c r="A820" s="294"/>
      <c r="B820" s="294"/>
      <c r="C820" s="294"/>
      <c r="D820" s="294"/>
      <c r="E820" s="294"/>
      <c r="F820" s="294"/>
      <c r="G820" s="295"/>
      <c r="H820" s="294"/>
      <c r="I820" s="294"/>
      <c r="J820" s="294"/>
      <c r="K820" s="294"/>
      <c r="L820" s="294"/>
      <c r="M820" s="294"/>
      <c r="N820" s="294"/>
      <c r="O820" s="294"/>
      <c r="P820" s="294"/>
      <c r="Q820" s="294"/>
      <c r="R820" s="294"/>
      <c r="S820" s="294"/>
      <c r="T820" s="294"/>
      <c r="U820" s="294"/>
      <c r="V820" s="294"/>
      <c r="W820" s="294"/>
      <c r="X820" s="294"/>
      <c r="Y820" s="294"/>
      <c r="Z820" s="294"/>
      <c r="AA820" s="294"/>
      <c r="AB820" s="294"/>
      <c r="AC820" s="294"/>
    </row>
    <row r="821" ht="15.75" customHeight="1">
      <c r="A821" s="294"/>
      <c r="B821" s="294"/>
      <c r="C821" s="294"/>
      <c r="D821" s="294"/>
      <c r="E821" s="294"/>
      <c r="F821" s="294"/>
      <c r="G821" s="295"/>
      <c r="H821" s="294"/>
      <c r="I821" s="294"/>
      <c r="J821" s="294"/>
      <c r="K821" s="294"/>
      <c r="L821" s="294"/>
      <c r="M821" s="294"/>
      <c r="N821" s="294"/>
      <c r="O821" s="294"/>
      <c r="P821" s="294"/>
      <c r="Q821" s="294"/>
      <c r="R821" s="294"/>
      <c r="S821" s="294"/>
      <c r="T821" s="294"/>
      <c r="U821" s="294"/>
      <c r="V821" s="294"/>
      <c r="W821" s="294"/>
      <c r="X821" s="294"/>
      <c r="Y821" s="294"/>
      <c r="Z821" s="294"/>
      <c r="AA821" s="294"/>
      <c r="AB821" s="294"/>
      <c r="AC821" s="294"/>
    </row>
    <row r="822" ht="15.75" customHeight="1">
      <c r="A822" s="294"/>
      <c r="B822" s="294"/>
      <c r="C822" s="294"/>
      <c r="D822" s="294"/>
      <c r="E822" s="294"/>
      <c r="F822" s="294"/>
      <c r="G822" s="295"/>
      <c r="H822" s="294"/>
      <c r="I822" s="294"/>
      <c r="J822" s="294"/>
      <c r="K822" s="294"/>
      <c r="L822" s="294"/>
      <c r="M822" s="294"/>
      <c r="N822" s="294"/>
      <c r="O822" s="294"/>
      <c r="P822" s="294"/>
      <c r="Q822" s="294"/>
      <c r="R822" s="294"/>
      <c r="S822" s="294"/>
      <c r="T822" s="294"/>
      <c r="U822" s="294"/>
      <c r="V822" s="294"/>
      <c r="W822" s="294"/>
      <c r="X822" s="294"/>
      <c r="Y822" s="294"/>
      <c r="Z822" s="294"/>
      <c r="AA822" s="294"/>
      <c r="AB822" s="294"/>
      <c r="AC822" s="294"/>
    </row>
    <row r="823" ht="15.75" customHeight="1">
      <c r="A823" s="294"/>
      <c r="B823" s="294"/>
      <c r="C823" s="294"/>
      <c r="D823" s="294"/>
      <c r="E823" s="294"/>
      <c r="F823" s="294"/>
      <c r="G823" s="295"/>
      <c r="H823" s="294"/>
      <c r="I823" s="294"/>
      <c r="J823" s="294"/>
      <c r="K823" s="294"/>
      <c r="L823" s="294"/>
      <c r="M823" s="294"/>
      <c r="N823" s="294"/>
      <c r="O823" s="294"/>
      <c r="P823" s="294"/>
      <c r="Q823" s="294"/>
      <c r="R823" s="294"/>
      <c r="S823" s="294"/>
      <c r="T823" s="294"/>
      <c r="U823" s="294"/>
      <c r="V823" s="294"/>
      <c r="W823" s="294"/>
      <c r="X823" s="294"/>
      <c r="Y823" s="294"/>
      <c r="Z823" s="294"/>
      <c r="AA823" s="294"/>
      <c r="AB823" s="294"/>
      <c r="AC823" s="294"/>
    </row>
    <row r="824" ht="15.75" customHeight="1">
      <c r="A824" s="294"/>
      <c r="B824" s="294"/>
      <c r="C824" s="294"/>
      <c r="D824" s="294"/>
      <c r="E824" s="294"/>
      <c r="F824" s="294"/>
      <c r="G824" s="295"/>
      <c r="H824" s="294"/>
      <c r="I824" s="294"/>
      <c r="J824" s="294"/>
      <c r="K824" s="294"/>
      <c r="L824" s="294"/>
      <c r="M824" s="294"/>
      <c r="N824" s="294"/>
      <c r="O824" s="294"/>
      <c r="P824" s="294"/>
      <c r="Q824" s="294"/>
      <c r="R824" s="294"/>
      <c r="S824" s="294"/>
      <c r="T824" s="294"/>
      <c r="U824" s="294"/>
      <c r="V824" s="294"/>
      <c r="W824" s="294"/>
      <c r="X824" s="294"/>
      <c r="Y824" s="294"/>
      <c r="Z824" s="294"/>
      <c r="AA824" s="294"/>
      <c r="AB824" s="294"/>
      <c r="AC824" s="294"/>
    </row>
    <row r="825" ht="15.75" customHeight="1">
      <c r="A825" s="294"/>
      <c r="B825" s="294"/>
      <c r="C825" s="294"/>
      <c r="D825" s="294"/>
      <c r="E825" s="294"/>
      <c r="F825" s="294"/>
      <c r="G825" s="295"/>
      <c r="H825" s="294"/>
      <c r="I825" s="294"/>
      <c r="J825" s="294"/>
      <c r="K825" s="294"/>
      <c r="L825" s="294"/>
      <c r="M825" s="294"/>
      <c r="N825" s="294"/>
      <c r="O825" s="294"/>
      <c r="P825" s="294"/>
      <c r="Q825" s="294"/>
      <c r="R825" s="294"/>
      <c r="S825" s="294"/>
      <c r="T825" s="294"/>
      <c r="U825" s="294"/>
      <c r="V825" s="294"/>
      <c r="W825" s="294"/>
      <c r="X825" s="294"/>
      <c r="Y825" s="294"/>
      <c r="Z825" s="294"/>
      <c r="AA825" s="294"/>
      <c r="AB825" s="294"/>
      <c r="AC825" s="294"/>
    </row>
    <row r="826" ht="15.75" customHeight="1">
      <c r="A826" s="294"/>
      <c r="B826" s="294"/>
      <c r="C826" s="294"/>
      <c r="D826" s="294"/>
      <c r="E826" s="294"/>
      <c r="F826" s="294"/>
      <c r="G826" s="295"/>
      <c r="H826" s="294"/>
      <c r="I826" s="294"/>
      <c r="J826" s="294"/>
      <c r="K826" s="294"/>
      <c r="L826" s="294"/>
      <c r="M826" s="294"/>
      <c r="N826" s="294"/>
      <c r="O826" s="294"/>
      <c r="P826" s="294"/>
      <c r="Q826" s="294"/>
      <c r="R826" s="294"/>
      <c r="S826" s="294"/>
      <c r="T826" s="294"/>
      <c r="U826" s="294"/>
      <c r="V826" s="294"/>
      <c r="W826" s="294"/>
      <c r="X826" s="294"/>
      <c r="Y826" s="294"/>
      <c r="Z826" s="294"/>
      <c r="AA826" s="294"/>
      <c r="AB826" s="294"/>
      <c r="AC826" s="294"/>
    </row>
    <row r="827" ht="15.75" customHeight="1">
      <c r="A827" s="294"/>
      <c r="B827" s="294"/>
      <c r="C827" s="294"/>
      <c r="D827" s="294"/>
      <c r="E827" s="294"/>
      <c r="F827" s="294"/>
      <c r="G827" s="295"/>
      <c r="H827" s="294"/>
      <c r="I827" s="294"/>
      <c r="J827" s="294"/>
      <c r="K827" s="294"/>
      <c r="L827" s="294"/>
      <c r="M827" s="294"/>
      <c r="N827" s="294"/>
      <c r="O827" s="294"/>
      <c r="P827" s="294"/>
      <c r="Q827" s="294"/>
      <c r="R827" s="294"/>
      <c r="S827" s="294"/>
      <c r="T827" s="294"/>
      <c r="U827" s="294"/>
      <c r="V827" s="294"/>
      <c r="W827" s="294"/>
      <c r="X827" s="294"/>
      <c r="Y827" s="294"/>
      <c r="Z827" s="294"/>
      <c r="AA827" s="294"/>
      <c r="AB827" s="294"/>
      <c r="AC827" s="294"/>
    </row>
    <row r="828" ht="15.75" customHeight="1">
      <c r="A828" s="294"/>
      <c r="B828" s="294"/>
      <c r="C828" s="294"/>
      <c r="D828" s="294"/>
      <c r="E828" s="294"/>
      <c r="F828" s="294"/>
      <c r="G828" s="295"/>
      <c r="H828" s="294"/>
      <c r="I828" s="294"/>
      <c r="J828" s="294"/>
      <c r="K828" s="294"/>
      <c r="L828" s="294"/>
      <c r="M828" s="294"/>
      <c r="N828" s="294"/>
      <c r="O828" s="294"/>
      <c r="P828" s="294"/>
      <c r="Q828" s="294"/>
      <c r="R828" s="294"/>
      <c r="S828" s="294"/>
      <c r="T828" s="294"/>
      <c r="U828" s="294"/>
      <c r="V828" s="294"/>
      <c r="W828" s="294"/>
      <c r="X828" s="294"/>
      <c r="Y828" s="294"/>
      <c r="Z828" s="294"/>
      <c r="AA828" s="294"/>
      <c r="AB828" s="294"/>
      <c r="AC828" s="294"/>
    </row>
    <row r="829" ht="15.75" customHeight="1">
      <c r="A829" s="294"/>
      <c r="B829" s="294"/>
      <c r="C829" s="294"/>
      <c r="D829" s="294"/>
      <c r="E829" s="294"/>
      <c r="F829" s="294"/>
      <c r="G829" s="295"/>
      <c r="H829" s="294"/>
      <c r="I829" s="294"/>
      <c r="J829" s="294"/>
      <c r="K829" s="294"/>
      <c r="L829" s="294"/>
      <c r="M829" s="294"/>
      <c r="N829" s="294"/>
      <c r="O829" s="294"/>
      <c r="P829" s="294"/>
      <c r="Q829" s="294"/>
      <c r="R829" s="294"/>
      <c r="S829" s="294"/>
      <c r="T829" s="294"/>
      <c r="U829" s="294"/>
      <c r="V829" s="294"/>
      <c r="W829" s="294"/>
      <c r="X829" s="294"/>
      <c r="Y829" s="294"/>
      <c r="Z829" s="294"/>
      <c r="AA829" s="294"/>
      <c r="AB829" s="294"/>
      <c r="AC829" s="294"/>
    </row>
    <row r="830" ht="15.75" customHeight="1">
      <c r="A830" s="294"/>
      <c r="B830" s="294"/>
      <c r="C830" s="294"/>
      <c r="D830" s="294"/>
      <c r="E830" s="294"/>
      <c r="F830" s="294"/>
      <c r="G830" s="295"/>
      <c r="H830" s="294"/>
      <c r="I830" s="294"/>
      <c r="J830" s="294"/>
      <c r="K830" s="294"/>
      <c r="L830" s="294"/>
      <c r="M830" s="294"/>
      <c r="N830" s="294"/>
      <c r="O830" s="294"/>
      <c r="P830" s="294"/>
      <c r="Q830" s="294"/>
      <c r="R830" s="294"/>
      <c r="S830" s="294"/>
      <c r="T830" s="294"/>
      <c r="U830" s="294"/>
      <c r="V830" s="294"/>
      <c r="W830" s="294"/>
      <c r="X830" s="294"/>
      <c r="Y830" s="294"/>
      <c r="Z830" s="294"/>
      <c r="AA830" s="294"/>
      <c r="AB830" s="294"/>
      <c r="AC830" s="294"/>
    </row>
    <row r="831" ht="15.75" customHeight="1">
      <c r="A831" s="294"/>
      <c r="B831" s="294"/>
      <c r="C831" s="294"/>
      <c r="D831" s="294"/>
      <c r="E831" s="294"/>
      <c r="F831" s="294"/>
      <c r="G831" s="295"/>
      <c r="H831" s="294"/>
      <c r="I831" s="294"/>
      <c r="J831" s="294"/>
      <c r="K831" s="294"/>
      <c r="L831" s="294"/>
      <c r="M831" s="294"/>
      <c r="N831" s="294"/>
      <c r="O831" s="294"/>
      <c r="P831" s="294"/>
      <c r="Q831" s="294"/>
      <c r="R831" s="294"/>
      <c r="S831" s="294"/>
      <c r="T831" s="294"/>
      <c r="U831" s="294"/>
      <c r="V831" s="294"/>
      <c r="W831" s="294"/>
      <c r="X831" s="294"/>
      <c r="Y831" s="294"/>
      <c r="Z831" s="294"/>
      <c r="AA831" s="294"/>
      <c r="AB831" s="294"/>
      <c r="AC831" s="294"/>
    </row>
    <row r="832" ht="15.75" customHeight="1">
      <c r="A832" s="294"/>
      <c r="B832" s="294"/>
      <c r="C832" s="294"/>
      <c r="D832" s="294"/>
      <c r="E832" s="294"/>
      <c r="F832" s="294"/>
      <c r="G832" s="295"/>
      <c r="H832" s="294"/>
      <c r="I832" s="294"/>
      <c r="J832" s="294"/>
      <c r="K832" s="294"/>
      <c r="L832" s="294"/>
      <c r="M832" s="294"/>
      <c r="N832" s="294"/>
      <c r="O832" s="294"/>
      <c r="P832" s="294"/>
      <c r="Q832" s="294"/>
      <c r="R832" s="294"/>
      <c r="S832" s="294"/>
      <c r="T832" s="294"/>
      <c r="U832" s="294"/>
      <c r="V832" s="294"/>
      <c r="W832" s="294"/>
      <c r="X832" s="294"/>
      <c r="Y832" s="294"/>
      <c r="Z832" s="294"/>
      <c r="AA832" s="294"/>
      <c r="AB832" s="294"/>
      <c r="AC832" s="294"/>
    </row>
    <row r="833" ht="15.75" customHeight="1">
      <c r="A833" s="294"/>
      <c r="B833" s="294"/>
      <c r="C833" s="294"/>
      <c r="D833" s="294"/>
      <c r="E833" s="294"/>
      <c r="F833" s="294"/>
      <c r="G833" s="295"/>
      <c r="H833" s="294"/>
      <c r="I833" s="294"/>
      <c r="J833" s="294"/>
      <c r="K833" s="294"/>
      <c r="L833" s="294"/>
      <c r="M833" s="294"/>
      <c r="N833" s="294"/>
      <c r="O833" s="294"/>
      <c r="P833" s="294"/>
      <c r="Q833" s="294"/>
      <c r="R833" s="294"/>
      <c r="S833" s="294"/>
      <c r="T833" s="294"/>
      <c r="U833" s="294"/>
      <c r="V833" s="294"/>
      <c r="W833" s="294"/>
      <c r="X833" s="294"/>
      <c r="Y833" s="294"/>
      <c r="Z833" s="294"/>
      <c r="AA833" s="294"/>
      <c r="AB833" s="294"/>
      <c r="AC833" s="294"/>
    </row>
    <row r="834" ht="15.75" customHeight="1">
      <c r="A834" s="294"/>
      <c r="B834" s="294"/>
      <c r="C834" s="294"/>
      <c r="D834" s="294"/>
      <c r="E834" s="294"/>
      <c r="F834" s="294"/>
      <c r="G834" s="295"/>
      <c r="H834" s="294"/>
      <c r="I834" s="294"/>
      <c r="J834" s="294"/>
      <c r="K834" s="294"/>
      <c r="L834" s="294"/>
      <c r="M834" s="294"/>
      <c r="N834" s="294"/>
      <c r="O834" s="294"/>
      <c r="P834" s="294"/>
      <c r="Q834" s="294"/>
      <c r="R834" s="294"/>
      <c r="S834" s="294"/>
      <c r="T834" s="294"/>
      <c r="U834" s="294"/>
      <c r="V834" s="294"/>
      <c r="W834" s="294"/>
      <c r="X834" s="294"/>
      <c r="Y834" s="294"/>
      <c r="Z834" s="294"/>
      <c r="AA834" s="294"/>
      <c r="AB834" s="294"/>
      <c r="AC834" s="294"/>
    </row>
    <row r="835" ht="15.75" customHeight="1">
      <c r="A835" s="294"/>
      <c r="B835" s="294"/>
      <c r="C835" s="294"/>
      <c r="D835" s="294"/>
      <c r="E835" s="294"/>
      <c r="F835" s="294"/>
      <c r="G835" s="295"/>
      <c r="H835" s="294"/>
      <c r="I835" s="294"/>
      <c r="J835" s="294"/>
      <c r="K835" s="294"/>
      <c r="L835" s="294"/>
      <c r="M835" s="294"/>
      <c r="N835" s="294"/>
      <c r="O835" s="294"/>
      <c r="P835" s="294"/>
      <c r="Q835" s="294"/>
      <c r="R835" s="294"/>
      <c r="S835" s="294"/>
      <c r="T835" s="294"/>
      <c r="U835" s="294"/>
      <c r="V835" s="294"/>
      <c r="W835" s="294"/>
      <c r="X835" s="294"/>
      <c r="Y835" s="294"/>
      <c r="Z835" s="294"/>
      <c r="AA835" s="294"/>
      <c r="AB835" s="294"/>
      <c r="AC835" s="294"/>
    </row>
    <row r="836" ht="15.75" customHeight="1">
      <c r="A836" s="294"/>
      <c r="B836" s="294"/>
      <c r="C836" s="294"/>
      <c r="D836" s="294"/>
      <c r="E836" s="294"/>
      <c r="F836" s="294"/>
      <c r="G836" s="295"/>
      <c r="H836" s="294"/>
      <c r="I836" s="294"/>
      <c r="J836" s="294"/>
      <c r="K836" s="294"/>
      <c r="L836" s="294"/>
      <c r="M836" s="294"/>
      <c r="N836" s="294"/>
      <c r="O836" s="294"/>
      <c r="P836" s="294"/>
      <c r="Q836" s="294"/>
      <c r="R836" s="294"/>
      <c r="S836" s="294"/>
      <c r="T836" s="294"/>
      <c r="U836" s="294"/>
      <c r="V836" s="294"/>
      <c r="W836" s="294"/>
      <c r="X836" s="294"/>
      <c r="Y836" s="294"/>
      <c r="Z836" s="294"/>
      <c r="AA836" s="294"/>
      <c r="AB836" s="294"/>
      <c r="AC836" s="294"/>
    </row>
    <row r="837" ht="15.75" customHeight="1">
      <c r="A837" s="294"/>
      <c r="B837" s="294"/>
      <c r="C837" s="294"/>
      <c r="D837" s="294"/>
      <c r="E837" s="294"/>
      <c r="F837" s="294"/>
      <c r="G837" s="295"/>
      <c r="H837" s="294"/>
      <c r="I837" s="294"/>
      <c r="J837" s="294"/>
      <c r="K837" s="294"/>
      <c r="L837" s="294"/>
      <c r="M837" s="294"/>
      <c r="N837" s="294"/>
      <c r="O837" s="294"/>
      <c r="P837" s="294"/>
      <c r="Q837" s="294"/>
      <c r="R837" s="294"/>
      <c r="S837" s="294"/>
      <c r="T837" s="294"/>
      <c r="U837" s="294"/>
      <c r="V837" s="294"/>
      <c r="W837" s="294"/>
      <c r="X837" s="294"/>
      <c r="Y837" s="294"/>
      <c r="Z837" s="294"/>
      <c r="AA837" s="294"/>
      <c r="AB837" s="294"/>
      <c r="AC837" s="294"/>
    </row>
    <row r="838" ht="15.75" customHeight="1">
      <c r="A838" s="294"/>
      <c r="B838" s="294"/>
      <c r="C838" s="294"/>
      <c r="D838" s="294"/>
      <c r="E838" s="294"/>
      <c r="F838" s="294"/>
      <c r="G838" s="295"/>
      <c r="H838" s="294"/>
      <c r="I838" s="294"/>
      <c r="J838" s="294"/>
      <c r="K838" s="294"/>
      <c r="L838" s="294"/>
      <c r="M838" s="294"/>
      <c r="N838" s="294"/>
      <c r="O838" s="294"/>
      <c r="P838" s="294"/>
      <c r="Q838" s="294"/>
      <c r="R838" s="294"/>
      <c r="S838" s="294"/>
      <c r="T838" s="294"/>
      <c r="U838" s="294"/>
      <c r="V838" s="294"/>
      <c r="W838" s="294"/>
      <c r="X838" s="294"/>
      <c r="Y838" s="294"/>
      <c r="Z838" s="294"/>
      <c r="AA838" s="294"/>
      <c r="AB838" s="294"/>
      <c r="AC838" s="294"/>
    </row>
    <row r="839" ht="15.75" customHeight="1">
      <c r="A839" s="294"/>
      <c r="B839" s="294"/>
      <c r="C839" s="294"/>
      <c r="D839" s="294"/>
      <c r="E839" s="294"/>
      <c r="F839" s="294"/>
      <c r="G839" s="295"/>
      <c r="H839" s="294"/>
      <c r="I839" s="294"/>
      <c r="J839" s="294"/>
      <c r="K839" s="294"/>
      <c r="L839" s="294"/>
      <c r="M839" s="294"/>
      <c r="N839" s="294"/>
      <c r="O839" s="294"/>
      <c r="P839" s="294"/>
      <c r="Q839" s="294"/>
      <c r="R839" s="294"/>
      <c r="S839" s="294"/>
      <c r="T839" s="294"/>
      <c r="U839" s="294"/>
      <c r="V839" s="294"/>
      <c r="W839" s="294"/>
      <c r="X839" s="294"/>
      <c r="Y839" s="294"/>
      <c r="Z839" s="294"/>
      <c r="AA839" s="294"/>
      <c r="AB839" s="294"/>
      <c r="AC839" s="294"/>
    </row>
    <row r="840" ht="15.75" customHeight="1">
      <c r="A840" s="294"/>
      <c r="B840" s="294"/>
      <c r="C840" s="294"/>
      <c r="D840" s="294"/>
      <c r="E840" s="294"/>
      <c r="F840" s="294"/>
      <c r="G840" s="295"/>
      <c r="H840" s="294"/>
      <c r="I840" s="294"/>
      <c r="J840" s="294"/>
      <c r="K840" s="294"/>
      <c r="L840" s="294"/>
      <c r="M840" s="294"/>
      <c r="N840" s="294"/>
      <c r="O840" s="294"/>
      <c r="P840" s="294"/>
      <c r="Q840" s="294"/>
      <c r="R840" s="294"/>
      <c r="S840" s="294"/>
      <c r="T840" s="294"/>
      <c r="U840" s="294"/>
      <c r="V840" s="294"/>
      <c r="W840" s="294"/>
      <c r="X840" s="294"/>
      <c r="Y840" s="294"/>
      <c r="Z840" s="294"/>
      <c r="AA840" s="294"/>
      <c r="AB840" s="294"/>
      <c r="AC840" s="294"/>
    </row>
    <row r="841" ht="15.75" customHeight="1">
      <c r="A841" s="294"/>
      <c r="B841" s="294"/>
      <c r="C841" s="294"/>
      <c r="D841" s="294"/>
      <c r="E841" s="294"/>
      <c r="F841" s="294"/>
      <c r="G841" s="295"/>
      <c r="H841" s="294"/>
      <c r="I841" s="294"/>
      <c r="J841" s="294"/>
      <c r="K841" s="294"/>
      <c r="L841" s="294"/>
      <c r="M841" s="294"/>
      <c r="N841" s="294"/>
      <c r="O841" s="294"/>
      <c r="P841" s="294"/>
      <c r="Q841" s="294"/>
      <c r="R841" s="294"/>
      <c r="S841" s="294"/>
      <c r="T841" s="294"/>
      <c r="U841" s="294"/>
      <c r="V841" s="294"/>
      <c r="W841" s="294"/>
      <c r="X841" s="294"/>
      <c r="Y841" s="294"/>
      <c r="Z841" s="294"/>
      <c r="AA841" s="294"/>
      <c r="AB841" s="294"/>
      <c r="AC841" s="294"/>
    </row>
    <row r="842" ht="15.75" customHeight="1">
      <c r="A842" s="294"/>
      <c r="B842" s="294"/>
      <c r="C842" s="294"/>
      <c r="D842" s="294"/>
      <c r="E842" s="294"/>
      <c r="F842" s="294"/>
      <c r="G842" s="295"/>
      <c r="H842" s="294"/>
      <c r="I842" s="294"/>
      <c r="J842" s="294"/>
      <c r="K842" s="294"/>
      <c r="L842" s="294"/>
      <c r="M842" s="294"/>
      <c r="N842" s="294"/>
      <c r="O842" s="294"/>
      <c r="P842" s="294"/>
      <c r="Q842" s="294"/>
      <c r="R842" s="294"/>
      <c r="S842" s="294"/>
      <c r="T842" s="294"/>
      <c r="U842" s="294"/>
      <c r="V842" s="294"/>
      <c r="W842" s="294"/>
      <c r="X842" s="294"/>
      <c r="Y842" s="294"/>
      <c r="Z842" s="294"/>
      <c r="AA842" s="294"/>
      <c r="AB842" s="294"/>
      <c r="AC842" s="294"/>
    </row>
    <row r="843" ht="15.75" customHeight="1">
      <c r="A843" s="294"/>
      <c r="B843" s="294"/>
      <c r="C843" s="294"/>
      <c r="D843" s="294"/>
      <c r="E843" s="294"/>
      <c r="F843" s="294"/>
      <c r="G843" s="295"/>
      <c r="H843" s="294"/>
      <c r="I843" s="294"/>
      <c r="J843" s="294"/>
      <c r="K843" s="294"/>
      <c r="L843" s="294"/>
      <c r="M843" s="294"/>
      <c r="N843" s="294"/>
      <c r="O843" s="294"/>
      <c r="P843" s="294"/>
      <c r="Q843" s="294"/>
      <c r="R843" s="294"/>
      <c r="S843" s="294"/>
      <c r="T843" s="294"/>
      <c r="U843" s="294"/>
      <c r="V843" s="294"/>
      <c r="W843" s="294"/>
      <c r="X843" s="294"/>
      <c r="Y843" s="294"/>
      <c r="Z843" s="294"/>
      <c r="AA843" s="294"/>
      <c r="AB843" s="294"/>
      <c r="AC843" s="294"/>
    </row>
    <row r="844" ht="15.75" customHeight="1">
      <c r="A844" s="294"/>
      <c r="B844" s="294"/>
      <c r="C844" s="294"/>
      <c r="D844" s="294"/>
      <c r="E844" s="294"/>
      <c r="F844" s="294"/>
      <c r="G844" s="295"/>
      <c r="H844" s="294"/>
      <c r="I844" s="294"/>
      <c r="J844" s="294"/>
      <c r="K844" s="294"/>
      <c r="L844" s="294"/>
      <c r="M844" s="294"/>
      <c r="N844" s="294"/>
      <c r="O844" s="294"/>
      <c r="P844" s="294"/>
      <c r="Q844" s="294"/>
      <c r="R844" s="294"/>
      <c r="S844" s="294"/>
      <c r="T844" s="294"/>
      <c r="U844" s="294"/>
      <c r="V844" s="294"/>
      <c r="W844" s="294"/>
      <c r="X844" s="294"/>
      <c r="Y844" s="294"/>
      <c r="Z844" s="294"/>
      <c r="AA844" s="294"/>
      <c r="AB844" s="294"/>
      <c r="AC844" s="294"/>
    </row>
    <row r="845" ht="15.75" customHeight="1">
      <c r="A845" s="294"/>
      <c r="B845" s="294"/>
      <c r="C845" s="294"/>
      <c r="D845" s="294"/>
      <c r="E845" s="294"/>
      <c r="F845" s="294"/>
      <c r="G845" s="295"/>
      <c r="H845" s="294"/>
      <c r="I845" s="294"/>
      <c r="J845" s="294"/>
      <c r="K845" s="294"/>
      <c r="L845" s="294"/>
      <c r="M845" s="294"/>
      <c r="N845" s="294"/>
      <c r="O845" s="294"/>
      <c r="P845" s="294"/>
      <c r="Q845" s="294"/>
      <c r="R845" s="294"/>
      <c r="S845" s="294"/>
      <c r="T845" s="294"/>
      <c r="U845" s="294"/>
      <c r="V845" s="294"/>
      <c r="W845" s="294"/>
      <c r="X845" s="294"/>
      <c r="Y845" s="294"/>
      <c r="Z845" s="294"/>
      <c r="AA845" s="294"/>
      <c r="AB845" s="294"/>
      <c r="AC845" s="294"/>
    </row>
    <row r="846" ht="15.75" customHeight="1">
      <c r="A846" s="294"/>
      <c r="B846" s="294"/>
      <c r="C846" s="294"/>
      <c r="D846" s="294"/>
      <c r="E846" s="294"/>
      <c r="F846" s="294"/>
      <c r="G846" s="295"/>
      <c r="H846" s="294"/>
      <c r="I846" s="294"/>
      <c r="J846" s="294"/>
      <c r="K846" s="294"/>
      <c r="L846" s="294"/>
      <c r="M846" s="294"/>
      <c r="N846" s="294"/>
      <c r="O846" s="294"/>
      <c r="P846" s="294"/>
      <c r="Q846" s="294"/>
      <c r="R846" s="294"/>
      <c r="S846" s="294"/>
      <c r="T846" s="294"/>
      <c r="U846" s="294"/>
      <c r="V846" s="294"/>
      <c r="W846" s="294"/>
      <c r="X846" s="294"/>
      <c r="Y846" s="294"/>
      <c r="Z846" s="294"/>
      <c r="AA846" s="294"/>
      <c r="AB846" s="294"/>
      <c r="AC846" s="294"/>
    </row>
    <row r="847" ht="15.75" customHeight="1">
      <c r="A847" s="294"/>
      <c r="B847" s="294"/>
      <c r="C847" s="294"/>
      <c r="D847" s="294"/>
      <c r="E847" s="294"/>
      <c r="F847" s="294"/>
      <c r="G847" s="295"/>
      <c r="H847" s="294"/>
      <c r="I847" s="294"/>
      <c r="J847" s="294"/>
      <c r="K847" s="294"/>
      <c r="L847" s="294"/>
      <c r="M847" s="294"/>
      <c r="N847" s="294"/>
      <c r="O847" s="294"/>
      <c r="P847" s="294"/>
      <c r="Q847" s="294"/>
      <c r="R847" s="294"/>
      <c r="S847" s="294"/>
      <c r="T847" s="294"/>
      <c r="U847" s="294"/>
      <c r="V847" s="294"/>
      <c r="W847" s="294"/>
      <c r="X847" s="294"/>
      <c r="Y847" s="294"/>
      <c r="Z847" s="294"/>
      <c r="AA847" s="294"/>
      <c r="AB847" s="294"/>
      <c r="AC847" s="294"/>
    </row>
    <row r="848" ht="15.75" customHeight="1">
      <c r="A848" s="294"/>
      <c r="B848" s="294"/>
      <c r="C848" s="294"/>
      <c r="D848" s="294"/>
      <c r="E848" s="294"/>
      <c r="F848" s="294"/>
      <c r="G848" s="295"/>
      <c r="H848" s="294"/>
      <c r="I848" s="294"/>
      <c r="J848" s="294"/>
      <c r="K848" s="294"/>
      <c r="L848" s="294"/>
      <c r="M848" s="294"/>
      <c r="N848" s="294"/>
      <c r="O848" s="294"/>
      <c r="P848" s="294"/>
      <c r="Q848" s="294"/>
      <c r="R848" s="294"/>
      <c r="S848" s="294"/>
      <c r="T848" s="294"/>
      <c r="U848" s="294"/>
      <c r="V848" s="294"/>
      <c r="W848" s="294"/>
      <c r="X848" s="294"/>
      <c r="Y848" s="294"/>
      <c r="Z848" s="294"/>
      <c r="AA848" s="294"/>
      <c r="AB848" s="294"/>
      <c r="AC848" s="294"/>
    </row>
    <row r="849" ht="15.75" customHeight="1">
      <c r="A849" s="294"/>
      <c r="B849" s="294"/>
      <c r="C849" s="294"/>
      <c r="D849" s="294"/>
      <c r="E849" s="294"/>
      <c r="F849" s="294"/>
      <c r="G849" s="295"/>
      <c r="H849" s="294"/>
      <c r="I849" s="294"/>
      <c r="J849" s="294"/>
      <c r="K849" s="294"/>
      <c r="L849" s="294"/>
      <c r="M849" s="294"/>
      <c r="N849" s="294"/>
      <c r="O849" s="294"/>
      <c r="P849" s="294"/>
      <c r="Q849" s="294"/>
      <c r="R849" s="294"/>
      <c r="S849" s="294"/>
      <c r="T849" s="294"/>
      <c r="U849" s="294"/>
      <c r="V849" s="294"/>
      <c r="W849" s="294"/>
      <c r="X849" s="294"/>
      <c r="Y849" s="294"/>
      <c r="Z849" s="294"/>
      <c r="AA849" s="294"/>
      <c r="AB849" s="294"/>
      <c r="AC849" s="294"/>
    </row>
    <row r="850" ht="15.75" customHeight="1">
      <c r="A850" s="294"/>
      <c r="B850" s="294"/>
      <c r="C850" s="294"/>
      <c r="D850" s="294"/>
      <c r="E850" s="294"/>
      <c r="F850" s="294"/>
      <c r="G850" s="295"/>
      <c r="H850" s="294"/>
      <c r="I850" s="294"/>
      <c r="J850" s="294"/>
      <c r="K850" s="294"/>
      <c r="L850" s="294"/>
      <c r="M850" s="294"/>
      <c r="N850" s="294"/>
      <c r="O850" s="294"/>
      <c r="P850" s="294"/>
      <c r="Q850" s="294"/>
      <c r="R850" s="294"/>
      <c r="S850" s="294"/>
      <c r="T850" s="294"/>
      <c r="U850" s="294"/>
      <c r="V850" s="294"/>
      <c r="W850" s="294"/>
      <c r="X850" s="294"/>
      <c r="Y850" s="294"/>
      <c r="Z850" s="294"/>
      <c r="AA850" s="294"/>
      <c r="AB850" s="294"/>
      <c r="AC850" s="294"/>
    </row>
    <row r="851" ht="15.75" customHeight="1">
      <c r="A851" s="294"/>
      <c r="B851" s="294"/>
      <c r="C851" s="294"/>
      <c r="D851" s="294"/>
      <c r="E851" s="294"/>
      <c r="F851" s="294"/>
      <c r="G851" s="295"/>
      <c r="H851" s="294"/>
      <c r="I851" s="294"/>
      <c r="J851" s="294"/>
      <c r="K851" s="294"/>
      <c r="L851" s="294"/>
      <c r="M851" s="294"/>
      <c r="N851" s="294"/>
      <c r="O851" s="294"/>
      <c r="P851" s="294"/>
      <c r="Q851" s="294"/>
      <c r="R851" s="294"/>
      <c r="S851" s="294"/>
      <c r="T851" s="294"/>
      <c r="U851" s="294"/>
      <c r="V851" s="294"/>
      <c r="W851" s="294"/>
      <c r="X851" s="294"/>
      <c r="Y851" s="294"/>
      <c r="Z851" s="294"/>
      <c r="AA851" s="294"/>
      <c r="AB851" s="294"/>
      <c r="AC851" s="294"/>
    </row>
    <row r="852" ht="15.75" customHeight="1">
      <c r="A852" s="294"/>
      <c r="B852" s="294"/>
      <c r="C852" s="294"/>
      <c r="D852" s="294"/>
      <c r="E852" s="294"/>
      <c r="F852" s="294"/>
      <c r="G852" s="295"/>
      <c r="H852" s="294"/>
      <c r="I852" s="294"/>
      <c r="J852" s="294"/>
      <c r="K852" s="294"/>
      <c r="L852" s="294"/>
      <c r="M852" s="294"/>
      <c r="N852" s="294"/>
      <c r="O852" s="294"/>
      <c r="P852" s="294"/>
      <c r="Q852" s="294"/>
      <c r="R852" s="294"/>
      <c r="S852" s="294"/>
      <c r="T852" s="294"/>
      <c r="U852" s="294"/>
      <c r="V852" s="294"/>
      <c r="W852" s="294"/>
      <c r="X852" s="294"/>
      <c r="Y852" s="294"/>
      <c r="Z852" s="294"/>
      <c r="AA852" s="294"/>
      <c r="AB852" s="294"/>
      <c r="AC852" s="294"/>
    </row>
    <row r="853" ht="15.75" customHeight="1">
      <c r="A853" s="294"/>
      <c r="B853" s="294"/>
      <c r="C853" s="294"/>
      <c r="D853" s="294"/>
      <c r="E853" s="294"/>
      <c r="F853" s="294"/>
      <c r="G853" s="295"/>
      <c r="H853" s="294"/>
      <c r="I853" s="294"/>
      <c r="J853" s="294"/>
      <c r="K853" s="294"/>
      <c r="L853" s="294"/>
      <c r="M853" s="294"/>
      <c r="N853" s="294"/>
      <c r="O853" s="294"/>
      <c r="P853" s="294"/>
      <c r="Q853" s="294"/>
      <c r="R853" s="294"/>
      <c r="S853" s="294"/>
      <c r="T853" s="294"/>
      <c r="U853" s="294"/>
      <c r="V853" s="294"/>
      <c r="W853" s="294"/>
      <c r="X853" s="294"/>
      <c r="Y853" s="294"/>
      <c r="Z853" s="294"/>
      <c r="AA853" s="294"/>
      <c r="AB853" s="294"/>
      <c r="AC853" s="294"/>
    </row>
    <row r="854" ht="15.75" customHeight="1">
      <c r="A854" s="294"/>
      <c r="B854" s="294"/>
      <c r="C854" s="294"/>
      <c r="D854" s="294"/>
      <c r="E854" s="294"/>
      <c r="F854" s="294"/>
      <c r="G854" s="295"/>
      <c r="H854" s="294"/>
      <c r="I854" s="294"/>
      <c r="J854" s="294"/>
      <c r="K854" s="294"/>
      <c r="L854" s="294"/>
      <c r="M854" s="294"/>
      <c r="N854" s="294"/>
      <c r="O854" s="294"/>
      <c r="P854" s="294"/>
      <c r="Q854" s="294"/>
      <c r="R854" s="294"/>
      <c r="S854" s="294"/>
      <c r="T854" s="294"/>
      <c r="U854" s="294"/>
      <c r="V854" s="294"/>
      <c r="W854" s="294"/>
      <c r="X854" s="294"/>
      <c r="Y854" s="294"/>
      <c r="Z854" s="294"/>
      <c r="AA854" s="294"/>
      <c r="AB854" s="294"/>
      <c r="AC854" s="294"/>
    </row>
    <row r="855" ht="15.75" customHeight="1">
      <c r="A855" s="294"/>
      <c r="B855" s="294"/>
      <c r="C855" s="294"/>
      <c r="D855" s="294"/>
      <c r="E855" s="294"/>
      <c r="F855" s="294"/>
      <c r="G855" s="295"/>
      <c r="H855" s="294"/>
      <c r="I855" s="294"/>
      <c r="J855" s="294"/>
      <c r="K855" s="294"/>
      <c r="L855" s="294"/>
      <c r="M855" s="294"/>
      <c r="N855" s="294"/>
      <c r="O855" s="294"/>
      <c r="P855" s="294"/>
      <c r="Q855" s="294"/>
      <c r="R855" s="294"/>
      <c r="S855" s="294"/>
      <c r="T855" s="294"/>
      <c r="U855" s="294"/>
      <c r="V855" s="294"/>
      <c r="W855" s="294"/>
      <c r="X855" s="294"/>
      <c r="Y855" s="294"/>
      <c r="Z855" s="294"/>
      <c r="AA855" s="294"/>
      <c r="AB855" s="294"/>
      <c r="AC855" s="294"/>
    </row>
    <row r="856" ht="15.75" customHeight="1">
      <c r="A856" s="294"/>
      <c r="B856" s="294"/>
      <c r="C856" s="294"/>
      <c r="D856" s="294"/>
      <c r="E856" s="294"/>
      <c r="F856" s="294"/>
      <c r="G856" s="295"/>
      <c r="H856" s="294"/>
      <c r="I856" s="294"/>
      <c r="J856" s="294"/>
      <c r="K856" s="294"/>
      <c r="L856" s="294"/>
      <c r="M856" s="294"/>
      <c r="N856" s="294"/>
      <c r="O856" s="294"/>
      <c r="P856" s="294"/>
      <c r="Q856" s="294"/>
      <c r="R856" s="294"/>
      <c r="S856" s="294"/>
      <c r="T856" s="294"/>
      <c r="U856" s="294"/>
      <c r="V856" s="294"/>
      <c r="W856" s="294"/>
      <c r="X856" s="294"/>
      <c r="Y856" s="294"/>
      <c r="Z856" s="294"/>
      <c r="AA856" s="294"/>
      <c r="AB856" s="294"/>
      <c r="AC856" s="294"/>
    </row>
    <row r="857" ht="15.75" customHeight="1">
      <c r="A857" s="294"/>
      <c r="B857" s="294"/>
      <c r="C857" s="294"/>
      <c r="D857" s="294"/>
      <c r="E857" s="294"/>
      <c r="F857" s="294"/>
      <c r="G857" s="295"/>
      <c r="H857" s="294"/>
      <c r="I857" s="294"/>
      <c r="J857" s="294"/>
      <c r="K857" s="294"/>
      <c r="L857" s="294"/>
      <c r="M857" s="294"/>
      <c r="N857" s="294"/>
      <c r="O857" s="294"/>
      <c r="P857" s="294"/>
      <c r="Q857" s="294"/>
      <c r="R857" s="294"/>
      <c r="S857" s="294"/>
      <c r="T857" s="294"/>
      <c r="U857" s="294"/>
      <c r="V857" s="294"/>
      <c r="W857" s="294"/>
      <c r="X857" s="294"/>
      <c r="Y857" s="294"/>
      <c r="Z857" s="294"/>
      <c r="AA857" s="294"/>
      <c r="AB857" s="294"/>
      <c r="AC857" s="294"/>
    </row>
    <row r="858" ht="15.75" customHeight="1">
      <c r="A858" s="294"/>
      <c r="B858" s="294"/>
      <c r="C858" s="294"/>
      <c r="D858" s="294"/>
      <c r="E858" s="294"/>
      <c r="F858" s="294"/>
      <c r="G858" s="295"/>
      <c r="H858" s="294"/>
      <c r="I858" s="294"/>
      <c r="J858" s="294"/>
      <c r="K858" s="294"/>
      <c r="L858" s="294"/>
      <c r="M858" s="294"/>
      <c r="N858" s="294"/>
      <c r="O858" s="294"/>
      <c r="P858" s="294"/>
      <c r="Q858" s="294"/>
      <c r="R858" s="294"/>
      <c r="S858" s="294"/>
      <c r="T858" s="294"/>
      <c r="U858" s="294"/>
      <c r="V858" s="294"/>
      <c r="W858" s="294"/>
      <c r="X858" s="294"/>
      <c r="Y858" s="294"/>
      <c r="Z858" s="294"/>
      <c r="AA858" s="294"/>
      <c r="AB858" s="294"/>
      <c r="AC858" s="294"/>
    </row>
    <row r="859" ht="15.75" customHeight="1">
      <c r="A859" s="294"/>
      <c r="B859" s="294"/>
      <c r="C859" s="294"/>
      <c r="D859" s="294"/>
      <c r="E859" s="294"/>
      <c r="F859" s="294"/>
      <c r="G859" s="295"/>
      <c r="H859" s="294"/>
      <c r="I859" s="294"/>
      <c r="J859" s="294"/>
      <c r="K859" s="294"/>
      <c r="L859" s="294"/>
      <c r="M859" s="294"/>
      <c r="N859" s="294"/>
      <c r="O859" s="294"/>
      <c r="P859" s="294"/>
      <c r="Q859" s="294"/>
      <c r="R859" s="294"/>
      <c r="S859" s="294"/>
      <c r="T859" s="294"/>
      <c r="U859" s="294"/>
      <c r="V859" s="294"/>
      <c r="W859" s="294"/>
      <c r="X859" s="294"/>
      <c r="Y859" s="294"/>
      <c r="Z859" s="294"/>
      <c r="AA859" s="294"/>
      <c r="AB859" s="294"/>
      <c r="AC859" s="294"/>
    </row>
    <row r="860" ht="15.75" customHeight="1">
      <c r="A860" s="294"/>
      <c r="B860" s="294"/>
      <c r="C860" s="294"/>
      <c r="D860" s="294"/>
      <c r="E860" s="294"/>
      <c r="F860" s="294"/>
      <c r="G860" s="295"/>
      <c r="H860" s="294"/>
      <c r="I860" s="294"/>
      <c r="J860" s="294"/>
      <c r="K860" s="294"/>
      <c r="L860" s="294"/>
      <c r="M860" s="294"/>
      <c r="N860" s="294"/>
      <c r="O860" s="294"/>
      <c r="P860" s="294"/>
      <c r="Q860" s="294"/>
      <c r="R860" s="294"/>
      <c r="S860" s="294"/>
      <c r="T860" s="294"/>
      <c r="U860" s="294"/>
      <c r="V860" s="294"/>
      <c r="W860" s="294"/>
      <c r="X860" s="294"/>
      <c r="Y860" s="294"/>
      <c r="Z860" s="294"/>
      <c r="AA860" s="294"/>
      <c r="AB860" s="294"/>
      <c r="AC860" s="294"/>
    </row>
    <row r="861" ht="15.75" customHeight="1">
      <c r="A861" s="294"/>
      <c r="B861" s="294"/>
      <c r="C861" s="294"/>
      <c r="D861" s="294"/>
      <c r="E861" s="294"/>
      <c r="F861" s="294"/>
      <c r="G861" s="295"/>
      <c r="H861" s="294"/>
      <c r="I861" s="294"/>
      <c r="J861" s="294"/>
      <c r="K861" s="294"/>
      <c r="L861" s="294"/>
      <c r="M861" s="294"/>
      <c r="N861" s="294"/>
      <c r="O861" s="294"/>
      <c r="P861" s="294"/>
      <c r="Q861" s="294"/>
      <c r="R861" s="294"/>
      <c r="S861" s="294"/>
      <c r="T861" s="294"/>
      <c r="U861" s="294"/>
      <c r="V861" s="294"/>
      <c r="W861" s="294"/>
      <c r="X861" s="294"/>
      <c r="Y861" s="294"/>
      <c r="Z861" s="294"/>
      <c r="AA861" s="294"/>
      <c r="AB861" s="294"/>
      <c r="AC861" s="294"/>
    </row>
    <row r="862" ht="15.75" customHeight="1">
      <c r="A862" s="294"/>
      <c r="B862" s="294"/>
      <c r="C862" s="294"/>
      <c r="D862" s="294"/>
      <c r="E862" s="294"/>
      <c r="F862" s="294"/>
      <c r="G862" s="295"/>
      <c r="H862" s="294"/>
      <c r="I862" s="294"/>
      <c r="J862" s="294"/>
      <c r="K862" s="294"/>
      <c r="L862" s="294"/>
      <c r="M862" s="294"/>
      <c r="N862" s="294"/>
      <c r="O862" s="294"/>
      <c r="P862" s="294"/>
      <c r="Q862" s="294"/>
      <c r="R862" s="294"/>
      <c r="S862" s="294"/>
      <c r="T862" s="294"/>
      <c r="U862" s="294"/>
      <c r="V862" s="294"/>
      <c r="W862" s="294"/>
      <c r="X862" s="294"/>
      <c r="Y862" s="294"/>
      <c r="Z862" s="294"/>
      <c r="AA862" s="294"/>
      <c r="AB862" s="294"/>
      <c r="AC862" s="294"/>
    </row>
    <row r="863" ht="15.75" customHeight="1">
      <c r="A863" s="294"/>
      <c r="B863" s="294"/>
      <c r="C863" s="294"/>
      <c r="D863" s="294"/>
      <c r="E863" s="294"/>
      <c r="F863" s="294"/>
      <c r="G863" s="295"/>
      <c r="H863" s="294"/>
      <c r="I863" s="294"/>
      <c r="J863" s="294"/>
      <c r="K863" s="294"/>
      <c r="L863" s="294"/>
      <c r="M863" s="294"/>
      <c r="N863" s="294"/>
      <c r="O863" s="294"/>
      <c r="P863" s="294"/>
      <c r="Q863" s="294"/>
      <c r="R863" s="294"/>
      <c r="S863" s="294"/>
      <c r="T863" s="294"/>
      <c r="U863" s="294"/>
      <c r="V863" s="294"/>
      <c r="W863" s="294"/>
      <c r="X863" s="294"/>
      <c r="Y863" s="294"/>
      <c r="Z863" s="294"/>
      <c r="AA863" s="294"/>
      <c r="AB863" s="294"/>
      <c r="AC863" s="294"/>
    </row>
    <row r="864" ht="15.75" customHeight="1">
      <c r="A864" s="294"/>
      <c r="B864" s="294"/>
      <c r="C864" s="294"/>
      <c r="D864" s="294"/>
      <c r="E864" s="294"/>
      <c r="F864" s="294"/>
      <c r="G864" s="295"/>
      <c r="H864" s="294"/>
      <c r="I864" s="294"/>
      <c r="J864" s="294"/>
      <c r="K864" s="294"/>
      <c r="L864" s="294"/>
      <c r="M864" s="294"/>
      <c r="N864" s="294"/>
      <c r="O864" s="294"/>
      <c r="P864" s="294"/>
      <c r="Q864" s="294"/>
      <c r="R864" s="294"/>
      <c r="S864" s="294"/>
      <c r="T864" s="294"/>
      <c r="U864" s="294"/>
      <c r="V864" s="294"/>
      <c r="W864" s="294"/>
      <c r="X864" s="294"/>
      <c r="Y864" s="294"/>
      <c r="Z864" s="294"/>
      <c r="AA864" s="294"/>
      <c r="AB864" s="294"/>
      <c r="AC864" s="294"/>
    </row>
    <row r="865" ht="15.75" customHeight="1">
      <c r="A865" s="294"/>
      <c r="B865" s="294"/>
      <c r="C865" s="294"/>
      <c r="D865" s="294"/>
      <c r="E865" s="294"/>
      <c r="F865" s="294"/>
      <c r="G865" s="295"/>
      <c r="H865" s="294"/>
      <c r="I865" s="294"/>
      <c r="J865" s="294"/>
      <c r="K865" s="294"/>
      <c r="L865" s="294"/>
      <c r="M865" s="294"/>
      <c r="N865" s="294"/>
      <c r="O865" s="294"/>
      <c r="P865" s="294"/>
      <c r="Q865" s="294"/>
      <c r="R865" s="294"/>
      <c r="S865" s="294"/>
      <c r="T865" s="294"/>
      <c r="U865" s="294"/>
      <c r="V865" s="294"/>
      <c r="W865" s="294"/>
      <c r="X865" s="294"/>
      <c r="Y865" s="294"/>
      <c r="Z865" s="294"/>
      <c r="AA865" s="294"/>
      <c r="AB865" s="294"/>
      <c r="AC865" s="294"/>
    </row>
    <row r="866" ht="15.75" customHeight="1">
      <c r="A866" s="294"/>
      <c r="B866" s="294"/>
      <c r="C866" s="294"/>
      <c r="D866" s="294"/>
      <c r="E866" s="294"/>
      <c r="F866" s="294"/>
      <c r="G866" s="295"/>
      <c r="H866" s="294"/>
      <c r="I866" s="294"/>
      <c r="J866" s="294"/>
      <c r="K866" s="294"/>
      <c r="L866" s="294"/>
      <c r="M866" s="294"/>
      <c r="N866" s="294"/>
      <c r="O866" s="294"/>
      <c r="P866" s="294"/>
      <c r="Q866" s="294"/>
      <c r="R866" s="294"/>
      <c r="S866" s="294"/>
      <c r="T866" s="294"/>
      <c r="U866" s="294"/>
      <c r="V866" s="294"/>
      <c r="W866" s="294"/>
      <c r="X866" s="294"/>
      <c r="Y866" s="294"/>
      <c r="Z866" s="294"/>
      <c r="AA866" s="294"/>
      <c r="AB866" s="294"/>
      <c r="AC866" s="294"/>
    </row>
    <row r="867" ht="15.75" customHeight="1">
      <c r="A867" s="294"/>
      <c r="B867" s="294"/>
      <c r="C867" s="294"/>
      <c r="D867" s="294"/>
      <c r="E867" s="294"/>
      <c r="F867" s="294"/>
      <c r="G867" s="295"/>
      <c r="H867" s="294"/>
      <c r="I867" s="294"/>
      <c r="J867" s="294"/>
      <c r="K867" s="294"/>
      <c r="L867" s="294"/>
      <c r="M867" s="294"/>
      <c r="N867" s="294"/>
      <c r="O867" s="294"/>
      <c r="P867" s="294"/>
      <c r="Q867" s="294"/>
      <c r="R867" s="294"/>
      <c r="S867" s="294"/>
      <c r="T867" s="294"/>
      <c r="U867" s="294"/>
      <c r="V867" s="294"/>
      <c r="W867" s="294"/>
      <c r="X867" s="294"/>
      <c r="Y867" s="294"/>
      <c r="Z867" s="294"/>
      <c r="AA867" s="294"/>
      <c r="AB867" s="294"/>
      <c r="AC867" s="294"/>
    </row>
    <row r="868" ht="15.75" customHeight="1">
      <c r="A868" s="294"/>
      <c r="B868" s="294"/>
      <c r="C868" s="294"/>
      <c r="D868" s="294"/>
      <c r="E868" s="294"/>
      <c r="F868" s="294"/>
      <c r="G868" s="295"/>
      <c r="H868" s="294"/>
      <c r="I868" s="294"/>
      <c r="J868" s="294"/>
      <c r="K868" s="294"/>
      <c r="L868" s="294"/>
      <c r="M868" s="294"/>
      <c r="N868" s="294"/>
      <c r="O868" s="294"/>
      <c r="P868" s="294"/>
      <c r="Q868" s="294"/>
      <c r="R868" s="294"/>
      <c r="S868" s="294"/>
      <c r="T868" s="294"/>
      <c r="U868" s="294"/>
      <c r="V868" s="294"/>
      <c r="W868" s="294"/>
      <c r="X868" s="294"/>
      <c r="Y868" s="294"/>
      <c r="Z868" s="294"/>
      <c r="AA868" s="294"/>
      <c r="AB868" s="294"/>
      <c r="AC868" s="294"/>
    </row>
    <row r="869" ht="15.75" customHeight="1">
      <c r="A869" s="294"/>
      <c r="B869" s="294"/>
      <c r="C869" s="294"/>
      <c r="D869" s="294"/>
      <c r="E869" s="294"/>
      <c r="F869" s="294"/>
      <c r="G869" s="295"/>
      <c r="H869" s="294"/>
      <c r="I869" s="294"/>
      <c r="J869" s="294"/>
      <c r="K869" s="294"/>
      <c r="L869" s="294"/>
      <c r="M869" s="294"/>
      <c r="N869" s="294"/>
      <c r="O869" s="294"/>
      <c r="P869" s="294"/>
      <c r="Q869" s="294"/>
      <c r="R869" s="294"/>
      <c r="S869" s="294"/>
      <c r="T869" s="294"/>
      <c r="U869" s="294"/>
      <c r="V869" s="294"/>
      <c r="W869" s="294"/>
      <c r="X869" s="294"/>
      <c r="Y869" s="294"/>
      <c r="Z869" s="294"/>
      <c r="AA869" s="294"/>
      <c r="AB869" s="294"/>
      <c r="AC869" s="294"/>
    </row>
    <row r="870" ht="15.75" customHeight="1">
      <c r="A870" s="294"/>
      <c r="B870" s="294"/>
      <c r="C870" s="294"/>
      <c r="D870" s="294"/>
      <c r="E870" s="294"/>
      <c r="F870" s="294"/>
      <c r="G870" s="295"/>
      <c r="H870" s="294"/>
      <c r="I870" s="294"/>
      <c r="J870" s="294"/>
      <c r="K870" s="294"/>
      <c r="L870" s="294"/>
      <c r="M870" s="294"/>
      <c r="N870" s="294"/>
      <c r="O870" s="294"/>
      <c r="P870" s="294"/>
      <c r="Q870" s="294"/>
      <c r="R870" s="294"/>
      <c r="S870" s="294"/>
      <c r="T870" s="294"/>
      <c r="U870" s="294"/>
      <c r="V870" s="294"/>
      <c r="W870" s="294"/>
      <c r="X870" s="294"/>
      <c r="Y870" s="294"/>
      <c r="Z870" s="294"/>
      <c r="AA870" s="294"/>
      <c r="AB870" s="294"/>
      <c r="AC870" s="294"/>
    </row>
    <row r="871" ht="15.75" customHeight="1">
      <c r="A871" s="294"/>
      <c r="B871" s="294"/>
      <c r="C871" s="294"/>
      <c r="D871" s="294"/>
      <c r="E871" s="294"/>
      <c r="F871" s="294"/>
      <c r="G871" s="295"/>
      <c r="H871" s="294"/>
      <c r="I871" s="294"/>
      <c r="J871" s="294"/>
      <c r="K871" s="294"/>
      <c r="L871" s="294"/>
      <c r="M871" s="294"/>
      <c r="N871" s="294"/>
      <c r="O871" s="294"/>
      <c r="P871" s="294"/>
      <c r="Q871" s="294"/>
      <c r="R871" s="294"/>
      <c r="S871" s="294"/>
      <c r="T871" s="294"/>
      <c r="U871" s="294"/>
      <c r="V871" s="294"/>
      <c r="W871" s="294"/>
      <c r="X871" s="294"/>
      <c r="Y871" s="294"/>
      <c r="Z871" s="294"/>
      <c r="AA871" s="294"/>
      <c r="AB871" s="294"/>
      <c r="AC871" s="294"/>
    </row>
    <row r="872" ht="15.75" customHeight="1">
      <c r="A872" s="294"/>
      <c r="B872" s="294"/>
      <c r="C872" s="294"/>
      <c r="D872" s="294"/>
      <c r="E872" s="294"/>
      <c r="F872" s="294"/>
      <c r="G872" s="295"/>
      <c r="H872" s="294"/>
      <c r="I872" s="294"/>
      <c r="J872" s="294"/>
      <c r="K872" s="294"/>
      <c r="L872" s="294"/>
      <c r="M872" s="294"/>
      <c r="N872" s="294"/>
      <c r="O872" s="294"/>
      <c r="P872" s="294"/>
      <c r="Q872" s="294"/>
      <c r="R872" s="294"/>
      <c r="S872" s="294"/>
      <c r="T872" s="294"/>
      <c r="U872" s="294"/>
      <c r="V872" s="294"/>
      <c r="W872" s="294"/>
      <c r="X872" s="294"/>
      <c r="Y872" s="294"/>
      <c r="Z872" s="294"/>
      <c r="AA872" s="294"/>
      <c r="AB872" s="294"/>
      <c r="AC872" s="294"/>
    </row>
    <row r="873" ht="15.75" customHeight="1">
      <c r="A873" s="294"/>
      <c r="B873" s="294"/>
      <c r="C873" s="294"/>
      <c r="D873" s="294"/>
      <c r="E873" s="294"/>
      <c r="F873" s="294"/>
      <c r="G873" s="295"/>
      <c r="H873" s="294"/>
      <c r="I873" s="294"/>
      <c r="J873" s="294"/>
      <c r="K873" s="294"/>
      <c r="L873" s="294"/>
      <c r="M873" s="294"/>
      <c r="N873" s="294"/>
      <c r="O873" s="294"/>
      <c r="P873" s="294"/>
      <c r="Q873" s="294"/>
      <c r="R873" s="294"/>
      <c r="S873" s="294"/>
      <c r="T873" s="294"/>
      <c r="U873" s="294"/>
      <c r="V873" s="294"/>
      <c r="W873" s="294"/>
      <c r="X873" s="294"/>
      <c r="Y873" s="294"/>
      <c r="Z873" s="294"/>
      <c r="AA873" s="294"/>
      <c r="AB873" s="294"/>
      <c r="AC873" s="294"/>
    </row>
    <row r="874" ht="15.75" customHeight="1">
      <c r="A874" s="294"/>
      <c r="B874" s="294"/>
      <c r="C874" s="294"/>
      <c r="D874" s="294"/>
      <c r="E874" s="294"/>
      <c r="F874" s="294"/>
      <c r="G874" s="295"/>
      <c r="H874" s="294"/>
      <c r="I874" s="294"/>
      <c r="J874" s="294"/>
      <c r="K874" s="294"/>
      <c r="L874" s="294"/>
      <c r="M874" s="294"/>
      <c r="N874" s="294"/>
      <c r="O874" s="294"/>
      <c r="P874" s="294"/>
      <c r="Q874" s="294"/>
      <c r="R874" s="294"/>
      <c r="S874" s="294"/>
      <c r="T874" s="294"/>
      <c r="U874" s="294"/>
      <c r="V874" s="294"/>
      <c r="W874" s="294"/>
      <c r="X874" s="294"/>
      <c r="Y874" s="294"/>
      <c r="Z874" s="294"/>
      <c r="AA874" s="294"/>
      <c r="AB874" s="294"/>
      <c r="AC874" s="294"/>
    </row>
    <row r="875" ht="15.75" customHeight="1">
      <c r="A875" s="294"/>
      <c r="B875" s="294"/>
      <c r="C875" s="294"/>
      <c r="D875" s="294"/>
      <c r="E875" s="294"/>
      <c r="F875" s="294"/>
      <c r="G875" s="295"/>
      <c r="H875" s="294"/>
      <c r="I875" s="294"/>
      <c r="J875" s="294"/>
      <c r="K875" s="294"/>
      <c r="L875" s="294"/>
      <c r="M875" s="294"/>
      <c r="N875" s="294"/>
      <c r="O875" s="294"/>
      <c r="P875" s="294"/>
      <c r="Q875" s="294"/>
      <c r="R875" s="294"/>
      <c r="S875" s="294"/>
      <c r="T875" s="294"/>
      <c r="U875" s="294"/>
      <c r="V875" s="294"/>
      <c r="W875" s="294"/>
      <c r="X875" s="294"/>
      <c r="Y875" s="294"/>
      <c r="Z875" s="294"/>
      <c r="AA875" s="294"/>
      <c r="AB875" s="294"/>
      <c r="AC875" s="294"/>
    </row>
    <row r="876" ht="15.75" customHeight="1">
      <c r="A876" s="294"/>
      <c r="B876" s="294"/>
      <c r="C876" s="294"/>
      <c r="D876" s="294"/>
      <c r="E876" s="294"/>
      <c r="F876" s="294"/>
      <c r="G876" s="295"/>
      <c r="H876" s="294"/>
      <c r="I876" s="294"/>
      <c r="J876" s="294"/>
      <c r="K876" s="294"/>
      <c r="L876" s="294"/>
      <c r="M876" s="294"/>
      <c r="N876" s="294"/>
      <c r="O876" s="294"/>
      <c r="P876" s="294"/>
      <c r="Q876" s="294"/>
      <c r="R876" s="294"/>
      <c r="S876" s="294"/>
      <c r="T876" s="294"/>
      <c r="U876" s="294"/>
      <c r="V876" s="294"/>
      <c r="W876" s="294"/>
      <c r="X876" s="294"/>
      <c r="Y876" s="294"/>
      <c r="Z876" s="294"/>
      <c r="AA876" s="294"/>
      <c r="AB876" s="294"/>
      <c r="AC876" s="294"/>
    </row>
    <row r="877" ht="15.75" customHeight="1">
      <c r="A877" s="294"/>
      <c r="B877" s="294"/>
      <c r="C877" s="294"/>
      <c r="D877" s="294"/>
      <c r="E877" s="294"/>
      <c r="F877" s="294"/>
      <c r="G877" s="295"/>
      <c r="H877" s="294"/>
      <c r="I877" s="294"/>
      <c r="J877" s="294"/>
      <c r="K877" s="294"/>
      <c r="L877" s="294"/>
      <c r="M877" s="294"/>
      <c r="N877" s="294"/>
      <c r="O877" s="294"/>
      <c r="P877" s="294"/>
      <c r="Q877" s="294"/>
      <c r="R877" s="294"/>
      <c r="S877" s="294"/>
      <c r="T877" s="294"/>
      <c r="U877" s="294"/>
      <c r="V877" s="294"/>
      <c r="W877" s="294"/>
      <c r="X877" s="294"/>
      <c r="Y877" s="294"/>
      <c r="Z877" s="294"/>
      <c r="AA877" s="294"/>
      <c r="AB877" s="294"/>
      <c r="AC877" s="294"/>
    </row>
    <row r="878" ht="15.75" customHeight="1">
      <c r="A878" s="294"/>
      <c r="B878" s="294"/>
      <c r="C878" s="294"/>
      <c r="D878" s="294"/>
      <c r="E878" s="294"/>
      <c r="F878" s="294"/>
      <c r="G878" s="295"/>
      <c r="H878" s="294"/>
      <c r="I878" s="294"/>
      <c r="J878" s="294"/>
      <c r="K878" s="294"/>
      <c r="L878" s="294"/>
      <c r="M878" s="294"/>
      <c r="N878" s="294"/>
      <c r="O878" s="294"/>
      <c r="P878" s="294"/>
      <c r="Q878" s="294"/>
      <c r="R878" s="294"/>
      <c r="S878" s="294"/>
      <c r="T878" s="294"/>
      <c r="U878" s="294"/>
      <c r="V878" s="294"/>
      <c r="W878" s="294"/>
      <c r="X878" s="294"/>
      <c r="Y878" s="294"/>
      <c r="Z878" s="294"/>
      <c r="AA878" s="294"/>
      <c r="AB878" s="294"/>
      <c r="AC878" s="294"/>
    </row>
    <row r="879" ht="15.75" customHeight="1">
      <c r="A879" s="294"/>
      <c r="B879" s="294"/>
      <c r="C879" s="294"/>
      <c r="D879" s="294"/>
      <c r="E879" s="294"/>
      <c r="F879" s="294"/>
      <c r="G879" s="295"/>
      <c r="H879" s="294"/>
      <c r="I879" s="294"/>
      <c r="J879" s="294"/>
      <c r="K879" s="294"/>
      <c r="L879" s="294"/>
      <c r="M879" s="294"/>
      <c r="N879" s="294"/>
      <c r="O879" s="294"/>
      <c r="P879" s="294"/>
      <c r="Q879" s="294"/>
      <c r="R879" s="294"/>
      <c r="S879" s="294"/>
      <c r="T879" s="294"/>
      <c r="U879" s="294"/>
      <c r="V879" s="294"/>
      <c r="W879" s="294"/>
      <c r="X879" s="294"/>
      <c r="Y879" s="294"/>
      <c r="Z879" s="294"/>
      <c r="AA879" s="294"/>
      <c r="AB879" s="294"/>
      <c r="AC879" s="294"/>
    </row>
    <row r="880" ht="15.75" customHeight="1">
      <c r="A880" s="294"/>
      <c r="B880" s="294"/>
      <c r="C880" s="294"/>
      <c r="D880" s="294"/>
      <c r="E880" s="294"/>
      <c r="F880" s="294"/>
      <c r="G880" s="295"/>
      <c r="H880" s="294"/>
      <c r="I880" s="294"/>
      <c r="J880" s="294"/>
      <c r="K880" s="294"/>
      <c r="L880" s="294"/>
      <c r="M880" s="294"/>
      <c r="N880" s="294"/>
      <c r="O880" s="294"/>
      <c r="P880" s="294"/>
      <c r="Q880" s="294"/>
      <c r="R880" s="294"/>
      <c r="S880" s="294"/>
      <c r="T880" s="294"/>
      <c r="U880" s="294"/>
      <c r="V880" s="294"/>
      <c r="W880" s="294"/>
      <c r="X880" s="294"/>
      <c r="Y880" s="294"/>
      <c r="Z880" s="294"/>
      <c r="AA880" s="294"/>
      <c r="AB880" s="294"/>
      <c r="AC880" s="294"/>
    </row>
    <row r="881" ht="15.75" customHeight="1">
      <c r="A881" s="294"/>
      <c r="B881" s="294"/>
      <c r="C881" s="294"/>
      <c r="D881" s="294"/>
      <c r="E881" s="294"/>
      <c r="F881" s="294"/>
      <c r="G881" s="295"/>
      <c r="H881" s="294"/>
      <c r="I881" s="294"/>
      <c r="J881" s="294"/>
      <c r="K881" s="294"/>
      <c r="L881" s="294"/>
      <c r="M881" s="294"/>
      <c r="N881" s="294"/>
      <c r="O881" s="294"/>
      <c r="P881" s="294"/>
      <c r="Q881" s="294"/>
      <c r="R881" s="294"/>
      <c r="S881" s="294"/>
      <c r="T881" s="294"/>
      <c r="U881" s="294"/>
      <c r="V881" s="294"/>
      <c r="W881" s="294"/>
      <c r="X881" s="294"/>
      <c r="Y881" s="294"/>
      <c r="Z881" s="294"/>
      <c r="AA881" s="294"/>
      <c r="AB881" s="294"/>
      <c r="AC881" s="294"/>
    </row>
    <row r="882" ht="15.75" customHeight="1">
      <c r="A882" s="294"/>
      <c r="B882" s="294"/>
      <c r="C882" s="294"/>
      <c r="D882" s="294"/>
      <c r="E882" s="294"/>
      <c r="F882" s="294"/>
      <c r="G882" s="295"/>
      <c r="H882" s="294"/>
      <c r="I882" s="294"/>
      <c r="J882" s="294"/>
      <c r="K882" s="294"/>
      <c r="L882" s="294"/>
      <c r="M882" s="294"/>
      <c r="N882" s="294"/>
      <c r="O882" s="294"/>
      <c r="P882" s="294"/>
      <c r="Q882" s="294"/>
      <c r="R882" s="294"/>
      <c r="S882" s="294"/>
      <c r="T882" s="294"/>
      <c r="U882" s="294"/>
      <c r="V882" s="294"/>
      <c r="W882" s="294"/>
      <c r="X882" s="294"/>
      <c r="Y882" s="294"/>
      <c r="Z882" s="294"/>
      <c r="AA882" s="294"/>
      <c r="AB882" s="294"/>
      <c r="AC882" s="294"/>
    </row>
    <row r="883" ht="15.75" customHeight="1">
      <c r="A883" s="294"/>
      <c r="B883" s="294"/>
      <c r="C883" s="294"/>
      <c r="D883" s="294"/>
      <c r="E883" s="294"/>
      <c r="F883" s="294"/>
      <c r="G883" s="295"/>
      <c r="H883" s="294"/>
      <c r="I883" s="294"/>
      <c r="J883" s="294"/>
      <c r="K883" s="294"/>
      <c r="L883" s="294"/>
      <c r="M883" s="294"/>
      <c r="N883" s="294"/>
      <c r="O883" s="294"/>
      <c r="P883" s="294"/>
      <c r="Q883" s="294"/>
      <c r="R883" s="294"/>
      <c r="S883" s="294"/>
      <c r="T883" s="294"/>
      <c r="U883" s="294"/>
      <c r="V883" s="294"/>
      <c r="W883" s="294"/>
      <c r="X883" s="294"/>
      <c r="Y883" s="294"/>
      <c r="Z883" s="294"/>
      <c r="AA883" s="294"/>
      <c r="AB883" s="294"/>
      <c r="AC883" s="294"/>
    </row>
    <row r="884" ht="15.75" customHeight="1">
      <c r="A884" s="294"/>
      <c r="B884" s="294"/>
      <c r="C884" s="294"/>
      <c r="D884" s="294"/>
      <c r="E884" s="294"/>
      <c r="F884" s="294"/>
      <c r="G884" s="295"/>
      <c r="H884" s="294"/>
      <c r="I884" s="294"/>
      <c r="J884" s="294"/>
      <c r="K884" s="294"/>
      <c r="L884" s="294"/>
      <c r="M884" s="294"/>
      <c r="N884" s="294"/>
      <c r="O884" s="294"/>
      <c r="P884" s="294"/>
      <c r="Q884" s="294"/>
      <c r="R884" s="294"/>
      <c r="S884" s="294"/>
      <c r="T884" s="294"/>
      <c r="U884" s="294"/>
      <c r="V884" s="294"/>
      <c r="W884" s="294"/>
      <c r="X884" s="294"/>
      <c r="Y884" s="294"/>
      <c r="Z884" s="294"/>
      <c r="AA884" s="294"/>
      <c r="AB884" s="294"/>
      <c r="AC884" s="294"/>
    </row>
    <row r="885" ht="15.75" customHeight="1">
      <c r="A885" s="294"/>
      <c r="B885" s="294"/>
      <c r="C885" s="294"/>
      <c r="D885" s="294"/>
      <c r="E885" s="294"/>
      <c r="F885" s="294"/>
      <c r="G885" s="295"/>
      <c r="H885" s="294"/>
      <c r="I885" s="294"/>
      <c r="J885" s="294"/>
      <c r="K885" s="294"/>
      <c r="L885" s="294"/>
      <c r="M885" s="294"/>
      <c r="N885" s="294"/>
      <c r="O885" s="294"/>
      <c r="P885" s="294"/>
      <c r="Q885" s="294"/>
      <c r="R885" s="294"/>
      <c r="S885" s="294"/>
      <c r="T885" s="294"/>
      <c r="U885" s="294"/>
      <c r="V885" s="294"/>
      <c r="W885" s="294"/>
      <c r="X885" s="294"/>
      <c r="Y885" s="294"/>
      <c r="Z885" s="294"/>
      <c r="AA885" s="294"/>
      <c r="AB885" s="294"/>
      <c r="AC885" s="294"/>
    </row>
    <row r="886" ht="15.75" customHeight="1">
      <c r="A886" s="294"/>
      <c r="B886" s="294"/>
      <c r="C886" s="294"/>
      <c r="D886" s="294"/>
      <c r="E886" s="294"/>
      <c r="F886" s="294"/>
      <c r="G886" s="295"/>
      <c r="H886" s="294"/>
      <c r="I886" s="294"/>
      <c r="J886" s="294"/>
      <c r="K886" s="294"/>
      <c r="L886" s="294"/>
      <c r="M886" s="294"/>
      <c r="N886" s="294"/>
      <c r="O886" s="294"/>
      <c r="P886" s="294"/>
      <c r="Q886" s="294"/>
      <c r="R886" s="294"/>
      <c r="S886" s="294"/>
      <c r="T886" s="294"/>
      <c r="U886" s="294"/>
      <c r="V886" s="294"/>
      <c r="W886" s="294"/>
      <c r="X886" s="294"/>
      <c r="Y886" s="294"/>
      <c r="Z886" s="294"/>
      <c r="AA886" s="294"/>
      <c r="AB886" s="294"/>
      <c r="AC886" s="294"/>
    </row>
    <row r="887" ht="15.75" customHeight="1">
      <c r="A887" s="294"/>
      <c r="B887" s="294"/>
      <c r="C887" s="294"/>
      <c r="D887" s="294"/>
      <c r="E887" s="294"/>
      <c r="F887" s="294"/>
      <c r="G887" s="295"/>
      <c r="H887" s="294"/>
      <c r="I887" s="294"/>
      <c r="J887" s="294"/>
      <c r="K887" s="294"/>
      <c r="L887" s="294"/>
      <c r="M887" s="294"/>
      <c r="N887" s="294"/>
      <c r="O887" s="294"/>
      <c r="P887" s="294"/>
      <c r="Q887" s="294"/>
      <c r="R887" s="294"/>
      <c r="S887" s="294"/>
      <c r="T887" s="294"/>
      <c r="U887" s="294"/>
      <c r="V887" s="294"/>
      <c r="W887" s="294"/>
      <c r="X887" s="294"/>
      <c r="Y887" s="294"/>
      <c r="Z887" s="294"/>
      <c r="AA887" s="294"/>
      <c r="AB887" s="294"/>
      <c r="AC887" s="294"/>
    </row>
    <row r="888" ht="15.75" customHeight="1">
      <c r="A888" s="294"/>
      <c r="B888" s="294"/>
      <c r="C888" s="294"/>
      <c r="D888" s="294"/>
      <c r="E888" s="294"/>
      <c r="F888" s="294"/>
      <c r="G888" s="295"/>
      <c r="H888" s="294"/>
      <c r="I888" s="294"/>
      <c r="J888" s="294"/>
      <c r="K888" s="294"/>
      <c r="L888" s="294"/>
      <c r="M888" s="294"/>
      <c r="N888" s="294"/>
      <c r="O888" s="294"/>
      <c r="P888" s="294"/>
      <c r="Q888" s="294"/>
      <c r="R888" s="294"/>
      <c r="S888" s="294"/>
      <c r="T888" s="294"/>
      <c r="U888" s="294"/>
      <c r="V888" s="294"/>
      <c r="W888" s="294"/>
      <c r="X888" s="294"/>
      <c r="Y888" s="294"/>
      <c r="Z888" s="294"/>
      <c r="AA888" s="294"/>
      <c r="AB888" s="294"/>
      <c r="AC888" s="294"/>
    </row>
    <row r="889" ht="15.75" customHeight="1">
      <c r="A889" s="294"/>
      <c r="B889" s="294"/>
      <c r="C889" s="294"/>
      <c r="D889" s="294"/>
      <c r="E889" s="294"/>
      <c r="F889" s="294"/>
      <c r="G889" s="295"/>
      <c r="H889" s="294"/>
      <c r="I889" s="294"/>
      <c r="J889" s="294"/>
      <c r="K889" s="294"/>
      <c r="L889" s="294"/>
      <c r="M889" s="294"/>
      <c r="N889" s="294"/>
      <c r="O889" s="294"/>
      <c r="P889" s="294"/>
      <c r="Q889" s="294"/>
      <c r="R889" s="294"/>
      <c r="S889" s="294"/>
      <c r="T889" s="294"/>
      <c r="U889" s="294"/>
      <c r="V889" s="294"/>
      <c r="W889" s="294"/>
      <c r="X889" s="294"/>
      <c r="Y889" s="294"/>
      <c r="Z889" s="294"/>
      <c r="AA889" s="294"/>
      <c r="AB889" s="294"/>
      <c r="AC889" s="294"/>
    </row>
    <row r="890" ht="15.75" customHeight="1">
      <c r="A890" s="294"/>
      <c r="B890" s="294"/>
      <c r="C890" s="294"/>
      <c r="D890" s="294"/>
      <c r="E890" s="294"/>
      <c r="F890" s="294"/>
      <c r="G890" s="295"/>
      <c r="H890" s="294"/>
      <c r="I890" s="294"/>
      <c r="J890" s="294"/>
      <c r="K890" s="294"/>
      <c r="L890" s="294"/>
      <c r="M890" s="294"/>
      <c r="N890" s="294"/>
      <c r="O890" s="294"/>
      <c r="P890" s="294"/>
      <c r="Q890" s="294"/>
      <c r="R890" s="294"/>
      <c r="S890" s="294"/>
      <c r="T890" s="294"/>
      <c r="U890" s="294"/>
      <c r="V890" s="294"/>
      <c r="W890" s="294"/>
      <c r="X890" s="294"/>
      <c r="Y890" s="294"/>
      <c r="Z890" s="294"/>
      <c r="AA890" s="294"/>
      <c r="AB890" s="294"/>
      <c r="AC890" s="294"/>
    </row>
    <row r="891" ht="15.75" customHeight="1">
      <c r="A891" s="294"/>
      <c r="B891" s="294"/>
      <c r="C891" s="294"/>
      <c r="D891" s="294"/>
      <c r="E891" s="294"/>
      <c r="F891" s="294"/>
      <c r="G891" s="295"/>
      <c r="H891" s="294"/>
      <c r="I891" s="294"/>
      <c r="J891" s="294"/>
      <c r="K891" s="294"/>
      <c r="L891" s="294"/>
      <c r="M891" s="294"/>
      <c r="N891" s="294"/>
      <c r="O891" s="294"/>
      <c r="P891" s="294"/>
      <c r="Q891" s="294"/>
      <c r="R891" s="294"/>
      <c r="S891" s="294"/>
      <c r="T891" s="294"/>
      <c r="U891" s="294"/>
      <c r="V891" s="294"/>
      <c r="W891" s="294"/>
      <c r="X891" s="294"/>
      <c r="Y891" s="294"/>
      <c r="Z891" s="294"/>
      <c r="AA891" s="294"/>
      <c r="AB891" s="294"/>
      <c r="AC891" s="294"/>
    </row>
    <row r="892" ht="15.75" customHeight="1">
      <c r="A892" s="294"/>
      <c r="B892" s="294"/>
      <c r="C892" s="294"/>
      <c r="D892" s="294"/>
      <c r="E892" s="294"/>
      <c r="F892" s="294"/>
      <c r="G892" s="295"/>
      <c r="H892" s="294"/>
      <c r="I892" s="294"/>
      <c r="J892" s="294"/>
      <c r="K892" s="294"/>
      <c r="L892" s="294"/>
      <c r="M892" s="294"/>
      <c r="N892" s="294"/>
      <c r="O892" s="294"/>
      <c r="P892" s="294"/>
      <c r="Q892" s="294"/>
      <c r="R892" s="294"/>
      <c r="S892" s="294"/>
      <c r="T892" s="294"/>
      <c r="U892" s="294"/>
      <c r="V892" s="294"/>
      <c r="W892" s="294"/>
      <c r="X892" s="294"/>
      <c r="Y892" s="294"/>
      <c r="Z892" s="294"/>
      <c r="AA892" s="294"/>
      <c r="AB892" s="294"/>
      <c r="AC892" s="294"/>
    </row>
    <row r="893" ht="15.75" customHeight="1">
      <c r="A893" s="294"/>
      <c r="B893" s="294"/>
      <c r="C893" s="294"/>
      <c r="D893" s="294"/>
      <c r="E893" s="294"/>
      <c r="F893" s="294"/>
      <c r="G893" s="295"/>
      <c r="H893" s="294"/>
      <c r="I893" s="294"/>
      <c r="J893" s="294"/>
      <c r="K893" s="294"/>
      <c r="L893" s="294"/>
      <c r="M893" s="294"/>
      <c r="N893" s="294"/>
      <c r="O893" s="294"/>
      <c r="P893" s="294"/>
      <c r="Q893" s="294"/>
      <c r="R893" s="294"/>
      <c r="S893" s="294"/>
      <c r="T893" s="294"/>
      <c r="U893" s="294"/>
      <c r="V893" s="294"/>
      <c r="W893" s="294"/>
      <c r="X893" s="294"/>
      <c r="Y893" s="294"/>
      <c r="Z893" s="294"/>
      <c r="AA893" s="294"/>
      <c r="AB893" s="294"/>
      <c r="AC893" s="294"/>
    </row>
    <row r="894" ht="15.75" customHeight="1">
      <c r="A894" s="294"/>
      <c r="B894" s="294"/>
      <c r="C894" s="294"/>
      <c r="D894" s="294"/>
      <c r="E894" s="294"/>
      <c r="F894" s="294"/>
      <c r="G894" s="295"/>
      <c r="H894" s="294"/>
      <c r="I894" s="294"/>
      <c r="J894" s="294"/>
      <c r="K894" s="294"/>
      <c r="L894" s="294"/>
      <c r="M894" s="294"/>
      <c r="N894" s="294"/>
      <c r="O894" s="294"/>
      <c r="P894" s="294"/>
      <c r="Q894" s="294"/>
      <c r="R894" s="294"/>
      <c r="S894" s="294"/>
      <c r="T894" s="294"/>
      <c r="U894" s="294"/>
      <c r="V894" s="294"/>
      <c r="W894" s="294"/>
      <c r="X894" s="294"/>
      <c r="Y894" s="294"/>
      <c r="Z894" s="294"/>
      <c r="AA894" s="294"/>
      <c r="AB894" s="294"/>
      <c r="AC894" s="294"/>
    </row>
    <row r="895" ht="15.75" customHeight="1">
      <c r="A895" s="294"/>
      <c r="B895" s="294"/>
      <c r="C895" s="294"/>
      <c r="D895" s="294"/>
      <c r="E895" s="294"/>
      <c r="F895" s="294"/>
      <c r="G895" s="295"/>
      <c r="H895" s="294"/>
      <c r="I895" s="294"/>
      <c r="J895" s="294"/>
      <c r="K895" s="294"/>
      <c r="L895" s="294"/>
      <c r="M895" s="294"/>
      <c r="N895" s="294"/>
      <c r="O895" s="294"/>
      <c r="P895" s="294"/>
      <c r="Q895" s="294"/>
      <c r="R895" s="294"/>
      <c r="S895" s="294"/>
      <c r="T895" s="294"/>
      <c r="U895" s="294"/>
      <c r="V895" s="294"/>
      <c r="W895" s="294"/>
      <c r="X895" s="294"/>
      <c r="Y895" s="294"/>
      <c r="Z895" s="294"/>
      <c r="AA895" s="294"/>
      <c r="AB895" s="294"/>
      <c r="AC895" s="294"/>
    </row>
    <row r="896" ht="15.75" customHeight="1">
      <c r="A896" s="294"/>
      <c r="B896" s="294"/>
      <c r="C896" s="294"/>
      <c r="D896" s="294"/>
      <c r="E896" s="294"/>
      <c r="F896" s="294"/>
      <c r="G896" s="295"/>
      <c r="H896" s="294"/>
      <c r="I896" s="294"/>
      <c r="J896" s="294"/>
      <c r="K896" s="294"/>
      <c r="L896" s="294"/>
      <c r="M896" s="294"/>
      <c r="N896" s="294"/>
      <c r="O896" s="294"/>
      <c r="P896" s="294"/>
      <c r="Q896" s="294"/>
      <c r="R896" s="294"/>
      <c r="S896" s="294"/>
      <c r="T896" s="294"/>
      <c r="U896" s="294"/>
      <c r="V896" s="294"/>
      <c r="W896" s="294"/>
      <c r="X896" s="294"/>
      <c r="Y896" s="294"/>
      <c r="Z896" s="294"/>
      <c r="AA896" s="294"/>
      <c r="AB896" s="294"/>
      <c r="AC896" s="294"/>
    </row>
    <row r="897" ht="15.75" customHeight="1">
      <c r="A897" s="294"/>
      <c r="B897" s="294"/>
      <c r="C897" s="294"/>
      <c r="D897" s="294"/>
      <c r="E897" s="294"/>
      <c r="F897" s="294"/>
      <c r="G897" s="295"/>
      <c r="H897" s="294"/>
      <c r="I897" s="294"/>
      <c r="J897" s="294"/>
      <c r="K897" s="294"/>
      <c r="L897" s="294"/>
      <c r="M897" s="294"/>
      <c r="N897" s="294"/>
      <c r="O897" s="294"/>
      <c r="P897" s="294"/>
      <c r="Q897" s="294"/>
      <c r="R897" s="294"/>
      <c r="S897" s="294"/>
      <c r="T897" s="294"/>
      <c r="U897" s="294"/>
      <c r="V897" s="294"/>
      <c r="W897" s="294"/>
      <c r="X897" s="294"/>
      <c r="Y897" s="294"/>
      <c r="Z897" s="294"/>
      <c r="AA897" s="294"/>
      <c r="AB897" s="294"/>
      <c r="AC897" s="294"/>
    </row>
    <row r="898" ht="15.75" customHeight="1">
      <c r="A898" s="294"/>
      <c r="B898" s="294"/>
      <c r="C898" s="294"/>
      <c r="D898" s="294"/>
      <c r="E898" s="294"/>
      <c r="F898" s="294"/>
      <c r="G898" s="295"/>
      <c r="H898" s="294"/>
      <c r="I898" s="294"/>
      <c r="J898" s="294"/>
      <c r="K898" s="294"/>
      <c r="L898" s="294"/>
      <c r="M898" s="294"/>
      <c r="N898" s="294"/>
      <c r="O898" s="294"/>
      <c r="P898" s="294"/>
      <c r="Q898" s="294"/>
      <c r="R898" s="294"/>
      <c r="S898" s="294"/>
      <c r="T898" s="294"/>
      <c r="U898" s="294"/>
      <c r="V898" s="294"/>
      <c r="W898" s="294"/>
      <c r="X898" s="294"/>
      <c r="Y898" s="294"/>
      <c r="Z898" s="294"/>
      <c r="AA898" s="294"/>
      <c r="AB898" s="294"/>
      <c r="AC898" s="294"/>
    </row>
    <row r="899" ht="15.75" customHeight="1">
      <c r="A899" s="294"/>
      <c r="B899" s="294"/>
      <c r="C899" s="294"/>
      <c r="D899" s="294"/>
      <c r="E899" s="294"/>
      <c r="F899" s="294"/>
      <c r="G899" s="295"/>
      <c r="H899" s="294"/>
      <c r="I899" s="294"/>
      <c r="J899" s="294"/>
      <c r="K899" s="294"/>
      <c r="L899" s="294"/>
      <c r="M899" s="294"/>
      <c r="N899" s="294"/>
      <c r="O899" s="294"/>
      <c r="P899" s="294"/>
      <c r="Q899" s="294"/>
      <c r="R899" s="294"/>
      <c r="S899" s="294"/>
      <c r="T899" s="294"/>
      <c r="U899" s="294"/>
      <c r="V899" s="294"/>
      <c r="W899" s="294"/>
      <c r="X899" s="294"/>
      <c r="Y899" s="294"/>
      <c r="Z899" s="294"/>
      <c r="AA899" s="294"/>
      <c r="AB899" s="294"/>
      <c r="AC899" s="294"/>
    </row>
    <row r="900" ht="15.75" customHeight="1">
      <c r="A900" s="294"/>
      <c r="B900" s="294"/>
      <c r="C900" s="294"/>
      <c r="D900" s="294"/>
      <c r="E900" s="294"/>
      <c r="F900" s="294"/>
      <c r="G900" s="295"/>
      <c r="H900" s="294"/>
      <c r="I900" s="294"/>
      <c r="J900" s="294"/>
      <c r="K900" s="294"/>
      <c r="L900" s="294"/>
      <c r="M900" s="294"/>
      <c r="N900" s="294"/>
      <c r="O900" s="294"/>
      <c r="P900" s="294"/>
      <c r="Q900" s="294"/>
      <c r="R900" s="294"/>
      <c r="S900" s="294"/>
      <c r="T900" s="294"/>
      <c r="U900" s="294"/>
      <c r="V900" s="294"/>
      <c r="W900" s="294"/>
      <c r="X900" s="294"/>
      <c r="Y900" s="294"/>
      <c r="Z900" s="294"/>
      <c r="AA900" s="294"/>
      <c r="AB900" s="294"/>
      <c r="AC900" s="294"/>
    </row>
    <row r="901" ht="15.75" customHeight="1">
      <c r="A901" s="294"/>
      <c r="B901" s="294"/>
      <c r="C901" s="294"/>
      <c r="D901" s="294"/>
      <c r="E901" s="294"/>
      <c r="F901" s="294"/>
      <c r="G901" s="295"/>
      <c r="H901" s="294"/>
      <c r="I901" s="294"/>
      <c r="J901" s="294"/>
      <c r="K901" s="294"/>
      <c r="L901" s="294"/>
      <c r="M901" s="294"/>
      <c r="N901" s="294"/>
      <c r="O901" s="294"/>
      <c r="P901" s="294"/>
      <c r="Q901" s="294"/>
      <c r="R901" s="294"/>
      <c r="S901" s="294"/>
      <c r="T901" s="294"/>
      <c r="U901" s="294"/>
      <c r="V901" s="294"/>
      <c r="W901" s="294"/>
      <c r="X901" s="294"/>
      <c r="Y901" s="294"/>
      <c r="Z901" s="294"/>
      <c r="AA901" s="294"/>
      <c r="AB901" s="294"/>
      <c r="AC901" s="294"/>
    </row>
    <row r="902" ht="15.75" customHeight="1">
      <c r="A902" s="294"/>
      <c r="B902" s="294"/>
      <c r="C902" s="294"/>
      <c r="D902" s="294"/>
      <c r="E902" s="294"/>
      <c r="F902" s="294"/>
      <c r="G902" s="295"/>
      <c r="H902" s="294"/>
      <c r="I902" s="294"/>
      <c r="J902" s="294"/>
      <c r="K902" s="294"/>
      <c r="L902" s="294"/>
      <c r="M902" s="294"/>
      <c r="N902" s="294"/>
      <c r="O902" s="294"/>
      <c r="P902" s="294"/>
      <c r="Q902" s="294"/>
      <c r="R902" s="294"/>
      <c r="S902" s="294"/>
      <c r="T902" s="294"/>
      <c r="U902" s="294"/>
      <c r="V902" s="294"/>
      <c r="W902" s="294"/>
      <c r="X902" s="294"/>
      <c r="Y902" s="294"/>
      <c r="Z902" s="294"/>
      <c r="AA902" s="294"/>
      <c r="AB902" s="294"/>
      <c r="AC902" s="294"/>
    </row>
    <row r="903" ht="15.75" customHeight="1">
      <c r="A903" s="294"/>
      <c r="B903" s="294"/>
      <c r="C903" s="294"/>
      <c r="D903" s="294"/>
      <c r="E903" s="294"/>
      <c r="F903" s="294"/>
      <c r="G903" s="295"/>
      <c r="H903" s="294"/>
      <c r="I903" s="294"/>
      <c r="J903" s="294"/>
      <c r="K903" s="294"/>
      <c r="L903" s="294"/>
      <c r="M903" s="294"/>
      <c r="N903" s="294"/>
      <c r="O903" s="294"/>
      <c r="P903" s="294"/>
      <c r="Q903" s="294"/>
      <c r="R903" s="294"/>
      <c r="S903" s="294"/>
      <c r="T903" s="294"/>
      <c r="U903" s="294"/>
      <c r="V903" s="294"/>
      <c r="W903" s="294"/>
      <c r="X903" s="294"/>
      <c r="Y903" s="294"/>
      <c r="Z903" s="294"/>
      <c r="AA903" s="294"/>
      <c r="AB903" s="294"/>
      <c r="AC903" s="294"/>
    </row>
    <row r="904" ht="15.75" customHeight="1">
      <c r="A904" s="294"/>
      <c r="B904" s="294"/>
      <c r="C904" s="294"/>
      <c r="D904" s="294"/>
      <c r="E904" s="294"/>
      <c r="F904" s="294"/>
      <c r="G904" s="295"/>
      <c r="H904" s="294"/>
      <c r="I904" s="294"/>
      <c r="J904" s="294"/>
      <c r="K904" s="294"/>
      <c r="L904" s="294"/>
      <c r="M904" s="294"/>
      <c r="N904" s="294"/>
      <c r="O904" s="294"/>
      <c r="P904" s="294"/>
      <c r="Q904" s="294"/>
      <c r="R904" s="294"/>
      <c r="S904" s="294"/>
      <c r="T904" s="294"/>
      <c r="U904" s="294"/>
      <c r="V904" s="294"/>
      <c r="W904" s="294"/>
      <c r="X904" s="294"/>
      <c r="Y904" s="294"/>
      <c r="Z904" s="294"/>
      <c r="AA904" s="294"/>
      <c r="AB904" s="294"/>
      <c r="AC904" s="294"/>
    </row>
    <row r="905" ht="15.75" customHeight="1">
      <c r="A905" s="294"/>
      <c r="B905" s="294"/>
      <c r="C905" s="294"/>
      <c r="D905" s="294"/>
      <c r="E905" s="294"/>
      <c r="F905" s="294"/>
      <c r="G905" s="295"/>
      <c r="H905" s="294"/>
      <c r="I905" s="294"/>
      <c r="J905" s="294"/>
      <c r="K905" s="294"/>
      <c r="L905" s="294"/>
      <c r="M905" s="294"/>
      <c r="N905" s="294"/>
      <c r="O905" s="294"/>
      <c r="P905" s="294"/>
      <c r="Q905" s="294"/>
      <c r="R905" s="294"/>
      <c r="S905" s="294"/>
      <c r="T905" s="294"/>
      <c r="U905" s="294"/>
      <c r="V905" s="294"/>
      <c r="W905" s="294"/>
      <c r="X905" s="294"/>
      <c r="Y905" s="294"/>
      <c r="Z905" s="294"/>
      <c r="AA905" s="294"/>
      <c r="AB905" s="294"/>
      <c r="AC905" s="294"/>
    </row>
    <row r="906" ht="15.75" customHeight="1">
      <c r="A906" s="294"/>
      <c r="B906" s="294"/>
      <c r="C906" s="294"/>
      <c r="D906" s="294"/>
      <c r="E906" s="294"/>
      <c r="F906" s="294"/>
      <c r="G906" s="295"/>
      <c r="H906" s="294"/>
      <c r="I906" s="294"/>
      <c r="J906" s="294"/>
      <c r="K906" s="294"/>
      <c r="L906" s="294"/>
      <c r="M906" s="294"/>
      <c r="N906" s="294"/>
      <c r="O906" s="294"/>
      <c r="P906" s="294"/>
      <c r="Q906" s="294"/>
      <c r="R906" s="294"/>
      <c r="S906" s="294"/>
      <c r="T906" s="294"/>
      <c r="U906" s="294"/>
      <c r="V906" s="294"/>
      <c r="W906" s="294"/>
      <c r="X906" s="294"/>
      <c r="Y906" s="294"/>
      <c r="Z906" s="294"/>
      <c r="AA906" s="294"/>
      <c r="AB906" s="294"/>
      <c r="AC906" s="294"/>
    </row>
    <row r="907" ht="15.75" customHeight="1">
      <c r="A907" s="294"/>
      <c r="B907" s="294"/>
      <c r="C907" s="294"/>
      <c r="D907" s="294"/>
      <c r="E907" s="294"/>
      <c r="F907" s="294"/>
      <c r="G907" s="295"/>
      <c r="H907" s="294"/>
      <c r="I907" s="294"/>
      <c r="J907" s="294"/>
      <c r="K907" s="294"/>
      <c r="L907" s="294"/>
      <c r="M907" s="294"/>
      <c r="N907" s="294"/>
      <c r="O907" s="294"/>
      <c r="P907" s="294"/>
      <c r="Q907" s="294"/>
      <c r="R907" s="294"/>
      <c r="S907" s="294"/>
      <c r="T907" s="294"/>
      <c r="U907" s="294"/>
      <c r="V907" s="294"/>
      <c r="W907" s="294"/>
      <c r="X907" s="294"/>
      <c r="Y907" s="294"/>
      <c r="Z907" s="294"/>
      <c r="AA907" s="294"/>
      <c r="AB907" s="294"/>
      <c r="AC907" s="294"/>
    </row>
    <row r="908" ht="15.75" customHeight="1">
      <c r="A908" s="294"/>
      <c r="B908" s="294"/>
      <c r="C908" s="294"/>
      <c r="D908" s="294"/>
      <c r="E908" s="294"/>
      <c r="F908" s="294"/>
      <c r="G908" s="295"/>
      <c r="H908" s="294"/>
      <c r="I908" s="294"/>
      <c r="J908" s="294"/>
      <c r="K908" s="294"/>
      <c r="L908" s="294"/>
      <c r="M908" s="294"/>
      <c r="N908" s="294"/>
      <c r="O908" s="294"/>
      <c r="P908" s="294"/>
      <c r="Q908" s="294"/>
      <c r="R908" s="294"/>
      <c r="S908" s="294"/>
      <c r="T908" s="294"/>
      <c r="U908" s="294"/>
      <c r="V908" s="294"/>
      <c r="W908" s="294"/>
      <c r="X908" s="294"/>
      <c r="Y908" s="294"/>
      <c r="Z908" s="294"/>
      <c r="AA908" s="294"/>
      <c r="AB908" s="294"/>
      <c r="AC908" s="294"/>
    </row>
    <row r="909" ht="15.75" customHeight="1">
      <c r="A909" s="294"/>
      <c r="B909" s="294"/>
      <c r="C909" s="294"/>
      <c r="D909" s="294"/>
      <c r="E909" s="294"/>
      <c r="F909" s="294"/>
      <c r="G909" s="295"/>
      <c r="H909" s="294"/>
      <c r="I909" s="294"/>
      <c r="J909" s="294"/>
      <c r="K909" s="294"/>
      <c r="L909" s="294"/>
      <c r="M909" s="294"/>
      <c r="N909" s="294"/>
      <c r="O909" s="294"/>
      <c r="P909" s="294"/>
      <c r="Q909" s="294"/>
      <c r="R909" s="294"/>
      <c r="S909" s="294"/>
      <c r="T909" s="294"/>
      <c r="U909" s="294"/>
      <c r="V909" s="294"/>
      <c r="W909" s="294"/>
      <c r="X909" s="294"/>
      <c r="Y909" s="294"/>
      <c r="Z909" s="294"/>
      <c r="AA909" s="294"/>
      <c r="AB909" s="294"/>
      <c r="AC909" s="294"/>
    </row>
    <row r="910" ht="15.75" customHeight="1">
      <c r="A910" s="294"/>
      <c r="B910" s="294"/>
      <c r="C910" s="294"/>
      <c r="D910" s="294"/>
      <c r="E910" s="294"/>
      <c r="F910" s="294"/>
      <c r="G910" s="295"/>
      <c r="H910" s="294"/>
      <c r="I910" s="294"/>
      <c r="J910" s="294"/>
      <c r="K910" s="294"/>
      <c r="L910" s="294"/>
      <c r="M910" s="294"/>
      <c r="N910" s="294"/>
      <c r="O910" s="294"/>
      <c r="P910" s="294"/>
      <c r="Q910" s="294"/>
      <c r="R910" s="294"/>
      <c r="S910" s="294"/>
      <c r="T910" s="294"/>
      <c r="U910" s="294"/>
      <c r="V910" s="294"/>
      <c r="W910" s="294"/>
      <c r="X910" s="294"/>
      <c r="Y910" s="294"/>
      <c r="Z910" s="294"/>
      <c r="AA910" s="294"/>
      <c r="AB910" s="294"/>
      <c r="AC910" s="294"/>
    </row>
    <row r="911" ht="15.75" customHeight="1">
      <c r="A911" s="294"/>
      <c r="B911" s="294"/>
      <c r="C911" s="294"/>
      <c r="D911" s="294"/>
      <c r="E911" s="294"/>
      <c r="F911" s="294"/>
      <c r="G911" s="295"/>
      <c r="H911" s="294"/>
      <c r="I911" s="294"/>
      <c r="J911" s="294"/>
      <c r="K911" s="294"/>
      <c r="L911" s="294"/>
      <c r="M911" s="294"/>
      <c r="N911" s="294"/>
      <c r="O911" s="294"/>
      <c r="P911" s="294"/>
      <c r="Q911" s="294"/>
      <c r="R911" s="294"/>
      <c r="S911" s="294"/>
      <c r="T911" s="294"/>
      <c r="U911" s="294"/>
      <c r="V911" s="294"/>
      <c r="W911" s="294"/>
      <c r="X911" s="294"/>
      <c r="Y911" s="294"/>
      <c r="Z911" s="294"/>
      <c r="AA911" s="294"/>
      <c r="AB911" s="294"/>
      <c r="AC911" s="294"/>
    </row>
    <row r="912" ht="15.75" customHeight="1">
      <c r="A912" s="294"/>
      <c r="B912" s="294"/>
      <c r="C912" s="294"/>
      <c r="D912" s="294"/>
      <c r="E912" s="294"/>
      <c r="F912" s="294"/>
      <c r="G912" s="295"/>
      <c r="H912" s="294"/>
      <c r="I912" s="294"/>
      <c r="J912" s="294"/>
      <c r="K912" s="294"/>
      <c r="L912" s="294"/>
      <c r="M912" s="294"/>
      <c r="N912" s="294"/>
      <c r="O912" s="294"/>
      <c r="P912" s="294"/>
      <c r="Q912" s="294"/>
      <c r="R912" s="294"/>
      <c r="S912" s="294"/>
      <c r="T912" s="294"/>
      <c r="U912" s="294"/>
      <c r="V912" s="294"/>
      <c r="W912" s="294"/>
      <c r="X912" s="294"/>
      <c r="Y912" s="294"/>
      <c r="Z912" s="294"/>
      <c r="AA912" s="294"/>
      <c r="AB912" s="294"/>
      <c r="AC912" s="294"/>
    </row>
    <row r="913" ht="15.75" customHeight="1">
      <c r="A913" s="294"/>
      <c r="B913" s="294"/>
      <c r="C913" s="294"/>
      <c r="D913" s="294"/>
      <c r="E913" s="294"/>
      <c r="F913" s="294"/>
      <c r="G913" s="295"/>
      <c r="H913" s="294"/>
      <c r="I913" s="294"/>
      <c r="J913" s="294"/>
      <c r="K913" s="294"/>
      <c r="L913" s="294"/>
      <c r="M913" s="294"/>
      <c r="N913" s="294"/>
      <c r="O913" s="294"/>
      <c r="P913" s="294"/>
      <c r="Q913" s="294"/>
      <c r="R913" s="294"/>
      <c r="S913" s="294"/>
      <c r="T913" s="294"/>
      <c r="U913" s="294"/>
      <c r="V913" s="294"/>
      <c r="W913" s="294"/>
      <c r="X913" s="294"/>
      <c r="Y913" s="294"/>
      <c r="Z913" s="294"/>
      <c r="AA913" s="294"/>
      <c r="AB913" s="294"/>
      <c r="AC913" s="294"/>
    </row>
    <row r="914" ht="15.75" customHeight="1">
      <c r="A914" s="294"/>
      <c r="B914" s="294"/>
      <c r="C914" s="294"/>
      <c r="D914" s="294"/>
      <c r="E914" s="294"/>
      <c r="F914" s="294"/>
      <c r="G914" s="295"/>
      <c r="H914" s="294"/>
      <c r="I914" s="294"/>
      <c r="J914" s="294"/>
      <c r="K914" s="294"/>
      <c r="L914" s="294"/>
      <c r="M914" s="294"/>
      <c r="N914" s="294"/>
      <c r="O914" s="294"/>
      <c r="P914" s="294"/>
      <c r="Q914" s="294"/>
      <c r="R914" s="294"/>
      <c r="S914" s="294"/>
      <c r="T914" s="294"/>
      <c r="U914" s="294"/>
      <c r="V914" s="294"/>
      <c r="W914" s="294"/>
      <c r="X914" s="294"/>
      <c r="Y914" s="294"/>
      <c r="Z914" s="294"/>
      <c r="AA914" s="294"/>
      <c r="AB914" s="294"/>
      <c r="AC914" s="294"/>
    </row>
    <row r="915" ht="15.75" customHeight="1">
      <c r="A915" s="294"/>
      <c r="B915" s="294"/>
      <c r="C915" s="294"/>
      <c r="D915" s="294"/>
      <c r="E915" s="294"/>
      <c r="F915" s="294"/>
      <c r="G915" s="295"/>
      <c r="H915" s="294"/>
      <c r="I915" s="294"/>
      <c r="J915" s="294"/>
      <c r="K915" s="294"/>
      <c r="L915" s="294"/>
      <c r="M915" s="294"/>
      <c r="N915" s="294"/>
      <c r="O915" s="294"/>
      <c r="P915" s="294"/>
      <c r="Q915" s="294"/>
      <c r="R915" s="294"/>
      <c r="S915" s="294"/>
      <c r="T915" s="294"/>
      <c r="U915" s="294"/>
      <c r="V915" s="294"/>
      <c r="W915" s="294"/>
      <c r="X915" s="294"/>
      <c r="Y915" s="294"/>
      <c r="Z915" s="294"/>
      <c r="AA915" s="294"/>
      <c r="AB915" s="294"/>
      <c r="AC915" s="294"/>
    </row>
    <row r="916" ht="15.75" customHeight="1">
      <c r="A916" s="294"/>
      <c r="B916" s="294"/>
      <c r="C916" s="294"/>
      <c r="D916" s="294"/>
      <c r="E916" s="294"/>
      <c r="F916" s="294"/>
      <c r="G916" s="295"/>
      <c r="H916" s="294"/>
      <c r="I916" s="294"/>
      <c r="J916" s="294"/>
      <c r="K916" s="294"/>
      <c r="L916" s="294"/>
      <c r="M916" s="294"/>
      <c r="N916" s="294"/>
      <c r="O916" s="294"/>
      <c r="P916" s="294"/>
      <c r="Q916" s="294"/>
      <c r="R916" s="294"/>
      <c r="S916" s="294"/>
      <c r="T916" s="294"/>
      <c r="U916" s="294"/>
      <c r="V916" s="294"/>
      <c r="W916" s="294"/>
      <c r="X916" s="294"/>
      <c r="Y916" s="294"/>
      <c r="Z916" s="294"/>
      <c r="AA916" s="294"/>
      <c r="AB916" s="294"/>
      <c r="AC916" s="294"/>
    </row>
    <row r="917" ht="15.75" customHeight="1">
      <c r="A917" s="294"/>
      <c r="B917" s="294"/>
      <c r="C917" s="294"/>
      <c r="D917" s="294"/>
      <c r="E917" s="294"/>
      <c r="F917" s="294"/>
      <c r="G917" s="295"/>
      <c r="H917" s="294"/>
      <c r="I917" s="294"/>
      <c r="J917" s="294"/>
      <c r="K917" s="294"/>
      <c r="L917" s="294"/>
      <c r="M917" s="294"/>
      <c r="N917" s="294"/>
      <c r="O917" s="294"/>
      <c r="P917" s="294"/>
      <c r="Q917" s="294"/>
      <c r="R917" s="294"/>
      <c r="S917" s="294"/>
      <c r="T917" s="294"/>
      <c r="U917" s="294"/>
      <c r="V917" s="294"/>
      <c r="W917" s="294"/>
      <c r="X917" s="294"/>
      <c r="Y917" s="294"/>
      <c r="Z917" s="294"/>
      <c r="AA917" s="294"/>
      <c r="AB917" s="294"/>
      <c r="AC917" s="294"/>
    </row>
    <row r="918" ht="15.75" customHeight="1">
      <c r="A918" s="294"/>
      <c r="B918" s="294"/>
      <c r="C918" s="294"/>
      <c r="D918" s="294"/>
      <c r="E918" s="294"/>
      <c r="F918" s="294"/>
      <c r="G918" s="295"/>
      <c r="H918" s="294"/>
      <c r="I918" s="294"/>
      <c r="J918" s="294"/>
      <c r="K918" s="294"/>
      <c r="L918" s="294"/>
      <c r="M918" s="294"/>
      <c r="N918" s="294"/>
      <c r="O918" s="294"/>
      <c r="P918" s="294"/>
      <c r="Q918" s="294"/>
      <c r="R918" s="294"/>
      <c r="S918" s="294"/>
      <c r="T918" s="294"/>
      <c r="U918" s="294"/>
      <c r="V918" s="294"/>
      <c r="W918" s="294"/>
      <c r="X918" s="294"/>
      <c r="Y918" s="294"/>
      <c r="Z918" s="294"/>
      <c r="AA918" s="294"/>
      <c r="AB918" s="294"/>
      <c r="AC918" s="294"/>
    </row>
    <row r="919" ht="15.75" customHeight="1">
      <c r="A919" s="294"/>
      <c r="B919" s="294"/>
      <c r="C919" s="294"/>
      <c r="D919" s="294"/>
      <c r="E919" s="294"/>
      <c r="F919" s="294"/>
      <c r="G919" s="295"/>
      <c r="H919" s="294"/>
      <c r="I919" s="294"/>
      <c r="J919" s="294"/>
      <c r="K919" s="294"/>
      <c r="L919" s="294"/>
      <c r="M919" s="294"/>
      <c r="N919" s="294"/>
      <c r="O919" s="294"/>
      <c r="P919" s="294"/>
      <c r="Q919" s="294"/>
      <c r="R919" s="294"/>
      <c r="S919" s="294"/>
      <c r="T919" s="294"/>
      <c r="U919" s="294"/>
      <c r="V919" s="294"/>
      <c r="W919" s="294"/>
      <c r="X919" s="294"/>
      <c r="Y919" s="294"/>
      <c r="Z919" s="294"/>
      <c r="AA919" s="294"/>
      <c r="AB919" s="294"/>
      <c r="AC919" s="294"/>
    </row>
    <row r="920" ht="15.75" customHeight="1">
      <c r="A920" s="294"/>
      <c r="B920" s="294"/>
      <c r="C920" s="294"/>
      <c r="D920" s="294"/>
      <c r="E920" s="294"/>
      <c r="F920" s="294"/>
      <c r="G920" s="295"/>
      <c r="H920" s="294"/>
      <c r="I920" s="294"/>
      <c r="J920" s="294"/>
      <c r="K920" s="294"/>
      <c r="L920" s="294"/>
      <c r="M920" s="294"/>
      <c r="N920" s="294"/>
      <c r="O920" s="294"/>
      <c r="P920" s="294"/>
      <c r="Q920" s="294"/>
      <c r="R920" s="294"/>
      <c r="S920" s="294"/>
      <c r="T920" s="294"/>
      <c r="U920" s="294"/>
      <c r="V920" s="294"/>
      <c r="W920" s="294"/>
      <c r="X920" s="294"/>
      <c r="Y920" s="294"/>
      <c r="Z920" s="294"/>
      <c r="AA920" s="294"/>
      <c r="AB920" s="294"/>
      <c r="AC920" s="294"/>
    </row>
    <row r="921" ht="15.75" customHeight="1">
      <c r="A921" s="294"/>
      <c r="B921" s="294"/>
      <c r="C921" s="294"/>
      <c r="D921" s="294"/>
      <c r="E921" s="294"/>
      <c r="F921" s="294"/>
      <c r="G921" s="295"/>
      <c r="H921" s="294"/>
      <c r="I921" s="294"/>
      <c r="J921" s="294"/>
      <c r="K921" s="294"/>
      <c r="L921" s="294"/>
      <c r="M921" s="294"/>
      <c r="N921" s="294"/>
      <c r="O921" s="294"/>
      <c r="P921" s="294"/>
      <c r="Q921" s="294"/>
      <c r="R921" s="294"/>
      <c r="S921" s="294"/>
      <c r="T921" s="294"/>
      <c r="U921" s="294"/>
      <c r="V921" s="294"/>
      <c r="W921" s="294"/>
      <c r="X921" s="294"/>
      <c r="Y921" s="294"/>
      <c r="Z921" s="294"/>
      <c r="AA921" s="294"/>
      <c r="AB921" s="294"/>
      <c r="AC921" s="294"/>
    </row>
    <row r="922" ht="15.75" customHeight="1">
      <c r="A922" s="294"/>
      <c r="B922" s="294"/>
      <c r="C922" s="294"/>
      <c r="D922" s="294"/>
      <c r="E922" s="294"/>
      <c r="F922" s="294"/>
      <c r="G922" s="295"/>
      <c r="H922" s="294"/>
      <c r="I922" s="294"/>
      <c r="J922" s="294"/>
      <c r="K922" s="294"/>
      <c r="L922" s="294"/>
      <c r="M922" s="294"/>
      <c r="N922" s="294"/>
      <c r="O922" s="294"/>
      <c r="P922" s="294"/>
      <c r="Q922" s="294"/>
      <c r="R922" s="294"/>
      <c r="S922" s="294"/>
      <c r="T922" s="294"/>
      <c r="U922" s="294"/>
      <c r="V922" s="294"/>
      <c r="W922" s="294"/>
      <c r="X922" s="294"/>
      <c r="Y922" s="294"/>
      <c r="Z922" s="294"/>
      <c r="AA922" s="294"/>
      <c r="AB922" s="294"/>
      <c r="AC922" s="294"/>
    </row>
    <row r="923" ht="15.75" customHeight="1">
      <c r="A923" s="294"/>
      <c r="B923" s="294"/>
      <c r="C923" s="294"/>
      <c r="D923" s="294"/>
      <c r="E923" s="294"/>
      <c r="F923" s="294"/>
      <c r="G923" s="295"/>
      <c r="H923" s="294"/>
      <c r="I923" s="294"/>
      <c r="J923" s="294"/>
      <c r="K923" s="294"/>
      <c r="L923" s="294"/>
      <c r="M923" s="294"/>
      <c r="N923" s="294"/>
      <c r="O923" s="294"/>
      <c r="P923" s="294"/>
      <c r="Q923" s="294"/>
      <c r="R923" s="294"/>
      <c r="S923" s="294"/>
      <c r="T923" s="294"/>
      <c r="U923" s="294"/>
      <c r="V923" s="294"/>
      <c r="W923" s="294"/>
      <c r="X923" s="294"/>
      <c r="Y923" s="294"/>
      <c r="Z923" s="294"/>
      <c r="AA923" s="294"/>
      <c r="AB923" s="294"/>
      <c r="AC923" s="294"/>
    </row>
    <row r="924" ht="15.75" customHeight="1">
      <c r="A924" s="294"/>
      <c r="B924" s="294"/>
      <c r="C924" s="294"/>
      <c r="D924" s="294"/>
      <c r="E924" s="294"/>
      <c r="F924" s="294"/>
      <c r="G924" s="295"/>
      <c r="H924" s="294"/>
      <c r="I924" s="294"/>
      <c r="J924" s="294"/>
      <c r="K924" s="294"/>
      <c r="L924" s="294"/>
      <c r="M924" s="294"/>
      <c r="N924" s="294"/>
      <c r="O924" s="294"/>
      <c r="P924" s="294"/>
      <c r="Q924" s="294"/>
      <c r="R924" s="294"/>
      <c r="S924" s="294"/>
      <c r="T924" s="294"/>
      <c r="U924" s="294"/>
      <c r="V924" s="294"/>
      <c r="W924" s="294"/>
      <c r="X924" s="294"/>
      <c r="Y924" s="294"/>
      <c r="Z924" s="294"/>
      <c r="AA924" s="294"/>
      <c r="AB924" s="294"/>
      <c r="AC924" s="294"/>
    </row>
    <row r="925" ht="15.75" customHeight="1">
      <c r="A925" s="294"/>
      <c r="B925" s="294"/>
      <c r="C925" s="294"/>
      <c r="D925" s="294"/>
      <c r="E925" s="294"/>
      <c r="F925" s="294"/>
      <c r="G925" s="295"/>
      <c r="H925" s="294"/>
      <c r="I925" s="294"/>
      <c r="J925" s="294"/>
      <c r="K925" s="294"/>
      <c r="L925" s="294"/>
      <c r="M925" s="294"/>
      <c r="N925" s="294"/>
      <c r="O925" s="294"/>
      <c r="P925" s="294"/>
      <c r="Q925" s="294"/>
      <c r="R925" s="294"/>
      <c r="S925" s="294"/>
      <c r="T925" s="294"/>
      <c r="U925" s="294"/>
      <c r="V925" s="294"/>
      <c r="W925" s="294"/>
      <c r="X925" s="294"/>
      <c r="Y925" s="294"/>
      <c r="Z925" s="294"/>
      <c r="AA925" s="294"/>
      <c r="AB925" s="294"/>
      <c r="AC925" s="294"/>
    </row>
    <row r="926" ht="15.75" customHeight="1">
      <c r="A926" s="294"/>
      <c r="B926" s="294"/>
      <c r="C926" s="294"/>
      <c r="D926" s="294"/>
      <c r="E926" s="294"/>
      <c r="F926" s="294"/>
      <c r="G926" s="295"/>
      <c r="H926" s="294"/>
      <c r="I926" s="294"/>
      <c r="J926" s="294"/>
      <c r="K926" s="294"/>
      <c r="L926" s="294"/>
      <c r="M926" s="294"/>
      <c r="N926" s="294"/>
      <c r="O926" s="294"/>
      <c r="P926" s="294"/>
      <c r="Q926" s="294"/>
      <c r="R926" s="294"/>
      <c r="S926" s="294"/>
      <c r="T926" s="294"/>
      <c r="U926" s="294"/>
      <c r="V926" s="294"/>
      <c r="W926" s="294"/>
      <c r="X926" s="294"/>
      <c r="Y926" s="294"/>
      <c r="Z926" s="294"/>
      <c r="AA926" s="294"/>
      <c r="AB926" s="294"/>
      <c r="AC926" s="294"/>
    </row>
    <row r="927" ht="15.75" customHeight="1">
      <c r="A927" s="294"/>
      <c r="B927" s="294"/>
      <c r="C927" s="294"/>
      <c r="D927" s="294"/>
      <c r="E927" s="294"/>
      <c r="F927" s="294"/>
      <c r="G927" s="295"/>
      <c r="H927" s="294"/>
      <c r="I927" s="294"/>
      <c r="J927" s="294"/>
      <c r="K927" s="294"/>
      <c r="L927" s="294"/>
      <c r="M927" s="294"/>
      <c r="N927" s="294"/>
      <c r="O927" s="294"/>
      <c r="P927" s="294"/>
      <c r="Q927" s="294"/>
      <c r="R927" s="294"/>
      <c r="S927" s="294"/>
      <c r="T927" s="294"/>
      <c r="U927" s="294"/>
      <c r="V927" s="294"/>
      <c r="W927" s="294"/>
      <c r="X927" s="294"/>
      <c r="Y927" s="294"/>
      <c r="Z927" s="294"/>
      <c r="AA927" s="294"/>
      <c r="AB927" s="294"/>
      <c r="AC927" s="294"/>
    </row>
    <row r="928" ht="15.75" customHeight="1">
      <c r="A928" s="294"/>
      <c r="B928" s="294"/>
      <c r="C928" s="294"/>
      <c r="D928" s="294"/>
      <c r="E928" s="294"/>
      <c r="F928" s="294"/>
      <c r="G928" s="295"/>
      <c r="H928" s="294"/>
      <c r="I928" s="294"/>
      <c r="J928" s="294"/>
      <c r="K928" s="294"/>
      <c r="L928" s="294"/>
      <c r="M928" s="294"/>
      <c r="N928" s="294"/>
      <c r="O928" s="294"/>
      <c r="P928" s="294"/>
      <c r="Q928" s="294"/>
      <c r="R928" s="294"/>
      <c r="S928" s="294"/>
      <c r="T928" s="294"/>
      <c r="U928" s="294"/>
      <c r="V928" s="294"/>
      <c r="W928" s="294"/>
      <c r="X928" s="294"/>
      <c r="Y928" s="294"/>
      <c r="Z928" s="294"/>
      <c r="AA928" s="294"/>
      <c r="AB928" s="294"/>
      <c r="AC928" s="294"/>
    </row>
    <row r="929" ht="15.75" customHeight="1">
      <c r="A929" s="294"/>
      <c r="B929" s="294"/>
      <c r="C929" s="294"/>
      <c r="D929" s="294"/>
      <c r="E929" s="294"/>
      <c r="F929" s="294"/>
      <c r="G929" s="295"/>
      <c r="H929" s="294"/>
      <c r="I929" s="294"/>
      <c r="J929" s="294"/>
      <c r="K929" s="294"/>
      <c r="L929" s="294"/>
      <c r="M929" s="294"/>
      <c r="N929" s="294"/>
      <c r="O929" s="294"/>
      <c r="P929" s="294"/>
      <c r="Q929" s="294"/>
      <c r="R929" s="294"/>
      <c r="S929" s="294"/>
      <c r="T929" s="294"/>
      <c r="U929" s="294"/>
      <c r="V929" s="294"/>
      <c r="W929" s="294"/>
      <c r="X929" s="294"/>
      <c r="Y929" s="294"/>
      <c r="Z929" s="294"/>
      <c r="AA929" s="294"/>
      <c r="AB929" s="294"/>
      <c r="AC929" s="294"/>
    </row>
    <row r="930" ht="15.75" customHeight="1">
      <c r="A930" s="294"/>
      <c r="B930" s="294"/>
      <c r="C930" s="294"/>
      <c r="D930" s="294"/>
      <c r="E930" s="294"/>
      <c r="F930" s="294"/>
      <c r="G930" s="295"/>
      <c r="H930" s="294"/>
      <c r="I930" s="294"/>
      <c r="J930" s="294"/>
      <c r="K930" s="294"/>
      <c r="L930" s="294"/>
      <c r="M930" s="294"/>
      <c r="N930" s="294"/>
      <c r="O930" s="294"/>
      <c r="P930" s="294"/>
      <c r="Q930" s="294"/>
      <c r="R930" s="294"/>
      <c r="S930" s="294"/>
      <c r="T930" s="294"/>
      <c r="U930" s="294"/>
      <c r="V930" s="294"/>
      <c r="W930" s="294"/>
      <c r="X930" s="294"/>
      <c r="Y930" s="294"/>
      <c r="Z930" s="294"/>
      <c r="AA930" s="294"/>
      <c r="AB930" s="294"/>
      <c r="AC930" s="294"/>
    </row>
    <row r="931" ht="15.75" customHeight="1">
      <c r="A931" s="294"/>
      <c r="B931" s="294"/>
      <c r="C931" s="294"/>
      <c r="D931" s="294"/>
      <c r="E931" s="294"/>
      <c r="F931" s="294"/>
      <c r="G931" s="295"/>
      <c r="H931" s="294"/>
      <c r="I931" s="294"/>
      <c r="J931" s="294"/>
      <c r="K931" s="294"/>
      <c r="L931" s="294"/>
      <c r="M931" s="294"/>
      <c r="N931" s="294"/>
      <c r="O931" s="294"/>
      <c r="P931" s="294"/>
      <c r="Q931" s="294"/>
      <c r="R931" s="294"/>
      <c r="S931" s="294"/>
      <c r="T931" s="294"/>
      <c r="U931" s="294"/>
      <c r="V931" s="294"/>
      <c r="W931" s="294"/>
      <c r="X931" s="294"/>
      <c r="Y931" s="294"/>
      <c r="Z931" s="294"/>
      <c r="AA931" s="294"/>
      <c r="AB931" s="294"/>
      <c r="AC931" s="294"/>
    </row>
    <row r="932" ht="15.75" customHeight="1">
      <c r="A932" s="294"/>
      <c r="B932" s="294"/>
      <c r="C932" s="294"/>
      <c r="D932" s="294"/>
      <c r="E932" s="294"/>
      <c r="F932" s="294"/>
      <c r="G932" s="295"/>
      <c r="H932" s="294"/>
      <c r="I932" s="294"/>
      <c r="J932" s="294"/>
      <c r="K932" s="294"/>
      <c r="L932" s="294"/>
      <c r="M932" s="294"/>
      <c r="N932" s="294"/>
      <c r="O932" s="294"/>
      <c r="P932" s="294"/>
      <c r="Q932" s="294"/>
      <c r="R932" s="294"/>
      <c r="S932" s="294"/>
      <c r="T932" s="294"/>
      <c r="U932" s="294"/>
      <c r="V932" s="294"/>
      <c r="W932" s="294"/>
      <c r="X932" s="294"/>
      <c r="Y932" s="294"/>
      <c r="Z932" s="294"/>
      <c r="AA932" s="294"/>
      <c r="AB932" s="294"/>
      <c r="AC932" s="294"/>
    </row>
    <row r="933" ht="15.75" customHeight="1">
      <c r="A933" s="294"/>
      <c r="B933" s="294"/>
      <c r="C933" s="294"/>
      <c r="D933" s="294"/>
      <c r="E933" s="294"/>
      <c r="F933" s="294"/>
      <c r="G933" s="295"/>
      <c r="H933" s="294"/>
      <c r="I933" s="294"/>
      <c r="J933" s="294"/>
      <c r="K933" s="294"/>
      <c r="L933" s="294"/>
      <c r="M933" s="294"/>
      <c r="N933" s="294"/>
      <c r="O933" s="294"/>
      <c r="P933" s="294"/>
      <c r="Q933" s="294"/>
      <c r="R933" s="294"/>
      <c r="S933" s="294"/>
      <c r="T933" s="294"/>
      <c r="U933" s="294"/>
      <c r="V933" s="294"/>
      <c r="W933" s="294"/>
      <c r="X933" s="294"/>
      <c r="Y933" s="294"/>
      <c r="Z933" s="294"/>
      <c r="AA933" s="294"/>
      <c r="AB933" s="294"/>
      <c r="AC933" s="294"/>
    </row>
    <row r="934" ht="15.75" customHeight="1">
      <c r="A934" s="294"/>
      <c r="B934" s="294"/>
      <c r="C934" s="294"/>
      <c r="D934" s="294"/>
      <c r="E934" s="294"/>
      <c r="F934" s="294"/>
      <c r="G934" s="295"/>
      <c r="H934" s="294"/>
      <c r="I934" s="294"/>
      <c r="J934" s="294"/>
      <c r="K934" s="294"/>
      <c r="L934" s="294"/>
      <c r="M934" s="294"/>
      <c r="N934" s="294"/>
      <c r="O934" s="294"/>
      <c r="P934" s="294"/>
      <c r="Q934" s="294"/>
      <c r="R934" s="294"/>
      <c r="S934" s="294"/>
      <c r="T934" s="294"/>
      <c r="U934" s="294"/>
      <c r="V934" s="294"/>
      <c r="W934" s="294"/>
      <c r="X934" s="294"/>
      <c r="Y934" s="294"/>
      <c r="Z934" s="294"/>
      <c r="AA934" s="294"/>
      <c r="AB934" s="294"/>
      <c r="AC934" s="294"/>
    </row>
    <row r="935" ht="15.75" customHeight="1">
      <c r="A935" s="294"/>
      <c r="B935" s="294"/>
      <c r="C935" s="294"/>
      <c r="D935" s="294"/>
      <c r="E935" s="294"/>
      <c r="F935" s="294"/>
      <c r="G935" s="295"/>
      <c r="H935" s="294"/>
      <c r="I935" s="294"/>
      <c r="J935" s="294"/>
      <c r="K935" s="294"/>
      <c r="L935" s="294"/>
      <c r="M935" s="294"/>
      <c r="N935" s="294"/>
      <c r="O935" s="294"/>
      <c r="P935" s="294"/>
      <c r="Q935" s="294"/>
      <c r="R935" s="294"/>
      <c r="S935" s="294"/>
      <c r="T935" s="294"/>
      <c r="U935" s="294"/>
      <c r="V935" s="294"/>
      <c r="W935" s="294"/>
      <c r="X935" s="294"/>
      <c r="Y935" s="294"/>
      <c r="Z935" s="294"/>
      <c r="AA935" s="294"/>
      <c r="AB935" s="294"/>
      <c r="AC935" s="294"/>
    </row>
    <row r="936" ht="15.75" customHeight="1">
      <c r="A936" s="294"/>
      <c r="B936" s="294"/>
      <c r="C936" s="294"/>
      <c r="D936" s="294"/>
      <c r="E936" s="294"/>
      <c r="F936" s="294"/>
      <c r="G936" s="295"/>
      <c r="H936" s="294"/>
      <c r="I936" s="294"/>
      <c r="J936" s="294"/>
      <c r="K936" s="294"/>
      <c r="L936" s="294"/>
      <c r="M936" s="294"/>
      <c r="N936" s="294"/>
      <c r="O936" s="294"/>
      <c r="P936" s="294"/>
      <c r="Q936" s="294"/>
      <c r="R936" s="294"/>
      <c r="S936" s="294"/>
      <c r="T936" s="294"/>
      <c r="U936" s="294"/>
      <c r="V936" s="294"/>
      <c r="W936" s="294"/>
      <c r="X936" s="294"/>
      <c r="Y936" s="294"/>
      <c r="Z936" s="294"/>
      <c r="AA936" s="294"/>
      <c r="AB936" s="294"/>
      <c r="AC936" s="294"/>
    </row>
    <row r="937" ht="15.75" customHeight="1">
      <c r="A937" s="294"/>
      <c r="B937" s="294"/>
      <c r="C937" s="294"/>
      <c r="D937" s="294"/>
      <c r="E937" s="294"/>
      <c r="F937" s="294"/>
      <c r="G937" s="295"/>
      <c r="H937" s="294"/>
      <c r="I937" s="294"/>
      <c r="J937" s="294"/>
      <c r="K937" s="294"/>
      <c r="L937" s="294"/>
      <c r="M937" s="294"/>
      <c r="N937" s="294"/>
      <c r="O937" s="294"/>
      <c r="P937" s="294"/>
      <c r="Q937" s="294"/>
      <c r="R937" s="294"/>
      <c r="S937" s="294"/>
      <c r="T937" s="294"/>
      <c r="U937" s="294"/>
      <c r="V937" s="294"/>
      <c r="W937" s="294"/>
      <c r="X937" s="294"/>
      <c r="Y937" s="294"/>
      <c r="Z937" s="294"/>
      <c r="AA937" s="294"/>
      <c r="AB937" s="294"/>
      <c r="AC937" s="294"/>
    </row>
    <row r="938" ht="15.75" customHeight="1">
      <c r="A938" s="294"/>
      <c r="B938" s="294"/>
      <c r="C938" s="294"/>
      <c r="D938" s="294"/>
      <c r="E938" s="294"/>
      <c r="F938" s="294"/>
      <c r="G938" s="295"/>
      <c r="H938" s="294"/>
      <c r="I938" s="294"/>
      <c r="J938" s="294"/>
      <c r="K938" s="294"/>
      <c r="L938" s="294"/>
      <c r="M938" s="294"/>
      <c r="N938" s="294"/>
      <c r="O938" s="294"/>
      <c r="P938" s="294"/>
      <c r="Q938" s="294"/>
      <c r="R938" s="294"/>
      <c r="S938" s="294"/>
      <c r="T938" s="294"/>
      <c r="U938" s="294"/>
      <c r="V938" s="294"/>
      <c r="W938" s="294"/>
      <c r="X938" s="294"/>
      <c r="Y938" s="294"/>
      <c r="Z938" s="294"/>
      <c r="AA938" s="294"/>
      <c r="AB938" s="294"/>
      <c r="AC938" s="294"/>
    </row>
    <row r="939" ht="15.75" customHeight="1">
      <c r="A939" s="294"/>
      <c r="B939" s="294"/>
      <c r="C939" s="294"/>
      <c r="D939" s="294"/>
      <c r="E939" s="294"/>
      <c r="F939" s="294"/>
      <c r="G939" s="295"/>
      <c r="H939" s="294"/>
      <c r="I939" s="294"/>
      <c r="J939" s="294"/>
      <c r="K939" s="294"/>
      <c r="L939" s="294"/>
      <c r="M939" s="294"/>
      <c r="N939" s="294"/>
      <c r="O939" s="294"/>
      <c r="P939" s="294"/>
      <c r="Q939" s="294"/>
      <c r="R939" s="294"/>
      <c r="S939" s="294"/>
      <c r="T939" s="294"/>
      <c r="U939" s="294"/>
      <c r="V939" s="294"/>
      <c r="W939" s="294"/>
      <c r="X939" s="294"/>
      <c r="Y939" s="294"/>
      <c r="Z939" s="294"/>
      <c r="AA939" s="294"/>
      <c r="AB939" s="294"/>
      <c r="AC939" s="294"/>
    </row>
    <row r="940" ht="15.75" customHeight="1">
      <c r="A940" s="294"/>
      <c r="B940" s="294"/>
      <c r="C940" s="294"/>
      <c r="D940" s="294"/>
      <c r="E940" s="294"/>
      <c r="F940" s="294"/>
      <c r="G940" s="295"/>
      <c r="H940" s="294"/>
      <c r="I940" s="294"/>
      <c r="J940" s="294"/>
      <c r="K940" s="294"/>
      <c r="L940" s="294"/>
      <c r="M940" s="294"/>
      <c r="N940" s="294"/>
      <c r="O940" s="294"/>
      <c r="P940" s="294"/>
      <c r="Q940" s="294"/>
      <c r="R940" s="294"/>
      <c r="S940" s="294"/>
      <c r="T940" s="294"/>
      <c r="U940" s="294"/>
      <c r="V940" s="294"/>
      <c r="W940" s="294"/>
      <c r="X940" s="294"/>
      <c r="Y940" s="294"/>
      <c r="Z940" s="294"/>
      <c r="AA940" s="294"/>
      <c r="AB940" s="294"/>
      <c r="AC940" s="294"/>
    </row>
    <row r="941" ht="15.75" customHeight="1">
      <c r="A941" s="294"/>
      <c r="B941" s="294"/>
      <c r="C941" s="294"/>
      <c r="D941" s="294"/>
      <c r="E941" s="294"/>
      <c r="F941" s="294"/>
      <c r="G941" s="295"/>
      <c r="H941" s="294"/>
      <c r="I941" s="294"/>
      <c r="J941" s="294"/>
      <c r="K941" s="294"/>
      <c r="L941" s="294"/>
      <c r="M941" s="294"/>
      <c r="N941" s="294"/>
      <c r="O941" s="294"/>
      <c r="P941" s="294"/>
      <c r="Q941" s="294"/>
      <c r="R941" s="294"/>
      <c r="S941" s="294"/>
      <c r="T941" s="294"/>
      <c r="U941" s="294"/>
      <c r="V941" s="294"/>
      <c r="W941" s="294"/>
      <c r="X941" s="294"/>
      <c r="Y941" s="294"/>
      <c r="Z941" s="294"/>
      <c r="AA941" s="294"/>
      <c r="AB941" s="294"/>
      <c r="AC941" s="294"/>
    </row>
    <row r="942" ht="15.75" customHeight="1">
      <c r="A942" s="294"/>
      <c r="B942" s="294"/>
      <c r="C942" s="294"/>
      <c r="D942" s="294"/>
      <c r="E942" s="294"/>
      <c r="F942" s="294"/>
      <c r="G942" s="295"/>
      <c r="H942" s="294"/>
      <c r="I942" s="294"/>
      <c r="J942" s="294"/>
      <c r="K942" s="294"/>
      <c r="L942" s="294"/>
      <c r="M942" s="294"/>
      <c r="N942" s="294"/>
      <c r="O942" s="294"/>
      <c r="P942" s="294"/>
      <c r="Q942" s="294"/>
      <c r="R942" s="294"/>
      <c r="S942" s="294"/>
      <c r="T942" s="294"/>
      <c r="U942" s="294"/>
      <c r="V942" s="294"/>
      <c r="W942" s="294"/>
      <c r="X942" s="294"/>
      <c r="Y942" s="294"/>
      <c r="Z942" s="294"/>
      <c r="AA942" s="294"/>
      <c r="AB942" s="294"/>
      <c r="AC942" s="294"/>
    </row>
    <row r="943" ht="15.75" customHeight="1">
      <c r="A943" s="294"/>
      <c r="B943" s="294"/>
      <c r="C943" s="294"/>
      <c r="D943" s="294"/>
      <c r="E943" s="294"/>
      <c r="F943" s="294"/>
      <c r="G943" s="295"/>
      <c r="H943" s="294"/>
      <c r="I943" s="294"/>
      <c r="J943" s="294"/>
      <c r="K943" s="294"/>
      <c r="L943" s="294"/>
      <c r="M943" s="294"/>
      <c r="N943" s="294"/>
      <c r="O943" s="294"/>
      <c r="P943" s="294"/>
      <c r="Q943" s="294"/>
      <c r="R943" s="294"/>
      <c r="S943" s="294"/>
      <c r="T943" s="294"/>
      <c r="U943" s="294"/>
      <c r="V943" s="294"/>
      <c r="W943" s="294"/>
      <c r="X943" s="294"/>
      <c r="Y943" s="294"/>
      <c r="Z943" s="294"/>
      <c r="AA943" s="294"/>
      <c r="AB943" s="294"/>
      <c r="AC943" s="294"/>
    </row>
    <row r="944" ht="15.75" customHeight="1">
      <c r="A944" s="294"/>
      <c r="B944" s="294"/>
      <c r="C944" s="294"/>
      <c r="D944" s="294"/>
      <c r="E944" s="294"/>
      <c r="F944" s="294"/>
      <c r="G944" s="295"/>
      <c r="H944" s="294"/>
      <c r="I944" s="294"/>
      <c r="J944" s="294"/>
      <c r="K944" s="294"/>
      <c r="L944" s="294"/>
      <c r="M944" s="294"/>
      <c r="N944" s="294"/>
      <c r="O944" s="294"/>
      <c r="P944" s="294"/>
      <c r="Q944" s="294"/>
      <c r="R944" s="294"/>
      <c r="S944" s="294"/>
      <c r="T944" s="294"/>
      <c r="U944" s="294"/>
      <c r="V944" s="294"/>
      <c r="W944" s="294"/>
      <c r="X944" s="294"/>
      <c r="Y944" s="294"/>
      <c r="Z944" s="294"/>
      <c r="AA944" s="294"/>
      <c r="AB944" s="294"/>
      <c r="AC944" s="294"/>
    </row>
    <row r="945" ht="15.75" customHeight="1">
      <c r="A945" s="294"/>
      <c r="B945" s="294"/>
      <c r="C945" s="294"/>
      <c r="D945" s="294"/>
      <c r="E945" s="294"/>
      <c r="F945" s="294"/>
      <c r="G945" s="295"/>
      <c r="H945" s="294"/>
      <c r="I945" s="294"/>
      <c r="J945" s="294"/>
      <c r="K945" s="294"/>
      <c r="L945" s="294"/>
      <c r="M945" s="294"/>
      <c r="N945" s="294"/>
      <c r="O945" s="294"/>
      <c r="P945" s="294"/>
      <c r="Q945" s="294"/>
      <c r="R945" s="294"/>
      <c r="S945" s="294"/>
      <c r="T945" s="294"/>
      <c r="U945" s="294"/>
      <c r="V945" s="294"/>
      <c r="W945" s="294"/>
      <c r="X945" s="294"/>
      <c r="Y945" s="294"/>
      <c r="Z945" s="294"/>
      <c r="AA945" s="294"/>
      <c r="AB945" s="294"/>
      <c r="AC945" s="294"/>
    </row>
    <row r="946" ht="15.75" customHeight="1">
      <c r="A946" s="294"/>
      <c r="B946" s="294"/>
      <c r="C946" s="294"/>
      <c r="D946" s="294"/>
      <c r="E946" s="294"/>
      <c r="F946" s="294"/>
      <c r="G946" s="295"/>
      <c r="H946" s="294"/>
      <c r="I946" s="294"/>
      <c r="J946" s="294"/>
      <c r="K946" s="294"/>
      <c r="L946" s="294"/>
      <c r="M946" s="294"/>
      <c r="N946" s="294"/>
      <c r="O946" s="294"/>
      <c r="P946" s="294"/>
      <c r="Q946" s="294"/>
      <c r="R946" s="294"/>
      <c r="S946" s="294"/>
      <c r="T946" s="294"/>
      <c r="U946" s="294"/>
      <c r="V946" s="294"/>
      <c r="W946" s="294"/>
      <c r="X946" s="294"/>
      <c r="Y946" s="294"/>
      <c r="Z946" s="294"/>
      <c r="AA946" s="294"/>
      <c r="AB946" s="294"/>
      <c r="AC946" s="294"/>
    </row>
    <row r="947" ht="15.75" customHeight="1">
      <c r="A947" s="294"/>
      <c r="B947" s="294"/>
      <c r="C947" s="294"/>
      <c r="D947" s="294"/>
      <c r="E947" s="294"/>
      <c r="F947" s="294"/>
      <c r="G947" s="295"/>
      <c r="H947" s="294"/>
      <c r="I947" s="294"/>
      <c r="J947" s="294"/>
      <c r="K947" s="294"/>
      <c r="L947" s="294"/>
      <c r="M947" s="294"/>
      <c r="N947" s="294"/>
      <c r="O947" s="294"/>
      <c r="P947" s="294"/>
      <c r="Q947" s="294"/>
      <c r="R947" s="294"/>
      <c r="S947" s="294"/>
      <c r="T947" s="294"/>
      <c r="U947" s="294"/>
      <c r="V947" s="294"/>
      <c r="W947" s="294"/>
      <c r="X947" s="294"/>
      <c r="Y947" s="294"/>
      <c r="Z947" s="294"/>
      <c r="AA947" s="294"/>
      <c r="AB947" s="294"/>
      <c r="AC947" s="294"/>
    </row>
    <row r="948" ht="15.75" customHeight="1">
      <c r="A948" s="294"/>
      <c r="B948" s="294"/>
      <c r="C948" s="294"/>
      <c r="D948" s="294"/>
      <c r="E948" s="294"/>
      <c r="F948" s="294"/>
      <c r="G948" s="295"/>
      <c r="H948" s="294"/>
      <c r="I948" s="294"/>
      <c r="J948" s="294"/>
      <c r="K948" s="294"/>
      <c r="L948" s="294"/>
      <c r="M948" s="294"/>
      <c r="N948" s="294"/>
      <c r="O948" s="294"/>
      <c r="P948" s="294"/>
      <c r="Q948" s="294"/>
      <c r="R948" s="294"/>
      <c r="S948" s="294"/>
      <c r="T948" s="294"/>
      <c r="U948" s="294"/>
      <c r="V948" s="294"/>
      <c r="W948" s="294"/>
      <c r="X948" s="294"/>
      <c r="Y948" s="294"/>
      <c r="Z948" s="294"/>
      <c r="AA948" s="294"/>
      <c r="AB948" s="294"/>
      <c r="AC948" s="294"/>
    </row>
    <row r="949" ht="15.75" customHeight="1">
      <c r="A949" s="294"/>
      <c r="B949" s="294"/>
      <c r="C949" s="294"/>
      <c r="D949" s="294"/>
      <c r="E949" s="294"/>
      <c r="F949" s="294"/>
      <c r="G949" s="295"/>
      <c r="H949" s="294"/>
      <c r="I949" s="294"/>
      <c r="J949" s="294"/>
      <c r="K949" s="294"/>
      <c r="L949" s="294"/>
      <c r="M949" s="294"/>
      <c r="N949" s="294"/>
      <c r="O949" s="294"/>
      <c r="P949" s="294"/>
      <c r="Q949" s="294"/>
      <c r="R949" s="294"/>
      <c r="S949" s="294"/>
      <c r="T949" s="294"/>
      <c r="U949" s="294"/>
      <c r="V949" s="294"/>
      <c r="W949" s="294"/>
      <c r="X949" s="294"/>
      <c r="Y949" s="294"/>
      <c r="Z949" s="294"/>
      <c r="AA949" s="294"/>
      <c r="AB949" s="294"/>
      <c r="AC949" s="294"/>
    </row>
    <row r="950" ht="15.75" customHeight="1">
      <c r="A950" s="294"/>
      <c r="B950" s="294"/>
      <c r="C950" s="294"/>
      <c r="D950" s="294"/>
      <c r="E950" s="294"/>
      <c r="F950" s="294"/>
      <c r="G950" s="295"/>
      <c r="H950" s="294"/>
      <c r="I950" s="294"/>
      <c r="J950" s="294"/>
      <c r="K950" s="294"/>
      <c r="L950" s="294"/>
      <c r="M950" s="294"/>
      <c r="N950" s="294"/>
      <c r="O950" s="294"/>
      <c r="P950" s="294"/>
      <c r="Q950" s="294"/>
      <c r="R950" s="294"/>
      <c r="S950" s="294"/>
      <c r="T950" s="294"/>
      <c r="U950" s="294"/>
      <c r="V950" s="294"/>
      <c r="W950" s="294"/>
      <c r="X950" s="294"/>
      <c r="Y950" s="294"/>
      <c r="Z950" s="294"/>
      <c r="AA950" s="294"/>
      <c r="AB950" s="294"/>
      <c r="AC950" s="294"/>
    </row>
    <row r="951" ht="15.75" customHeight="1">
      <c r="A951" s="294"/>
      <c r="B951" s="294"/>
      <c r="C951" s="294"/>
      <c r="D951" s="294"/>
      <c r="E951" s="294"/>
      <c r="F951" s="294"/>
      <c r="G951" s="295"/>
      <c r="H951" s="294"/>
      <c r="I951" s="294"/>
      <c r="J951" s="294"/>
      <c r="K951" s="294"/>
      <c r="L951" s="294"/>
      <c r="M951" s="294"/>
      <c r="N951" s="294"/>
      <c r="O951" s="294"/>
      <c r="P951" s="294"/>
      <c r="Q951" s="294"/>
      <c r="R951" s="294"/>
      <c r="S951" s="294"/>
      <c r="T951" s="294"/>
      <c r="U951" s="294"/>
      <c r="V951" s="294"/>
      <c r="W951" s="294"/>
      <c r="X951" s="294"/>
      <c r="Y951" s="294"/>
      <c r="Z951" s="294"/>
      <c r="AA951" s="294"/>
      <c r="AB951" s="294"/>
      <c r="AC951" s="294"/>
    </row>
    <row r="952" ht="15.75" customHeight="1">
      <c r="A952" s="294"/>
      <c r="B952" s="294"/>
      <c r="C952" s="294"/>
      <c r="D952" s="294"/>
      <c r="E952" s="294"/>
      <c r="F952" s="294"/>
      <c r="G952" s="295"/>
      <c r="H952" s="294"/>
      <c r="I952" s="294"/>
      <c r="J952" s="294"/>
      <c r="K952" s="294"/>
      <c r="L952" s="294"/>
      <c r="M952" s="294"/>
      <c r="N952" s="294"/>
      <c r="O952" s="294"/>
      <c r="P952" s="294"/>
      <c r="Q952" s="294"/>
      <c r="R952" s="294"/>
      <c r="S952" s="294"/>
      <c r="T952" s="294"/>
      <c r="U952" s="294"/>
      <c r="V952" s="294"/>
      <c r="W952" s="294"/>
      <c r="X952" s="294"/>
      <c r="Y952" s="294"/>
      <c r="Z952" s="294"/>
      <c r="AA952" s="294"/>
      <c r="AB952" s="294"/>
      <c r="AC952" s="294"/>
    </row>
    <row r="953" ht="15.75" customHeight="1">
      <c r="A953" s="294"/>
      <c r="B953" s="294"/>
      <c r="C953" s="294"/>
      <c r="D953" s="294"/>
      <c r="E953" s="294"/>
      <c r="F953" s="294"/>
      <c r="G953" s="295"/>
      <c r="H953" s="294"/>
      <c r="I953" s="294"/>
      <c r="J953" s="294"/>
      <c r="K953" s="294"/>
      <c r="L953" s="294"/>
      <c r="M953" s="294"/>
      <c r="N953" s="294"/>
      <c r="O953" s="294"/>
      <c r="P953" s="294"/>
      <c r="Q953" s="294"/>
      <c r="R953" s="294"/>
      <c r="S953" s="294"/>
      <c r="T953" s="294"/>
      <c r="U953" s="294"/>
      <c r="V953" s="294"/>
      <c r="W953" s="294"/>
      <c r="X953" s="294"/>
      <c r="Y953" s="294"/>
      <c r="Z953" s="294"/>
      <c r="AA953" s="294"/>
      <c r="AB953" s="294"/>
      <c r="AC953" s="294"/>
    </row>
    <row r="954" ht="15.75" customHeight="1">
      <c r="A954" s="294"/>
      <c r="B954" s="294"/>
      <c r="C954" s="294"/>
      <c r="D954" s="294"/>
      <c r="E954" s="294"/>
      <c r="F954" s="294"/>
      <c r="G954" s="295"/>
      <c r="H954" s="294"/>
      <c r="I954" s="294"/>
      <c r="J954" s="294"/>
      <c r="K954" s="294"/>
      <c r="L954" s="294"/>
      <c r="M954" s="294"/>
      <c r="N954" s="294"/>
      <c r="O954" s="294"/>
      <c r="P954" s="294"/>
      <c r="Q954" s="294"/>
      <c r="R954" s="294"/>
      <c r="S954" s="294"/>
      <c r="T954" s="294"/>
      <c r="U954" s="294"/>
      <c r="V954" s="294"/>
      <c r="W954" s="294"/>
      <c r="X954" s="294"/>
      <c r="Y954" s="294"/>
      <c r="Z954" s="294"/>
      <c r="AA954" s="294"/>
      <c r="AB954" s="294"/>
      <c r="AC954" s="294"/>
    </row>
    <row r="955" ht="15.75" customHeight="1">
      <c r="A955" s="294"/>
      <c r="B955" s="294"/>
      <c r="C955" s="294"/>
      <c r="D955" s="294"/>
      <c r="E955" s="294"/>
      <c r="F955" s="294"/>
      <c r="G955" s="295"/>
      <c r="H955" s="294"/>
      <c r="I955" s="294"/>
      <c r="J955" s="294"/>
      <c r="K955" s="294"/>
      <c r="L955" s="294"/>
      <c r="M955" s="294"/>
      <c r="N955" s="294"/>
      <c r="O955" s="294"/>
      <c r="P955" s="294"/>
      <c r="Q955" s="294"/>
      <c r="R955" s="294"/>
      <c r="S955" s="294"/>
      <c r="T955" s="294"/>
      <c r="U955" s="294"/>
      <c r="V955" s="294"/>
      <c r="W955" s="294"/>
      <c r="X955" s="294"/>
      <c r="Y955" s="294"/>
      <c r="Z955" s="294"/>
      <c r="AA955" s="294"/>
      <c r="AB955" s="294"/>
      <c r="AC955" s="294"/>
    </row>
    <row r="956" ht="15.75" customHeight="1">
      <c r="A956" s="294"/>
      <c r="B956" s="294"/>
      <c r="C956" s="294"/>
      <c r="D956" s="294"/>
      <c r="E956" s="294"/>
      <c r="F956" s="294"/>
      <c r="G956" s="295"/>
      <c r="H956" s="294"/>
      <c r="I956" s="294"/>
      <c r="J956" s="294"/>
      <c r="K956" s="294"/>
      <c r="L956" s="294"/>
      <c r="M956" s="294"/>
      <c r="N956" s="294"/>
      <c r="O956" s="294"/>
      <c r="P956" s="294"/>
      <c r="Q956" s="294"/>
      <c r="R956" s="294"/>
      <c r="S956" s="294"/>
      <c r="T956" s="294"/>
      <c r="U956" s="294"/>
      <c r="V956" s="294"/>
      <c r="W956" s="294"/>
      <c r="X956" s="294"/>
      <c r="Y956" s="294"/>
      <c r="Z956" s="294"/>
      <c r="AA956" s="294"/>
      <c r="AB956" s="294"/>
      <c r="AC956" s="294"/>
    </row>
    <row r="957" ht="15.75" customHeight="1">
      <c r="A957" s="294"/>
      <c r="B957" s="294"/>
      <c r="C957" s="294"/>
      <c r="D957" s="294"/>
      <c r="E957" s="294"/>
      <c r="F957" s="294"/>
      <c r="G957" s="295"/>
      <c r="H957" s="294"/>
      <c r="I957" s="294"/>
      <c r="J957" s="294"/>
      <c r="K957" s="294"/>
      <c r="L957" s="294"/>
      <c r="M957" s="294"/>
      <c r="N957" s="294"/>
      <c r="O957" s="294"/>
      <c r="P957" s="294"/>
      <c r="Q957" s="294"/>
      <c r="R957" s="294"/>
      <c r="S957" s="294"/>
      <c r="T957" s="294"/>
      <c r="U957" s="294"/>
      <c r="V957" s="294"/>
      <c r="W957" s="294"/>
      <c r="X957" s="294"/>
      <c r="Y957" s="294"/>
      <c r="Z957" s="294"/>
      <c r="AA957" s="294"/>
      <c r="AB957" s="294"/>
      <c r="AC957" s="294"/>
    </row>
    <row r="958" ht="15.75" customHeight="1">
      <c r="A958" s="294"/>
      <c r="B958" s="294"/>
      <c r="C958" s="294"/>
      <c r="D958" s="294"/>
      <c r="E958" s="294"/>
      <c r="F958" s="294"/>
      <c r="G958" s="295"/>
      <c r="H958" s="294"/>
      <c r="I958" s="294"/>
      <c r="J958" s="294"/>
      <c r="K958" s="294"/>
      <c r="L958" s="294"/>
      <c r="M958" s="294"/>
      <c r="N958" s="294"/>
      <c r="O958" s="294"/>
      <c r="P958" s="294"/>
      <c r="Q958" s="294"/>
      <c r="R958" s="294"/>
      <c r="S958" s="294"/>
      <c r="T958" s="294"/>
      <c r="U958" s="294"/>
      <c r="V958" s="294"/>
      <c r="W958" s="294"/>
      <c r="X958" s="294"/>
      <c r="Y958" s="294"/>
      <c r="Z958" s="294"/>
      <c r="AA958" s="294"/>
      <c r="AB958" s="294"/>
      <c r="AC958" s="294"/>
    </row>
    <row r="959" ht="15.75" customHeight="1">
      <c r="A959" s="294"/>
      <c r="B959" s="294"/>
      <c r="C959" s="294"/>
      <c r="D959" s="294"/>
      <c r="E959" s="294"/>
      <c r="F959" s="294"/>
      <c r="G959" s="295"/>
      <c r="H959" s="294"/>
      <c r="I959" s="294"/>
      <c r="J959" s="294"/>
      <c r="K959" s="294"/>
      <c r="L959" s="294"/>
      <c r="M959" s="294"/>
      <c r="N959" s="294"/>
      <c r="O959" s="294"/>
      <c r="P959" s="294"/>
      <c r="Q959" s="294"/>
      <c r="R959" s="294"/>
      <c r="S959" s="294"/>
      <c r="T959" s="294"/>
      <c r="U959" s="294"/>
      <c r="V959" s="294"/>
      <c r="W959" s="294"/>
      <c r="X959" s="294"/>
      <c r="Y959" s="294"/>
      <c r="Z959" s="294"/>
      <c r="AA959" s="294"/>
      <c r="AB959" s="294"/>
      <c r="AC959" s="294"/>
    </row>
    <row r="960" ht="15.75" customHeight="1">
      <c r="A960" s="294"/>
      <c r="B960" s="294"/>
      <c r="C960" s="294"/>
      <c r="D960" s="294"/>
      <c r="E960" s="294"/>
      <c r="F960" s="294"/>
      <c r="G960" s="295"/>
      <c r="H960" s="294"/>
      <c r="I960" s="294"/>
      <c r="J960" s="294"/>
      <c r="K960" s="294"/>
      <c r="L960" s="294"/>
      <c r="M960" s="294"/>
      <c r="N960" s="294"/>
      <c r="O960" s="294"/>
      <c r="P960" s="294"/>
      <c r="Q960" s="294"/>
      <c r="R960" s="294"/>
      <c r="S960" s="294"/>
      <c r="T960" s="294"/>
      <c r="U960" s="294"/>
      <c r="V960" s="294"/>
      <c r="W960" s="294"/>
      <c r="X960" s="294"/>
      <c r="Y960" s="294"/>
      <c r="Z960" s="294"/>
      <c r="AA960" s="294"/>
      <c r="AB960" s="294"/>
      <c r="AC960" s="294"/>
    </row>
    <row r="961" ht="15.75" customHeight="1">
      <c r="A961" s="294"/>
      <c r="B961" s="294"/>
      <c r="C961" s="294"/>
      <c r="D961" s="294"/>
      <c r="E961" s="294"/>
      <c r="F961" s="294"/>
      <c r="G961" s="295"/>
      <c r="H961" s="294"/>
      <c r="I961" s="294"/>
      <c r="J961" s="294"/>
      <c r="K961" s="294"/>
      <c r="L961" s="294"/>
      <c r="M961" s="294"/>
      <c r="N961" s="294"/>
      <c r="O961" s="294"/>
      <c r="P961" s="294"/>
      <c r="Q961" s="294"/>
      <c r="R961" s="294"/>
      <c r="S961" s="294"/>
      <c r="T961" s="294"/>
      <c r="U961" s="294"/>
      <c r="V961" s="294"/>
      <c r="W961" s="294"/>
      <c r="X961" s="294"/>
      <c r="Y961" s="294"/>
      <c r="Z961" s="294"/>
      <c r="AA961" s="294"/>
      <c r="AB961" s="294"/>
      <c r="AC961" s="294"/>
    </row>
    <row r="962" ht="15.75" customHeight="1">
      <c r="A962" s="294"/>
      <c r="B962" s="294"/>
      <c r="C962" s="294"/>
      <c r="D962" s="294"/>
      <c r="E962" s="294"/>
      <c r="F962" s="294"/>
      <c r="G962" s="295"/>
      <c r="H962" s="294"/>
      <c r="I962" s="294"/>
      <c r="J962" s="294"/>
      <c r="K962" s="294"/>
      <c r="L962" s="294"/>
      <c r="M962" s="294"/>
      <c r="N962" s="294"/>
      <c r="O962" s="294"/>
      <c r="P962" s="294"/>
      <c r="Q962" s="294"/>
      <c r="R962" s="294"/>
      <c r="S962" s="294"/>
      <c r="T962" s="294"/>
      <c r="U962" s="294"/>
      <c r="V962" s="294"/>
      <c r="W962" s="294"/>
      <c r="X962" s="294"/>
      <c r="Y962" s="294"/>
      <c r="Z962" s="294"/>
      <c r="AA962" s="294"/>
      <c r="AB962" s="294"/>
      <c r="AC962" s="294"/>
    </row>
    <row r="963" ht="15.75" customHeight="1">
      <c r="A963" s="294"/>
      <c r="B963" s="294"/>
      <c r="C963" s="294"/>
      <c r="D963" s="294"/>
      <c r="E963" s="294"/>
      <c r="F963" s="294"/>
      <c r="G963" s="295"/>
      <c r="H963" s="294"/>
      <c r="I963" s="294"/>
      <c r="J963" s="294"/>
      <c r="K963" s="294"/>
      <c r="L963" s="294"/>
      <c r="M963" s="294"/>
      <c r="N963" s="294"/>
      <c r="O963" s="294"/>
      <c r="P963" s="294"/>
      <c r="Q963" s="294"/>
      <c r="R963" s="294"/>
      <c r="S963" s="294"/>
      <c r="T963" s="294"/>
      <c r="U963" s="294"/>
      <c r="V963" s="294"/>
      <c r="W963" s="294"/>
      <c r="X963" s="294"/>
      <c r="Y963" s="294"/>
      <c r="Z963" s="294"/>
      <c r="AA963" s="294"/>
      <c r="AB963" s="294"/>
      <c r="AC963" s="294"/>
    </row>
    <row r="964" ht="15.75" customHeight="1">
      <c r="A964" s="294"/>
      <c r="B964" s="294"/>
      <c r="C964" s="294"/>
      <c r="D964" s="294"/>
      <c r="E964" s="294"/>
      <c r="F964" s="294"/>
      <c r="G964" s="295"/>
      <c r="H964" s="294"/>
      <c r="I964" s="294"/>
      <c r="J964" s="294"/>
      <c r="K964" s="294"/>
      <c r="L964" s="294"/>
      <c r="M964" s="294"/>
      <c r="N964" s="294"/>
      <c r="O964" s="294"/>
      <c r="P964" s="294"/>
      <c r="Q964" s="294"/>
      <c r="R964" s="294"/>
      <c r="S964" s="294"/>
      <c r="T964" s="294"/>
      <c r="U964" s="294"/>
      <c r="V964" s="294"/>
      <c r="W964" s="294"/>
      <c r="X964" s="294"/>
      <c r="Y964" s="294"/>
      <c r="Z964" s="294"/>
      <c r="AA964" s="294"/>
      <c r="AB964" s="294"/>
      <c r="AC964" s="294"/>
    </row>
    <row r="965" ht="15.75" customHeight="1">
      <c r="A965" s="294"/>
      <c r="B965" s="294"/>
      <c r="C965" s="294"/>
      <c r="D965" s="294"/>
      <c r="E965" s="294"/>
      <c r="F965" s="294"/>
      <c r="G965" s="295"/>
      <c r="H965" s="294"/>
      <c r="I965" s="294"/>
      <c r="J965" s="294"/>
      <c r="K965" s="294"/>
      <c r="L965" s="294"/>
      <c r="M965" s="294"/>
      <c r="N965" s="294"/>
      <c r="O965" s="294"/>
      <c r="P965" s="294"/>
      <c r="Q965" s="294"/>
      <c r="R965" s="294"/>
      <c r="S965" s="294"/>
      <c r="T965" s="294"/>
      <c r="U965" s="294"/>
      <c r="V965" s="294"/>
      <c r="W965" s="294"/>
      <c r="X965" s="294"/>
      <c r="Y965" s="294"/>
      <c r="Z965" s="294"/>
      <c r="AA965" s="294"/>
      <c r="AB965" s="294"/>
      <c r="AC965" s="294"/>
    </row>
    <row r="966" ht="15.75" customHeight="1">
      <c r="A966" s="294"/>
      <c r="B966" s="294"/>
      <c r="C966" s="294"/>
      <c r="D966" s="294"/>
      <c r="E966" s="294"/>
      <c r="F966" s="294"/>
      <c r="G966" s="295"/>
      <c r="H966" s="294"/>
      <c r="I966" s="294"/>
      <c r="J966" s="294"/>
      <c r="K966" s="294"/>
      <c r="L966" s="294"/>
      <c r="M966" s="294"/>
      <c r="N966" s="294"/>
      <c r="O966" s="294"/>
      <c r="P966" s="294"/>
      <c r="Q966" s="294"/>
      <c r="R966" s="294"/>
      <c r="S966" s="294"/>
      <c r="T966" s="294"/>
      <c r="U966" s="294"/>
      <c r="V966" s="294"/>
      <c r="W966" s="294"/>
      <c r="X966" s="294"/>
      <c r="Y966" s="294"/>
      <c r="Z966" s="294"/>
      <c r="AA966" s="294"/>
      <c r="AB966" s="294"/>
      <c r="AC966" s="294"/>
    </row>
    <row r="967" ht="15.75" customHeight="1">
      <c r="A967" s="294"/>
      <c r="B967" s="294"/>
      <c r="C967" s="294"/>
      <c r="D967" s="294"/>
      <c r="E967" s="294"/>
      <c r="F967" s="294"/>
      <c r="G967" s="295"/>
      <c r="H967" s="294"/>
      <c r="I967" s="294"/>
      <c r="J967" s="294"/>
      <c r="K967" s="294"/>
      <c r="L967" s="294"/>
      <c r="M967" s="294"/>
      <c r="N967" s="294"/>
      <c r="O967" s="294"/>
      <c r="P967" s="294"/>
      <c r="Q967" s="294"/>
      <c r="R967" s="294"/>
      <c r="S967" s="294"/>
      <c r="T967" s="294"/>
      <c r="U967" s="294"/>
      <c r="V967" s="294"/>
      <c r="W967" s="294"/>
      <c r="X967" s="294"/>
      <c r="Y967" s="294"/>
      <c r="Z967" s="294"/>
      <c r="AA967" s="294"/>
      <c r="AB967" s="294"/>
      <c r="AC967" s="294"/>
    </row>
    <row r="968" ht="15.75" customHeight="1">
      <c r="A968" s="294"/>
      <c r="B968" s="294"/>
      <c r="C968" s="294"/>
      <c r="D968" s="294"/>
      <c r="E968" s="294"/>
      <c r="F968" s="294"/>
      <c r="G968" s="295"/>
      <c r="H968" s="294"/>
      <c r="I968" s="294"/>
      <c r="J968" s="294"/>
      <c r="K968" s="294"/>
      <c r="L968" s="294"/>
      <c r="M968" s="294"/>
      <c r="N968" s="294"/>
      <c r="O968" s="294"/>
      <c r="P968" s="294"/>
      <c r="Q968" s="294"/>
      <c r="R968" s="294"/>
      <c r="S968" s="294"/>
      <c r="T968" s="294"/>
      <c r="U968" s="294"/>
      <c r="V968" s="294"/>
      <c r="W968" s="294"/>
      <c r="X968" s="294"/>
      <c r="Y968" s="294"/>
      <c r="Z968" s="294"/>
      <c r="AA968" s="294"/>
      <c r="AB968" s="294"/>
      <c r="AC968" s="294"/>
    </row>
    <row r="969" ht="15.75" customHeight="1">
      <c r="A969" s="294"/>
      <c r="B969" s="294"/>
      <c r="C969" s="294"/>
      <c r="D969" s="294"/>
      <c r="E969" s="294"/>
      <c r="F969" s="294"/>
      <c r="G969" s="295"/>
      <c r="H969" s="294"/>
      <c r="I969" s="294"/>
      <c r="J969" s="294"/>
      <c r="K969" s="294"/>
      <c r="L969" s="294"/>
      <c r="M969" s="294"/>
      <c r="N969" s="294"/>
      <c r="O969" s="294"/>
      <c r="P969" s="294"/>
      <c r="Q969" s="294"/>
      <c r="R969" s="294"/>
      <c r="S969" s="294"/>
      <c r="T969" s="294"/>
      <c r="U969" s="294"/>
      <c r="V969" s="294"/>
      <c r="W969" s="294"/>
      <c r="X969" s="294"/>
      <c r="Y969" s="294"/>
      <c r="Z969" s="294"/>
      <c r="AA969" s="294"/>
      <c r="AB969" s="294"/>
      <c r="AC969" s="294"/>
    </row>
    <row r="970" ht="15.75" customHeight="1">
      <c r="A970" s="294"/>
      <c r="B970" s="294"/>
      <c r="C970" s="294"/>
      <c r="D970" s="294"/>
      <c r="E970" s="294"/>
      <c r="F970" s="294"/>
      <c r="G970" s="295"/>
      <c r="H970" s="294"/>
      <c r="I970" s="294"/>
      <c r="J970" s="294"/>
      <c r="K970" s="294"/>
      <c r="L970" s="294"/>
      <c r="M970" s="294"/>
      <c r="N970" s="294"/>
      <c r="O970" s="294"/>
      <c r="P970" s="294"/>
      <c r="Q970" s="294"/>
      <c r="R970" s="294"/>
      <c r="S970" s="294"/>
      <c r="T970" s="294"/>
      <c r="U970" s="294"/>
      <c r="V970" s="294"/>
      <c r="W970" s="294"/>
      <c r="X970" s="294"/>
      <c r="Y970" s="294"/>
      <c r="Z970" s="294"/>
      <c r="AA970" s="294"/>
      <c r="AB970" s="294"/>
      <c r="AC970" s="294"/>
    </row>
    <row r="971" ht="15.75" customHeight="1">
      <c r="A971" s="294"/>
      <c r="B971" s="294"/>
      <c r="C971" s="294"/>
      <c r="D971" s="294"/>
      <c r="E971" s="294"/>
      <c r="F971" s="294"/>
      <c r="G971" s="295"/>
      <c r="H971" s="294"/>
      <c r="I971" s="294"/>
      <c r="J971" s="294"/>
      <c r="K971" s="294"/>
      <c r="L971" s="294"/>
      <c r="M971" s="294"/>
      <c r="N971" s="294"/>
      <c r="O971" s="294"/>
      <c r="P971" s="294"/>
      <c r="Q971" s="294"/>
      <c r="R971" s="294"/>
      <c r="S971" s="294"/>
      <c r="T971" s="294"/>
      <c r="U971" s="294"/>
      <c r="V971" s="294"/>
      <c r="W971" s="294"/>
      <c r="X971" s="294"/>
      <c r="Y971" s="294"/>
      <c r="Z971" s="294"/>
      <c r="AA971" s="294"/>
      <c r="AB971" s="294"/>
      <c r="AC971" s="294"/>
    </row>
    <row r="972" ht="15.75" customHeight="1">
      <c r="A972" s="294"/>
      <c r="B972" s="294"/>
      <c r="C972" s="294"/>
      <c r="D972" s="294"/>
      <c r="E972" s="294"/>
      <c r="F972" s="294"/>
      <c r="G972" s="295"/>
      <c r="H972" s="294"/>
      <c r="I972" s="294"/>
      <c r="J972" s="294"/>
      <c r="K972" s="294"/>
      <c r="L972" s="294"/>
      <c r="M972" s="294"/>
      <c r="N972" s="294"/>
      <c r="O972" s="294"/>
      <c r="P972" s="294"/>
      <c r="Q972" s="294"/>
      <c r="R972" s="294"/>
      <c r="S972" s="294"/>
      <c r="T972" s="294"/>
      <c r="U972" s="294"/>
      <c r="V972" s="294"/>
      <c r="W972" s="294"/>
      <c r="X972" s="294"/>
      <c r="Y972" s="294"/>
      <c r="Z972" s="294"/>
      <c r="AA972" s="294"/>
      <c r="AB972" s="294"/>
      <c r="AC972" s="294"/>
    </row>
    <row r="973" ht="15.75" customHeight="1">
      <c r="A973" s="294"/>
      <c r="B973" s="294"/>
      <c r="C973" s="294"/>
      <c r="D973" s="294"/>
      <c r="E973" s="294"/>
      <c r="F973" s="294"/>
      <c r="G973" s="295"/>
      <c r="H973" s="294"/>
      <c r="I973" s="294"/>
      <c r="J973" s="294"/>
      <c r="K973" s="294"/>
      <c r="L973" s="294"/>
      <c r="M973" s="294"/>
      <c r="N973" s="294"/>
      <c r="O973" s="294"/>
      <c r="P973" s="294"/>
      <c r="Q973" s="294"/>
      <c r="R973" s="294"/>
      <c r="S973" s="294"/>
      <c r="T973" s="294"/>
      <c r="U973" s="294"/>
      <c r="V973" s="294"/>
      <c r="W973" s="294"/>
      <c r="X973" s="294"/>
      <c r="Y973" s="294"/>
      <c r="Z973" s="294"/>
      <c r="AA973" s="294"/>
      <c r="AB973" s="294"/>
      <c r="AC973" s="294"/>
    </row>
    <row r="974" ht="15.75" customHeight="1">
      <c r="A974" s="294"/>
      <c r="B974" s="294"/>
      <c r="C974" s="294"/>
      <c r="D974" s="294"/>
      <c r="E974" s="294"/>
      <c r="F974" s="294"/>
      <c r="G974" s="295"/>
      <c r="H974" s="294"/>
      <c r="I974" s="294"/>
      <c r="J974" s="294"/>
      <c r="K974" s="294"/>
      <c r="L974" s="294"/>
      <c r="M974" s="294"/>
      <c r="N974" s="294"/>
      <c r="O974" s="294"/>
      <c r="P974" s="294"/>
      <c r="Q974" s="294"/>
      <c r="R974" s="294"/>
      <c r="S974" s="294"/>
      <c r="T974" s="294"/>
      <c r="U974" s="294"/>
      <c r="V974" s="294"/>
      <c r="W974" s="294"/>
      <c r="X974" s="294"/>
      <c r="Y974" s="294"/>
      <c r="Z974" s="294"/>
      <c r="AA974" s="294"/>
      <c r="AB974" s="294"/>
      <c r="AC974" s="294"/>
    </row>
    <row r="975" ht="15.75" customHeight="1">
      <c r="A975" s="294"/>
      <c r="B975" s="294"/>
      <c r="C975" s="294"/>
      <c r="D975" s="294"/>
      <c r="E975" s="294"/>
      <c r="F975" s="294"/>
      <c r="G975" s="295"/>
      <c r="H975" s="294"/>
      <c r="I975" s="294"/>
      <c r="J975" s="294"/>
      <c r="K975" s="294"/>
      <c r="L975" s="294"/>
      <c r="M975" s="294"/>
      <c r="N975" s="294"/>
      <c r="O975" s="294"/>
      <c r="P975" s="294"/>
      <c r="Q975" s="294"/>
      <c r="R975" s="294"/>
      <c r="S975" s="294"/>
      <c r="T975" s="294"/>
      <c r="U975" s="294"/>
      <c r="V975" s="294"/>
      <c r="W975" s="294"/>
      <c r="X975" s="294"/>
      <c r="Y975" s="294"/>
      <c r="Z975" s="294"/>
      <c r="AA975" s="294"/>
      <c r="AB975" s="294"/>
      <c r="AC975" s="294"/>
    </row>
    <row r="976" ht="15.75" customHeight="1">
      <c r="A976" s="294"/>
      <c r="B976" s="294"/>
      <c r="C976" s="294"/>
      <c r="D976" s="294"/>
      <c r="E976" s="294"/>
      <c r="F976" s="294"/>
      <c r="G976" s="295"/>
      <c r="H976" s="294"/>
      <c r="I976" s="294"/>
      <c r="J976" s="294"/>
      <c r="K976" s="294"/>
      <c r="L976" s="294"/>
      <c r="M976" s="294"/>
      <c r="N976" s="294"/>
      <c r="O976" s="294"/>
      <c r="P976" s="294"/>
      <c r="Q976" s="294"/>
      <c r="R976" s="294"/>
      <c r="S976" s="294"/>
      <c r="T976" s="294"/>
      <c r="U976" s="294"/>
      <c r="V976" s="294"/>
      <c r="W976" s="294"/>
      <c r="X976" s="294"/>
      <c r="Y976" s="294"/>
      <c r="Z976" s="294"/>
      <c r="AA976" s="294"/>
      <c r="AB976" s="294"/>
      <c r="AC976" s="294"/>
    </row>
    <row r="977" ht="15.75" customHeight="1">
      <c r="A977" s="294"/>
      <c r="B977" s="294"/>
      <c r="C977" s="294"/>
      <c r="D977" s="294"/>
      <c r="E977" s="294"/>
      <c r="F977" s="294"/>
      <c r="G977" s="295"/>
      <c r="H977" s="294"/>
      <c r="I977" s="294"/>
      <c r="J977" s="294"/>
      <c r="K977" s="294"/>
      <c r="L977" s="294"/>
      <c r="M977" s="294"/>
      <c r="N977" s="294"/>
      <c r="O977" s="294"/>
      <c r="P977" s="294"/>
      <c r="Q977" s="294"/>
      <c r="R977" s="294"/>
      <c r="S977" s="294"/>
      <c r="T977" s="294"/>
      <c r="U977" s="294"/>
      <c r="V977" s="294"/>
      <c r="W977" s="294"/>
      <c r="X977" s="294"/>
      <c r="Y977" s="294"/>
      <c r="Z977" s="294"/>
      <c r="AA977" s="294"/>
      <c r="AB977" s="294"/>
      <c r="AC977" s="294"/>
    </row>
    <row r="978" ht="15.75" customHeight="1">
      <c r="A978" s="294"/>
      <c r="B978" s="294"/>
      <c r="C978" s="294"/>
      <c r="D978" s="294"/>
      <c r="E978" s="294"/>
      <c r="F978" s="294"/>
      <c r="G978" s="295"/>
      <c r="H978" s="294"/>
      <c r="I978" s="294"/>
      <c r="J978" s="294"/>
      <c r="K978" s="294"/>
      <c r="L978" s="294"/>
      <c r="M978" s="294"/>
      <c r="N978" s="294"/>
      <c r="O978" s="294"/>
      <c r="P978" s="294"/>
      <c r="Q978" s="294"/>
      <c r="R978" s="294"/>
      <c r="S978" s="294"/>
      <c r="T978" s="294"/>
      <c r="U978" s="294"/>
      <c r="V978" s="294"/>
      <c r="W978" s="294"/>
      <c r="X978" s="294"/>
      <c r="Y978" s="294"/>
      <c r="Z978" s="294"/>
      <c r="AA978" s="294"/>
      <c r="AB978" s="294"/>
      <c r="AC978" s="294"/>
    </row>
    <row r="979" ht="15.75" customHeight="1">
      <c r="A979" s="294"/>
      <c r="B979" s="294"/>
      <c r="C979" s="294"/>
      <c r="D979" s="294"/>
      <c r="E979" s="294"/>
      <c r="F979" s="294"/>
      <c r="G979" s="295"/>
      <c r="H979" s="294"/>
      <c r="I979" s="294"/>
      <c r="J979" s="294"/>
      <c r="K979" s="294"/>
      <c r="L979" s="294"/>
      <c r="M979" s="294"/>
      <c r="N979" s="294"/>
      <c r="O979" s="294"/>
      <c r="P979" s="294"/>
      <c r="Q979" s="294"/>
      <c r="R979" s="294"/>
      <c r="S979" s="294"/>
      <c r="T979" s="294"/>
      <c r="U979" s="294"/>
      <c r="V979" s="294"/>
      <c r="W979" s="294"/>
      <c r="X979" s="294"/>
      <c r="Y979" s="294"/>
      <c r="Z979" s="294"/>
      <c r="AA979" s="294"/>
      <c r="AB979" s="294"/>
      <c r="AC979" s="294"/>
    </row>
    <row r="980" ht="15.75" customHeight="1">
      <c r="A980" s="294"/>
      <c r="B980" s="294"/>
      <c r="C980" s="294"/>
      <c r="D980" s="294"/>
      <c r="E980" s="294"/>
      <c r="F980" s="294"/>
      <c r="G980" s="295"/>
      <c r="H980" s="294"/>
      <c r="I980" s="294"/>
      <c r="J980" s="294"/>
      <c r="K980" s="294"/>
      <c r="L980" s="294"/>
      <c r="M980" s="294"/>
      <c r="N980" s="294"/>
      <c r="O980" s="294"/>
      <c r="P980" s="294"/>
      <c r="Q980" s="294"/>
      <c r="R980" s="294"/>
      <c r="S980" s="294"/>
      <c r="T980" s="294"/>
      <c r="U980" s="294"/>
      <c r="V980" s="294"/>
      <c r="W980" s="294"/>
      <c r="X980" s="294"/>
      <c r="Y980" s="294"/>
      <c r="Z980" s="294"/>
      <c r="AA980" s="294"/>
      <c r="AB980" s="294"/>
      <c r="AC980" s="294"/>
    </row>
    <row r="981" ht="15.75" customHeight="1">
      <c r="A981" s="294"/>
      <c r="B981" s="294"/>
      <c r="C981" s="294"/>
      <c r="D981" s="294"/>
      <c r="E981" s="294"/>
      <c r="F981" s="294"/>
      <c r="G981" s="295"/>
      <c r="H981" s="294"/>
      <c r="I981" s="294"/>
      <c r="J981" s="294"/>
      <c r="K981" s="294"/>
      <c r="L981" s="294"/>
      <c r="M981" s="294"/>
      <c r="N981" s="294"/>
      <c r="O981" s="294"/>
      <c r="P981" s="294"/>
      <c r="Q981" s="294"/>
      <c r="R981" s="294"/>
      <c r="S981" s="294"/>
      <c r="T981" s="294"/>
      <c r="U981" s="294"/>
      <c r="V981" s="294"/>
      <c r="W981" s="294"/>
      <c r="X981" s="294"/>
      <c r="Y981" s="294"/>
      <c r="Z981" s="294"/>
      <c r="AA981" s="294"/>
      <c r="AB981" s="294"/>
      <c r="AC981" s="294"/>
    </row>
    <row r="982" ht="15.75" customHeight="1">
      <c r="A982" s="294"/>
      <c r="B982" s="294"/>
      <c r="C982" s="294"/>
      <c r="D982" s="294"/>
      <c r="E982" s="294"/>
      <c r="F982" s="294"/>
      <c r="G982" s="295"/>
      <c r="H982" s="294"/>
      <c r="I982" s="294"/>
      <c r="J982" s="294"/>
      <c r="K982" s="294"/>
      <c r="L982" s="294"/>
      <c r="M982" s="294"/>
      <c r="N982" s="294"/>
      <c r="O982" s="294"/>
      <c r="P982" s="294"/>
      <c r="Q982" s="294"/>
      <c r="R982" s="294"/>
      <c r="S982" s="294"/>
      <c r="T982" s="294"/>
      <c r="U982" s="294"/>
      <c r="V982" s="294"/>
      <c r="W982" s="294"/>
      <c r="X982" s="294"/>
      <c r="Y982" s="294"/>
      <c r="Z982" s="294"/>
      <c r="AA982" s="294"/>
      <c r="AB982" s="294"/>
      <c r="AC982" s="294"/>
    </row>
    <row r="983" ht="15.75" customHeight="1">
      <c r="A983" s="294"/>
      <c r="B983" s="294"/>
      <c r="C983" s="294"/>
      <c r="D983" s="294"/>
      <c r="E983" s="294"/>
      <c r="F983" s="294"/>
      <c r="G983" s="295"/>
      <c r="H983" s="294"/>
      <c r="I983" s="294"/>
      <c r="J983" s="294"/>
      <c r="K983" s="294"/>
      <c r="L983" s="294"/>
      <c r="M983" s="294"/>
      <c r="N983" s="294"/>
      <c r="O983" s="294"/>
      <c r="P983" s="294"/>
      <c r="Q983" s="294"/>
      <c r="R983" s="294"/>
      <c r="S983" s="294"/>
      <c r="T983" s="294"/>
      <c r="U983" s="294"/>
      <c r="V983" s="294"/>
      <c r="W983" s="294"/>
      <c r="X983" s="294"/>
      <c r="Y983" s="294"/>
      <c r="Z983" s="294"/>
      <c r="AA983" s="294"/>
      <c r="AB983" s="294"/>
      <c r="AC983" s="294"/>
    </row>
    <row r="984" ht="15.75" customHeight="1">
      <c r="A984" s="294"/>
      <c r="B984" s="294"/>
      <c r="C984" s="294"/>
      <c r="D984" s="294"/>
      <c r="E984" s="294"/>
      <c r="F984" s="294"/>
      <c r="G984" s="295"/>
      <c r="H984" s="294"/>
      <c r="I984" s="294"/>
      <c r="J984" s="294"/>
      <c r="K984" s="294"/>
      <c r="L984" s="294"/>
      <c r="M984" s="294"/>
      <c r="N984" s="294"/>
      <c r="O984" s="294"/>
      <c r="P984" s="294"/>
      <c r="Q984" s="294"/>
      <c r="R984" s="294"/>
      <c r="S984" s="294"/>
      <c r="T984" s="294"/>
      <c r="U984" s="294"/>
      <c r="V984" s="294"/>
      <c r="W984" s="294"/>
      <c r="X984" s="294"/>
      <c r="Y984" s="294"/>
      <c r="Z984" s="294"/>
      <c r="AA984" s="294"/>
      <c r="AB984" s="294"/>
      <c r="AC984" s="294"/>
    </row>
    <row r="985" ht="15.75" customHeight="1">
      <c r="A985" s="294"/>
      <c r="B985" s="294"/>
      <c r="C985" s="294"/>
      <c r="D985" s="294"/>
      <c r="E985" s="294"/>
      <c r="F985" s="294"/>
      <c r="G985" s="295"/>
      <c r="H985" s="294"/>
      <c r="I985" s="294"/>
      <c r="J985" s="294"/>
      <c r="K985" s="294"/>
      <c r="L985" s="294"/>
      <c r="M985" s="294"/>
      <c r="N985" s="294"/>
      <c r="O985" s="294"/>
      <c r="P985" s="294"/>
      <c r="Q985" s="294"/>
      <c r="R985" s="294"/>
      <c r="S985" s="294"/>
      <c r="T985" s="294"/>
      <c r="U985" s="294"/>
      <c r="V985" s="294"/>
      <c r="W985" s="294"/>
      <c r="X985" s="294"/>
      <c r="Y985" s="294"/>
      <c r="Z985" s="294"/>
      <c r="AA985" s="294"/>
      <c r="AB985" s="294"/>
      <c r="AC985" s="294"/>
    </row>
    <row r="986" ht="15.75" customHeight="1">
      <c r="A986" s="294"/>
      <c r="B986" s="294"/>
      <c r="C986" s="294"/>
      <c r="D986" s="294"/>
      <c r="E986" s="294"/>
      <c r="F986" s="294"/>
      <c r="G986" s="295"/>
      <c r="H986" s="294"/>
      <c r="I986" s="294"/>
      <c r="J986" s="294"/>
      <c r="K986" s="294"/>
      <c r="L986" s="294"/>
      <c r="M986" s="294"/>
      <c r="N986" s="294"/>
      <c r="O986" s="294"/>
      <c r="P986" s="294"/>
      <c r="Q986" s="294"/>
      <c r="R986" s="294"/>
      <c r="S986" s="294"/>
      <c r="T986" s="294"/>
      <c r="U986" s="294"/>
      <c r="V986" s="294"/>
      <c r="W986" s="294"/>
      <c r="X986" s="294"/>
      <c r="Y986" s="294"/>
      <c r="Z986" s="294"/>
      <c r="AA986" s="294"/>
      <c r="AB986" s="294"/>
      <c r="AC986" s="294"/>
    </row>
    <row r="987" ht="15.75" customHeight="1">
      <c r="A987" s="294"/>
      <c r="B987" s="294"/>
      <c r="C987" s="294"/>
      <c r="D987" s="294"/>
      <c r="E987" s="294"/>
      <c r="F987" s="294"/>
      <c r="G987" s="295"/>
      <c r="H987" s="294"/>
      <c r="I987" s="294"/>
      <c r="J987" s="294"/>
      <c r="K987" s="294"/>
      <c r="L987" s="294"/>
      <c r="M987" s="294"/>
      <c r="N987" s="294"/>
      <c r="O987" s="294"/>
      <c r="P987" s="294"/>
      <c r="Q987" s="294"/>
      <c r="R987" s="294"/>
      <c r="S987" s="294"/>
      <c r="T987" s="294"/>
      <c r="U987" s="294"/>
      <c r="V987" s="294"/>
      <c r="W987" s="294"/>
      <c r="X987" s="294"/>
      <c r="Y987" s="294"/>
      <c r="Z987" s="294"/>
      <c r="AA987" s="294"/>
      <c r="AB987" s="294"/>
      <c r="AC987" s="294"/>
    </row>
    <row r="988" ht="15.75" customHeight="1">
      <c r="A988" s="294"/>
      <c r="B988" s="294"/>
      <c r="C988" s="294"/>
      <c r="D988" s="294"/>
      <c r="E988" s="294"/>
      <c r="F988" s="294"/>
      <c r="G988" s="295"/>
      <c r="H988" s="294"/>
      <c r="I988" s="294"/>
      <c r="J988" s="294"/>
      <c r="K988" s="294"/>
      <c r="L988" s="294"/>
      <c r="M988" s="294"/>
      <c r="N988" s="294"/>
      <c r="O988" s="294"/>
      <c r="P988" s="294"/>
      <c r="Q988" s="294"/>
      <c r="R988" s="294"/>
      <c r="S988" s="294"/>
      <c r="T988" s="294"/>
      <c r="U988" s="294"/>
      <c r="V988" s="294"/>
      <c r="W988" s="294"/>
      <c r="X988" s="294"/>
      <c r="Y988" s="294"/>
      <c r="Z988" s="294"/>
      <c r="AA988" s="294"/>
      <c r="AB988" s="294"/>
      <c r="AC988" s="294"/>
    </row>
    <row r="989" ht="15.75" customHeight="1">
      <c r="A989" s="294"/>
      <c r="B989" s="294"/>
      <c r="C989" s="294"/>
      <c r="D989" s="294"/>
      <c r="E989" s="294"/>
      <c r="F989" s="294"/>
      <c r="G989" s="295"/>
      <c r="H989" s="294"/>
      <c r="I989" s="294"/>
      <c r="J989" s="294"/>
      <c r="K989" s="294"/>
      <c r="L989" s="294"/>
      <c r="M989" s="294"/>
      <c r="N989" s="294"/>
      <c r="O989" s="294"/>
      <c r="P989" s="294"/>
      <c r="Q989" s="294"/>
      <c r="R989" s="294"/>
      <c r="S989" s="294"/>
      <c r="T989" s="294"/>
      <c r="U989" s="294"/>
      <c r="V989" s="294"/>
      <c r="W989" s="294"/>
      <c r="X989" s="294"/>
      <c r="Y989" s="294"/>
      <c r="Z989" s="294"/>
      <c r="AA989" s="294"/>
      <c r="AB989" s="294"/>
      <c r="AC989" s="294"/>
    </row>
    <row r="990" ht="15.75" customHeight="1">
      <c r="A990" s="294"/>
      <c r="B990" s="294"/>
      <c r="C990" s="294"/>
      <c r="D990" s="294"/>
      <c r="E990" s="294"/>
      <c r="F990" s="294"/>
      <c r="G990" s="295"/>
      <c r="H990" s="294"/>
      <c r="I990" s="294"/>
      <c r="J990" s="294"/>
      <c r="K990" s="294"/>
      <c r="L990" s="294"/>
      <c r="M990" s="294"/>
      <c r="N990" s="294"/>
      <c r="O990" s="294"/>
      <c r="P990" s="294"/>
      <c r="Q990" s="294"/>
      <c r="R990" s="294"/>
      <c r="S990" s="294"/>
      <c r="T990" s="294"/>
      <c r="U990" s="294"/>
      <c r="V990" s="294"/>
      <c r="W990" s="294"/>
      <c r="X990" s="294"/>
      <c r="Y990" s="294"/>
      <c r="Z990" s="294"/>
      <c r="AA990" s="294"/>
      <c r="AB990" s="294"/>
      <c r="AC990" s="294"/>
    </row>
    <row r="991" ht="15.75" customHeight="1">
      <c r="A991" s="294"/>
      <c r="B991" s="294"/>
      <c r="C991" s="294"/>
      <c r="D991" s="294"/>
      <c r="E991" s="294"/>
      <c r="F991" s="294"/>
      <c r="G991" s="295"/>
      <c r="H991" s="294"/>
      <c r="I991" s="294"/>
      <c r="J991" s="294"/>
      <c r="K991" s="294"/>
      <c r="L991" s="294"/>
      <c r="M991" s="294"/>
      <c r="N991" s="294"/>
      <c r="O991" s="294"/>
      <c r="P991" s="294"/>
      <c r="Q991" s="294"/>
      <c r="R991" s="294"/>
      <c r="S991" s="294"/>
      <c r="T991" s="294"/>
      <c r="U991" s="294"/>
      <c r="V991" s="294"/>
      <c r="W991" s="294"/>
      <c r="X991" s="294"/>
      <c r="Y991" s="294"/>
      <c r="Z991" s="294"/>
      <c r="AA991" s="294"/>
      <c r="AB991" s="294"/>
      <c r="AC991" s="294"/>
    </row>
    <row r="992" ht="15.75" customHeight="1">
      <c r="A992" s="294"/>
      <c r="B992" s="294"/>
      <c r="C992" s="294"/>
      <c r="D992" s="294"/>
      <c r="E992" s="294"/>
      <c r="F992" s="294"/>
      <c r="G992" s="295"/>
      <c r="H992" s="294"/>
      <c r="I992" s="294"/>
      <c r="J992" s="294"/>
      <c r="K992" s="294"/>
      <c r="L992" s="294"/>
      <c r="M992" s="294"/>
      <c r="N992" s="294"/>
      <c r="O992" s="294"/>
      <c r="P992" s="294"/>
      <c r="Q992" s="294"/>
      <c r="R992" s="294"/>
      <c r="S992" s="294"/>
      <c r="T992" s="294"/>
      <c r="U992" s="294"/>
      <c r="V992" s="294"/>
      <c r="W992" s="294"/>
      <c r="X992" s="294"/>
      <c r="Y992" s="294"/>
      <c r="Z992" s="294"/>
      <c r="AA992" s="294"/>
      <c r="AB992" s="294"/>
      <c r="AC992" s="294"/>
    </row>
    <row r="993" ht="15.75" customHeight="1">
      <c r="A993" s="294"/>
      <c r="B993" s="294"/>
      <c r="C993" s="294"/>
      <c r="D993" s="294"/>
      <c r="E993" s="294"/>
      <c r="F993" s="294"/>
      <c r="G993" s="295"/>
      <c r="H993" s="294"/>
      <c r="I993" s="294"/>
      <c r="J993" s="294"/>
      <c r="K993" s="294"/>
      <c r="L993" s="294"/>
      <c r="M993" s="294"/>
      <c r="N993" s="294"/>
      <c r="O993" s="294"/>
      <c r="P993" s="294"/>
      <c r="Q993" s="294"/>
      <c r="R993" s="294"/>
      <c r="S993" s="294"/>
      <c r="T993" s="294"/>
      <c r="U993" s="294"/>
      <c r="V993" s="294"/>
      <c r="W993" s="294"/>
      <c r="X993" s="294"/>
      <c r="Y993" s="294"/>
      <c r="Z993" s="294"/>
      <c r="AA993" s="294"/>
      <c r="AB993" s="294"/>
      <c r="AC993" s="294"/>
    </row>
    <row r="994" ht="15.75" customHeight="1">
      <c r="A994" s="294"/>
      <c r="B994" s="294"/>
      <c r="C994" s="294"/>
      <c r="D994" s="294"/>
      <c r="E994" s="294"/>
      <c r="F994" s="294"/>
      <c r="G994" s="295"/>
      <c r="H994" s="294"/>
      <c r="I994" s="294"/>
      <c r="J994" s="294"/>
      <c r="K994" s="294"/>
      <c r="L994" s="294"/>
      <c r="M994" s="294"/>
      <c r="N994" s="294"/>
      <c r="O994" s="294"/>
      <c r="P994" s="294"/>
      <c r="Q994" s="294"/>
      <c r="R994" s="294"/>
      <c r="S994" s="294"/>
      <c r="T994" s="294"/>
      <c r="U994" s="294"/>
      <c r="V994" s="294"/>
      <c r="W994" s="294"/>
      <c r="X994" s="294"/>
      <c r="Y994" s="294"/>
      <c r="Z994" s="294"/>
      <c r="AA994" s="294"/>
      <c r="AB994" s="294"/>
      <c r="AC994" s="294"/>
    </row>
    <row r="995" ht="15.75" customHeight="1">
      <c r="A995" s="294"/>
      <c r="B995" s="294"/>
      <c r="C995" s="294"/>
      <c r="D995" s="294"/>
      <c r="E995" s="294"/>
      <c r="F995" s="294"/>
      <c r="G995" s="295"/>
      <c r="H995" s="294"/>
      <c r="I995" s="294"/>
      <c r="J995" s="294"/>
      <c r="K995" s="294"/>
      <c r="L995" s="294"/>
      <c r="M995" s="294"/>
      <c r="N995" s="294"/>
      <c r="O995" s="294"/>
      <c r="P995" s="294"/>
      <c r="Q995" s="294"/>
      <c r="R995" s="294"/>
      <c r="S995" s="294"/>
      <c r="T995" s="294"/>
      <c r="U995" s="294"/>
      <c r="V995" s="294"/>
      <c r="W995" s="294"/>
      <c r="X995" s="294"/>
      <c r="Y995" s="294"/>
      <c r="Z995" s="294"/>
      <c r="AA995" s="294"/>
      <c r="AB995" s="294"/>
      <c r="AC995" s="294"/>
    </row>
    <row r="996" ht="15.75" customHeight="1">
      <c r="A996" s="294"/>
      <c r="B996" s="294"/>
      <c r="C996" s="294"/>
      <c r="D996" s="294"/>
      <c r="E996" s="294"/>
      <c r="F996" s="294"/>
      <c r="G996" s="295"/>
      <c r="H996" s="294"/>
      <c r="I996" s="294"/>
      <c r="J996" s="294"/>
      <c r="K996" s="294"/>
      <c r="L996" s="294"/>
      <c r="M996" s="294"/>
      <c r="N996" s="294"/>
      <c r="O996" s="294"/>
      <c r="P996" s="294"/>
      <c r="Q996" s="294"/>
      <c r="R996" s="294"/>
      <c r="S996" s="294"/>
      <c r="T996" s="294"/>
      <c r="U996" s="294"/>
      <c r="V996" s="294"/>
      <c r="W996" s="294"/>
      <c r="X996" s="294"/>
      <c r="Y996" s="294"/>
      <c r="Z996" s="294"/>
      <c r="AA996" s="294"/>
      <c r="AB996" s="294"/>
      <c r="AC996" s="294"/>
    </row>
    <row r="997" ht="15.75" customHeight="1">
      <c r="A997" s="294"/>
      <c r="B997" s="294"/>
      <c r="C997" s="294"/>
      <c r="D997" s="294"/>
      <c r="E997" s="294"/>
      <c r="F997" s="294"/>
      <c r="G997" s="295"/>
      <c r="H997" s="294"/>
      <c r="I997" s="294"/>
      <c r="J997" s="294"/>
      <c r="K997" s="294"/>
      <c r="L997" s="294"/>
      <c r="M997" s="294"/>
      <c r="N997" s="294"/>
      <c r="O997" s="294"/>
      <c r="P997" s="294"/>
      <c r="Q997" s="294"/>
      <c r="R997" s="294"/>
      <c r="S997" s="294"/>
      <c r="T997" s="294"/>
      <c r="U997" s="294"/>
      <c r="V997" s="294"/>
      <c r="W997" s="294"/>
      <c r="X997" s="294"/>
      <c r="Y997" s="294"/>
      <c r="Z997" s="294"/>
      <c r="AA997" s="294"/>
      <c r="AB997" s="294"/>
      <c r="AC997" s="294"/>
    </row>
    <row r="998" ht="15.75" customHeight="1">
      <c r="A998" s="294"/>
      <c r="B998" s="294"/>
      <c r="C998" s="294"/>
      <c r="D998" s="294"/>
      <c r="E998" s="294"/>
      <c r="F998" s="294"/>
      <c r="G998" s="295"/>
      <c r="H998" s="294"/>
      <c r="I998" s="294"/>
      <c r="J998" s="294"/>
      <c r="K998" s="294"/>
      <c r="L998" s="294"/>
      <c r="M998" s="294"/>
      <c r="N998" s="294"/>
      <c r="O998" s="294"/>
      <c r="P998" s="294"/>
      <c r="Q998" s="294"/>
      <c r="R998" s="294"/>
      <c r="S998" s="294"/>
      <c r="T998" s="294"/>
      <c r="U998" s="294"/>
      <c r="V998" s="294"/>
      <c r="W998" s="294"/>
      <c r="X998" s="294"/>
      <c r="Y998" s="294"/>
      <c r="Z998" s="294"/>
      <c r="AA998" s="294"/>
      <c r="AB998" s="294"/>
      <c r="AC998" s="294"/>
    </row>
    <row r="999" ht="15.75" customHeight="1">
      <c r="A999" s="294"/>
      <c r="B999" s="294"/>
      <c r="C999" s="294"/>
      <c r="D999" s="294"/>
      <c r="E999" s="294"/>
      <c r="F999" s="294"/>
      <c r="G999" s="295"/>
      <c r="H999" s="294"/>
      <c r="I999" s="294"/>
      <c r="J999" s="294"/>
      <c r="K999" s="294"/>
      <c r="L999" s="294"/>
      <c r="M999" s="294"/>
      <c r="N999" s="294"/>
      <c r="O999" s="294"/>
      <c r="P999" s="294"/>
      <c r="Q999" s="294"/>
      <c r="R999" s="294"/>
      <c r="S999" s="294"/>
      <c r="T999" s="294"/>
      <c r="U999" s="294"/>
      <c r="V999" s="294"/>
      <c r="W999" s="294"/>
      <c r="X999" s="294"/>
      <c r="Y999" s="294"/>
      <c r="Z999" s="294"/>
      <c r="AA999" s="294"/>
      <c r="AB999" s="294"/>
      <c r="AC999" s="294"/>
    </row>
    <row r="1000" ht="15.75" customHeight="1">
      <c r="A1000" s="294"/>
      <c r="B1000" s="294"/>
      <c r="C1000" s="294"/>
      <c r="D1000" s="294"/>
      <c r="E1000" s="294"/>
      <c r="F1000" s="294"/>
      <c r="G1000" s="295"/>
      <c r="H1000" s="294"/>
      <c r="I1000" s="294"/>
      <c r="J1000" s="294"/>
      <c r="K1000" s="294"/>
      <c r="L1000" s="294"/>
      <c r="M1000" s="294"/>
      <c r="N1000" s="294"/>
      <c r="O1000" s="294"/>
      <c r="P1000" s="294"/>
      <c r="Q1000" s="294"/>
      <c r="R1000" s="294"/>
      <c r="S1000" s="294"/>
      <c r="T1000" s="294"/>
      <c r="U1000" s="294"/>
      <c r="V1000" s="294"/>
      <c r="W1000" s="294"/>
      <c r="X1000" s="294"/>
      <c r="Y1000" s="294"/>
      <c r="Z1000" s="294"/>
      <c r="AA1000" s="294"/>
      <c r="AB1000" s="294"/>
      <c r="AC1000" s="294"/>
    </row>
  </sheetData>
  <conditionalFormatting sqref="I10:S12">
    <cfRule type="cellIs" dxfId="4" priority="1" operator="greaterThan">
      <formula>0</formula>
    </cfRule>
  </conditionalFormatting>
  <conditionalFormatting sqref="T10:AB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C12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B18">
    <cfRule type="cellIs" dxfId="4" priority="6" operator="greaterThan">
      <formula>0</formula>
    </cfRule>
  </conditionalFormatting>
  <conditionalFormatting sqref="A16:AC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B24">
    <cfRule type="cellIs" dxfId="4" priority="9" operator="greaterThan">
      <formula>0</formula>
    </cfRule>
  </conditionalFormatting>
  <conditionalFormatting sqref="A22:AC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B30">
    <cfRule type="cellIs" dxfId="4" priority="12" operator="greaterThan">
      <formula>0</formula>
    </cfRule>
  </conditionalFormatting>
  <conditionalFormatting sqref="A28:AC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B36">
    <cfRule type="cellIs" dxfId="4" priority="15" operator="greaterThan">
      <formula>0</formula>
    </cfRule>
  </conditionalFormatting>
  <conditionalFormatting sqref="A34:AC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</cols>
  <sheetData>
    <row r="1" ht="21.75" customHeight="1">
      <c r="A1" s="148" t="s">
        <v>73</v>
      </c>
    </row>
    <row r="2" ht="19.5" customHeight="1">
      <c r="A2" s="149" t="s">
        <v>106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>
      <c r="A3" s="151" t="s">
        <v>207</v>
      </c>
      <c r="B3" s="154">
        <v>3.0</v>
      </c>
    </row>
    <row r="4">
      <c r="A4" s="151" t="s">
        <v>170</v>
      </c>
      <c r="B4" s="152">
        <v>1.0</v>
      </c>
    </row>
    <row r="5">
      <c r="A5" s="151" t="s">
        <v>171</v>
      </c>
      <c r="B5" s="152">
        <v>17.0</v>
      </c>
    </row>
    <row r="6">
      <c r="A6" s="151" t="s">
        <v>248</v>
      </c>
      <c r="B6" s="152" t="b">
        <f>TRUE()</f>
        <v>1</v>
      </c>
    </row>
    <row r="7">
      <c r="A7" s="151" t="s">
        <v>249</v>
      </c>
      <c r="B7" s="152" t="b">
        <f>FALSE()</f>
        <v>0</v>
      </c>
    </row>
    <row r="8">
      <c r="A8" s="151" t="s">
        <v>217</v>
      </c>
      <c r="B8" s="324" t="s">
        <v>250</v>
      </c>
    </row>
    <row r="9">
      <c r="A9" s="151" t="s">
        <v>251</v>
      </c>
      <c r="B9" s="152">
        <v>30.0</v>
      </c>
    </row>
    <row r="10">
      <c r="A10" s="151" t="s">
        <v>252</v>
      </c>
      <c r="B10" s="152">
        <v>10.0</v>
      </c>
    </row>
    <row r="11">
      <c r="A11" s="151" t="s">
        <v>253</v>
      </c>
      <c r="B11" s="152">
        <v>3.0</v>
      </c>
    </row>
    <row r="12">
      <c r="A12" s="151" t="s">
        <v>254</v>
      </c>
      <c r="B12" s="152">
        <v>15.0</v>
      </c>
    </row>
    <row r="13">
      <c r="A13" s="151" t="s">
        <v>255</v>
      </c>
      <c r="B13" s="152" t="s">
        <v>256</v>
      </c>
    </row>
    <row r="15" ht="19.5" customHeight="1">
      <c r="A15" s="149" t="s">
        <v>257</v>
      </c>
      <c r="B15" s="149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</row>
    <row r="16" ht="21.75" customHeight="1">
      <c r="A16" s="162" t="s">
        <v>116</v>
      </c>
      <c r="B16" s="162" t="s">
        <v>258</v>
      </c>
    </row>
    <row r="17">
      <c r="A17" s="167">
        <v>1.0</v>
      </c>
      <c r="B17" s="167" t="s">
        <v>259</v>
      </c>
    </row>
    <row r="18">
      <c r="A18" s="167">
        <v>2.0</v>
      </c>
      <c r="B18" s="167" t="s">
        <v>260</v>
      </c>
    </row>
    <row r="19">
      <c r="A19" s="167">
        <v>3.0</v>
      </c>
      <c r="B19" s="167" t="s">
        <v>261</v>
      </c>
    </row>
    <row r="20">
      <c r="A20" s="167">
        <v>4.0</v>
      </c>
      <c r="B20" s="167" t="s">
        <v>262</v>
      </c>
    </row>
    <row r="21" ht="15.75" customHeight="1">
      <c r="A21" s="167">
        <v>5.0</v>
      </c>
      <c r="B21" s="167" t="s">
        <v>263</v>
      </c>
    </row>
    <row r="22" ht="15.75" customHeight="1"/>
    <row r="23" ht="19.5" customHeight="1">
      <c r="A23" s="149" t="s">
        <v>264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</row>
    <row r="24" ht="90.0" customHeight="1">
      <c r="A24" s="162" t="s">
        <v>265</v>
      </c>
      <c r="B24" s="162" t="s">
        <v>266</v>
      </c>
      <c r="C24" s="162" t="s">
        <v>267</v>
      </c>
      <c r="D24" s="162" t="s">
        <v>268</v>
      </c>
      <c r="E24" s="162" t="s">
        <v>269</v>
      </c>
      <c r="F24" s="162" t="s">
        <v>270</v>
      </c>
      <c r="G24" s="163" t="s">
        <v>271</v>
      </c>
      <c r="H24" s="325" t="s">
        <v>76</v>
      </c>
      <c r="I24" s="165" t="s">
        <v>46</v>
      </c>
      <c r="J24" s="165" t="s">
        <v>121</v>
      </c>
      <c r="K24" s="165" t="s">
        <v>47</v>
      </c>
      <c r="L24" s="165" t="s">
        <v>48</v>
      </c>
      <c r="M24" s="165" t="s">
        <v>50</v>
      </c>
      <c r="N24" s="165" t="s">
        <v>52</v>
      </c>
      <c r="O24" s="165" t="s">
        <v>53</v>
      </c>
      <c r="P24" s="165" t="s">
        <v>54</v>
      </c>
      <c r="Q24" s="165" t="s">
        <v>55</v>
      </c>
      <c r="R24" s="165" t="s">
        <v>56</v>
      </c>
      <c r="S24" s="165" t="s">
        <v>57</v>
      </c>
      <c r="T24" s="165" t="s">
        <v>58</v>
      </c>
      <c r="U24" s="165" t="s">
        <v>135</v>
      </c>
      <c r="V24" s="165" t="s">
        <v>122</v>
      </c>
      <c r="W24" s="165" t="s">
        <v>123</v>
      </c>
      <c r="X24" s="165" t="s">
        <v>124</v>
      </c>
      <c r="Y24" s="165" t="s">
        <v>125</v>
      </c>
      <c r="Z24" s="165" t="s">
        <v>126</v>
      </c>
      <c r="AA24" s="165" t="s">
        <v>127</v>
      </c>
      <c r="AB24" s="165" t="s">
        <v>128</v>
      </c>
    </row>
    <row r="25" ht="15.75" customHeight="1">
      <c r="A25" s="167">
        <v>1.0</v>
      </c>
      <c r="B25" s="167">
        <v>1.0</v>
      </c>
      <c r="C25" s="239" t="s">
        <v>272</v>
      </c>
      <c r="D25" s="239" t="s">
        <v>273</v>
      </c>
      <c r="E25" s="167">
        <v>0.0</v>
      </c>
      <c r="F25" s="167">
        <v>80.0</v>
      </c>
      <c r="G25" s="168">
        <f t="shared" ref="G25:G54" si="1">A25</f>
        <v>1</v>
      </c>
      <c r="H25" s="326">
        <v>0.0</v>
      </c>
      <c r="I25" s="167">
        <v>0.0</v>
      </c>
      <c r="J25" s="167">
        <v>0.0</v>
      </c>
      <c r="K25" s="167">
        <v>0.0</v>
      </c>
      <c r="L25" s="167">
        <v>0.0</v>
      </c>
      <c r="M25" s="167">
        <v>0.0</v>
      </c>
      <c r="N25" s="167">
        <v>0.0</v>
      </c>
      <c r="O25" s="167">
        <v>0.0</v>
      </c>
      <c r="P25" s="167">
        <v>0.0</v>
      </c>
      <c r="Q25" s="167">
        <v>0.0</v>
      </c>
      <c r="R25" s="167">
        <v>0.0</v>
      </c>
      <c r="S25" s="167">
        <v>0.0</v>
      </c>
      <c r="T25" s="167">
        <v>0.0</v>
      </c>
      <c r="U25" s="167">
        <v>0.0</v>
      </c>
      <c r="V25" s="167">
        <v>0.0</v>
      </c>
      <c r="W25" s="167">
        <v>0.0</v>
      </c>
      <c r="X25" s="167">
        <v>0.0</v>
      </c>
      <c r="Y25" s="167">
        <v>0.0</v>
      </c>
      <c r="Z25" s="167">
        <v>0.0</v>
      </c>
      <c r="AA25" s="167">
        <v>0.0</v>
      </c>
      <c r="AB25" s="167">
        <v>0.0</v>
      </c>
    </row>
    <row r="26" ht="15.75" customHeight="1">
      <c r="A26" s="167">
        <v>2.0</v>
      </c>
      <c r="B26" s="167">
        <v>1.0</v>
      </c>
      <c r="C26" s="239" t="s">
        <v>272</v>
      </c>
      <c r="D26" s="239" t="s">
        <v>274</v>
      </c>
      <c r="E26" s="167">
        <v>0.0</v>
      </c>
      <c r="F26" s="167">
        <v>130.0</v>
      </c>
      <c r="G26" s="168">
        <f t="shared" si="1"/>
        <v>2</v>
      </c>
      <c r="H26" s="326">
        <v>0.0</v>
      </c>
      <c r="I26" s="167">
        <v>0.0</v>
      </c>
      <c r="J26" s="167">
        <v>0.0</v>
      </c>
      <c r="K26" s="167">
        <v>0.0</v>
      </c>
      <c r="L26" s="167">
        <v>0.0</v>
      </c>
      <c r="M26" s="167">
        <v>0.0</v>
      </c>
      <c r="N26" s="167">
        <v>0.0</v>
      </c>
      <c r="O26" s="167">
        <v>0.0</v>
      </c>
      <c r="P26" s="167">
        <v>0.0</v>
      </c>
      <c r="Q26" s="167">
        <v>0.0</v>
      </c>
      <c r="R26" s="167">
        <v>0.0</v>
      </c>
      <c r="S26" s="167">
        <v>0.0</v>
      </c>
      <c r="T26" s="167">
        <v>0.0</v>
      </c>
      <c r="U26" s="167">
        <v>0.0</v>
      </c>
      <c r="V26" s="167">
        <v>0.0</v>
      </c>
      <c r="W26" s="167">
        <v>0.0</v>
      </c>
      <c r="X26" s="167">
        <v>0.0</v>
      </c>
      <c r="Y26" s="167">
        <v>0.0</v>
      </c>
      <c r="Z26" s="167">
        <v>0.0</v>
      </c>
      <c r="AA26" s="167">
        <v>0.0</v>
      </c>
      <c r="AB26" s="167">
        <v>0.0</v>
      </c>
    </row>
    <row r="27" ht="15.75" customHeight="1">
      <c r="A27" s="167">
        <v>3.0</v>
      </c>
      <c r="B27" s="167">
        <v>1.0</v>
      </c>
      <c r="C27" s="239" t="s">
        <v>272</v>
      </c>
      <c r="D27" s="239" t="s">
        <v>275</v>
      </c>
      <c r="E27" s="167">
        <v>0.0</v>
      </c>
      <c r="F27" s="167">
        <v>155.0</v>
      </c>
      <c r="G27" s="168">
        <f t="shared" si="1"/>
        <v>3</v>
      </c>
      <c r="H27" s="326">
        <v>0.0</v>
      </c>
      <c r="I27" s="167">
        <v>0.0</v>
      </c>
      <c r="J27" s="167">
        <v>0.0</v>
      </c>
      <c r="K27" s="167">
        <v>0.0</v>
      </c>
      <c r="L27" s="167">
        <v>1.0</v>
      </c>
      <c r="M27" s="167">
        <v>0.0</v>
      </c>
      <c r="N27" s="167">
        <v>0.0</v>
      </c>
      <c r="O27" s="167">
        <v>0.0</v>
      </c>
      <c r="P27" s="167">
        <v>0.0</v>
      </c>
      <c r="Q27" s="167">
        <v>0.0</v>
      </c>
      <c r="R27" s="167">
        <v>0.0</v>
      </c>
      <c r="S27" s="167">
        <v>0.0</v>
      </c>
      <c r="T27" s="167">
        <v>0.0</v>
      </c>
      <c r="U27" s="167">
        <v>0.0</v>
      </c>
      <c r="V27" s="167">
        <v>0.0</v>
      </c>
      <c r="W27" s="167">
        <v>0.0</v>
      </c>
      <c r="X27" s="167">
        <v>0.0</v>
      </c>
      <c r="Y27" s="167">
        <v>0.0</v>
      </c>
      <c r="Z27" s="167">
        <v>0.0</v>
      </c>
      <c r="AA27" s="167">
        <v>0.0</v>
      </c>
      <c r="AB27" s="167">
        <v>0.0</v>
      </c>
    </row>
    <row r="28" ht="15.75" customHeight="1">
      <c r="A28" s="167">
        <v>4.0</v>
      </c>
      <c r="B28" s="167">
        <v>2.0</v>
      </c>
      <c r="C28" s="239" t="s">
        <v>276</v>
      </c>
      <c r="D28" s="239" t="s">
        <v>277</v>
      </c>
      <c r="E28" s="167">
        <v>2.0</v>
      </c>
      <c r="F28" s="167">
        <v>80.0</v>
      </c>
      <c r="G28" s="168">
        <f t="shared" si="1"/>
        <v>4</v>
      </c>
      <c r="H28" s="326">
        <v>0.0</v>
      </c>
      <c r="I28" s="167">
        <v>0.0</v>
      </c>
      <c r="J28" s="167">
        <v>0.0</v>
      </c>
      <c r="K28" s="167">
        <v>0.0</v>
      </c>
      <c r="L28" s="167">
        <v>0.0</v>
      </c>
      <c r="M28" s="167">
        <v>0.0</v>
      </c>
      <c r="N28" s="167">
        <v>0.0</v>
      </c>
      <c r="O28" s="167">
        <v>0.0</v>
      </c>
      <c r="P28" s="167">
        <v>0.0</v>
      </c>
      <c r="Q28" s="167">
        <v>0.0</v>
      </c>
      <c r="R28" s="167">
        <v>0.0</v>
      </c>
      <c r="S28" s="167">
        <v>0.0</v>
      </c>
      <c r="T28" s="167">
        <v>0.0</v>
      </c>
      <c r="U28" s="167">
        <v>0.0</v>
      </c>
      <c r="V28" s="167">
        <v>0.0</v>
      </c>
      <c r="W28" s="167">
        <v>0.0</v>
      </c>
      <c r="X28" s="167">
        <v>0.0</v>
      </c>
      <c r="Y28" s="167">
        <v>0.0</v>
      </c>
      <c r="Z28" s="167">
        <v>0.0</v>
      </c>
      <c r="AA28" s="167">
        <v>0.0</v>
      </c>
      <c r="AB28" s="167">
        <v>0.0</v>
      </c>
    </row>
    <row r="29" ht="15.75" customHeight="1">
      <c r="A29" s="167">
        <v>5.0</v>
      </c>
      <c r="B29" s="167">
        <v>2.0</v>
      </c>
      <c r="C29" s="239" t="s">
        <v>276</v>
      </c>
      <c r="D29" s="239" t="s">
        <v>278</v>
      </c>
      <c r="E29" s="167">
        <v>2.0</v>
      </c>
      <c r="F29" s="167">
        <v>130.0</v>
      </c>
      <c r="G29" s="168">
        <f t="shared" si="1"/>
        <v>5</v>
      </c>
      <c r="H29" s="326">
        <v>0.0</v>
      </c>
      <c r="I29" s="167">
        <v>0.0</v>
      </c>
      <c r="J29" s="167">
        <v>0.0</v>
      </c>
      <c r="K29" s="167">
        <v>0.0</v>
      </c>
      <c r="L29" s="167">
        <v>0.0</v>
      </c>
      <c r="M29" s="167">
        <v>0.0</v>
      </c>
      <c r="N29" s="167">
        <v>0.0</v>
      </c>
      <c r="O29" s="167">
        <v>0.0</v>
      </c>
      <c r="P29" s="167">
        <v>0.0</v>
      </c>
      <c r="Q29" s="167">
        <v>0.0</v>
      </c>
      <c r="R29" s="167">
        <v>0.0</v>
      </c>
      <c r="S29" s="167">
        <v>0.0</v>
      </c>
      <c r="T29" s="167">
        <v>0.0</v>
      </c>
      <c r="U29" s="167">
        <v>0.0</v>
      </c>
      <c r="V29" s="167">
        <v>0.0</v>
      </c>
      <c r="W29" s="167">
        <v>0.0</v>
      </c>
      <c r="X29" s="167">
        <v>0.0</v>
      </c>
      <c r="Y29" s="167">
        <v>0.0</v>
      </c>
      <c r="Z29" s="167">
        <v>0.0</v>
      </c>
      <c r="AA29" s="167">
        <v>0.0</v>
      </c>
      <c r="AB29" s="167">
        <v>0.0</v>
      </c>
    </row>
    <row r="30" ht="15.75" customHeight="1">
      <c r="A30" s="167">
        <v>6.0</v>
      </c>
      <c r="B30" s="167">
        <v>2.0</v>
      </c>
      <c r="C30" s="239" t="s">
        <v>276</v>
      </c>
      <c r="D30" s="239" t="s">
        <v>280</v>
      </c>
      <c r="E30" s="167">
        <v>2.0</v>
      </c>
      <c r="F30" s="167">
        <v>160.0</v>
      </c>
      <c r="G30" s="168">
        <f t="shared" si="1"/>
        <v>6</v>
      </c>
      <c r="H30" s="326">
        <v>0.0</v>
      </c>
      <c r="I30" s="167">
        <v>0.0</v>
      </c>
      <c r="J30" s="167">
        <v>0.0</v>
      </c>
      <c r="K30" s="167">
        <v>0.0</v>
      </c>
      <c r="L30" s="167">
        <v>0.0</v>
      </c>
      <c r="M30" s="167">
        <v>0.0</v>
      </c>
      <c r="N30" s="167">
        <v>0.0</v>
      </c>
      <c r="O30" s="167">
        <v>0.0</v>
      </c>
      <c r="P30" s="167">
        <v>0.0</v>
      </c>
      <c r="Q30" s="167">
        <v>30.0</v>
      </c>
      <c r="R30" s="167">
        <v>0.0</v>
      </c>
      <c r="S30" s="167">
        <v>0.0</v>
      </c>
      <c r="T30" s="167">
        <v>0.0</v>
      </c>
      <c r="U30" s="167">
        <v>0.0</v>
      </c>
      <c r="V30" s="167">
        <v>0.0</v>
      </c>
      <c r="W30" s="167">
        <v>0.0</v>
      </c>
      <c r="X30" s="167">
        <v>0.0</v>
      </c>
      <c r="Y30" s="167">
        <v>0.0</v>
      </c>
      <c r="Z30" s="167">
        <v>0.0</v>
      </c>
      <c r="AA30" s="167">
        <v>0.0</v>
      </c>
      <c r="AB30" s="167">
        <v>0.0</v>
      </c>
    </row>
    <row r="31" ht="15.75" customHeight="1">
      <c r="A31" s="167">
        <v>7.0</v>
      </c>
      <c r="B31" s="167">
        <v>3.0</v>
      </c>
      <c r="C31" s="239" t="s">
        <v>281</v>
      </c>
      <c r="D31" s="239" t="s">
        <v>273</v>
      </c>
      <c r="E31" s="167">
        <v>4.0</v>
      </c>
      <c r="F31" s="167">
        <v>80.0</v>
      </c>
      <c r="G31" s="168">
        <f t="shared" si="1"/>
        <v>7</v>
      </c>
      <c r="H31" s="326">
        <v>0.0</v>
      </c>
      <c r="I31" s="167">
        <v>0.0</v>
      </c>
      <c r="J31" s="167">
        <v>0.0</v>
      </c>
      <c r="K31" s="167">
        <v>0.0</v>
      </c>
      <c r="L31" s="167">
        <v>0.0</v>
      </c>
      <c r="M31" s="167">
        <v>0.0</v>
      </c>
      <c r="N31" s="167">
        <v>0.0</v>
      </c>
      <c r="O31" s="167">
        <v>0.0</v>
      </c>
      <c r="P31" s="167">
        <v>0.0</v>
      </c>
      <c r="Q31" s="167">
        <v>0.0</v>
      </c>
      <c r="R31" s="167">
        <v>0.0</v>
      </c>
      <c r="S31" s="167">
        <v>0.0</v>
      </c>
      <c r="T31" s="167">
        <v>0.0</v>
      </c>
      <c r="U31" s="167">
        <v>0.0</v>
      </c>
      <c r="V31" s="167">
        <v>0.0</v>
      </c>
      <c r="W31" s="167">
        <v>0.0</v>
      </c>
      <c r="X31" s="167">
        <v>0.0</v>
      </c>
      <c r="Y31" s="167">
        <v>0.0</v>
      </c>
      <c r="Z31" s="167">
        <v>0.0</v>
      </c>
      <c r="AA31" s="167">
        <v>0.0</v>
      </c>
      <c r="AB31" s="167">
        <v>0.0</v>
      </c>
    </row>
    <row r="32" ht="15.75" customHeight="1">
      <c r="A32" s="167">
        <v>8.0</v>
      </c>
      <c r="B32" s="167">
        <v>3.0</v>
      </c>
      <c r="C32" s="239" t="s">
        <v>281</v>
      </c>
      <c r="D32" s="239" t="s">
        <v>274</v>
      </c>
      <c r="E32" s="167">
        <v>4.0</v>
      </c>
      <c r="F32" s="167">
        <v>135.0</v>
      </c>
      <c r="G32" s="168">
        <f t="shared" si="1"/>
        <v>8</v>
      </c>
      <c r="H32" s="326">
        <v>0.0</v>
      </c>
      <c r="I32" s="167">
        <v>0.0</v>
      </c>
      <c r="J32" s="167">
        <v>0.0</v>
      </c>
      <c r="K32" s="167">
        <v>0.0</v>
      </c>
      <c r="L32" s="167">
        <v>0.0</v>
      </c>
      <c r="M32" s="167">
        <v>0.0</v>
      </c>
      <c r="N32" s="167">
        <v>0.0</v>
      </c>
      <c r="O32" s="167">
        <v>0.0</v>
      </c>
      <c r="P32" s="167">
        <v>0.0</v>
      </c>
      <c r="Q32" s="167">
        <v>0.0</v>
      </c>
      <c r="R32" s="167">
        <v>0.0</v>
      </c>
      <c r="S32" s="167">
        <v>0.0</v>
      </c>
      <c r="T32" s="167">
        <v>0.0</v>
      </c>
      <c r="U32" s="167">
        <v>0.0</v>
      </c>
      <c r="V32" s="167">
        <v>0.0</v>
      </c>
      <c r="W32" s="167">
        <v>0.0</v>
      </c>
      <c r="X32" s="167">
        <v>0.0</v>
      </c>
      <c r="Y32" s="167">
        <v>0.0</v>
      </c>
      <c r="Z32" s="167">
        <v>0.0</v>
      </c>
      <c r="AA32" s="167">
        <v>0.0</v>
      </c>
      <c r="AB32" s="167">
        <v>0.0</v>
      </c>
    </row>
    <row r="33" ht="15.75" customHeight="1">
      <c r="A33" s="167">
        <v>9.0</v>
      </c>
      <c r="B33" s="167">
        <v>3.0</v>
      </c>
      <c r="C33" s="239" t="s">
        <v>281</v>
      </c>
      <c r="D33" s="239" t="s">
        <v>275</v>
      </c>
      <c r="E33" s="167">
        <v>4.0</v>
      </c>
      <c r="F33" s="167">
        <v>165.0</v>
      </c>
      <c r="G33" s="168">
        <f t="shared" si="1"/>
        <v>9</v>
      </c>
      <c r="H33" s="326">
        <v>25.0</v>
      </c>
      <c r="I33" s="167">
        <v>0.0</v>
      </c>
      <c r="J33" s="167">
        <v>0.0</v>
      </c>
      <c r="K33" s="167">
        <v>0.0</v>
      </c>
      <c r="L33" s="167">
        <v>0.0</v>
      </c>
      <c r="M33" s="167">
        <v>0.0</v>
      </c>
      <c r="N33" s="167">
        <v>0.0</v>
      </c>
      <c r="O33" s="167">
        <v>0.0</v>
      </c>
      <c r="P33" s="167">
        <v>0.0</v>
      </c>
      <c r="Q33" s="167">
        <v>0.0</v>
      </c>
      <c r="R33" s="167">
        <v>0.0</v>
      </c>
      <c r="S33" s="167">
        <v>0.0</v>
      </c>
      <c r="T33" s="167">
        <v>0.0</v>
      </c>
      <c r="U33" s="167">
        <v>0.0</v>
      </c>
      <c r="V33" s="167">
        <v>0.0</v>
      </c>
      <c r="W33" s="167">
        <v>0.0</v>
      </c>
      <c r="X33" s="167">
        <v>0.0</v>
      </c>
      <c r="Y33" s="167">
        <v>0.0</v>
      </c>
      <c r="Z33" s="167">
        <v>0.0</v>
      </c>
      <c r="AA33" s="167">
        <v>0.0</v>
      </c>
      <c r="AB33" s="167">
        <v>0.0</v>
      </c>
    </row>
    <row r="34" ht="15.75" customHeight="1">
      <c r="A34" s="167">
        <v>10.0</v>
      </c>
      <c r="B34" s="167">
        <v>4.0</v>
      </c>
      <c r="C34" s="239" t="s">
        <v>282</v>
      </c>
      <c r="D34" s="239" t="s">
        <v>273</v>
      </c>
      <c r="E34" s="167">
        <v>6.0</v>
      </c>
      <c r="F34" s="167">
        <v>165.0</v>
      </c>
      <c r="G34" s="168">
        <f t="shared" si="1"/>
        <v>10</v>
      </c>
      <c r="H34" s="326">
        <v>0.0</v>
      </c>
      <c r="I34" s="167">
        <v>0.0</v>
      </c>
      <c r="J34" s="167">
        <v>0.0</v>
      </c>
      <c r="K34" s="167">
        <v>0.0</v>
      </c>
      <c r="L34" s="167">
        <v>0.0</v>
      </c>
      <c r="M34" s="167">
        <v>0.0</v>
      </c>
      <c r="N34" s="167">
        <v>0.0</v>
      </c>
      <c r="O34" s="167">
        <v>0.0</v>
      </c>
      <c r="P34" s="167">
        <v>0.0</v>
      </c>
      <c r="Q34" s="167">
        <v>0.0</v>
      </c>
      <c r="R34" s="167">
        <v>0.0</v>
      </c>
      <c r="S34" s="167">
        <v>0.0</v>
      </c>
      <c r="T34" s="167">
        <v>0.0</v>
      </c>
      <c r="U34" s="167">
        <v>0.0</v>
      </c>
      <c r="V34" s="167">
        <v>0.0</v>
      </c>
      <c r="W34" s="167">
        <v>0.0</v>
      </c>
      <c r="X34" s="167">
        <v>0.0</v>
      </c>
      <c r="Y34" s="167">
        <v>0.0</v>
      </c>
      <c r="Z34" s="167">
        <v>0.0</v>
      </c>
      <c r="AA34" s="167">
        <v>0.0</v>
      </c>
      <c r="AB34" s="167">
        <v>0.0</v>
      </c>
    </row>
    <row r="35" ht="15.75" customHeight="1">
      <c r="A35" s="167">
        <v>11.0</v>
      </c>
      <c r="B35" s="167">
        <v>4.0</v>
      </c>
      <c r="C35" s="239" t="s">
        <v>282</v>
      </c>
      <c r="D35" s="239" t="s">
        <v>274</v>
      </c>
      <c r="E35" s="167">
        <v>6.0</v>
      </c>
      <c r="F35" s="167">
        <v>230.0</v>
      </c>
      <c r="G35" s="168">
        <f t="shared" si="1"/>
        <v>11</v>
      </c>
      <c r="H35" s="326">
        <v>0.0</v>
      </c>
      <c r="I35" s="167">
        <v>0.0</v>
      </c>
      <c r="J35" s="167">
        <v>0.0</v>
      </c>
      <c r="K35" s="167">
        <v>0.0</v>
      </c>
      <c r="L35" s="167">
        <v>0.0</v>
      </c>
      <c r="M35" s="167">
        <v>0.0</v>
      </c>
      <c r="N35" s="167">
        <v>0.0</v>
      </c>
      <c r="O35" s="167">
        <v>0.0</v>
      </c>
      <c r="P35" s="167">
        <v>0.0</v>
      </c>
      <c r="Q35" s="167">
        <v>0.0</v>
      </c>
      <c r="R35" s="167">
        <v>0.0</v>
      </c>
      <c r="S35" s="167">
        <v>0.0</v>
      </c>
      <c r="T35" s="167">
        <v>0.0</v>
      </c>
      <c r="U35" s="167">
        <v>0.0</v>
      </c>
      <c r="V35" s="167">
        <v>0.0</v>
      </c>
      <c r="W35" s="167">
        <v>0.0</v>
      </c>
      <c r="X35" s="167">
        <v>0.0</v>
      </c>
      <c r="Y35" s="167">
        <v>0.0</v>
      </c>
      <c r="Z35" s="167">
        <v>0.0</v>
      </c>
      <c r="AA35" s="167">
        <v>0.0</v>
      </c>
      <c r="AB35" s="167">
        <v>0.0</v>
      </c>
    </row>
    <row r="36" ht="15.75" customHeight="1">
      <c r="A36" s="167">
        <v>12.0</v>
      </c>
      <c r="B36" s="167">
        <v>4.0</v>
      </c>
      <c r="C36" s="239" t="s">
        <v>282</v>
      </c>
      <c r="D36" s="239" t="s">
        <v>275</v>
      </c>
      <c r="E36" s="167">
        <v>6.0</v>
      </c>
      <c r="F36" s="167">
        <v>265.0</v>
      </c>
      <c r="G36" s="168">
        <f t="shared" si="1"/>
        <v>12</v>
      </c>
      <c r="H36" s="326">
        <v>0.0</v>
      </c>
      <c r="I36" s="167">
        <v>0.0</v>
      </c>
      <c r="J36" s="167">
        <v>0.0</v>
      </c>
      <c r="K36" s="167">
        <v>0.0</v>
      </c>
      <c r="L36" s="167">
        <v>0.0</v>
      </c>
      <c r="M36" s="167">
        <v>0.0</v>
      </c>
      <c r="N36" s="167">
        <v>0.0</v>
      </c>
      <c r="O36" s="167">
        <v>0.0</v>
      </c>
      <c r="P36" s="167">
        <v>0.0</v>
      </c>
      <c r="Q36" s="167">
        <v>30.0</v>
      </c>
      <c r="R36" s="167">
        <v>15.0</v>
      </c>
      <c r="S36" s="167">
        <v>0.0</v>
      </c>
      <c r="T36" s="167">
        <v>0.0</v>
      </c>
      <c r="U36" s="167">
        <v>0.0</v>
      </c>
      <c r="V36" s="167">
        <v>0.0</v>
      </c>
      <c r="W36" s="167">
        <v>0.0</v>
      </c>
      <c r="X36" s="167">
        <v>0.0</v>
      </c>
      <c r="Y36" s="167">
        <v>0.0</v>
      </c>
      <c r="Z36" s="167">
        <v>0.0</v>
      </c>
      <c r="AA36" s="167">
        <v>0.0</v>
      </c>
      <c r="AB36" s="167">
        <v>0.0</v>
      </c>
    </row>
    <row r="37" ht="15.75" customHeight="1">
      <c r="A37" s="167">
        <v>13.0</v>
      </c>
      <c r="B37" s="167">
        <v>5.0</v>
      </c>
      <c r="C37" s="239" t="s">
        <v>285</v>
      </c>
      <c r="D37" s="239" t="s">
        <v>277</v>
      </c>
      <c r="E37" s="167">
        <v>8.0</v>
      </c>
      <c r="F37" s="167">
        <v>180.0</v>
      </c>
      <c r="G37" s="168">
        <f t="shared" si="1"/>
        <v>13</v>
      </c>
      <c r="H37" s="326">
        <v>0.0</v>
      </c>
      <c r="I37" s="167">
        <v>0.0</v>
      </c>
      <c r="J37" s="167">
        <v>0.0</v>
      </c>
      <c r="K37" s="167">
        <v>0.0</v>
      </c>
      <c r="L37" s="167">
        <v>0.0</v>
      </c>
      <c r="M37" s="167">
        <v>0.0</v>
      </c>
      <c r="N37" s="167">
        <v>0.0</v>
      </c>
      <c r="O37" s="167">
        <v>0.0</v>
      </c>
      <c r="P37" s="167">
        <v>0.0</v>
      </c>
      <c r="Q37" s="167">
        <v>0.0</v>
      </c>
      <c r="R37" s="167">
        <v>0.0</v>
      </c>
      <c r="S37" s="167">
        <v>0.0</v>
      </c>
      <c r="T37" s="167">
        <v>0.0</v>
      </c>
      <c r="U37" s="167">
        <v>0.0</v>
      </c>
      <c r="V37" s="167">
        <v>0.0</v>
      </c>
      <c r="W37" s="167">
        <v>0.0</v>
      </c>
      <c r="X37" s="167">
        <v>0.0</v>
      </c>
      <c r="Y37" s="167">
        <v>0.0</v>
      </c>
      <c r="Z37" s="167">
        <v>0.0</v>
      </c>
      <c r="AA37" s="167">
        <v>0.0</v>
      </c>
      <c r="AB37" s="167">
        <v>0.0</v>
      </c>
    </row>
    <row r="38" ht="15.75" customHeight="1">
      <c r="A38" s="167">
        <v>14.0</v>
      </c>
      <c r="B38" s="167">
        <v>5.0</v>
      </c>
      <c r="C38" s="239" t="s">
        <v>285</v>
      </c>
      <c r="D38" s="239" t="s">
        <v>278</v>
      </c>
      <c r="E38" s="167">
        <v>8.0</v>
      </c>
      <c r="F38" s="167">
        <v>250.0</v>
      </c>
      <c r="G38" s="168">
        <f t="shared" si="1"/>
        <v>14</v>
      </c>
      <c r="H38" s="326">
        <v>0.0</v>
      </c>
      <c r="I38" s="167">
        <v>0.0</v>
      </c>
      <c r="J38" s="167">
        <v>0.0</v>
      </c>
      <c r="K38" s="167">
        <v>0.0</v>
      </c>
      <c r="L38" s="167">
        <v>0.0</v>
      </c>
      <c r="M38" s="167">
        <v>0.0</v>
      </c>
      <c r="N38" s="167">
        <v>0.0</v>
      </c>
      <c r="O38" s="167">
        <v>0.0</v>
      </c>
      <c r="P38" s="167">
        <v>0.0</v>
      </c>
      <c r="Q38" s="167">
        <v>0.0</v>
      </c>
      <c r="R38" s="167">
        <v>0.0</v>
      </c>
      <c r="S38" s="167">
        <v>0.0</v>
      </c>
      <c r="T38" s="167">
        <v>0.0</v>
      </c>
      <c r="U38" s="167">
        <v>0.0</v>
      </c>
      <c r="V38" s="167">
        <v>0.0</v>
      </c>
      <c r="W38" s="167">
        <v>0.0</v>
      </c>
      <c r="X38" s="167">
        <v>0.0</v>
      </c>
      <c r="Y38" s="167">
        <v>0.0</v>
      </c>
      <c r="Z38" s="167">
        <v>0.0</v>
      </c>
      <c r="AA38" s="167">
        <v>0.0</v>
      </c>
      <c r="AB38" s="167">
        <v>0.0</v>
      </c>
    </row>
    <row r="39" ht="15.75" customHeight="1">
      <c r="A39" s="167">
        <v>15.0</v>
      </c>
      <c r="B39" s="167">
        <v>5.0</v>
      </c>
      <c r="C39" s="239" t="s">
        <v>285</v>
      </c>
      <c r="D39" s="239" t="s">
        <v>280</v>
      </c>
      <c r="E39" s="167">
        <v>8.0</v>
      </c>
      <c r="F39" s="167">
        <v>300.0</v>
      </c>
      <c r="G39" s="168">
        <f t="shared" si="1"/>
        <v>15</v>
      </c>
      <c r="H39" s="326">
        <v>0.0</v>
      </c>
      <c r="I39" s="167">
        <v>0.0</v>
      </c>
      <c r="J39" s="167">
        <v>0.0</v>
      </c>
      <c r="K39" s="167">
        <v>1.0</v>
      </c>
      <c r="L39" s="167">
        <v>0.0</v>
      </c>
      <c r="M39" s="167">
        <v>0.0</v>
      </c>
      <c r="N39" s="167">
        <v>0.0</v>
      </c>
      <c r="O39" s="167">
        <v>0.0</v>
      </c>
      <c r="P39" s="167">
        <v>0.0</v>
      </c>
      <c r="Q39" s="167">
        <v>0.0</v>
      </c>
      <c r="R39" s="167">
        <v>0.0</v>
      </c>
      <c r="S39" s="167">
        <v>0.0</v>
      </c>
      <c r="T39" s="167">
        <v>0.0</v>
      </c>
      <c r="U39" s="167">
        <v>0.0</v>
      </c>
      <c r="V39" s="167">
        <v>0.0</v>
      </c>
      <c r="W39" s="167">
        <v>0.0</v>
      </c>
      <c r="X39" s="167">
        <v>0.0</v>
      </c>
      <c r="Y39" s="167">
        <v>0.0</v>
      </c>
      <c r="Z39" s="167">
        <v>0.0</v>
      </c>
      <c r="AA39" s="167">
        <v>0.0</v>
      </c>
      <c r="AB39" s="167">
        <v>0.0</v>
      </c>
    </row>
    <row r="40" ht="15.75" customHeight="1">
      <c r="A40" s="167">
        <v>16.0</v>
      </c>
      <c r="B40" s="167">
        <v>6.0</v>
      </c>
      <c r="C40" s="239" t="s">
        <v>286</v>
      </c>
      <c r="D40" s="239" t="s">
        <v>277</v>
      </c>
      <c r="E40" s="167">
        <v>10.0</v>
      </c>
      <c r="F40" s="167">
        <v>180.0</v>
      </c>
      <c r="G40" s="168">
        <f t="shared" si="1"/>
        <v>16</v>
      </c>
      <c r="H40" s="326">
        <v>0.0</v>
      </c>
      <c r="I40" s="167">
        <v>0.0</v>
      </c>
      <c r="J40" s="167">
        <v>0.0</v>
      </c>
      <c r="K40" s="167">
        <v>0.0</v>
      </c>
      <c r="L40" s="167">
        <v>0.0</v>
      </c>
      <c r="M40" s="167">
        <v>0.0</v>
      </c>
      <c r="N40" s="167">
        <v>0.0</v>
      </c>
      <c r="O40" s="167">
        <v>0.0</v>
      </c>
      <c r="P40" s="167">
        <v>0.0</v>
      </c>
      <c r="Q40" s="167">
        <v>0.0</v>
      </c>
      <c r="R40" s="167">
        <v>0.0</v>
      </c>
      <c r="S40" s="167">
        <v>0.0</v>
      </c>
      <c r="T40" s="167">
        <v>0.0</v>
      </c>
      <c r="U40" s="167">
        <v>0.0</v>
      </c>
      <c r="V40" s="167">
        <v>0.0</v>
      </c>
      <c r="W40" s="167">
        <v>0.0</v>
      </c>
      <c r="X40" s="167">
        <v>0.0</v>
      </c>
      <c r="Y40" s="167">
        <v>0.0</v>
      </c>
      <c r="Z40" s="167">
        <v>0.0</v>
      </c>
      <c r="AA40" s="167">
        <v>0.0</v>
      </c>
      <c r="AB40" s="167">
        <v>0.0</v>
      </c>
    </row>
    <row r="41" ht="15.75" customHeight="1">
      <c r="A41" s="167">
        <v>17.0</v>
      </c>
      <c r="B41" s="167">
        <v>6.0</v>
      </c>
      <c r="C41" s="239" t="s">
        <v>286</v>
      </c>
      <c r="D41" s="239" t="s">
        <v>278</v>
      </c>
      <c r="E41" s="167">
        <v>10.0</v>
      </c>
      <c r="F41" s="167">
        <v>260.0</v>
      </c>
      <c r="G41" s="168">
        <f t="shared" si="1"/>
        <v>17</v>
      </c>
      <c r="H41" s="326">
        <v>0.0</v>
      </c>
      <c r="I41" s="167">
        <v>0.0</v>
      </c>
      <c r="J41" s="167">
        <v>0.0</v>
      </c>
      <c r="K41" s="167">
        <v>0.0</v>
      </c>
      <c r="L41" s="167">
        <v>0.0</v>
      </c>
      <c r="M41" s="167">
        <v>0.0</v>
      </c>
      <c r="N41" s="167">
        <v>0.0</v>
      </c>
      <c r="O41" s="167">
        <v>0.0</v>
      </c>
      <c r="P41" s="167">
        <v>0.0</v>
      </c>
      <c r="Q41" s="167">
        <v>0.0</v>
      </c>
      <c r="R41" s="167">
        <v>0.0</v>
      </c>
      <c r="S41" s="167">
        <v>0.0</v>
      </c>
      <c r="T41" s="167">
        <v>0.0</v>
      </c>
      <c r="U41" s="167">
        <v>0.0</v>
      </c>
      <c r="V41" s="167">
        <v>0.0</v>
      </c>
      <c r="W41" s="167">
        <v>0.0</v>
      </c>
      <c r="X41" s="167">
        <v>0.0</v>
      </c>
      <c r="Y41" s="167">
        <v>0.0</v>
      </c>
      <c r="Z41" s="167">
        <v>0.0</v>
      </c>
      <c r="AA41" s="167">
        <v>0.0</v>
      </c>
      <c r="AB41" s="167">
        <v>0.0</v>
      </c>
    </row>
    <row r="42" ht="15.75" customHeight="1">
      <c r="A42" s="167">
        <v>18.0</v>
      </c>
      <c r="B42" s="167">
        <v>6.0</v>
      </c>
      <c r="C42" s="239" t="s">
        <v>286</v>
      </c>
      <c r="D42" s="239" t="s">
        <v>280</v>
      </c>
      <c r="E42" s="167">
        <v>10.0</v>
      </c>
      <c r="F42" s="167">
        <v>300.0</v>
      </c>
      <c r="G42" s="168">
        <f t="shared" si="1"/>
        <v>18</v>
      </c>
      <c r="H42" s="326">
        <v>0.0</v>
      </c>
      <c r="I42" s="167">
        <v>0.0</v>
      </c>
      <c r="J42" s="167">
        <v>0.0</v>
      </c>
      <c r="K42" s="167">
        <v>0.0</v>
      </c>
      <c r="L42" s="167">
        <v>0.0</v>
      </c>
      <c r="M42" s="167">
        <v>0.0</v>
      </c>
      <c r="N42" s="167">
        <v>0.0</v>
      </c>
      <c r="O42" s="167">
        <v>0.0</v>
      </c>
      <c r="P42" s="167">
        <v>0.0</v>
      </c>
      <c r="Q42" s="167">
        <v>30.0</v>
      </c>
      <c r="R42" s="167">
        <v>0.0</v>
      </c>
      <c r="S42" s="167">
        <v>15.0</v>
      </c>
      <c r="T42" s="167">
        <v>0.0</v>
      </c>
      <c r="U42" s="167">
        <v>0.0</v>
      </c>
      <c r="V42" s="167">
        <v>0.0</v>
      </c>
      <c r="W42" s="167">
        <v>0.0</v>
      </c>
      <c r="X42" s="167">
        <v>0.0</v>
      </c>
      <c r="Y42" s="167">
        <v>0.0</v>
      </c>
      <c r="Z42" s="167">
        <v>0.0</v>
      </c>
      <c r="AA42" s="167">
        <v>0.0</v>
      </c>
      <c r="AB42" s="167">
        <v>0.0</v>
      </c>
    </row>
    <row r="43" ht="15.75" customHeight="1">
      <c r="A43" s="167">
        <v>19.0</v>
      </c>
      <c r="B43" s="167">
        <v>7.0</v>
      </c>
      <c r="C43" s="239" t="s">
        <v>287</v>
      </c>
      <c r="D43" s="239" t="s">
        <v>288</v>
      </c>
      <c r="E43" s="167">
        <v>13.0</v>
      </c>
      <c r="F43" s="167">
        <v>300.0</v>
      </c>
      <c r="G43" s="168">
        <f t="shared" si="1"/>
        <v>19</v>
      </c>
      <c r="H43" s="326">
        <v>0.0</v>
      </c>
      <c r="I43" s="167">
        <v>0.0</v>
      </c>
      <c r="J43" s="167">
        <v>0.0</v>
      </c>
      <c r="K43" s="167">
        <v>0.0</v>
      </c>
      <c r="L43" s="167">
        <v>0.0</v>
      </c>
      <c r="M43" s="167">
        <v>0.0</v>
      </c>
      <c r="N43" s="167">
        <v>0.0</v>
      </c>
      <c r="O43" s="167">
        <v>0.0</v>
      </c>
      <c r="P43" s="167">
        <v>0.0</v>
      </c>
      <c r="Q43" s="167">
        <v>0.0</v>
      </c>
      <c r="R43" s="167">
        <v>0.0</v>
      </c>
      <c r="S43" s="167">
        <v>0.0</v>
      </c>
      <c r="T43" s="167">
        <v>0.0</v>
      </c>
      <c r="U43" s="167">
        <v>0.0</v>
      </c>
      <c r="V43" s="167">
        <v>0.0</v>
      </c>
      <c r="W43" s="167">
        <v>0.0</v>
      </c>
      <c r="X43" s="167">
        <v>0.0</v>
      </c>
      <c r="Y43" s="167">
        <v>0.0</v>
      </c>
      <c r="Z43" s="167">
        <v>0.0</v>
      </c>
      <c r="AA43" s="167">
        <v>0.0</v>
      </c>
      <c r="AB43" s="167">
        <v>0.0</v>
      </c>
    </row>
    <row r="44" ht="15.75" customHeight="1">
      <c r="A44" s="167">
        <v>20.0</v>
      </c>
      <c r="B44" s="167">
        <v>7.0</v>
      </c>
      <c r="C44" s="239" t="s">
        <v>287</v>
      </c>
      <c r="D44" s="239" t="s">
        <v>289</v>
      </c>
      <c r="E44" s="167">
        <v>13.0</v>
      </c>
      <c r="F44" s="167">
        <v>375.0</v>
      </c>
      <c r="G44" s="168">
        <f t="shared" si="1"/>
        <v>20</v>
      </c>
      <c r="H44" s="326">
        <v>0.0</v>
      </c>
      <c r="I44" s="167">
        <v>0.0</v>
      </c>
      <c r="J44" s="167">
        <v>0.0</v>
      </c>
      <c r="K44" s="167">
        <v>0.0</v>
      </c>
      <c r="L44" s="167">
        <v>0.0</v>
      </c>
      <c r="M44" s="167">
        <v>0.0</v>
      </c>
      <c r="N44" s="167">
        <v>0.0</v>
      </c>
      <c r="O44" s="167">
        <v>0.0</v>
      </c>
      <c r="P44" s="167">
        <v>0.0</v>
      </c>
      <c r="Q44" s="167">
        <v>0.0</v>
      </c>
      <c r="R44" s="167">
        <v>0.0</v>
      </c>
      <c r="S44" s="167">
        <v>0.0</v>
      </c>
      <c r="T44" s="167">
        <v>0.0</v>
      </c>
      <c r="U44" s="167">
        <v>0.0</v>
      </c>
      <c r="V44" s="167">
        <v>0.0</v>
      </c>
      <c r="W44" s="167">
        <v>0.0</v>
      </c>
      <c r="X44" s="167">
        <v>0.0</v>
      </c>
      <c r="Y44" s="167">
        <v>0.0</v>
      </c>
      <c r="Z44" s="167">
        <v>0.0</v>
      </c>
      <c r="AA44" s="167">
        <v>0.0</v>
      </c>
      <c r="AB44" s="167">
        <v>0.0</v>
      </c>
    </row>
    <row r="45" ht="15.75" customHeight="1">
      <c r="A45" s="167">
        <v>21.0</v>
      </c>
      <c r="B45" s="167">
        <v>7.0</v>
      </c>
      <c r="C45" s="239" t="s">
        <v>287</v>
      </c>
      <c r="D45" s="239" t="s">
        <v>290</v>
      </c>
      <c r="E45" s="167">
        <v>13.0</v>
      </c>
      <c r="F45" s="167">
        <v>410.0</v>
      </c>
      <c r="G45" s="168">
        <f t="shared" si="1"/>
        <v>21</v>
      </c>
      <c r="H45" s="326">
        <v>25.0</v>
      </c>
      <c r="I45" s="167">
        <v>0.0</v>
      </c>
      <c r="J45" s="167">
        <v>0.0</v>
      </c>
      <c r="K45" s="167">
        <v>0.0</v>
      </c>
      <c r="L45" s="167">
        <v>0.0</v>
      </c>
      <c r="M45" s="167">
        <v>0.0</v>
      </c>
      <c r="N45" s="167">
        <v>0.0</v>
      </c>
      <c r="O45" s="167">
        <v>0.0</v>
      </c>
      <c r="P45" s="167">
        <v>0.0</v>
      </c>
      <c r="Q45" s="167">
        <v>0.0</v>
      </c>
      <c r="R45" s="167">
        <v>0.0</v>
      </c>
      <c r="S45" s="167">
        <v>0.0</v>
      </c>
      <c r="T45" s="167">
        <v>0.0</v>
      </c>
      <c r="U45" s="167">
        <v>0.0</v>
      </c>
      <c r="V45" s="167">
        <v>0.0</v>
      </c>
      <c r="W45" s="167">
        <v>0.0</v>
      </c>
      <c r="X45" s="167">
        <v>0.0</v>
      </c>
      <c r="Y45" s="167">
        <v>0.0</v>
      </c>
      <c r="Z45" s="167">
        <v>0.0</v>
      </c>
      <c r="AA45" s="167">
        <v>0.0</v>
      </c>
      <c r="AB45" s="167">
        <v>0.0</v>
      </c>
    </row>
    <row r="46" ht="15.75" customHeight="1">
      <c r="A46" s="167">
        <v>22.0</v>
      </c>
      <c r="B46" s="167">
        <v>8.0</v>
      </c>
      <c r="C46" s="239" t="s">
        <v>291</v>
      </c>
      <c r="D46" s="239" t="s">
        <v>288</v>
      </c>
      <c r="E46" s="167">
        <v>16.0</v>
      </c>
      <c r="F46" s="167">
        <v>385.0</v>
      </c>
      <c r="G46" s="168">
        <f t="shared" si="1"/>
        <v>22</v>
      </c>
      <c r="H46" s="326">
        <v>0.0</v>
      </c>
      <c r="I46" s="167">
        <v>0.0</v>
      </c>
      <c r="J46" s="167">
        <v>0.0</v>
      </c>
      <c r="K46" s="167">
        <v>0.0</v>
      </c>
      <c r="L46" s="167">
        <v>0.0</v>
      </c>
      <c r="M46" s="167">
        <v>0.0</v>
      </c>
      <c r="N46" s="167">
        <v>0.0</v>
      </c>
      <c r="O46" s="167">
        <v>0.0</v>
      </c>
      <c r="P46" s="167">
        <v>0.0</v>
      </c>
      <c r="Q46" s="167">
        <v>0.0</v>
      </c>
      <c r="R46" s="167">
        <v>0.0</v>
      </c>
      <c r="S46" s="167">
        <v>0.0</v>
      </c>
      <c r="T46" s="167">
        <v>0.0</v>
      </c>
      <c r="U46" s="167">
        <v>0.0</v>
      </c>
      <c r="V46" s="167">
        <v>0.0</v>
      </c>
      <c r="W46" s="167">
        <v>0.0</v>
      </c>
      <c r="X46" s="167">
        <v>0.0</v>
      </c>
      <c r="Y46" s="167">
        <v>0.0</v>
      </c>
      <c r="Z46" s="167">
        <v>0.0</v>
      </c>
      <c r="AA46" s="167">
        <v>0.0</v>
      </c>
      <c r="AB46" s="167">
        <v>0.0</v>
      </c>
    </row>
    <row r="47" ht="15.75" customHeight="1">
      <c r="A47" s="167">
        <v>23.0</v>
      </c>
      <c r="B47" s="167">
        <v>8.0</v>
      </c>
      <c r="C47" s="239" t="s">
        <v>291</v>
      </c>
      <c r="D47" s="239" t="s">
        <v>289</v>
      </c>
      <c r="E47" s="167">
        <v>16.0</v>
      </c>
      <c r="F47" s="167">
        <v>475.0</v>
      </c>
      <c r="G47" s="168">
        <f t="shared" si="1"/>
        <v>23</v>
      </c>
      <c r="H47" s="326">
        <v>0.0</v>
      </c>
      <c r="I47" s="167">
        <v>0.0</v>
      </c>
      <c r="J47" s="167">
        <v>0.0</v>
      </c>
      <c r="K47" s="167">
        <v>0.0</v>
      </c>
      <c r="L47" s="167">
        <v>0.0</v>
      </c>
      <c r="M47" s="167">
        <v>0.0</v>
      </c>
      <c r="N47" s="167">
        <v>0.0</v>
      </c>
      <c r="O47" s="167">
        <v>0.0</v>
      </c>
      <c r="P47" s="167">
        <v>0.0</v>
      </c>
      <c r="Q47" s="167">
        <v>0.0</v>
      </c>
      <c r="R47" s="167">
        <v>0.0</v>
      </c>
      <c r="S47" s="167">
        <v>0.0</v>
      </c>
      <c r="T47" s="167">
        <v>0.0</v>
      </c>
      <c r="U47" s="167">
        <v>0.0</v>
      </c>
      <c r="V47" s="167">
        <v>0.0</v>
      </c>
      <c r="W47" s="167">
        <v>0.0</v>
      </c>
      <c r="X47" s="167">
        <v>0.0</v>
      </c>
      <c r="Y47" s="167">
        <v>0.0</v>
      </c>
      <c r="Z47" s="167">
        <v>0.0</v>
      </c>
      <c r="AA47" s="167">
        <v>0.0</v>
      </c>
      <c r="AB47" s="167">
        <v>0.0</v>
      </c>
    </row>
    <row r="48" ht="15.75" customHeight="1">
      <c r="A48" s="167">
        <v>24.0</v>
      </c>
      <c r="B48" s="167">
        <v>8.0</v>
      </c>
      <c r="C48" s="239" t="s">
        <v>291</v>
      </c>
      <c r="D48" s="239" t="s">
        <v>290</v>
      </c>
      <c r="E48" s="167">
        <v>16.0</v>
      </c>
      <c r="F48" s="167">
        <v>500.0</v>
      </c>
      <c r="G48" s="168">
        <f t="shared" si="1"/>
        <v>24</v>
      </c>
      <c r="H48" s="326">
        <v>0.0</v>
      </c>
      <c r="I48" s="167">
        <v>0.0</v>
      </c>
      <c r="J48" s="167">
        <v>0.0</v>
      </c>
      <c r="K48" s="167">
        <v>0.0</v>
      </c>
      <c r="L48" s="167">
        <v>0.0</v>
      </c>
      <c r="M48" s="167">
        <v>0.0</v>
      </c>
      <c r="N48" s="167">
        <v>0.0</v>
      </c>
      <c r="O48" s="167">
        <v>0.0</v>
      </c>
      <c r="P48" s="167">
        <v>0.0</v>
      </c>
      <c r="Q48" s="167">
        <v>60.0</v>
      </c>
      <c r="R48" s="167">
        <v>0.0</v>
      </c>
      <c r="S48" s="167">
        <v>0.0</v>
      </c>
      <c r="T48" s="167">
        <v>15.0</v>
      </c>
      <c r="U48" s="167">
        <v>0.0</v>
      </c>
      <c r="V48" s="167">
        <v>0.0</v>
      </c>
      <c r="W48" s="167">
        <v>0.0</v>
      </c>
      <c r="X48" s="167">
        <v>0.0</v>
      </c>
      <c r="Y48" s="167">
        <v>0.0</v>
      </c>
      <c r="Z48" s="167">
        <v>0.0</v>
      </c>
      <c r="AA48" s="167">
        <v>0.0</v>
      </c>
      <c r="AB48" s="167">
        <v>0.0</v>
      </c>
    </row>
    <row r="49" ht="15.75" customHeight="1">
      <c r="A49" s="167">
        <v>25.0</v>
      </c>
      <c r="B49" s="167">
        <v>9.0</v>
      </c>
      <c r="C49" s="239" t="s">
        <v>292</v>
      </c>
      <c r="D49" s="239" t="s">
        <v>288</v>
      </c>
      <c r="E49" s="167">
        <v>20.0</v>
      </c>
      <c r="F49" s="167">
        <v>400.0</v>
      </c>
      <c r="G49" s="168">
        <f t="shared" si="1"/>
        <v>25</v>
      </c>
      <c r="H49" s="326">
        <v>0.0</v>
      </c>
      <c r="I49" s="167">
        <v>0.0</v>
      </c>
      <c r="J49" s="167">
        <v>0.0</v>
      </c>
      <c r="K49" s="167">
        <v>0.0</v>
      </c>
      <c r="L49" s="167">
        <v>0.0</v>
      </c>
      <c r="M49" s="167">
        <v>0.0</v>
      </c>
      <c r="N49" s="167">
        <v>0.0</v>
      </c>
      <c r="O49" s="167">
        <v>0.0</v>
      </c>
      <c r="P49" s="167">
        <v>0.0</v>
      </c>
      <c r="Q49" s="167">
        <v>0.0</v>
      </c>
      <c r="R49" s="167">
        <v>0.0</v>
      </c>
      <c r="S49" s="167">
        <v>0.0</v>
      </c>
      <c r="T49" s="167">
        <v>0.0</v>
      </c>
      <c r="U49" s="167">
        <v>0.0</v>
      </c>
      <c r="V49" s="167">
        <v>0.0</v>
      </c>
      <c r="W49" s="167">
        <v>0.0</v>
      </c>
      <c r="X49" s="167">
        <v>0.0</v>
      </c>
      <c r="Y49" s="167">
        <v>0.0</v>
      </c>
      <c r="Z49" s="167">
        <v>0.0</v>
      </c>
      <c r="AA49" s="167">
        <v>0.0</v>
      </c>
      <c r="AB49" s="167">
        <v>0.0</v>
      </c>
    </row>
    <row r="50" ht="15.75" customHeight="1">
      <c r="A50" s="167">
        <v>26.0</v>
      </c>
      <c r="B50" s="167">
        <v>9.0</v>
      </c>
      <c r="C50" s="239" t="s">
        <v>292</v>
      </c>
      <c r="D50" s="239" t="s">
        <v>289</v>
      </c>
      <c r="E50" s="167">
        <v>20.0</v>
      </c>
      <c r="F50" s="167">
        <v>480.0</v>
      </c>
      <c r="G50" s="168">
        <f t="shared" si="1"/>
        <v>26</v>
      </c>
      <c r="H50" s="326">
        <v>0.0</v>
      </c>
      <c r="I50" s="167">
        <v>0.0</v>
      </c>
      <c r="J50" s="167">
        <v>0.0</v>
      </c>
      <c r="K50" s="167">
        <v>0.0</v>
      </c>
      <c r="L50" s="167">
        <v>0.0</v>
      </c>
      <c r="M50" s="167">
        <v>0.0</v>
      </c>
      <c r="N50" s="167">
        <v>0.0</v>
      </c>
      <c r="O50" s="167">
        <v>0.0</v>
      </c>
      <c r="P50" s="167">
        <v>0.0</v>
      </c>
      <c r="Q50" s="167">
        <v>0.0</v>
      </c>
      <c r="R50" s="167">
        <v>0.0</v>
      </c>
      <c r="S50" s="167">
        <v>0.0</v>
      </c>
      <c r="T50" s="167">
        <v>0.0</v>
      </c>
      <c r="U50" s="167">
        <v>0.0</v>
      </c>
      <c r="V50" s="167">
        <v>0.0</v>
      </c>
      <c r="W50" s="167">
        <v>0.0</v>
      </c>
      <c r="X50" s="167">
        <v>0.0</v>
      </c>
      <c r="Y50" s="167">
        <v>0.0</v>
      </c>
      <c r="Z50" s="167">
        <v>0.0</v>
      </c>
      <c r="AA50" s="167">
        <v>0.0</v>
      </c>
      <c r="AB50" s="167">
        <v>0.0</v>
      </c>
    </row>
    <row r="51" ht="15.75" customHeight="1">
      <c r="A51" s="167">
        <v>27.0</v>
      </c>
      <c r="B51" s="167">
        <v>9.0</v>
      </c>
      <c r="C51" s="239" t="s">
        <v>292</v>
      </c>
      <c r="D51" s="239" t="s">
        <v>290</v>
      </c>
      <c r="E51" s="167">
        <v>20.0</v>
      </c>
      <c r="F51" s="167">
        <v>520.0</v>
      </c>
      <c r="G51" s="168">
        <f t="shared" si="1"/>
        <v>27</v>
      </c>
      <c r="H51" s="326">
        <v>0.0</v>
      </c>
      <c r="I51" s="167">
        <v>0.0</v>
      </c>
      <c r="J51" s="167">
        <v>0.0</v>
      </c>
      <c r="K51" s="167">
        <v>0.0</v>
      </c>
      <c r="L51" s="167">
        <v>0.0</v>
      </c>
      <c r="M51" s="167">
        <v>0.0</v>
      </c>
      <c r="N51" s="167">
        <v>0.0</v>
      </c>
      <c r="O51" s="167">
        <v>1.0</v>
      </c>
      <c r="P51" s="167">
        <v>0.0</v>
      </c>
      <c r="Q51" s="167">
        <v>0.0</v>
      </c>
      <c r="R51" s="167">
        <v>0.0</v>
      </c>
      <c r="S51" s="167">
        <v>0.0</v>
      </c>
      <c r="T51" s="167">
        <v>0.0</v>
      </c>
      <c r="U51" s="167">
        <v>0.0</v>
      </c>
      <c r="V51" s="167">
        <v>0.0</v>
      </c>
      <c r="W51" s="167">
        <v>0.0</v>
      </c>
      <c r="X51" s="167">
        <v>0.0</v>
      </c>
      <c r="Y51" s="167">
        <v>0.0</v>
      </c>
      <c r="Z51" s="167">
        <v>0.0</v>
      </c>
      <c r="AA51" s="167">
        <v>0.0</v>
      </c>
      <c r="AB51" s="167">
        <v>0.0</v>
      </c>
    </row>
    <row r="52" ht="15.75" customHeight="1">
      <c r="A52" s="167">
        <v>28.0</v>
      </c>
      <c r="B52" s="167">
        <v>10.0</v>
      </c>
      <c r="C52" s="239" t="s">
        <v>293</v>
      </c>
      <c r="D52" s="239" t="s">
        <v>294</v>
      </c>
      <c r="E52" s="167">
        <v>25.0</v>
      </c>
      <c r="F52" s="167">
        <v>600.0</v>
      </c>
      <c r="G52" s="168">
        <f t="shared" si="1"/>
        <v>28</v>
      </c>
      <c r="H52" s="326">
        <v>0.0</v>
      </c>
      <c r="I52" s="167">
        <v>0.0</v>
      </c>
      <c r="J52" s="167">
        <v>0.0</v>
      </c>
      <c r="K52" s="167">
        <v>0.0</v>
      </c>
      <c r="L52" s="167">
        <v>0.0</v>
      </c>
      <c r="M52" s="167">
        <v>0.0</v>
      </c>
      <c r="N52" s="167">
        <v>0.0</v>
      </c>
      <c r="O52" s="167">
        <v>0.0</v>
      </c>
      <c r="P52" s="167">
        <v>0.0</v>
      </c>
      <c r="Q52" s="167">
        <v>0.0</v>
      </c>
      <c r="R52" s="167">
        <v>0.0</v>
      </c>
      <c r="S52" s="167">
        <v>0.0</v>
      </c>
      <c r="T52" s="167">
        <v>0.0</v>
      </c>
      <c r="U52" s="167">
        <v>0.0</v>
      </c>
      <c r="V52" s="167">
        <v>0.0</v>
      </c>
      <c r="W52" s="167">
        <v>0.0</v>
      </c>
      <c r="X52" s="167">
        <v>0.0</v>
      </c>
      <c r="Y52" s="167">
        <v>0.0</v>
      </c>
      <c r="Z52" s="167">
        <v>0.0</v>
      </c>
      <c r="AA52" s="167">
        <v>0.0</v>
      </c>
      <c r="AB52" s="167">
        <v>0.0</v>
      </c>
    </row>
    <row r="53" ht="15.75" customHeight="1">
      <c r="A53" s="167">
        <v>29.0</v>
      </c>
      <c r="B53" s="167">
        <v>10.0</v>
      </c>
      <c r="C53" s="239" t="s">
        <v>293</v>
      </c>
      <c r="D53" s="239" t="s">
        <v>295</v>
      </c>
      <c r="E53" s="167">
        <v>25.0</v>
      </c>
      <c r="F53" s="167">
        <v>600.0</v>
      </c>
      <c r="G53" s="168">
        <f t="shared" si="1"/>
        <v>29</v>
      </c>
      <c r="H53" s="326">
        <v>0.0</v>
      </c>
      <c r="I53" s="167">
        <v>0.0</v>
      </c>
      <c r="J53" s="167">
        <v>0.0</v>
      </c>
      <c r="K53" s="167">
        <v>0.0</v>
      </c>
      <c r="L53" s="167">
        <v>0.0</v>
      </c>
      <c r="M53" s="167">
        <v>0.0</v>
      </c>
      <c r="N53" s="167">
        <v>0.0</v>
      </c>
      <c r="O53" s="167">
        <v>0.0</v>
      </c>
      <c r="P53" s="167">
        <v>0.0</v>
      </c>
      <c r="Q53" s="167">
        <v>0.0</v>
      </c>
      <c r="R53" s="167">
        <v>0.0</v>
      </c>
      <c r="S53" s="167">
        <v>0.0</v>
      </c>
      <c r="T53" s="167">
        <v>0.0</v>
      </c>
      <c r="U53" s="167">
        <v>0.0</v>
      </c>
      <c r="V53" s="167">
        <v>0.0</v>
      </c>
      <c r="W53" s="167">
        <v>0.0</v>
      </c>
      <c r="X53" s="167">
        <v>0.0</v>
      </c>
      <c r="Y53" s="167">
        <v>0.0</v>
      </c>
      <c r="Z53" s="167">
        <v>0.0</v>
      </c>
      <c r="AA53" s="167">
        <v>0.0</v>
      </c>
      <c r="AB53" s="167">
        <v>0.0</v>
      </c>
    </row>
    <row r="54" ht="15.75" customHeight="1">
      <c r="A54" s="167">
        <v>30.0</v>
      </c>
      <c r="B54" s="167">
        <v>10.0</v>
      </c>
      <c r="C54" s="239" t="s">
        <v>293</v>
      </c>
      <c r="D54" s="239" t="s">
        <v>296</v>
      </c>
      <c r="E54" s="167">
        <v>25.0</v>
      </c>
      <c r="F54" s="167">
        <v>600.0</v>
      </c>
      <c r="G54" s="168">
        <f t="shared" si="1"/>
        <v>30</v>
      </c>
      <c r="H54" s="326">
        <v>50.0</v>
      </c>
      <c r="I54" s="167">
        <v>0.0</v>
      </c>
      <c r="J54" s="167">
        <v>0.0</v>
      </c>
      <c r="K54" s="167">
        <v>0.0</v>
      </c>
      <c r="L54" s="167">
        <v>0.0</v>
      </c>
      <c r="M54" s="167">
        <v>1.0</v>
      </c>
      <c r="N54" s="167">
        <v>0.0</v>
      </c>
      <c r="O54" s="167">
        <v>0.0</v>
      </c>
      <c r="P54" s="167">
        <v>0.0</v>
      </c>
      <c r="Q54" s="167">
        <v>120.0</v>
      </c>
      <c r="R54" s="167">
        <v>0.0</v>
      </c>
      <c r="S54" s="167">
        <v>0.0</v>
      </c>
      <c r="T54" s="167">
        <v>0.0</v>
      </c>
      <c r="U54" s="167">
        <v>0.0</v>
      </c>
      <c r="V54" s="167">
        <v>0.0</v>
      </c>
      <c r="W54" s="167">
        <v>0.0</v>
      </c>
      <c r="X54" s="167">
        <v>0.0</v>
      </c>
      <c r="Y54" s="167">
        <v>0.0</v>
      </c>
      <c r="Z54" s="167">
        <v>0.0</v>
      </c>
      <c r="AA54" s="167">
        <v>0.0</v>
      </c>
      <c r="AB54" s="167">
        <v>0.0</v>
      </c>
    </row>
    <row r="55" ht="15.75" customHeight="1"/>
    <row r="56" ht="19.5" customHeight="1">
      <c r="A56" s="158" t="s">
        <v>297</v>
      </c>
      <c r="B56" s="149"/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</row>
    <row r="57" ht="90.0" customHeight="1">
      <c r="A57" s="162" t="s">
        <v>298</v>
      </c>
      <c r="B57" s="162" t="s">
        <v>299</v>
      </c>
      <c r="H57" s="325" t="s">
        <v>76</v>
      </c>
      <c r="I57" s="165" t="s">
        <v>46</v>
      </c>
      <c r="J57" s="165" t="s">
        <v>121</v>
      </c>
      <c r="K57" s="165" t="s">
        <v>47</v>
      </c>
      <c r="L57" s="165" t="s">
        <v>48</v>
      </c>
      <c r="M57" s="165" t="s">
        <v>50</v>
      </c>
      <c r="N57" s="165" t="s">
        <v>52</v>
      </c>
      <c r="O57" s="165" t="s">
        <v>53</v>
      </c>
      <c r="P57" s="165" t="s">
        <v>54</v>
      </c>
      <c r="Q57" s="165" t="s">
        <v>55</v>
      </c>
      <c r="R57" s="165" t="s">
        <v>56</v>
      </c>
      <c r="S57" s="165" t="s">
        <v>57</v>
      </c>
      <c r="T57" s="165" t="s">
        <v>58</v>
      </c>
      <c r="U57" s="165" t="s">
        <v>135</v>
      </c>
      <c r="V57" s="165" t="s">
        <v>122</v>
      </c>
      <c r="W57" s="165" t="s">
        <v>123</v>
      </c>
      <c r="X57" s="165" t="s">
        <v>124</v>
      </c>
      <c r="Y57" s="165" t="s">
        <v>125</v>
      </c>
      <c r="Z57" s="165" t="s">
        <v>126</v>
      </c>
      <c r="AA57" s="165" t="s">
        <v>127</v>
      </c>
      <c r="AB57" s="165" t="s">
        <v>128</v>
      </c>
    </row>
    <row r="58" ht="15.75" customHeight="1">
      <c r="A58" s="167">
        <v>1.0</v>
      </c>
      <c r="B58" s="167">
        <v>840.0</v>
      </c>
      <c r="H58" s="326">
        <v>0.0</v>
      </c>
      <c r="I58" s="167">
        <v>0.0</v>
      </c>
      <c r="J58" s="167">
        <v>0.0</v>
      </c>
      <c r="K58" s="167">
        <v>0.0</v>
      </c>
      <c r="L58" s="167">
        <v>0.0</v>
      </c>
      <c r="M58" s="167">
        <v>1.0</v>
      </c>
      <c r="N58" s="167">
        <v>0.0</v>
      </c>
      <c r="O58" s="167">
        <v>0.0</v>
      </c>
      <c r="P58" s="167">
        <v>0.0</v>
      </c>
      <c r="Q58" s="167">
        <v>0.0</v>
      </c>
      <c r="R58" s="167">
        <v>0.0</v>
      </c>
      <c r="S58" s="167">
        <v>0.0</v>
      </c>
      <c r="T58" s="167">
        <v>0.0</v>
      </c>
      <c r="U58" s="167">
        <v>0.0</v>
      </c>
      <c r="V58" s="167">
        <v>0.0</v>
      </c>
      <c r="W58" s="167">
        <v>0.0</v>
      </c>
      <c r="X58" s="167">
        <v>0.0</v>
      </c>
      <c r="Y58" s="167">
        <v>0.0</v>
      </c>
      <c r="Z58" s="167">
        <v>0.0</v>
      </c>
      <c r="AA58" s="167">
        <v>0.0</v>
      </c>
      <c r="AB58" s="167">
        <v>0.0</v>
      </c>
    </row>
    <row r="59" ht="15.75" customHeight="1">
      <c r="A59" s="167">
        <v>2.0</v>
      </c>
      <c r="B59" s="167">
        <v>840.0</v>
      </c>
      <c r="C59" s="250"/>
      <c r="D59" s="250"/>
      <c r="E59" s="250"/>
      <c r="F59" s="250"/>
      <c r="G59" s="250"/>
      <c r="H59" s="326">
        <v>0.0</v>
      </c>
      <c r="I59" s="167">
        <v>0.0</v>
      </c>
      <c r="J59" s="167">
        <v>0.0</v>
      </c>
      <c r="K59" s="167">
        <v>2.0</v>
      </c>
      <c r="L59" s="167">
        <v>0.0</v>
      </c>
      <c r="M59" s="167">
        <v>0.0</v>
      </c>
      <c r="N59" s="167">
        <v>0.0</v>
      </c>
      <c r="O59" s="167">
        <v>0.0</v>
      </c>
      <c r="P59" s="167">
        <v>0.0</v>
      </c>
      <c r="Q59" s="167">
        <v>0.0</v>
      </c>
      <c r="R59" s="167">
        <v>0.0</v>
      </c>
      <c r="S59" s="167">
        <v>0.0</v>
      </c>
      <c r="T59" s="167">
        <v>0.0</v>
      </c>
      <c r="U59" s="167">
        <v>0.0</v>
      </c>
      <c r="V59" s="167">
        <v>0.0</v>
      </c>
      <c r="W59" s="167">
        <v>0.0</v>
      </c>
      <c r="X59" s="167">
        <v>0.0</v>
      </c>
      <c r="Y59" s="167">
        <v>0.0</v>
      </c>
      <c r="Z59" s="167">
        <v>0.0</v>
      </c>
      <c r="AA59" s="167">
        <v>0.0</v>
      </c>
      <c r="AB59" s="167">
        <v>0.0</v>
      </c>
    </row>
    <row r="60" ht="15.75" customHeight="1">
      <c r="A60" s="167">
        <v>3.0</v>
      </c>
      <c r="B60" s="167">
        <v>830.0</v>
      </c>
      <c r="H60" s="326">
        <v>0.0</v>
      </c>
      <c r="I60" s="167">
        <v>0.0</v>
      </c>
      <c r="J60" s="167">
        <v>0.0</v>
      </c>
      <c r="K60" s="167">
        <v>0.0</v>
      </c>
      <c r="L60" s="167">
        <v>1.0</v>
      </c>
      <c r="M60" s="167">
        <v>0.0</v>
      </c>
      <c r="N60" s="167">
        <v>0.0</v>
      </c>
      <c r="O60" s="167">
        <v>0.0</v>
      </c>
      <c r="P60" s="167">
        <v>0.0</v>
      </c>
      <c r="Q60" s="167">
        <v>0.0</v>
      </c>
      <c r="R60" s="167">
        <v>0.0</v>
      </c>
      <c r="S60" s="167">
        <v>0.0</v>
      </c>
      <c r="T60" s="167">
        <v>0.0</v>
      </c>
      <c r="U60" s="167">
        <v>0.0</v>
      </c>
      <c r="V60" s="167">
        <v>0.0</v>
      </c>
      <c r="W60" s="167">
        <v>0.0</v>
      </c>
      <c r="X60" s="167">
        <v>0.0</v>
      </c>
      <c r="Y60" s="167">
        <v>0.0</v>
      </c>
      <c r="Z60" s="167">
        <v>0.0</v>
      </c>
      <c r="AA60" s="167">
        <v>0.0</v>
      </c>
      <c r="AB60" s="167">
        <v>0.0</v>
      </c>
    </row>
    <row r="61" ht="15.75" customHeight="1">
      <c r="A61" s="167">
        <v>4.0</v>
      </c>
      <c r="B61" s="167">
        <v>800.0</v>
      </c>
      <c r="C61" s="250"/>
      <c r="D61" s="250"/>
      <c r="E61" s="250"/>
      <c r="F61" s="250"/>
      <c r="G61" s="250"/>
      <c r="H61" s="326">
        <v>25.0</v>
      </c>
      <c r="I61" s="167">
        <v>0.0</v>
      </c>
      <c r="J61" s="167">
        <v>0.0</v>
      </c>
      <c r="K61" s="167">
        <v>0.0</v>
      </c>
      <c r="L61" s="167">
        <v>0.0</v>
      </c>
      <c r="M61" s="167">
        <v>0.0</v>
      </c>
      <c r="N61" s="167">
        <v>0.0</v>
      </c>
      <c r="O61" s="167">
        <v>0.0</v>
      </c>
      <c r="P61" s="167">
        <v>0.0</v>
      </c>
      <c r="Q61" s="167">
        <v>0.0</v>
      </c>
      <c r="R61" s="167">
        <v>0.0</v>
      </c>
      <c r="S61" s="167">
        <v>0.0</v>
      </c>
      <c r="T61" s="167">
        <v>0.0</v>
      </c>
      <c r="U61" s="167">
        <v>0.0</v>
      </c>
      <c r="V61" s="167">
        <v>0.0</v>
      </c>
      <c r="W61" s="167">
        <v>0.0</v>
      </c>
      <c r="X61" s="167">
        <v>0.0</v>
      </c>
      <c r="Y61" s="167">
        <v>0.0</v>
      </c>
      <c r="Z61" s="167">
        <v>0.0</v>
      </c>
      <c r="AA61" s="167">
        <v>0.0</v>
      </c>
      <c r="AB61" s="167">
        <v>0.0</v>
      </c>
    </row>
    <row r="62" ht="15.75" customHeight="1">
      <c r="A62" s="167">
        <v>5.0</v>
      </c>
      <c r="B62" s="167">
        <v>810.0</v>
      </c>
      <c r="H62" s="326">
        <v>0.0</v>
      </c>
      <c r="I62" s="167">
        <v>0.0</v>
      </c>
      <c r="J62" s="167">
        <v>0.0</v>
      </c>
      <c r="K62" s="167">
        <v>1.0</v>
      </c>
      <c r="L62" s="167">
        <v>0.0</v>
      </c>
      <c r="M62" s="167">
        <v>0.0</v>
      </c>
      <c r="N62" s="167">
        <v>0.0</v>
      </c>
      <c r="O62" s="167">
        <v>0.0</v>
      </c>
      <c r="P62" s="167">
        <v>0.0</v>
      </c>
      <c r="Q62" s="167">
        <v>0.0</v>
      </c>
      <c r="R62" s="167">
        <v>0.0</v>
      </c>
      <c r="S62" s="167">
        <v>0.0</v>
      </c>
      <c r="T62" s="167">
        <v>0.0</v>
      </c>
      <c r="U62" s="167">
        <v>0.0</v>
      </c>
      <c r="V62" s="167">
        <v>0.0</v>
      </c>
      <c r="W62" s="167">
        <v>0.0</v>
      </c>
      <c r="X62" s="167">
        <v>0.0</v>
      </c>
      <c r="Y62" s="167">
        <v>0.0</v>
      </c>
      <c r="Z62" s="167">
        <v>0.0</v>
      </c>
      <c r="AA62" s="167">
        <v>0.0</v>
      </c>
      <c r="AB62" s="167">
        <v>0.0</v>
      </c>
    </row>
    <row r="63" ht="15.75" customHeight="1">
      <c r="A63" s="167">
        <v>6.0</v>
      </c>
      <c r="B63" s="167">
        <v>880.0</v>
      </c>
      <c r="C63" s="250"/>
      <c r="D63" s="250"/>
      <c r="E63" s="250"/>
      <c r="F63" s="250"/>
      <c r="G63" s="250"/>
      <c r="H63" s="326">
        <v>0.0</v>
      </c>
      <c r="I63" s="167">
        <v>0.0</v>
      </c>
      <c r="J63" s="167">
        <v>0.0</v>
      </c>
      <c r="K63" s="167">
        <v>0.0</v>
      </c>
      <c r="L63" s="167">
        <v>2.0</v>
      </c>
      <c r="M63" s="167">
        <v>0.0</v>
      </c>
      <c r="N63" s="167">
        <v>0.0</v>
      </c>
      <c r="O63" s="167">
        <v>0.0</v>
      </c>
      <c r="P63" s="167">
        <v>0.0</v>
      </c>
      <c r="Q63" s="167">
        <v>0.0</v>
      </c>
      <c r="R63" s="167">
        <v>0.0</v>
      </c>
      <c r="S63" s="167">
        <v>0.0</v>
      </c>
      <c r="T63" s="167">
        <v>0.0</v>
      </c>
      <c r="U63" s="167">
        <v>0.0</v>
      </c>
      <c r="V63" s="167">
        <v>0.0</v>
      </c>
      <c r="W63" s="167">
        <v>0.0</v>
      </c>
      <c r="X63" s="167">
        <v>0.0</v>
      </c>
      <c r="Y63" s="167">
        <v>0.0</v>
      </c>
      <c r="Z63" s="167">
        <v>0.0</v>
      </c>
      <c r="AA63" s="167">
        <v>0.0</v>
      </c>
      <c r="AB63" s="167">
        <v>0.0</v>
      </c>
    </row>
    <row r="64" ht="15.75" customHeight="1">
      <c r="A64" s="167">
        <v>7.0</v>
      </c>
      <c r="B64" s="167">
        <v>840.0</v>
      </c>
      <c r="H64" s="326">
        <v>0.0</v>
      </c>
      <c r="I64" s="167">
        <v>0.0</v>
      </c>
      <c r="J64" s="167">
        <v>0.0</v>
      </c>
      <c r="K64" s="167">
        <v>0.0</v>
      </c>
      <c r="L64" s="167">
        <v>0.0</v>
      </c>
      <c r="M64" s="167">
        <v>1.0</v>
      </c>
      <c r="N64" s="167">
        <v>0.0</v>
      </c>
      <c r="O64" s="167">
        <v>0.0</v>
      </c>
      <c r="P64" s="167">
        <v>0.0</v>
      </c>
      <c r="Q64" s="167">
        <v>0.0</v>
      </c>
      <c r="R64" s="167">
        <v>0.0</v>
      </c>
      <c r="S64" s="167">
        <v>0.0</v>
      </c>
      <c r="T64" s="167">
        <v>0.0</v>
      </c>
      <c r="U64" s="167">
        <v>0.0</v>
      </c>
      <c r="V64" s="167">
        <v>0.0</v>
      </c>
      <c r="W64" s="167">
        <v>0.0</v>
      </c>
      <c r="X64" s="167">
        <v>0.0</v>
      </c>
      <c r="Y64" s="167">
        <v>0.0</v>
      </c>
      <c r="Z64" s="167">
        <v>0.0</v>
      </c>
      <c r="AA64" s="167">
        <v>0.0</v>
      </c>
      <c r="AB64" s="167">
        <v>0.0</v>
      </c>
    </row>
    <row r="65" ht="15.75" customHeight="1">
      <c r="A65" s="167">
        <v>8.0</v>
      </c>
      <c r="B65" s="167">
        <v>880.0</v>
      </c>
      <c r="C65" s="250"/>
      <c r="D65" s="250"/>
      <c r="E65" s="250"/>
      <c r="F65" s="250"/>
      <c r="G65" s="250"/>
      <c r="H65" s="326">
        <v>0.0</v>
      </c>
      <c r="I65" s="167">
        <v>0.0</v>
      </c>
      <c r="J65" s="167">
        <v>0.0</v>
      </c>
      <c r="K65" s="167">
        <v>3.0</v>
      </c>
      <c r="L65" s="167">
        <v>0.0</v>
      </c>
      <c r="M65" s="167">
        <v>0.0</v>
      </c>
      <c r="N65" s="167">
        <v>0.0</v>
      </c>
      <c r="O65" s="167">
        <v>0.0</v>
      </c>
      <c r="P65" s="167">
        <v>0.0</v>
      </c>
      <c r="Q65" s="167">
        <v>0.0</v>
      </c>
      <c r="R65" s="167">
        <v>0.0</v>
      </c>
      <c r="S65" s="167">
        <v>0.0</v>
      </c>
      <c r="T65" s="167">
        <v>0.0</v>
      </c>
      <c r="U65" s="167">
        <v>0.0</v>
      </c>
      <c r="V65" s="167">
        <v>0.0</v>
      </c>
      <c r="W65" s="167">
        <v>0.0</v>
      </c>
      <c r="X65" s="167">
        <v>0.0</v>
      </c>
      <c r="Y65" s="167">
        <v>0.0</v>
      </c>
      <c r="Z65" s="167">
        <v>0.0</v>
      </c>
      <c r="AA65" s="167">
        <v>0.0</v>
      </c>
      <c r="AB65" s="167">
        <v>0.0</v>
      </c>
    </row>
    <row r="66" ht="15.75" customHeight="1">
      <c r="A66" s="167">
        <v>9.0</v>
      </c>
      <c r="B66" s="167">
        <v>840.0</v>
      </c>
      <c r="H66" s="326">
        <v>0.0</v>
      </c>
      <c r="I66" s="167">
        <v>0.0</v>
      </c>
      <c r="J66" s="167">
        <v>0.0</v>
      </c>
      <c r="K66" s="167">
        <v>0.0</v>
      </c>
      <c r="L66" s="167">
        <v>0.0</v>
      </c>
      <c r="M66" s="167">
        <v>1.0</v>
      </c>
      <c r="N66" s="167">
        <v>0.0</v>
      </c>
      <c r="O66" s="167">
        <v>0.0</v>
      </c>
      <c r="P66" s="167">
        <v>0.0</v>
      </c>
      <c r="Q66" s="167">
        <v>0.0</v>
      </c>
      <c r="R66" s="167">
        <v>0.0</v>
      </c>
      <c r="S66" s="167">
        <v>0.0</v>
      </c>
      <c r="T66" s="167">
        <v>0.0</v>
      </c>
      <c r="U66" s="167">
        <v>0.0</v>
      </c>
      <c r="V66" s="167">
        <v>0.0</v>
      </c>
      <c r="W66" s="167">
        <v>0.0</v>
      </c>
      <c r="X66" s="167">
        <v>0.0</v>
      </c>
      <c r="Y66" s="167">
        <v>0.0</v>
      </c>
      <c r="Z66" s="167">
        <v>0.0</v>
      </c>
      <c r="AA66" s="167">
        <v>0.0</v>
      </c>
      <c r="AB66" s="167">
        <v>0.0</v>
      </c>
    </row>
    <row r="67" ht="15.75" customHeight="1">
      <c r="A67" s="167">
        <v>10.0</v>
      </c>
      <c r="B67" s="167">
        <v>930.0</v>
      </c>
      <c r="C67" s="250"/>
      <c r="D67" s="250"/>
      <c r="E67" s="250"/>
      <c r="F67" s="250"/>
      <c r="G67" s="250"/>
      <c r="H67" s="326">
        <v>0.0</v>
      </c>
      <c r="I67" s="167">
        <v>0.0</v>
      </c>
      <c r="J67" s="167">
        <v>0.0</v>
      </c>
      <c r="K67" s="167">
        <v>0.0</v>
      </c>
      <c r="L67" s="167">
        <v>3.0</v>
      </c>
      <c r="M67" s="167">
        <v>0.0</v>
      </c>
      <c r="N67" s="167">
        <v>0.0</v>
      </c>
      <c r="O67" s="167">
        <v>0.0</v>
      </c>
      <c r="P67" s="167">
        <v>0.0</v>
      </c>
      <c r="Q67" s="167">
        <v>0.0</v>
      </c>
      <c r="R67" s="167">
        <v>0.0</v>
      </c>
      <c r="S67" s="167">
        <v>0.0</v>
      </c>
      <c r="T67" s="167">
        <v>0.0</v>
      </c>
      <c r="U67" s="167">
        <v>0.0</v>
      </c>
      <c r="V67" s="167">
        <v>0.0</v>
      </c>
      <c r="W67" s="167">
        <v>0.0</v>
      </c>
      <c r="X67" s="167">
        <v>0.0</v>
      </c>
      <c r="Y67" s="167">
        <v>0.0</v>
      </c>
      <c r="Z67" s="167">
        <v>0.0</v>
      </c>
      <c r="AA67" s="167">
        <v>0.0</v>
      </c>
      <c r="AB67" s="167">
        <v>0.0</v>
      </c>
    </row>
    <row r="68" ht="15.75" customHeight="1">
      <c r="A68" s="167">
        <v>11.0</v>
      </c>
      <c r="B68" s="167">
        <v>980.0</v>
      </c>
      <c r="H68" s="326">
        <v>0.0</v>
      </c>
      <c r="I68" s="167">
        <v>0.0</v>
      </c>
      <c r="J68" s="167">
        <v>0.0</v>
      </c>
      <c r="K68" s="167">
        <v>0.0</v>
      </c>
      <c r="L68" s="167">
        <v>0.0</v>
      </c>
      <c r="M68" s="167">
        <v>3.0</v>
      </c>
      <c r="N68" s="167">
        <v>0.0</v>
      </c>
      <c r="O68" s="167">
        <v>0.0</v>
      </c>
      <c r="P68" s="167">
        <v>0.0</v>
      </c>
      <c r="Q68" s="167">
        <v>0.0</v>
      </c>
      <c r="R68" s="167">
        <v>0.0</v>
      </c>
      <c r="S68" s="167">
        <v>0.0</v>
      </c>
      <c r="T68" s="167">
        <v>0.0</v>
      </c>
      <c r="U68" s="167">
        <v>0.0</v>
      </c>
      <c r="V68" s="167">
        <v>0.0</v>
      </c>
      <c r="W68" s="167">
        <v>0.0</v>
      </c>
      <c r="X68" s="167">
        <v>0.0</v>
      </c>
      <c r="Y68" s="167">
        <v>0.0</v>
      </c>
      <c r="Z68" s="167">
        <v>0.0</v>
      </c>
      <c r="AA68" s="167">
        <v>0.0</v>
      </c>
      <c r="AB68" s="167">
        <v>0.0</v>
      </c>
    </row>
    <row r="69" ht="15.75" customHeight="1">
      <c r="A69" s="167">
        <v>12.0</v>
      </c>
      <c r="B69" s="167">
        <v>840.0</v>
      </c>
      <c r="C69" s="250"/>
      <c r="D69" s="250"/>
      <c r="E69" s="250"/>
      <c r="F69" s="250"/>
      <c r="G69" s="250"/>
      <c r="H69" s="326">
        <v>0.0</v>
      </c>
      <c r="I69" s="167">
        <v>0.0</v>
      </c>
      <c r="J69" s="167">
        <v>0.0</v>
      </c>
      <c r="K69" s="167">
        <v>2.0</v>
      </c>
      <c r="L69" s="167">
        <v>0.0</v>
      </c>
      <c r="M69" s="167">
        <v>0.0</v>
      </c>
      <c r="N69" s="167">
        <v>0.0</v>
      </c>
      <c r="O69" s="167">
        <v>0.0</v>
      </c>
      <c r="P69" s="167">
        <v>0.0</v>
      </c>
      <c r="Q69" s="167">
        <v>0.0</v>
      </c>
      <c r="R69" s="167">
        <v>0.0</v>
      </c>
      <c r="S69" s="167">
        <v>0.0</v>
      </c>
      <c r="T69" s="167">
        <v>0.0</v>
      </c>
      <c r="U69" s="167">
        <v>0.0</v>
      </c>
      <c r="V69" s="167">
        <v>0.0</v>
      </c>
      <c r="W69" s="167">
        <v>0.0</v>
      </c>
      <c r="X69" s="167">
        <v>0.0</v>
      </c>
      <c r="Y69" s="167">
        <v>0.0</v>
      </c>
      <c r="Z69" s="167">
        <v>0.0</v>
      </c>
      <c r="AA69" s="167">
        <v>0.0</v>
      </c>
      <c r="AB69" s="167">
        <v>0.0</v>
      </c>
    </row>
    <row r="70" ht="15.75" customHeight="1">
      <c r="A70" s="167">
        <v>13.0</v>
      </c>
      <c r="B70" s="167">
        <v>1110.0</v>
      </c>
      <c r="H70" s="326">
        <v>0.0</v>
      </c>
      <c r="I70" s="167">
        <v>0.0</v>
      </c>
      <c r="J70" s="167">
        <v>0.0</v>
      </c>
      <c r="K70" s="167">
        <v>0.0</v>
      </c>
      <c r="L70" s="167">
        <v>0.0</v>
      </c>
      <c r="M70" s="167">
        <v>5.0</v>
      </c>
      <c r="N70" s="167">
        <v>0.0</v>
      </c>
      <c r="O70" s="167">
        <v>0.0</v>
      </c>
      <c r="P70" s="167">
        <v>0.0</v>
      </c>
      <c r="Q70" s="167">
        <v>0.0</v>
      </c>
      <c r="R70" s="167">
        <v>0.0</v>
      </c>
      <c r="S70" s="167">
        <v>0.0</v>
      </c>
      <c r="T70" s="167">
        <v>0.0</v>
      </c>
      <c r="U70" s="167">
        <v>0.0</v>
      </c>
      <c r="V70" s="167">
        <v>0.0</v>
      </c>
      <c r="W70" s="167">
        <v>0.0</v>
      </c>
      <c r="X70" s="167">
        <v>0.0</v>
      </c>
      <c r="Y70" s="167">
        <v>0.0</v>
      </c>
      <c r="Z70" s="167">
        <v>0.0</v>
      </c>
      <c r="AA70" s="167">
        <v>0.0</v>
      </c>
      <c r="AB70" s="167">
        <v>0.0</v>
      </c>
    </row>
    <row r="71" ht="15.75" customHeight="1">
      <c r="A71" s="167">
        <v>14.0</v>
      </c>
      <c r="B71" s="167">
        <v>830.0</v>
      </c>
      <c r="C71" s="250"/>
      <c r="D71" s="250"/>
      <c r="E71" s="250"/>
      <c r="F71" s="250"/>
      <c r="G71" s="250"/>
      <c r="H71" s="326">
        <v>50.0</v>
      </c>
      <c r="I71" s="167">
        <v>0.0</v>
      </c>
      <c r="J71" s="167">
        <v>0.0</v>
      </c>
      <c r="K71" s="167">
        <v>0.0</v>
      </c>
      <c r="L71" s="167">
        <v>0.0</v>
      </c>
      <c r="M71" s="167">
        <v>0.0</v>
      </c>
      <c r="N71" s="167">
        <v>0.0</v>
      </c>
      <c r="O71" s="167">
        <v>0.0</v>
      </c>
      <c r="P71" s="167">
        <v>0.0</v>
      </c>
      <c r="Q71" s="167">
        <v>0.0</v>
      </c>
      <c r="R71" s="167">
        <v>0.0</v>
      </c>
      <c r="S71" s="167">
        <v>0.0</v>
      </c>
      <c r="T71" s="167">
        <v>0.0</v>
      </c>
      <c r="U71" s="167">
        <v>0.0</v>
      </c>
      <c r="V71" s="167">
        <v>0.0</v>
      </c>
      <c r="W71" s="167">
        <v>0.0</v>
      </c>
      <c r="X71" s="167">
        <v>0.0</v>
      </c>
      <c r="Y71" s="167">
        <v>0.0</v>
      </c>
      <c r="Z71" s="167">
        <v>0.0</v>
      </c>
      <c r="AA71" s="167">
        <v>0.0</v>
      </c>
      <c r="AB71" s="167">
        <v>0.0</v>
      </c>
    </row>
    <row r="72" ht="15.75" customHeight="1">
      <c r="A72" s="167">
        <v>15.0</v>
      </c>
      <c r="B72" s="167">
        <v>880.0</v>
      </c>
      <c r="H72" s="326">
        <v>0.0</v>
      </c>
      <c r="I72" s="167">
        <v>0.0</v>
      </c>
      <c r="J72" s="167">
        <v>0.0</v>
      </c>
      <c r="K72" s="167">
        <v>0.0</v>
      </c>
      <c r="L72" s="167">
        <v>2.0</v>
      </c>
      <c r="M72" s="167">
        <v>0.0</v>
      </c>
      <c r="N72" s="167">
        <v>0.0</v>
      </c>
      <c r="O72" s="167">
        <v>0.0</v>
      </c>
      <c r="P72" s="167">
        <v>0.0</v>
      </c>
      <c r="Q72" s="167">
        <v>0.0</v>
      </c>
      <c r="R72" s="167">
        <v>0.0</v>
      </c>
      <c r="S72" s="167">
        <v>0.0</v>
      </c>
      <c r="T72" s="167">
        <v>0.0</v>
      </c>
      <c r="U72" s="167">
        <v>0.0</v>
      </c>
      <c r="V72" s="167">
        <v>0.0</v>
      </c>
      <c r="W72" s="167">
        <v>0.0</v>
      </c>
      <c r="X72" s="167">
        <v>0.0</v>
      </c>
      <c r="Y72" s="167">
        <v>0.0</v>
      </c>
      <c r="Z72" s="167">
        <v>0.0</v>
      </c>
      <c r="AA72" s="167">
        <v>0.0</v>
      </c>
      <c r="AB72" s="167">
        <v>0.0</v>
      </c>
    </row>
    <row r="73" ht="15.75" customHeight="1"/>
    <row r="74" ht="19.5" customHeight="1">
      <c r="A74" s="158" t="s">
        <v>304</v>
      </c>
      <c r="B74" s="149"/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</row>
    <row r="75" ht="90.0" customHeight="1">
      <c r="A75" s="162" t="s">
        <v>298</v>
      </c>
      <c r="B75" s="162" t="s">
        <v>299</v>
      </c>
      <c r="H75" s="325" t="s">
        <v>76</v>
      </c>
      <c r="I75" s="165" t="s">
        <v>46</v>
      </c>
      <c r="J75" s="165" t="s">
        <v>121</v>
      </c>
      <c r="K75" s="165" t="s">
        <v>47</v>
      </c>
      <c r="L75" s="165" t="s">
        <v>48</v>
      </c>
      <c r="M75" s="165" t="s">
        <v>50</v>
      </c>
      <c r="N75" s="165" t="s">
        <v>52</v>
      </c>
      <c r="O75" s="165" t="s">
        <v>53</v>
      </c>
      <c r="P75" s="165" t="s">
        <v>54</v>
      </c>
      <c r="Q75" s="165" t="s">
        <v>55</v>
      </c>
      <c r="R75" s="165" t="s">
        <v>56</v>
      </c>
      <c r="S75" s="165" t="s">
        <v>57</v>
      </c>
      <c r="T75" s="165" t="s">
        <v>58</v>
      </c>
      <c r="U75" s="165" t="s">
        <v>135</v>
      </c>
      <c r="V75" s="165" t="s">
        <v>122</v>
      </c>
      <c r="W75" s="165" t="s">
        <v>123</v>
      </c>
      <c r="X75" s="165" t="s">
        <v>124</v>
      </c>
      <c r="Y75" s="165" t="s">
        <v>125</v>
      </c>
      <c r="Z75" s="165" t="s">
        <v>126</v>
      </c>
      <c r="AA75" s="165" t="s">
        <v>127</v>
      </c>
      <c r="AB75" s="165" t="s">
        <v>128</v>
      </c>
    </row>
    <row r="76" ht="15.75" customHeight="1">
      <c r="A76" s="167">
        <v>1.0</v>
      </c>
      <c r="B76" s="167">
        <v>830.0</v>
      </c>
      <c r="H76" s="326">
        <v>0.0</v>
      </c>
      <c r="I76" s="167">
        <v>0.0</v>
      </c>
      <c r="J76" s="167">
        <v>0.0</v>
      </c>
      <c r="K76" s="167">
        <v>0.0</v>
      </c>
      <c r="L76" s="167">
        <v>0.0</v>
      </c>
      <c r="M76" s="167">
        <v>0.0</v>
      </c>
      <c r="N76" s="167">
        <v>1.0</v>
      </c>
      <c r="O76" s="167">
        <v>0.0</v>
      </c>
      <c r="P76" s="167">
        <v>0.0</v>
      </c>
      <c r="Q76" s="167">
        <v>0.0</v>
      </c>
      <c r="R76" s="167">
        <v>0.0</v>
      </c>
      <c r="S76" s="167">
        <v>0.0</v>
      </c>
      <c r="T76" s="167">
        <v>0.0</v>
      </c>
      <c r="U76" s="167">
        <v>0.0</v>
      </c>
      <c r="V76" s="167">
        <v>0.0</v>
      </c>
      <c r="W76" s="167">
        <v>0.0</v>
      </c>
      <c r="X76" s="167">
        <v>0.0</v>
      </c>
      <c r="Y76" s="167">
        <v>0.0</v>
      </c>
      <c r="Z76" s="167">
        <v>0.0</v>
      </c>
      <c r="AA76" s="167">
        <v>0.0</v>
      </c>
      <c r="AB76" s="167">
        <v>0.0</v>
      </c>
    </row>
    <row r="77" ht="15.75" customHeight="1">
      <c r="A77" s="167">
        <v>2.0</v>
      </c>
      <c r="B77" s="167">
        <v>800.0</v>
      </c>
      <c r="C77" s="250"/>
      <c r="D77" s="250"/>
      <c r="E77" s="250"/>
      <c r="F77" s="250"/>
      <c r="G77" s="250"/>
      <c r="H77" s="326">
        <v>25.0</v>
      </c>
      <c r="I77" s="167">
        <v>0.0</v>
      </c>
      <c r="J77" s="167">
        <v>0.0</v>
      </c>
      <c r="K77" s="167">
        <v>0.0</v>
      </c>
      <c r="L77" s="167">
        <v>0.0</v>
      </c>
      <c r="M77" s="167">
        <v>0.0</v>
      </c>
      <c r="N77" s="167">
        <v>0.0</v>
      </c>
      <c r="O77" s="167">
        <v>0.0</v>
      </c>
      <c r="P77" s="167">
        <v>0.0</v>
      </c>
      <c r="Q77" s="167">
        <v>0.0</v>
      </c>
      <c r="R77" s="167">
        <v>0.0</v>
      </c>
      <c r="S77" s="167">
        <v>0.0</v>
      </c>
      <c r="T77" s="167">
        <v>0.0</v>
      </c>
      <c r="U77" s="167">
        <v>0.0</v>
      </c>
      <c r="V77" s="167">
        <v>0.0</v>
      </c>
      <c r="W77" s="167">
        <v>0.0</v>
      </c>
      <c r="X77" s="167">
        <v>0.0</v>
      </c>
      <c r="Y77" s="167">
        <v>0.0</v>
      </c>
      <c r="Z77" s="167">
        <v>0.0</v>
      </c>
      <c r="AA77" s="167">
        <v>0.0</v>
      </c>
      <c r="AB77" s="167">
        <v>0.0</v>
      </c>
    </row>
    <row r="78" ht="15.75" customHeight="1">
      <c r="A78" s="167">
        <v>3.0</v>
      </c>
      <c r="B78" s="167">
        <v>910.0</v>
      </c>
      <c r="H78" s="326">
        <v>0.0</v>
      </c>
      <c r="I78" s="167">
        <v>0.0</v>
      </c>
      <c r="J78" s="167">
        <v>0.0</v>
      </c>
      <c r="K78" s="167">
        <v>0.0</v>
      </c>
      <c r="L78" s="167">
        <v>0.0</v>
      </c>
      <c r="M78" s="167">
        <v>0.0</v>
      </c>
      <c r="N78" s="167">
        <v>0.0</v>
      </c>
      <c r="O78" s="167">
        <v>2.0</v>
      </c>
      <c r="P78" s="167">
        <v>0.0</v>
      </c>
      <c r="Q78" s="167">
        <v>0.0</v>
      </c>
      <c r="R78" s="167">
        <v>0.0</v>
      </c>
      <c r="S78" s="167">
        <v>0.0</v>
      </c>
      <c r="T78" s="167">
        <v>0.0</v>
      </c>
      <c r="U78" s="167">
        <v>0.0</v>
      </c>
      <c r="V78" s="167">
        <v>0.0</v>
      </c>
      <c r="W78" s="167">
        <v>0.0</v>
      </c>
      <c r="X78" s="167">
        <v>0.0</v>
      </c>
      <c r="Y78" s="167">
        <v>0.0</v>
      </c>
      <c r="Z78" s="167">
        <v>0.0</v>
      </c>
      <c r="AA78" s="167">
        <v>0.0</v>
      </c>
      <c r="AB78" s="167">
        <v>0.0</v>
      </c>
    </row>
    <row r="79" ht="15.75" customHeight="1">
      <c r="A79" s="167">
        <v>4.0</v>
      </c>
      <c r="B79" s="167">
        <v>940.0</v>
      </c>
      <c r="C79" s="250"/>
      <c r="D79" s="250"/>
      <c r="E79" s="250"/>
      <c r="F79" s="250"/>
      <c r="G79" s="250"/>
      <c r="H79" s="326">
        <v>0.0</v>
      </c>
      <c r="I79" s="167">
        <v>0.0</v>
      </c>
      <c r="J79" s="167">
        <v>0.0</v>
      </c>
      <c r="K79" s="167">
        <v>0.0</v>
      </c>
      <c r="L79" s="167">
        <v>0.0</v>
      </c>
      <c r="M79" s="167">
        <v>0.0</v>
      </c>
      <c r="N79" s="167">
        <v>0.0</v>
      </c>
      <c r="O79" s="167">
        <v>0.0</v>
      </c>
      <c r="P79" s="167">
        <v>1.0</v>
      </c>
      <c r="Q79" s="167">
        <v>0.0</v>
      </c>
      <c r="R79" s="167">
        <v>0.0</v>
      </c>
      <c r="S79" s="167">
        <v>0.0</v>
      </c>
      <c r="T79" s="167">
        <v>0.0</v>
      </c>
      <c r="U79" s="167">
        <v>0.0</v>
      </c>
      <c r="V79" s="167">
        <v>0.0</v>
      </c>
      <c r="W79" s="167">
        <v>0.0</v>
      </c>
      <c r="X79" s="167">
        <v>0.0</v>
      </c>
      <c r="Y79" s="167">
        <v>0.0</v>
      </c>
      <c r="Z79" s="167">
        <v>0.0</v>
      </c>
      <c r="AA79" s="167">
        <v>0.0</v>
      </c>
      <c r="AB79" s="167">
        <v>0.0</v>
      </c>
    </row>
    <row r="80" ht="15.75" customHeight="1">
      <c r="A80" s="167">
        <v>5.0</v>
      </c>
      <c r="B80" s="167">
        <v>910.0</v>
      </c>
      <c r="H80" s="326">
        <v>0.0</v>
      </c>
      <c r="I80" s="167">
        <v>0.0</v>
      </c>
      <c r="J80" s="167">
        <v>0.0</v>
      </c>
      <c r="K80" s="167">
        <v>0.0</v>
      </c>
      <c r="L80" s="167">
        <v>0.0</v>
      </c>
      <c r="M80" s="167">
        <v>0.0</v>
      </c>
      <c r="N80" s="167">
        <v>0.0</v>
      </c>
      <c r="O80" s="167">
        <v>2.0</v>
      </c>
      <c r="P80" s="167">
        <v>0.0</v>
      </c>
      <c r="Q80" s="167">
        <v>0.0</v>
      </c>
      <c r="R80" s="167">
        <v>0.0</v>
      </c>
      <c r="S80" s="167">
        <v>0.0</v>
      </c>
      <c r="T80" s="167">
        <v>0.0</v>
      </c>
      <c r="U80" s="167">
        <v>0.0</v>
      </c>
      <c r="V80" s="167">
        <v>0.0</v>
      </c>
      <c r="W80" s="167">
        <v>0.0</v>
      </c>
      <c r="X80" s="167">
        <v>0.0</v>
      </c>
      <c r="Y80" s="167">
        <v>0.0</v>
      </c>
      <c r="Z80" s="167">
        <v>0.0</v>
      </c>
      <c r="AA80" s="167">
        <v>0.0</v>
      </c>
      <c r="AB80" s="167">
        <v>0.0</v>
      </c>
    </row>
    <row r="81" ht="15.75" customHeight="1">
      <c r="A81" s="167">
        <v>6.0</v>
      </c>
      <c r="B81" s="167">
        <v>880.0</v>
      </c>
      <c r="C81" s="250"/>
      <c r="D81" s="250"/>
      <c r="E81" s="250"/>
      <c r="F81" s="250"/>
      <c r="G81" s="250"/>
      <c r="H81" s="326">
        <v>0.0</v>
      </c>
      <c r="I81" s="167">
        <v>0.0</v>
      </c>
      <c r="J81" s="167">
        <v>0.0</v>
      </c>
      <c r="K81" s="167">
        <v>0.0</v>
      </c>
      <c r="L81" s="167">
        <v>0.0</v>
      </c>
      <c r="M81" s="167">
        <v>0.0</v>
      </c>
      <c r="N81" s="167">
        <v>2.0</v>
      </c>
      <c r="O81" s="167">
        <v>0.0</v>
      </c>
      <c r="P81" s="167">
        <v>0.0</v>
      </c>
      <c r="Q81" s="167">
        <v>0.0</v>
      </c>
      <c r="R81" s="167">
        <v>0.0</v>
      </c>
      <c r="S81" s="167">
        <v>0.0</v>
      </c>
      <c r="T81" s="167">
        <v>0.0</v>
      </c>
      <c r="U81" s="167">
        <v>0.0</v>
      </c>
      <c r="V81" s="167">
        <v>0.0</v>
      </c>
      <c r="W81" s="167">
        <v>0.0</v>
      </c>
      <c r="X81" s="167">
        <v>0.0</v>
      </c>
      <c r="Y81" s="167">
        <v>0.0</v>
      </c>
      <c r="Z81" s="167">
        <v>0.0</v>
      </c>
      <c r="AA81" s="167">
        <v>0.0</v>
      </c>
      <c r="AB81" s="167">
        <v>0.0</v>
      </c>
    </row>
    <row r="82" ht="15.75" customHeight="1">
      <c r="A82" s="167">
        <v>7.0</v>
      </c>
      <c r="B82" s="167">
        <v>940.0</v>
      </c>
      <c r="H82" s="326">
        <v>0.0</v>
      </c>
      <c r="I82" s="167">
        <v>0.0</v>
      </c>
      <c r="J82" s="167">
        <v>0.0</v>
      </c>
      <c r="K82" s="167">
        <v>0.0</v>
      </c>
      <c r="L82" s="167">
        <v>0.0</v>
      </c>
      <c r="M82" s="167">
        <v>0.0</v>
      </c>
      <c r="N82" s="167">
        <v>0.0</v>
      </c>
      <c r="O82" s="167">
        <v>0.0</v>
      </c>
      <c r="P82" s="167">
        <v>1.0</v>
      </c>
      <c r="Q82" s="167">
        <v>0.0</v>
      </c>
      <c r="R82" s="167">
        <v>0.0</v>
      </c>
      <c r="S82" s="167">
        <v>0.0</v>
      </c>
      <c r="T82" s="167">
        <v>0.0</v>
      </c>
      <c r="U82" s="167">
        <v>0.0</v>
      </c>
      <c r="V82" s="167">
        <v>0.0</v>
      </c>
      <c r="W82" s="167">
        <v>0.0</v>
      </c>
      <c r="X82" s="167">
        <v>0.0</v>
      </c>
      <c r="Y82" s="167">
        <v>0.0</v>
      </c>
      <c r="Z82" s="167">
        <v>0.0</v>
      </c>
      <c r="AA82" s="167">
        <v>0.0</v>
      </c>
      <c r="AB82" s="167">
        <v>0.0</v>
      </c>
    </row>
    <row r="83" ht="15.75" customHeight="1">
      <c r="A83" s="167">
        <v>8.0</v>
      </c>
      <c r="B83" s="167">
        <v>980.0</v>
      </c>
      <c r="C83" s="250"/>
      <c r="D83" s="250"/>
      <c r="E83" s="250"/>
      <c r="F83" s="250"/>
      <c r="G83" s="250"/>
      <c r="H83" s="326">
        <v>0.0</v>
      </c>
      <c r="I83" s="167">
        <v>0.0</v>
      </c>
      <c r="J83" s="167">
        <v>0.0</v>
      </c>
      <c r="K83" s="167">
        <v>0.0</v>
      </c>
      <c r="L83" s="167">
        <v>0.0</v>
      </c>
      <c r="M83" s="167">
        <v>0.0</v>
      </c>
      <c r="N83" s="167">
        <v>0.0</v>
      </c>
      <c r="O83" s="167">
        <v>3.0</v>
      </c>
      <c r="P83" s="167">
        <v>0.0</v>
      </c>
      <c r="Q83" s="167">
        <v>0.0</v>
      </c>
      <c r="R83" s="167">
        <v>0.0</v>
      </c>
      <c r="S83" s="167">
        <v>0.0</v>
      </c>
      <c r="T83" s="167">
        <v>0.0</v>
      </c>
      <c r="U83" s="167">
        <v>0.0</v>
      </c>
      <c r="V83" s="167">
        <v>0.0</v>
      </c>
      <c r="W83" s="167">
        <v>0.0</v>
      </c>
      <c r="X83" s="167">
        <v>0.0</v>
      </c>
      <c r="Y83" s="167">
        <v>0.0</v>
      </c>
      <c r="Z83" s="167">
        <v>0.0</v>
      </c>
      <c r="AA83" s="167">
        <v>0.0</v>
      </c>
      <c r="AB83" s="167">
        <v>0.0</v>
      </c>
    </row>
    <row r="84" ht="15.75" customHeight="1">
      <c r="A84" s="167">
        <v>9.0</v>
      </c>
      <c r="B84" s="167">
        <v>830.0</v>
      </c>
      <c r="H84" s="326">
        <v>0.0</v>
      </c>
      <c r="I84" s="167">
        <v>0.0</v>
      </c>
      <c r="J84" s="167">
        <v>0.0</v>
      </c>
      <c r="K84" s="167">
        <v>0.0</v>
      </c>
      <c r="L84" s="167">
        <v>0.0</v>
      </c>
      <c r="M84" s="167">
        <v>0.0</v>
      </c>
      <c r="N84" s="167">
        <v>1.0</v>
      </c>
      <c r="O84" s="167">
        <v>0.0</v>
      </c>
      <c r="P84" s="167">
        <v>0.0</v>
      </c>
      <c r="Q84" s="167">
        <v>0.0</v>
      </c>
      <c r="R84" s="167">
        <v>0.0</v>
      </c>
      <c r="S84" s="167">
        <v>0.0</v>
      </c>
      <c r="T84" s="167">
        <v>0.0</v>
      </c>
      <c r="U84" s="167">
        <v>0.0</v>
      </c>
      <c r="V84" s="167">
        <v>0.0</v>
      </c>
      <c r="W84" s="167">
        <v>0.0</v>
      </c>
      <c r="X84" s="167">
        <v>0.0</v>
      </c>
      <c r="Y84" s="167">
        <v>0.0</v>
      </c>
      <c r="Z84" s="167">
        <v>0.0</v>
      </c>
      <c r="AA84" s="167">
        <v>0.0</v>
      </c>
      <c r="AB84" s="167">
        <v>0.0</v>
      </c>
    </row>
    <row r="85" ht="15.75" customHeight="1">
      <c r="A85" s="167">
        <v>10.0</v>
      </c>
      <c r="B85" s="167">
        <v>810.0</v>
      </c>
      <c r="C85" s="250"/>
      <c r="D85" s="250"/>
      <c r="E85" s="250"/>
      <c r="F85" s="250"/>
      <c r="G85" s="250"/>
      <c r="H85" s="326">
        <v>35.0</v>
      </c>
      <c r="I85" s="167">
        <v>0.0</v>
      </c>
      <c r="J85" s="167">
        <v>0.0</v>
      </c>
      <c r="K85" s="167">
        <v>0.0</v>
      </c>
      <c r="L85" s="167">
        <v>0.0</v>
      </c>
      <c r="M85" s="167">
        <v>0.0</v>
      </c>
      <c r="N85" s="167">
        <v>0.0</v>
      </c>
      <c r="O85" s="167">
        <v>0.0</v>
      </c>
      <c r="P85" s="167">
        <v>0.0</v>
      </c>
      <c r="Q85" s="167">
        <v>0.0</v>
      </c>
      <c r="R85" s="167">
        <v>0.0</v>
      </c>
      <c r="S85" s="167">
        <v>0.0</v>
      </c>
      <c r="T85" s="167">
        <v>0.0</v>
      </c>
      <c r="U85" s="167">
        <v>0.0</v>
      </c>
      <c r="V85" s="167">
        <v>0.0</v>
      </c>
      <c r="W85" s="167">
        <v>0.0</v>
      </c>
      <c r="X85" s="167">
        <v>0.0</v>
      </c>
      <c r="Y85" s="167">
        <v>0.0</v>
      </c>
      <c r="Z85" s="167">
        <v>0.0</v>
      </c>
      <c r="AA85" s="167">
        <v>0.0</v>
      </c>
      <c r="AB85" s="167">
        <v>0.0</v>
      </c>
    </row>
    <row r="86" ht="15.75" customHeight="1">
      <c r="A86" s="167">
        <v>11.0</v>
      </c>
      <c r="B86" s="167">
        <v>1110.0</v>
      </c>
      <c r="H86" s="326">
        <v>0.0</v>
      </c>
      <c r="I86" s="167">
        <v>0.0</v>
      </c>
      <c r="J86" s="167">
        <v>0.0</v>
      </c>
      <c r="K86" s="167">
        <v>0.0</v>
      </c>
      <c r="L86" s="167">
        <v>0.0</v>
      </c>
      <c r="M86" s="167">
        <v>0.0</v>
      </c>
      <c r="N86" s="167">
        <v>0.0</v>
      </c>
      <c r="O86" s="167">
        <v>0.0</v>
      </c>
      <c r="P86" s="167">
        <v>2.0</v>
      </c>
      <c r="Q86" s="167">
        <v>0.0</v>
      </c>
      <c r="R86" s="167">
        <v>0.0</v>
      </c>
      <c r="S86" s="167">
        <v>0.0</v>
      </c>
      <c r="T86" s="167">
        <v>0.0</v>
      </c>
      <c r="U86" s="167">
        <v>0.0</v>
      </c>
      <c r="V86" s="167">
        <v>0.0</v>
      </c>
      <c r="W86" s="167">
        <v>0.0</v>
      </c>
      <c r="X86" s="167">
        <v>0.0</v>
      </c>
      <c r="Y86" s="167">
        <v>0.0</v>
      </c>
      <c r="Z86" s="167">
        <v>0.0</v>
      </c>
      <c r="AA86" s="167">
        <v>0.0</v>
      </c>
      <c r="AB86" s="167">
        <v>0.0</v>
      </c>
    </row>
    <row r="87" ht="15.75" customHeight="1">
      <c r="A87" s="167">
        <v>12.0</v>
      </c>
      <c r="B87" s="167">
        <v>880.0</v>
      </c>
      <c r="C87" s="250"/>
      <c r="D87" s="250"/>
      <c r="E87" s="250"/>
      <c r="F87" s="250"/>
      <c r="G87" s="250"/>
      <c r="H87" s="326">
        <v>0.0</v>
      </c>
      <c r="I87" s="167">
        <v>0.0</v>
      </c>
      <c r="J87" s="167">
        <v>0.0</v>
      </c>
      <c r="K87" s="167">
        <v>0.0</v>
      </c>
      <c r="L87" s="167">
        <v>0.0</v>
      </c>
      <c r="M87" s="167">
        <v>0.0</v>
      </c>
      <c r="N87" s="167">
        <v>2.0</v>
      </c>
      <c r="O87" s="167">
        <v>0.0</v>
      </c>
      <c r="P87" s="167">
        <v>0.0</v>
      </c>
      <c r="Q87" s="167">
        <v>0.0</v>
      </c>
      <c r="R87" s="167">
        <v>0.0</v>
      </c>
      <c r="S87" s="167">
        <v>0.0</v>
      </c>
      <c r="T87" s="167">
        <v>0.0</v>
      </c>
      <c r="U87" s="167">
        <v>0.0</v>
      </c>
      <c r="V87" s="167">
        <v>0.0</v>
      </c>
      <c r="W87" s="167">
        <v>0.0</v>
      </c>
      <c r="X87" s="167">
        <v>0.0</v>
      </c>
      <c r="Y87" s="167">
        <v>0.0</v>
      </c>
      <c r="Z87" s="167">
        <v>0.0</v>
      </c>
      <c r="AA87" s="167">
        <v>0.0</v>
      </c>
      <c r="AB87" s="167">
        <v>0.0</v>
      </c>
    </row>
    <row r="88" ht="15.75" customHeight="1">
      <c r="A88" s="167">
        <v>13.0</v>
      </c>
      <c r="B88" s="167">
        <v>910.0</v>
      </c>
      <c r="H88" s="326">
        <v>0.0</v>
      </c>
      <c r="I88" s="167">
        <v>0.0</v>
      </c>
      <c r="J88" s="167">
        <v>0.0</v>
      </c>
      <c r="K88" s="167">
        <v>0.0</v>
      </c>
      <c r="L88" s="167">
        <v>0.0</v>
      </c>
      <c r="M88" s="167">
        <v>0.0</v>
      </c>
      <c r="N88" s="167">
        <v>0.0</v>
      </c>
      <c r="O88" s="167">
        <v>2.0</v>
      </c>
      <c r="P88" s="167">
        <v>0.0</v>
      </c>
      <c r="Q88" s="167">
        <v>0.0</v>
      </c>
      <c r="R88" s="167">
        <v>0.0</v>
      </c>
      <c r="S88" s="167">
        <v>0.0</v>
      </c>
      <c r="T88" s="167">
        <v>0.0</v>
      </c>
      <c r="U88" s="167">
        <v>0.0</v>
      </c>
      <c r="V88" s="167">
        <v>0.0</v>
      </c>
      <c r="W88" s="167">
        <v>0.0</v>
      </c>
      <c r="X88" s="167">
        <v>0.0</v>
      </c>
      <c r="Y88" s="167">
        <v>0.0</v>
      </c>
      <c r="Z88" s="167">
        <v>0.0</v>
      </c>
      <c r="AA88" s="167">
        <v>0.0</v>
      </c>
      <c r="AB88" s="167">
        <v>0.0</v>
      </c>
    </row>
    <row r="89" ht="15.75" customHeight="1">
      <c r="A89" s="167">
        <v>14.0</v>
      </c>
      <c r="B89" s="167">
        <v>1110.0</v>
      </c>
      <c r="C89" s="250"/>
      <c r="D89" s="250"/>
      <c r="E89" s="250"/>
      <c r="F89" s="250"/>
      <c r="G89" s="250"/>
      <c r="H89" s="326">
        <v>0.0</v>
      </c>
      <c r="I89" s="167">
        <v>0.0</v>
      </c>
      <c r="J89" s="167">
        <v>0.0</v>
      </c>
      <c r="K89" s="167">
        <v>0.0</v>
      </c>
      <c r="L89" s="167">
        <v>0.0</v>
      </c>
      <c r="M89" s="167">
        <v>0.0</v>
      </c>
      <c r="N89" s="167">
        <v>0.0</v>
      </c>
      <c r="O89" s="167">
        <v>0.0</v>
      </c>
      <c r="P89" s="167">
        <v>2.0</v>
      </c>
      <c r="Q89" s="167">
        <v>0.0</v>
      </c>
      <c r="R89" s="167">
        <v>0.0</v>
      </c>
      <c r="S89" s="167">
        <v>0.0</v>
      </c>
      <c r="T89" s="167">
        <v>0.0</v>
      </c>
      <c r="U89" s="167">
        <v>0.0</v>
      </c>
      <c r="V89" s="167">
        <v>0.0</v>
      </c>
      <c r="W89" s="167">
        <v>0.0</v>
      </c>
      <c r="X89" s="167">
        <v>0.0</v>
      </c>
      <c r="Y89" s="167">
        <v>0.0</v>
      </c>
      <c r="Z89" s="167">
        <v>0.0</v>
      </c>
      <c r="AA89" s="167">
        <v>0.0</v>
      </c>
      <c r="AB89" s="167">
        <v>0.0</v>
      </c>
    </row>
    <row r="90" ht="15.75" customHeight="1">
      <c r="A90" s="167">
        <v>15.0</v>
      </c>
      <c r="B90" s="167">
        <v>840.0</v>
      </c>
      <c r="H90" s="326">
        <v>0.0</v>
      </c>
      <c r="I90" s="167">
        <v>0.0</v>
      </c>
      <c r="J90" s="167">
        <v>0.0</v>
      </c>
      <c r="K90" s="167">
        <v>0.0</v>
      </c>
      <c r="L90" s="167">
        <v>0.0</v>
      </c>
      <c r="M90" s="167">
        <v>0.0</v>
      </c>
      <c r="N90" s="167">
        <v>0.0</v>
      </c>
      <c r="O90" s="167">
        <v>1.0</v>
      </c>
      <c r="P90" s="167">
        <v>0.0</v>
      </c>
      <c r="Q90" s="167">
        <v>0.0</v>
      </c>
      <c r="R90" s="167">
        <v>0.0</v>
      </c>
      <c r="S90" s="167">
        <v>0.0</v>
      </c>
      <c r="T90" s="167">
        <v>0.0</v>
      </c>
      <c r="U90" s="167">
        <v>0.0</v>
      </c>
      <c r="V90" s="167">
        <v>0.0</v>
      </c>
      <c r="W90" s="167">
        <v>0.0</v>
      </c>
      <c r="X90" s="167">
        <v>0.0</v>
      </c>
      <c r="Y90" s="167">
        <v>0.0</v>
      </c>
      <c r="Z90" s="167">
        <v>0.0</v>
      </c>
      <c r="AA90" s="167">
        <v>0.0</v>
      </c>
      <c r="AB90" s="167">
        <v>0.0</v>
      </c>
    </row>
    <row r="91" ht="15.75" customHeight="1"/>
    <row r="92" ht="19.5" customHeight="1">
      <c r="A92" s="158" t="s">
        <v>305</v>
      </c>
      <c r="B92" s="149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</row>
    <row r="93" ht="90.0" customHeight="1">
      <c r="A93" s="162" t="s">
        <v>298</v>
      </c>
      <c r="B93" s="162" t="s">
        <v>299</v>
      </c>
      <c r="H93" s="325" t="s">
        <v>76</v>
      </c>
      <c r="I93" s="165" t="s">
        <v>46</v>
      </c>
      <c r="J93" s="165" t="s">
        <v>121</v>
      </c>
      <c r="K93" s="165" t="s">
        <v>47</v>
      </c>
      <c r="L93" s="165" t="s">
        <v>48</v>
      </c>
      <c r="M93" s="165" t="s">
        <v>50</v>
      </c>
      <c r="N93" s="165" t="s">
        <v>52</v>
      </c>
      <c r="O93" s="165" t="s">
        <v>53</v>
      </c>
      <c r="P93" s="165" t="s">
        <v>54</v>
      </c>
      <c r="Q93" s="165" t="s">
        <v>55</v>
      </c>
      <c r="R93" s="165" t="s">
        <v>56</v>
      </c>
      <c r="S93" s="165" t="s">
        <v>57</v>
      </c>
      <c r="T93" s="165" t="s">
        <v>58</v>
      </c>
      <c r="U93" s="165" t="s">
        <v>135</v>
      </c>
      <c r="V93" s="165" t="s">
        <v>122</v>
      </c>
      <c r="W93" s="165" t="s">
        <v>123</v>
      </c>
      <c r="X93" s="165" t="s">
        <v>124</v>
      </c>
      <c r="Y93" s="165" t="s">
        <v>125</v>
      </c>
      <c r="Z93" s="165" t="s">
        <v>126</v>
      </c>
      <c r="AA93" s="165" t="s">
        <v>127</v>
      </c>
      <c r="AB93" s="165" t="s">
        <v>128</v>
      </c>
    </row>
    <row r="94" ht="15.75" customHeight="1">
      <c r="A94" s="167">
        <v>1.0</v>
      </c>
      <c r="B94" s="167">
        <v>940.0</v>
      </c>
      <c r="H94" s="326">
        <v>0.0</v>
      </c>
      <c r="I94" s="167">
        <v>0.0</v>
      </c>
      <c r="J94" s="167">
        <v>0.0</v>
      </c>
      <c r="K94" s="167">
        <v>0.0</v>
      </c>
      <c r="L94" s="167">
        <v>0.0</v>
      </c>
      <c r="M94" s="167">
        <v>0.0</v>
      </c>
      <c r="N94" s="167">
        <v>0.0</v>
      </c>
      <c r="O94" s="167">
        <v>0.0</v>
      </c>
      <c r="P94" s="167">
        <v>0.0</v>
      </c>
      <c r="Q94" s="167">
        <v>0.0</v>
      </c>
      <c r="R94" s="167">
        <v>0.0</v>
      </c>
      <c r="S94" s="167">
        <v>10.0</v>
      </c>
      <c r="T94" s="167">
        <v>0.0</v>
      </c>
      <c r="U94" s="167">
        <v>0.0</v>
      </c>
      <c r="V94" s="167">
        <v>0.0</v>
      </c>
      <c r="W94" s="167">
        <v>0.0</v>
      </c>
      <c r="X94" s="167">
        <v>0.0</v>
      </c>
      <c r="Y94" s="167">
        <v>0.0</v>
      </c>
      <c r="Z94" s="167">
        <v>0.0</v>
      </c>
      <c r="AA94" s="167">
        <v>0.0</v>
      </c>
      <c r="AB94" s="167">
        <v>0.0</v>
      </c>
    </row>
    <row r="95" ht="15.75" customHeight="1">
      <c r="A95" s="167">
        <v>2.0</v>
      </c>
      <c r="B95" s="167">
        <v>950.0</v>
      </c>
      <c r="C95" s="250"/>
      <c r="D95" s="250"/>
      <c r="E95" s="250"/>
      <c r="F95" s="250"/>
      <c r="G95" s="250"/>
      <c r="H95" s="326">
        <v>0.0</v>
      </c>
      <c r="I95" s="167">
        <v>0.0</v>
      </c>
      <c r="J95" s="167">
        <v>0.0</v>
      </c>
      <c r="K95" s="167">
        <v>0.0</v>
      </c>
      <c r="L95" s="167">
        <v>0.0</v>
      </c>
      <c r="M95" s="167">
        <v>0.0</v>
      </c>
      <c r="N95" s="167">
        <v>0.0</v>
      </c>
      <c r="O95" s="167">
        <v>0.0</v>
      </c>
      <c r="P95" s="167">
        <v>0.0</v>
      </c>
      <c r="Q95" s="167">
        <v>0.0</v>
      </c>
      <c r="R95" s="167">
        <v>0.0</v>
      </c>
      <c r="S95" s="167">
        <v>0.0</v>
      </c>
      <c r="T95" s="167">
        <v>10.0</v>
      </c>
      <c r="U95" s="167">
        <v>0.0</v>
      </c>
      <c r="V95" s="167">
        <v>0.0</v>
      </c>
      <c r="W95" s="167">
        <v>0.0</v>
      </c>
      <c r="X95" s="167">
        <v>0.0</v>
      </c>
      <c r="Y95" s="167">
        <v>0.0</v>
      </c>
      <c r="Z95" s="167">
        <v>0.0</v>
      </c>
      <c r="AA95" s="167">
        <v>0.0</v>
      </c>
      <c r="AB95" s="167">
        <v>0.0</v>
      </c>
    </row>
    <row r="96" ht="15.75" customHeight="1">
      <c r="A96" s="167">
        <v>3.0</v>
      </c>
      <c r="B96" s="167">
        <v>840.0</v>
      </c>
      <c r="H96" s="326">
        <v>0.0</v>
      </c>
      <c r="I96" s="167">
        <v>0.0</v>
      </c>
      <c r="J96" s="167">
        <v>0.0</v>
      </c>
      <c r="K96" s="167">
        <v>0.0</v>
      </c>
      <c r="L96" s="167">
        <v>0.0</v>
      </c>
      <c r="M96" s="167">
        <v>0.0</v>
      </c>
      <c r="N96" s="167">
        <v>0.0</v>
      </c>
      <c r="O96" s="167">
        <v>0.0</v>
      </c>
      <c r="P96" s="167">
        <v>0.0</v>
      </c>
      <c r="Q96" s="167">
        <v>15.0</v>
      </c>
      <c r="R96" s="167">
        <v>0.0</v>
      </c>
      <c r="S96" s="167">
        <v>0.0</v>
      </c>
      <c r="T96" s="167">
        <v>0.0</v>
      </c>
      <c r="U96" s="167">
        <v>0.0</v>
      </c>
      <c r="V96" s="167">
        <v>0.0</v>
      </c>
      <c r="W96" s="167">
        <v>0.0</v>
      </c>
      <c r="X96" s="167">
        <v>0.0</v>
      </c>
      <c r="Y96" s="167">
        <v>0.0</v>
      </c>
      <c r="Z96" s="167">
        <v>0.0</v>
      </c>
      <c r="AA96" s="167">
        <v>0.0</v>
      </c>
      <c r="AB96" s="167">
        <v>0.0</v>
      </c>
    </row>
    <row r="97" ht="15.75" customHeight="1">
      <c r="A97" s="167">
        <v>4.0</v>
      </c>
      <c r="B97" s="167">
        <v>940.0</v>
      </c>
      <c r="C97" s="250"/>
      <c r="D97" s="250"/>
      <c r="E97" s="250"/>
      <c r="F97" s="250"/>
      <c r="G97" s="250"/>
      <c r="H97" s="326">
        <v>0.0</v>
      </c>
      <c r="I97" s="167">
        <v>0.0</v>
      </c>
      <c r="J97" s="167">
        <v>0.0</v>
      </c>
      <c r="K97" s="167">
        <v>0.0</v>
      </c>
      <c r="L97" s="167">
        <v>0.0</v>
      </c>
      <c r="M97" s="167">
        <v>0.0</v>
      </c>
      <c r="N97" s="167">
        <v>0.0</v>
      </c>
      <c r="O97" s="167">
        <v>0.0</v>
      </c>
      <c r="P97" s="167">
        <v>0.0</v>
      </c>
      <c r="Q97" s="167">
        <v>0.0</v>
      </c>
      <c r="R97" s="167">
        <v>10.0</v>
      </c>
      <c r="S97" s="167">
        <v>0.0</v>
      </c>
      <c r="T97" s="167">
        <v>0.0</v>
      </c>
      <c r="U97" s="167">
        <v>0.0</v>
      </c>
      <c r="V97" s="167">
        <v>0.0</v>
      </c>
      <c r="W97" s="167">
        <v>0.0</v>
      </c>
      <c r="X97" s="167">
        <v>0.0</v>
      </c>
      <c r="Y97" s="167">
        <v>0.0</v>
      </c>
      <c r="Z97" s="167">
        <v>0.0</v>
      </c>
      <c r="AA97" s="167">
        <v>0.0</v>
      </c>
      <c r="AB97" s="167">
        <v>0.0</v>
      </c>
    </row>
    <row r="98" ht="15.75" customHeight="1">
      <c r="A98" s="167">
        <v>5.0</v>
      </c>
      <c r="B98" s="167">
        <v>900.0</v>
      </c>
      <c r="H98" s="326">
        <v>0.0</v>
      </c>
      <c r="I98" s="167">
        <v>0.0</v>
      </c>
      <c r="J98" s="167">
        <v>0.0</v>
      </c>
      <c r="K98" s="167">
        <v>0.0</v>
      </c>
      <c r="L98" s="167">
        <v>0.0</v>
      </c>
      <c r="M98" s="167">
        <v>0.0</v>
      </c>
      <c r="N98" s="167">
        <v>0.0</v>
      </c>
      <c r="O98" s="167">
        <v>0.0</v>
      </c>
      <c r="P98" s="167">
        <v>0.0</v>
      </c>
      <c r="Q98" s="167">
        <v>30.0</v>
      </c>
      <c r="R98" s="167">
        <v>0.0</v>
      </c>
      <c r="S98" s="167">
        <v>0.0</v>
      </c>
      <c r="T98" s="167">
        <v>0.0</v>
      </c>
      <c r="U98" s="167">
        <v>0.0</v>
      </c>
      <c r="V98" s="167">
        <v>0.0</v>
      </c>
      <c r="W98" s="167">
        <v>0.0</v>
      </c>
      <c r="X98" s="167">
        <v>0.0</v>
      </c>
      <c r="Y98" s="167">
        <v>0.0</v>
      </c>
      <c r="Z98" s="167">
        <v>0.0</v>
      </c>
      <c r="AA98" s="167">
        <v>0.0</v>
      </c>
      <c r="AB98" s="167">
        <v>0.0</v>
      </c>
    </row>
    <row r="99" ht="15.75" customHeight="1">
      <c r="A99" s="167">
        <v>6.0</v>
      </c>
      <c r="B99" s="167">
        <v>810.0</v>
      </c>
      <c r="C99" s="250"/>
      <c r="D99" s="250"/>
      <c r="E99" s="250"/>
      <c r="F99" s="250"/>
      <c r="G99" s="250"/>
      <c r="H99" s="326">
        <v>30.0</v>
      </c>
      <c r="I99" s="167">
        <v>0.0</v>
      </c>
      <c r="J99" s="167">
        <v>0.0</v>
      </c>
      <c r="K99" s="167">
        <v>0.0</v>
      </c>
      <c r="L99" s="167">
        <v>0.0</v>
      </c>
      <c r="M99" s="167">
        <v>0.0</v>
      </c>
      <c r="N99" s="167">
        <v>0.0</v>
      </c>
      <c r="O99" s="167">
        <v>0.0</v>
      </c>
      <c r="P99" s="167">
        <v>0.0</v>
      </c>
      <c r="Q99" s="167">
        <v>0.0</v>
      </c>
      <c r="R99" s="167">
        <v>0.0</v>
      </c>
      <c r="S99" s="167">
        <v>0.0</v>
      </c>
      <c r="T99" s="167">
        <v>0.0</v>
      </c>
      <c r="U99" s="167">
        <v>0.0</v>
      </c>
      <c r="V99" s="167">
        <v>0.0</v>
      </c>
      <c r="W99" s="167">
        <v>0.0</v>
      </c>
      <c r="X99" s="167">
        <v>0.0</v>
      </c>
      <c r="Y99" s="167">
        <v>0.0</v>
      </c>
      <c r="Z99" s="167">
        <v>0.0</v>
      </c>
      <c r="AA99" s="167">
        <v>0.0</v>
      </c>
      <c r="AB99" s="167">
        <v>0.0</v>
      </c>
    </row>
    <row r="100" ht="15.75" customHeight="1">
      <c r="A100" s="167">
        <v>7.0</v>
      </c>
      <c r="B100" s="167">
        <v>990.0</v>
      </c>
      <c r="H100" s="326">
        <v>0.0</v>
      </c>
      <c r="I100" s="167">
        <v>0.0</v>
      </c>
      <c r="J100" s="167">
        <v>0.0</v>
      </c>
      <c r="K100" s="167">
        <v>0.0</v>
      </c>
      <c r="L100" s="167">
        <v>0.0</v>
      </c>
      <c r="M100" s="167">
        <v>0.0</v>
      </c>
      <c r="N100" s="167">
        <v>0.0</v>
      </c>
      <c r="O100" s="167">
        <v>0.0</v>
      </c>
      <c r="P100" s="167">
        <v>0.0</v>
      </c>
      <c r="Q100" s="167">
        <v>0.0</v>
      </c>
      <c r="R100" s="167">
        <v>0.0</v>
      </c>
      <c r="S100" s="167">
        <v>15.0</v>
      </c>
      <c r="T100" s="167">
        <v>0.0</v>
      </c>
      <c r="U100" s="167">
        <v>0.0</v>
      </c>
      <c r="V100" s="167">
        <v>0.0</v>
      </c>
      <c r="W100" s="167">
        <v>0.0</v>
      </c>
      <c r="X100" s="167">
        <v>0.0</v>
      </c>
      <c r="Y100" s="167">
        <v>0.0</v>
      </c>
      <c r="Z100" s="167">
        <v>0.0</v>
      </c>
      <c r="AA100" s="167">
        <v>0.0</v>
      </c>
      <c r="AB100" s="167">
        <v>0.0</v>
      </c>
    </row>
    <row r="101" ht="15.75" customHeight="1">
      <c r="A101" s="167">
        <v>8.0</v>
      </c>
      <c r="B101" s="167">
        <v>980.0</v>
      </c>
      <c r="C101" s="250"/>
      <c r="D101" s="250"/>
      <c r="E101" s="250"/>
      <c r="F101" s="250"/>
      <c r="G101" s="250"/>
      <c r="H101" s="326">
        <v>0.0</v>
      </c>
      <c r="I101" s="167">
        <v>0.0</v>
      </c>
      <c r="J101" s="167">
        <v>0.0</v>
      </c>
      <c r="K101" s="167">
        <v>0.0</v>
      </c>
      <c r="L101" s="167">
        <v>0.0</v>
      </c>
      <c r="M101" s="167">
        <v>0.0</v>
      </c>
      <c r="N101" s="167">
        <v>0.0</v>
      </c>
      <c r="O101" s="167">
        <v>0.0</v>
      </c>
      <c r="P101" s="167">
        <v>0.0</v>
      </c>
      <c r="Q101" s="167">
        <v>0.0</v>
      </c>
      <c r="R101" s="167">
        <v>15.0</v>
      </c>
      <c r="S101" s="167">
        <v>0.0</v>
      </c>
      <c r="T101" s="167">
        <v>0.0</v>
      </c>
      <c r="U101" s="167">
        <v>0.0</v>
      </c>
      <c r="V101" s="167">
        <v>0.0</v>
      </c>
      <c r="W101" s="167">
        <v>0.0</v>
      </c>
      <c r="X101" s="167">
        <v>0.0</v>
      </c>
      <c r="Y101" s="167">
        <v>0.0</v>
      </c>
      <c r="Z101" s="167">
        <v>0.0</v>
      </c>
      <c r="AA101" s="167">
        <v>0.0</v>
      </c>
      <c r="AB101" s="167">
        <v>0.0</v>
      </c>
    </row>
    <row r="102" ht="15.75" customHeight="1">
      <c r="A102" s="167">
        <v>9.0</v>
      </c>
      <c r="B102" s="167">
        <v>900.0</v>
      </c>
      <c r="H102" s="326">
        <v>0.0</v>
      </c>
      <c r="I102" s="167">
        <v>0.0</v>
      </c>
      <c r="J102" s="167">
        <v>0.0</v>
      </c>
      <c r="K102" s="167">
        <v>0.0</v>
      </c>
      <c r="L102" s="167">
        <v>0.0</v>
      </c>
      <c r="M102" s="167">
        <v>0.0</v>
      </c>
      <c r="N102" s="167">
        <v>0.0</v>
      </c>
      <c r="O102" s="167">
        <v>0.0</v>
      </c>
      <c r="P102" s="167">
        <v>0.0</v>
      </c>
      <c r="Q102" s="167">
        <v>30.0</v>
      </c>
      <c r="R102" s="167">
        <v>0.0</v>
      </c>
      <c r="S102" s="167">
        <v>0.0</v>
      </c>
      <c r="T102" s="167">
        <v>0.0</v>
      </c>
      <c r="U102" s="167">
        <v>0.0</v>
      </c>
      <c r="V102" s="167">
        <v>0.0</v>
      </c>
      <c r="W102" s="167">
        <v>0.0</v>
      </c>
      <c r="X102" s="167">
        <v>0.0</v>
      </c>
      <c r="Y102" s="167">
        <v>0.0</v>
      </c>
      <c r="Z102" s="167">
        <v>0.0</v>
      </c>
      <c r="AA102" s="167">
        <v>0.0</v>
      </c>
      <c r="AB102" s="167">
        <v>0.0</v>
      </c>
    </row>
    <row r="103" ht="15.75" customHeight="1">
      <c r="A103" s="167">
        <v>10.0</v>
      </c>
      <c r="B103" s="167">
        <v>950.0</v>
      </c>
      <c r="C103" s="250"/>
      <c r="D103" s="250"/>
      <c r="E103" s="250"/>
      <c r="F103" s="250"/>
      <c r="G103" s="250"/>
      <c r="H103" s="326">
        <v>0.0</v>
      </c>
      <c r="I103" s="167">
        <v>0.0</v>
      </c>
      <c r="J103" s="167">
        <v>0.0</v>
      </c>
      <c r="K103" s="167">
        <v>0.0</v>
      </c>
      <c r="L103" s="167">
        <v>0.0</v>
      </c>
      <c r="M103" s="167">
        <v>0.0</v>
      </c>
      <c r="N103" s="167">
        <v>0.0</v>
      </c>
      <c r="O103" s="167">
        <v>0.0</v>
      </c>
      <c r="P103" s="167">
        <v>0.0</v>
      </c>
      <c r="Q103" s="167">
        <v>0.0</v>
      </c>
      <c r="R103" s="167">
        <v>0.0</v>
      </c>
      <c r="S103" s="167">
        <v>0.0</v>
      </c>
      <c r="T103" s="167">
        <v>10.0</v>
      </c>
      <c r="U103" s="167">
        <v>0.0</v>
      </c>
      <c r="V103" s="167">
        <v>0.0</v>
      </c>
      <c r="W103" s="167">
        <v>0.0</v>
      </c>
      <c r="X103" s="167">
        <v>0.0</v>
      </c>
      <c r="Y103" s="167">
        <v>0.0</v>
      </c>
      <c r="Z103" s="167">
        <v>0.0</v>
      </c>
      <c r="AA103" s="167">
        <v>0.0</v>
      </c>
      <c r="AB103" s="167">
        <v>0.0</v>
      </c>
    </row>
    <row r="104" ht="15.75" customHeight="1">
      <c r="A104" s="167">
        <v>11.0</v>
      </c>
      <c r="B104" s="167">
        <v>990.0</v>
      </c>
      <c r="H104" s="326">
        <v>0.0</v>
      </c>
      <c r="I104" s="167">
        <v>0.0</v>
      </c>
      <c r="J104" s="167">
        <v>0.0</v>
      </c>
      <c r="K104" s="167">
        <v>0.0</v>
      </c>
      <c r="L104" s="167">
        <v>0.0</v>
      </c>
      <c r="M104" s="167">
        <v>0.0</v>
      </c>
      <c r="N104" s="167">
        <v>0.0</v>
      </c>
      <c r="O104" s="167">
        <v>0.0</v>
      </c>
      <c r="P104" s="167">
        <v>0.0</v>
      </c>
      <c r="Q104" s="167">
        <v>0.0</v>
      </c>
      <c r="R104" s="167">
        <v>0.0</v>
      </c>
      <c r="S104" s="167">
        <v>15.0</v>
      </c>
      <c r="T104" s="167">
        <v>0.0</v>
      </c>
      <c r="U104" s="167">
        <v>0.0</v>
      </c>
      <c r="V104" s="167">
        <v>0.0</v>
      </c>
      <c r="W104" s="167">
        <v>0.0</v>
      </c>
      <c r="X104" s="167">
        <v>0.0</v>
      </c>
      <c r="Y104" s="167">
        <v>0.0</v>
      </c>
      <c r="Z104" s="167">
        <v>0.0</v>
      </c>
      <c r="AA104" s="167">
        <v>0.0</v>
      </c>
      <c r="AB104" s="167">
        <v>0.0</v>
      </c>
    </row>
    <row r="105" ht="15.75" customHeight="1">
      <c r="A105" s="167">
        <v>12.0</v>
      </c>
      <c r="B105" s="167">
        <v>830.0</v>
      </c>
      <c r="C105" s="250"/>
      <c r="D105" s="250"/>
      <c r="E105" s="250"/>
      <c r="F105" s="250"/>
      <c r="G105" s="250"/>
      <c r="H105" s="326">
        <v>50.0</v>
      </c>
      <c r="I105" s="167">
        <v>0.0</v>
      </c>
      <c r="J105" s="167">
        <v>0.0</v>
      </c>
      <c r="K105" s="167">
        <v>0.0</v>
      </c>
      <c r="L105" s="167">
        <v>0.0</v>
      </c>
      <c r="M105" s="167">
        <v>0.0</v>
      </c>
      <c r="N105" s="167">
        <v>0.0</v>
      </c>
      <c r="O105" s="167">
        <v>0.0</v>
      </c>
      <c r="P105" s="167">
        <v>0.0</v>
      </c>
      <c r="Q105" s="167">
        <v>0.0</v>
      </c>
      <c r="R105" s="167">
        <v>0.0</v>
      </c>
      <c r="S105" s="167">
        <v>0.0</v>
      </c>
      <c r="T105" s="167">
        <v>0.0</v>
      </c>
      <c r="U105" s="167">
        <v>0.0</v>
      </c>
      <c r="V105" s="167">
        <v>0.0</v>
      </c>
      <c r="W105" s="167">
        <v>0.0</v>
      </c>
      <c r="X105" s="167">
        <v>0.0</v>
      </c>
      <c r="Y105" s="167">
        <v>0.0</v>
      </c>
      <c r="Z105" s="167">
        <v>0.0</v>
      </c>
      <c r="AA105" s="167">
        <v>0.0</v>
      </c>
      <c r="AB105" s="167">
        <v>0.0</v>
      </c>
    </row>
    <row r="106" ht="15.75" customHeight="1">
      <c r="A106" s="167">
        <v>13.0</v>
      </c>
      <c r="B106" s="167">
        <v>940.0</v>
      </c>
      <c r="H106" s="326">
        <v>0.0</v>
      </c>
      <c r="I106" s="167">
        <v>0.0</v>
      </c>
      <c r="J106" s="167">
        <v>0.0</v>
      </c>
      <c r="K106" s="167">
        <v>0.0</v>
      </c>
      <c r="L106" s="167">
        <v>0.0</v>
      </c>
      <c r="M106" s="167">
        <v>0.0</v>
      </c>
      <c r="N106" s="167">
        <v>0.0</v>
      </c>
      <c r="O106" s="167">
        <v>0.0</v>
      </c>
      <c r="P106" s="167">
        <v>0.0</v>
      </c>
      <c r="Q106" s="167">
        <v>0.0</v>
      </c>
      <c r="R106" s="167">
        <v>10.0</v>
      </c>
      <c r="S106" s="167">
        <v>0.0</v>
      </c>
      <c r="T106" s="167">
        <v>0.0</v>
      </c>
      <c r="U106" s="167">
        <v>0.0</v>
      </c>
      <c r="V106" s="167">
        <v>0.0</v>
      </c>
      <c r="W106" s="167">
        <v>0.0</v>
      </c>
      <c r="X106" s="167">
        <v>0.0</v>
      </c>
      <c r="Y106" s="167">
        <v>0.0</v>
      </c>
      <c r="Z106" s="167">
        <v>0.0</v>
      </c>
      <c r="AA106" s="167">
        <v>0.0</v>
      </c>
      <c r="AB106" s="167">
        <v>0.0</v>
      </c>
    </row>
    <row r="107" ht="15.75" customHeight="1">
      <c r="A107" s="167">
        <v>14.0</v>
      </c>
      <c r="B107" s="167">
        <v>1040.0</v>
      </c>
      <c r="C107" s="250"/>
      <c r="D107" s="250"/>
      <c r="E107" s="250"/>
      <c r="F107" s="250"/>
      <c r="G107" s="250"/>
      <c r="H107" s="326">
        <v>0.0</v>
      </c>
      <c r="I107" s="167">
        <v>0.0</v>
      </c>
      <c r="J107" s="167">
        <v>0.0</v>
      </c>
      <c r="K107" s="167">
        <v>0.0</v>
      </c>
      <c r="L107" s="167">
        <v>0.0</v>
      </c>
      <c r="M107" s="167">
        <v>0.0</v>
      </c>
      <c r="N107" s="167">
        <v>0.0</v>
      </c>
      <c r="O107" s="167">
        <v>0.0</v>
      </c>
      <c r="P107" s="167">
        <v>0.0</v>
      </c>
      <c r="Q107" s="167">
        <v>0.0</v>
      </c>
      <c r="R107" s="167">
        <v>0.0</v>
      </c>
      <c r="S107" s="167">
        <v>0.0</v>
      </c>
      <c r="T107" s="167">
        <v>15.0</v>
      </c>
      <c r="U107" s="167">
        <v>0.0</v>
      </c>
      <c r="V107" s="167">
        <v>0.0</v>
      </c>
      <c r="W107" s="167">
        <v>0.0</v>
      </c>
      <c r="X107" s="167">
        <v>0.0</v>
      </c>
      <c r="Y107" s="167">
        <v>0.0</v>
      </c>
      <c r="Z107" s="167">
        <v>0.0</v>
      </c>
      <c r="AA107" s="167">
        <v>0.0</v>
      </c>
      <c r="AB107" s="167">
        <v>0.0</v>
      </c>
    </row>
    <row r="108" ht="15.75" customHeight="1">
      <c r="A108" s="167">
        <v>15.0</v>
      </c>
      <c r="B108" s="167">
        <v>1030.0</v>
      </c>
      <c r="H108" s="326">
        <v>0.0</v>
      </c>
      <c r="I108" s="167">
        <v>0.0</v>
      </c>
      <c r="J108" s="167">
        <v>0.0</v>
      </c>
      <c r="K108" s="167">
        <v>0.0</v>
      </c>
      <c r="L108" s="167">
        <v>0.0</v>
      </c>
      <c r="M108" s="167">
        <v>0.0</v>
      </c>
      <c r="N108" s="167">
        <v>0.0</v>
      </c>
      <c r="O108" s="167">
        <v>0.0</v>
      </c>
      <c r="P108" s="167">
        <v>0.0</v>
      </c>
      <c r="Q108" s="167">
        <v>60.0</v>
      </c>
      <c r="R108" s="167">
        <v>0.0</v>
      </c>
      <c r="S108" s="167">
        <v>0.0</v>
      </c>
      <c r="T108" s="167">
        <v>0.0</v>
      </c>
      <c r="U108" s="167">
        <v>0.0</v>
      </c>
      <c r="V108" s="167">
        <v>0.0</v>
      </c>
      <c r="W108" s="167">
        <v>0.0</v>
      </c>
      <c r="X108" s="167">
        <v>0.0</v>
      </c>
      <c r="Y108" s="167">
        <v>0.0</v>
      </c>
      <c r="Z108" s="167">
        <v>0.0</v>
      </c>
      <c r="AA108" s="167">
        <v>0.0</v>
      </c>
      <c r="AB108" s="167">
        <v>0.0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5:AB54">
    <cfRule type="cellIs" dxfId="4" priority="1" operator="greaterThan">
      <formula>0</formula>
    </cfRule>
  </conditionalFormatting>
  <conditionalFormatting sqref="A25:AB54">
    <cfRule type="expression" dxfId="5" priority="2">
      <formula>MOD(INT((ROW()-13)/3),2)=0</formula>
    </cfRule>
  </conditionalFormatting>
  <conditionalFormatting sqref="C58:AB72">
    <cfRule type="cellIs" dxfId="4" priority="3" operator="greaterThan">
      <formula>0</formula>
    </cfRule>
  </conditionalFormatting>
  <conditionalFormatting sqref="A58:AB72">
    <cfRule type="expression" dxfId="5" priority="4">
      <formula>ISEVEN($A58)</formula>
    </cfRule>
  </conditionalFormatting>
  <conditionalFormatting sqref="C76:AB90">
    <cfRule type="cellIs" dxfId="4" priority="5" operator="greaterThan">
      <formula>0</formula>
    </cfRule>
  </conditionalFormatting>
  <conditionalFormatting sqref="A76:AB90">
    <cfRule type="expression" dxfId="5" priority="6">
      <formula>ISEVEN($A76)</formula>
    </cfRule>
  </conditionalFormatting>
  <conditionalFormatting sqref="C94:AB108">
    <cfRule type="cellIs" dxfId="4" priority="7" operator="greaterThan">
      <formula>0</formula>
    </cfRule>
  </conditionalFormatting>
  <conditionalFormatting sqref="A94:AB108">
    <cfRule type="expression" dxfId="5" priority="8">
      <formula>ISEVEN($A94)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  <col customWidth="1" min="29" max="32" width="7.63"/>
    <col customWidth="1" min="33" max="33" width="2.5"/>
    <col customWidth="1" min="34" max="34" width="9.63"/>
    <col customWidth="1" min="35" max="35" width="7.0"/>
    <col customWidth="1" min="36" max="36" width="15.75"/>
    <col customWidth="1" min="37" max="37" width="7.0"/>
    <col customWidth="1" min="38" max="38" width="15.75"/>
    <col customWidth="1" min="39" max="39" width="7.0"/>
    <col customWidth="1" min="40" max="40" width="15.75"/>
    <col customWidth="1" min="41" max="41" width="7.0"/>
    <col customWidth="1" min="42" max="42" width="15.75"/>
    <col customWidth="1" min="43" max="43" width="7.0"/>
    <col customWidth="1" min="44" max="44" width="15.75"/>
    <col customWidth="1" min="45" max="45" width="7.63"/>
    <col customWidth="1" min="46" max="46" width="5.25"/>
    <col customWidth="1" min="47" max="47" width="7.0"/>
    <col customWidth="1" min="48" max="48" width="7.13"/>
  </cols>
  <sheetData>
    <row r="1" ht="21.75" customHeight="1">
      <c r="A1" s="327" t="s">
        <v>73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W1" s="328"/>
      <c r="X1" s="328"/>
      <c r="Y1" s="328"/>
      <c r="Z1" s="328"/>
      <c r="AA1" s="328"/>
      <c r="AB1" s="328"/>
      <c r="AC1" s="328"/>
      <c r="AD1" s="328"/>
      <c r="AE1" s="328"/>
      <c r="AF1" s="328"/>
      <c r="AG1" s="328"/>
      <c r="AH1" s="329" t="s">
        <v>279</v>
      </c>
      <c r="AI1" s="328"/>
      <c r="AJ1" s="328"/>
      <c r="AK1" s="328"/>
      <c r="AL1" s="328"/>
      <c r="AM1" s="328"/>
      <c r="AN1" s="328"/>
      <c r="AO1" s="328"/>
      <c r="AP1" s="328"/>
      <c r="AQ1" s="328"/>
      <c r="AR1" s="328"/>
      <c r="AS1" s="328"/>
      <c r="AT1" s="328"/>
      <c r="AU1" s="328"/>
    </row>
    <row r="2" ht="19.5" customHeight="1">
      <c r="A2" s="150" t="s">
        <v>106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328"/>
      <c r="AD2" s="328"/>
      <c r="AE2" s="328"/>
      <c r="AF2" s="328"/>
      <c r="AG2" s="328"/>
      <c r="AH2" s="223" t="s">
        <v>177</v>
      </c>
      <c r="AI2" s="232" t="s">
        <v>201</v>
      </c>
      <c r="AJ2" s="328"/>
      <c r="AK2" s="328"/>
      <c r="AL2" s="328"/>
      <c r="AM2" s="328"/>
      <c r="AN2" s="328"/>
      <c r="AO2" s="328"/>
      <c r="AP2" s="328"/>
      <c r="AQ2" s="328"/>
      <c r="AR2" s="328"/>
      <c r="AS2" s="328"/>
      <c r="AT2" s="328"/>
      <c r="AU2" s="328"/>
    </row>
    <row r="3">
      <c r="A3" s="253" t="s">
        <v>207</v>
      </c>
      <c r="B3" s="330">
        <v>3.0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  <c r="Z3" s="328"/>
      <c r="AA3" s="328"/>
      <c r="AB3" s="328"/>
      <c r="AC3" s="328"/>
      <c r="AD3" s="328"/>
      <c r="AE3" s="328"/>
      <c r="AF3" s="328"/>
      <c r="AG3" s="328"/>
      <c r="AH3" s="223" t="s">
        <v>179</v>
      </c>
      <c r="AI3" s="232" t="s">
        <v>180</v>
      </c>
      <c r="AJ3" s="328"/>
      <c r="AK3" s="328"/>
      <c r="AL3" s="328"/>
      <c r="AM3" s="328"/>
      <c r="AN3" s="328"/>
      <c r="AO3" s="328"/>
      <c r="AP3" s="328"/>
      <c r="AQ3" s="328"/>
      <c r="AR3" s="328"/>
      <c r="AS3" s="328"/>
      <c r="AT3" s="328"/>
      <c r="AU3" s="328"/>
    </row>
    <row r="4">
      <c r="A4" s="253" t="s">
        <v>170</v>
      </c>
      <c r="B4" s="254">
        <v>1.0</v>
      </c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  <c r="W4" s="328"/>
      <c r="X4" s="328"/>
      <c r="Y4" s="328"/>
      <c r="Z4" s="328"/>
      <c r="AA4" s="328"/>
      <c r="AB4" s="328"/>
      <c r="AC4" s="328"/>
      <c r="AD4" s="328"/>
      <c r="AE4" s="328"/>
      <c r="AF4" s="328"/>
      <c r="AG4" s="328"/>
      <c r="AH4" s="328"/>
      <c r="AI4" s="328"/>
      <c r="AJ4" s="328"/>
      <c r="AK4" s="328"/>
      <c r="AL4" s="328"/>
      <c r="AM4" s="328"/>
      <c r="AN4" s="328"/>
      <c r="AO4" s="328"/>
      <c r="AP4" s="328"/>
      <c r="AQ4" s="328"/>
      <c r="AR4" s="328"/>
      <c r="AS4" s="328"/>
      <c r="AT4" s="328"/>
      <c r="AU4" s="233" t="s">
        <v>283</v>
      </c>
      <c r="AW4" s="233" t="s">
        <v>266</v>
      </c>
      <c r="AX4" s="233" t="s">
        <v>284</v>
      </c>
    </row>
    <row r="5">
      <c r="A5" s="253" t="s">
        <v>171</v>
      </c>
      <c r="B5" s="254">
        <v>17.0</v>
      </c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  <c r="W5" s="328"/>
      <c r="X5" s="328"/>
      <c r="Y5" s="328"/>
      <c r="Z5" s="328"/>
      <c r="AA5" s="328"/>
      <c r="AB5" s="328"/>
      <c r="AC5" s="328"/>
      <c r="AD5" s="328"/>
      <c r="AE5" s="328"/>
      <c r="AF5" s="328"/>
      <c r="AG5" s="328"/>
      <c r="AH5" s="226" t="s">
        <v>181</v>
      </c>
      <c r="AI5" s="226" t="s">
        <v>182</v>
      </c>
      <c r="AJ5" s="226" t="s">
        <v>183</v>
      </c>
      <c r="AK5" s="226" t="s">
        <v>184</v>
      </c>
      <c r="AL5" s="226" t="s">
        <v>185</v>
      </c>
      <c r="AM5" s="226" t="s">
        <v>187</v>
      </c>
      <c r="AN5" s="226" t="s">
        <v>188</v>
      </c>
      <c r="AO5" s="226" t="s">
        <v>189</v>
      </c>
      <c r="AP5" s="226" t="s">
        <v>191</v>
      </c>
      <c r="AQ5" s="226" t="s">
        <v>192</v>
      </c>
      <c r="AR5" s="226" t="s">
        <v>194</v>
      </c>
      <c r="AS5" s="328"/>
      <c r="AT5" s="234">
        <v>1.0</v>
      </c>
      <c r="AU5" s="331">
        <f t="shared" ref="AU5:AU34" si="1">SUM($F$25:$F25)</f>
        <v>80</v>
      </c>
      <c r="AW5" s="234">
        <v>1.0</v>
      </c>
      <c r="AX5" s="331">
        <v>155.0</v>
      </c>
    </row>
    <row r="6">
      <c r="A6" s="253" t="s">
        <v>248</v>
      </c>
      <c r="B6" s="254" t="b">
        <f>TRUE()</f>
        <v>1</v>
      </c>
      <c r="C6" s="328"/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227">
        <f>IF(1&lt;=$B$3,1,"")</f>
        <v>1</v>
      </c>
      <c r="AI6" s="237">
        <f t="array" ref="AI6">IF($AH6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6),AVERAGEIFS(data_event_accrual!$K:$K,data_event_accrual!$A:$A,"Photoshoot",data_event_accrual!$B:$B,$AI$3,data_event_accrual!$C:$C,"0-9",data_event_accrual!$E:$E,$AH6),AVERAGEIFS(data_event_accrual!$J:$J,data_event_accrual!$A:$A,"Photoshoot",data_event_accrual!$B:$B,$AI$3,data_event_accrual!$C:$C,"0-9",data_event_accrual!$E:$E,$AH6),AVERAGEIFS(data_event_accrual!$L:$L,data_event_accrual!$A:$A,"Photoshoot",data_event_accrual!$B:$B,$AI$3,data_event_accrual!$C:$C,"0-9",data_event_accrual!$E:$E,$AH6)),1)),COUNTIF($AX$5:$AX$14,"&lt;="&amp;bal*shr)))</f>
        <v>0</v>
      </c>
      <c r="AJ6" s="238" t="str">
        <f t="array" ref="AJ6">IF($AH6="","",IF(AI6=0,"{}",LET(m,AI6,s,MMULT(TRANSPOSE((SEQUENCE(10,1,1,1)&lt;=m)*1),VSTACK($H$27:$AB$27,$H$30:$AB$30,$H$33:$AB$33,$H$36:$AB$36,$H$39:$AB$39,$H$42:$AB$42,$H$45:$AB$45,$H$48:$AB$48,$H$51:$AB$51,$H$54:$AB$54)),"{"&amp;TEXTJOIN(",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6" s="237">
        <f t="array" ref="AK6">IF($AH6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6),AVERAGEIFS(data_event_accrual!$K:$K,data_event_accrual!$A:$A,"Photoshoot",data_event_accrual!$B:$B,$AI$3,data_event_accrual!$C:$C,"10-19",data_event_accrual!$E:$E,$AH6),AVERAGEIFS(data_event_accrual!$J:$J,data_event_accrual!$A:$A,"Photoshoot",data_event_accrual!$B:$B,$AI$3,data_event_accrual!$C:$C,"10-19",data_event_accrual!$E:$E,$AH6),AVERAGEIFS(data_event_accrual!$L:$L,data_event_accrual!$A:$A,"Photoshoot",data_event_accrual!$B:$B,$AI$3,data_event_accrual!$C:$C,"10-19",data_event_accrual!$E:$E,$AH6)),1)),COUNTIF($AX$5:$AX$14,"&lt;="&amp;bal*shr)))</f>
        <v>0</v>
      </c>
      <c r="AL6" s="238" t="str">
        <f t="array" ref="AL6">IF($AH6="","",IF(AK6=0,"{}",LET(m,AK6,s,MMULT(TRANSPOSE((SEQUENCE(10,1,1,1)&lt;=m)*1),VSTACK($H$27:$AB$27,$H$30:$AB$30,$H$33:$AB$33,$H$36:$AB$36,$H$39:$AB$39,$H$42:$AB$42,$H$45:$AB$45,$H$48:$AB$48,$H$51:$AB$51,$H$54:$AB$54)),"{"&amp;TEXTJOIN(",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M6" s="237">
        <f t="array" ref="AM6">IF($AH6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6),AVERAGEIFS(data_event_accrual!$K:$K,data_event_accrual!$A:$A,"Photoshoot",data_event_accrual!$B:$B,$AI$3,data_event_accrual!$C:$C,"20-39",data_event_accrual!$E:$E,$AH6),AVERAGEIFS(data_event_accrual!$J:$J,data_event_accrual!$A:$A,"Photoshoot",data_event_accrual!$B:$B,$AI$3,data_event_accrual!$C:$C,"20-39",data_event_accrual!$E:$E,$AH6),AVERAGEIFS(data_event_accrual!$L:$L,data_event_accrual!$A:$A,"Photoshoot",data_event_accrual!$B:$B,$AI$3,data_event_accrual!$C:$C,"20-39",data_event_accrual!$E:$E,$AH6)),1)),COUNTIF($AX$5:$AX$14,"&lt;="&amp;bal*shr)))</f>
        <v>1</v>
      </c>
      <c r="AN6" s="238" t="str">
        <f t="array" ref="AN6">IF($AH6="","",IF(AM6=0,"{}",LET(m,AM6,s,MMULT(TRANSPOSE((SEQUENCE(10,1,1,1)&lt;=m)*1),VSTACK($H$27:$AB$27,$H$30:$AB$30,$H$33:$AB$33,$H$36:$AB$36,$H$39:$AB$39,$H$42:$AB$42,$H$45:$AB$45,$H$48:$AB$48,$H$51:$AB$51,$H$54:$AB$54)),"{"&amp;TEXTJOIN(",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O6" s="237">
        <f t="array" ref="AO6">IF($AH6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6),AVERAGEIFS(data_event_accrual!$K:$K,data_event_accrual!$A:$A,"Photoshoot",data_event_accrual!$B:$B,$AI$3,data_event_accrual!$C:$C,"40-99",data_event_accrual!$E:$E,$AH6),AVERAGEIFS(data_event_accrual!$J:$J,data_event_accrual!$A:$A,"Photoshoot",data_event_accrual!$B:$B,$AI$3,data_event_accrual!$C:$C,"40-99",data_event_accrual!$E:$E,$AH6),AVERAGEIFS(data_event_accrual!$L:$L,data_event_accrual!$A:$A,"Photoshoot",data_event_accrual!$B:$B,$AI$3,data_event_accrual!$C:$C,"40-99",data_event_accrual!$E:$E,$AH6)),1)),COUNTIF($AX$5:$AX$14,"&lt;="&amp;bal*shr)))</f>
        <v>2</v>
      </c>
      <c r="AP6" s="238" t="str">
        <f t="array" ref="AP6">IF($AH6="","",IF(AO6=0,"{}",LET(m,AO6,s,MMULT(TRANSPOSE((SEQUENCE(10,1,1,1)&lt;=m)*1),VSTACK($H$27:$AB$27,$H$30:$AB$30,$H$33:$AB$33,$H$36:$AB$36,$H$39:$AB$39,$H$42:$AB$42,$H$45:$AB$45,$H$48:$AB$48,$H$51:$AB$51,$H$54:$AB$54)),"{"&amp;TEXTJOIN(",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Q6" s="237">
        <f t="array" ref="AQ6">IF($AH6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6),AVERAGEIFS(data_event_accrual!$K:$K,data_event_accrual!$A:$A,"Photoshoot",data_event_accrual!$B:$B,$AI$3,data_event_accrual!$C:$C,"100+",data_event_accrual!$E:$E,$AH6),AVERAGEIFS(data_event_accrual!$J:$J,data_event_accrual!$A:$A,"Photoshoot",data_event_accrual!$B:$B,$AI$3,data_event_accrual!$C:$C,"100+",data_event_accrual!$E:$E,$AH6),AVERAGEIFS(data_event_accrual!$L:$L,data_event_accrual!$A:$A,"Photoshoot",data_event_accrual!$B:$B,$AI$3,data_event_accrual!$C:$C,"100+",data_event_accrual!$E:$E,$AH6)),1)),COUNTIF($AX$5:$AX$14,"&lt;="&amp;bal*shr)))</f>
        <v>0</v>
      </c>
      <c r="AR6" s="238" t="str">
        <f t="array" ref="AR6">IF($AH6="","",IF(AQ6=0,"{}",LET(m,AQ6,s,MMULT(TRANSPOSE((SEQUENCE(10,1,1,1)&lt;=m)*1),VSTACK($H$27:$AB$27,$H$30:$AB$30,$H$33:$AB$33,$H$36:$AB$36,$H$39:$AB$39,$H$42:$AB$42,$H$45:$AB$45,$H$48:$AB$48,$H$51:$AB$51,$H$54:$AB$54)),"{"&amp;TEXTJOIN(",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S6" s="328"/>
      <c r="AT6" s="234">
        <v>2.0</v>
      </c>
      <c r="AU6" s="331">
        <f t="shared" si="1"/>
        <v>210</v>
      </c>
      <c r="AW6" s="234">
        <v>2.0</v>
      </c>
      <c r="AX6" s="331">
        <v>395.0</v>
      </c>
    </row>
    <row r="7">
      <c r="A7" s="253" t="s">
        <v>249</v>
      </c>
      <c r="B7" s="254" t="b">
        <f>FALSE()</f>
        <v>0</v>
      </c>
      <c r="C7" s="328"/>
      <c r="D7" s="328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328"/>
      <c r="X7" s="328"/>
      <c r="Y7" s="328"/>
      <c r="Z7" s="328"/>
      <c r="AA7" s="328"/>
      <c r="AB7" s="328"/>
      <c r="AC7" s="328"/>
      <c r="AD7" s="328"/>
      <c r="AE7" s="328"/>
      <c r="AF7" s="328"/>
      <c r="AG7" s="328"/>
      <c r="AH7" s="227">
        <f>IF(2&lt;=$B$3,2,"")</f>
        <v>2</v>
      </c>
      <c r="AI7" s="237">
        <f t="array" ref="AI7">IF($AH7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7),AVERAGEIFS(data_event_accrual!$K:$K,data_event_accrual!$A:$A,"Photoshoot",data_event_accrual!$B:$B,$AI$3,data_event_accrual!$C:$C,"0-9",data_event_accrual!$E:$E,$AH7),AVERAGEIFS(data_event_accrual!$J:$J,data_event_accrual!$A:$A,"Photoshoot",data_event_accrual!$B:$B,$AI$3,data_event_accrual!$C:$C,"0-9",data_event_accrual!$E:$E,$AH7),AVERAGEIFS(data_event_accrual!$L:$L,data_event_accrual!$A:$A,"Photoshoot",data_event_accrual!$B:$B,$AI$3,data_event_accrual!$C:$C,"0-9",data_event_accrual!$E:$E,$AH7)),1)),COUNTIF($AX$5:$AX$14,"&lt;="&amp;bal*shr)))</f>
        <v>0</v>
      </c>
      <c r="AJ7" s="238" t="str">
        <f t="array" ref="AJ7">IF($AH7="","",IF(AI7=0,"{}",LET(m,AI7,s,MMULT(TRANSPOSE((SEQUENCE(10,1,1,1)&lt;=m)*1),VSTACK($H$27:$AB$27,$H$30:$AB$30,$H$33:$AB$33,$H$36:$AB$36,$H$39:$AB$39,$H$42:$AB$42,$H$45:$AB$45,$H$48:$AB$48,$H$51:$AB$51,$H$54:$AB$54)),"{"&amp;TEXTJOIN(",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7" s="237">
        <f t="array" ref="AK7">IF($AH7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7),AVERAGEIFS(data_event_accrual!$K:$K,data_event_accrual!$A:$A,"Photoshoot",data_event_accrual!$B:$B,$AI$3,data_event_accrual!$C:$C,"10-19",data_event_accrual!$E:$E,$AH7),AVERAGEIFS(data_event_accrual!$J:$J,data_event_accrual!$A:$A,"Photoshoot",data_event_accrual!$B:$B,$AI$3,data_event_accrual!$C:$C,"10-19",data_event_accrual!$E:$E,$AH7),AVERAGEIFS(data_event_accrual!$L:$L,data_event_accrual!$A:$A,"Photoshoot",data_event_accrual!$B:$B,$AI$3,data_event_accrual!$C:$C,"10-19",data_event_accrual!$E:$E,$AH7)),1)),COUNTIF($AX$5:$AX$14,"&lt;="&amp;bal*shr)))</f>
        <v>1</v>
      </c>
      <c r="AL7" s="238" t="str">
        <f t="array" ref="AL7">IF($AH7="","",IF(AK7=0,"{}",LET(m,AK7,s,MMULT(TRANSPOSE((SEQUENCE(10,1,1,1)&lt;=m)*1),VSTACK($H$27:$AB$27,$H$30:$AB$30,$H$33:$AB$33,$H$36:$AB$36,$H$39:$AB$39,$H$42:$AB$42,$H$45:$AB$45,$H$48:$AB$48,$H$51:$AB$51,$H$54:$AB$54)),"{"&amp;TEXTJOIN(",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7" s="237">
        <f t="array" ref="AM7">IF($AH7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7),AVERAGEIFS(data_event_accrual!$K:$K,data_event_accrual!$A:$A,"Photoshoot",data_event_accrual!$B:$B,$AI$3,data_event_accrual!$C:$C,"20-39",data_event_accrual!$E:$E,$AH7),AVERAGEIFS(data_event_accrual!$J:$J,data_event_accrual!$A:$A,"Photoshoot",data_event_accrual!$B:$B,$AI$3,data_event_accrual!$C:$C,"20-39",data_event_accrual!$E:$E,$AH7),AVERAGEIFS(data_event_accrual!$L:$L,data_event_accrual!$A:$A,"Photoshoot",data_event_accrual!$B:$B,$AI$3,data_event_accrual!$C:$C,"20-39",data_event_accrual!$E:$E,$AH7)),1)),COUNTIF($AX$5:$AX$14,"&lt;="&amp;bal*shr)))</f>
        <v>2</v>
      </c>
      <c r="AN7" s="238" t="str">
        <f t="array" ref="AN7">IF($AH7="","",IF(AM7=0,"{}",LET(m,AM7,s,MMULT(TRANSPOSE((SEQUENCE(10,1,1,1)&lt;=m)*1),VSTACK($H$27:$AB$27,$H$30:$AB$30,$H$33:$AB$33,$H$36:$AB$36,$H$39:$AB$39,$H$42:$AB$42,$H$45:$AB$45,$H$48:$AB$48,$H$51:$AB$51,$H$54:$AB$54)),"{"&amp;TEXTJOIN(",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O7" s="237">
        <f t="array" ref="AO7">IF($AH7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7),AVERAGEIFS(data_event_accrual!$K:$K,data_event_accrual!$A:$A,"Photoshoot",data_event_accrual!$B:$B,$AI$3,data_event_accrual!$C:$C,"40-99",data_event_accrual!$E:$E,$AH7),AVERAGEIFS(data_event_accrual!$J:$J,data_event_accrual!$A:$A,"Photoshoot",data_event_accrual!$B:$B,$AI$3,data_event_accrual!$C:$C,"40-99",data_event_accrual!$E:$E,$AH7),AVERAGEIFS(data_event_accrual!$L:$L,data_event_accrual!$A:$A,"Photoshoot",data_event_accrual!$B:$B,$AI$3,data_event_accrual!$C:$C,"40-99",data_event_accrual!$E:$E,$AH7)),1)),COUNTIF($AX$5:$AX$14,"&lt;="&amp;bal*shr)))</f>
        <v>3</v>
      </c>
      <c r="AP7" s="238" t="str">
        <f t="array" ref="AP7">IF($AH7="","",IF(AO7=0,"{}",LET(m,AO7,s,MMULT(TRANSPOSE((SEQUENCE(10,1,1,1)&lt;=m)*1),VSTACK($H$27:$AB$27,$H$30:$AB$30,$H$33:$AB$33,$H$36:$AB$36,$H$39:$AB$39,$H$42:$AB$42,$H$45:$AB$45,$H$48:$AB$48,$H$51:$AB$51,$H$54:$AB$54)),"{"&amp;TEXTJOIN(",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Q7" s="237">
        <f t="array" ref="AQ7">IF($AH7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7),AVERAGEIFS(data_event_accrual!$K:$K,data_event_accrual!$A:$A,"Photoshoot",data_event_accrual!$B:$B,$AI$3,data_event_accrual!$C:$C,"100+",data_event_accrual!$E:$E,$AH7),AVERAGEIFS(data_event_accrual!$J:$J,data_event_accrual!$A:$A,"Photoshoot",data_event_accrual!$B:$B,$AI$3,data_event_accrual!$C:$C,"100+",data_event_accrual!$E:$E,$AH7),AVERAGEIFS(data_event_accrual!$L:$L,data_event_accrual!$A:$A,"Photoshoot",data_event_accrual!$B:$B,$AI$3,data_event_accrual!$C:$C,"100+",data_event_accrual!$E:$E,$AH7)),1)),COUNTIF($AX$5:$AX$14,"&lt;="&amp;bal*shr)))</f>
        <v>0</v>
      </c>
      <c r="AR7" s="238" t="str">
        <f t="array" ref="AR7">IF($AH7="","",IF(AQ7=0,"{}",LET(m,AQ7,s,MMULT(TRANSPOSE((SEQUENCE(10,1,1,1)&lt;=m)*1),VSTACK($H$27:$AB$27,$H$30:$AB$30,$H$33:$AB$33,$H$36:$AB$36,$H$39:$AB$39,$H$42:$AB$42,$H$45:$AB$45,$H$48:$AB$48,$H$51:$AB$51,$H$54:$AB$54)),"{"&amp;TEXTJOIN(",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S7" s="328"/>
      <c r="AT7" s="234">
        <v>3.0</v>
      </c>
      <c r="AU7" s="331">
        <f t="shared" si="1"/>
        <v>365</v>
      </c>
      <c r="AW7" s="234">
        <v>3.0</v>
      </c>
      <c r="AX7" s="331">
        <v>640.0</v>
      </c>
    </row>
    <row r="8">
      <c r="A8" s="253" t="s">
        <v>217</v>
      </c>
      <c r="B8" s="337" t="s">
        <v>250</v>
      </c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Z8" s="328"/>
      <c r="AA8" s="328"/>
      <c r="AB8" s="328"/>
      <c r="AC8" s="328"/>
      <c r="AD8" s="328"/>
      <c r="AE8" s="328"/>
      <c r="AF8" s="328"/>
      <c r="AG8" s="328"/>
      <c r="AH8" s="227">
        <f>IF(3&lt;=$B$3,3,"")</f>
        <v>3</v>
      </c>
      <c r="AI8" s="237">
        <f t="array" ref="AI8">IF($AH8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8),AVERAGEIFS(data_event_accrual!$K:$K,data_event_accrual!$A:$A,"Photoshoot",data_event_accrual!$B:$B,$AI$3,data_event_accrual!$C:$C,"0-9",data_event_accrual!$E:$E,$AH8),AVERAGEIFS(data_event_accrual!$J:$J,data_event_accrual!$A:$A,"Photoshoot",data_event_accrual!$B:$B,$AI$3,data_event_accrual!$C:$C,"0-9",data_event_accrual!$E:$E,$AH8),AVERAGEIFS(data_event_accrual!$L:$L,data_event_accrual!$A:$A,"Photoshoot",data_event_accrual!$B:$B,$AI$3,data_event_accrual!$C:$C,"0-9",data_event_accrual!$E:$E,$AH8)),1)),COUNTIF($AX$5:$AX$14,"&lt;="&amp;bal*shr)))</f>
        <v>1</v>
      </c>
      <c r="AJ8" s="238" t="str">
        <f t="array" ref="AJ8">IF($AH8="","",IF(AI8=0,"{}",LET(m,AI8,s,MMULT(TRANSPOSE((SEQUENCE(10,1,1,1)&lt;=m)*1),VSTACK($H$27:$AB$27,$H$30:$AB$30,$H$33:$AB$33,$H$36:$AB$36,$H$39:$AB$39,$H$42:$AB$42,$H$45:$AB$45,$H$48:$AB$48,$H$51:$AB$51,$H$54:$AB$54)),"{"&amp;TEXTJOIN(",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K8" s="237">
        <f t="array" ref="AK8">IF($AH8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8),AVERAGEIFS(data_event_accrual!$K:$K,data_event_accrual!$A:$A,"Photoshoot",data_event_accrual!$B:$B,$AI$3,data_event_accrual!$C:$C,"10-19",data_event_accrual!$E:$E,$AH8),AVERAGEIFS(data_event_accrual!$J:$J,data_event_accrual!$A:$A,"Photoshoot",data_event_accrual!$B:$B,$AI$3,data_event_accrual!$C:$C,"10-19",data_event_accrual!$E:$E,$AH8),AVERAGEIFS(data_event_accrual!$L:$L,data_event_accrual!$A:$A,"Photoshoot",data_event_accrual!$B:$B,$AI$3,data_event_accrual!$C:$C,"10-19",data_event_accrual!$E:$E,$AH8)),1)),COUNTIF($AX$5:$AX$14,"&lt;="&amp;bal*shr)))</f>
        <v>1</v>
      </c>
      <c r="AL8" s="238" t="str">
        <f t="array" ref="AL8">IF($AH8="","",IF(AK8=0,"{}",LET(m,AK8,s,MMULT(TRANSPOSE((SEQUENCE(10,1,1,1)&lt;=m)*1),VSTACK($H$27:$AB$27,$H$30:$AB$30,$H$33:$AB$33,$H$36:$AB$36,$H$39:$AB$39,$H$42:$AB$42,$H$45:$AB$45,$H$48:$AB$48,$H$51:$AB$51,$H$54:$AB$54)),"{"&amp;TEXTJOIN(",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8" s="237">
        <f t="array" ref="AM8">IF($AH8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8),AVERAGEIFS(data_event_accrual!$K:$K,data_event_accrual!$A:$A,"Photoshoot",data_event_accrual!$B:$B,$AI$3,data_event_accrual!$C:$C,"20-39",data_event_accrual!$E:$E,$AH8),AVERAGEIFS(data_event_accrual!$J:$J,data_event_accrual!$A:$A,"Photoshoot",data_event_accrual!$B:$B,$AI$3,data_event_accrual!$C:$C,"20-39",data_event_accrual!$E:$E,$AH8),AVERAGEIFS(data_event_accrual!$L:$L,data_event_accrual!$A:$A,"Photoshoot",data_event_accrual!$B:$B,$AI$3,data_event_accrual!$C:$C,"20-39",data_event_accrual!$E:$E,$AH8)),1)),COUNTIF($AX$5:$AX$14,"&lt;="&amp;bal*shr)))</f>
        <v>3</v>
      </c>
      <c r="AN8" s="238" t="str">
        <f t="array" ref="AN8">IF($AH8="","",IF(AM8=0,"{}",LET(m,AM8,s,MMULT(TRANSPOSE((SEQUENCE(10,1,1,1)&lt;=m)*1),VSTACK($H$27:$AB$27,$H$30:$AB$30,$H$33:$AB$33,$H$36:$AB$36,$H$39:$AB$39,$H$42:$AB$42,$H$45:$AB$45,$H$48:$AB$48,$H$51:$AB$51,$H$54:$AB$54)),"{"&amp;TEXTJOIN(",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O8" s="237">
        <f t="array" ref="AO8">IF($AH8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8),AVERAGEIFS(data_event_accrual!$K:$K,data_event_accrual!$A:$A,"Photoshoot",data_event_accrual!$B:$B,$AI$3,data_event_accrual!$C:$C,"40-99",data_event_accrual!$E:$E,$AH8),AVERAGEIFS(data_event_accrual!$J:$J,data_event_accrual!$A:$A,"Photoshoot",data_event_accrual!$B:$B,$AI$3,data_event_accrual!$C:$C,"40-99",data_event_accrual!$E:$E,$AH8),AVERAGEIFS(data_event_accrual!$L:$L,data_event_accrual!$A:$A,"Photoshoot",data_event_accrual!$B:$B,$AI$3,data_event_accrual!$C:$C,"40-99",data_event_accrual!$E:$E,$AH8)),1)),COUNTIF($AX$5:$AX$14,"&lt;="&amp;bal*shr)))</f>
        <v>4</v>
      </c>
      <c r="AP8" s="238" t="str">
        <f t="array" ref="AP8">IF($AH8="","",IF(AO8=0,"{}",LET(m,AO8,s,MMULT(TRANSPOSE((SEQUENCE(10,1,1,1)&lt;=m)*1),VSTACK($H$27:$AB$27,$H$30:$AB$30,$H$33:$AB$33,$H$36:$AB$36,$H$39:$AB$39,$H$42:$AB$42,$H$45:$AB$45,$H$48:$AB$48,$H$51:$AB$51,$H$54:$AB$54)),"{"&amp;TEXTJOIN(",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60, Unlimited Red: 15}</v>
      </c>
      <c r="AQ8" s="237">
        <f t="array" ref="AQ8">IF($AH8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8),AVERAGEIFS(data_event_accrual!$K:$K,data_event_accrual!$A:$A,"Photoshoot",data_event_accrual!$B:$B,$AI$3,data_event_accrual!$C:$C,"100+",data_event_accrual!$E:$E,$AH8),AVERAGEIFS(data_event_accrual!$J:$J,data_event_accrual!$A:$A,"Photoshoot",data_event_accrual!$B:$B,$AI$3,data_event_accrual!$C:$C,"100+",data_event_accrual!$E:$E,$AH8),AVERAGEIFS(data_event_accrual!$L:$L,data_event_accrual!$A:$A,"Photoshoot",data_event_accrual!$B:$B,$AI$3,data_event_accrual!$C:$C,"100+",data_event_accrual!$E:$E,$AH8)),1)),COUNTIF($AX$5:$AX$14,"&lt;="&amp;bal*shr)))</f>
        <v>0</v>
      </c>
      <c r="AR8" s="238" t="str">
        <f t="array" ref="AR8">IF($AH8="","",IF(AQ8=0,"{}",LET(m,AQ8,s,MMULT(TRANSPOSE((SEQUENCE(10,1,1,1)&lt;=m)*1),VSTACK($H$27:$AB$27,$H$30:$AB$30,$H$33:$AB$33,$H$36:$AB$36,$H$39:$AB$39,$H$42:$AB$42,$H$45:$AB$45,$H$48:$AB$48,$H$51:$AB$51,$H$54:$AB$54)),"{"&amp;TEXTJOIN(",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S8" s="328"/>
      <c r="AT8" s="234">
        <v>4.0</v>
      </c>
      <c r="AU8" s="331">
        <f t="shared" si="1"/>
        <v>445</v>
      </c>
      <c r="AW8" s="234">
        <v>4.0</v>
      </c>
      <c r="AX8" s="331">
        <v>985.0</v>
      </c>
    </row>
    <row r="9">
      <c r="A9" s="253" t="s">
        <v>251</v>
      </c>
      <c r="B9" s="254">
        <v>30.0</v>
      </c>
      <c r="C9" s="328"/>
      <c r="D9" s="328"/>
      <c r="E9" s="328"/>
      <c r="F9" s="328"/>
      <c r="G9" s="328"/>
      <c r="H9" s="328"/>
      <c r="I9" s="328"/>
      <c r="J9" s="328"/>
      <c r="K9" s="328"/>
      <c r="L9" s="328"/>
      <c r="M9" s="328"/>
      <c r="N9" s="328"/>
      <c r="O9" s="328"/>
      <c r="P9" s="328"/>
      <c r="Q9" s="328"/>
      <c r="R9" s="328"/>
      <c r="S9" s="328"/>
      <c r="T9" s="328"/>
      <c r="U9" s="328"/>
      <c r="V9" s="328"/>
      <c r="W9" s="328"/>
      <c r="X9" s="328"/>
      <c r="Y9" s="328"/>
      <c r="Z9" s="328"/>
      <c r="AA9" s="328"/>
      <c r="AB9" s="328"/>
      <c r="AC9" s="328"/>
      <c r="AD9" s="328"/>
      <c r="AE9" s="328"/>
      <c r="AF9" s="328"/>
      <c r="AG9" s="328"/>
      <c r="AH9" s="227" t="str">
        <f>IF(4&lt;=$B$3,4,"")</f>
        <v/>
      </c>
      <c r="AI9" s="237" t="str">
        <f t="array" ref="AI9">IF($AH9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9),AVERAGEIFS(data_event_accrual!$K:$K,data_event_accrual!$A:$A,"Photoshoot",data_event_accrual!$B:$B,$AI$3,data_event_accrual!$C:$C,"0-9",data_event_accrual!$E:$E,$AH9),AVERAGEIFS(data_event_accrual!$J:$J,data_event_accrual!$A:$A,"Photoshoot",data_event_accrual!$B:$B,$AI$3,data_event_accrual!$C:$C,"0-9",data_event_accrual!$E:$E,$AH9),AVERAGEIFS(data_event_accrual!$L:$L,data_event_accrual!$A:$A,"Photoshoot",data_event_accrual!$B:$B,$AI$3,data_event_accrual!$C:$C,"0-9",data_event_accrual!$E:$E,$AH9)),1)),COUNTIF($AX$5:$AX$14,"&lt;="&amp;bal*shr)))</f>
        <v/>
      </c>
      <c r="AJ9" s="238" t="str">
        <f t="array" ref="AJ9">IF($AH9="","",IF(AI9=0,"{}",LET(m,AI9,s,MMULT(TRANSPOSE((SEQUENCE(10,1,1,1)&lt;=m)*1),VSTACK($H$27:$AB$27,$H$30:$AB$30,$H$33:$AB$33,$H$36:$AB$36,$H$39:$AB$39,$H$42:$AB$42,$H$45:$AB$45,$H$48:$AB$48,$H$51:$AB$51,$H$54:$AB$54)),"{"&amp;TEXTJOIN(",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9" s="237" t="str">
        <f t="array" ref="AK9">IF($AH9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9),AVERAGEIFS(data_event_accrual!$K:$K,data_event_accrual!$A:$A,"Photoshoot",data_event_accrual!$B:$B,$AI$3,data_event_accrual!$C:$C,"10-19",data_event_accrual!$E:$E,$AH9),AVERAGEIFS(data_event_accrual!$J:$J,data_event_accrual!$A:$A,"Photoshoot",data_event_accrual!$B:$B,$AI$3,data_event_accrual!$C:$C,"10-19",data_event_accrual!$E:$E,$AH9),AVERAGEIFS(data_event_accrual!$L:$L,data_event_accrual!$A:$A,"Photoshoot",data_event_accrual!$B:$B,$AI$3,data_event_accrual!$C:$C,"10-19",data_event_accrual!$E:$E,$AH9)),1)),COUNTIF($AX$5:$AX$14,"&lt;="&amp;bal*shr)))</f>
        <v/>
      </c>
      <c r="AL9" s="238" t="str">
        <f t="array" ref="AL9">IF($AH9="","",IF(AK9=0,"{}",LET(m,AK9,s,MMULT(TRANSPOSE((SEQUENCE(10,1,1,1)&lt;=m)*1),VSTACK($H$27:$AB$27,$H$30:$AB$30,$H$33:$AB$33,$H$36:$AB$36,$H$39:$AB$39,$H$42:$AB$42,$H$45:$AB$45,$H$48:$AB$48,$H$51:$AB$51,$H$54:$AB$54)),"{"&amp;TEXTJOIN(",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9" s="237" t="str">
        <f t="array" ref="AM9">IF($AH9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9),AVERAGEIFS(data_event_accrual!$K:$K,data_event_accrual!$A:$A,"Photoshoot",data_event_accrual!$B:$B,$AI$3,data_event_accrual!$C:$C,"20-39",data_event_accrual!$E:$E,$AH9),AVERAGEIFS(data_event_accrual!$J:$J,data_event_accrual!$A:$A,"Photoshoot",data_event_accrual!$B:$B,$AI$3,data_event_accrual!$C:$C,"20-39",data_event_accrual!$E:$E,$AH9),AVERAGEIFS(data_event_accrual!$L:$L,data_event_accrual!$A:$A,"Photoshoot",data_event_accrual!$B:$B,$AI$3,data_event_accrual!$C:$C,"20-39",data_event_accrual!$E:$E,$AH9)),1)),COUNTIF($AX$5:$AX$14,"&lt;="&amp;bal*shr)))</f>
        <v/>
      </c>
      <c r="AN9" s="238" t="str">
        <f t="array" ref="AN9">IF($AH9="","",IF(AM9=0,"{}",LET(m,AM9,s,MMULT(TRANSPOSE((SEQUENCE(10,1,1,1)&lt;=m)*1),VSTACK($H$27:$AB$27,$H$30:$AB$30,$H$33:$AB$33,$H$36:$AB$36,$H$39:$AB$39,$H$42:$AB$42,$H$45:$AB$45,$H$48:$AB$48,$H$51:$AB$51,$H$54:$AB$54)),"{"&amp;TEXTJOIN(",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9" s="237" t="str">
        <f t="array" ref="AO9">IF($AH9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9),AVERAGEIFS(data_event_accrual!$K:$K,data_event_accrual!$A:$A,"Photoshoot",data_event_accrual!$B:$B,$AI$3,data_event_accrual!$C:$C,"40-99",data_event_accrual!$E:$E,$AH9),AVERAGEIFS(data_event_accrual!$J:$J,data_event_accrual!$A:$A,"Photoshoot",data_event_accrual!$B:$B,$AI$3,data_event_accrual!$C:$C,"40-99",data_event_accrual!$E:$E,$AH9),AVERAGEIFS(data_event_accrual!$L:$L,data_event_accrual!$A:$A,"Photoshoot",data_event_accrual!$B:$B,$AI$3,data_event_accrual!$C:$C,"40-99",data_event_accrual!$E:$E,$AH9)),1)),COUNTIF($AX$5:$AX$14,"&lt;="&amp;bal*shr)))</f>
        <v/>
      </c>
      <c r="AP9" s="238" t="str">
        <f t="array" ref="AP9">IF($AH9="","",IF(AO9=0,"{}",LET(m,AO9,s,MMULT(TRANSPOSE((SEQUENCE(10,1,1,1)&lt;=m)*1),VSTACK($H$27:$AB$27,$H$30:$AB$30,$H$33:$AB$33,$H$36:$AB$36,$H$39:$AB$39,$H$42:$AB$42,$H$45:$AB$45,$H$48:$AB$48,$H$51:$AB$51,$H$54:$AB$54)),"{"&amp;TEXTJOIN(",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9" s="237" t="str">
        <f t="array" ref="AQ9">IF($AH9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9),AVERAGEIFS(data_event_accrual!$K:$K,data_event_accrual!$A:$A,"Photoshoot",data_event_accrual!$B:$B,$AI$3,data_event_accrual!$C:$C,"100+",data_event_accrual!$E:$E,$AH9),AVERAGEIFS(data_event_accrual!$J:$J,data_event_accrual!$A:$A,"Photoshoot",data_event_accrual!$B:$B,$AI$3,data_event_accrual!$C:$C,"100+",data_event_accrual!$E:$E,$AH9),AVERAGEIFS(data_event_accrual!$L:$L,data_event_accrual!$A:$A,"Photoshoot",data_event_accrual!$B:$B,$AI$3,data_event_accrual!$C:$C,"100+",data_event_accrual!$E:$E,$AH9)),1)),COUNTIF($AX$5:$AX$14,"&lt;="&amp;bal*shr)))</f>
        <v/>
      </c>
      <c r="AR9" s="238" t="str">
        <f t="array" ref="AR9">IF($AH9="","",IF(AQ9=0,"{}",LET(m,AQ9,s,MMULT(TRANSPOSE((SEQUENCE(10,1,1,1)&lt;=m)*1),VSTACK($H$27:$AB$27,$H$30:$AB$30,$H$33:$AB$33,$H$36:$AB$36,$H$39:$AB$39,$H$42:$AB$42,$H$45:$AB$45,$H$48:$AB$48,$H$51:$AB$51,$H$54:$AB$54)),"{"&amp;TEXTJOIN(",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9" s="328"/>
      <c r="AT9" s="234">
        <v>5.0</v>
      </c>
      <c r="AU9" s="331">
        <f t="shared" si="1"/>
        <v>575</v>
      </c>
      <c r="AW9" s="234">
        <v>5.0</v>
      </c>
      <c r="AX9" s="331">
        <v>1415.0</v>
      </c>
    </row>
    <row r="10">
      <c r="A10" s="253" t="s">
        <v>252</v>
      </c>
      <c r="B10" s="254">
        <v>10.0</v>
      </c>
      <c r="C10" s="328"/>
      <c r="D10" s="328"/>
      <c r="E10" s="328"/>
      <c r="F10" s="328"/>
      <c r="G10" s="328"/>
      <c r="H10" s="328"/>
      <c r="I10" s="328"/>
      <c r="J10" s="328"/>
      <c r="K10" s="328"/>
      <c r="L10" s="328"/>
      <c r="M10" s="328"/>
      <c r="N10" s="328"/>
      <c r="O10" s="328"/>
      <c r="P10" s="328"/>
      <c r="Q10" s="328"/>
      <c r="R10" s="328"/>
      <c r="S10" s="328"/>
      <c r="T10" s="328"/>
      <c r="U10" s="328"/>
      <c r="V10" s="328"/>
      <c r="W10" s="328"/>
      <c r="X10" s="328"/>
      <c r="Y10" s="328"/>
      <c r="Z10" s="328"/>
      <c r="AA10" s="328"/>
      <c r="AB10" s="328"/>
      <c r="AC10" s="328"/>
      <c r="AD10" s="328"/>
      <c r="AE10" s="328"/>
      <c r="AF10" s="328"/>
      <c r="AG10" s="328"/>
      <c r="AH10" s="227" t="str">
        <f>IF(5&lt;=$B$3,5,"")</f>
        <v/>
      </c>
      <c r="AI10" s="237" t="str">
        <f t="array" ref="AI10">IF($AH10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10),AVERAGEIFS(data_event_accrual!$K:$K,data_event_accrual!$A:$A,"Photoshoot",data_event_accrual!$B:$B,$AI$3,data_event_accrual!$C:$C,"0-9",data_event_accrual!$E:$E,$AH10),AVERAGEIFS(data_event_accrual!$J:$J,data_event_accrual!$A:$A,"Photoshoot",data_event_accrual!$B:$B,$AI$3,data_event_accrual!$C:$C,"0-9",data_event_accrual!$E:$E,$AH10),AVERAGEIFS(data_event_accrual!$L:$L,data_event_accrual!$A:$A,"Photoshoot",data_event_accrual!$B:$B,$AI$3,data_event_accrual!$C:$C,"0-9",data_event_accrual!$E:$E,$AH10)),1)),COUNTIF($AX$5:$AX$14,"&lt;="&amp;bal*shr)))</f>
        <v/>
      </c>
      <c r="AJ10" s="238" t="str">
        <f t="array" ref="AJ10">IF($AH10="","",IF(AI10=0,"{}",LET(m,AI10,s,MMULT(TRANSPOSE((SEQUENCE(10,1,1,1)&lt;=m)*1),VSTACK($H$27:$AB$27,$H$30:$AB$30,$H$33:$AB$33,$H$36:$AB$36,$H$39:$AB$39,$H$42:$AB$42,$H$45:$AB$45,$H$48:$AB$48,$H$51:$AB$51,$H$54:$AB$54)),"{"&amp;TEXTJOIN(",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0" s="237" t="str">
        <f t="array" ref="AK10">IF($AH10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10),AVERAGEIFS(data_event_accrual!$K:$K,data_event_accrual!$A:$A,"Photoshoot",data_event_accrual!$B:$B,$AI$3,data_event_accrual!$C:$C,"10-19",data_event_accrual!$E:$E,$AH10),AVERAGEIFS(data_event_accrual!$J:$J,data_event_accrual!$A:$A,"Photoshoot",data_event_accrual!$B:$B,$AI$3,data_event_accrual!$C:$C,"10-19",data_event_accrual!$E:$E,$AH10),AVERAGEIFS(data_event_accrual!$L:$L,data_event_accrual!$A:$A,"Photoshoot",data_event_accrual!$B:$B,$AI$3,data_event_accrual!$C:$C,"10-19",data_event_accrual!$E:$E,$AH10)),1)),COUNTIF($AX$5:$AX$14,"&lt;="&amp;bal*shr)))</f>
        <v/>
      </c>
      <c r="AL10" s="238" t="str">
        <f t="array" ref="AL10">IF($AH10="","",IF(AK10=0,"{}",LET(m,AK10,s,MMULT(TRANSPOSE((SEQUENCE(10,1,1,1)&lt;=m)*1),VSTACK($H$27:$AB$27,$H$30:$AB$30,$H$33:$AB$33,$H$36:$AB$36,$H$39:$AB$39,$H$42:$AB$42,$H$45:$AB$45,$H$48:$AB$48,$H$51:$AB$51,$H$54:$AB$54)),"{"&amp;TEXTJOIN(",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0" s="237" t="str">
        <f t="array" ref="AM10">IF($AH10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10),AVERAGEIFS(data_event_accrual!$K:$K,data_event_accrual!$A:$A,"Photoshoot",data_event_accrual!$B:$B,$AI$3,data_event_accrual!$C:$C,"20-39",data_event_accrual!$E:$E,$AH10),AVERAGEIFS(data_event_accrual!$J:$J,data_event_accrual!$A:$A,"Photoshoot",data_event_accrual!$B:$B,$AI$3,data_event_accrual!$C:$C,"20-39",data_event_accrual!$E:$E,$AH10),AVERAGEIFS(data_event_accrual!$L:$L,data_event_accrual!$A:$A,"Photoshoot",data_event_accrual!$B:$B,$AI$3,data_event_accrual!$C:$C,"20-39",data_event_accrual!$E:$E,$AH10)),1)),COUNTIF($AX$5:$AX$14,"&lt;="&amp;bal*shr)))</f>
        <v/>
      </c>
      <c r="AN10" s="238" t="str">
        <f t="array" ref="AN10">IF($AH10="","",IF(AM10=0,"{}",LET(m,AM10,s,MMULT(TRANSPOSE((SEQUENCE(10,1,1,1)&lt;=m)*1),VSTACK($H$27:$AB$27,$H$30:$AB$30,$H$33:$AB$33,$H$36:$AB$36,$H$39:$AB$39,$H$42:$AB$42,$H$45:$AB$45,$H$48:$AB$48,$H$51:$AB$51,$H$54:$AB$54)),"{"&amp;TEXTJOIN(",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0" s="237" t="str">
        <f t="array" ref="AO10">IF($AH10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10),AVERAGEIFS(data_event_accrual!$K:$K,data_event_accrual!$A:$A,"Photoshoot",data_event_accrual!$B:$B,$AI$3,data_event_accrual!$C:$C,"40-99",data_event_accrual!$E:$E,$AH10),AVERAGEIFS(data_event_accrual!$J:$J,data_event_accrual!$A:$A,"Photoshoot",data_event_accrual!$B:$B,$AI$3,data_event_accrual!$C:$C,"40-99",data_event_accrual!$E:$E,$AH10),AVERAGEIFS(data_event_accrual!$L:$L,data_event_accrual!$A:$A,"Photoshoot",data_event_accrual!$B:$B,$AI$3,data_event_accrual!$C:$C,"40-99",data_event_accrual!$E:$E,$AH10)),1)),COUNTIF($AX$5:$AX$14,"&lt;="&amp;bal*shr)))</f>
        <v/>
      </c>
      <c r="AP10" s="238" t="str">
        <f t="array" ref="AP10">IF($AH10="","",IF(AO10=0,"{}",LET(m,AO10,s,MMULT(TRANSPOSE((SEQUENCE(10,1,1,1)&lt;=m)*1),VSTACK($H$27:$AB$27,$H$30:$AB$30,$H$33:$AB$33,$H$36:$AB$36,$H$39:$AB$39,$H$42:$AB$42,$H$45:$AB$45,$H$48:$AB$48,$H$51:$AB$51,$H$54:$AB$54)),"{"&amp;TEXTJOIN(",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0" s="237" t="str">
        <f t="array" ref="AQ10">IF($AH10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10),AVERAGEIFS(data_event_accrual!$K:$K,data_event_accrual!$A:$A,"Photoshoot",data_event_accrual!$B:$B,$AI$3,data_event_accrual!$C:$C,"100+",data_event_accrual!$E:$E,$AH10),AVERAGEIFS(data_event_accrual!$J:$J,data_event_accrual!$A:$A,"Photoshoot",data_event_accrual!$B:$B,$AI$3,data_event_accrual!$C:$C,"100+",data_event_accrual!$E:$E,$AH10),AVERAGEIFS(data_event_accrual!$L:$L,data_event_accrual!$A:$A,"Photoshoot",data_event_accrual!$B:$B,$AI$3,data_event_accrual!$C:$C,"100+",data_event_accrual!$E:$E,$AH10)),1)),COUNTIF($AX$5:$AX$14,"&lt;="&amp;bal*shr)))</f>
        <v/>
      </c>
      <c r="AR10" s="238" t="str">
        <f t="array" ref="AR10">IF($AH10="","",IF(AQ10=0,"{}",LET(m,AQ10,s,MMULT(TRANSPOSE((SEQUENCE(10,1,1,1)&lt;=m)*1),VSTACK($H$27:$AB$27,$H$30:$AB$30,$H$33:$AB$33,$H$36:$AB$36,$H$39:$AB$39,$H$42:$AB$42,$H$45:$AB$45,$H$48:$AB$48,$H$51:$AB$51,$H$54:$AB$54)),"{"&amp;TEXTJOIN(",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0" s="328"/>
      <c r="AT10" s="234">
        <v>6.0</v>
      </c>
      <c r="AU10" s="331">
        <f t="shared" si="1"/>
        <v>735</v>
      </c>
      <c r="AW10" s="234">
        <v>6.0</v>
      </c>
      <c r="AX10" s="331">
        <v>1845.0</v>
      </c>
    </row>
    <row r="11">
      <c r="A11" s="253" t="s">
        <v>253</v>
      </c>
      <c r="B11" s="254">
        <v>3.0</v>
      </c>
      <c r="C11" s="328"/>
      <c r="D11" s="328"/>
      <c r="E11" s="328"/>
      <c r="F11" s="328"/>
      <c r="G11" s="328"/>
      <c r="H11" s="328"/>
      <c r="I11" s="328"/>
      <c r="J11" s="328"/>
      <c r="K11" s="328"/>
      <c r="L11" s="328"/>
      <c r="M11" s="328"/>
      <c r="N11" s="328"/>
      <c r="O11" s="328"/>
      <c r="P11" s="328"/>
      <c r="Q11" s="328"/>
      <c r="R11" s="328"/>
      <c r="S11" s="328"/>
      <c r="T11" s="328"/>
      <c r="U11" s="328"/>
      <c r="V11" s="328"/>
      <c r="W11" s="328"/>
      <c r="X11" s="328"/>
      <c r="Y11" s="328"/>
      <c r="Z11" s="328"/>
      <c r="AA11" s="328"/>
      <c r="AB11" s="328"/>
      <c r="AC11" s="328"/>
      <c r="AD11" s="328"/>
      <c r="AE11" s="328"/>
      <c r="AF11" s="328"/>
      <c r="AG11" s="328"/>
      <c r="AH11" s="227" t="str">
        <f>IF(6&lt;=$B$3,6,"")</f>
        <v/>
      </c>
      <c r="AI11" s="237" t="str">
        <f t="array" ref="AI11">IF($AH11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11),AVERAGEIFS(data_event_accrual!$K:$K,data_event_accrual!$A:$A,"Photoshoot",data_event_accrual!$B:$B,$AI$3,data_event_accrual!$C:$C,"0-9",data_event_accrual!$E:$E,$AH11),AVERAGEIFS(data_event_accrual!$J:$J,data_event_accrual!$A:$A,"Photoshoot",data_event_accrual!$B:$B,$AI$3,data_event_accrual!$C:$C,"0-9",data_event_accrual!$E:$E,$AH11),AVERAGEIFS(data_event_accrual!$L:$L,data_event_accrual!$A:$A,"Photoshoot",data_event_accrual!$B:$B,$AI$3,data_event_accrual!$C:$C,"0-9",data_event_accrual!$E:$E,$AH11)),1)),COUNTIF($AX$5:$AX$14,"&lt;="&amp;bal*shr)))</f>
        <v/>
      </c>
      <c r="AJ11" s="238" t="str">
        <f t="array" ref="AJ11">IF($AH11="","",IF(AI11=0,"{}",LET(m,AI11,s,MMULT(TRANSPOSE((SEQUENCE(10,1,1,1)&lt;=m)*1),VSTACK($H$27:$AB$27,$H$30:$AB$30,$H$33:$AB$33,$H$36:$AB$36,$H$39:$AB$39,$H$42:$AB$42,$H$45:$AB$45,$H$48:$AB$48,$H$51:$AB$51,$H$54:$AB$54)),"{"&amp;TEXTJOIN(",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1" s="237" t="str">
        <f t="array" ref="AK11">IF($AH11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11),AVERAGEIFS(data_event_accrual!$K:$K,data_event_accrual!$A:$A,"Photoshoot",data_event_accrual!$B:$B,$AI$3,data_event_accrual!$C:$C,"10-19",data_event_accrual!$E:$E,$AH11),AVERAGEIFS(data_event_accrual!$J:$J,data_event_accrual!$A:$A,"Photoshoot",data_event_accrual!$B:$B,$AI$3,data_event_accrual!$C:$C,"10-19",data_event_accrual!$E:$E,$AH11),AVERAGEIFS(data_event_accrual!$L:$L,data_event_accrual!$A:$A,"Photoshoot",data_event_accrual!$B:$B,$AI$3,data_event_accrual!$C:$C,"10-19",data_event_accrual!$E:$E,$AH11)),1)),COUNTIF($AX$5:$AX$14,"&lt;="&amp;bal*shr)))</f>
        <v/>
      </c>
      <c r="AL11" s="238" t="str">
        <f t="array" ref="AL11">IF($AH11="","",IF(AK11=0,"{}",LET(m,AK11,s,MMULT(TRANSPOSE((SEQUENCE(10,1,1,1)&lt;=m)*1),VSTACK($H$27:$AB$27,$H$30:$AB$30,$H$33:$AB$33,$H$36:$AB$36,$H$39:$AB$39,$H$42:$AB$42,$H$45:$AB$45,$H$48:$AB$48,$H$51:$AB$51,$H$54:$AB$54)),"{"&amp;TEXTJOIN(",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1" s="237" t="str">
        <f t="array" ref="AM11">IF($AH11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11),AVERAGEIFS(data_event_accrual!$K:$K,data_event_accrual!$A:$A,"Photoshoot",data_event_accrual!$B:$B,$AI$3,data_event_accrual!$C:$C,"20-39",data_event_accrual!$E:$E,$AH11),AVERAGEIFS(data_event_accrual!$J:$J,data_event_accrual!$A:$A,"Photoshoot",data_event_accrual!$B:$B,$AI$3,data_event_accrual!$C:$C,"20-39",data_event_accrual!$E:$E,$AH11),AVERAGEIFS(data_event_accrual!$L:$L,data_event_accrual!$A:$A,"Photoshoot",data_event_accrual!$B:$B,$AI$3,data_event_accrual!$C:$C,"20-39",data_event_accrual!$E:$E,$AH11)),1)),COUNTIF($AX$5:$AX$14,"&lt;="&amp;bal*shr)))</f>
        <v/>
      </c>
      <c r="AN11" s="238" t="str">
        <f t="array" ref="AN11">IF($AH11="","",IF(AM11=0,"{}",LET(m,AM11,s,MMULT(TRANSPOSE((SEQUENCE(10,1,1,1)&lt;=m)*1),VSTACK($H$27:$AB$27,$H$30:$AB$30,$H$33:$AB$33,$H$36:$AB$36,$H$39:$AB$39,$H$42:$AB$42,$H$45:$AB$45,$H$48:$AB$48,$H$51:$AB$51,$H$54:$AB$54)),"{"&amp;TEXTJOIN(",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1" s="237" t="str">
        <f t="array" ref="AO11">IF($AH11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11),AVERAGEIFS(data_event_accrual!$K:$K,data_event_accrual!$A:$A,"Photoshoot",data_event_accrual!$B:$B,$AI$3,data_event_accrual!$C:$C,"40-99",data_event_accrual!$E:$E,$AH11),AVERAGEIFS(data_event_accrual!$J:$J,data_event_accrual!$A:$A,"Photoshoot",data_event_accrual!$B:$B,$AI$3,data_event_accrual!$C:$C,"40-99",data_event_accrual!$E:$E,$AH11),AVERAGEIFS(data_event_accrual!$L:$L,data_event_accrual!$A:$A,"Photoshoot",data_event_accrual!$B:$B,$AI$3,data_event_accrual!$C:$C,"40-99",data_event_accrual!$E:$E,$AH11)),1)),COUNTIF($AX$5:$AX$14,"&lt;="&amp;bal*shr)))</f>
        <v/>
      </c>
      <c r="AP11" s="238" t="str">
        <f t="array" ref="AP11">IF($AH11="","",IF(AO11=0,"{}",LET(m,AO11,s,MMULT(TRANSPOSE((SEQUENCE(10,1,1,1)&lt;=m)*1),VSTACK($H$27:$AB$27,$H$30:$AB$30,$H$33:$AB$33,$H$36:$AB$36,$H$39:$AB$39,$H$42:$AB$42,$H$45:$AB$45,$H$48:$AB$48,$H$51:$AB$51,$H$54:$AB$54)),"{"&amp;TEXTJOIN(",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1" s="237" t="str">
        <f t="array" ref="AQ11">IF($AH11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11),AVERAGEIFS(data_event_accrual!$K:$K,data_event_accrual!$A:$A,"Photoshoot",data_event_accrual!$B:$B,$AI$3,data_event_accrual!$C:$C,"100+",data_event_accrual!$E:$E,$AH11),AVERAGEIFS(data_event_accrual!$J:$J,data_event_accrual!$A:$A,"Photoshoot",data_event_accrual!$B:$B,$AI$3,data_event_accrual!$C:$C,"100+",data_event_accrual!$E:$E,$AH11),AVERAGEIFS(data_event_accrual!$L:$L,data_event_accrual!$A:$A,"Photoshoot",data_event_accrual!$B:$B,$AI$3,data_event_accrual!$C:$C,"100+",data_event_accrual!$E:$E,$AH11)),1)),COUNTIF($AX$5:$AX$14,"&lt;="&amp;bal*shr)))</f>
        <v/>
      </c>
      <c r="AR11" s="238" t="str">
        <f t="array" ref="AR11">IF($AH11="","",IF(AQ11=0,"{}",LET(m,AQ11,s,MMULT(TRANSPOSE((SEQUENCE(10,1,1,1)&lt;=m)*1),VSTACK($H$27:$AB$27,$H$30:$AB$30,$H$33:$AB$33,$H$36:$AB$36,$H$39:$AB$39,$H$42:$AB$42,$H$45:$AB$45,$H$48:$AB$48,$H$51:$AB$51,$H$54:$AB$54)),"{"&amp;TEXTJOIN(",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1" s="328"/>
      <c r="AT11" s="234">
        <v>7.0</v>
      </c>
      <c r="AU11" s="331">
        <f t="shared" si="1"/>
        <v>815</v>
      </c>
      <c r="AW11" s="234">
        <v>7.0</v>
      </c>
      <c r="AX11" s="331">
        <v>2555.0</v>
      </c>
    </row>
    <row r="12">
      <c r="A12" s="253" t="s">
        <v>254</v>
      </c>
      <c r="B12" s="254">
        <v>15.0</v>
      </c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328"/>
      <c r="O12" s="328"/>
      <c r="P12" s="328"/>
      <c r="Q12" s="328"/>
      <c r="R12" s="328"/>
      <c r="S12" s="328"/>
      <c r="T12" s="328"/>
      <c r="U12" s="328"/>
      <c r="V12" s="328"/>
      <c r="W12" s="328"/>
      <c r="X12" s="328"/>
      <c r="Y12" s="328"/>
      <c r="Z12" s="328"/>
      <c r="AA12" s="328"/>
      <c r="AB12" s="328"/>
      <c r="AC12" s="328"/>
      <c r="AD12" s="328"/>
      <c r="AE12" s="328"/>
      <c r="AF12" s="328"/>
      <c r="AG12" s="328"/>
      <c r="AH12" s="227" t="str">
        <f>IF(7&lt;=$B$3,7,"")</f>
        <v/>
      </c>
      <c r="AI12" s="237" t="str">
        <f t="array" ref="AI12">IF($AH12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12),AVERAGEIFS(data_event_accrual!$K:$K,data_event_accrual!$A:$A,"Photoshoot",data_event_accrual!$B:$B,$AI$3,data_event_accrual!$C:$C,"0-9",data_event_accrual!$E:$E,$AH12),AVERAGEIFS(data_event_accrual!$J:$J,data_event_accrual!$A:$A,"Photoshoot",data_event_accrual!$B:$B,$AI$3,data_event_accrual!$C:$C,"0-9",data_event_accrual!$E:$E,$AH12),AVERAGEIFS(data_event_accrual!$L:$L,data_event_accrual!$A:$A,"Photoshoot",data_event_accrual!$B:$B,$AI$3,data_event_accrual!$C:$C,"0-9",data_event_accrual!$E:$E,$AH12)),1)),COUNTIF($AX$5:$AX$14,"&lt;="&amp;bal*shr)))</f>
        <v/>
      </c>
      <c r="AJ12" s="238" t="str">
        <f t="array" ref="AJ12">IF($AH12="","",IF(AI12=0,"{}",LET(m,AI12,s,MMULT(TRANSPOSE((SEQUENCE(10,1,1,1)&lt;=m)*1),VSTACK($H$27:$AB$27,$H$30:$AB$30,$H$33:$AB$33,$H$36:$AB$36,$H$39:$AB$39,$H$42:$AB$42,$H$45:$AB$45,$H$48:$AB$48,$H$51:$AB$51,$H$54:$AB$54)),"{"&amp;TEXTJOIN(",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2" s="237" t="str">
        <f t="array" ref="AK12">IF($AH12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12),AVERAGEIFS(data_event_accrual!$K:$K,data_event_accrual!$A:$A,"Photoshoot",data_event_accrual!$B:$B,$AI$3,data_event_accrual!$C:$C,"10-19",data_event_accrual!$E:$E,$AH12),AVERAGEIFS(data_event_accrual!$J:$J,data_event_accrual!$A:$A,"Photoshoot",data_event_accrual!$B:$B,$AI$3,data_event_accrual!$C:$C,"10-19",data_event_accrual!$E:$E,$AH12),AVERAGEIFS(data_event_accrual!$L:$L,data_event_accrual!$A:$A,"Photoshoot",data_event_accrual!$B:$B,$AI$3,data_event_accrual!$C:$C,"10-19",data_event_accrual!$E:$E,$AH12)),1)),COUNTIF($AX$5:$AX$14,"&lt;="&amp;bal*shr)))</f>
        <v/>
      </c>
      <c r="AL12" s="238" t="str">
        <f t="array" ref="AL12">IF($AH12="","",IF(AK12=0,"{}",LET(m,AK12,s,MMULT(TRANSPOSE((SEQUENCE(10,1,1,1)&lt;=m)*1),VSTACK($H$27:$AB$27,$H$30:$AB$30,$H$33:$AB$33,$H$36:$AB$36,$H$39:$AB$39,$H$42:$AB$42,$H$45:$AB$45,$H$48:$AB$48,$H$51:$AB$51,$H$54:$AB$54)),"{"&amp;TEXTJOIN(",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2" s="237" t="str">
        <f t="array" ref="AM12">IF($AH12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12),AVERAGEIFS(data_event_accrual!$K:$K,data_event_accrual!$A:$A,"Photoshoot",data_event_accrual!$B:$B,$AI$3,data_event_accrual!$C:$C,"20-39",data_event_accrual!$E:$E,$AH12),AVERAGEIFS(data_event_accrual!$J:$J,data_event_accrual!$A:$A,"Photoshoot",data_event_accrual!$B:$B,$AI$3,data_event_accrual!$C:$C,"20-39",data_event_accrual!$E:$E,$AH12),AVERAGEIFS(data_event_accrual!$L:$L,data_event_accrual!$A:$A,"Photoshoot",data_event_accrual!$B:$B,$AI$3,data_event_accrual!$C:$C,"20-39",data_event_accrual!$E:$E,$AH12)),1)),COUNTIF($AX$5:$AX$14,"&lt;="&amp;bal*shr)))</f>
        <v/>
      </c>
      <c r="AN12" s="238" t="str">
        <f t="array" ref="AN12">IF($AH12="","",IF(AM12=0,"{}",LET(m,AM12,s,MMULT(TRANSPOSE((SEQUENCE(10,1,1,1)&lt;=m)*1),VSTACK($H$27:$AB$27,$H$30:$AB$30,$H$33:$AB$33,$H$36:$AB$36,$H$39:$AB$39,$H$42:$AB$42,$H$45:$AB$45,$H$48:$AB$48,$H$51:$AB$51,$H$54:$AB$54)),"{"&amp;TEXTJOIN(",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2" s="237" t="str">
        <f t="array" ref="AO12">IF($AH12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12),AVERAGEIFS(data_event_accrual!$K:$K,data_event_accrual!$A:$A,"Photoshoot",data_event_accrual!$B:$B,$AI$3,data_event_accrual!$C:$C,"40-99",data_event_accrual!$E:$E,$AH12),AVERAGEIFS(data_event_accrual!$J:$J,data_event_accrual!$A:$A,"Photoshoot",data_event_accrual!$B:$B,$AI$3,data_event_accrual!$C:$C,"40-99",data_event_accrual!$E:$E,$AH12),AVERAGEIFS(data_event_accrual!$L:$L,data_event_accrual!$A:$A,"Photoshoot",data_event_accrual!$B:$B,$AI$3,data_event_accrual!$C:$C,"40-99",data_event_accrual!$E:$E,$AH12)),1)),COUNTIF($AX$5:$AX$14,"&lt;="&amp;bal*shr)))</f>
        <v/>
      </c>
      <c r="AP12" s="238" t="str">
        <f t="array" ref="AP12">IF($AH12="","",IF(AO12=0,"{}",LET(m,AO12,s,MMULT(TRANSPOSE((SEQUENCE(10,1,1,1)&lt;=m)*1),VSTACK($H$27:$AB$27,$H$30:$AB$30,$H$33:$AB$33,$H$36:$AB$36,$H$39:$AB$39,$H$42:$AB$42,$H$45:$AB$45,$H$48:$AB$48,$H$51:$AB$51,$H$54:$AB$54)),"{"&amp;TEXTJOIN(",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2" s="237" t="str">
        <f t="array" ref="AQ12">IF($AH12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12),AVERAGEIFS(data_event_accrual!$K:$K,data_event_accrual!$A:$A,"Photoshoot",data_event_accrual!$B:$B,$AI$3,data_event_accrual!$C:$C,"100+",data_event_accrual!$E:$E,$AH12),AVERAGEIFS(data_event_accrual!$J:$J,data_event_accrual!$A:$A,"Photoshoot",data_event_accrual!$B:$B,$AI$3,data_event_accrual!$C:$C,"100+",data_event_accrual!$E:$E,$AH12),AVERAGEIFS(data_event_accrual!$L:$L,data_event_accrual!$A:$A,"Photoshoot",data_event_accrual!$B:$B,$AI$3,data_event_accrual!$C:$C,"100+",data_event_accrual!$E:$E,$AH12)),1)),COUNTIF($AX$5:$AX$14,"&lt;="&amp;bal*shr)))</f>
        <v/>
      </c>
      <c r="AR12" s="238" t="str">
        <f t="array" ref="AR12">IF($AH12="","",IF(AQ12=0,"{}",LET(m,AQ12,s,MMULT(TRANSPOSE((SEQUENCE(10,1,1,1)&lt;=m)*1),VSTACK($H$27:$AB$27,$H$30:$AB$30,$H$33:$AB$33,$H$36:$AB$36,$H$39:$AB$39,$H$42:$AB$42,$H$45:$AB$45,$H$48:$AB$48,$H$51:$AB$51,$H$54:$AB$54)),"{"&amp;TEXTJOIN(",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2" s="328"/>
      <c r="AT12" s="234">
        <v>8.0</v>
      </c>
      <c r="AU12" s="331">
        <f t="shared" si="1"/>
        <v>950</v>
      </c>
      <c r="AW12" s="234">
        <v>8.0</v>
      </c>
      <c r="AX12" s="331">
        <v>3415.0</v>
      </c>
    </row>
    <row r="13">
      <c r="A13" s="253" t="s">
        <v>255</v>
      </c>
      <c r="B13" s="254" t="s">
        <v>256</v>
      </c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328"/>
      <c r="O13" s="328"/>
      <c r="P13" s="328"/>
      <c r="Q13" s="328"/>
      <c r="R13" s="328"/>
      <c r="S13" s="328"/>
      <c r="T13" s="328"/>
      <c r="U13" s="328"/>
      <c r="V13" s="328"/>
      <c r="W13" s="328"/>
      <c r="X13" s="328"/>
      <c r="Y13" s="328"/>
      <c r="Z13" s="328"/>
      <c r="AA13" s="328"/>
      <c r="AB13" s="328"/>
      <c r="AC13" s="328"/>
      <c r="AD13" s="328"/>
      <c r="AE13" s="328"/>
      <c r="AF13" s="328"/>
      <c r="AG13" s="328"/>
      <c r="AH13" s="328"/>
      <c r="AI13" s="328"/>
      <c r="AJ13" s="328"/>
      <c r="AK13" s="328"/>
      <c r="AL13" s="328"/>
      <c r="AM13" s="328"/>
      <c r="AN13" s="328"/>
      <c r="AO13" s="328"/>
      <c r="AP13" s="328"/>
      <c r="AQ13" s="328"/>
      <c r="AR13" s="328"/>
      <c r="AS13" s="328"/>
      <c r="AT13" s="234">
        <v>9.0</v>
      </c>
      <c r="AU13" s="331">
        <f t="shared" si="1"/>
        <v>1115</v>
      </c>
      <c r="AW13" s="234">
        <v>9.0</v>
      </c>
      <c r="AX13" s="331">
        <v>4675.0</v>
      </c>
    </row>
    <row r="14">
      <c r="A14" s="328"/>
      <c r="B14" s="328"/>
      <c r="C14" s="328"/>
      <c r="D14" s="328"/>
      <c r="E14" s="328"/>
      <c r="F14" s="328"/>
      <c r="G14" s="328"/>
      <c r="H14" s="328"/>
      <c r="I14" s="328"/>
      <c r="J14" s="328"/>
      <c r="K14" s="328"/>
      <c r="L14" s="328"/>
      <c r="M14" s="328"/>
      <c r="N14" s="328"/>
      <c r="O14" s="328"/>
      <c r="P14" s="328"/>
      <c r="Q14" s="328"/>
      <c r="R14" s="328"/>
      <c r="S14" s="328"/>
      <c r="T14" s="328"/>
      <c r="U14" s="328"/>
      <c r="V14" s="328"/>
      <c r="W14" s="328"/>
      <c r="X14" s="328"/>
      <c r="Y14" s="328"/>
      <c r="Z14" s="328"/>
      <c r="AA14" s="328"/>
      <c r="AB14" s="328"/>
      <c r="AC14" s="328"/>
      <c r="AD14" s="328"/>
      <c r="AE14" s="328"/>
      <c r="AF14" s="328"/>
      <c r="AG14" s="328"/>
      <c r="AH14" s="328"/>
      <c r="AI14" s="328"/>
      <c r="AJ14" s="328"/>
      <c r="AK14" s="328"/>
      <c r="AL14" s="328"/>
      <c r="AM14" s="328"/>
      <c r="AN14" s="328"/>
      <c r="AO14" s="328"/>
      <c r="AP14" s="328"/>
      <c r="AQ14" s="328"/>
      <c r="AR14" s="328"/>
      <c r="AS14" s="328"/>
      <c r="AT14" s="234">
        <v>10.0</v>
      </c>
      <c r="AU14" s="331">
        <f t="shared" si="1"/>
        <v>1280</v>
      </c>
      <c r="AW14" s="234">
        <v>10.0</v>
      </c>
      <c r="AX14" s="331">
        <v>6735.0</v>
      </c>
    </row>
    <row r="15" ht="19.5" customHeight="1">
      <c r="A15" s="150" t="s">
        <v>257</v>
      </c>
      <c r="B15" s="175"/>
      <c r="C15" s="175"/>
      <c r="D15" s="175"/>
      <c r="E15" s="175"/>
      <c r="F15" s="175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  <c r="AA15" s="175"/>
      <c r="AB15" s="175"/>
      <c r="AC15" s="328"/>
      <c r="AD15" s="328"/>
      <c r="AE15" s="328"/>
      <c r="AF15" s="328"/>
      <c r="AG15" s="328"/>
      <c r="AH15" s="328"/>
      <c r="AI15" s="328"/>
      <c r="AJ15" s="328"/>
      <c r="AK15" s="328"/>
      <c r="AL15" s="328"/>
      <c r="AM15" s="328"/>
      <c r="AN15" s="328"/>
      <c r="AO15" s="328"/>
      <c r="AP15" s="328"/>
      <c r="AQ15" s="328"/>
      <c r="AR15" s="328"/>
      <c r="AS15" s="328"/>
      <c r="AT15" s="234">
        <v>11.0</v>
      </c>
      <c r="AU15" s="331">
        <f t="shared" si="1"/>
        <v>1510</v>
      </c>
    </row>
    <row r="16" ht="21.75" customHeight="1">
      <c r="A16" s="184" t="s">
        <v>116</v>
      </c>
      <c r="B16" s="184" t="s">
        <v>258</v>
      </c>
      <c r="C16" s="328"/>
      <c r="D16" s="328"/>
      <c r="E16" s="328"/>
      <c r="F16" s="328"/>
      <c r="G16" s="328"/>
      <c r="H16" s="328"/>
      <c r="I16" s="328"/>
      <c r="J16" s="328"/>
      <c r="K16" s="328"/>
      <c r="L16" s="328"/>
      <c r="M16" s="328"/>
      <c r="N16" s="328"/>
      <c r="O16" s="328"/>
      <c r="P16" s="328"/>
      <c r="Q16" s="328"/>
      <c r="R16" s="328"/>
      <c r="S16" s="328"/>
      <c r="T16" s="328"/>
      <c r="U16" s="328"/>
      <c r="V16" s="328"/>
      <c r="W16" s="328"/>
      <c r="X16" s="328"/>
      <c r="Y16" s="328"/>
      <c r="Z16" s="328"/>
      <c r="AA16" s="328"/>
      <c r="AB16" s="328"/>
      <c r="AC16" s="328"/>
      <c r="AD16" s="328"/>
      <c r="AE16" s="328"/>
      <c r="AF16" s="328"/>
      <c r="AG16" s="328"/>
      <c r="AH16" s="328"/>
      <c r="AI16" s="328"/>
      <c r="AJ16" s="328"/>
      <c r="AK16" s="328"/>
      <c r="AL16" s="328"/>
      <c r="AM16" s="328"/>
      <c r="AN16" s="328"/>
      <c r="AO16" s="328"/>
      <c r="AP16" s="328"/>
      <c r="AQ16" s="328"/>
      <c r="AR16" s="328"/>
      <c r="AS16" s="328"/>
      <c r="AT16" s="234">
        <v>12.0</v>
      </c>
      <c r="AU16" s="331">
        <f t="shared" si="1"/>
        <v>1775</v>
      </c>
      <c r="AW16" s="373" t="s">
        <v>360</v>
      </c>
    </row>
    <row r="17">
      <c r="A17" s="248">
        <v>1.0</v>
      </c>
      <c r="B17" s="248" t="s">
        <v>259</v>
      </c>
      <c r="C17" s="328"/>
      <c r="D17" s="328"/>
      <c r="E17" s="328"/>
      <c r="F17" s="328"/>
      <c r="G17" s="328"/>
      <c r="H17" s="328"/>
      <c r="I17" s="328"/>
      <c r="J17" s="328"/>
      <c r="K17" s="328"/>
      <c r="L17" s="328"/>
      <c r="M17" s="328"/>
      <c r="N17" s="328"/>
      <c r="O17" s="328"/>
      <c r="P17" s="328"/>
      <c r="Q17" s="328"/>
      <c r="R17" s="328"/>
      <c r="S17" s="328"/>
      <c r="T17" s="328"/>
      <c r="U17" s="328"/>
      <c r="V17" s="328"/>
      <c r="W17" s="328"/>
      <c r="X17" s="328"/>
      <c r="Y17" s="328"/>
      <c r="Z17" s="328"/>
      <c r="AA17" s="328"/>
      <c r="AB17" s="328"/>
      <c r="AC17" s="328"/>
      <c r="AD17" s="328"/>
      <c r="AE17" s="328"/>
      <c r="AF17" s="328"/>
      <c r="AG17" s="328"/>
      <c r="AH17" s="328"/>
      <c r="AI17" s="328"/>
      <c r="AJ17" s="328"/>
      <c r="AK17" s="328"/>
      <c r="AL17" s="328"/>
      <c r="AM17" s="328"/>
      <c r="AN17" s="328"/>
      <c r="AO17" s="328"/>
      <c r="AP17" s="328"/>
      <c r="AQ17" s="328"/>
      <c r="AR17" s="328"/>
      <c r="AS17" s="328"/>
      <c r="AT17" s="234">
        <v>13.0</v>
      </c>
      <c r="AU17" s="331">
        <f t="shared" si="1"/>
        <v>1955</v>
      </c>
    </row>
    <row r="18">
      <c r="A18" s="248">
        <v>2.0</v>
      </c>
      <c r="B18" s="248" t="s">
        <v>260</v>
      </c>
      <c r="C18" s="328"/>
      <c r="D18" s="328"/>
      <c r="E18" s="328"/>
      <c r="F18" s="328"/>
      <c r="G18" s="328"/>
      <c r="H18" s="328"/>
      <c r="I18" s="328"/>
      <c r="J18" s="328"/>
      <c r="K18" s="328"/>
      <c r="L18" s="328"/>
      <c r="M18" s="328"/>
      <c r="N18" s="328"/>
      <c r="O18" s="328"/>
      <c r="P18" s="328"/>
      <c r="Q18" s="328"/>
      <c r="R18" s="328"/>
      <c r="S18" s="328"/>
      <c r="T18" s="328"/>
      <c r="U18" s="328"/>
      <c r="V18" s="328"/>
      <c r="W18" s="328"/>
      <c r="X18" s="328"/>
      <c r="Y18" s="328"/>
      <c r="Z18" s="328"/>
      <c r="AA18" s="328"/>
      <c r="AB18" s="328"/>
      <c r="AC18" s="328"/>
      <c r="AD18" s="328"/>
      <c r="AE18" s="328"/>
      <c r="AF18" s="328"/>
      <c r="AG18" s="328"/>
      <c r="AH18" s="328"/>
      <c r="AI18" s="328"/>
      <c r="AJ18" s="328"/>
      <c r="AK18" s="328"/>
      <c r="AL18" s="328"/>
      <c r="AM18" s="328"/>
      <c r="AN18" s="328"/>
      <c r="AO18" s="328"/>
      <c r="AP18" s="328"/>
      <c r="AQ18" s="328"/>
      <c r="AR18" s="328"/>
      <c r="AS18" s="328"/>
      <c r="AT18" s="234">
        <v>14.0</v>
      </c>
      <c r="AU18" s="331">
        <f t="shared" si="1"/>
        <v>2205</v>
      </c>
    </row>
    <row r="19">
      <c r="A19" s="248">
        <v>3.0</v>
      </c>
      <c r="B19" s="248" t="s">
        <v>261</v>
      </c>
      <c r="C19" s="328"/>
      <c r="D19" s="328"/>
      <c r="E19" s="328"/>
      <c r="F19" s="328"/>
      <c r="G19" s="328"/>
      <c r="H19" s="328"/>
      <c r="I19" s="328"/>
      <c r="J19" s="328"/>
      <c r="K19" s="328"/>
      <c r="L19" s="328"/>
      <c r="M19" s="328"/>
      <c r="N19" s="328"/>
      <c r="O19" s="328"/>
      <c r="P19" s="328"/>
      <c r="Q19" s="328"/>
      <c r="R19" s="328"/>
      <c r="S19" s="328"/>
      <c r="T19" s="328"/>
      <c r="U19" s="328"/>
      <c r="V19" s="328"/>
      <c r="W19" s="328"/>
      <c r="X19" s="328"/>
      <c r="Y19" s="328"/>
      <c r="Z19" s="328"/>
      <c r="AA19" s="328"/>
      <c r="AB19" s="328"/>
      <c r="AC19" s="328"/>
      <c r="AD19" s="328"/>
      <c r="AE19" s="328"/>
      <c r="AF19" s="328"/>
      <c r="AG19" s="328"/>
      <c r="AH19" s="328"/>
      <c r="AI19" s="328"/>
      <c r="AJ19" s="328"/>
      <c r="AK19" s="328"/>
      <c r="AL19" s="328"/>
      <c r="AM19" s="328"/>
      <c r="AN19" s="328"/>
      <c r="AO19" s="328"/>
      <c r="AP19" s="328"/>
      <c r="AQ19" s="328"/>
      <c r="AR19" s="328"/>
      <c r="AS19" s="328"/>
      <c r="AT19" s="234">
        <v>15.0</v>
      </c>
      <c r="AU19" s="331">
        <f t="shared" si="1"/>
        <v>2505</v>
      </c>
    </row>
    <row r="20">
      <c r="A20" s="248">
        <v>4.0</v>
      </c>
      <c r="B20" s="248" t="s">
        <v>262</v>
      </c>
      <c r="C20" s="328"/>
      <c r="D20" s="328"/>
      <c r="E20" s="328"/>
      <c r="F20" s="328"/>
      <c r="G20" s="328"/>
      <c r="H20" s="328"/>
      <c r="I20" s="328"/>
      <c r="J20" s="328"/>
      <c r="K20" s="328"/>
      <c r="L20" s="328"/>
      <c r="M20" s="328"/>
      <c r="N20" s="328"/>
      <c r="O20" s="328"/>
      <c r="P20" s="328"/>
      <c r="Q20" s="328"/>
      <c r="R20" s="328"/>
      <c r="S20" s="328"/>
      <c r="T20" s="328"/>
      <c r="U20" s="328"/>
      <c r="V20" s="328"/>
      <c r="W20" s="328"/>
      <c r="X20" s="328"/>
      <c r="Y20" s="328"/>
      <c r="Z20" s="328"/>
      <c r="AA20" s="328"/>
      <c r="AB20" s="328"/>
      <c r="AC20" s="328"/>
      <c r="AD20" s="328"/>
      <c r="AE20" s="328"/>
      <c r="AF20" s="328"/>
      <c r="AG20" s="328"/>
      <c r="AH20" s="328"/>
      <c r="AI20" s="328"/>
      <c r="AJ20" s="328"/>
      <c r="AK20" s="328"/>
      <c r="AL20" s="328"/>
      <c r="AM20" s="328"/>
      <c r="AN20" s="328"/>
      <c r="AO20" s="328"/>
      <c r="AP20" s="328"/>
      <c r="AQ20" s="328"/>
      <c r="AR20" s="328"/>
      <c r="AS20" s="328"/>
      <c r="AT20" s="234">
        <v>16.0</v>
      </c>
      <c r="AU20" s="331">
        <f t="shared" si="1"/>
        <v>2685</v>
      </c>
    </row>
    <row r="21" ht="15.75" customHeight="1">
      <c r="A21" s="248">
        <v>5.0</v>
      </c>
      <c r="B21" s="248" t="s">
        <v>263</v>
      </c>
      <c r="C21" s="328"/>
      <c r="D21" s="328"/>
      <c r="E21" s="328"/>
      <c r="F21" s="328"/>
      <c r="G21" s="328"/>
      <c r="H21" s="328"/>
      <c r="I21" s="328"/>
      <c r="J21" s="328"/>
      <c r="K21" s="328"/>
      <c r="L21" s="328"/>
      <c r="M21" s="328"/>
      <c r="N21" s="328"/>
      <c r="O21" s="328"/>
      <c r="P21" s="328"/>
      <c r="Q21" s="328"/>
      <c r="R21" s="328"/>
      <c r="S21" s="328"/>
      <c r="T21" s="328"/>
      <c r="U21" s="328"/>
      <c r="V21" s="328"/>
      <c r="W21" s="328"/>
      <c r="X21" s="328"/>
      <c r="Y21" s="328"/>
      <c r="Z21" s="328"/>
      <c r="AA21" s="328"/>
      <c r="AB21" s="328"/>
      <c r="AC21" s="328"/>
      <c r="AD21" s="328"/>
      <c r="AE21" s="328"/>
      <c r="AF21" s="328"/>
      <c r="AG21" s="328"/>
      <c r="AH21" s="328"/>
      <c r="AI21" s="328"/>
      <c r="AJ21" s="328"/>
      <c r="AK21" s="328"/>
      <c r="AL21" s="328"/>
      <c r="AM21" s="328"/>
      <c r="AN21" s="328"/>
      <c r="AO21" s="328"/>
      <c r="AP21" s="328"/>
      <c r="AQ21" s="328"/>
      <c r="AR21" s="328"/>
      <c r="AS21" s="328"/>
      <c r="AT21" s="234">
        <v>17.0</v>
      </c>
      <c r="AU21" s="331">
        <f t="shared" si="1"/>
        <v>2945</v>
      </c>
    </row>
    <row r="22" ht="15.75" customHeight="1">
      <c r="A22" s="328"/>
      <c r="B22" s="328"/>
      <c r="C22" s="328"/>
      <c r="D22" s="328"/>
      <c r="E22" s="328"/>
      <c r="F22" s="328"/>
      <c r="G22" s="328"/>
      <c r="H22" s="328"/>
      <c r="I22" s="328"/>
      <c r="J22" s="328"/>
      <c r="K22" s="328"/>
      <c r="L22" s="328"/>
      <c r="M22" s="328"/>
      <c r="N22" s="328"/>
      <c r="O22" s="328"/>
      <c r="P22" s="328"/>
      <c r="Q22" s="328"/>
      <c r="R22" s="328"/>
      <c r="S22" s="328"/>
      <c r="T22" s="328"/>
      <c r="U22" s="328"/>
      <c r="V22" s="328"/>
      <c r="W22" s="328"/>
      <c r="X22" s="328"/>
      <c r="Y22" s="328"/>
      <c r="Z22" s="328"/>
      <c r="AA22" s="328"/>
      <c r="AB22" s="328"/>
      <c r="AC22" s="328"/>
      <c r="AD22" s="328"/>
      <c r="AE22" s="328"/>
      <c r="AF22" s="328"/>
      <c r="AG22" s="328"/>
      <c r="AH22" s="328"/>
      <c r="AI22" s="328"/>
      <c r="AJ22" s="328"/>
      <c r="AK22" s="328"/>
      <c r="AL22" s="328"/>
      <c r="AM22" s="328"/>
      <c r="AN22" s="328"/>
      <c r="AO22" s="328"/>
      <c r="AP22" s="328"/>
      <c r="AQ22" s="328"/>
      <c r="AR22" s="328"/>
      <c r="AS22" s="328"/>
      <c r="AT22" s="234">
        <v>18.0</v>
      </c>
      <c r="AU22" s="331">
        <f t="shared" si="1"/>
        <v>3245</v>
      </c>
    </row>
    <row r="23" ht="19.5" customHeight="1">
      <c r="A23" s="150" t="s">
        <v>264</v>
      </c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  <c r="AA23" s="175"/>
      <c r="AB23" s="175"/>
      <c r="AC23" s="328"/>
      <c r="AD23" s="328"/>
      <c r="AE23" s="328"/>
      <c r="AF23" s="328"/>
      <c r="AG23" s="328"/>
      <c r="AH23" s="328"/>
      <c r="AI23" s="328"/>
      <c r="AJ23" s="328"/>
      <c r="AK23" s="328"/>
      <c r="AL23" s="328"/>
      <c r="AM23" s="328"/>
      <c r="AN23" s="328"/>
      <c r="AO23" s="328"/>
      <c r="AP23" s="328"/>
      <c r="AQ23" s="328"/>
      <c r="AR23" s="328"/>
      <c r="AS23" s="328"/>
      <c r="AT23" s="234">
        <v>19.0</v>
      </c>
      <c r="AU23" s="331">
        <f t="shared" si="1"/>
        <v>3545</v>
      </c>
    </row>
    <row r="24" ht="90.0" customHeight="1">
      <c r="A24" s="184" t="s">
        <v>265</v>
      </c>
      <c r="B24" s="184" t="s">
        <v>266</v>
      </c>
      <c r="C24" s="184" t="s">
        <v>267</v>
      </c>
      <c r="D24" s="184" t="s">
        <v>268</v>
      </c>
      <c r="E24" s="184" t="s">
        <v>269</v>
      </c>
      <c r="F24" s="184" t="s">
        <v>270</v>
      </c>
      <c r="G24" s="185" t="s">
        <v>271</v>
      </c>
      <c r="H24" s="374" t="s">
        <v>76</v>
      </c>
      <c r="I24" s="257" t="s">
        <v>46</v>
      </c>
      <c r="J24" s="257" t="s">
        <v>121</v>
      </c>
      <c r="K24" s="257" t="s">
        <v>47</v>
      </c>
      <c r="L24" s="257" t="s">
        <v>48</v>
      </c>
      <c r="M24" s="257" t="s">
        <v>50</v>
      </c>
      <c r="N24" s="257" t="s">
        <v>52</v>
      </c>
      <c r="O24" s="257" t="s">
        <v>53</v>
      </c>
      <c r="P24" s="257" t="s">
        <v>54</v>
      </c>
      <c r="Q24" s="257" t="s">
        <v>55</v>
      </c>
      <c r="R24" s="257" t="s">
        <v>56</v>
      </c>
      <c r="S24" s="257" t="s">
        <v>57</v>
      </c>
      <c r="T24" s="257" t="s">
        <v>58</v>
      </c>
      <c r="U24" s="257" t="s">
        <v>135</v>
      </c>
      <c r="V24" s="257" t="s">
        <v>122</v>
      </c>
      <c r="W24" s="257" t="s">
        <v>123</v>
      </c>
      <c r="X24" s="257" t="s">
        <v>124</v>
      </c>
      <c r="Y24" s="257" t="s">
        <v>125</v>
      </c>
      <c r="Z24" s="257" t="s">
        <v>126</v>
      </c>
      <c r="AA24" s="257" t="s">
        <v>127</v>
      </c>
      <c r="AB24" s="257" t="s">
        <v>128</v>
      </c>
      <c r="AC24" s="328"/>
      <c r="AD24" s="328"/>
      <c r="AE24" s="328"/>
      <c r="AF24" s="328"/>
      <c r="AG24" s="328"/>
      <c r="AH24" s="328"/>
      <c r="AI24" s="328"/>
      <c r="AJ24" s="328"/>
      <c r="AK24" s="328"/>
      <c r="AL24" s="328"/>
      <c r="AM24" s="328"/>
      <c r="AN24" s="328"/>
      <c r="AO24" s="328"/>
      <c r="AP24" s="328"/>
      <c r="AQ24" s="328"/>
      <c r="AR24" s="328"/>
      <c r="AS24" s="328"/>
      <c r="AT24" s="234">
        <v>20.0</v>
      </c>
      <c r="AU24" s="331">
        <f t="shared" si="1"/>
        <v>3920</v>
      </c>
    </row>
    <row r="25" ht="15.75" customHeight="1">
      <c r="A25" s="248">
        <v>1.0</v>
      </c>
      <c r="B25" s="248">
        <v>1.0</v>
      </c>
      <c r="C25" s="375" t="s">
        <v>272</v>
      </c>
      <c r="D25" s="375" t="s">
        <v>273</v>
      </c>
      <c r="E25" s="248">
        <v>0.0</v>
      </c>
      <c r="F25" s="248">
        <v>80.0</v>
      </c>
      <c r="G25" s="376">
        <f t="shared" ref="G25:G54" si="2">A25</f>
        <v>1</v>
      </c>
      <c r="H25" s="377">
        <v>0.0</v>
      </c>
      <c r="I25" s="248">
        <v>0.0</v>
      </c>
      <c r="J25" s="248">
        <v>0.0</v>
      </c>
      <c r="K25" s="248">
        <v>0.0</v>
      </c>
      <c r="L25" s="248">
        <v>0.0</v>
      </c>
      <c r="M25" s="248">
        <v>0.0</v>
      </c>
      <c r="N25" s="248">
        <v>0.0</v>
      </c>
      <c r="O25" s="248">
        <v>0.0</v>
      </c>
      <c r="P25" s="248">
        <v>0.0</v>
      </c>
      <c r="Q25" s="248">
        <v>0.0</v>
      </c>
      <c r="R25" s="248">
        <v>0.0</v>
      </c>
      <c r="S25" s="248">
        <v>0.0</v>
      </c>
      <c r="T25" s="248">
        <v>0.0</v>
      </c>
      <c r="U25" s="248">
        <v>0.0</v>
      </c>
      <c r="V25" s="248">
        <v>0.0</v>
      </c>
      <c r="W25" s="248">
        <v>0.0</v>
      </c>
      <c r="X25" s="248">
        <v>0.0</v>
      </c>
      <c r="Y25" s="248">
        <v>0.0</v>
      </c>
      <c r="Z25" s="248">
        <v>0.0</v>
      </c>
      <c r="AA25" s="248">
        <v>0.0</v>
      </c>
      <c r="AB25" s="248">
        <v>0.0</v>
      </c>
      <c r="AC25" s="328"/>
      <c r="AD25" s="328"/>
      <c r="AE25" s="328"/>
      <c r="AF25" s="328"/>
      <c r="AG25" s="328"/>
      <c r="AH25" s="328"/>
      <c r="AI25" s="328"/>
      <c r="AJ25" s="328"/>
      <c r="AK25" s="328"/>
      <c r="AL25" s="328"/>
      <c r="AM25" s="328"/>
      <c r="AN25" s="328"/>
      <c r="AO25" s="328"/>
      <c r="AP25" s="328"/>
      <c r="AQ25" s="328"/>
      <c r="AR25" s="328"/>
      <c r="AS25" s="328"/>
      <c r="AT25" s="234">
        <v>21.0</v>
      </c>
      <c r="AU25" s="331">
        <f t="shared" si="1"/>
        <v>4330</v>
      </c>
    </row>
    <row r="26" ht="15.75" customHeight="1">
      <c r="A26" s="248">
        <v>2.0</v>
      </c>
      <c r="B26" s="248">
        <v>1.0</v>
      </c>
      <c r="C26" s="375" t="s">
        <v>272</v>
      </c>
      <c r="D26" s="375" t="s">
        <v>274</v>
      </c>
      <c r="E26" s="248">
        <v>0.0</v>
      </c>
      <c r="F26" s="248">
        <v>130.0</v>
      </c>
      <c r="G26" s="376">
        <f t="shared" si="2"/>
        <v>2</v>
      </c>
      <c r="H26" s="377">
        <v>0.0</v>
      </c>
      <c r="I26" s="248">
        <v>0.0</v>
      </c>
      <c r="J26" s="248">
        <v>0.0</v>
      </c>
      <c r="K26" s="248">
        <v>0.0</v>
      </c>
      <c r="L26" s="248">
        <v>0.0</v>
      </c>
      <c r="M26" s="248">
        <v>0.0</v>
      </c>
      <c r="N26" s="248">
        <v>0.0</v>
      </c>
      <c r="O26" s="248">
        <v>0.0</v>
      </c>
      <c r="P26" s="248">
        <v>0.0</v>
      </c>
      <c r="Q26" s="248">
        <v>0.0</v>
      </c>
      <c r="R26" s="248">
        <v>0.0</v>
      </c>
      <c r="S26" s="248">
        <v>0.0</v>
      </c>
      <c r="T26" s="248">
        <v>0.0</v>
      </c>
      <c r="U26" s="248">
        <v>0.0</v>
      </c>
      <c r="V26" s="248">
        <v>0.0</v>
      </c>
      <c r="W26" s="248">
        <v>0.0</v>
      </c>
      <c r="X26" s="248">
        <v>0.0</v>
      </c>
      <c r="Y26" s="248">
        <v>0.0</v>
      </c>
      <c r="Z26" s="248">
        <v>0.0</v>
      </c>
      <c r="AA26" s="248">
        <v>0.0</v>
      </c>
      <c r="AB26" s="248">
        <v>0.0</v>
      </c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234">
        <v>22.0</v>
      </c>
      <c r="AU26" s="331">
        <f t="shared" si="1"/>
        <v>4715</v>
      </c>
    </row>
    <row r="27" ht="15.75" customHeight="1">
      <c r="A27" s="248">
        <v>3.0</v>
      </c>
      <c r="B27" s="248">
        <v>1.0</v>
      </c>
      <c r="C27" s="375" t="s">
        <v>272</v>
      </c>
      <c r="D27" s="375" t="s">
        <v>275</v>
      </c>
      <c r="E27" s="248">
        <v>0.0</v>
      </c>
      <c r="F27" s="248">
        <v>155.0</v>
      </c>
      <c r="G27" s="376">
        <f t="shared" si="2"/>
        <v>3</v>
      </c>
      <c r="H27" s="377">
        <v>0.0</v>
      </c>
      <c r="I27" s="248">
        <v>0.0</v>
      </c>
      <c r="J27" s="248">
        <v>0.0</v>
      </c>
      <c r="K27" s="248">
        <v>0.0</v>
      </c>
      <c r="L27" s="248">
        <v>1.0</v>
      </c>
      <c r="M27" s="248">
        <v>0.0</v>
      </c>
      <c r="N27" s="248">
        <v>0.0</v>
      </c>
      <c r="O27" s="248">
        <v>0.0</v>
      </c>
      <c r="P27" s="248">
        <v>0.0</v>
      </c>
      <c r="Q27" s="248">
        <v>0.0</v>
      </c>
      <c r="R27" s="248">
        <v>0.0</v>
      </c>
      <c r="S27" s="248">
        <v>0.0</v>
      </c>
      <c r="T27" s="248">
        <v>0.0</v>
      </c>
      <c r="U27" s="248">
        <v>0.0</v>
      </c>
      <c r="V27" s="248">
        <v>0.0</v>
      </c>
      <c r="W27" s="248">
        <v>0.0</v>
      </c>
      <c r="X27" s="248">
        <v>0.0</v>
      </c>
      <c r="Y27" s="248">
        <v>0.0</v>
      </c>
      <c r="Z27" s="248">
        <v>0.0</v>
      </c>
      <c r="AA27" s="248">
        <v>0.0</v>
      </c>
      <c r="AB27" s="248">
        <v>0.0</v>
      </c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234">
        <v>23.0</v>
      </c>
      <c r="AU27" s="331">
        <f t="shared" si="1"/>
        <v>5190</v>
      </c>
    </row>
    <row r="28" ht="15.75" customHeight="1">
      <c r="A28" s="248">
        <v>4.0</v>
      </c>
      <c r="B28" s="248">
        <v>2.0</v>
      </c>
      <c r="C28" s="375" t="s">
        <v>276</v>
      </c>
      <c r="D28" s="375" t="s">
        <v>277</v>
      </c>
      <c r="E28" s="248">
        <v>2.0</v>
      </c>
      <c r="F28" s="248">
        <v>80.0</v>
      </c>
      <c r="G28" s="376">
        <f t="shared" si="2"/>
        <v>4</v>
      </c>
      <c r="H28" s="377">
        <v>0.0</v>
      </c>
      <c r="I28" s="248">
        <v>0.0</v>
      </c>
      <c r="J28" s="248">
        <v>0.0</v>
      </c>
      <c r="K28" s="248">
        <v>0.0</v>
      </c>
      <c r="L28" s="248">
        <v>0.0</v>
      </c>
      <c r="M28" s="248">
        <v>0.0</v>
      </c>
      <c r="N28" s="248">
        <v>0.0</v>
      </c>
      <c r="O28" s="248">
        <v>0.0</v>
      </c>
      <c r="P28" s="248">
        <v>0.0</v>
      </c>
      <c r="Q28" s="248">
        <v>0.0</v>
      </c>
      <c r="R28" s="248">
        <v>0.0</v>
      </c>
      <c r="S28" s="248">
        <v>0.0</v>
      </c>
      <c r="T28" s="248">
        <v>0.0</v>
      </c>
      <c r="U28" s="248">
        <v>0.0</v>
      </c>
      <c r="V28" s="248">
        <v>0.0</v>
      </c>
      <c r="W28" s="248">
        <v>0.0</v>
      </c>
      <c r="X28" s="248">
        <v>0.0</v>
      </c>
      <c r="Y28" s="248">
        <v>0.0</v>
      </c>
      <c r="Z28" s="248">
        <v>0.0</v>
      </c>
      <c r="AA28" s="248">
        <v>0.0</v>
      </c>
      <c r="AB28" s="248">
        <v>0.0</v>
      </c>
      <c r="AC28" s="328"/>
      <c r="AD28" s="328"/>
      <c r="AE28" s="328"/>
      <c r="AF28" s="328"/>
      <c r="AG28" s="328"/>
      <c r="AH28" s="328"/>
      <c r="AI28" s="328"/>
      <c r="AJ28" s="328"/>
      <c r="AK28" s="328"/>
      <c r="AL28" s="328"/>
      <c r="AM28" s="328"/>
      <c r="AN28" s="328"/>
      <c r="AO28" s="328"/>
      <c r="AP28" s="328"/>
      <c r="AQ28" s="328"/>
      <c r="AR28" s="328"/>
      <c r="AS28" s="328"/>
      <c r="AT28" s="234">
        <v>24.0</v>
      </c>
      <c r="AU28" s="331">
        <f t="shared" si="1"/>
        <v>5690</v>
      </c>
    </row>
    <row r="29" ht="15.75" customHeight="1">
      <c r="A29" s="248">
        <v>5.0</v>
      </c>
      <c r="B29" s="248">
        <v>2.0</v>
      </c>
      <c r="C29" s="375" t="s">
        <v>276</v>
      </c>
      <c r="D29" s="375" t="s">
        <v>278</v>
      </c>
      <c r="E29" s="248">
        <v>2.0</v>
      </c>
      <c r="F29" s="248">
        <v>130.0</v>
      </c>
      <c r="G29" s="376">
        <f t="shared" si="2"/>
        <v>5</v>
      </c>
      <c r="H29" s="377">
        <v>0.0</v>
      </c>
      <c r="I29" s="248">
        <v>0.0</v>
      </c>
      <c r="J29" s="248">
        <v>0.0</v>
      </c>
      <c r="K29" s="248">
        <v>0.0</v>
      </c>
      <c r="L29" s="248">
        <v>0.0</v>
      </c>
      <c r="M29" s="248">
        <v>0.0</v>
      </c>
      <c r="N29" s="248">
        <v>0.0</v>
      </c>
      <c r="O29" s="248">
        <v>0.0</v>
      </c>
      <c r="P29" s="248">
        <v>0.0</v>
      </c>
      <c r="Q29" s="248">
        <v>0.0</v>
      </c>
      <c r="R29" s="248">
        <v>0.0</v>
      </c>
      <c r="S29" s="248">
        <v>0.0</v>
      </c>
      <c r="T29" s="248">
        <v>0.0</v>
      </c>
      <c r="U29" s="248">
        <v>0.0</v>
      </c>
      <c r="V29" s="248">
        <v>0.0</v>
      </c>
      <c r="W29" s="248">
        <v>0.0</v>
      </c>
      <c r="X29" s="248">
        <v>0.0</v>
      </c>
      <c r="Y29" s="248">
        <v>0.0</v>
      </c>
      <c r="Z29" s="248">
        <v>0.0</v>
      </c>
      <c r="AA29" s="248">
        <v>0.0</v>
      </c>
      <c r="AB29" s="248">
        <v>0.0</v>
      </c>
      <c r="AC29" s="328"/>
      <c r="AD29" s="328"/>
      <c r="AE29" s="328"/>
      <c r="AF29" s="328"/>
      <c r="AG29" s="328"/>
      <c r="AH29" s="328"/>
      <c r="AI29" s="328"/>
      <c r="AJ29" s="328"/>
      <c r="AK29" s="328"/>
      <c r="AL29" s="328"/>
      <c r="AM29" s="328"/>
      <c r="AN29" s="328"/>
      <c r="AO29" s="328"/>
      <c r="AP29" s="328"/>
      <c r="AQ29" s="328"/>
      <c r="AR29" s="328"/>
      <c r="AS29" s="328"/>
      <c r="AT29" s="234">
        <v>25.0</v>
      </c>
      <c r="AU29" s="331">
        <f t="shared" si="1"/>
        <v>6090</v>
      </c>
    </row>
    <row r="30" ht="15.75" customHeight="1">
      <c r="A30" s="248">
        <v>6.0</v>
      </c>
      <c r="B30" s="248">
        <v>2.0</v>
      </c>
      <c r="C30" s="375" t="s">
        <v>276</v>
      </c>
      <c r="D30" s="375" t="s">
        <v>280</v>
      </c>
      <c r="E30" s="248">
        <v>2.0</v>
      </c>
      <c r="F30" s="248">
        <v>160.0</v>
      </c>
      <c r="G30" s="376">
        <f t="shared" si="2"/>
        <v>6</v>
      </c>
      <c r="H30" s="377">
        <v>0.0</v>
      </c>
      <c r="I30" s="248">
        <v>0.0</v>
      </c>
      <c r="J30" s="248">
        <v>0.0</v>
      </c>
      <c r="K30" s="248">
        <v>0.0</v>
      </c>
      <c r="L30" s="248">
        <v>0.0</v>
      </c>
      <c r="M30" s="248">
        <v>0.0</v>
      </c>
      <c r="N30" s="248">
        <v>0.0</v>
      </c>
      <c r="O30" s="248">
        <v>0.0</v>
      </c>
      <c r="P30" s="248">
        <v>0.0</v>
      </c>
      <c r="Q30" s="248">
        <v>30.0</v>
      </c>
      <c r="R30" s="248">
        <v>0.0</v>
      </c>
      <c r="S30" s="248">
        <v>0.0</v>
      </c>
      <c r="T30" s="248">
        <v>0.0</v>
      </c>
      <c r="U30" s="248">
        <v>0.0</v>
      </c>
      <c r="V30" s="248">
        <v>0.0</v>
      </c>
      <c r="W30" s="248">
        <v>0.0</v>
      </c>
      <c r="X30" s="248">
        <v>0.0</v>
      </c>
      <c r="Y30" s="248">
        <v>0.0</v>
      </c>
      <c r="Z30" s="248">
        <v>0.0</v>
      </c>
      <c r="AA30" s="248">
        <v>0.0</v>
      </c>
      <c r="AB30" s="248">
        <v>0.0</v>
      </c>
      <c r="AC30" s="328"/>
      <c r="AD30" s="328"/>
      <c r="AE30" s="328"/>
      <c r="AF30" s="328"/>
      <c r="AG30" s="328"/>
      <c r="AH30" s="328"/>
      <c r="AI30" s="328"/>
      <c r="AJ30" s="328"/>
      <c r="AK30" s="328"/>
      <c r="AL30" s="328"/>
      <c r="AM30" s="328"/>
      <c r="AN30" s="328"/>
      <c r="AO30" s="328"/>
      <c r="AP30" s="328"/>
      <c r="AQ30" s="328"/>
      <c r="AR30" s="328"/>
      <c r="AS30" s="328"/>
      <c r="AT30" s="234">
        <v>26.0</v>
      </c>
      <c r="AU30" s="331">
        <f t="shared" si="1"/>
        <v>6570</v>
      </c>
    </row>
    <row r="31" ht="15.75" customHeight="1">
      <c r="A31" s="248">
        <v>7.0</v>
      </c>
      <c r="B31" s="248">
        <v>3.0</v>
      </c>
      <c r="C31" s="375" t="s">
        <v>281</v>
      </c>
      <c r="D31" s="375" t="s">
        <v>273</v>
      </c>
      <c r="E31" s="248">
        <v>4.0</v>
      </c>
      <c r="F31" s="248">
        <v>80.0</v>
      </c>
      <c r="G31" s="376">
        <f t="shared" si="2"/>
        <v>7</v>
      </c>
      <c r="H31" s="377">
        <v>0.0</v>
      </c>
      <c r="I31" s="248">
        <v>0.0</v>
      </c>
      <c r="J31" s="248">
        <v>0.0</v>
      </c>
      <c r="K31" s="248">
        <v>0.0</v>
      </c>
      <c r="L31" s="248">
        <v>0.0</v>
      </c>
      <c r="M31" s="248">
        <v>0.0</v>
      </c>
      <c r="N31" s="248">
        <v>0.0</v>
      </c>
      <c r="O31" s="248">
        <v>0.0</v>
      </c>
      <c r="P31" s="248">
        <v>0.0</v>
      </c>
      <c r="Q31" s="248">
        <v>0.0</v>
      </c>
      <c r="R31" s="248">
        <v>0.0</v>
      </c>
      <c r="S31" s="248">
        <v>0.0</v>
      </c>
      <c r="T31" s="248">
        <v>0.0</v>
      </c>
      <c r="U31" s="248">
        <v>0.0</v>
      </c>
      <c r="V31" s="248">
        <v>0.0</v>
      </c>
      <c r="W31" s="248">
        <v>0.0</v>
      </c>
      <c r="X31" s="248">
        <v>0.0</v>
      </c>
      <c r="Y31" s="248">
        <v>0.0</v>
      </c>
      <c r="Z31" s="248">
        <v>0.0</v>
      </c>
      <c r="AA31" s="248">
        <v>0.0</v>
      </c>
      <c r="AB31" s="248">
        <v>0.0</v>
      </c>
      <c r="AC31" s="328"/>
      <c r="AD31" s="378">
        <v>1.0</v>
      </c>
      <c r="AE31" s="328"/>
      <c r="AF31" s="328"/>
      <c r="AG31" s="328"/>
      <c r="AH31" s="328"/>
      <c r="AI31" s="328"/>
      <c r="AJ31" s="328"/>
      <c r="AK31" s="328"/>
      <c r="AL31" s="328"/>
      <c r="AM31" s="328"/>
      <c r="AN31" s="328"/>
      <c r="AO31" s="328"/>
      <c r="AP31" s="328"/>
      <c r="AQ31" s="328"/>
      <c r="AR31" s="328"/>
      <c r="AS31" s="328"/>
      <c r="AT31" s="234">
        <v>27.0</v>
      </c>
      <c r="AU31" s="331">
        <f t="shared" si="1"/>
        <v>7090</v>
      </c>
    </row>
    <row r="32" ht="15.75" customHeight="1">
      <c r="A32" s="248">
        <v>8.0</v>
      </c>
      <c r="B32" s="248">
        <v>3.0</v>
      </c>
      <c r="C32" s="375" t="s">
        <v>281</v>
      </c>
      <c r="D32" s="375" t="s">
        <v>274</v>
      </c>
      <c r="E32" s="248">
        <v>4.0</v>
      </c>
      <c r="F32" s="248">
        <v>135.0</v>
      </c>
      <c r="G32" s="376">
        <f t="shared" si="2"/>
        <v>8</v>
      </c>
      <c r="H32" s="377">
        <v>0.0</v>
      </c>
      <c r="I32" s="248">
        <v>0.0</v>
      </c>
      <c r="J32" s="248">
        <v>0.0</v>
      </c>
      <c r="K32" s="248">
        <v>0.0</v>
      </c>
      <c r="L32" s="248">
        <v>0.0</v>
      </c>
      <c r="M32" s="248">
        <v>0.0</v>
      </c>
      <c r="N32" s="248">
        <v>0.0</v>
      </c>
      <c r="O32" s="248">
        <v>0.0</v>
      </c>
      <c r="P32" s="248">
        <v>0.0</v>
      </c>
      <c r="Q32" s="248">
        <v>0.0</v>
      </c>
      <c r="R32" s="248">
        <v>0.0</v>
      </c>
      <c r="S32" s="248">
        <v>0.0</v>
      </c>
      <c r="T32" s="248">
        <v>0.0</v>
      </c>
      <c r="U32" s="248">
        <v>0.0</v>
      </c>
      <c r="V32" s="248">
        <v>0.0</v>
      </c>
      <c r="W32" s="248">
        <v>0.0</v>
      </c>
      <c r="X32" s="248">
        <v>0.0</v>
      </c>
      <c r="Y32" s="248">
        <v>0.0</v>
      </c>
      <c r="Z32" s="248">
        <v>0.0</v>
      </c>
      <c r="AA32" s="248">
        <v>0.0</v>
      </c>
      <c r="AB32" s="248">
        <v>0.0</v>
      </c>
      <c r="AC32" s="328"/>
      <c r="AD32" s="378">
        <v>1.0</v>
      </c>
      <c r="AE32" s="328"/>
      <c r="AF32" s="328"/>
      <c r="AG32" s="328"/>
      <c r="AH32" s="328"/>
      <c r="AI32" s="328"/>
      <c r="AJ32" s="328"/>
      <c r="AK32" s="328"/>
      <c r="AL32" s="328"/>
      <c r="AM32" s="328"/>
      <c r="AN32" s="328"/>
      <c r="AO32" s="328"/>
      <c r="AP32" s="328"/>
      <c r="AQ32" s="328"/>
      <c r="AR32" s="328"/>
      <c r="AS32" s="328"/>
      <c r="AT32" s="234">
        <v>28.0</v>
      </c>
      <c r="AU32" s="331">
        <f t="shared" si="1"/>
        <v>7690</v>
      </c>
    </row>
    <row r="33" ht="15.75" customHeight="1">
      <c r="A33" s="248">
        <v>9.0</v>
      </c>
      <c r="B33" s="248">
        <v>3.0</v>
      </c>
      <c r="C33" s="375" t="s">
        <v>281</v>
      </c>
      <c r="D33" s="375" t="s">
        <v>275</v>
      </c>
      <c r="E33" s="248">
        <v>4.0</v>
      </c>
      <c r="F33" s="248">
        <v>165.0</v>
      </c>
      <c r="G33" s="376">
        <f t="shared" si="2"/>
        <v>9</v>
      </c>
      <c r="H33" s="377">
        <v>25.0</v>
      </c>
      <c r="I33" s="248">
        <v>0.0</v>
      </c>
      <c r="J33" s="248">
        <v>0.0</v>
      </c>
      <c r="K33" s="248">
        <v>0.0</v>
      </c>
      <c r="L33" s="248">
        <v>0.0</v>
      </c>
      <c r="M33" s="248">
        <v>0.0</v>
      </c>
      <c r="N33" s="248">
        <v>0.0</v>
      </c>
      <c r="O33" s="248">
        <v>0.0</v>
      </c>
      <c r="P33" s="248">
        <v>0.0</v>
      </c>
      <c r="Q33" s="248">
        <v>0.0</v>
      </c>
      <c r="R33" s="248">
        <v>0.0</v>
      </c>
      <c r="S33" s="248">
        <v>0.0</v>
      </c>
      <c r="T33" s="248">
        <v>0.0</v>
      </c>
      <c r="U33" s="248">
        <v>0.0</v>
      </c>
      <c r="V33" s="248">
        <v>0.0</v>
      </c>
      <c r="W33" s="248">
        <v>0.0</v>
      </c>
      <c r="X33" s="248">
        <v>0.0</v>
      </c>
      <c r="Y33" s="248">
        <v>0.0</v>
      </c>
      <c r="Z33" s="248">
        <v>0.0</v>
      </c>
      <c r="AA33" s="248">
        <v>0.0</v>
      </c>
      <c r="AB33" s="248">
        <v>0.0</v>
      </c>
      <c r="AC33" s="328"/>
      <c r="AD33" s="328"/>
      <c r="AE33" s="328"/>
      <c r="AF33" s="328"/>
      <c r="AG33" s="328"/>
      <c r="AH33" s="328"/>
      <c r="AI33" s="328"/>
      <c r="AJ33" s="328"/>
      <c r="AK33" s="328"/>
      <c r="AL33" s="328"/>
      <c r="AM33" s="328"/>
      <c r="AN33" s="328"/>
      <c r="AO33" s="328"/>
      <c r="AP33" s="328"/>
      <c r="AQ33" s="328"/>
      <c r="AR33" s="328"/>
      <c r="AS33" s="328"/>
      <c r="AT33" s="234">
        <v>29.0</v>
      </c>
      <c r="AU33" s="331">
        <f t="shared" si="1"/>
        <v>8290</v>
      </c>
    </row>
    <row r="34" ht="15.75" customHeight="1">
      <c r="A34" s="248">
        <v>10.0</v>
      </c>
      <c r="B34" s="248">
        <v>4.0</v>
      </c>
      <c r="C34" s="375" t="s">
        <v>282</v>
      </c>
      <c r="D34" s="375" t="s">
        <v>273</v>
      </c>
      <c r="E34" s="248">
        <v>6.0</v>
      </c>
      <c r="F34" s="248">
        <v>165.0</v>
      </c>
      <c r="G34" s="376">
        <f t="shared" si="2"/>
        <v>10</v>
      </c>
      <c r="H34" s="377">
        <v>0.0</v>
      </c>
      <c r="I34" s="248">
        <v>0.0</v>
      </c>
      <c r="J34" s="248">
        <v>0.0</v>
      </c>
      <c r="K34" s="248">
        <v>0.0</v>
      </c>
      <c r="L34" s="248">
        <v>0.0</v>
      </c>
      <c r="M34" s="248">
        <v>0.0</v>
      </c>
      <c r="N34" s="248">
        <v>0.0</v>
      </c>
      <c r="O34" s="248">
        <v>0.0</v>
      </c>
      <c r="P34" s="248">
        <v>0.0</v>
      </c>
      <c r="Q34" s="248">
        <v>0.0</v>
      </c>
      <c r="R34" s="248">
        <v>0.0</v>
      </c>
      <c r="S34" s="248">
        <v>0.0</v>
      </c>
      <c r="T34" s="248">
        <v>0.0</v>
      </c>
      <c r="U34" s="248">
        <v>0.0</v>
      </c>
      <c r="V34" s="248">
        <v>0.0</v>
      </c>
      <c r="W34" s="248">
        <v>0.0</v>
      </c>
      <c r="X34" s="248">
        <v>0.0</v>
      </c>
      <c r="Y34" s="248">
        <v>0.0</v>
      </c>
      <c r="Z34" s="248">
        <v>0.0</v>
      </c>
      <c r="AA34" s="248">
        <v>0.0</v>
      </c>
      <c r="AB34" s="248">
        <v>0.0</v>
      </c>
      <c r="AC34" s="328"/>
      <c r="AD34" s="328"/>
      <c r="AE34" s="328"/>
      <c r="AF34" s="328"/>
      <c r="AG34" s="328"/>
      <c r="AH34" s="328"/>
      <c r="AI34" s="328"/>
      <c r="AJ34" s="328"/>
      <c r="AK34" s="328"/>
      <c r="AL34" s="328"/>
      <c r="AM34" s="328"/>
      <c r="AN34" s="328"/>
      <c r="AO34" s="328"/>
      <c r="AP34" s="328"/>
      <c r="AQ34" s="328"/>
      <c r="AR34" s="328"/>
      <c r="AS34" s="328"/>
      <c r="AT34" s="234">
        <v>30.0</v>
      </c>
      <c r="AU34" s="331">
        <f t="shared" si="1"/>
        <v>8890</v>
      </c>
    </row>
    <row r="35" ht="15.75" customHeight="1">
      <c r="A35" s="248">
        <v>11.0</v>
      </c>
      <c r="B35" s="248">
        <v>4.0</v>
      </c>
      <c r="C35" s="375" t="s">
        <v>282</v>
      </c>
      <c r="D35" s="375" t="s">
        <v>274</v>
      </c>
      <c r="E35" s="248">
        <v>6.0</v>
      </c>
      <c r="F35" s="248">
        <v>230.0</v>
      </c>
      <c r="G35" s="376">
        <f t="shared" si="2"/>
        <v>11</v>
      </c>
      <c r="H35" s="377">
        <v>0.0</v>
      </c>
      <c r="I35" s="248">
        <v>0.0</v>
      </c>
      <c r="J35" s="248">
        <v>0.0</v>
      </c>
      <c r="K35" s="248">
        <v>0.0</v>
      </c>
      <c r="L35" s="248">
        <v>0.0</v>
      </c>
      <c r="M35" s="248">
        <v>0.0</v>
      </c>
      <c r="N35" s="248">
        <v>0.0</v>
      </c>
      <c r="O35" s="248">
        <v>0.0</v>
      </c>
      <c r="P35" s="248">
        <v>0.0</v>
      </c>
      <c r="Q35" s="248">
        <v>0.0</v>
      </c>
      <c r="R35" s="248">
        <v>0.0</v>
      </c>
      <c r="S35" s="248">
        <v>0.0</v>
      </c>
      <c r="T35" s="248">
        <v>0.0</v>
      </c>
      <c r="U35" s="248">
        <v>0.0</v>
      </c>
      <c r="V35" s="248">
        <v>0.0</v>
      </c>
      <c r="W35" s="248">
        <v>0.0</v>
      </c>
      <c r="X35" s="248">
        <v>0.0</v>
      </c>
      <c r="Y35" s="248">
        <v>0.0</v>
      </c>
      <c r="Z35" s="248">
        <v>0.0</v>
      </c>
      <c r="AA35" s="248">
        <v>0.0</v>
      </c>
      <c r="AB35" s="248">
        <v>0.0</v>
      </c>
      <c r="AC35" s="328"/>
      <c r="AD35" s="328"/>
      <c r="AE35" s="328"/>
      <c r="AF35" s="328"/>
      <c r="AG35" s="328"/>
      <c r="AH35" s="328"/>
      <c r="AI35" s="328"/>
      <c r="AJ35" s="328"/>
      <c r="AK35" s="328"/>
      <c r="AL35" s="328"/>
      <c r="AM35" s="328"/>
      <c r="AN35" s="328"/>
      <c r="AO35" s="328"/>
      <c r="AP35" s="328"/>
      <c r="AQ35" s="328"/>
      <c r="AR35" s="328"/>
      <c r="AS35" s="328"/>
      <c r="AT35" s="328"/>
      <c r="AU35" s="328"/>
    </row>
    <row r="36" ht="15.75" customHeight="1">
      <c r="A36" s="248">
        <v>12.0</v>
      </c>
      <c r="B36" s="248">
        <v>4.0</v>
      </c>
      <c r="C36" s="375" t="s">
        <v>282</v>
      </c>
      <c r="D36" s="375" t="s">
        <v>275</v>
      </c>
      <c r="E36" s="248">
        <v>6.0</v>
      </c>
      <c r="F36" s="248">
        <v>265.0</v>
      </c>
      <c r="G36" s="376">
        <f t="shared" si="2"/>
        <v>12</v>
      </c>
      <c r="H36" s="377">
        <v>0.0</v>
      </c>
      <c r="I36" s="248">
        <v>0.0</v>
      </c>
      <c r="J36" s="248">
        <v>0.0</v>
      </c>
      <c r="K36" s="248">
        <v>0.0</v>
      </c>
      <c r="L36" s="248">
        <v>0.0</v>
      </c>
      <c r="M36" s="248">
        <v>0.0</v>
      </c>
      <c r="N36" s="248">
        <v>0.0</v>
      </c>
      <c r="O36" s="248">
        <v>0.0</v>
      </c>
      <c r="P36" s="248">
        <v>0.0</v>
      </c>
      <c r="Q36" s="248">
        <v>30.0</v>
      </c>
      <c r="R36" s="248">
        <v>15.0</v>
      </c>
      <c r="S36" s="248">
        <v>0.0</v>
      </c>
      <c r="T36" s="248">
        <v>0.0</v>
      </c>
      <c r="U36" s="248">
        <v>0.0</v>
      </c>
      <c r="V36" s="248">
        <v>0.0</v>
      </c>
      <c r="W36" s="248">
        <v>0.0</v>
      </c>
      <c r="X36" s="248">
        <v>0.0</v>
      </c>
      <c r="Y36" s="248">
        <v>0.0</v>
      </c>
      <c r="Z36" s="248">
        <v>0.0</v>
      </c>
      <c r="AA36" s="248">
        <v>0.0</v>
      </c>
      <c r="AB36" s="248">
        <v>0.0</v>
      </c>
      <c r="AC36" s="328"/>
      <c r="AD36" s="328"/>
      <c r="AE36" s="328"/>
      <c r="AF36" s="328"/>
      <c r="AG36" s="328"/>
      <c r="AH36" s="328"/>
      <c r="AI36" s="328"/>
      <c r="AJ36" s="328"/>
      <c r="AK36" s="328"/>
      <c r="AL36" s="328"/>
      <c r="AM36" s="328"/>
      <c r="AN36" s="328"/>
      <c r="AO36" s="328"/>
      <c r="AP36" s="328"/>
      <c r="AQ36" s="328"/>
      <c r="AR36" s="328"/>
      <c r="AS36" s="328"/>
      <c r="AT36" s="296" t="s">
        <v>364</v>
      </c>
      <c r="AU36" s="328"/>
    </row>
    <row r="37" ht="15.75" customHeight="1">
      <c r="A37" s="248">
        <v>13.0</v>
      </c>
      <c r="B37" s="248">
        <v>5.0</v>
      </c>
      <c r="C37" s="375" t="s">
        <v>285</v>
      </c>
      <c r="D37" s="375" t="s">
        <v>277</v>
      </c>
      <c r="E37" s="248">
        <v>8.0</v>
      </c>
      <c r="F37" s="248">
        <v>180.0</v>
      </c>
      <c r="G37" s="376">
        <f t="shared" si="2"/>
        <v>13</v>
      </c>
      <c r="H37" s="377">
        <v>0.0</v>
      </c>
      <c r="I37" s="248">
        <v>0.0</v>
      </c>
      <c r="J37" s="248">
        <v>0.0</v>
      </c>
      <c r="K37" s="248">
        <v>0.0</v>
      </c>
      <c r="L37" s="248">
        <v>0.0</v>
      </c>
      <c r="M37" s="248">
        <v>0.0</v>
      </c>
      <c r="N37" s="248">
        <v>0.0</v>
      </c>
      <c r="O37" s="248">
        <v>0.0</v>
      </c>
      <c r="P37" s="248">
        <v>0.0</v>
      </c>
      <c r="Q37" s="248">
        <v>0.0</v>
      </c>
      <c r="R37" s="248">
        <v>0.0</v>
      </c>
      <c r="S37" s="248">
        <v>0.0</v>
      </c>
      <c r="T37" s="248">
        <v>0.0</v>
      </c>
      <c r="U37" s="248">
        <v>0.0</v>
      </c>
      <c r="V37" s="248">
        <v>0.0</v>
      </c>
      <c r="W37" s="248">
        <v>0.0</v>
      </c>
      <c r="X37" s="248">
        <v>0.0</v>
      </c>
      <c r="Y37" s="248">
        <v>0.0</v>
      </c>
      <c r="Z37" s="248">
        <v>0.0</v>
      </c>
      <c r="AA37" s="248">
        <v>0.0</v>
      </c>
      <c r="AB37" s="248">
        <v>0.0</v>
      </c>
      <c r="AC37" s="328"/>
      <c r="AD37" s="328"/>
      <c r="AE37" s="328"/>
      <c r="AF37" s="328"/>
      <c r="AG37" s="328"/>
      <c r="AH37" s="328"/>
      <c r="AI37" s="328"/>
      <c r="AJ37" s="328"/>
      <c r="AK37" s="328"/>
      <c r="AL37" s="328"/>
      <c r="AM37" s="328"/>
      <c r="AN37" s="328"/>
      <c r="AO37" s="328"/>
      <c r="AP37" s="328"/>
      <c r="AQ37" s="328"/>
      <c r="AR37" s="328"/>
      <c r="AS37" s="328"/>
      <c r="AT37" s="328"/>
      <c r="AU37" s="328"/>
    </row>
    <row r="38" ht="15.75" customHeight="1">
      <c r="A38" s="248">
        <v>14.0</v>
      </c>
      <c r="B38" s="248">
        <v>5.0</v>
      </c>
      <c r="C38" s="375" t="s">
        <v>285</v>
      </c>
      <c r="D38" s="375" t="s">
        <v>278</v>
      </c>
      <c r="E38" s="248">
        <v>8.0</v>
      </c>
      <c r="F38" s="248">
        <v>250.0</v>
      </c>
      <c r="G38" s="376">
        <f t="shared" si="2"/>
        <v>14</v>
      </c>
      <c r="H38" s="377">
        <v>0.0</v>
      </c>
      <c r="I38" s="248">
        <v>0.0</v>
      </c>
      <c r="J38" s="248">
        <v>0.0</v>
      </c>
      <c r="K38" s="248">
        <v>0.0</v>
      </c>
      <c r="L38" s="248">
        <v>0.0</v>
      </c>
      <c r="M38" s="248">
        <v>0.0</v>
      </c>
      <c r="N38" s="248">
        <v>0.0</v>
      </c>
      <c r="O38" s="248">
        <v>0.0</v>
      </c>
      <c r="P38" s="248">
        <v>0.0</v>
      </c>
      <c r="Q38" s="248">
        <v>0.0</v>
      </c>
      <c r="R38" s="248">
        <v>0.0</v>
      </c>
      <c r="S38" s="248">
        <v>0.0</v>
      </c>
      <c r="T38" s="248">
        <v>0.0</v>
      </c>
      <c r="U38" s="248">
        <v>0.0</v>
      </c>
      <c r="V38" s="248">
        <v>0.0</v>
      </c>
      <c r="W38" s="248">
        <v>0.0</v>
      </c>
      <c r="X38" s="248">
        <v>0.0</v>
      </c>
      <c r="Y38" s="248">
        <v>0.0</v>
      </c>
      <c r="Z38" s="248">
        <v>0.0</v>
      </c>
      <c r="AA38" s="248">
        <v>0.0</v>
      </c>
      <c r="AB38" s="248">
        <v>0.0</v>
      </c>
      <c r="AC38" s="328"/>
      <c r="AD38" s="328"/>
      <c r="AE38" s="328"/>
      <c r="AF38" s="328"/>
      <c r="AG38" s="328"/>
      <c r="AH38" s="328"/>
      <c r="AI38" s="328"/>
      <c r="AJ38" s="328"/>
      <c r="AK38" s="328"/>
      <c r="AL38" s="328"/>
      <c r="AM38" s="328"/>
      <c r="AN38" s="328"/>
      <c r="AO38" s="328"/>
      <c r="AP38" s="328"/>
      <c r="AQ38" s="328"/>
      <c r="AR38" s="328"/>
      <c r="AS38" s="328"/>
      <c r="AT38" s="328"/>
      <c r="AU38" s="328"/>
    </row>
    <row r="39" ht="15.75" customHeight="1">
      <c r="A39" s="248">
        <v>15.0</v>
      </c>
      <c r="B39" s="248">
        <v>5.0</v>
      </c>
      <c r="C39" s="375" t="s">
        <v>285</v>
      </c>
      <c r="D39" s="375" t="s">
        <v>280</v>
      </c>
      <c r="E39" s="248">
        <v>8.0</v>
      </c>
      <c r="F39" s="248">
        <v>300.0</v>
      </c>
      <c r="G39" s="376">
        <f t="shared" si="2"/>
        <v>15</v>
      </c>
      <c r="H39" s="377">
        <v>0.0</v>
      </c>
      <c r="I39" s="248">
        <v>0.0</v>
      </c>
      <c r="J39" s="248">
        <v>0.0</v>
      </c>
      <c r="K39" s="248">
        <v>1.0</v>
      </c>
      <c r="L39" s="248">
        <v>0.0</v>
      </c>
      <c r="M39" s="248">
        <v>0.0</v>
      </c>
      <c r="N39" s="248">
        <v>0.0</v>
      </c>
      <c r="O39" s="248">
        <v>0.0</v>
      </c>
      <c r="P39" s="248">
        <v>0.0</v>
      </c>
      <c r="Q39" s="248">
        <v>0.0</v>
      </c>
      <c r="R39" s="248">
        <v>0.0</v>
      </c>
      <c r="S39" s="248">
        <v>0.0</v>
      </c>
      <c r="T39" s="248">
        <v>0.0</v>
      </c>
      <c r="U39" s="248">
        <v>0.0</v>
      </c>
      <c r="V39" s="248">
        <v>0.0</v>
      </c>
      <c r="W39" s="248">
        <v>0.0</v>
      </c>
      <c r="X39" s="248">
        <v>0.0</v>
      </c>
      <c r="Y39" s="248">
        <v>0.0</v>
      </c>
      <c r="Z39" s="248">
        <v>0.0</v>
      </c>
      <c r="AA39" s="248">
        <v>0.0</v>
      </c>
      <c r="AB39" s="248">
        <v>0.0</v>
      </c>
      <c r="AC39" s="328"/>
      <c r="AD39" s="328"/>
      <c r="AE39" s="328"/>
      <c r="AF39" s="328"/>
      <c r="AG39" s="328"/>
      <c r="AH39" s="328"/>
      <c r="AI39" s="328"/>
      <c r="AJ39" s="328"/>
      <c r="AK39" s="328"/>
      <c r="AL39" s="328"/>
      <c r="AM39" s="328"/>
      <c r="AN39" s="328"/>
      <c r="AO39" s="328"/>
      <c r="AP39" s="328"/>
      <c r="AQ39" s="328"/>
      <c r="AR39" s="328"/>
      <c r="AS39" s="328"/>
      <c r="AT39" s="328"/>
      <c r="AU39" s="328"/>
    </row>
    <row r="40" ht="15.75" customHeight="1">
      <c r="A40" s="248">
        <v>16.0</v>
      </c>
      <c r="B40" s="248">
        <v>6.0</v>
      </c>
      <c r="C40" s="375" t="s">
        <v>286</v>
      </c>
      <c r="D40" s="375" t="s">
        <v>277</v>
      </c>
      <c r="E40" s="248">
        <v>10.0</v>
      </c>
      <c r="F40" s="248">
        <v>180.0</v>
      </c>
      <c r="G40" s="376">
        <f t="shared" si="2"/>
        <v>16</v>
      </c>
      <c r="H40" s="377">
        <v>0.0</v>
      </c>
      <c r="I40" s="248">
        <v>0.0</v>
      </c>
      <c r="J40" s="248">
        <v>0.0</v>
      </c>
      <c r="K40" s="248">
        <v>0.0</v>
      </c>
      <c r="L40" s="248">
        <v>0.0</v>
      </c>
      <c r="M40" s="248">
        <v>0.0</v>
      </c>
      <c r="N40" s="248">
        <v>0.0</v>
      </c>
      <c r="O40" s="248">
        <v>0.0</v>
      </c>
      <c r="P40" s="248">
        <v>0.0</v>
      </c>
      <c r="Q40" s="248">
        <v>0.0</v>
      </c>
      <c r="R40" s="248">
        <v>0.0</v>
      </c>
      <c r="S40" s="248">
        <v>0.0</v>
      </c>
      <c r="T40" s="248">
        <v>0.0</v>
      </c>
      <c r="U40" s="248">
        <v>0.0</v>
      </c>
      <c r="V40" s="248">
        <v>0.0</v>
      </c>
      <c r="W40" s="248">
        <v>0.0</v>
      </c>
      <c r="X40" s="248">
        <v>0.0</v>
      </c>
      <c r="Y40" s="248">
        <v>0.0</v>
      </c>
      <c r="Z40" s="248">
        <v>0.0</v>
      </c>
      <c r="AA40" s="248">
        <v>0.0</v>
      </c>
      <c r="AB40" s="248">
        <v>0.0</v>
      </c>
      <c r="AC40" s="328"/>
      <c r="AD40" s="328"/>
      <c r="AE40" s="328"/>
      <c r="AF40" s="328"/>
      <c r="AG40" s="328"/>
      <c r="AH40" s="328"/>
      <c r="AI40" s="328"/>
      <c r="AJ40" s="328"/>
      <c r="AK40" s="328"/>
      <c r="AL40" s="328"/>
      <c r="AM40" s="328"/>
      <c r="AN40" s="328"/>
      <c r="AO40" s="328"/>
      <c r="AP40" s="328"/>
      <c r="AQ40" s="328"/>
      <c r="AR40" s="328"/>
      <c r="AS40" s="328"/>
      <c r="AT40" s="328"/>
      <c r="AU40" s="328"/>
    </row>
    <row r="41" ht="15.75" customHeight="1">
      <c r="A41" s="248">
        <v>17.0</v>
      </c>
      <c r="B41" s="248">
        <v>6.0</v>
      </c>
      <c r="C41" s="375" t="s">
        <v>286</v>
      </c>
      <c r="D41" s="375" t="s">
        <v>278</v>
      </c>
      <c r="E41" s="248">
        <v>10.0</v>
      </c>
      <c r="F41" s="248">
        <v>260.0</v>
      </c>
      <c r="G41" s="376">
        <f t="shared" si="2"/>
        <v>17</v>
      </c>
      <c r="H41" s="377">
        <v>0.0</v>
      </c>
      <c r="I41" s="248">
        <v>0.0</v>
      </c>
      <c r="J41" s="248">
        <v>0.0</v>
      </c>
      <c r="K41" s="248">
        <v>0.0</v>
      </c>
      <c r="L41" s="248">
        <v>0.0</v>
      </c>
      <c r="M41" s="248">
        <v>0.0</v>
      </c>
      <c r="N41" s="248">
        <v>0.0</v>
      </c>
      <c r="O41" s="248">
        <v>0.0</v>
      </c>
      <c r="P41" s="248">
        <v>0.0</v>
      </c>
      <c r="Q41" s="248">
        <v>0.0</v>
      </c>
      <c r="R41" s="248">
        <v>0.0</v>
      </c>
      <c r="S41" s="248">
        <v>0.0</v>
      </c>
      <c r="T41" s="248">
        <v>0.0</v>
      </c>
      <c r="U41" s="248">
        <v>0.0</v>
      </c>
      <c r="V41" s="248">
        <v>0.0</v>
      </c>
      <c r="W41" s="248">
        <v>0.0</v>
      </c>
      <c r="X41" s="248">
        <v>0.0</v>
      </c>
      <c r="Y41" s="248">
        <v>0.0</v>
      </c>
      <c r="Z41" s="248">
        <v>0.0</v>
      </c>
      <c r="AA41" s="248">
        <v>0.0</v>
      </c>
      <c r="AB41" s="248">
        <v>0.0</v>
      </c>
      <c r="AC41" s="328"/>
      <c r="AD41" s="328"/>
      <c r="AE41" s="328"/>
      <c r="AF41" s="328"/>
      <c r="AG41" s="328"/>
      <c r="AH41" s="328"/>
      <c r="AI41" s="328"/>
      <c r="AJ41" s="328"/>
      <c r="AK41" s="328"/>
      <c r="AL41" s="328"/>
      <c r="AM41" s="328"/>
      <c r="AN41" s="328"/>
      <c r="AO41" s="328"/>
      <c r="AP41" s="328"/>
      <c r="AQ41" s="328"/>
      <c r="AR41" s="328"/>
      <c r="AS41" s="328"/>
      <c r="AT41" s="328"/>
      <c r="AU41" s="328"/>
    </row>
    <row r="42" ht="15.75" customHeight="1">
      <c r="A42" s="248">
        <v>18.0</v>
      </c>
      <c r="B42" s="248">
        <v>6.0</v>
      </c>
      <c r="C42" s="375" t="s">
        <v>286</v>
      </c>
      <c r="D42" s="375" t="s">
        <v>280</v>
      </c>
      <c r="E42" s="248">
        <v>10.0</v>
      </c>
      <c r="F42" s="248">
        <v>300.0</v>
      </c>
      <c r="G42" s="376">
        <f t="shared" si="2"/>
        <v>18</v>
      </c>
      <c r="H42" s="377">
        <v>0.0</v>
      </c>
      <c r="I42" s="248">
        <v>0.0</v>
      </c>
      <c r="J42" s="248">
        <v>0.0</v>
      </c>
      <c r="K42" s="248">
        <v>0.0</v>
      </c>
      <c r="L42" s="248">
        <v>0.0</v>
      </c>
      <c r="M42" s="248">
        <v>0.0</v>
      </c>
      <c r="N42" s="248">
        <v>0.0</v>
      </c>
      <c r="O42" s="248">
        <v>0.0</v>
      </c>
      <c r="P42" s="248">
        <v>0.0</v>
      </c>
      <c r="Q42" s="248">
        <v>30.0</v>
      </c>
      <c r="R42" s="248">
        <v>0.0</v>
      </c>
      <c r="S42" s="248">
        <v>15.0</v>
      </c>
      <c r="T42" s="248">
        <v>0.0</v>
      </c>
      <c r="U42" s="248">
        <v>0.0</v>
      </c>
      <c r="V42" s="248">
        <v>0.0</v>
      </c>
      <c r="W42" s="248">
        <v>0.0</v>
      </c>
      <c r="X42" s="248">
        <v>0.0</v>
      </c>
      <c r="Y42" s="248">
        <v>0.0</v>
      </c>
      <c r="Z42" s="248">
        <v>0.0</v>
      </c>
      <c r="AA42" s="248">
        <v>0.0</v>
      </c>
      <c r="AB42" s="248">
        <v>0.0</v>
      </c>
      <c r="AC42" s="328"/>
      <c r="AD42" s="328"/>
      <c r="AE42" s="328"/>
      <c r="AF42" s="328"/>
      <c r="AG42" s="328"/>
      <c r="AH42" s="328"/>
      <c r="AI42" s="328"/>
      <c r="AJ42" s="328"/>
      <c r="AK42" s="328"/>
      <c r="AL42" s="328"/>
      <c r="AM42" s="328"/>
      <c r="AN42" s="328"/>
      <c r="AO42" s="328"/>
      <c r="AP42" s="328"/>
      <c r="AQ42" s="328"/>
      <c r="AR42" s="328"/>
      <c r="AS42" s="328"/>
      <c r="AT42" s="328"/>
      <c r="AU42" s="328"/>
    </row>
    <row r="43" ht="15.75" customHeight="1">
      <c r="A43" s="248">
        <v>19.0</v>
      </c>
      <c r="B43" s="248">
        <v>7.0</v>
      </c>
      <c r="C43" s="375" t="s">
        <v>287</v>
      </c>
      <c r="D43" s="375" t="s">
        <v>288</v>
      </c>
      <c r="E43" s="248">
        <v>13.0</v>
      </c>
      <c r="F43" s="248">
        <v>300.0</v>
      </c>
      <c r="G43" s="376">
        <f t="shared" si="2"/>
        <v>19</v>
      </c>
      <c r="H43" s="377">
        <v>0.0</v>
      </c>
      <c r="I43" s="248">
        <v>0.0</v>
      </c>
      <c r="J43" s="248">
        <v>0.0</v>
      </c>
      <c r="K43" s="248">
        <v>0.0</v>
      </c>
      <c r="L43" s="248">
        <v>0.0</v>
      </c>
      <c r="M43" s="248">
        <v>0.0</v>
      </c>
      <c r="N43" s="248">
        <v>0.0</v>
      </c>
      <c r="O43" s="248">
        <v>0.0</v>
      </c>
      <c r="P43" s="248">
        <v>0.0</v>
      </c>
      <c r="Q43" s="248">
        <v>0.0</v>
      </c>
      <c r="R43" s="248">
        <v>0.0</v>
      </c>
      <c r="S43" s="248">
        <v>0.0</v>
      </c>
      <c r="T43" s="248">
        <v>0.0</v>
      </c>
      <c r="U43" s="248">
        <v>0.0</v>
      </c>
      <c r="V43" s="248">
        <v>0.0</v>
      </c>
      <c r="W43" s="248">
        <v>0.0</v>
      </c>
      <c r="X43" s="248">
        <v>0.0</v>
      </c>
      <c r="Y43" s="248">
        <v>0.0</v>
      </c>
      <c r="Z43" s="248">
        <v>0.0</v>
      </c>
      <c r="AA43" s="248">
        <v>0.0</v>
      </c>
      <c r="AB43" s="248">
        <v>0.0</v>
      </c>
      <c r="AC43" s="328"/>
      <c r="AD43" s="328"/>
      <c r="AE43" s="328"/>
      <c r="AF43" s="328"/>
      <c r="AG43" s="328"/>
      <c r="AH43" s="328"/>
      <c r="AI43" s="328"/>
      <c r="AJ43" s="328"/>
      <c r="AK43" s="328"/>
      <c r="AL43" s="328"/>
      <c r="AM43" s="328"/>
      <c r="AN43" s="328"/>
      <c r="AO43" s="328"/>
      <c r="AP43" s="328"/>
      <c r="AQ43" s="328"/>
      <c r="AR43" s="328"/>
      <c r="AS43" s="328"/>
      <c r="AT43" s="328"/>
      <c r="AU43" s="328"/>
    </row>
    <row r="44" ht="15.75" customHeight="1">
      <c r="A44" s="248">
        <v>20.0</v>
      </c>
      <c r="B44" s="248">
        <v>7.0</v>
      </c>
      <c r="C44" s="375" t="s">
        <v>287</v>
      </c>
      <c r="D44" s="375" t="s">
        <v>289</v>
      </c>
      <c r="E44" s="248">
        <v>13.0</v>
      </c>
      <c r="F44" s="248">
        <v>375.0</v>
      </c>
      <c r="G44" s="376">
        <f t="shared" si="2"/>
        <v>20</v>
      </c>
      <c r="H44" s="377">
        <v>0.0</v>
      </c>
      <c r="I44" s="248">
        <v>0.0</v>
      </c>
      <c r="J44" s="248">
        <v>0.0</v>
      </c>
      <c r="K44" s="248">
        <v>0.0</v>
      </c>
      <c r="L44" s="248">
        <v>0.0</v>
      </c>
      <c r="M44" s="248">
        <v>0.0</v>
      </c>
      <c r="N44" s="248">
        <v>0.0</v>
      </c>
      <c r="O44" s="248">
        <v>0.0</v>
      </c>
      <c r="P44" s="248">
        <v>0.0</v>
      </c>
      <c r="Q44" s="248">
        <v>0.0</v>
      </c>
      <c r="R44" s="248">
        <v>0.0</v>
      </c>
      <c r="S44" s="248">
        <v>0.0</v>
      </c>
      <c r="T44" s="248">
        <v>0.0</v>
      </c>
      <c r="U44" s="248">
        <v>0.0</v>
      </c>
      <c r="V44" s="248">
        <v>0.0</v>
      </c>
      <c r="W44" s="248">
        <v>0.0</v>
      </c>
      <c r="X44" s="248">
        <v>0.0</v>
      </c>
      <c r="Y44" s="248">
        <v>0.0</v>
      </c>
      <c r="Z44" s="248">
        <v>0.0</v>
      </c>
      <c r="AA44" s="248">
        <v>0.0</v>
      </c>
      <c r="AB44" s="248">
        <v>0.0</v>
      </c>
      <c r="AC44" s="328"/>
      <c r="AD44" s="328"/>
      <c r="AE44" s="328"/>
      <c r="AF44" s="328"/>
      <c r="AG44" s="328"/>
      <c r="AH44" s="328"/>
      <c r="AI44" s="328"/>
      <c r="AJ44" s="328"/>
      <c r="AK44" s="328"/>
      <c r="AL44" s="328"/>
      <c r="AM44" s="328"/>
      <c r="AN44" s="328"/>
      <c r="AO44" s="328"/>
      <c r="AP44" s="328"/>
      <c r="AQ44" s="328"/>
      <c r="AR44" s="328"/>
      <c r="AS44" s="328"/>
      <c r="AT44" s="328"/>
      <c r="AU44" s="328"/>
    </row>
    <row r="45" ht="15.75" customHeight="1">
      <c r="A45" s="248">
        <v>21.0</v>
      </c>
      <c r="B45" s="248">
        <v>7.0</v>
      </c>
      <c r="C45" s="375" t="s">
        <v>287</v>
      </c>
      <c r="D45" s="375" t="s">
        <v>290</v>
      </c>
      <c r="E45" s="248">
        <v>13.0</v>
      </c>
      <c r="F45" s="248">
        <v>410.0</v>
      </c>
      <c r="G45" s="376">
        <f t="shared" si="2"/>
        <v>21</v>
      </c>
      <c r="H45" s="377">
        <v>25.0</v>
      </c>
      <c r="I45" s="248">
        <v>0.0</v>
      </c>
      <c r="J45" s="248">
        <v>0.0</v>
      </c>
      <c r="K45" s="248">
        <v>0.0</v>
      </c>
      <c r="L45" s="248">
        <v>0.0</v>
      </c>
      <c r="M45" s="248">
        <v>0.0</v>
      </c>
      <c r="N45" s="248">
        <v>0.0</v>
      </c>
      <c r="O45" s="248">
        <v>0.0</v>
      </c>
      <c r="P45" s="248">
        <v>0.0</v>
      </c>
      <c r="Q45" s="248">
        <v>0.0</v>
      </c>
      <c r="R45" s="248">
        <v>0.0</v>
      </c>
      <c r="S45" s="248">
        <v>0.0</v>
      </c>
      <c r="T45" s="248">
        <v>0.0</v>
      </c>
      <c r="U45" s="248">
        <v>0.0</v>
      </c>
      <c r="V45" s="248">
        <v>0.0</v>
      </c>
      <c r="W45" s="248">
        <v>0.0</v>
      </c>
      <c r="X45" s="248">
        <v>0.0</v>
      </c>
      <c r="Y45" s="248">
        <v>0.0</v>
      </c>
      <c r="Z45" s="248">
        <v>0.0</v>
      </c>
      <c r="AA45" s="248">
        <v>0.0</v>
      </c>
      <c r="AB45" s="248">
        <v>0.0</v>
      </c>
      <c r="AC45" s="328"/>
      <c r="AD45" s="328"/>
      <c r="AE45" s="328"/>
      <c r="AF45" s="328"/>
      <c r="AG45" s="328"/>
      <c r="AH45" s="328"/>
      <c r="AI45" s="328"/>
      <c r="AJ45" s="328"/>
      <c r="AK45" s="328"/>
      <c r="AL45" s="328"/>
      <c r="AM45" s="328"/>
      <c r="AN45" s="328"/>
      <c r="AO45" s="328"/>
      <c r="AP45" s="328"/>
      <c r="AQ45" s="328"/>
      <c r="AR45" s="328"/>
      <c r="AS45" s="328"/>
      <c r="AT45" s="328"/>
      <c r="AU45" s="328"/>
    </row>
    <row r="46" ht="15.75" customHeight="1">
      <c r="A46" s="248">
        <v>22.0</v>
      </c>
      <c r="B46" s="248">
        <v>8.0</v>
      </c>
      <c r="C46" s="375" t="s">
        <v>291</v>
      </c>
      <c r="D46" s="375" t="s">
        <v>288</v>
      </c>
      <c r="E46" s="248">
        <v>16.0</v>
      </c>
      <c r="F46" s="248">
        <v>385.0</v>
      </c>
      <c r="G46" s="376">
        <f t="shared" si="2"/>
        <v>22</v>
      </c>
      <c r="H46" s="377">
        <v>0.0</v>
      </c>
      <c r="I46" s="248">
        <v>0.0</v>
      </c>
      <c r="J46" s="248">
        <v>0.0</v>
      </c>
      <c r="K46" s="248">
        <v>0.0</v>
      </c>
      <c r="L46" s="248">
        <v>0.0</v>
      </c>
      <c r="M46" s="248">
        <v>0.0</v>
      </c>
      <c r="N46" s="248">
        <v>0.0</v>
      </c>
      <c r="O46" s="248">
        <v>0.0</v>
      </c>
      <c r="P46" s="248">
        <v>0.0</v>
      </c>
      <c r="Q46" s="248">
        <v>0.0</v>
      </c>
      <c r="R46" s="248">
        <v>0.0</v>
      </c>
      <c r="S46" s="248">
        <v>0.0</v>
      </c>
      <c r="T46" s="248">
        <v>0.0</v>
      </c>
      <c r="U46" s="248">
        <v>0.0</v>
      </c>
      <c r="V46" s="248">
        <v>0.0</v>
      </c>
      <c r="W46" s="248">
        <v>0.0</v>
      </c>
      <c r="X46" s="248">
        <v>0.0</v>
      </c>
      <c r="Y46" s="248">
        <v>0.0</v>
      </c>
      <c r="Z46" s="248">
        <v>0.0</v>
      </c>
      <c r="AA46" s="248">
        <v>0.0</v>
      </c>
      <c r="AB46" s="248">
        <v>0.0</v>
      </c>
      <c r="AC46" s="328"/>
      <c r="AD46" s="328"/>
      <c r="AE46" s="328"/>
      <c r="AF46" s="328"/>
      <c r="AG46" s="328"/>
      <c r="AH46" s="328"/>
      <c r="AI46" s="328"/>
      <c r="AJ46" s="328"/>
      <c r="AK46" s="328"/>
      <c r="AL46" s="328"/>
      <c r="AM46" s="328"/>
      <c r="AN46" s="328"/>
      <c r="AO46" s="328"/>
      <c r="AP46" s="328"/>
      <c r="AQ46" s="328"/>
      <c r="AR46" s="328"/>
      <c r="AS46" s="328"/>
      <c r="AT46" s="328"/>
      <c r="AU46" s="328"/>
    </row>
    <row r="47" ht="15.75" customHeight="1">
      <c r="A47" s="248">
        <v>23.0</v>
      </c>
      <c r="B47" s="248">
        <v>8.0</v>
      </c>
      <c r="C47" s="375" t="s">
        <v>291</v>
      </c>
      <c r="D47" s="375" t="s">
        <v>289</v>
      </c>
      <c r="E47" s="248">
        <v>16.0</v>
      </c>
      <c r="F47" s="248">
        <v>475.0</v>
      </c>
      <c r="G47" s="376">
        <f t="shared" si="2"/>
        <v>23</v>
      </c>
      <c r="H47" s="377">
        <v>0.0</v>
      </c>
      <c r="I47" s="248">
        <v>0.0</v>
      </c>
      <c r="J47" s="248">
        <v>0.0</v>
      </c>
      <c r="K47" s="248">
        <v>0.0</v>
      </c>
      <c r="L47" s="248">
        <v>0.0</v>
      </c>
      <c r="M47" s="248">
        <v>0.0</v>
      </c>
      <c r="N47" s="248">
        <v>0.0</v>
      </c>
      <c r="O47" s="248">
        <v>0.0</v>
      </c>
      <c r="P47" s="248">
        <v>0.0</v>
      </c>
      <c r="Q47" s="248">
        <v>0.0</v>
      </c>
      <c r="R47" s="248">
        <v>0.0</v>
      </c>
      <c r="S47" s="248">
        <v>0.0</v>
      </c>
      <c r="T47" s="248">
        <v>0.0</v>
      </c>
      <c r="U47" s="248">
        <v>0.0</v>
      </c>
      <c r="V47" s="248">
        <v>0.0</v>
      </c>
      <c r="W47" s="248">
        <v>0.0</v>
      </c>
      <c r="X47" s="248">
        <v>0.0</v>
      </c>
      <c r="Y47" s="248">
        <v>0.0</v>
      </c>
      <c r="Z47" s="248">
        <v>0.0</v>
      </c>
      <c r="AA47" s="248">
        <v>0.0</v>
      </c>
      <c r="AB47" s="248">
        <v>0.0</v>
      </c>
      <c r="AC47" s="328"/>
      <c r="AD47" s="328"/>
      <c r="AE47" s="328"/>
      <c r="AF47" s="328"/>
      <c r="AG47" s="328"/>
      <c r="AH47" s="328"/>
      <c r="AI47" s="328"/>
      <c r="AJ47" s="328"/>
      <c r="AK47" s="328"/>
      <c r="AL47" s="328"/>
      <c r="AM47" s="328"/>
      <c r="AN47" s="328"/>
      <c r="AO47" s="328"/>
      <c r="AP47" s="328"/>
      <c r="AQ47" s="328"/>
      <c r="AR47" s="328"/>
      <c r="AS47" s="328"/>
      <c r="AT47" s="328"/>
      <c r="AU47" s="328"/>
    </row>
    <row r="48" ht="15.75" customHeight="1">
      <c r="A48" s="248">
        <v>24.0</v>
      </c>
      <c r="B48" s="248">
        <v>8.0</v>
      </c>
      <c r="C48" s="375" t="s">
        <v>291</v>
      </c>
      <c r="D48" s="375" t="s">
        <v>290</v>
      </c>
      <c r="E48" s="248">
        <v>16.0</v>
      </c>
      <c r="F48" s="248">
        <v>500.0</v>
      </c>
      <c r="G48" s="376">
        <f t="shared" si="2"/>
        <v>24</v>
      </c>
      <c r="H48" s="377">
        <v>0.0</v>
      </c>
      <c r="I48" s="248">
        <v>0.0</v>
      </c>
      <c r="J48" s="248">
        <v>0.0</v>
      </c>
      <c r="K48" s="248">
        <v>0.0</v>
      </c>
      <c r="L48" s="248">
        <v>0.0</v>
      </c>
      <c r="M48" s="248">
        <v>0.0</v>
      </c>
      <c r="N48" s="248">
        <v>0.0</v>
      </c>
      <c r="O48" s="248">
        <v>0.0</v>
      </c>
      <c r="P48" s="248">
        <v>0.0</v>
      </c>
      <c r="Q48" s="248">
        <v>60.0</v>
      </c>
      <c r="R48" s="248">
        <v>0.0</v>
      </c>
      <c r="S48" s="248">
        <v>0.0</v>
      </c>
      <c r="T48" s="248">
        <v>15.0</v>
      </c>
      <c r="U48" s="248">
        <v>0.0</v>
      </c>
      <c r="V48" s="248">
        <v>0.0</v>
      </c>
      <c r="W48" s="248">
        <v>0.0</v>
      </c>
      <c r="X48" s="248">
        <v>0.0</v>
      </c>
      <c r="Y48" s="248">
        <v>0.0</v>
      </c>
      <c r="Z48" s="248">
        <v>0.0</v>
      </c>
      <c r="AA48" s="248">
        <v>0.0</v>
      </c>
      <c r="AB48" s="248">
        <v>0.0</v>
      </c>
      <c r="AC48" s="328"/>
      <c r="AD48" s="328"/>
      <c r="AE48" s="328"/>
      <c r="AF48" s="328"/>
      <c r="AG48" s="328"/>
      <c r="AH48" s="328"/>
      <c r="AI48" s="328"/>
      <c r="AJ48" s="328"/>
      <c r="AK48" s="328"/>
      <c r="AL48" s="328"/>
      <c r="AM48" s="328"/>
      <c r="AN48" s="328"/>
      <c r="AO48" s="328"/>
      <c r="AP48" s="328"/>
      <c r="AQ48" s="328"/>
      <c r="AR48" s="328"/>
      <c r="AS48" s="328"/>
      <c r="AT48" s="328"/>
      <c r="AU48" s="328"/>
    </row>
    <row r="49" ht="15.75" customHeight="1">
      <c r="A49" s="248">
        <v>25.0</v>
      </c>
      <c r="B49" s="248">
        <v>9.0</v>
      </c>
      <c r="C49" s="375" t="s">
        <v>292</v>
      </c>
      <c r="D49" s="375" t="s">
        <v>288</v>
      </c>
      <c r="E49" s="248">
        <v>20.0</v>
      </c>
      <c r="F49" s="248">
        <v>400.0</v>
      </c>
      <c r="G49" s="376">
        <f t="shared" si="2"/>
        <v>25</v>
      </c>
      <c r="H49" s="377">
        <v>0.0</v>
      </c>
      <c r="I49" s="248">
        <v>0.0</v>
      </c>
      <c r="J49" s="248">
        <v>0.0</v>
      </c>
      <c r="K49" s="248">
        <v>0.0</v>
      </c>
      <c r="L49" s="248">
        <v>0.0</v>
      </c>
      <c r="M49" s="248">
        <v>0.0</v>
      </c>
      <c r="N49" s="248">
        <v>0.0</v>
      </c>
      <c r="O49" s="248">
        <v>0.0</v>
      </c>
      <c r="P49" s="248">
        <v>0.0</v>
      </c>
      <c r="Q49" s="248">
        <v>0.0</v>
      </c>
      <c r="R49" s="248">
        <v>0.0</v>
      </c>
      <c r="S49" s="248">
        <v>0.0</v>
      </c>
      <c r="T49" s="248">
        <v>0.0</v>
      </c>
      <c r="U49" s="248">
        <v>0.0</v>
      </c>
      <c r="V49" s="248">
        <v>0.0</v>
      </c>
      <c r="W49" s="248">
        <v>0.0</v>
      </c>
      <c r="X49" s="248">
        <v>0.0</v>
      </c>
      <c r="Y49" s="248">
        <v>0.0</v>
      </c>
      <c r="Z49" s="248">
        <v>0.0</v>
      </c>
      <c r="AA49" s="248">
        <v>0.0</v>
      </c>
      <c r="AB49" s="248">
        <v>0.0</v>
      </c>
      <c r="AC49" s="328"/>
      <c r="AD49" s="328"/>
      <c r="AE49" s="328"/>
      <c r="AF49" s="328"/>
      <c r="AG49" s="328"/>
      <c r="AH49" s="328"/>
      <c r="AI49" s="328"/>
      <c r="AJ49" s="328"/>
      <c r="AK49" s="328"/>
      <c r="AL49" s="328"/>
      <c r="AM49" s="328"/>
      <c r="AN49" s="328"/>
      <c r="AO49" s="328"/>
      <c r="AP49" s="328"/>
      <c r="AQ49" s="328"/>
      <c r="AR49" s="328"/>
      <c r="AS49" s="328"/>
      <c r="AT49" s="328"/>
      <c r="AU49" s="328"/>
    </row>
    <row r="50" ht="15.75" customHeight="1">
      <c r="A50" s="248">
        <v>26.0</v>
      </c>
      <c r="B50" s="248">
        <v>9.0</v>
      </c>
      <c r="C50" s="375" t="s">
        <v>292</v>
      </c>
      <c r="D50" s="375" t="s">
        <v>289</v>
      </c>
      <c r="E50" s="248">
        <v>20.0</v>
      </c>
      <c r="F50" s="248">
        <v>480.0</v>
      </c>
      <c r="G50" s="376">
        <f t="shared" si="2"/>
        <v>26</v>
      </c>
      <c r="H50" s="377">
        <v>0.0</v>
      </c>
      <c r="I50" s="248">
        <v>0.0</v>
      </c>
      <c r="J50" s="248">
        <v>0.0</v>
      </c>
      <c r="K50" s="248">
        <v>0.0</v>
      </c>
      <c r="L50" s="248">
        <v>0.0</v>
      </c>
      <c r="M50" s="248">
        <v>0.0</v>
      </c>
      <c r="N50" s="248">
        <v>0.0</v>
      </c>
      <c r="O50" s="248">
        <v>0.0</v>
      </c>
      <c r="P50" s="248">
        <v>0.0</v>
      </c>
      <c r="Q50" s="248">
        <v>0.0</v>
      </c>
      <c r="R50" s="248">
        <v>0.0</v>
      </c>
      <c r="S50" s="248">
        <v>0.0</v>
      </c>
      <c r="T50" s="248">
        <v>0.0</v>
      </c>
      <c r="U50" s="248">
        <v>0.0</v>
      </c>
      <c r="V50" s="248">
        <v>0.0</v>
      </c>
      <c r="W50" s="248">
        <v>0.0</v>
      </c>
      <c r="X50" s="248">
        <v>0.0</v>
      </c>
      <c r="Y50" s="248">
        <v>0.0</v>
      </c>
      <c r="Z50" s="248">
        <v>0.0</v>
      </c>
      <c r="AA50" s="248">
        <v>0.0</v>
      </c>
      <c r="AB50" s="248">
        <v>0.0</v>
      </c>
      <c r="AC50" s="328"/>
      <c r="AD50" s="328"/>
      <c r="AE50" s="328"/>
      <c r="AF50" s="328"/>
      <c r="AG50" s="328"/>
      <c r="AH50" s="328"/>
      <c r="AI50" s="328"/>
      <c r="AJ50" s="328"/>
      <c r="AK50" s="328"/>
      <c r="AL50" s="328"/>
      <c r="AM50" s="328"/>
      <c r="AN50" s="328"/>
      <c r="AO50" s="328"/>
      <c r="AP50" s="328"/>
      <c r="AQ50" s="328"/>
      <c r="AR50" s="328"/>
      <c r="AS50" s="328"/>
      <c r="AT50" s="328"/>
      <c r="AU50" s="328"/>
    </row>
    <row r="51" ht="15.75" customHeight="1">
      <c r="A51" s="248">
        <v>27.0</v>
      </c>
      <c r="B51" s="248">
        <v>9.0</v>
      </c>
      <c r="C51" s="375" t="s">
        <v>292</v>
      </c>
      <c r="D51" s="375" t="s">
        <v>290</v>
      </c>
      <c r="E51" s="248">
        <v>20.0</v>
      </c>
      <c r="F51" s="248">
        <v>520.0</v>
      </c>
      <c r="G51" s="376">
        <f t="shared" si="2"/>
        <v>27</v>
      </c>
      <c r="H51" s="377">
        <v>0.0</v>
      </c>
      <c r="I51" s="248">
        <v>0.0</v>
      </c>
      <c r="J51" s="248">
        <v>0.0</v>
      </c>
      <c r="K51" s="248">
        <v>0.0</v>
      </c>
      <c r="L51" s="248">
        <v>0.0</v>
      </c>
      <c r="M51" s="248">
        <v>0.0</v>
      </c>
      <c r="N51" s="248">
        <v>0.0</v>
      </c>
      <c r="O51" s="248">
        <v>1.0</v>
      </c>
      <c r="P51" s="248">
        <v>0.0</v>
      </c>
      <c r="Q51" s="248">
        <v>0.0</v>
      </c>
      <c r="R51" s="248">
        <v>0.0</v>
      </c>
      <c r="S51" s="248">
        <v>0.0</v>
      </c>
      <c r="T51" s="248">
        <v>0.0</v>
      </c>
      <c r="U51" s="248">
        <v>0.0</v>
      </c>
      <c r="V51" s="248">
        <v>0.0</v>
      </c>
      <c r="W51" s="248">
        <v>0.0</v>
      </c>
      <c r="X51" s="248">
        <v>0.0</v>
      </c>
      <c r="Y51" s="248">
        <v>0.0</v>
      </c>
      <c r="Z51" s="248">
        <v>0.0</v>
      </c>
      <c r="AA51" s="248">
        <v>0.0</v>
      </c>
      <c r="AB51" s="248">
        <v>0.0</v>
      </c>
      <c r="AC51" s="328"/>
      <c r="AD51" s="328"/>
      <c r="AE51" s="328"/>
      <c r="AF51" s="328"/>
      <c r="AG51" s="328"/>
      <c r="AH51" s="328"/>
      <c r="AI51" s="328"/>
      <c r="AJ51" s="328"/>
      <c r="AK51" s="328"/>
      <c r="AL51" s="328"/>
      <c r="AM51" s="328"/>
      <c r="AN51" s="328"/>
      <c r="AO51" s="328"/>
      <c r="AP51" s="328"/>
      <c r="AQ51" s="328"/>
      <c r="AR51" s="328"/>
      <c r="AS51" s="328"/>
      <c r="AT51" s="328"/>
      <c r="AU51" s="328"/>
    </row>
    <row r="52" ht="15.75" customHeight="1">
      <c r="A52" s="248">
        <v>28.0</v>
      </c>
      <c r="B52" s="248">
        <v>10.0</v>
      </c>
      <c r="C52" s="375" t="s">
        <v>293</v>
      </c>
      <c r="D52" s="375" t="s">
        <v>294</v>
      </c>
      <c r="E52" s="248">
        <v>25.0</v>
      </c>
      <c r="F52" s="248">
        <v>600.0</v>
      </c>
      <c r="G52" s="376">
        <f t="shared" si="2"/>
        <v>28</v>
      </c>
      <c r="H52" s="377">
        <v>0.0</v>
      </c>
      <c r="I52" s="248">
        <v>0.0</v>
      </c>
      <c r="J52" s="248">
        <v>0.0</v>
      </c>
      <c r="K52" s="248">
        <v>0.0</v>
      </c>
      <c r="L52" s="248">
        <v>0.0</v>
      </c>
      <c r="M52" s="248">
        <v>0.0</v>
      </c>
      <c r="N52" s="248">
        <v>0.0</v>
      </c>
      <c r="O52" s="248">
        <v>0.0</v>
      </c>
      <c r="P52" s="248">
        <v>0.0</v>
      </c>
      <c r="Q52" s="248">
        <v>0.0</v>
      </c>
      <c r="R52" s="248">
        <v>0.0</v>
      </c>
      <c r="S52" s="248">
        <v>0.0</v>
      </c>
      <c r="T52" s="248">
        <v>0.0</v>
      </c>
      <c r="U52" s="248">
        <v>0.0</v>
      </c>
      <c r="V52" s="248">
        <v>0.0</v>
      </c>
      <c r="W52" s="248">
        <v>0.0</v>
      </c>
      <c r="X52" s="248">
        <v>0.0</v>
      </c>
      <c r="Y52" s="248">
        <v>0.0</v>
      </c>
      <c r="Z52" s="248">
        <v>0.0</v>
      </c>
      <c r="AA52" s="248">
        <v>0.0</v>
      </c>
      <c r="AB52" s="248">
        <v>0.0</v>
      </c>
      <c r="AC52" s="328"/>
      <c r="AD52" s="328"/>
      <c r="AE52" s="328"/>
      <c r="AF52" s="328"/>
      <c r="AG52" s="328"/>
      <c r="AH52" s="328"/>
      <c r="AI52" s="328"/>
      <c r="AJ52" s="328"/>
      <c r="AK52" s="328"/>
      <c r="AL52" s="328"/>
      <c r="AM52" s="328"/>
      <c r="AN52" s="328"/>
      <c r="AO52" s="328"/>
      <c r="AP52" s="328"/>
      <c r="AQ52" s="328"/>
      <c r="AR52" s="328"/>
      <c r="AS52" s="328"/>
      <c r="AT52" s="328"/>
      <c r="AU52" s="328"/>
    </row>
    <row r="53" ht="15.75" customHeight="1">
      <c r="A53" s="248">
        <v>29.0</v>
      </c>
      <c r="B53" s="248">
        <v>10.0</v>
      </c>
      <c r="C53" s="375" t="s">
        <v>293</v>
      </c>
      <c r="D53" s="375" t="s">
        <v>295</v>
      </c>
      <c r="E53" s="248">
        <v>25.0</v>
      </c>
      <c r="F53" s="248">
        <v>600.0</v>
      </c>
      <c r="G53" s="376">
        <f t="shared" si="2"/>
        <v>29</v>
      </c>
      <c r="H53" s="377">
        <v>0.0</v>
      </c>
      <c r="I53" s="248">
        <v>0.0</v>
      </c>
      <c r="J53" s="248">
        <v>0.0</v>
      </c>
      <c r="K53" s="248">
        <v>0.0</v>
      </c>
      <c r="L53" s="248">
        <v>0.0</v>
      </c>
      <c r="M53" s="248">
        <v>0.0</v>
      </c>
      <c r="N53" s="248">
        <v>0.0</v>
      </c>
      <c r="O53" s="248">
        <v>0.0</v>
      </c>
      <c r="P53" s="248">
        <v>0.0</v>
      </c>
      <c r="Q53" s="248">
        <v>0.0</v>
      </c>
      <c r="R53" s="248">
        <v>0.0</v>
      </c>
      <c r="S53" s="248">
        <v>0.0</v>
      </c>
      <c r="T53" s="248">
        <v>0.0</v>
      </c>
      <c r="U53" s="248">
        <v>0.0</v>
      </c>
      <c r="V53" s="248">
        <v>0.0</v>
      </c>
      <c r="W53" s="248">
        <v>0.0</v>
      </c>
      <c r="X53" s="248">
        <v>0.0</v>
      </c>
      <c r="Y53" s="248">
        <v>0.0</v>
      </c>
      <c r="Z53" s="248">
        <v>0.0</v>
      </c>
      <c r="AA53" s="248">
        <v>0.0</v>
      </c>
      <c r="AB53" s="248">
        <v>0.0</v>
      </c>
      <c r="AC53" s="328"/>
      <c r="AD53" s="328"/>
      <c r="AE53" s="328"/>
      <c r="AF53" s="328"/>
      <c r="AG53" s="328"/>
      <c r="AH53" s="328"/>
      <c r="AI53" s="328"/>
      <c r="AJ53" s="328"/>
      <c r="AK53" s="328"/>
      <c r="AL53" s="328"/>
      <c r="AM53" s="328"/>
      <c r="AN53" s="328"/>
      <c r="AO53" s="328"/>
      <c r="AP53" s="328"/>
      <c r="AQ53" s="328"/>
      <c r="AR53" s="328"/>
      <c r="AS53" s="328"/>
      <c r="AT53" s="328"/>
      <c r="AU53" s="328"/>
    </row>
    <row r="54" ht="15.75" customHeight="1">
      <c r="A54" s="248">
        <v>30.0</v>
      </c>
      <c r="B54" s="248">
        <v>10.0</v>
      </c>
      <c r="C54" s="375" t="s">
        <v>293</v>
      </c>
      <c r="D54" s="375" t="s">
        <v>296</v>
      </c>
      <c r="E54" s="248">
        <v>25.0</v>
      </c>
      <c r="F54" s="248">
        <v>600.0</v>
      </c>
      <c r="G54" s="376">
        <f t="shared" si="2"/>
        <v>30</v>
      </c>
      <c r="H54" s="377">
        <v>50.0</v>
      </c>
      <c r="I54" s="248">
        <v>0.0</v>
      </c>
      <c r="J54" s="248">
        <v>0.0</v>
      </c>
      <c r="K54" s="248">
        <v>0.0</v>
      </c>
      <c r="L54" s="248">
        <v>0.0</v>
      </c>
      <c r="M54" s="248">
        <v>1.0</v>
      </c>
      <c r="N54" s="248">
        <v>0.0</v>
      </c>
      <c r="O54" s="248">
        <v>0.0</v>
      </c>
      <c r="P54" s="248">
        <v>0.0</v>
      </c>
      <c r="Q54" s="248">
        <v>120.0</v>
      </c>
      <c r="R54" s="248">
        <v>0.0</v>
      </c>
      <c r="S54" s="248">
        <v>0.0</v>
      </c>
      <c r="T54" s="248">
        <v>0.0</v>
      </c>
      <c r="U54" s="248">
        <v>0.0</v>
      </c>
      <c r="V54" s="248">
        <v>0.0</v>
      </c>
      <c r="W54" s="248">
        <v>0.0</v>
      </c>
      <c r="X54" s="248">
        <v>0.0</v>
      </c>
      <c r="Y54" s="248">
        <v>0.0</v>
      </c>
      <c r="Z54" s="248">
        <v>0.0</v>
      </c>
      <c r="AA54" s="248">
        <v>0.0</v>
      </c>
      <c r="AB54" s="248">
        <v>0.0</v>
      </c>
      <c r="AC54" s="328"/>
      <c r="AD54" s="328"/>
      <c r="AE54" s="328"/>
      <c r="AF54" s="328"/>
      <c r="AG54" s="328"/>
      <c r="AH54" s="328"/>
      <c r="AI54" s="328"/>
      <c r="AJ54" s="328"/>
      <c r="AK54" s="328"/>
      <c r="AL54" s="328"/>
      <c r="AM54" s="328"/>
      <c r="AN54" s="328"/>
      <c r="AO54" s="328"/>
      <c r="AP54" s="328"/>
      <c r="AQ54" s="328"/>
      <c r="AR54" s="328"/>
      <c r="AS54" s="328"/>
      <c r="AT54" s="328"/>
      <c r="AU54" s="328"/>
    </row>
    <row r="55" ht="15.75" customHeight="1">
      <c r="A55" s="328"/>
      <c r="B55" s="328"/>
      <c r="C55" s="328"/>
      <c r="D55" s="328"/>
      <c r="E55" s="328"/>
      <c r="F55" s="328"/>
      <c r="G55" s="328"/>
      <c r="H55" s="32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Y55" s="328"/>
      <c r="Z55" s="328"/>
      <c r="AA55" s="328"/>
      <c r="AB55" s="328"/>
      <c r="AC55" s="328"/>
      <c r="AD55" s="328"/>
      <c r="AE55" s="328"/>
      <c r="AF55" s="328"/>
      <c r="AG55" s="328"/>
      <c r="AH55" s="328"/>
      <c r="AI55" s="328"/>
      <c r="AJ55" s="328"/>
      <c r="AK55" s="328"/>
      <c r="AL55" s="328"/>
      <c r="AM55" s="328"/>
      <c r="AN55" s="328"/>
      <c r="AO55" s="328"/>
      <c r="AP55" s="328"/>
      <c r="AQ55" s="328"/>
      <c r="AR55" s="328"/>
      <c r="AS55" s="328"/>
      <c r="AT55" s="328"/>
      <c r="AU55" s="328"/>
    </row>
    <row r="56" ht="19.5" customHeight="1">
      <c r="A56" s="175" t="s">
        <v>297</v>
      </c>
      <c r="B56" s="175"/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  <c r="AA56" s="175"/>
      <c r="AB56" s="175"/>
      <c r="AC56" s="328"/>
      <c r="AD56" s="328"/>
      <c r="AE56" s="328"/>
      <c r="AF56" s="328"/>
      <c r="AG56" s="328"/>
      <c r="AH56" s="328"/>
      <c r="AI56" s="328"/>
      <c r="AJ56" s="328"/>
      <c r="AK56" s="328"/>
      <c r="AL56" s="328"/>
      <c r="AM56" s="328"/>
      <c r="AN56" s="328"/>
      <c r="AO56" s="328"/>
      <c r="AP56" s="328"/>
      <c r="AQ56" s="328"/>
      <c r="AR56" s="328"/>
      <c r="AS56" s="328"/>
      <c r="AT56" s="328"/>
      <c r="AU56" s="328"/>
    </row>
    <row r="57" ht="90.0" customHeight="1">
      <c r="A57" s="184" t="s">
        <v>298</v>
      </c>
      <c r="B57" s="184" t="s">
        <v>299</v>
      </c>
      <c r="C57" s="328"/>
      <c r="D57" s="328"/>
      <c r="E57" s="328"/>
      <c r="F57" s="328"/>
      <c r="G57" s="328"/>
      <c r="H57" s="374" t="s">
        <v>76</v>
      </c>
      <c r="I57" s="257" t="s">
        <v>46</v>
      </c>
      <c r="J57" s="257" t="s">
        <v>121</v>
      </c>
      <c r="K57" s="257" t="s">
        <v>47</v>
      </c>
      <c r="L57" s="257" t="s">
        <v>48</v>
      </c>
      <c r="M57" s="257" t="s">
        <v>50</v>
      </c>
      <c r="N57" s="257" t="s">
        <v>52</v>
      </c>
      <c r="O57" s="257" t="s">
        <v>53</v>
      </c>
      <c r="P57" s="257" t="s">
        <v>54</v>
      </c>
      <c r="Q57" s="257" t="s">
        <v>55</v>
      </c>
      <c r="R57" s="257" t="s">
        <v>56</v>
      </c>
      <c r="S57" s="257" t="s">
        <v>57</v>
      </c>
      <c r="T57" s="257" t="s">
        <v>58</v>
      </c>
      <c r="U57" s="257" t="s">
        <v>135</v>
      </c>
      <c r="V57" s="257" t="s">
        <v>122</v>
      </c>
      <c r="W57" s="257" t="s">
        <v>123</v>
      </c>
      <c r="X57" s="257" t="s">
        <v>124</v>
      </c>
      <c r="Y57" s="257" t="s">
        <v>125</v>
      </c>
      <c r="Z57" s="257" t="s">
        <v>126</v>
      </c>
      <c r="AA57" s="257" t="s">
        <v>127</v>
      </c>
      <c r="AB57" s="257" t="s">
        <v>128</v>
      </c>
      <c r="AC57" s="328"/>
      <c r="AD57" s="328"/>
      <c r="AE57" s="328"/>
      <c r="AF57" s="328"/>
      <c r="AG57" s="328"/>
      <c r="AH57" s="328"/>
      <c r="AI57" s="328"/>
      <c r="AJ57" s="328"/>
      <c r="AK57" s="328"/>
      <c r="AL57" s="328"/>
      <c r="AM57" s="328"/>
      <c r="AN57" s="328"/>
      <c r="AO57" s="328"/>
      <c r="AP57" s="328"/>
      <c r="AQ57" s="328"/>
      <c r="AR57" s="328"/>
      <c r="AS57" s="328"/>
      <c r="AT57" s="328"/>
      <c r="AU57" s="328"/>
    </row>
    <row r="58" ht="15.75" customHeight="1">
      <c r="A58" s="248">
        <v>1.0</v>
      </c>
      <c r="B58" s="248">
        <v>840.0</v>
      </c>
      <c r="C58" s="328"/>
      <c r="D58" s="328"/>
      <c r="E58" s="328"/>
      <c r="F58" s="328"/>
      <c r="G58" s="328"/>
      <c r="H58" s="377">
        <v>0.0</v>
      </c>
      <c r="I58" s="248">
        <v>0.0</v>
      </c>
      <c r="J58" s="248">
        <v>0.0</v>
      </c>
      <c r="K58" s="248">
        <v>0.0</v>
      </c>
      <c r="L58" s="248">
        <v>0.0</v>
      </c>
      <c r="M58" s="248">
        <v>1.0</v>
      </c>
      <c r="N58" s="248">
        <v>0.0</v>
      </c>
      <c r="O58" s="248">
        <v>0.0</v>
      </c>
      <c r="P58" s="248">
        <v>0.0</v>
      </c>
      <c r="Q58" s="248">
        <v>0.0</v>
      </c>
      <c r="R58" s="248">
        <v>0.0</v>
      </c>
      <c r="S58" s="248">
        <v>0.0</v>
      </c>
      <c r="T58" s="248">
        <v>0.0</v>
      </c>
      <c r="U58" s="248">
        <v>0.0</v>
      </c>
      <c r="V58" s="248">
        <v>0.0</v>
      </c>
      <c r="W58" s="248">
        <v>0.0</v>
      </c>
      <c r="X58" s="248">
        <v>0.0</v>
      </c>
      <c r="Y58" s="248">
        <v>0.0</v>
      </c>
      <c r="Z58" s="248">
        <v>0.0</v>
      </c>
      <c r="AA58" s="248">
        <v>0.0</v>
      </c>
      <c r="AB58" s="248">
        <v>0.0</v>
      </c>
      <c r="AC58" s="328"/>
      <c r="AD58" s="328"/>
      <c r="AE58" s="328"/>
      <c r="AF58" s="328"/>
      <c r="AG58" s="328"/>
      <c r="AH58" s="328"/>
      <c r="AI58" s="328"/>
      <c r="AJ58" s="328"/>
      <c r="AK58" s="328"/>
      <c r="AL58" s="328"/>
      <c r="AM58" s="328"/>
      <c r="AN58" s="328"/>
      <c r="AO58" s="328"/>
      <c r="AP58" s="328"/>
      <c r="AQ58" s="328"/>
      <c r="AR58" s="328"/>
      <c r="AS58" s="328"/>
      <c r="AT58" s="328"/>
      <c r="AU58" s="328"/>
    </row>
    <row r="59" ht="15.75" customHeight="1">
      <c r="A59" s="248">
        <v>2.0</v>
      </c>
      <c r="B59" s="248">
        <v>840.0</v>
      </c>
      <c r="C59" s="380"/>
      <c r="D59" s="380"/>
      <c r="E59" s="380"/>
      <c r="F59" s="380"/>
      <c r="G59" s="380"/>
      <c r="H59" s="377">
        <v>0.0</v>
      </c>
      <c r="I59" s="248">
        <v>0.0</v>
      </c>
      <c r="J59" s="248">
        <v>0.0</v>
      </c>
      <c r="K59" s="248">
        <v>2.0</v>
      </c>
      <c r="L59" s="248">
        <v>0.0</v>
      </c>
      <c r="M59" s="248">
        <v>0.0</v>
      </c>
      <c r="N59" s="248">
        <v>0.0</v>
      </c>
      <c r="O59" s="248">
        <v>0.0</v>
      </c>
      <c r="P59" s="248">
        <v>0.0</v>
      </c>
      <c r="Q59" s="248">
        <v>0.0</v>
      </c>
      <c r="R59" s="248">
        <v>0.0</v>
      </c>
      <c r="S59" s="248">
        <v>0.0</v>
      </c>
      <c r="T59" s="248">
        <v>0.0</v>
      </c>
      <c r="U59" s="248">
        <v>0.0</v>
      </c>
      <c r="V59" s="248">
        <v>0.0</v>
      </c>
      <c r="W59" s="248">
        <v>0.0</v>
      </c>
      <c r="X59" s="248">
        <v>0.0</v>
      </c>
      <c r="Y59" s="248">
        <v>0.0</v>
      </c>
      <c r="Z59" s="248">
        <v>0.0</v>
      </c>
      <c r="AA59" s="248">
        <v>0.0</v>
      </c>
      <c r="AB59" s="248">
        <v>0.0</v>
      </c>
      <c r="AC59" s="328"/>
      <c r="AD59" s="328"/>
      <c r="AE59" s="328"/>
      <c r="AF59" s="328"/>
      <c r="AG59" s="328"/>
      <c r="AH59" s="328"/>
      <c r="AI59" s="328"/>
      <c r="AJ59" s="328"/>
      <c r="AK59" s="328"/>
      <c r="AL59" s="328"/>
      <c r="AM59" s="328"/>
      <c r="AN59" s="328"/>
      <c r="AO59" s="328"/>
      <c r="AP59" s="328"/>
      <c r="AQ59" s="328"/>
      <c r="AR59" s="328"/>
      <c r="AS59" s="328"/>
      <c r="AT59" s="328"/>
      <c r="AU59" s="328"/>
    </row>
    <row r="60" ht="15.75" customHeight="1">
      <c r="A60" s="248">
        <v>3.0</v>
      </c>
      <c r="B60" s="248">
        <v>830.0</v>
      </c>
      <c r="C60" s="328"/>
      <c r="D60" s="328"/>
      <c r="E60" s="328"/>
      <c r="F60" s="328"/>
      <c r="G60" s="328"/>
      <c r="H60" s="377">
        <v>0.0</v>
      </c>
      <c r="I60" s="248">
        <v>0.0</v>
      </c>
      <c r="J60" s="248">
        <v>0.0</v>
      </c>
      <c r="K60" s="248">
        <v>0.0</v>
      </c>
      <c r="L60" s="248">
        <v>1.0</v>
      </c>
      <c r="M60" s="248">
        <v>0.0</v>
      </c>
      <c r="N60" s="248">
        <v>0.0</v>
      </c>
      <c r="O60" s="248">
        <v>0.0</v>
      </c>
      <c r="P60" s="248">
        <v>0.0</v>
      </c>
      <c r="Q60" s="248">
        <v>0.0</v>
      </c>
      <c r="R60" s="248">
        <v>0.0</v>
      </c>
      <c r="S60" s="248">
        <v>0.0</v>
      </c>
      <c r="T60" s="248">
        <v>0.0</v>
      </c>
      <c r="U60" s="248">
        <v>0.0</v>
      </c>
      <c r="V60" s="248">
        <v>0.0</v>
      </c>
      <c r="W60" s="248">
        <v>0.0</v>
      </c>
      <c r="X60" s="248">
        <v>0.0</v>
      </c>
      <c r="Y60" s="248">
        <v>0.0</v>
      </c>
      <c r="Z60" s="248">
        <v>0.0</v>
      </c>
      <c r="AA60" s="248">
        <v>0.0</v>
      </c>
      <c r="AB60" s="248">
        <v>0.0</v>
      </c>
      <c r="AC60" s="328"/>
      <c r="AD60" s="328"/>
      <c r="AE60" s="328"/>
      <c r="AF60" s="328"/>
      <c r="AG60" s="328"/>
      <c r="AH60" s="328"/>
      <c r="AI60" s="328"/>
      <c r="AJ60" s="328"/>
      <c r="AK60" s="328"/>
      <c r="AL60" s="328"/>
      <c r="AM60" s="328"/>
      <c r="AN60" s="328"/>
      <c r="AO60" s="328"/>
      <c r="AP60" s="328"/>
      <c r="AQ60" s="328"/>
      <c r="AR60" s="328"/>
      <c r="AS60" s="328"/>
      <c r="AT60" s="328"/>
      <c r="AU60" s="328"/>
    </row>
    <row r="61" ht="15.75" customHeight="1">
      <c r="A61" s="248">
        <v>4.0</v>
      </c>
      <c r="B61" s="248">
        <v>800.0</v>
      </c>
      <c r="C61" s="380"/>
      <c r="D61" s="380"/>
      <c r="E61" s="380"/>
      <c r="F61" s="380"/>
      <c r="G61" s="380"/>
      <c r="H61" s="377">
        <v>25.0</v>
      </c>
      <c r="I61" s="248">
        <v>0.0</v>
      </c>
      <c r="J61" s="248">
        <v>0.0</v>
      </c>
      <c r="K61" s="248">
        <v>0.0</v>
      </c>
      <c r="L61" s="248">
        <v>0.0</v>
      </c>
      <c r="M61" s="248">
        <v>0.0</v>
      </c>
      <c r="N61" s="248">
        <v>0.0</v>
      </c>
      <c r="O61" s="248">
        <v>0.0</v>
      </c>
      <c r="P61" s="248">
        <v>0.0</v>
      </c>
      <c r="Q61" s="248">
        <v>0.0</v>
      </c>
      <c r="R61" s="248">
        <v>0.0</v>
      </c>
      <c r="S61" s="248">
        <v>0.0</v>
      </c>
      <c r="T61" s="248">
        <v>0.0</v>
      </c>
      <c r="U61" s="248">
        <v>0.0</v>
      </c>
      <c r="V61" s="248">
        <v>0.0</v>
      </c>
      <c r="W61" s="248">
        <v>0.0</v>
      </c>
      <c r="X61" s="248">
        <v>0.0</v>
      </c>
      <c r="Y61" s="248">
        <v>0.0</v>
      </c>
      <c r="Z61" s="248">
        <v>0.0</v>
      </c>
      <c r="AA61" s="248">
        <v>0.0</v>
      </c>
      <c r="AB61" s="248">
        <v>0.0</v>
      </c>
      <c r="AC61" s="328"/>
      <c r="AD61" s="328"/>
      <c r="AE61" s="328"/>
      <c r="AF61" s="328"/>
      <c r="AG61" s="328"/>
      <c r="AH61" s="328"/>
      <c r="AI61" s="328"/>
      <c r="AJ61" s="328"/>
      <c r="AK61" s="328"/>
      <c r="AL61" s="328"/>
      <c r="AM61" s="328"/>
      <c r="AN61" s="328"/>
      <c r="AO61" s="328"/>
      <c r="AP61" s="328"/>
      <c r="AQ61" s="328"/>
      <c r="AR61" s="328"/>
      <c r="AS61" s="328"/>
      <c r="AT61" s="328"/>
      <c r="AU61" s="328"/>
    </row>
    <row r="62" ht="15.75" customHeight="1">
      <c r="A62" s="248">
        <v>5.0</v>
      </c>
      <c r="B62" s="248">
        <v>810.0</v>
      </c>
      <c r="C62" s="328"/>
      <c r="D62" s="328"/>
      <c r="E62" s="328"/>
      <c r="F62" s="328"/>
      <c r="G62" s="328"/>
      <c r="H62" s="377">
        <v>0.0</v>
      </c>
      <c r="I62" s="248">
        <v>0.0</v>
      </c>
      <c r="J62" s="248">
        <v>0.0</v>
      </c>
      <c r="K62" s="248">
        <v>1.0</v>
      </c>
      <c r="L62" s="248">
        <v>0.0</v>
      </c>
      <c r="M62" s="248">
        <v>0.0</v>
      </c>
      <c r="N62" s="248">
        <v>0.0</v>
      </c>
      <c r="O62" s="248">
        <v>0.0</v>
      </c>
      <c r="P62" s="248">
        <v>0.0</v>
      </c>
      <c r="Q62" s="248">
        <v>0.0</v>
      </c>
      <c r="R62" s="248">
        <v>0.0</v>
      </c>
      <c r="S62" s="248">
        <v>0.0</v>
      </c>
      <c r="T62" s="248">
        <v>0.0</v>
      </c>
      <c r="U62" s="248">
        <v>0.0</v>
      </c>
      <c r="V62" s="248">
        <v>0.0</v>
      </c>
      <c r="W62" s="248">
        <v>0.0</v>
      </c>
      <c r="X62" s="248">
        <v>0.0</v>
      </c>
      <c r="Y62" s="248">
        <v>0.0</v>
      </c>
      <c r="Z62" s="248">
        <v>0.0</v>
      </c>
      <c r="AA62" s="248">
        <v>0.0</v>
      </c>
      <c r="AB62" s="248">
        <v>0.0</v>
      </c>
      <c r="AC62" s="328"/>
      <c r="AD62" s="328"/>
      <c r="AE62" s="328"/>
      <c r="AF62" s="328"/>
      <c r="AG62" s="328"/>
      <c r="AH62" s="328"/>
      <c r="AI62" s="328"/>
      <c r="AJ62" s="328"/>
      <c r="AK62" s="328"/>
      <c r="AL62" s="328"/>
      <c r="AM62" s="328"/>
      <c r="AN62" s="328"/>
      <c r="AO62" s="328"/>
      <c r="AP62" s="328"/>
      <c r="AQ62" s="328"/>
      <c r="AR62" s="328"/>
      <c r="AS62" s="328"/>
      <c r="AT62" s="328"/>
      <c r="AU62" s="328"/>
    </row>
    <row r="63" ht="15.75" customHeight="1">
      <c r="A63" s="248">
        <v>6.0</v>
      </c>
      <c r="B63" s="248">
        <v>880.0</v>
      </c>
      <c r="C63" s="380"/>
      <c r="D63" s="380"/>
      <c r="E63" s="380"/>
      <c r="F63" s="380"/>
      <c r="G63" s="380"/>
      <c r="H63" s="377">
        <v>0.0</v>
      </c>
      <c r="I63" s="248">
        <v>0.0</v>
      </c>
      <c r="J63" s="248">
        <v>0.0</v>
      </c>
      <c r="K63" s="248">
        <v>0.0</v>
      </c>
      <c r="L63" s="248">
        <v>2.0</v>
      </c>
      <c r="M63" s="248">
        <v>0.0</v>
      </c>
      <c r="N63" s="248">
        <v>0.0</v>
      </c>
      <c r="O63" s="248">
        <v>0.0</v>
      </c>
      <c r="P63" s="248">
        <v>0.0</v>
      </c>
      <c r="Q63" s="248">
        <v>0.0</v>
      </c>
      <c r="R63" s="248">
        <v>0.0</v>
      </c>
      <c r="S63" s="248">
        <v>0.0</v>
      </c>
      <c r="T63" s="248">
        <v>0.0</v>
      </c>
      <c r="U63" s="248">
        <v>0.0</v>
      </c>
      <c r="V63" s="248">
        <v>0.0</v>
      </c>
      <c r="W63" s="248">
        <v>0.0</v>
      </c>
      <c r="X63" s="248">
        <v>0.0</v>
      </c>
      <c r="Y63" s="248">
        <v>0.0</v>
      </c>
      <c r="Z63" s="248">
        <v>0.0</v>
      </c>
      <c r="AA63" s="248">
        <v>0.0</v>
      </c>
      <c r="AB63" s="248">
        <v>0.0</v>
      </c>
      <c r="AC63" s="328"/>
      <c r="AD63" s="328"/>
      <c r="AE63" s="328"/>
      <c r="AF63" s="328"/>
      <c r="AG63" s="328"/>
      <c r="AH63" s="328"/>
      <c r="AI63" s="328"/>
      <c r="AJ63" s="328"/>
      <c r="AK63" s="328"/>
      <c r="AL63" s="328"/>
      <c r="AM63" s="328"/>
      <c r="AN63" s="328"/>
      <c r="AO63" s="328"/>
      <c r="AP63" s="328"/>
      <c r="AQ63" s="328"/>
      <c r="AR63" s="328"/>
      <c r="AS63" s="328"/>
      <c r="AT63" s="328"/>
      <c r="AU63" s="328"/>
    </row>
    <row r="64" ht="15.75" customHeight="1">
      <c r="A64" s="248">
        <v>7.0</v>
      </c>
      <c r="B64" s="248">
        <v>840.0</v>
      </c>
      <c r="C64" s="328"/>
      <c r="D64" s="328"/>
      <c r="E64" s="328"/>
      <c r="F64" s="328"/>
      <c r="G64" s="328"/>
      <c r="H64" s="377">
        <v>0.0</v>
      </c>
      <c r="I64" s="248">
        <v>0.0</v>
      </c>
      <c r="J64" s="248">
        <v>0.0</v>
      </c>
      <c r="K64" s="248">
        <v>0.0</v>
      </c>
      <c r="L64" s="248">
        <v>0.0</v>
      </c>
      <c r="M64" s="248">
        <v>1.0</v>
      </c>
      <c r="N64" s="248">
        <v>0.0</v>
      </c>
      <c r="O64" s="248">
        <v>0.0</v>
      </c>
      <c r="P64" s="248">
        <v>0.0</v>
      </c>
      <c r="Q64" s="248">
        <v>0.0</v>
      </c>
      <c r="R64" s="248">
        <v>0.0</v>
      </c>
      <c r="S64" s="248">
        <v>0.0</v>
      </c>
      <c r="T64" s="248">
        <v>0.0</v>
      </c>
      <c r="U64" s="248">
        <v>0.0</v>
      </c>
      <c r="V64" s="248">
        <v>0.0</v>
      </c>
      <c r="W64" s="248">
        <v>0.0</v>
      </c>
      <c r="X64" s="248">
        <v>0.0</v>
      </c>
      <c r="Y64" s="248">
        <v>0.0</v>
      </c>
      <c r="Z64" s="248">
        <v>0.0</v>
      </c>
      <c r="AA64" s="248">
        <v>0.0</v>
      </c>
      <c r="AB64" s="248">
        <v>0.0</v>
      </c>
      <c r="AC64" s="328"/>
      <c r="AD64" s="328"/>
      <c r="AE64" s="328"/>
      <c r="AF64" s="328"/>
      <c r="AG64" s="328"/>
      <c r="AH64" s="328"/>
      <c r="AI64" s="328"/>
      <c r="AJ64" s="328"/>
      <c r="AK64" s="328"/>
      <c r="AL64" s="328"/>
      <c r="AM64" s="328"/>
      <c r="AN64" s="328"/>
      <c r="AO64" s="328"/>
      <c r="AP64" s="328"/>
      <c r="AQ64" s="328"/>
      <c r="AR64" s="328"/>
      <c r="AS64" s="328"/>
      <c r="AT64" s="328"/>
      <c r="AU64" s="328"/>
    </row>
    <row r="65" ht="15.75" customHeight="1">
      <c r="A65" s="248">
        <v>8.0</v>
      </c>
      <c r="B65" s="248">
        <v>880.0</v>
      </c>
      <c r="C65" s="380"/>
      <c r="D65" s="380"/>
      <c r="E65" s="380"/>
      <c r="F65" s="380"/>
      <c r="G65" s="380"/>
      <c r="H65" s="377">
        <v>0.0</v>
      </c>
      <c r="I65" s="248">
        <v>0.0</v>
      </c>
      <c r="J65" s="248">
        <v>0.0</v>
      </c>
      <c r="K65" s="248">
        <v>3.0</v>
      </c>
      <c r="L65" s="248">
        <v>0.0</v>
      </c>
      <c r="M65" s="248">
        <v>0.0</v>
      </c>
      <c r="N65" s="248">
        <v>0.0</v>
      </c>
      <c r="O65" s="248">
        <v>0.0</v>
      </c>
      <c r="P65" s="248">
        <v>0.0</v>
      </c>
      <c r="Q65" s="248">
        <v>0.0</v>
      </c>
      <c r="R65" s="248">
        <v>0.0</v>
      </c>
      <c r="S65" s="248">
        <v>0.0</v>
      </c>
      <c r="T65" s="248">
        <v>0.0</v>
      </c>
      <c r="U65" s="248">
        <v>0.0</v>
      </c>
      <c r="V65" s="248">
        <v>0.0</v>
      </c>
      <c r="W65" s="248">
        <v>0.0</v>
      </c>
      <c r="X65" s="248">
        <v>0.0</v>
      </c>
      <c r="Y65" s="248">
        <v>0.0</v>
      </c>
      <c r="Z65" s="248">
        <v>0.0</v>
      </c>
      <c r="AA65" s="248">
        <v>0.0</v>
      </c>
      <c r="AB65" s="248">
        <v>0.0</v>
      </c>
      <c r="AC65" s="328"/>
      <c r="AD65" s="328"/>
      <c r="AE65" s="328"/>
      <c r="AF65" s="328"/>
      <c r="AG65" s="328"/>
      <c r="AH65" s="328"/>
      <c r="AI65" s="328"/>
      <c r="AJ65" s="328"/>
      <c r="AK65" s="328"/>
      <c r="AL65" s="328"/>
      <c r="AM65" s="328"/>
      <c r="AN65" s="328"/>
      <c r="AO65" s="328"/>
      <c r="AP65" s="328"/>
      <c r="AQ65" s="328"/>
      <c r="AR65" s="328"/>
      <c r="AS65" s="328"/>
      <c r="AT65" s="328"/>
      <c r="AU65" s="328"/>
    </row>
    <row r="66" ht="15.75" customHeight="1">
      <c r="A66" s="248">
        <v>9.0</v>
      </c>
      <c r="B66" s="248">
        <v>840.0</v>
      </c>
      <c r="C66" s="328"/>
      <c r="D66" s="328"/>
      <c r="E66" s="328"/>
      <c r="F66" s="328"/>
      <c r="G66" s="328"/>
      <c r="H66" s="377">
        <v>0.0</v>
      </c>
      <c r="I66" s="248">
        <v>0.0</v>
      </c>
      <c r="J66" s="248">
        <v>0.0</v>
      </c>
      <c r="K66" s="248">
        <v>0.0</v>
      </c>
      <c r="L66" s="248">
        <v>0.0</v>
      </c>
      <c r="M66" s="248">
        <v>1.0</v>
      </c>
      <c r="N66" s="248">
        <v>0.0</v>
      </c>
      <c r="O66" s="248">
        <v>0.0</v>
      </c>
      <c r="P66" s="248">
        <v>0.0</v>
      </c>
      <c r="Q66" s="248">
        <v>0.0</v>
      </c>
      <c r="R66" s="248">
        <v>0.0</v>
      </c>
      <c r="S66" s="248">
        <v>0.0</v>
      </c>
      <c r="T66" s="248">
        <v>0.0</v>
      </c>
      <c r="U66" s="248">
        <v>0.0</v>
      </c>
      <c r="V66" s="248">
        <v>0.0</v>
      </c>
      <c r="W66" s="248">
        <v>0.0</v>
      </c>
      <c r="X66" s="248">
        <v>0.0</v>
      </c>
      <c r="Y66" s="248">
        <v>0.0</v>
      </c>
      <c r="Z66" s="248">
        <v>0.0</v>
      </c>
      <c r="AA66" s="248">
        <v>0.0</v>
      </c>
      <c r="AB66" s="248">
        <v>0.0</v>
      </c>
      <c r="AC66" s="328"/>
      <c r="AD66" s="328"/>
      <c r="AE66" s="328"/>
      <c r="AF66" s="328"/>
      <c r="AG66" s="328"/>
      <c r="AH66" s="328"/>
      <c r="AI66" s="328"/>
      <c r="AJ66" s="328"/>
      <c r="AK66" s="328"/>
      <c r="AL66" s="328"/>
      <c r="AM66" s="328"/>
      <c r="AN66" s="328"/>
      <c r="AO66" s="328"/>
      <c r="AP66" s="328"/>
      <c r="AQ66" s="328"/>
      <c r="AR66" s="328"/>
      <c r="AS66" s="328"/>
      <c r="AT66" s="328"/>
      <c r="AU66" s="328"/>
    </row>
    <row r="67" ht="15.75" customHeight="1">
      <c r="A67" s="248">
        <v>10.0</v>
      </c>
      <c r="B67" s="248">
        <v>930.0</v>
      </c>
      <c r="C67" s="380"/>
      <c r="D67" s="380"/>
      <c r="E67" s="380"/>
      <c r="F67" s="380"/>
      <c r="G67" s="380"/>
      <c r="H67" s="377">
        <v>0.0</v>
      </c>
      <c r="I67" s="248">
        <v>0.0</v>
      </c>
      <c r="J67" s="248">
        <v>0.0</v>
      </c>
      <c r="K67" s="248">
        <v>0.0</v>
      </c>
      <c r="L67" s="248">
        <v>3.0</v>
      </c>
      <c r="M67" s="248">
        <v>0.0</v>
      </c>
      <c r="N67" s="248">
        <v>0.0</v>
      </c>
      <c r="O67" s="248">
        <v>0.0</v>
      </c>
      <c r="P67" s="248">
        <v>0.0</v>
      </c>
      <c r="Q67" s="248">
        <v>0.0</v>
      </c>
      <c r="R67" s="248">
        <v>0.0</v>
      </c>
      <c r="S67" s="248">
        <v>0.0</v>
      </c>
      <c r="T67" s="248">
        <v>0.0</v>
      </c>
      <c r="U67" s="248">
        <v>0.0</v>
      </c>
      <c r="V67" s="248">
        <v>0.0</v>
      </c>
      <c r="W67" s="248">
        <v>0.0</v>
      </c>
      <c r="X67" s="248">
        <v>0.0</v>
      </c>
      <c r="Y67" s="248">
        <v>0.0</v>
      </c>
      <c r="Z67" s="248">
        <v>0.0</v>
      </c>
      <c r="AA67" s="248">
        <v>0.0</v>
      </c>
      <c r="AB67" s="248">
        <v>0.0</v>
      </c>
      <c r="AC67" s="328"/>
      <c r="AD67" s="328"/>
      <c r="AE67" s="328"/>
      <c r="AF67" s="328"/>
      <c r="AG67" s="328"/>
      <c r="AH67" s="328"/>
      <c r="AI67" s="328"/>
      <c r="AJ67" s="328"/>
      <c r="AK67" s="328"/>
      <c r="AL67" s="328"/>
      <c r="AM67" s="328"/>
      <c r="AN67" s="328"/>
      <c r="AO67" s="328"/>
      <c r="AP67" s="328"/>
      <c r="AQ67" s="328"/>
      <c r="AR67" s="328"/>
      <c r="AS67" s="328"/>
      <c r="AT67" s="328"/>
      <c r="AU67" s="328"/>
    </row>
    <row r="68" ht="15.75" customHeight="1">
      <c r="A68" s="248">
        <v>11.0</v>
      </c>
      <c r="B68" s="248">
        <v>980.0</v>
      </c>
      <c r="C68" s="328"/>
      <c r="D68" s="328"/>
      <c r="E68" s="328"/>
      <c r="F68" s="328"/>
      <c r="G68" s="328"/>
      <c r="H68" s="377">
        <v>0.0</v>
      </c>
      <c r="I68" s="248">
        <v>0.0</v>
      </c>
      <c r="J68" s="248">
        <v>0.0</v>
      </c>
      <c r="K68" s="248">
        <v>0.0</v>
      </c>
      <c r="L68" s="248">
        <v>0.0</v>
      </c>
      <c r="M68" s="248">
        <v>3.0</v>
      </c>
      <c r="N68" s="248">
        <v>0.0</v>
      </c>
      <c r="O68" s="248">
        <v>0.0</v>
      </c>
      <c r="P68" s="248">
        <v>0.0</v>
      </c>
      <c r="Q68" s="248">
        <v>0.0</v>
      </c>
      <c r="R68" s="248">
        <v>0.0</v>
      </c>
      <c r="S68" s="248">
        <v>0.0</v>
      </c>
      <c r="T68" s="248">
        <v>0.0</v>
      </c>
      <c r="U68" s="248">
        <v>0.0</v>
      </c>
      <c r="V68" s="248">
        <v>0.0</v>
      </c>
      <c r="W68" s="248">
        <v>0.0</v>
      </c>
      <c r="X68" s="248">
        <v>0.0</v>
      </c>
      <c r="Y68" s="248">
        <v>0.0</v>
      </c>
      <c r="Z68" s="248">
        <v>0.0</v>
      </c>
      <c r="AA68" s="248">
        <v>0.0</v>
      </c>
      <c r="AB68" s="248">
        <v>0.0</v>
      </c>
      <c r="AC68" s="328"/>
      <c r="AD68" s="328"/>
      <c r="AE68" s="328"/>
      <c r="AF68" s="328"/>
      <c r="AG68" s="328"/>
      <c r="AH68" s="328"/>
      <c r="AI68" s="328"/>
      <c r="AJ68" s="328"/>
      <c r="AK68" s="328"/>
      <c r="AL68" s="328"/>
      <c r="AM68" s="328"/>
      <c r="AN68" s="328"/>
      <c r="AO68" s="328"/>
      <c r="AP68" s="328"/>
      <c r="AQ68" s="328"/>
      <c r="AR68" s="328"/>
      <c r="AS68" s="328"/>
      <c r="AT68" s="328"/>
      <c r="AU68" s="328"/>
    </row>
    <row r="69" ht="15.75" customHeight="1">
      <c r="A69" s="248">
        <v>12.0</v>
      </c>
      <c r="B69" s="248">
        <v>840.0</v>
      </c>
      <c r="C69" s="380"/>
      <c r="D69" s="380"/>
      <c r="E69" s="380"/>
      <c r="F69" s="380"/>
      <c r="G69" s="380"/>
      <c r="H69" s="377">
        <v>0.0</v>
      </c>
      <c r="I69" s="248">
        <v>0.0</v>
      </c>
      <c r="J69" s="248">
        <v>0.0</v>
      </c>
      <c r="K69" s="248">
        <v>2.0</v>
      </c>
      <c r="L69" s="248">
        <v>0.0</v>
      </c>
      <c r="M69" s="248">
        <v>0.0</v>
      </c>
      <c r="N69" s="248">
        <v>0.0</v>
      </c>
      <c r="O69" s="248">
        <v>0.0</v>
      </c>
      <c r="P69" s="248">
        <v>0.0</v>
      </c>
      <c r="Q69" s="248">
        <v>0.0</v>
      </c>
      <c r="R69" s="248">
        <v>0.0</v>
      </c>
      <c r="S69" s="248">
        <v>0.0</v>
      </c>
      <c r="T69" s="248">
        <v>0.0</v>
      </c>
      <c r="U69" s="248">
        <v>0.0</v>
      </c>
      <c r="V69" s="248">
        <v>0.0</v>
      </c>
      <c r="W69" s="248">
        <v>0.0</v>
      </c>
      <c r="X69" s="248">
        <v>0.0</v>
      </c>
      <c r="Y69" s="248">
        <v>0.0</v>
      </c>
      <c r="Z69" s="248">
        <v>0.0</v>
      </c>
      <c r="AA69" s="248">
        <v>0.0</v>
      </c>
      <c r="AB69" s="248">
        <v>0.0</v>
      </c>
      <c r="AC69" s="328"/>
      <c r="AD69" s="328"/>
      <c r="AE69" s="328"/>
      <c r="AF69" s="328"/>
      <c r="AG69" s="328"/>
      <c r="AH69" s="328"/>
      <c r="AI69" s="328"/>
      <c r="AJ69" s="328"/>
      <c r="AK69" s="328"/>
      <c r="AL69" s="328"/>
      <c r="AM69" s="328"/>
      <c r="AN69" s="328"/>
      <c r="AO69" s="328"/>
      <c r="AP69" s="328"/>
      <c r="AQ69" s="328"/>
      <c r="AR69" s="328"/>
      <c r="AS69" s="328"/>
      <c r="AT69" s="328"/>
      <c r="AU69" s="328"/>
    </row>
    <row r="70" ht="15.75" customHeight="1">
      <c r="A70" s="248">
        <v>13.0</v>
      </c>
      <c r="B70" s="248">
        <v>1110.0</v>
      </c>
      <c r="C70" s="328"/>
      <c r="D70" s="328"/>
      <c r="E70" s="328"/>
      <c r="F70" s="328"/>
      <c r="G70" s="328"/>
      <c r="H70" s="377">
        <v>0.0</v>
      </c>
      <c r="I70" s="248">
        <v>0.0</v>
      </c>
      <c r="J70" s="248">
        <v>0.0</v>
      </c>
      <c r="K70" s="248">
        <v>0.0</v>
      </c>
      <c r="L70" s="248">
        <v>0.0</v>
      </c>
      <c r="M70" s="248">
        <v>5.0</v>
      </c>
      <c r="N70" s="248">
        <v>0.0</v>
      </c>
      <c r="O70" s="248">
        <v>0.0</v>
      </c>
      <c r="P70" s="248">
        <v>0.0</v>
      </c>
      <c r="Q70" s="248">
        <v>0.0</v>
      </c>
      <c r="R70" s="248">
        <v>0.0</v>
      </c>
      <c r="S70" s="248">
        <v>0.0</v>
      </c>
      <c r="T70" s="248">
        <v>0.0</v>
      </c>
      <c r="U70" s="248">
        <v>0.0</v>
      </c>
      <c r="V70" s="248">
        <v>0.0</v>
      </c>
      <c r="W70" s="248">
        <v>0.0</v>
      </c>
      <c r="X70" s="248">
        <v>0.0</v>
      </c>
      <c r="Y70" s="248">
        <v>0.0</v>
      </c>
      <c r="Z70" s="248">
        <v>0.0</v>
      </c>
      <c r="AA70" s="248">
        <v>0.0</v>
      </c>
      <c r="AB70" s="248">
        <v>0.0</v>
      </c>
      <c r="AC70" s="328"/>
      <c r="AD70" s="328"/>
      <c r="AE70" s="328"/>
      <c r="AF70" s="328"/>
      <c r="AG70" s="328"/>
      <c r="AH70" s="328"/>
      <c r="AI70" s="328"/>
      <c r="AJ70" s="328"/>
      <c r="AK70" s="328"/>
      <c r="AL70" s="328"/>
      <c r="AM70" s="328"/>
      <c r="AN70" s="328"/>
      <c r="AO70" s="328"/>
      <c r="AP70" s="328"/>
      <c r="AQ70" s="328"/>
      <c r="AR70" s="328"/>
      <c r="AS70" s="328"/>
      <c r="AT70" s="328"/>
      <c r="AU70" s="328"/>
    </row>
    <row r="71" ht="15.75" customHeight="1">
      <c r="A71" s="248">
        <v>14.0</v>
      </c>
      <c r="B71" s="248">
        <v>830.0</v>
      </c>
      <c r="C71" s="380"/>
      <c r="D71" s="380"/>
      <c r="E71" s="380"/>
      <c r="F71" s="380"/>
      <c r="G71" s="380"/>
      <c r="H71" s="377">
        <v>50.0</v>
      </c>
      <c r="I71" s="248">
        <v>0.0</v>
      </c>
      <c r="J71" s="248">
        <v>0.0</v>
      </c>
      <c r="K71" s="248">
        <v>0.0</v>
      </c>
      <c r="L71" s="248">
        <v>0.0</v>
      </c>
      <c r="M71" s="248">
        <v>0.0</v>
      </c>
      <c r="N71" s="248">
        <v>0.0</v>
      </c>
      <c r="O71" s="248">
        <v>0.0</v>
      </c>
      <c r="P71" s="248">
        <v>0.0</v>
      </c>
      <c r="Q71" s="248">
        <v>0.0</v>
      </c>
      <c r="R71" s="248">
        <v>0.0</v>
      </c>
      <c r="S71" s="248">
        <v>0.0</v>
      </c>
      <c r="T71" s="248">
        <v>0.0</v>
      </c>
      <c r="U71" s="248">
        <v>0.0</v>
      </c>
      <c r="V71" s="248">
        <v>0.0</v>
      </c>
      <c r="W71" s="248">
        <v>0.0</v>
      </c>
      <c r="X71" s="248">
        <v>0.0</v>
      </c>
      <c r="Y71" s="248">
        <v>0.0</v>
      </c>
      <c r="Z71" s="248">
        <v>0.0</v>
      </c>
      <c r="AA71" s="248">
        <v>0.0</v>
      </c>
      <c r="AB71" s="248">
        <v>0.0</v>
      </c>
      <c r="AC71" s="328"/>
      <c r="AD71" s="328"/>
      <c r="AE71" s="328"/>
      <c r="AF71" s="328"/>
      <c r="AG71" s="328"/>
      <c r="AH71" s="328"/>
      <c r="AI71" s="328"/>
      <c r="AJ71" s="328"/>
      <c r="AK71" s="328"/>
      <c r="AL71" s="328"/>
      <c r="AM71" s="328"/>
      <c r="AN71" s="328"/>
      <c r="AO71" s="328"/>
      <c r="AP71" s="328"/>
      <c r="AQ71" s="328"/>
      <c r="AR71" s="328"/>
      <c r="AS71" s="328"/>
      <c r="AT71" s="328"/>
      <c r="AU71" s="328"/>
    </row>
    <row r="72" ht="15.75" customHeight="1">
      <c r="A72" s="248">
        <v>15.0</v>
      </c>
      <c r="B72" s="248">
        <v>880.0</v>
      </c>
      <c r="C72" s="328"/>
      <c r="D72" s="328"/>
      <c r="E72" s="328"/>
      <c r="F72" s="328"/>
      <c r="G72" s="328"/>
      <c r="H72" s="377">
        <v>0.0</v>
      </c>
      <c r="I72" s="248">
        <v>0.0</v>
      </c>
      <c r="J72" s="248">
        <v>0.0</v>
      </c>
      <c r="K72" s="248">
        <v>0.0</v>
      </c>
      <c r="L72" s="248">
        <v>2.0</v>
      </c>
      <c r="M72" s="248">
        <v>0.0</v>
      </c>
      <c r="N72" s="248">
        <v>0.0</v>
      </c>
      <c r="O72" s="248">
        <v>0.0</v>
      </c>
      <c r="P72" s="248">
        <v>0.0</v>
      </c>
      <c r="Q72" s="248">
        <v>0.0</v>
      </c>
      <c r="R72" s="248">
        <v>0.0</v>
      </c>
      <c r="S72" s="248">
        <v>0.0</v>
      </c>
      <c r="T72" s="248">
        <v>0.0</v>
      </c>
      <c r="U72" s="248">
        <v>0.0</v>
      </c>
      <c r="V72" s="248">
        <v>0.0</v>
      </c>
      <c r="W72" s="248">
        <v>0.0</v>
      </c>
      <c r="X72" s="248">
        <v>0.0</v>
      </c>
      <c r="Y72" s="248">
        <v>0.0</v>
      </c>
      <c r="Z72" s="248">
        <v>0.0</v>
      </c>
      <c r="AA72" s="248">
        <v>0.0</v>
      </c>
      <c r="AB72" s="248">
        <v>0.0</v>
      </c>
      <c r="AC72" s="328"/>
      <c r="AD72" s="328"/>
      <c r="AE72" s="328"/>
      <c r="AF72" s="328"/>
      <c r="AG72" s="328"/>
      <c r="AH72" s="328"/>
      <c r="AI72" s="328"/>
      <c r="AJ72" s="328"/>
      <c r="AK72" s="328"/>
      <c r="AL72" s="328"/>
      <c r="AM72" s="328"/>
      <c r="AN72" s="328"/>
      <c r="AO72" s="328"/>
      <c r="AP72" s="328"/>
      <c r="AQ72" s="328"/>
      <c r="AR72" s="328"/>
      <c r="AS72" s="328"/>
      <c r="AT72" s="328"/>
      <c r="AU72" s="328"/>
    </row>
    <row r="73" ht="15.75" customHeight="1">
      <c r="A73" s="328"/>
      <c r="B73" s="328"/>
      <c r="C73" s="328"/>
      <c r="D73" s="328"/>
      <c r="E73" s="328"/>
      <c r="F73" s="328"/>
      <c r="G73" s="328"/>
      <c r="H73" s="328"/>
      <c r="I73" s="328"/>
      <c r="J73" s="328"/>
      <c r="K73" s="328"/>
      <c r="L73" s="328"/>
      <c r="M73" s="328"/>
      <c r="N73" s="328"/>
      <c r="O73" s="328"/>
      <c r="P73" s="328"/>
      <c r="Q73" s="328"/>
      <c r="R73" s="328"/>
      <c r="S73" s="328"/>
      <c r="T73" s="328"/>
      <c r="U73" s="328"/>
      <c r="V73" s="328"/>
      <c r="W73" s="328"/>
      <c r="X73" s="328"/>
      <c r="Y73" s="328"/>
      <c r="Z73" s="328"/>
      <c r="AA73" s="328"/>
      <c r="AB73" s="328"/>
      <c r="AC73" s="328"/>
      <c r="AD73" s="328"/>
      <c r="AE73" s="328"/>
      <c r="AF73" s="328"/>
      <c r="AG73" s="328"/>
      <c r="AH73" s="328"/>
      <c r="AI73" s="328"/>
      <c r="AJ73" s="328"/>
      <c r="AK73" s="328"/>
      <c r="AL73" s="328"/>
      <c r="AM73" s="328"/>
      <c r="AN73" s="328"/>
      <c r="AO73" s="328"/>
      <c r="AP73" s="328"/>
      <c r="AQ73" s="328"/>
      <c r="AR73" s="328"/>
      <c r="AS73" s="328"/>
      <c r="AT73" s="328"/>
      <c r="AU73" s="328"/>
    </row>
    <row r="74" ht="19.5" customHeight="1">
      <c r="A74" s="175" t="s">
        <v>304</v>
      </c>
      <c r="B74" s="175"/>
      <c r="C74" s="175"/>
      <c r="D74" s="175"/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  <c r="AA74" s="175"/>
      <c r="AB74" s="175"/>
      <c r="AC74" s="328"/>
      <c r="AD74" s="328"/>
      <c r="AE74" s="328"/>
      <c r="AF74" s="328"/>
      <c r="AG74" s="328"/>
      <c r="AH74" s="328"/>
      <c r="AI74" s="328"/>
      <c r="AJ74" s="328"/>
      <c r="AK74" s="328"/>
      <c r="AL74" s="328"/>
      <c r="AM74" s="328"/>
      <c r="AN74" s="328"/>
      <c r="AO74" s="328"/>
      <c r="AP74" s="328"/>
      <c r="AQ74" s="328"/>
      <c r="AR74" s="328"/>
      <c r="AS74" s="328"/>
      <c r="AT74" s="328"/>
      <c r="AU74" s="328"/>
    </row>
    <row r="75" ht="90.0" customHeight="1">
      <c r="A75" s="184" t="s">
        <v>298</v>
      </c>
      <c r="B75" s="184" t="s">
        <v>299</v>
      </c>
      <c r="C75" s="328"/>
      <c r="D75" s="328"/>
      <c r="E75" s="328"/>
      <c r="F75" s="328"/>
      <c r="G75" s="328"/>
      <c r="H75" s="374" t="s">
        <v>76</v>
      </c>
      <c r="I75" s="257" t="s">
        <v>46</v>
      </c>
      <c r="J75" s="257" t="s">
        <v>121</v>
      </c>
      <c r="K75" s="257" t="s">
        <v>47</v>
      </c>
      <c r="L75" s="257" t="s">
        <v>48</v>
      </c>
      <c r="M75" s="257" t="s">
        <v>50</v>
      </c>
      <c r="N75" s="257" t="s">
        <v>52</v>
      </c>
      <c r="O75" s="257" t="s">
        <v>53</v>
      </c>
      <c r="P75" s="257" t="s">
        <v>54</v>
      </c>
      <c r="Q75" s="257" t="s">
        <v>55</v>
      </c>
      <c r="R75" s="257" t="s">
        <v>56</v>
      </c>
      <c r="S75" s="257" t="s">
        <v>57</v>
      </c>
      <c r="T75" s="257" t="s">
        <v>58</v>
      </c>
      <c r="U75" s="257" t="s">
        <v>135</v>
      </c>
      <c r="V75" s="257" t="s">
        <v>122</v>
      </c>
      <c r="W75" s="257" t="s">
        <v>123</v>
      </c>
      <c r="X75" s="257" t="s">
        <v>124</v>
      </c>
      <c r="Y75" s="257" t="s">
        <v>125</v>
      </c>
      <c r="Z75" s="257" t="s">
        <v>126</v>
      </c>
      <c r="AA75" s="257" t="s">
        <v>127</v>
      </c>
      <c r="AB75" s="257" t="s">
        <v>128</v>
      </c>
      <c r="AC75" s="328"/>
      <c r="AD75" s="328"/>
      <c r="AE75" s="328"/>
      <c r="AF75" s="328"/>
      <c r="AG75" s="328"/>
      <c r="AH75" s="328"/>
      <c r="AI75" s="328"/>
      <c r="AJ75" s="328"/>
      <c r="AK75" s="328"/>
      <c r="AL75" s="328"/>
      <c r="AM75" s="328"/>
      <c r="AN75" s="328"/>
      <c r="AO75" s="328"/>
      <c r="AP75" s="328"/>
      <c r="AQ75" s="328"/>
      <c r="AR75" s="328"/>
      <c r="AS75" s="328"/>
      <c r="AT75" s="328"/>
      <c r="AU75" s="328"/>
    </row>
    <row r="76" ht="15.75" customHeight="1">
      <c r="A76" s="248">
        <v>1.0</v>
      </c>
      <c r="B76" s="248">
        <v>830.0</v>
      </c>
      <c r="C76" s="328"/>
      <c r="D76" s="328"/>
      <c r="E76" s="328"/>
      <c r="F76" s="328"/>
      <c r="G76" s="328"/>
      <c r="H76" s="377">
        <v>0.0</v>
      </c>
      <c r="I76" s="248">
        <v>0.0</v>
      </c>
      <c r="J76" s="248">
        <v>0.0</v>
      </c>
      <c r="K76" s="248">
        <v>0.0</v>
      </c>
      <c r="L76" s="248">
        <v>0.0</v>
      </c>
      <c r="M76" s="248">
        <v>0.0</v>
      </c>
      <c r="N76" s="248">
        <v>1.0</v>
      </c>
      <c r="O76" s="248">
        <v>0.0</v>
      </c>
      <c r="P76" s="248">
        <v>0.0</v>
      </c>
      <c r="Q76" s="248">
        <v>0.0</v>
      </c>
      <c r="R76" s="248">
        <v>0.0</v>
      </c>
      <c r="S76" s="248">
        <v>0.0</v>
      </c>
      <c r="T76" s="248">
        <v>0.0</v>
      </c>
      <c r="U76" s="248">
        <v>0.0</v>
      </c>
      <c r="V76" s="248">
        <v>0.0</v>
      </c>
      <c r="W76" s="248">
        <v>0.0</v>
      </c>
      <c r="X76" s="248">
        <v>0.0</v>
      </c>
      <c r="Y76" s="248">
        <v>0.0</v>
      </c>
      <c r="Z76" s="248">
        <v>0.0</v>
      </c>
      <c r="AA76" s="248">
        <v>0.0</v>
      </c>
      <c r="AB76" s="248">
        <v>0.0</v>
      </c>
      <c r="AC76" s="328"/>
      <c r="AD76" s="328"/>
      <c r="AE76" s="328"/>
      <c r="AF76" s="328"/>
      <c r="AG76" s="328"/>
      <c r="AH76" s="328"/>
      <c r="AI76" s="328"/>
      <c r="AJ76" s="328"/>
      <c r="AK76" s="328"/>
      <c r="AL76" s="328"/>
      <c r="AM76" s="328"/>
      <c r="AN76" s="328"/>
      <c r="AO76" s="328"/>
      <c r="AP76" s="328"/>
      <c r="AQ76" s="328"/>
      <c r="AR76" s="328"/>
      <c r="AS76" s="328"/>
      <c r="AT76" s="328"/>
      <c r="AU76" s="328"/>
    </row>
    <row r="77" ht="15.75" customHeight="1">
      <c r="A77" s="248">
        <v>2.0</v>
      </c>
      <c r="B77" s="248">
        <v>800.0</v>
      </c>
      <c r="C77" s="380"/>
      <c r="D77" s="380"/>
      <c r="E77" s="380"/>
      <c r="F77" s="380"/>
      <c r="G77" s="380"/>
      <c r="H77" s="377">
        <v>25.0</v>
      </c>
      <c r="I77" s="248">
        <v>0.0</v>
      </c>
      <c r="J77" s="248">
        <v>0.0</v>
      </c>
      <c r="K77" s="248">
        <v>0.0</v>
      </c>
      <c r="L77" s="248">
        <v>0.0</v>
      </c>
      <c r="M77" s="248">
        <v>0.0</v>
      </c>
      <c r="N77" s="248">
        <v>0.0</v>
      </c>
      <c r="O77" s="248">
        <v>0.0</v>
      </c>
      <c r="P77" s="248">
        <v>0.0</v>
      </c>
      <c r="Q77" s="248">
        <v>0.0</v>
      </c>
      <c r="R77" s="248">
        <v>0.0</v>
      </c>
      <c r="S77" s="248">
        <v>0.0</v>
      </c>
      <c r="T77" s="248">
        <v>0.0</v>
      </c>
      <c r="U77" s="248">
        <v>0.0</v>
      </c>
      <c r="V77" s="248">
        <v>0.0</v>
      </c>
      <c r="W77" s="248">
        <v>0.0</v>
      </c>
      <c r="X77" s="248">
        <v>0.0</v>
      </c>
      <c r="Y77" s="248">
        <v>0.0</v>
      </c>
      <c r="Z77" s="248">
        <v>0.0</v>
      </c>
      <c r="AA77" s="248">
        <v>0.0</v>
      </c>
      <c r="AB77" s="248">
        <v>0.0</v>
      </c>
      <c r="AC77" s="328"/>
      <c r="AD77" s="328"/>
      <c r="AE77" s="328"/>
      <c r="AF77" s="328"/>
      <c r="AG77" s="328"/>
      <c r="AH77" s="328"/>
      <c r="AI77" s="328"/>
      <c r="AJ77" s="328"/>
      <c r="AK77" s="328"/>
      <c r="AL77" s="328"/>
      <c r="AM77" s="328"/>
      <c r="AN77" s="328"/>
      <c r="AO77" s="328"/>
      <c r="AP77" s="328"/>
      <c r="AQ77" s="328"/>
      <c r="AR77" s="328"/>
      <c r="AS77" s="328"/>
      <c r="AT77" s="328"/>
      <c r="AU77" s="328"/>
    </row>
    <row r="78" ht="15.75" customHeight="1">
      <c r="A78" s="248">
        <v>3.0</v>
      </c>
      <c r="B78" s="248">
        <v>910.0</v>
      </c>
      <c r="C78" s="328"/>
      <c r="D78" s="328"/>
      <c r="E78" s="328"/>
      <c r="F78" s="328"/>
      <c r="G78" s="328"/>
      <c r="H78" s="377">
        <v>0.0</v>
      </c>
      <c r="I78" s="248">
        <v>0.0</v>
      </c>
      <c r="J78" s="248">
        <v>0.0</v>
      </c>
      <c r="K78" s="248">
        <v>0.0</v>
      </c>
      <c r="L78" s="248">
        <v>0.0</v>
      </c>
      <c r="M78" s="248">
        <v>0.0</v>
      </c>
      <c r="N78" s="248">
        <v>0.0</v>
      </c>
      <c r="O78" s="248">
        <v>2.0</v>
      </c>
      <c r="P78" s="248">
        <v>0.0</v>
      </c>
      <c r="Q78" s="248">
        <v>0.0</v>
      </c>
      <c r="R78" s="248">
        <v>0.0</v>
      </c>
      <c r="S78" s="248">
        <v>0.0</v>
      </c>
      <c r="T78" s="248">
        <v>0.0</v>
      </c>
      <c r="U78" s="248">
        <v>0.0</v>
      </c>
      <c r="V78" s="248">
        <v>0.0</v>
      </c>
      <c r="W78" s="248">
        <v>0.0</v>
      </c>
      <c r="X78" s="248">
        <v>0.0</v>
      </c>
      <c r="Y78" s="248">
        <v>0.0</v>
      </c>
      <c r="Z78" s="248">
        <v>0.0</v>
      </c>
      <c r="AA78" s="248">
        <v>0.0</v>
      </c>
      <c r="AB78" s="248">
        <v>0.0</v>
      </c>
      <c r="AC78" s="328"/>
      <c r="AD78" s="328"/>
      <c r="AE78" s="328"/>
      <c r="AF78" s="328"/>
      <c r="AG78" s="328"/>
      <c r="AH78" s="328"/>
      <c r="AI78" s="328"/>
      <c r="AJ78" s="328"/>
      <c r="AK78" s="328"/>
      <c r="AL78" s="328"/>
      <c r="AM78" s="328"/>
      <c r="AN78" s="328"/>
      <c r="AO78" s="328"/>
      <c r="AP78" s="328"/>
      <c r="AQ78" s="328"/>
      <c r="AR78" s="328"/>
      <c r="AS78" s="328"/>
      <c r="AT78" s="328"/>
      <c r="AU78" s="328"/>
    </row>
    <row r="79" ht="15.75" customHeight="1">
      <c r="A79" s="248">
        <v>4.0</v>
      </c>
      <c r="B79" s="248">
        <v>940.0</v>
      </c>
      <c r="C79" s="380"/>
      <c r="D79" s="380"/>
      <c r="E79" s="380"/>
      <c r="F79" s="380"/>
      <c r="G79" s="380"/>
      <c r="H79" s="377">
        <v>0.0</v>
      </c>
      <c r="I79" s="248">
        <v>0.0</v>
      </c>
      <c r="J79" s="248">
        <v>0.0</v>
      </c>
      <c r="K79" s="248">
        <v>0.0</v>
      </c>
      <c r="L79" s="248">
        <v>0.0</v>
      </c>
      <c r="M79" s="248">
        <v>0.0</v>
      </c>
      <c r="N79" s="248">
        <v>0.0</v>
      </c>
      <c r="O79" s="248">
        <v>0.0</v>
      </c>
      <c r="P79" s="248">
        <v>1.0</v>
      </c>
      <c r="Q79" s="248">
        <v>0.0</v>
      </c>
      <c r="R79" s="248">
        <v>0.0</v>
      </c>
      <c r="S79" s="248">
        <v>0.0</v>
      </c>
      <c r="T79" s="248">
        <v>0.0</v>
      </c>
      <c r="U79" s="248">
        <v>0.0</v>
      </c>
      <c r="V79" s="248">
        <v>0.0</v>
      </c>
      <c r="W79" s="248">
        <v>0.0</v>
      </c>
      <c r="X79" s="248">
        <v>0.0</v>
      </c>
      <c r="Y79" s="248">
        <v>0.0</v>
      </c>
      <c r="Z79" s="248">
        <v>0.0</v>
      </c>
      <c r="AA79" s="248">
        <v>0.0</v>
      </c>
      <c r="AB79" s="248">
        <v>0.0</v>
      </c>
      <c r="AC79" s="328"/>
      <c r="AD79" s="328"/>
      <c r="AE79" s="328"/>
      <c r="AF79" s="328"/>
      <c r="AG79" s="328"/>
      <c r="AH79" s="328"/>
      <c r="AI79" s="328"/>
      <c r="AJ79" s="328"/>
      <c r="AK79" s="328"/>
      <c r="AL79" s="328"/>
      <c r="AM79" s="328"/>
      <c r="AN79" s="328"/>
      <c r="AO79" s="328"/>
      <c r="AP79" s="328"/>
      <c r="AQ79" s="328"/>
      <c r="AR79" s="328"/>
      <c r="AS79" s="328"/>
      <c r="AT79" s="328"/>
      <c r="AU79" s="328"/>
    </row>
    <row r="80" ht="15.75" customHeight="1">
      <c r="A80" s="248">
        <v>5.0</v>
      </c>
      <c r="B80" s="248">
        <v>910.0</v>
      </c>
      <c r="C80" s="328"/>
      <c r="D80" s="328"/>
      <c r="E80" s="328"/>
      <c r="F80" s="328"/>
      <c r="G80" s="328"/>
      <c r="H80" s="377">
        <v>0.0</v>
      </c>
      <c r="I80" s="248">
        <v>0.0</v>
      </c>
      <c r="J80" s="248">
        <v>0.0</v>
      </c>
      <c r="K80" s="248">
        <v>0.0</v>
      </c>
      <c r="L80" s="248">
        <v>0.0</v>
      </c>
      <c r="M80" s="248">
        <v>0.0</v>
      </c>
      <c r="N80" s="248">
        <v>0.0</v>
      </c>
      <c r="O80" s="248">
        <v>2.0</v>
      </c>
      <c r="P80" s="248">
        <v>0.0</v>
      </c>
      <c r="Q80" s="248">
        <v>0.0</v>
      </c>
      <c r="R80" s="248">
        <v>0.0</v>
      </c>
      <c r="S80" s="248">
        <v>0.0</v>
      </c>
      <c r="T80" s="248">
        <v>0.0</v>
      </c>
      <c r="U80" s="248">
        <v>0.0</v>
      </c>
      <c r="V80" s="248">
        <v>0.0</v>
      </c>
      <c r="W80" s="248">
        <v>0.0</v>
      </c>
      <c r="X80" s="248">
        <v>0.0</v>
      </c>
      <c r="Y80" s="248">
        <v>0.0</v>
      </c>
      <c r="Z80" s="248">
        <v>0.0</v>
      </c>
      <c r="AA80" s="248">
        <v>0.0</v>
      </c>
      <c r="AB80" s="248">
        <v>0.0</v>
      </c>
      <c r="AC80" s="328"/>
      <c r="AD80" s="328"/>
      <c r="AE80" s="328"/>
      <c r="AF80" s="328"/>
      <c r="AG80" s="328"/>
      <c r="AH80" s="328"/>
      <c r="AI80" s="328"/>
      <c r="AJ80" s="328"/>
      <c r="AK80" s="328"/>
      <c r="AL80" s="328"/>
      <c r="AM80" s="328"/>
      <c r="AN80" s="328"/>
      <c r="AO80" s="328"/>
      <c r="AP80" s="328"/>
      <c r="AQ80" s="328"/>
      <c r="AR80" s="328"/>
      <c r="AS80" s="328"/>
      <c r="AT80" s="328"/>
      <c r="AU80" s="328"/>
    </row>
    <row r="81" ht="15.75" customHeight="1">
      <c r="A81" s="248">
        <v>6.0</v>
      </c>
      <c r="B81" s="248">
        <v>880.0</v>
      </c>
      <c r="C81" s="380"/>
      <c r="D81" s="380"/>
      <c r="E81" s="380"/>
      <c r="F81" s="380"/>
      <c r="G81" s="380"/>
      <c r="H81" s="377">
        <v>0.0</v>
      </c>
      <c r="I81" s="248">
        <v>0.0</v>
      </c>
      <c r="J81" s="248">
        <v>0.0</v>
      </c>
      <c r="K81" s="248">
        <v>0.0</v>
      </c>
      <c r="L81" s="248">
        <v>0.0</v>
      </c>
      <c r="M81" s="248">
        <v>0.0</v>
      </c>
      <c r="N81" s="248">
        <v>2.0</v>
      </c>
      <c r="O81" s="248">
        <v>0.0</v>
      </c>
      <c r="P81" s="248">
        <v>0.0</v>
      </c>
      <c r="Q81" s="248">
        <v>0.0</v>
      </c>
      <c r="R81" s="248">
        <v>0.0</v>
      </c>
      <c r="S81" s="248">
        <v>0.0</v>
      </c>
      <c r="T81" s="248">
        <v>0.0</v>
      </c>
      <c r="U81" s="248">
        <v>0.0</v>
      </c>
      <c r="V81" s="248">
        <v>0.0</v>
      </c>
      <c r="W81" s="248">
        <v>0.0</v>
      </c>
      <c r="X81" s="248">
        <v>0.0</v>
      </c>
      <c r="Y81" s="248">
        <v>0.0</v>
      </c>
      <c r="Z81" s="248">
        <v>0.0</v>
      </c>
      <c r="AA81" s="248">
        <v>0.0</v>
      </c>
      <c r="AB81" s="248">
        <v>0.0</v>
      </c>
      <c r="AC81" s="328"/>
      <c r="AD81" s="328"/>
      <c r="AE81" s="328"/>
      <c r="AF81" s="328"/>
      <c r="AG81" s="328"/>
      <c r="AH81" s="328"/>
      <c r="AI81" s="328"/>
      <c r="AJ81" s="328"/>
      <c r="AK81" s="328"/>
      <c r="AL81" s="328"/>
      <c r="AM81" s="328"/>
      <c r="AN81" s="328"/>
      <c r="AO81" s="328"/>
      <c r="AP81" s="328"/>
      <c r="AQ81" s="328"/>
      <c r="AR81" s="328"/>
      <c r="AS81" s="328"/>
      <c r="AT81" s="328"/>
      <c r="AU81" s="328"/>
    </row>
    <row r="82" ht="15.75" customHeight="1">
      <c r="A82" s="248">
        <v>7.0</v>
      </c>
      <c r="B82" s="248">
        <v>940.0</v>
      </c>
      <c r="C82" s="328"/>
      <c r="D82" s="328"/>
      <c r="E82" s="328"/>
      <c r="F82" s="328"/>
      <c r="G82" s="328"/>
      <c r="H82" s="377">
        <v>0.0</v>
      </c>
      <c r="I82" s="248">
        <v>0.0</v>
      </c>
      <c r="J82" s="248">
        <v>0.0</v>
      </c>
      <c r="K82" s="248">
        <v>0.0</v>
      </c>
      <c r="L82" s="248">
        <v>0.0</v>
      </c>
      <c r="M82" s="248">
        <v>0.0</v>
      </c>
      <c r="N82" s="248">
        <v>0.0</v>
      </c>
      <c r="O82" s="248">
        <v>0.0</v>
      </c>
      <c r="P82" s="248">
        <v>1.0</v>
      </c>
      <c r="Q82" s="248">
        <v>0.0</v>
      </c>
      <c r="R82" s="248">
        <v>0.0</v>
      </c>
      <c r="S82" s="248">
        <v>0.0</v>
      </c>
      <c r="T82" s="248">
        <v>0.0</v>
      </c>
      <c r="U82" s="248">
        <v>0.0</v>
      </c>
      <c r="V82" s="248">
        <v>0.0</v>
      </c>
      <c r="W82" s="248">
        <v>0.0</v>
      </c>
      <c r="X82" s="248">
        <v>0.0</v>
      </c>
      <c r="Y82" s="248">
        <v>0.0</v>
      </c>
      <c r="Z82" s="248">
        <v>0.0</v>
      </c>
      <c r="AA82" s="248">
        <v>0.0</v>
      </c>
      <c r="AB82" s="248">
        <v>0.0</v>
      </c>
      <c r="AC82" s="328"/>
      <c r="AD82" s="328"/>
      <c r="AE82" s="328"/>
      <c r="AF82" s="328"/>
      <c r="AG82" s="328"/>
      <c r="AH82" s="328"/>
      <c r="AI82" s="328"/>
      <c r="AJ82" s="328"/>
      <c r="AK82" s="328"/>
      <c r="AL82" s="328"/>
      <c r="AM82" s="328"/>
      <c r="AN82" s="328"/>
      <c r="AO82" s="328"/>
      <c r="AP82" s="328"/>
      <c r="AQ82" s="328"/>
      <c r="AR82" s="328"/>
      <c r="AS82" s="328"/>
      <c r="AT82" s="328"/>
      <c r="AU82" s="328"/>
    </row>
    <row r="83" ht="15.75" customHeight="1">
      <c r="A83" s="248">
        <v>8.0</v>
      </c>
      <c r="B83" s="248">
        <v>980.0</v>
      </c>
      <c r="C83" s="380"/>
      <c r="D83" s="380"/>
      <c r="E83" s="380"/>
      <c r="F83" s="380"/>
      <c r="G83" s="380"/>
      <c r="H83" s="377">
        <v>0.0</v>
      </c>
      <c r="I83" s="248">
        <v>0.0</v>
      </c>
      <c r="J83" s="248">
        <v>0.0</v>
      </c>
      <c r="K83" s="248">
        <v>0.0</v>
      </c>
      <c r="L83" s="248">
        <v>0.0</v>
      </c>
      <c r="M83" s="248">
        <v>0.0</v>
      </c>
      <c r="N83" s="248">
        <v>0.0</v>
      </c>
      <c r="O83" s="248">
        <v>3.0</v>
      </c>
      <c r="P83" s="248">
        <v>0.0</v>
      </c>
      <c r="Q83" s="248">
        <v>0.0</v>
      </c>
      <c r="R83" s="248">
        <v>0.0</v>
      </c>
      <c r="S83" s="248">
        <v>0.0</v>
      </c>
      <c r="T83" s="248">
        <v>0.0</v>
      </c>
      <c r="U83" s="248">
        <v>0.0</v>
      </c>
      <c r="V83" s="248">
        <v>0.0</v>
      </c>
      <c r="W83" s="248">
        <v>0.0</v>
      </c>
      <c r="X83" s="248">
        <v>0.0</v>
      </c>
      <c r="Y83" s="248">
        <v>0.0</v>
      </c>
      <c r="Z83" s="248">
        <v>0.0</v>
      </c>
      <c r="AA83" s="248">
        <v>0.0</v>
      </c>
      <c r="AB83" s="248">
        <v>0.0</v>
      </c>
      <c r="AC83" s="328"/>
      <c r="AD83" s="328"/>
      <c r="AE83" s="328"/>
      <c r="AF83" s="328"/>
      <c r="AG83" s="328"/>
      <c r="AH83" s="328"/>
      <c r="AI83" s="328"/>
      <c r="AJ83" s="328"/>
      <c r="AK83" s="328"/>
      <c r="AL83" s="328"/>
      <c r="AM83" s="328"/>
      <c r="AN83" s="328"/>
      <c r="AO83" s="328"/>
      <c r="AP83" s="328"/>
      <c r="AQ83" s="328"/>
      <c r="AR83" s="328"/>
      <c r="AS83" s="328"/>
      <c r="AT83" s="328"/>
      <c r="AU83" s="328"/>
    </row>
    <row r="84" ht="15.75" customHeight="1">
      <c r="A84" s="248">
        <v>9.0</v>
      </c>
      <c r="B84" s="248">
        <v>830.0</v>
      </c>
      <c r="C84" s="328"/>
      <c r="D84" s="328"/>
      <c r="E84" s="328"/>
      <c r="F84" s="328"/>
      <c r="G84" s="328"/>
      <c r="H84" s="377">
        <v>0.0</v>
      </c>
      <c r="I84" s="248">
        <v>0.0</v>
      </c>
      <c r="J84" s="248">
        <v>0.0</v>
      </c>
      <c r="K84" s="248">
        <v>0.0</v>
      </c>
      <c r="L84" s="248">
        <v>0.0</v>
      </c>
      <c r="M84" s="248">
        <v>0.0</v>
      </c>
      <c r="N84" s="248">
        <v>1.0</v>
      </c>
      <c r="O84" s="248">
        <v>0.0</v>
      </c>
      <c r="P84" s="248">
        <v>0.0</v>
      </c>
      <c r="Q84" s="248">
        <v>0.0</v>
      </c>
      <c r="R84" s="248">
        <v>0.0</v>
      </c>
      <c r="S84" s="248">
        <v>0.0</v>
      </c>
      <c r="T84" s="248">
        <v>0.0</v>
      </c>
      <c r="U84" s="248">
        <v>0.0</v>
      </c>
      <c r="V84" s="248">
        <v>0.0</v>
      </c>
      <c r="W84" s="248">
        <v>0.0</v>
      </c>
      <c r="X84" s="248">
        <v>0.0</v>
      </c>
      <c r="Y84" s="248">
        <v>0.0</v>
      </c>
      <c r="Z84" s="248">
        <v>0.0</v>
      </c>
      <c r="AA84" s="248">
        <v>0.0</v>
      </c>
      <c r="AB84" s="248">
        <v>0.0</v>
      </c>
      <c r="AC84" s="328"/>
      <c r="AD84" s="328"/>
      <c r="AE84" s="328"/>
      <c r="AF84" s="328"/>
      <c r="AG84" s="328"/>
      <c r="AH84" s="328"/>
      <c r="AI84" s="328"/>
      <c r="AJ84" s="328"/>
      <c r="AK84" s="328"/>
      <c r="AL84" s="328"/>
      <c r="AM84" s="328"/>
      <c r="AN84" s="328"/>
      <c r="AO84" s="328"/>
      <c r="AP84" s="328"/>
      <c r="AQ84" s="328"/>
      <c r="AR84" s="328"/>
      <c r="AS84" s="328"/>
      <c r="AT84" s="328"/>
      <c r="AU84" s="328"/>
    </row>
    <row r="85" ht="15.75" customHeight="1">
      <c r="A85" s="248">
        <v>10.0</v>
      </c>
      <c r="B85" s="248">
        <v>810.0</v>
      </c>
      <c r="C85" s="380"/>
      <c r="D85" s="380"/>
      <c r="E85" s="380"/>
      <c r="F85" s="380"/>
      <c r="G85" s="380"/>
      <c r="H85" s="377">
        <v>35.0</v>
      </c>
      <c r="I85" s="248">
        <v>0.0</v>
      </c>
      <c r="J85" s="248">
        <v>0.0</v>
      </c>
      <c r="K85" s="248">
        <v>0.0</v>
      </c>
      <c r="L85" s="248">
        <v>0.0</v>
      </c>
      <c r="M85" s="248">
        <v>0.0</v>
      </c>
      <c r="N85" s="248">
        <v>0.0</v>
      </c>
      <c r="O85" s="248">
        <v>0.0</v>
      </c>
      <c r="P85" s="248">
        <v>0.0</v>
      </c>
      <c r="Q85" s="248">
        <v>0.0</v>
      </c>
      <c r="R85" s="248">
        <v>0.0</v>
      </c>
      <c r="S85" s="248">
        <v>0.0</v>
      </c>
      <c r="T85" s="248">
        <v>0.0</v>
      </c>
      <c r="U85" s="248">
        <v>0.0</v>
      </c>
      <c r="V85" s="248">
        <v>0.0</v>
      </c>
      <c r="W85" s="248">
        <v>0.0</v>
      </c>
      <c r="X85" s="248">
        <v>0.0</v>
      </c>
      <c r="Y85" s="248">
        <v>0.0</v>
      </c>
      <c r="Z85" s="248">
        <v>0.0</v>
      </c>
      <c r="AA85" s="248">
        <v>0.0</v>
      </c>
      <c r="AB85" s="248">
        <v>0.0</v>
      </c>
      <c r="AC85" s="328"/>
      <c r="AD85" s="328"/>
      <c r="AE85" s="328"/>
      <c r="AF85" s="328"/>
      <c r="AG85" s="328"/>
      <c r="AH85" s="328"/>
      <c r="AI85" s="328"/>
      <c r="AJ85" s="328"/>
      <c r="AK85" s="328"/>
      <c r="AL85" s="328"/>
      <c r="AM85" s="328"/>
      <c r="AN85" s="328"/>
      <c r="AO85" s="328"/>
      <c r="AP85" s="328"/>
      <c r="AQ85" s="328"/>
      <c r="AR85" s="328"/>
      <c r="AS85" s="328"/>
      <c r="AT85" s="328"/>
      <c r="AU85" s="328"/>
    </row>
    <row r="86" ht="15.75" customHeight="1">
      <c r="A86" s="248">
        <v>11.0</v>
      </c>
      <c r="B86" s="248">
        <v>1110.0</v>
      </c>
      <c r="C86" s="328"/>
      <c r="D86" s="328"/>
      <c r="E86" s="328"/>
      <c r="F86" s="328"/>
      <c r="G86" s="328"/>
      <c r="H86" s="377">
        <v>0.0</v>
      </c>
      <c r="I86" s="248">
        <v>0.0</v>
      </c>
      <c r="J86" s="248">
        <v>0.0</v>
      </c>
      <c r="K86" s="248">
        <v>0.0</v>
      </c>
      <c r="L86" s="248">
        <v>0.0</v>
      </c>
      <c r="M86" s="248">
        <v>0.0</v>
      </c>
      <c r="N86" s="248">
        <v>0.0</v>
      </c>
      <c r="O86" s="248">
        <v>0.0</v>
      </c>
      <c r="P86" s="248">
        <v>2.0</v>
      </c>
      <c r="Q86" s="248">
        <v>0.0</v>
      </c>
      <c r="R86" s="248">
        <v>0.0</v>
      </c>
      <c r="S86" s="248">
        <v>0.0</v>
      </c>
      <c r="T86" s="248">
        <v>0.0</v>
      </c>
      <c r="U86" s="248">
        <v>0.0</v>
      </c>
      <c r="V86" s="248">
        <v>0.0</v>
      </c>
      <c r="W86" s="248">
        <v>0.0</v>
      </c>
      <c r="X86" s="248">
        <v>0.0</v>
      </c>
      <c r="Y86" s="248">
        <v>0.0</v>
      </c>
      <c r="Z86" s="248">
        <v>0.0</v>
      </c>
      <c r="AA86" s="248">
        <v>0.0</v>
      </c>
      <c r="AB86" s="248">
        <v>0.0</v>
      </c>
      <c r="AC86" s="328"/>
      <c r="AD86" s="328"/>
      <c r="AE86" s="328"/>
      <c r="AF86" s="328"/>
      <c r="AG86" s="328"/>
      <c r="AH86" s="328"/>
      <c r="AI86" s="328"/>
      <c r="AJ86" s="328"/>
      <c r="AK86" s="328"/>
      <c r="AL86" s="328"/>
      <c r="AM86" s="328"/>
      <c r="AN86" s="328"/>
      <c r="AO86" s="328"/>
      <c r="AP86" s="328"/>
      <c r="AQ86" s="328"/>
      <c r="AR86" s="328"/>
      <c r="AS86" s="328"/>
      <c r="AT86" s="328"/>
      <c r="AU86" s="328"/>
    </row>
    <row r="87" ht="15.75" customHeight="1">
      <c r="A87" s="248">
        <v>12.0</v>
      </c>
      <c r="B87" s="248">
        <v>880.0</v>
      </c>
      <c r="C87" s="380"/>
      <c r="D87" s="380"/>
      <c r="E87" s="380"/>
      <c r="F87" s="380"/>
      <c r="G87" s="380"/>
      <c r="H87" s="377">
        <v>0.0</v>
      </c>
      <c r="I87" s="248">
        <v>0.0</v>
      </c>
      <c r="J87" s="248">
        <v>0.0</v>
      </c>
      <c r="K87" s="248">
        <v>0.0</v>
      </c>
      <c r="L87" s="248">
        <v>0.0</v>
      </c>
      <c r="M87" s="248">
        <v>0.0</v>
      </c>
      <c r="N87" s="248">
        <v>2.0</v>
      </c>
      <c r="O87" s="248">
        <v>0.0</v>
      </c>
      <c r="P87" s="248">
        <v>0.0</v>
      </c>
      <c r="Q87" s="248">
        <v>0.0</v>
      </c>
      <c r="R87" s="248">
        <v>0.0</v>
      </c>
      <c r="S87" s="248">
        <v>0.0</v>
      </c>
      <c r="T87" s="248">
        <v>0.0</v>
      </c>
      <c r="U87" s="248">
        <v>0.0</v>
      </c>
      <c r="V87" s="248">
        <v>0.0</v>
      </c>
      <c r="W87" s="248">
        <v>0.0</v>
      </c>
      <c r="X87" s="248">
        <v>0.0</v>
      </c>
      <c r="Y87" s="248">
        <v>0.0</v>
      </c>
      <c r="Z87" s="248">
        <v>0.0</v>
      </c>
      <c r="AA87" s="248">
        <v>0.0</v>
      </c>
      <c r="AB87" s="248">
        <v>0.0</v>
      </c>
      <c r="AC87" s="328"/>
      <c r="AD87" s="328"/>
      <c r="AE87" s="328"/>
      <c r="AF87" s="328"/>
      <c r="AG87" s="328"/>
      <c r="AH87" s="328"/>
      <c r="AI87" s="328"/>
      <c r="AJ87" s="328"/>
      <c r="AK87" s="328"/>
      <c r="AL87" s="328"/>
      <c r="AM87" s="328"/>
      <c r="AN87" s="328"/>
      <c r="AO87" s="328"/>
      <c r="AP87" s="328"/>
      <c r="AQ87" s="328"/>
      <c r="AR87" s="328"/>
      <c r="AS87" s="328"/>
      <c r="AT87" s="328"/>
      <c r="AU87" s="328"/>
    </row>
    <row r="88" ht="15.75" customHeight="1">
      <c r="A88" s="248">
        <v>13.0</v>
      </c>
      <c r="B88" s="248">
        <v>910.0</v>
      </c>
      <c r="C88" s="328"/>
      <c r="D88" s="328"/>
      <c r="E88" s="328"/>
      <c r="F88" s="328"/>
      <c r="G88" s="328"/>
      <c r="H88" s="377">
        <v>0.0</v>
      </c>
      <c r="I88" s="248">
        <v>0.0</v>
      </c>
      <c r="J88" s="248">
        <v>0.0</v>
      </c>
      <c r="K88" s="248">
        <v>0.0</v>
      </c>
      <c r="L88" s="248">
        <v>0.0</v>
      </c>
      <c r="M88" s="248">
        <v>0.0</v>
      </c>
      <c r="N88" s="248">
        <v>0.0</v>
      </c>
      <c r="O88" s="248">
        <v>2.0</v>
      </c>
      <c r="P88" s="248">
        <v>0.0</v>
      </c>
      <c r="Q88" s="248">
        <v>0.0</v>
      </c>
      <c r="R88" s="248">
        <v>0.0</v>
      </c>
      <c r="S88" s="248">
        <v>0.0</v>
      </c>
      <c r="T88" s="248">
        <v>0.0</v>
      </c>
      <c r="U88" s="248">
        <v>0.0</v>
      </c>
      <c r="V88" s="248">
        <v>0.0</v>
      </c>
      <c r="W88" s="248">
        <v>0.0</v>
      </c>
      <c r="X88" s="248">
        <v>0.0</v>
      </c>
      <c r="Y88" s="248">
        <v>0.0</v>
      </c>
      <c r="Z88" s="248">
        <v>0.0</v>
      </c>
      <c r="AA88" s="248">
        <v>0.0</v>
      </c>
      <c r="AB88" s="248">
        <v>0.0</v>
      </c>
      <c r="AC88" s="328"/>
      <c r="AD88" s="328"/>
      <c r="AE88" s="328"/>
      <c r="AF88" s="328"/>
      <c r="AG88" s="328"/>
      <c r="AH88" s="328"/>
      <c r="AI88" s="328"/>
      <c r="AJ88" s="328"/>
      <c r="AK88" s="328"/>
      <c r="AL88" s="328"/>
      <c r="AM88" s="328"/>
      <c r="AN88" s="328"/>
      <c r="AO88" s="328"/>
      <c r="AP88" s="328"/>
      <c r="AQ88" s="328"/>
      <c r="AR88" s="328"/>
      <c r="AS88" s="328"/>
      <c r="AT88" s="328"/>
      <c r="AU88" s="328"/>
    </row>
    <row r="89" ht="15.75" customHeight="1">
      <c r="A89" s="248">
        <v>14.0</v>
      </c>
      <c r="B89" s="248">
        <v>1110.0</v>
      </c>
      <c r="C89" s="380"/>
      <c r="D89" s="380"/>
      <c r="E89" s="380"/>
      <c r="F89" s="380"/>
      <c r="G89" s="380"/>
      <c r="H89" s="377">
        <v>0.0</v>
      </c>
      <c r="I89" s="248">
        <v>0.0</v>
      </c>
      <c r="J89" s="248">
        <v>0.0</v>
      </c>
      <c r="K89" s="248">
        <v>0.0</v>
      </c>
      <c r="L89" s="248">
        <v>0.0</v>
      </c>
      <c r="M89" s="248">
        <v>0.0</v>
      </c>
      <c r="N89" s="248">
        <v>0.0</v>
      </c>
      <c r="O89" s="248">
        <v>0.0</v>
      </c>
      <c r="P89" s="248">
        <v>2.0</v>
      </c>
      <c r="Q89" s="248">
        <v>0.0</v>
      </c>
      <c r="R89" s="248">
        <v>0.0</v>
      </c>
      <c r="S89" s="248">
        <v>0.0</v>
      </c>
      <c r="T89" s="248">
        <v>0.0</v>
      </c>
      <c r="U89" s="248">
        <v>0.0</v>
      </c>
      <c r="V89" s="248">
        <v>0.0</v>
      </c>
      <c r="W89" s="248">
        <v>0.0</v>
      </c>
      <c r="X89" s="248">
        <v>0.0</v>
      </c>
      <c r="Y89" s="248">
        <v>0.0</v>
      </c>
      <c r="Z89" s="248">
        <v>0.0</v>
      </c>
      <c r="AA89" s="248">
        <v>0.0</v>
      </c>
      <c r="AB89" s="248">
        <v>0.0</v>
      </c>
      <c r="AC89" s="328"/>
      <c r="AD89" s="328"/>
      <c r="AE89" s="328"/>
      <c r="AF89" s="328"/>
      <c r="AG89" s="328"/>
      <c r="AH89" s="328"/>
      <c r="AI89" s="328"/>
      <c r="AJ89" s="328"/>
      <c r="AK89" s="328"/>
      <c r="AL89" s="328"/>
      <c r="AM89" s="328"/>
      <c r="AN89" s="328"/>
      <c r="AO89" s="328"/>
      <c r="AP89" s="328"/>
      <c r="AQ89" s="328"/>
      <c r="AR89" s="328"/>
      <c r="AS89" s="328"/>
      <c r="AT89" s="328"/>
      <c r="AU89" s="328"/>
    </row>
    <row r="90" ht="15.75" customHeight="1">
      <c r="A90" s="248">
        <v>15.0</v>
      </c>
      <c r="B90" s="248">
        <v>840.0</v>
      </c>
      <c r="C90" s="328"/>
      <c r="D90" s="328"/>
      <c r="E90" s="328"/>
      <c r="F90" s="328"/>
      <c r="G90" s="328"/>
      <c r="H90" s="377">
        <v>0.0</v>
      </c>
      <c r="I90" s="248">
        <v>0.0</v>
      </c>
      <c r="J90" s="248">
        <v>0.0</v>
      </c>
      <c r="K90" s="248">
        <v>0.0</v>
      </c>
      <c r="L90" s="248">
        <v>0.0</v>
      </c>
      <c r="M90" s="248">
        <v>0.0</v>
      </c>
      <c r="N90" s="248">
        <v>0.0</v>
      </c>
      <c r="O90" s="248">
        <v>1.0</v>
      </c>
      <c r="P90" s="248">
        <v>0.0</v>
      </c>
      <c r="Q90" s="248">
        <v>0.0</v>
      </c>
      <c r="R90" s="248">
        <v>0.0</v>
      </c>
      <c r="S90" s="248">
        <v>0.0</v>
      </c>
      <c r="T90" s="248">
        <v>0.0</v>
      </c>
      <c r="U90" s="248">
        <v>0.0</v>
      </c>
      <c r="V90" s="248">
        <v>0.0</v>
      </c>
      <c r="W90" s="248">
        <v>0.0</v>
      </c>
      <c r="X90" s="248">
        <v>0.0</v>
      </c>
      <c r="Y90" s="248">
        <v>0.0</v>
      </c>
      <c r="Z90" s="248">
        <v>0.0</v>
      </c>
      <c r="AA90" s="248">
        <v>0.0</v>
      </c>
      <c r="AB90" s="248">
        <v>0.0</v>
      </c>
      <c r="AC90" s="328"/>
      <c r="AD90" s="328"/>
      <c r="AE90" s="328"/>
      <c r="AF90" s="328"/>
      <c r="AG90" s="328"/>
      <c r="AH90" s="328"/>
      <c r="AI90" s="328"/>
      <c r="AJ90" s="328"/>
      <c r="AK90" s="328"/>
      <c r="AL90" s="328"/>
      <c r="AM90" s="328"/>
      <c r="AN90" s="328"/>
      <c r="AO90" s="328"/>
      <c r="AP90" s="328"/>
      <c r="AQ90" s="328"/>
      <c r="AR90" s="328"/>
      <c r="AS90" s="328"/>
      <c r="AT90" s="328"/>
      <c r="AU90" s="328"/>
    </row>
    <row r="91" ht="15.75" customHeight="1">
      <c r="A91" s="328"/>
      <c r="B91" s="328"/>
      <c r="C91" s="328"/>
      <c r="D91" s="328"/>
      <c r="E91" s="328"/>
      <c r="F91" s="328"/>
      <c r="G91" s="328"/>
      <c r="H91" s="328"/>
      <c r="I91" s="328"/>
      <c r="J91" s="328"/>
      <c r="K91" s="328"/>
      <c r="L91" s="328"/>
      <c r="M91" s="328"/>
      <c r="N91" s="328"/>
      <c r="O91" s="328"/>
      <c r="P91" s="328"/>
      <c r="Q91" s="328"/>
      <c r="R91" s="328"/>
      <c r="S91" s="328"/>
      <c r="T91" s="328"/>
      <c r="U91" s="328"/>
      <c r="V91" s="328"/>
      <c r="W91" s="328"/>
      <c r="X91" s="328"/>
      <c r="Y91" s="328"/>
      <c r="Z91" s="328"/>
      <c r="AA91" s="328"/>
      <c r="AB91" s="328"/>
      <c r="AC91" s="328"/>
      <c r="AD91" s="328"/>
      <c r="AE91" s="328"/>
      <c r="AF91" s="328"/>
      <c r="AG91" s="328"/>
      <c r="AH91" s="328"/>
      <c r="AI91" s="328"/>
      <c r="AJ91" s="328"/>
      <c r="AK91" s="328"/>
      <c r="AL91" s="328"/>
      <c r="AM91" s="328"/>
      <c r="AN91" s="328"/>
      <c r="AO91" s="328"/>
      <c r="AP91" s="328"/>
      <c r="AQ91" s="328"/>
      <c r="AR91" s="328"/>
      <c r="AS91" s="328"/>
      <c r="AT91" s="328"/>
      <c r="AU91" s="328"/>
    </row>
    <row r="92" ht="19.5" customHeight="1">
      <c r="A92" s="175" t="s">
        <v>305</v>
      </c>
      <c r="B92" s="175"/>
      <c r="C92" s="175"/>
      <c r="D92" s="175"/>
      <c r="E92" s="175"/>
      <c r="F92" s="175"/>
      <c r="G92" s="175"/>
      <c r="H92" s="175"/>
      <c r="I92" s="175"/>
      <c r="J92" s="175"/>
      <c r="K92" s="175"/>
      <c r="L92" s="175"/>
      <c r="M92" s="175"/>
      <c r="N92" s="175"/>
      <c r="O92" s="175"/>
      <c r="P92" s="175"/>
      <c r="Q92" s="175"/>
      <c r="R92" s="175"/>
      <c r="S92" s="175"/>
      <c r="T92" s="175"/>
      <c r="U92" s="175"/>
      <c r="V92" s="175"/>
      <c r="W92" s="175"/>
      <c r="X92" s="175"/>
      <c r="Y92" s="175"/>
      <c r="Z92" s="175"/>
      <c r="AA92" s="175"/>
      <c r="AB92" s="175"/>
      <c r="AC92" s="328"/>
      <c r="AD92" s="328"/>
      <c r="AE92" s="328"/>
      <c r="AF92" s="328"/>
      <c r="AG92" s="328"/>
      <c r="AH92" s="328"/>
      <c r="AI92" s="328"/>
      <c r="AJ92" s="328"/>
      <c r="AK92" s="328"/>
      <c r="AL92" s="328"/>
      <c r="AM92" s="328"/>
      <c r="AN92" s="328"/>
      <c r="AO92" s="328"/>
      <c r="AP92" s="328"/>
      <c r="AQ92" s="328"/>
      <c r="AR92" s="328"/>
      <c r="AS92" s="328"/>
      <c r="AT92" s="328"/>
      <c r="AU92" s="328"/>
    </row>
    <row r="93" ht="90.0" customHeight="1">
      <c r="A93" s="184" t="s">
        <v>298</v>
      </c>
      <c r="B93" s="184" t="s">
        <v>299</v>
      </c>
      <c r="C93" s="328"/>
      <c r="D93" s="328"/>
      <c r="E93" s="328"/>
      <c r="F93" s="328"/>
      <c r="G93" s="328"/>
      <c r="H93" s="374" t="s">
        <v>76</v>
      </c>
      <c r="I93" s="257" t="s">
        <v>46</v>
      </c>
      <c r="J93" s="257" t="s">
        <v>121</v>
      </c>
      <c r="K93" s="257" t="s">
        <v>47</v>
      </c>
      <c r="L93" s="257" t="s">
        <v>48</v>
      </c>
      <c r="M93" s="257" t="s">
        <v>50</v>
      </c>
      <c r="N93" s="257" t="s">
        <v>52</v>
      </c>
      <c r="O93" s="257" t="s">
        <v>53</v>
      </c>
      <c r="P93" s="257" t="s">
        <v>54</v>
      </c>
      <c r="Q93" s="257" t="s">
        <v>55</v>
      </c>
      <c r="R93" s="257" t="s">
        <v>56</v>
      </c>
      <c r="S93" s="257" t="s">
        <v>57</v>
      </c>
      <c r="T93" s="257" t="s">
        <v>58</v>
      </c>
      <c r="U93" s="257" t="s">
        <v>135</v>
      </c>
      <c r="V93" s="257" t="s">
        <v>122</v>
      </c>
      <c r="W93" s="257" t="s">
        <v>123</v>
      </c>
      <c r="X93" s="257" t="s">
        <v>124</v>
      </c>
      <c r="Y93" s="257" t="s">
        <v>125</v>
      </c>
      <c r="Z93" s="257" t="s">
        <v>126</v>
      </c>
      <c r="AA93" s="257" t="s">
        <v>127</v>
      </c>
      <c r="AB93" s="257" t="s">
        <v>128</v>
      </c>
      <c r="AC93" s="328"/>
      <c r="AD93" s="328"/>
      <c r="AE93" s="328"/>
      <c r="AF93" s="328"/>
      <c r="AG93" s="328"/>
      <c r="AH93" s="328"/>
      <c r="AI93" s="328"/>
      <c r="AJ93" s="328"/>
      <c r="AK93" s="328"/>
      <c r="AL93" s="328"/>
      <c r="AM93" s="328"/>
      <c r="AN93" s="328"/>
      <c r="AO93" s="328"/>
      <c r="AP93" s="328"/>
      <c r="AQ93" s="328"/>
      <c r="AR93" s="328"/>
      <c r="AS93" s="328"/>
      <c r="AT93" s="328"/>
      <c r="AU93" s="328"/>
    </row>
    <row r="94" ht="15.75" customHeight="1">
      <c r="A94" s="248">
        <v>1.0</v>
      </c>
      <c r="B94" s="248">
        <v>940.0</v>
      </c>
      <c r="C94" s="328"/>
      <c r="D94" s="328"/>
      <c r="E94" s="328"/>
      <c r="F94" s="328"/>
      <c r="G94" s="328"/>
      <c r="H94" s="377">
        <v>0.0</v>
      </c>
      <c r="I94" s="248">
        <v>0.0</v>
      </c>
      <c r="J94" s="248">
        <v>0.0</v>
      </c>
      <c r="K94" s="248">
        <v>0.0</v>
      </c>
      <c r="L94" s="248">
        <v>0.0</v>
      </c>
      <c r="M94" s="248">
        <v>0.0</v>
      </c>
      <c r="N94" s="248">
        <v>0.0</v>
      </c>
      <c r="O94" s="248">
        <v>0.0</v>
      </c>
      <c r="P94" s="248">
        <v>0.0</v>
      </c>
      <c r="Q94" s="248">
        <v>0.0</v>
      </c>
      <c r="R94" s="248">
        <v>0.0</v>
      </c>
      <c r="S94" s="248">
        <v>10.0</v>
      </c>
      <c r="T94" s="248">
        <v>0.0</v>
      </c>
      <c r="U94" s="248">
        <v>0.0</v>
      </c>
      <c r="V94" s="248">
        <v>0.0</v>
      </c>
      <c r="W94" s="248">
        <v>0.0</v>
      </c>
      <c r="X94" s="248">
        <v>0.0</v>
      </c>
      <c r="Y94" s="248">
        <v>0.0</v>
      </c>
      <c r="Z94" s="248">
        <v>0.0</v>
      </c>
      <c r="AA94" s="248">
        <v>0.0</v>
      </c>
      <c r="AB94" s="248">
        <v>0.0</v>
      </c>
      <c r="AC94" s="328"/>
      <c r="AD94" s="328"/>
      <c r="AE94" s="328"/>
      <c r="AF94" s="328"/>
      <c r="AG94" s="328"/>
      <c r="AH94" s="328"/>
      <c r="AI94" s="328"/>
      <c r="AJ94" s="328"/>
      <c r="AK94" s="328"/>
      <c r="AL94" s="328"/>
      <c r="AM94" s="328"/>
      <c r="AN94" s="328"/>
      <c r="AO94" s="328"/>
      <c r="AP94" s="328"/>
      <c r="AQ94" s="328"/>
      <c r="AR94" s="328"/>
      <c r="AS94" s="328"/>
      <c r="AT94" s="328"/>
      <c r="AU94" s="328"/>
    </row>
    <row r="95" ht="15.75" customHeight="1">
      <c r="A95" s="248">
        <v>2.0</v>
      </c>
      <c r="B95" s="248">
        <v>950.0</v>
      </c>
      <c r="C95" s="380"/>
      <c r="D95" s="380"/>
      <c r="E95" s="380"/>
      <c r="F95" s="380"/>
      <c r="G95" s="380"/>
      <c r="H95" s="377">
        <v>0.0</v>
      </c>
      <c r="I95" s="248">
        <v>0.0</v>
      </c>
      <c r="J95" s="248">
        <v>0.0</v>
      </c>
      <c r="K95" s="248">
        <v>0.0</v>
      </c>
      <c r="L95" s="248">
        <v>0.0</v>
      </c>
      <c r="M95" s="248">
        <v>0.0</v>
      </c>
      <c r="N95" s="248">
        <v>0.0</v>
      </c>
      <c r="O95" s="248">
        <v>0.0</v>
      </c>
      <c r="P95" s="248">
        <v>0.0</v>
      </c>
      <c r="Q95" s="248">
        <v>0.0</v>
      </c>
      <c r="R95" s="248">
        <v>0.0</v>
      </c>
      <c r="S95" s="248">
        <v>0.0</v>
      </c>
      <c r="T95" s="248">
        <v>10.0</v>
      </c>
      <c r="U95" s="248">
        <v>0.0</v>
      </c>
      <c r="V95" s="248">
        <v>0.0</v>
      </c>
      <c r="W95" s="248">
        <v>0.0</v>
      </c>
      <c r="X95" s="248">
        <v>0.0</v>
      </c>
      <c r="Y95" s="248">
        <v>0.0</v>
      </c>
      <c r="Z95" s="248">
        <v>0.0</v>
      </c>
      <c r="AA95" s="248">
        <v>0.0</v>
      </c>
      <c r="AB95" s="248">
        <v>0.0</v>
      </c>
      <c r="AC95" s="328"/>
      <c r="AD95" s="328"/>
      <c r="AE95" s="328"/>
      <c r="AF95" s="328"/>
      <c r="AG95" s="328"/>
      <c r="AH95" s="328"/>
      <c r="AI95" s="328"/>
      <c r="AJ95" s="328"/>
      <c r="AK95" s="328"/>
      <c r="AL95" s="328"/>
      <c r="AM95" s="328"/>
      <c r="AN95" s="328"/>
      <c r="AO95" s="328"/>
      <c r="AP95" s="328"/>
      <c r="AQ95" s="328"/>
      <c r="AR95" s="328"/>
      <c r="AS95" s="328"/>
      <c r="AT95" s="328"/>
      <c r="AU95" s="328"/>
    </row>
    <row r="96" ht="15.75" customHeight="1">
      <c r="A96" s="248">
        <v>3.0</v>
      </c>
      <c r="B96" s="248">
        <v>840.0</v>
      </c>
      <c r="C96" s="328"/>
      <c r="D96" s="328"/>
      <c r="E96" s="328"/>
      <c r="F96" s="328"/>
      <c r="G96" s="328"/>
      <c r="H96" s="377">
        <v>0.0</v>
      </c>
      <c r="I96" s="248">
        <v>0.0</v>
      </c>
      <c r="J96" s="248">
        <v>0.0</v>
      </c>
      <c r="K96" s="248">
        <v>0.0</v>
      </c>
      <c r="L96" s="248">
        <v>0.0</v>
      </c>
      <c r="M96" s="248">
        <v>0.0</v>
      </c>
      <c r="N96" s="248">
        <v>0.0</v>
      </c>
      <c r="O96" s="248">
        <v>0.0</v>
      </c>
      <c r="P96" s="248">
        <v>0.0</v>
      </c>
      <c r="Q96" s="248">
        <v>15.0</v>
      </c>
      <c r="R96" s="248">
        <v>0.0</v>
      </c>
      <c r="S96" s="248">
        <v>0.0</v>
      </c>
      <c r="T96" s="248">
        <v>0.0</v>
      </c>
      <c r="U96" s="248">
        <v>0.0</v>
      </c>
      <c r="V96" s="248">
        <v>0.0</v>
      </c>
      <c r="W96" s="248">
        <v>0.0</v>
      </c>
      <c r="X96" s="248">
        <v>0.0</v>
      </c>
      <c r="Y96" s="248">
        <v>0.0</v>
      </c>
      <c r="Z96" s="248">
        <v>0.0</v>
      </c>
      <c r="AA96" s="248">
        <v>0.0</v>
      </c>
      <c r="AB96" s="248">
        <v>0.0</v>
      </c>
      <c r="AC96" s="328"/>
      <c r="AD96" s="328"/>
      <c r="AE96" s="328"/>
      <c r="AF96" s="328"/>
      <c r="AG96" s="328"/>
      <c r="AH96" s="328"/>
      <c r="AI96" s="328"/>
      <c r="AJ96" s="328"/>
      <c r="AK96" s="328"/>
      <c r="AL96" s="328"/>
      <c r="AM96" s="328"/>
      <c r="AN96" s="328"/>
      <c r="AO96" s="328"/>
      <c r="AP96" s="328"/>
      <c r="AQ96" s="328"/>
      <c r="AR96" s="328"/>
      <c r="AS96" s="328"/>
      <c r="AT96" s="328"/>
      <c r="AU96" s="328"/>
    </row>
    <row r="97" ht="15.75" customHeight="1">
      <c r="A97" s="248">
        <v>4.0</v>
      </c>
      <c r="B97" s="248">
        <v>940.0</v>
      </c>
      <c r="C97" s="380"/>
      <c r="D97" s="380"/>
      <c r="E97" s="380"/>
      <c r="F97" s="380"/>
      <c r="G97" s="380"/>
      <c r="H97" s="377">
        <v>0.0</v>
      </c>
      <c r="I97" s="248">
        <v>0.0</v>
      </c>
      <c r="J97" s="248">
        <v>0.0</v>
      </c>
      <c r="K97" s="248">
        <v>0.0</v>
      </c>
      <c r="L97" s="248">
        <v>0.0</v>
      </c>
      <c r="M97" s="248">
        <v>0.0</v>
      </c>
      <c r="N97" s="248">
        <v>0.0</v>
      </c>
      <c r="O97" s="248">
        <v>0.0</v>
      </c>
      <c r="P97" s="248">
        <v>0.0</v>
      </c>
      <c r="Q97" s="248">
        <v>0.0</v>
      </c>
      <c r="R97" s="248">
        <v>10.0</v>
      </c>
      <c r="S97" s="248">
        <v>0.0</v>
      </c>
      <c r="T97" s="248">
        <v>0.0</v>
      </c>
      <c r="U97" s="248">
        <v>0.0</v>
      </c>
      <c r="V97" s="248">
        <v>0.0</v>
      </c>
      <c r="W97" s="248">
        <v>0.0</v>
      </c>
      <c r="X97" s="248">
        <v>0.0</v>
      </c>
      <c r="Y97" s="248">
        <v>0.0</v>
      </c>
      <c r="Z97" s="248">
        <v>0.0</v>
      </c>
      <c r="AA97" s="248">
        <v>0.0</v>
      </c>
      <c r="AB97" s="248">
        <v>0.0</v>
      </c>
      <c r="AC97" s="328"/>
      <c r="AD97" s="328"/>
      <c r="AE97" s="328"/>
      <c r="AF97" s="328"/>
      <c r="AG97" s="328"/>
      <c r="AH97" s="328"/>
      <c r="AI97" s="328"/>
      <c r="AJ97" s="328"/>
      <c r="AK97" s="328"/>
      <c r="AL97" s="328"/>
      <c r="AM97" s="328"/>
      <c r="AN97" s="328"/>
      <c r="AO97" s="328"/>
      <c r="AP97" s="328"/>
      <c r="AQ97" s="328"/>
      <c r="AR97" s="328"/>
      <c r="AS97" s="328"/>
      <c r="AT97" s="328"/>
      <c r="AU97" s="328"/>
    </row>
    <row r="98" ht="15.75" customHeight="1">
      <c r="A98" s="248">
        <v>5.0</v>
      </c>
      <c r="B98" s="248">
        <v>900.0</v>
      </c>
      <c r="C98" s="328"/>
      <c r="D98" s="328"/>
      <c r="E98" s="328"/>
      <c r="F98" s="328"/>
      <c r="G98" s="328"/>
      <c r="H98" s="377">
        <v>0.0</v>
      </c>
      <c r="I98" s="248">
        <v>0.0</v>
      </c>
      <c r="J98" s="248">
        <v>0.0</v>
      </c>
      <c r="K98" s="248">
        <v>0.0</v>
      </c>
      <c r="L98" s="248">
        <v>0.0</v>
      </c>
      <c r="M98" s="248">
        <v>0.0</v>
      </c>
      <c r="N98" s="248">
        <v>0.0</v>
      </c>
      <c r="O98" s="248">
        <v>0.0</v>
      </c>
      <c r="P98" s="248">
        <v>0.0</v>
      </c>
      <c r="Q98" s="248">
        <v>30.0</v>
      </c>
      <c r="R98" s="248">
        <v>0.0</v>
      </c>
      <c r="S98" s="248">
        <v>0.0</v>
      </c>
      <c r="T98" s="248">
        <v>0.0</v>
      </c>
      <c r="U98" s="248">
        <v>0.0</v>
      </c>
      <c r="V98" s="248">
        <v>0.0</v>
      </c>
      <c r="W98" s="248">
        <v>0.0</v>
      </c>
      <c r="X98" s="248">
        <v>0.0</v>
      </c>
      <c r="Y98" s="248">
        <v>0.0</v>
      </c>
      <c r="Z98" s="248">
        <v>0.0</v>
      </c>
      <c r="AA98" s="248">
        <v>0.0</v>
      </c>
      <c r="AB98" s="248">
        <v>0.0</v>
      </c>
      <c r="AC98" s="328"/>
      <c r="AD98" s="328"/>
      <c r="AE98" s="328"/>
      <c r="AF98" s="328"/>
      <c r="AG98" s="328"/>
      <c r="AH98" s="328"/>
      <c r="AI98" s="328"/>
      <c r="AJ98" s="328"/>
      <c r="AK98" s="328"/>
      <c r="AL98" s="328"/>
      <c r="AM98" s="328"/>
      <c r="AN98" s="328"/>
      <c r="AO98" s="328"/>
      <c r="AP98" s="328"/>
      <c r="AQ98" s="328"/>
      <c r="AR98" s="328"/>
      <c r="AS98" s="328"/>
      <c r="AT98" s="328"/>
      <c r="AU98" s="328"/>
    </row>
    <row r="99" ht="15.75" customHeight="1">
      <c r="A99" s="248">
        <v>6.0</v>
      </c>
      <c r="B99" s="248">
        <v>810.0</v>
      </c>
      <c r="C99" s="380"/>
      <c r="D99" s="380"/>
      <c r="E99" s="380"/>
      <c r="F99" s="380"/>
      <c r="G99" s="380"/>
      <c r="H99" s="377">
        <v>30.0</v>
      </c>
      <c r="I99" s="248">
        <v>0.0</v>
      </c>
      <c r="J99" s="248">
        <v>0.0</v>
      </c>
      <c r="K99" s="248">
        <v>0.0</v>
      </c>
      <c r="L99" s="248">
        <v>0.0</v>
      </c>
      <c r="M99" s="248">
        <v>0.0</v>
      </c>
      <c r="N99" s="248">
        <v>0.0</v>
      </c>
      <c r="O99" s="248">
        <v>0.0</v>
      </c>
      <c r="P99" s="248">
        <v>0.0</v>
      </c>
      <c r="Q99" s="248">
        <v>0.0</v>
      </c>
      <c r="R99" s="248">
        <v>0.0</v>
      </c>
      <c r="S99" s="248">
        <v>0.0</v>
      </c>
      <c r="T99" s="248">
        <v>0.0</v>
      </c>
      <c r="U99" s="248">
        <v>0.0</v>
      </c>
      <c r="V99" s="248">
        <v>0.0</v>
      </c>
      <c r="W99" s="248">
        <v>0.0</v>
      </c>
      <c r="X99" s="248">
        <v>0.0</v>
      </c>
      <c r="Y99" s="248">
        <v>0.0</v>
      </c>
      <c r="Z99" s="248">
        <v>0.0</v>
      </c>
      <c r="AA99" s="248">
        <v>0.0</v>
      </c>
      <c r="AB99" s="248">
        <v>0.0</v>
      </c>
      <c r="AC99" s="328"/>
      <c r="AD99" s="328"/>
      <c r="AE99" s="328"/>
      <c r="AF99" s="328"/>
      <c r="AG99" s="328"/>
      <c r="AH99" s="328"/>
      <c r="AI99" s="328"/>
      <c r="AJ99" s="328"/>
      <c r="AK99" s="328"/>
      <c r="AL99" s="328"/>
      <c r="AM99" s="328"/>
      <c r="AN99" s="328"/>
      <c r="AO99" s="328"/>
      <c r="AP99" s="328"/>
      <c r="AQ99" s="328"/>
      <c r="AR99" s="328"/>
      <c r="AS99" s="328"/>
      <c r="AT99" s="328"/>
      <c r="AU99" s="328"/>
    </row>
    <row r="100" ht="15.75" customHeight="1">
      <c r="A100" s="248">
        <v>7.0</v>
      </c>
      <c r="B100" s="248">
        <v>990.0</v>
      </c>
      <c r="C100" s="328"/>
      <c r="D100" s="328"/>
      <c r="E100" s="328"/>
      <c r="F100" s="328"/>
      <c r="G100" s="328"/>
      <c r="H100" s="377">
        <v>0.0</v>
      </c>
      <c r="I100" s="248">
        <v>0.0</v>
      </c>
      <c r="J100" s="248">
        <v>0.0</v>
      </c>
      <c r="K100" s="248">
        <v>0.0</v>
      </c>
      <c r="L100" s="248">
        <v>0.0</v>
      </c>
      <c r="M100" s="248">
        <v>0.0</v>
      </c>
      <c r="N100" s="248">
        <v>0.0</v>
      </c>
      <c r="O100" s="248">
        <v>0.0</v>
      </c>
      <c r="P100" s="248">
        <v>0.0</v>
      </c>
      <c r="Q100" s="248">
        <v>0.0</v>
      </c>
      <c r="R100" s="248">
        <v>0.0</v>
      </c>
      <c r="S100" s="248">
        <v>15.0</v>
      </c>
      <c r="T100" s="248">
        <v>0.0</v>
      </c>
      <c r="U100" s="248">
        <v>0.0</v>
      </c>
      <c r="V100" s="248">
        <v>0.0</v>
      </c>
      <c r="W100" s="248">
        <v>0.0</v>
      </c>
      <c r="X100" s="248">
        <v>0.0</v>
      </c>
      <c r="Y100" s="248">
        <v>0.0</v>
      </c>
      <c r="Z100" s="248">
        <v>0.0</v>
      </c>
      <c r="AA100" s="248">
        <v>0.0</v>
      </c>
      <c r="AB100" s="248">
        <v>0.0</v>
      </c>
      <c r="AC100" s="328"/>
      <c r="AD100" s="328"/>
      <c r="AE100" s="328"/>
      <c r="AF100" s="328"/>
      <c r="AG100" s="328"/>
      <c r="AH100" s="328"/>
      <c r="AI100" s="328"/>
      <c r="AJ100" s="328"/>
      <c r="AK100" s="328"/>
      <c r="AL100" s="328"/>
      <c r="AM100" s="328"/>
      <c r="AN100" s="328"/>
      <c r="AO100" s="328"/>
      <c r="AP100" s="328"/>
      <c r="AQ100" s="328"/>
      <c r="AR100" s="328"/>
      <c r="AS100" s="328"/>
      <c r="AT100" s="328"/>
      <c r="AU100" s="328"/>
    </row>
    <row r="101" ht="15.75" customHeight="1">
      <c r="A101" s="248">
        <v>8.0</v>
      </c>
      <c r="B101" s="248">
        <v>980.0</v>
      </c>
      <c r="C101" s="380"/>
      <c r="D101" s="380"/>
      <c r="E101" s="380"/>
      <c r="F101" s="380"/>
      <c r="G101" s="380"/>
      <c r="H101" s="377">
        <v>0.0</v>
      </c>
      <c r="I101" s="248">
        <v>0.0</v>
      </c>
      <c r="J101" s="248">
        <v>0.0</v>
      </c>
      <c r="K101" s="248">
        <v>0.0</v>
      </c>
      <c r="L101" s="248">
        <v>0.0</v>
      </c>
      <c r="M101" s="248">
        <v>0.0</v>
      </c>
      <c r="N101" s="248">
        <v>0.0</v>
      </c>
      <c r="O101" s="248">
        <v>0.0</v>
      </c>
      <c r="P101" s="248">
        <v>0.0</v>
      </c>
      <c r="Q101" s="248">
        <v>0.0</v>
      </c>
      <c r="R101" s="248">
        <v>15.0</v>
      </c>
      <c r="S101" s="248">
        <v>0.0</v>
      </c>
      <c r="T101" s="248">
        <v>0.0</v>
      </c>
      <c r="U101" s="248">
        <v>0.0</v>
      </c>
      <c r="V101" s="248">
        <v>0.0</v>
      </c>
      <c r="W101" s="248">
        <v>0.0</v>
      </c>
      <c r="X101" s="248">
        <v>0.0</v>
      </c>
      <c r="Y101" s="248">
        <v>0.0</v>
      </c>
      <c r="Z101" s="248">
        <v>0.0</v>
      </c>
      <c r="AA101" s="248">
        <v>0.0</v>
      </c>
      <c r="AB101" s="248">
        <v>0.0</v>
      </c>
      <c r="AC101" s="328"/>
      <c r="AD101" s="328"/>
      <c r="AE101" s="328"/>
      <c r="AF101" s="328"/>
      <c r="AG101" s="328"/>
      <c r="AH101" s="328"/>
      <c r="AI101" s="328"/>
      <c r="AJ101" s="328"/>
      <c r="AK101" s="328"/>
      <c r="AL101" s="328"/>
      <c r="AM101" s="328"/>
      <c r="AN101" s="328"/>
      <c r="AO101" s="328"/>
      <c r="AP101" s="328"/>
      <c r="AQ101" s="328"/>
      <c r="AR101" s="328"/>
      <c r="AS101" s="328"/>
      <c r="AT101" s="328"/>
      <c r="AU101" s="328"/>
    </row>
    <row r="102" ht="15.75" customHeight="1">
      <c r="A102" s="248">
        <v>9.0</v>
      </c>
      <c r="B102" s="248">
        <v>900.0</v>
      </c>
      <c r="C102" s="328"/>
      <c r="D102" s="328"/>
      <c r="E102" s="328"/>
      <c r="F102" s="328"/>
      <c r="G102" s="328"/>
      <c r="H102" s="377">
        <v>0.0</v>
      </c>
      <c r="I102" s="248">
        <v>0.0</v>
      </c>
      <c r="J102" s="248">
        <v>0.0</v>
      </c>
      <c r="K102" s="248">
        <v>0.0</v>
      </c>
      <c r="L102" s="248">
        <v>0.0</v>
      </c>
      <c r="M102" s="248">
        <v>0.0</v>
      </c>
      <c r="N102" s="248">
        <v>0.0</v>
      </c>
      <c r="O102" s="248">
        <v>0.0</v>
      </c>
      <c r="P102" s="248">
        <v>0.0</v>
      </c>
      <c r="Q102" s="248">
        <v>30.0</v>
      </c>
      <c r="R102" s="248">
        <v>0.0</v>
      </c>
      <c r="S102" s="248">
        <v>0.0</v>
      </c>
      <c r="T102" s="248">
        <v>0.0</v>
      </c>
      <c r="U102" s="248">
        <v>0.0</v>
      </c>
      <c r="V102" s="248">
        <v>0.0</v>
      </c>
      <c r="W102" s="248">
        <v>0.0</v>
      </c>
      <c r="X102" s="248">
        <v>0.0</v>
      </c>
      <c r="Y102" s="248">
        <v>0.0</v>
      </c>
      <c r="Z102" s="248">
        <v>0.0</v>
      </c>
      <c r="AA102" s="248">
        <v>0.0</v>
      </c>
      <c r="AB102" s="248">
        <v>0.0</v>
      </c>
      <c r="AC102" s="328"/>
      <c r="AD102" s="328"/>
      <c r="AE102" s="328"/>
      <c r="AF102" s="328"/>
      <c r="AG102" s="328"/>
      <c r="AH102" s="328"/>
      <c r="AI102" s="328"/>
      <c r="AJ102" s="328"/>
      <c r="AK102" s="328"/>
      <c r="AL102" s="328"/>
      <c r="AM102" s="328"/>
      <c r="AN102" s="328"/>
      <c r="AO102" s="328"/>
      <c r="AP102" s="328"/>
      <c r="AQ102" s="328"/>
      <c r="AR102" s="328"/>
      <c r="AS102" s="328"/>
      <c r="AT102" s="328"/>
      <c r="AU102" s="328"/>
    </row>
    <row r="103" ht="15.75" customHeight="1">
      <c r="A103" s="248">
        <v>10.0</v>
      </c>
      <c r="B103" s="248">
        <v>950.0</v>
      </c>
      <c r="C103" s="380"/>
      <c r="D103" s="380"/>
      <c r="E103" s="380"/>
      <c r="F103" s="380"/>
      <c r="G103" s="380"/>
      <c r="H103" s="377">
        <v>0.0</v>
      </c>
      <c r="I103" s="248">
        <v>0.0</v>
      </c>
      <c r="J103" s="248">
        <v>0.0</v>
      </c>
      <c r="K103" s="248">
        <v>0.0</v>
      </c>
      <c r="L103" s="248">
        <v>0.0</v>
      </c>
      <c r="M103" s="248">
        <v>0.0</v>
      </c>
      <c r="N103" s="248">
        <v>0.0</v>
      </c>
      <c r="O103" s="248">
        <v>0.0</v>
      </c>
      <c r="P103" s="248">
        <v>0.0</v>
      </c>
      <c r="Q103" s="248">
        <v>0.0</v>
      </c>
      <c r="R103" s="248">
        <v>0.0</v>
      </c>
      <c r="S103" s="248">
        <v>0.0</v>
      </c>
      <c r="T103" s="248">
        <v>10.0</v>
      </c>
      <c r="U103" s="248">
        <v>0.0</v>
      </c>
      <c r="V103" s="248">
        <v>0.0</v>
      </c>
      <c r="W103" s="248">
        <v>0.0</v>
      </c>
      <c r="X103" s="248">
        <v>0.0</v>
      </c>
      <c r="Y103" s="248">
        <v>0.0</v>
      </c>
      <c r="Z103" s="248">
        <v>0.0</v>
      </c>
      <c r="AA103" s="248">
        <v>0.0</v>
      </c>
      <c r="AB103" s="248">
        <v>0.0</v>
      </c>
      <c r="AC103" s="328"/>
      <c r="AD103" s="328"/>
      <c r="AE103" s="328"/>
      <c r="AF103" s="328"/>
      <c r="AG103" s="328"/>
      <c r="AH103" s="328"/>
      <c r="AI103" s="328"/>
      <c r="AJ103" s="328"/>
      <c r="AK103" s="328"/>
      <c r="AL103" s="328"/>
      <c r="AM103" s="328"/>
      <c r="AN103" s="328"/>
      <c r="AO103" s="328"/>
      <c r="AP103" s="328"/>
      <c r="AQ103" s="328"/>
      <c r="AR103" s="328"/>
      <c r="AS103" s="328"/>
      <c r="AT103" s="328"/>
      <c r="AU103" s="328"/>
    </row>
    <row r="104" ht="15.75" customHeight="1">
      <c r="A104" s="248">
        <v>11.0</v>
      </c>
      <c r="B104" s="248">
        <v>990.0</v>
      </c>
      <c r="C104" s="328"/>
      <c r="D104" s="328"/>
      <c r="E104" s="328"/>
      <c r="F104" s="328"/>
      <c r="G104" s="328"/>
      <c r="H104" s="377">
        <v>0.0</v>
      </c>
      <c r="I104" s="248">
        <v>0.0</v>
      </c>
      <c r="J104" s="248">
        <v>0.0</v>
      </c>
      <c r="K104" s="248">
        <v>0.0</v>
      </c>
      <c r="L104" s="248">
        <v>0.0</v>
      </c>
      <c r="M104" s="248">
        <v>0.0</v>
      </c>
      <c r="N104" s="248">
        <v>0.0</v>
      </c>
      <c r="O104" s="248">
        <v>0.0</v>
      </c>
      <c r="P104" s="248">
        <v>0.0</v>
      </c>
      <c r="Q104" s="248">
        <v>0.0</v>
      </c>
      <c r="R104" s="248">
        <v>0.0</v>
      </c>
      <c r="S104" s="248">
        <v>15.0</v>
      </c>
      <c r="T104" s="248">
        <v>0.0</v>
      </c>
      <c r="U104" s="248">
        <v>0.0</v>
      </c>
      <c r="V104" s="248">
        <v>0.0</v>
      </c>
      <c r="W104" s="248">
        <v>0.0</v>
      </c>
      <c r="X104" s="248">
        <v>0.0</v>
      </c>
      <c r="Y104" s="248">
        <v>0.0</v>
      </c>
      <c r="Z104" s="248">
        <v>0.0</v>
      </c>
      <c r="AA104" s="248">
        <v>0.0</v>
      </c>
      <c r="AB104" s="248">
        <v>0.0</v>
      </c>
      <c r="AC104" s="328"/>
      <c r="AD104" s="328"/>
      <c r="AE104" s="328"/>
      <c r="AF104" s="328"/>
      <c r="AG104" s="328"/>
      <c r="AH104" s="328"/>
      <c r="AI104" s="328"/>
      <c r="AJ104" s="328"/>
      <c r="AK104" s="328"/>
      <c r="AL104" s="328"/>
      <c r="AM104" s="328"/>
      <c r="AN104" s="328"/>
      <c r="AO104" s="328"/>
      <c r="AP104" s="328"/>
      <c r="AQ104" s="328"/>
      <c r="AR104" s="328"/>
      <c r="AS104" s="328"/>
      <c r="AT104" s="328"/>
      <c r="AU104" s="328"/>
    </row>
    <row r="105" ht="15.75" customHeight="1">
      <c r="A105" s="248">
        <v>12.0</v>
      </c>
      <c r="B105" s="248">
        <v>830.0</v>
      </c>
      <c r="C105" s="380"/>
      <c r="D105" s="380"/>
      <c r="E105" s="380"/>
      <c r="F105" s="380"/>
      <c r="G105" s="380"/>
      <c r="H105" s="377">
        <v>50.0</v>
      </c>
      <c r="I105" s="248">
        <v>0.0</v>
      </c>
      <c r="J105" s="248">
        <v>0.0</v>
      </c>
      <c r="K105" s="248">
        <v>0.0</v>
      </c>
      <c r="L105" s="248">
        <v>0.0</v>
      </c>
      <c r="M105" s="248">
        <v>0.0</v>
      </c>
      <c r="N105" s="248">
        <v>0.0</v>
      </c>
      <c r="O105" s="248">
        <v>0.0</v>
      </c>
      <c r="P105" s="248">
        <v>0.0</v>
      </c>
      <c r="Q105" s="248">
        <v>0.0</v>
      </c>
      <c r="R105" s="248">
        <v>0.0</v>
      </c>
      <c r="S105" s="248">
        <v>0.0</v>
      </c>
      <c r="T105" s="248">
        <v>0.0</v>
      </c>
      <c r="U105" s="248">
        <v>0.0</v>
      </c>
      <c r="V105" s="248">
        <v>0.0</v>
      </c>
      <c r="W105" s="248">
        <v>0.0</v>
      </c>
      <c r="X105" s="248">
        <v>0.0</v>
      </c>
      <c r="Y105" s="248">
        <v>0.0</v>
      </c>
      <c r="Z105" s="248">
        <v>0.0</v>
      </c>
      <c r="AA105" s="248">
        <v>0.0</v>
      </c>
      <c r="AB105" s="248">
        <v>0.0</v>
      </c>
      <c r="AC105" s="328"/>
      <c r="AD105" s="328"/>
      <c r="AE105" s="328"/>
      <c r="AF105" s="328"/>
      <c r="AG105" s="328"/>
      <c r="AH105" s="328"/>
      <c r="AI105" s="328"/>
      <c r="AJ105" s="328"/>
      <c r="AK105" s="328"/>
      <c r="AL105" s="328"/>
      <c r="AM105" s="328"/>
      <c r="AN105" s="328"/>
      <c r="AO105" s="328"/>
      <c r="AP105" s="328"/>
      <c r="AQ105" s="328"/>
      <c r="AR105" s="328"/>
      <c r="AS105" s="328"/>
      <c r="AT105" s="328"/>
      <c r="AU105" s="328"/>
    </row>
    <row r="106" ht="15.75" customHeight="1">
      <c r="A106" s="248">
        <v>13.0</v>
      </c>
      <c r="B106" s="248">
        <v>940.0</v>
      </c>
      <c r="C106" s="328"/>
      <c r="D106" s="328"/>
      <c r="E106" s="328"/>
      <c r="F106" s="328"/>
      <c r="G106" s="328"/>
      <c r="H106" s="377">
        <v>0.0</v>
      </c>
      <c r="I106" s="248">
        <v>0.0</v>
      </c>
      <c r="J106" s="248">
        <v>0.0</v>
      </c>
      <c r="K106" s="248">
        <v>0.0</v>
      </c>
      <c r="L106" s="248">
        <v>0.0</v>
      </c>
      <c r="M106" s="248">
        <v>0.0</v>
      </c>
      <c r="N106" s="248">
        <v>0.0</v>
      </c>
      <c r="O106" s="248">
        <v>0.0</v>
      </c>
      <c r="P106" s="248">
        <v>0.0</v>
      </c>
      <c r="Q106" s="248">
        <v>0.0</v>
      </c>
      <c r="R106" s="248">
        <v>10.0</v>
      </c>
      <c r="S106" s="248">
        <v>0.0</v>
      </c>
      <c r="T106" s="248">
        <v>0.0</v>
      </c>
      <c r="U106" s="248">
        <v>0.0</v>
      </c>
      <c r="V106" s="248">
        <v>0.0</v>
      </c>
      <c r="W106" s="248">
        <v>0.0</v>
      </c>
      <c r="X106" s="248">
        <v>0.0</v>
      </c>
      <c r="Y106" s="248">
        <v>0.0</v>
      </c>
      <c r="Z106" s="248">
        <v>0.0</v>
      </c>
      <c r="AA106" s="248">
        <v>0.0</v>
      </c>
      <c r="AB106" s="248">
        <v>0.0</v>
      </c>
      <c r="AC106" s="328"/>
      <c r="AD106" s="328"/>
      <c r="AE106" s="328"/>
      <c r="AF106" s="328"/>
      <c r="AG106" s="328"/>
      <c r="AH106" s="328"/>
      <c r="AI106" s="328"/>
      <c r="AJ106" s="328"/>
      <c r="AK106" s="328"/>
      <c r="AL106" s="328"/>
      <c r="AM106" s="328"/>
      <c r="AN106" s="328"/>
      <c r="AO106" s="328"/>
      <c r="AP106" s="328"/>
      <c r="AQ106" s="328"/>
      <c r="AR106" s="328"/>
      <c r="AS106" s="328"/>
      <c r="AT106" s="328"/>
      <c r="AU106" s="328"/>
    </row>
    <row r="107" ht="15.75" customHeight="1">
      <c r="A107" s="248">
        <v>14.0</v>
      </c>
      <c r="B107" s="248">
        <v>1040.0</v>
      </c>
      <c r="C107" s="380"/>
      <c r="D107" s="380"/>
      <c r="E107" s="380"/>
      <c r="F107" s="380"/>
      <c r="G107" s="380"/>
      <c r="H107" s="377">
        <v>0.0</v>
      </c>
      <c r="I107" s="248">
        <v>0.0</v>
      </c>
      <c r="J107" s="248">
        <v>0.0</v>
      </c>
      <c r="K107" s="248">
        <v>0.0</v>
      </c>
      <c r="L107" s="248">
        <v>0.0</v>
      </c>
      <c r="M107" s="248">
        <v>0.0</v>
      </c>
      <c r="N107" s="248">
        <v>0.0</v>
      </c>
      <c r="O107" s="248">
        <v>0.0</v>
      </c>
      <c r="P107" s="248">
        <v>0.0</v>
      </c>
      <c r="Q107" s="248">
        <v>0.0</v>
      </c>
      <c r="R107" s="248">
        <v>0.0</v>
      </c>
      <c r="S107" s="248">
        <v>0.0</v>
      </c>
      <c r="T107" s="248">
        <v>15.0</v>
      </c>
      <c r="U107" s="248">
        <v>0.0</v>
      </c>
      <c r="V107" s="248">
        <v>0.0</v>
      </c>
      <c r="W107" s="248">
        <v>0.0</v>
      </c>
      <c r="X107" s="248">
        <v>0.0</v>
      </c>
      <c r="Y107" s="248">
        <v>0.0</v>
      </c>
      <c r="Z107" s="248">
        <v>0.0</v>
      </c>
      <c r="AA107" s="248">
        <v>0.0</v>
      </c>
      <c r="AB107" s="248">
        <v>0.0</v>
      </c>
      <c r="AC107" s="328"/>
      <c r="AD107" s="328"/>
      <c r="AE107" s="328"/>
      <c r="AF107" s="328"/>
      <c r="AG107" s="328"/>
      <c r="AH107" s="328"/>
      <c r="AI107" s="328"/>
      <c r="AJ107" s="328"/>
      <c r="AK107" s="328"/>
      <c r="AL107" s="328"/>
      <c r="AM107" s="328"/>
      <c r="AN107" s="328"/>
      <c r="AO107" s="328"/>
      <c r="AP107" s="328"/>
      <c r="AQ107" s="328"/>
      <c r="AR107" s="328"/>
      <c r="AS107" s="328"/>
      <c r="AT107" s="328"/>
      <c r="AU107" s="328"/>
    </row>
    <row r="108" ht="15.75" customHeight="1">
      <c r="A108" s="248">
        <v>15.0</v>
      </c>
      <c r="B108" s="248">
        <v>1030.0</v>
      </c>
      <c r="C108" s="328"/>
      <c r="D108" s="328"/>
      <c r="E108" s="328"/>
      <c r="F108" s="328"/>
      <c r="G108" s="328"/>
      <c r="H108" s="377">
        <v>0.0</v>
      </c>
      <c r="I108" s="248">
        <v>0.0</v>
      </c>
      <c r="J108" s="248">
        <v>0.0</v>
      </c>
      <c r="K108" s="248">
        <v>0.0</v>
      </c>
      <c r="L108" s="248">
        <v>0.0</v>
      </c>
      <c r="M108" s="248">
        <v>0.0</v>
      </c>
      <c r="N108" s="248">
        <v>0.0</v>
      </c>
      <c r="O108" s="248">
        <v>0.0</v>
      </c>
      <c r="P108" s="248">
        <v>0.0</v>
      </c>
      <c r="Q108" s="248">
        <v>60.0</v>
      </c>
      <c r="R108" s="248">
        <v>0.0</v>
      </c>
      <c r="S108" s="248">
        <v>0.0</v>
      </c>
      <c r="T108" s="248">
        <v>0.0</v>
      </c>
      <c r="U108" s="248">
        <v>0.0</v>
      </c>
      <c r="V108" s="248">
        <v>0.0</v>
      </c>
      <c r="W108" s="248">
        <v>0.0</v>
      </c>
      <c r="X108" s="248">
        <v>0.0</v>
      </c>
      <c r="Y108" s="248">
        <v>0.0</v>
      </c>
      <c r="Z108" s="248">
        <v>0.0</v>
      </c>
      <c r="AA108" s="248">
        <v>0.0</v>
      </c>
      <c r="AB108" s="248">
        <v>0.0</v>
      </c>
      <c r="AC108" s="328"/>
      <c r="AD108" s="328"/>
      <c r="AE108" s="328"/>
      <c r="AF108" s="328"/>
      <c r="AG108" s="328"/>
      <c r="AH108" s="328"/>
      <c r="AI108" s="328"/>
      <c r="AJ108" s="328"/>
      <c r="AK108" s="328"/>
      <c r="AL108" s="328"/>
      <c r="AM108" s="328"/>
      <c r="AN108" s="328"/>
      <c r="AO108" s="328"/>
      <c r="AP108" s="328"/>
      <c r="AQ108" s="328"/>
      <c r="AR108" s="328"/>
      <c r="AS108" s="328"/>
      <c r="AT108" s="328"/>
      <c r="AU108" s="328"/>
    </row>
    <row r="109" ht="15.75" customHeight="1">
      <c r="A109" s="328"/>
      <c r="B109" s="328"/>
      <c r="C109" s="328"/>
      <c r="D109" s="328"/>
      <c r="E109" s="328"/>
      <c r="F109" s="328"/>
      <c r="G109" s="328"/>
      <c r="H109" s="328"/>
      <c r="I109" s="328"/>
      <c r="J109" s="328"/>
      <c r="K109" s="328"/>
      <c r="L109" s="328"/>
      <c r="M109" s="328"/>
      <c r="N109" s="328"/>
      <c r="O109" s="328"/>
      <c r="P109" s="328"/>
      <c r="Q109" s="328"/>
      <c r="R109" s="328"/>
      <c r="S109" s="328"/>
      <c r="T109" s="328"/>
      <c r="U109" s="328"/>
      <c r="V109" s="328"/>
      <c r="W109" s="328"/>
      <c r="X109" s="328"/>
      <c r="Y109" s="328"/>
      <c r="Z109" s="328"/>
      <c r="AA109" s="328"/>
      <c r="AB109" s="328"/>
      <c r="AC109" s="328"/>
      <c r="AD109" s="328"/>
      <c r="AE109" s="328"/>
      <c r="AF109" s="328"/>
      <c r="AG109" s="328"/>
      <c r="AH109" s="328"/>
      <c r="AI109" s="328"/>
      <c r="AJ109" s="328"/>
      <c r="AK109" s="328"/>
      <c r="AL109" s="328"/>
      <c r="AM109" s="328"/>
      <c r="AN109" s="328"/>
      <c r="AO109" s="328"/>
      <c r="AP109" s="328"/>
      <c r="AQ109" s="328"/>
      <c r="AR109" s="328"/>
      <c r="AS109" s="328"/>
      <c r="AT109" s="328"/>
      <c r="AU109" s="328"/>
    </row>
    <row r="110" ht="15.75" customHeight="1">
      <c r="A110" s="328"/>
      <c r="B110" s="328"/>
      <c r="C110" s="328"/>
      <c r="D110" s="328"/>
      <c r="E110" s="328"/>
      <c r="F110" s="328"/>
      <c r="G110" s="328"/>
      <c r="H110" s="328"/>
      <c r="I110" s="328"/>
      <c r="J110" s="328"/>
      <c r="K110" s="328"/>
      <c r="L110" s="328"/>
      <c r="M110" s="328"/>
      <c r="N110" s="328"/>
      <c r="O110" s="328"/>
      <c r="P110" s="328"/>
      <c r="Q110" s="328"/>
      <c r="R110" s="328"/>
      <c r="S110" s="328"/>
      <c r="T110" s="328"/>
      <c r="U110" s="328"/>
      <c r="V110" s="378">
        <v>1.0</v>
      </c>
      <c r="W110" s="378">
        <v>2.0</v>
      </c>
      <c r="X110" s="328"/>
      <c r="Y110" s="328"/>
      <c r="Z110" s="328"/>
      <c r="AA110" s="328"/>
      <c r="AB110" s="328"/>
      <c r="AC110" s="328"/>
      <c r="AD110" s="328"/>
      <c r="AE110" s="328"/>
      <c r="AF110" s="328"/>
      <c r="AG110" s="328"/>
      <c r="AH110" s="328"/>
      <c r="AI110" s="328"/>
      <c r="AJ110" s="328"/>
      <c r="AK110" s="328"/>
      <c r="AL110" s="328"/>
      <c r="AM110" s="328"/>
      <c r="AN110" s="328"/>
      <c r="AO110" s="328"/>
      <c r="AP110" s="328"/>
      <c r="AQ110" s="328"/>
      <c r="AR110" s="328"/>
      <c r="AS110" s="328"/>
      <c r="AT110" s="328"/>
      <c r="AU110" s="328"/>
    </row>
    <row r="111" ht="15.75" customHeight="1">
      <c r="A111" s="328"/>
      <c r="B111" s="328"/>
      <c r="C111" s="328"/>
      <c r="D111" s="328"/>
      <c r="E111" s="328"/>
      <c r="F111" s="328"/>
      <c r="G111" s="328"/>
      <c r="H111" s="328"/>
      <c r="I111" s="328"/>
      <c r="J111" s="328"/>
      <c r="K111" s="328"/>
      <c r="L111" s="328"/>
      <c r="M111" s="328"/>
      <c r="N111" s="328"/>
      <c r="O111" s="328"/>
      <c r="P111" s="328"/>
      <c r="Q111" s="328"/>
      <c r="R111" s="328"/>
      <c r="S111" s="328"/>
      <c r="T111" s="328"/>
      <c r="U111" s="328"/>
      <c r="V111" s="328"/>
      <c r="W111" s="328"/>
      <c r="X111" s="328"/>
      <c r="Y111" s="328"/>
      <c r="Z111" s="328"/>
      <c r="AA111" s="328"/>
      <c r="AB111" s="328"/>
      <c r="AC111" s="328"/>
      <c r="AD111" s="328"/>
      <c r="AE111" s="328"/>
      <c r="AF111" s="328"/>
      <c r="AG111" s="328"/>
      <c r="AH111" s="328"/>
      <c r="AI111" s="328"/>
      <c r="AJ111" s="328"/>
      <c r="AK111" s="328"/>
      <c r="AL111" s="328"/>
      <c r="AM111" s="328"/>
      <c r="AN111" s="328"/>
      <c r="AO111" s="328"/>
      <c r="AP111" s="328"/>
      <c r="AQ111" s="328"/>
      <c r="AR111" s="328"/>
      <c r="AS111" s="328"/>
      <c r="AT111" s="328"/>
      <c r="AU111" s="328"/>
    </row>
    <row r="112" ht="15.75" customHeight="1">
      <c r="A112" s="328"/>
      <c r="B112" s="328"/>
      <c r="C112" s="328"/>
      <c r="D112" s="328"/>
      <c r="E112" s="328"/>
      <c r="F112" s="328"/>
      <c r="G112" s="328"/>
      <c r="H112" s="328"/>
      <c r="I112" s="328"/>
      <c r="J112" s="328"/>
      <c r="K112" s="328"/>
      <c r="L112" s="328"/>
      <c r="M112" s="328"/>
      <c r="N112" s="328"/>
      <c r="O112" s="328"/>
      <c r="P112" s="328"/>
      <c r="Q112" s="328"/>
      <c r="R112" s="328"/>
      <c r="S112" s="328"/>
      <c r="T112" s="328"/>
      <c r="U112" s="328"/>
      <c r="V112" s="328"/>
      <c r="W112" s="328"/>
      <c r="X112" s="328"/>
      <c r="Y112" s="328"/>
      <c r="Z112" s="328"/>
      <c r="AA112" s="328"/>
      <c r="AB112" s="328"/>
      <c r="AC112" s="328"/>
      <c r="AD112" s="328"/>
      <c r="AE112" s="328"/>
      <c r="AF112" s="328"/>
      <c r="AG112" s="328"/>
      <c r="AH112" s="328"/>
      <c r="AI112" s="328"/>
      <c r="AJ112" s="328"/>
      <c r="AK112" s="328"/>
      <c r="AL112" s="328"/>
      <c r="AM112" s="328"/>
      <c r="AN112" s="328"/>
      <c r="AO112" s="328"/>
      <c r="AP112" s="328"/>
      <c r="AQ112" s="328"/>
      <c r="AR112" s="328"/>
      <c r="AS112" s="328"/>
      <c r="AT112" s="328"/>
      <c r="AU112" s="328"/>
    </row>
    <row r="113" ht="15.75" customHeight="1">
      <c r="A113" s="328"/>
      <c r="B113" s="328"/>
      <c r="C113" s="328"/>
      <c r="D113" s="328"/>
      <c r="E113" s="328"/>
      <c r="F113" s="328"/>
      <c r="G113" s="328"/>
      <c r="H113" s="328"/>
      <c r="I113" s="328"/>
      <c r="J113" s="328"/>
      <c r="K113" s="328"/>
      <c r="L113" s="328"/>
      <c r="M113" s="328"/>
      <c r="N113" s="328"/>
      <c r="O113" s="328"/>
      <c r="P113" s="328"/>
      <c r="Q113" s="328"/>
      <c r="R113" s="328"/>
      <c r="S113" s="328"/>
      <c r="T113" s="328"/>
      <c r="U113" s="328"/>
      <c r="V113" s="328"/>
      <c r="W113" s="328"/>
      <c r="X113" s="328"/>
      <c r="Y113" s="328"/>
      <c r="Z113" s="328"/>
      <c r="AA113" s="328"/>
      <c r="AB113" s="328"/>
      <c r="AC113" s="328"/>
      <c r="AD113" s="328"/>
      <c r="AE113" s="328"/>
      <c r="AF113" s="328"/>
      <c r="AG113" s="328"/>
      <c r="AH113" s="328"/>
      <c r="AI113" s="328"/>
      <c r="AJ113" s="328"/>
      <c r="AK113" s="328"/>
      <c r="AL113" s="328"/>
      <c r="AM113" s="328"/>
      <c r="AN113" s="328"/>
      <c r="AO113" s="328"/>
      <c r="AP113" s="328"/>
      <c r="AQ113" s="328"/>
      <c r="AR113" s="328"/>
      <c r="AS113" s="328"/>
      <c r="AT113" s="328"/>
      <c r="AU113" s="328"/>
    </row>
    <row r="114" ht="15.75" customHeight="1">
      <c r="A114" s="328"/>
      <c r="B114" s="328"/>
      <c r="C114" s="328"/>
      <c r="D114" s="328"/>
      <c r="E114" s="328"/>
      <c r="F114" s="328"/>
      <c r="G114" s="328"/>
      <c r="H114" s="328"/>
      <c r="I114" s="328"/>
      <c r="J114" s="328"/>
      <c r="K114" s="328"/>
      <c r="L114" s="328"/>
      <c r="M114" s="328"/>
      <c r="N114" s="328"/>
      <c r="O114" s="328"/>
      <c r="P114" s="328"/>
      <c r="Q114" s="328"/>
      <c r="R114" s="328"/>
      <c r="S114" s="328"/>
      <c r="T114" s="328"/>
      <c r="U114" s="328"/>
      <c r="V114" s="328"/>
      <c r="W114" s="328"/>
      <c r="X114" s="328"/>
      <c r="Y114" s="328"/>
      <c r="Z114" s="328"/>
      <c r="AA114" s="328"/>
      <c r="AB114" s="328"/>
      <c r="AC114" s="328"/>
      <c r="AD114" s="328"/>
      <c r="AE114" s="328"/>
      <c r="AF114" s="328"/>
      <c r="AG114" s="328"/>
      <c r="AH114" s="328"/>
      <c r="AI114" s="328"/>
      <c r="AJ114" s="328"/>
      <c r="AK114" s="328"/>
      <c r="AL114" s="328"/>
      <c r="AM114" s="328"/>
      <c r="AN114" s="328"/>
      <c r="AO114" s="328"/>
      <c r="AP114" s="328"/>
      <c r="AQ114" s="328"/>
      <c r="AR114" s="328"/>
      <c r="AS114" s="328"/>
      <c r="AT114" s="328"/>
      <c r="AU114" s="328"/>
    </row>
    <row r="115" ht="15.75" customHeight="1">
      <c r="A115" s="328"/>
      <c r="B115" s="328"/>
      <c r="C115" s="328"/>
      <c r="D115" s="328"/>
      <c r="E115" s="328"/>
      <c r="F115" s="328"/>
      <c r="G115" s="328"/>
      <c r="H115" s="328"/>
      <c r="I115" s="328"/>
      <c r="J115" s="328"/>
      <c r="K115" s="328"/>
      <c r="L115" s="328"/>
      <c r="M115" s="328"/>
      <c r="N115" s="328"/>
      <c r="O115" s="328"/>
      <c r="P115" s="328"/>
      <c r="Q115" s="328"/>
      <c r="R115" s="328"/>
      <c r="S115" s="328"/>
      <c r="T115" s="328"/>
      <c r="U115" s="328"/>
      <c r="V115" s="328"/>
      <c r="W115" s="328"/>
      <c r="X115" s="328"/>
      <c r="Y115" s="328"/>
      <c r="Z115" s="328"/>
      <c r="AA115" s="328"/>
      <c r="AB115" s="328"/>
      <c r="AC115" s="328"/>
      <c r="AD115" s="328"/>
      <c r="AE115" s="328"/>
      <c r="AF115" s="328"/>
      <c r="AG115" s="328"/>
      <c r="AH115" s="328"/>
      <c r="AI115" s="328"/>
      <c r="AJ115" s="328"/>
      <c r="AK115" s="328"/>
      <c r="AL115" s="328"/>
      <c r="AM115" s="328"/>
      <c r="AN115" s="328"/>
      <c r="AO115" s="328"/>
      <c r="AP115" s="328"/>
      <c r="AQ115" s="328"/>
      <c r="AR115" s="328"/>
      <c r="AS115" s="328"/>
      <c r="AT115" s="328"/>
      <c r="AU115" s="328"/>
    </row>
    <row r="116" ht="15.75" customHeight="1">
      <c r="A116" s="328"/>
      <c r="B116" s="328"/>
      <c r="C116" s="328"/>
      <c r="D116" s="328"/>
      <c r="E116" s="328"/>
      <c r="F116" s="328"/>
      <c r="G116" s="328"/>
      <c r="H116" s="328"/>
      <c r="I116" s="328"/>
      <c r="J116" s="328"/>
      <c r="K116" s="328"/>
      <c r="L116" s="328"/>
      <c r="M116" s="328"/>
      <c r="N116" s="328"/>
      <c r="O116" s="328"/>
      <c r="P116" s="328"/>
      <c r="Q116" s="328"/>
      <c r="R116" s="328"/>
      <c r="S116" s="328"/>
      <c r="T116" s="328"/>
      <c r="U116" s="328"/>
      <c r="V116" s="328"/>
      <c r="W116" s="328"/>
      <c r="X116" s="328"/>
      <c r="Y116" s="328"/>
      <c r="Z116" s="328"/>
      <c r="AA116" s="328"/>
      <c r="AB116" s="328"/>
      <c r="AC116" s="328"/>
      <c r="AD116" s="328"/>
      <c r="AE116" s="328"/>
      <c r="AF116" s="328"/>
      <c r="AG116" s="328"/>
      <c r="AH116" s="328"/>
      <c r="AI116" s="328"/>
      <c r="AJ116" s="328"/>
      <c r="AK116" s="328"/>
      <c r="AL116" s="328"/>
      <c r="AM116" s="328"/>
      <c r="AN116" s="328"/>
      <c r="AO116" s="328"/>
      <c r="AP116" s="328"/>
      <c r="AQ116" s="328"/>
      <c r="AR116" s="328"/>
      <c r="AS116" s="328"/>
      <c r="AT116" s="328"/>
      <c r="AU116" s="328"/>
    </row>
    <row r="117" ht="15.75" customHeight="1">
      <c r="A117" s="328"/>
      <c r="B117" s="328"/>
      <c r="C117" s="328"/>
      <c r="D117" s="328"/>
      <c r="E117" s="328"/>
      <c r="F117" s="328"/>
      <c r="G117" s="328"/>
      <c r="H117" s="328"/>
      <c r="I117" s="328"/>
      <c r="J117" s="328"/>
      <c r="K117" s="328"/>
      <c r="L117" s="328"/>
      <c r="M117" s="328"/>
      <c r="N117" s="328"/>
      <c r="O117" s="328"/>
      <c r="P117" s="328"/>
      <c r="Q117" s="328"/>
      <c r="R117" s="328"/>
      <c r="S117" s="328"/>
      <c r="T117" s="328"/>
      <c r="U117" s="328"/>
      <c r="V117" s="328"/>
      <c r="W117" s="328"/>
      <c r="X117" s="328"/>
      <c r="Y117" s="328"/>
      <c r="Z117" s="328"/>
      <c r="AA117" s="328"/>
      <c r="AB117" s="328"/>
      <c r="AC117" s="328"/>
      <c r="AD117" s="328"/>
      <c r="AE117" s="328"/>
      <c r="AF117" s="328"/>
      <c r="AG117" s="328"/>
      <c r="AH117" s="328"/>
      <c r="AI117" s="328"/>
      <c r="AJ117" s="328"/>
      <c r="AK117" s="328"/>
      <c r="AL117" s="328"/>
      <c r="AM117" s="328"/>
      <c r="AN117" s="328"/>
      <c r="AO117" s="328"/>
      <c r="AP117" s="328"/>
      <c r="AQ117" s="328"/>
      <c r="AR117" s="328"/>
      <c r="AS117" s="328"/>
      <c r="AT117" s="328"/>
      <c r="AU117" s="328"/>
    </row>
    <row r="118" ht="15.75" customHeight="1">
      <c r="A118" s="328"/>
      <c r="B118" s="328"/>
      <c r="C118" s="328"/>
      <c r="D118" s="328"/>
      <c r="E118" s="328"/>
      <c r="F118" s="328"/>
      <c r="G118" s="328"/>
      <c r="H118" s="328"/>
      <c r="I118" s="328"/>
      <c r="J118" s="328"/>
      <c r="K118" s="328"/>
      <c r="L118" s="328"/>
      <c r="M118" s="328"/>
      <c r="N118" s="328"/>
      <c r="O118" s="328"/>
      <c r="P118" s="328"/>
      <c r="Q118" s="328"/>
      <c r="R118" s="328"/>
      <c r="S118" s="328"/>
      <c r="T118" s="328"/>
      <c r="U118" s="328"/>
      <c r="V118" s="328"/>
      <c r="W118" s="328"/>
      <c r="X118" s="328"/>
      <c r="Y118" s="328"/>
      <c r="Z118" s="328"/>
      <c r="AA118" s="328"/>
      <c r="AB118" s="328"/>
      <c r="AC118" s="328"/>
      <c r="AD118" s="328"/>
      <c r="AE118" s="328"/>
      <c r="AF118" s="328"/>
      <c r="AG118" s="328"/>
      <c r="AH118" s="328"/>
      <c r="AI118" s="328"/>
      <c r="AJ118" s="328"/>
      <c r="AK118" s="328"/>
      <c r="AL118" s="328"/>
      <c r="AM118" s="328"/>
      <c r="AN118" s="328"/>
      <c r="AO118" s="328"/>
      <c r="AP118" s="328"/>
      <c r="AQ118" s="328"/>
      <c r="AR118" s="328"/>
      <c r="AS118" s="328"/>
      <c r="AT118" s="328"/>
      <c r="AU118" s="328"/>
    </row>
    <row r="119" ht="15.75" customHeight="1">
      <c r="A119" s="328"/>
      <c r="B119" s="328"/>
      <c r="C119" s="328"/>
      <c r="D119" s="328"/>
      <c r="E119" s="328"/>
      <c r="F119" s="328"/>
      <c r="G119" s="328"/>
      <c r="H119" s="328"/>
      <c r="I119" s="328"/>
      <c r="J119" s="328"/>
      <c r="K119" s="328"/>
      <c r="L119" s="328"/>
      <c r="M119" s="328"/>
      <c r="N119" s="328"/>
      <c r="O119" s="328"/>
      <c r="P119" s="328"/>
      <c r="Q119" s="328"/>
      <c r="R119" s="328"/>
      <c r="S119" s="328"/>
      <c r="T119" s="328"/>
      <c r="U119" s="328"/>
      <c r="V119" s="328"/>
      <c r="W119" s="328"/>
      <c r="X119" s="328"/>
      <c r="Y119" s="328"/>
      <c r="Z119" s="328"/>
      <c r="AA119" s="328"/>
      <c r="AB119" s="328"/>
      <c r="AC119" s="328"/>
      <c r="AD119" s="328"/>
      <c r="AE119" s="328"/>
      <c r="AF119" s="328"/>
      <c r="AG119" s="328"/>
      <c r="AH119" s="328"/>
      <c r="AI119" s="328"/>
      <c r="AJ119" s="328"/>
      <c r="AK119" s="328"/>
      <c r="AL119" s="328"/>
      <c r="AM119" s="328"/>
      <c r="AN119" s="328"/>
      <c r="AO119" s="328"/>
      <c r="AP119" s="328"/>
      <c r="AQ119" s="328"/>
      <c r="AR119" s="328"/>
      <c r="AS119" s="328"/>
      <c r="AT119" s="328"/>
      <c r="AU119" s="328"/>
    </row>
    <row r="120" ht="15.75" customHeight="1">
      <c r="A120" s="328"/>
      <c r="B120" s="328"/>
      <c r="C120" s="328"/>
      <c r="D120" s="328"/>
      <c r="E120" s="328"/>
      <c r="F120" s="328"/>
      <c r="G120" s="328"/>
      <c r="H120" s="328"/>
      <c r="I120" s="328"/>
      <c r="J120" s="328"/>
      <c r="K120" s="328"/>
      <c r="L120" s="328"/>
      <c r="M120" s="328"/>
      <c r="N120" s="328"/>
      <c r="O120" s="328"/>
      <c r="P120" s="328"/>
      <c r="Q120" s="328"/>
      <c r="R120" s="328"/>
      <c r="S120" s="328"/>
      <c r="T120" s="328"/>
      <c r="U120" s="328"/>
      <c r="V120" s="328"/>
      <c r="W120" s="328"/>
      <c r="X120" s="328"/>
      <c r="Y120" s="328"/>
      <c r="Z120" s="328"/>
      <c r="AA120" s="328"/>
      <c r="AB120" s="328"/>
      <c r="AC120" s="328"/>
      <c r="AD120" s="328"/>
      <c r="AE120" s="328"/>
      <c r="AF120" s="328"/>
      <c r="AG120" s="328"/>
      <c r="AH120" s="328"/>
      <c r="AI120" s="328"/>
      <c r="AJ120" s="328"/>
      <c r="AK120" s="328"/>
      <c r="AL120" s="328"/>
      <c r="AM120" s="328"/>
      <c r="AN120" s="328"/>
      <c r="AO120" s="328"/>
      <c r="AP120" s="328"/>
      <c r="AQ120" s="328"/>
      <c r="AR120" s="328"/>
      <c r="AS120" s="328"/>
      <c r="AT120" s="328"/>
      <c r="AU120" s="328"/>
    </row>
    <row r="121" ht="15.75" customHeight="1">
      <c r="A121" s="328"/>
      <c r="B121" s="328"/>
      <c r="C121" s="328"/>
      <c r="D121" s="328"/>
      <c r="E121" s="328"/>
      <c r="F121" s="328"/>
      <c r="G121" s="328"/>
      <c r="H121" s="328"/>
      <c r="I121" s="328"/>
      <c r="J121" s="328"/>
      <c r="K121" s="328"/>
      <c r="L121" s="328"/>
      <c r="M121" s="328"/>
      <c r="N121" s="328"/>
      <c r="O121" s="328"/>
      <c r="P121" s="328"/>
      <c r="Q121" s="328"/>
      <c r="R121" s="328"/>
      <c r="S121" s="328"/>
      <c r="T121" s="328"/>
      <c r="U121" s="328"/>
      <c r="V121" s="328"/>
      <c r="W121" s="328"/>
      <c r="X121" s="328"/>
      <c r="Y121" s="328"/>
      <c r="Z121" s="328"/>
      <c r="AA121" s="328"/>
      <c r="AB121" s="328"/>
      <c r="AC121" s="328"/>
      <c r="AD121" s="328"/>
      <c r="AE121" s="328"/>
      <c r="AF121" s="328"/>
      <c r="AG121" s="328"/>
      <c r="AH121" s="328"/>
      <c r="AI121" s="328"/>
      <c r="AJ121" s="328"/>
      <c r="AK121" s="328"/>
      <c r="AL121" s="328"/>
      <c r="AM121" s="328"/>
      <c r="AN121" s="328"/>
      <c r="AO121" s="328"/>
      <c r="AP121" s="328"/>
      <c r="AQ121" s="328"/>
      <c r="AR121" s="328"/>
      <c r="AS121" s="328"/>
      <c r="AT121" s="328"/>
      <c r="AU121" s="328"/>
    </row>
    <row r="122" ht="15.75" customHeight="1">
      <c r="A122" s="328"/>
      <c r="B122" s="328"/>
      <c r="C122" s="328"/>
      <c r="D122" s="328"/>
      <c r="E122" s="328"/>
      <c r="F122" s="328"/>
      <c r="G122" s="328"/>
      <c r="H122" s="328"/>
      <c r="I122" s="328"/>
      <c r="J122" s="328"/>
      <c r="K122" s="328"/>
      <c r="L122" s="328"/>
      <c r="M122" s="328"/>
      <c r="N122" s="328"/>
      <c r="O122" s="328"/>
      <c r="P122" s="328"/>
      <c r="Q122" s="328"/>
      <c r="R122" s="328"/>
      <c r="S122" s="328"/>
      <c r="T122" s="328"/>
      <c r="U122" s="328"/>
      <c r="V122" s="328"/>
      <c r="W122" s="328"/>
      <c r="X122" s="328"/>
      <c r="Y122" s="328"/>
      <c r="Z122" s="328"/>
      <c r="AA122" s="328"/>
      <c r="AB122" s="328"/>
      <c r="AC122" s="328"/>
      <c r="AD122" s="328"/>
      <c r="AE122" s="328"/>
      <c r="AF122" s="328"/>
      <c r="AG122" s="328"/>
      <c r="AH122" s="328"/>
      <c r="AI122" s="328"/>
      <c r="AJ122" s="328"/>
      <c r="AK122" s="328"/>
      <c r="AL122" s="328"/>
      <c r="AM122" s="328"/>
      <c r="AN122" s="328"/>
      <c r="AO122" s="328"/>
      <c r="AP122" s="328"/>
      <c r="AQ122" s="328"/>
      <c r="AR122" s="328"/>
      <c r="AS122" s="328"/>
      <c r="AT122" s="328"/>
      <c r="AU122" s="328"/>
    </row>
    <row r="123" ht="15.75" customHeight="1">
      <c r="A123" s="328"/>
      <c r="B123" s="328"/>
      <c r="C123" s="328"/>
      <c r="D123" s="328"/>
      <c r="E123" s="328"/>
      <c r="F123" s="328"/>
      <c r="G123" s="328"/>
      <c r="H123" s="328"/>
      <c r="I123" s="328"/>
      <c r="J123" s="328"/>
      <c r="K123" s="328"/>
      <c r="L123" s="328"/>
      <c r="M123" s="328"/>
      <c r="N123" s="328"/>
      <c r="O123" s="328"/>
      <c r="P123" s="328"/>
      <c r="Q123" s="328"/>
      <c r="R123" s="328"/>
      <c r="S123" s="328"/>
      <c r="T123" s="328"/>
      <c r="U123" s="328"/>
      <c r="V123" s="328"/>
      <c r="W123" s="328"/>
      <c r="X123" s="328"/>
      <c r="Y123" s="328"/>
      <c r="Z123" s="328"/>
      <c r="AA123" s="328"/>
      <c r="AB123" s="328"/>
      <c r="AC123" s="328"/>
      <c r="AD123" s="328"/>
      <c r="AE123" s="328"/>
      <c r="AF123" s="328"/>
      <c r="AG123" s="328"/>
      <c r="AH123" s="328"/>
      <c r="AI123" s="328"/>
      <c r="AJ123" s="328"/>
      <c r="AK123" s="328"/>
      <c r="AL123" s="328"/>
      <c r="AM123" s="328"/>
      <c r="AN123" s="328"/>
      <c r="AO123" s="328"/>
      <c r="AP123" s="328"/>
      <c r="AQ123" s="328"/>
      <c r="AR123" s="328"/>
      <c r="AS123" s="328"/>
      <c r="AT123" s="328"/>
      <c r="AU123" s="328"/>
    </row>
    <row r="124" ht="15.75" customHeight="1">
      <c r="A124" s="328"/>
      <c r="B124" s="328"/>
      <c r="C124" s="328"/>
      <c r="D124" s="328"/>
      <c r="E124" s="328"/>
      <c r="F124" s="328"/>
      <c r="G124" s="328"/>
      <c r="H124" s="328"/>
      <c r="I124" s="328"/>
      <c r="J124" s="328"/>
      <c r="K124" s="328"/>
      <c r="L124" s="328"/>
      <c r="M124" s="328"/>
      <c r="N124" s="328"/>
      <c r="O124" s="328"/>
      <c r="P124" s="328"/>
      <c r="Q124" s="328"/>
      <c r="R124" s="328"/>
      <c r="S124" s="328"/>
      <c r="T124" s="328"/>
      <c r="U124" s="328"/>
      <c r="V124" s="328"/>
      <c r="W124" s="328"/>
      <c r="X124" s="328"/>
      <c r="Y124" s="328"/>
      <c r="Z124" s="328"/>
      <c r="AA124" s="328"/>
      <c r="AB124" s="328"/>
      <c r="AC124" s="328"/>
      <c r="AD124" s="328"/>
      <c r="AE124" s="328"/>
      <c r="AF124" s="328"/>
      <c r="AG124" s="328"/>
      <c r="AH124" s="328"/>
      <c r="AI124" s="328"/>
      <c r="AJ124" s="328"/>
      <c r="AK124" s="328"/>
      <c r="AL124" s="328"/>
      <c r="AM124" s="328"/>
      <c r="AN124" s="328"/>
      <c r="AO124" s="328"/>
      <c r="AP124" s="328"/>
      <c r="AQ124" s="328"/>
      <c r="AR124" s="328"/>
      <c r="AS124" s="328"/>
      <c r="AT124" s="328"/>
      <c r="AU124" s="328"/>
    </row>
    <row r="125" ht="15.75" customHeight="1">
      <c r="A125" s="328"/>
      <c r="B125" s="328"/>
      <c r="C125" s="328"/>
      <c r="D125" s="328"/>
      <c r="E125" s="328"/>
      <c r="F125" s="328"/>
      <c r="G125" s="328"/>
      <c r="H125" s="328"/>
      <c r="I125" s="328"/>
      <c r="J125" s="328"/>
      <c r="K125" s="328"/>
      <c r="L125" s="328"/>
      <c r="M125" s="328"/>
      <c r="N125" s="328"/>
      <c r="O125" s="328"/>
      <c r="P125" s="328"/>
      <c r="Q125" s="328"/>
      <c r="R125" s="328"/>
      <c r="S125" s="328"/>
      <c r="T125" s="328"/>
      <c r="U125" s="328"/>
      <c r="V125" s="328"/>
      <c r="W125" s="328"/>
      <c r="X125" s="328"/>
      <c r="Y125" s="328"/>
      <c r="Z125" s="328"/>
      <c r="AA125" s="328"/>
      <c r="AB125" s="328"/>
      <c r="AC125" s="328"/>
      <c r="AD125" s="328"/>
      <c r="AE125" s="328"/>
      <c r="AF125" s="328"/>
      <c r="AG125" s="328"/>
      <c r="AH125" s="328"/>
      <c r="AI125" s="328"/>
      <c r="AJ125" s="328"/>
      <c r="AK125" s="328"/>
      <c r="AL125" s="328"/>
      <c r="AM125" s="328"/>
      <c r="AN125" s="328"/>
      <c r="AO125" s="328"/>
      <c r="AP125" s="328"/>
      <c r="AQ125" s="328"/>
      <c r="AR125" s="328"/>
      <c r="AS125" s="328"/>
      <c r="AT125" s="328"/>
      <c r="AU125" s="328"/>
    </row>
    <row r="126" ht="15.75" customHeight="1">
      <c r="A126" s="328"/>
      <c r="B126" s="328"/>
      <c r="C126" s="328"/>
      <c r="D126" s="328"/>
      <c r="E126" s="328"/>
      <c r="F126" s="328"/>
      <c r="G126" s="328"/>
      <c r="H126" s="328"/>
      <c r="I126" s="328"/>
      <c r="J126" s="328"/>
      <c r="K126" s="328"/>
      <c r="L126" s="328"/>
      <c r="M126" s="328"/>
      <c r="N126" s="328"/>
      <c r="O126" s="328"/>
      <c r="P126" s="328"/>
      <c r="Q126" s="328"/>
      <c r="R126" s="328"/>
      <c r="S126" s="328"/>
      <c r="T126" s="328"/>
      <c r="U126" s="328"/>
      <c r="V126" s="328"/>
      <c r="W126" s="328"/>
      <c r="X126" s="328"/>
      <c r="Y126" s="328"/>
      <c r="Z126" s="328"/>
      <c r="AA126" s="328"/>
      <c r="AB126" s="328"/>
      <c r="AC126" s="328"/>
      <c r="AD126" s="328"/>
      <c r="AE126" s="328"/>
      <c r="AF126" s="328"/>
      <c r="AG126" s="328"/>
      <c r="AH126" s="328"/>
      <c r="AI126" s="328"/>
      <c r="AJ126" s="328"/>
      <c r="AK126" s="328"/>
      <c r="AL126" s="328"/>
      <c r="AM126" s="328"/>
      <c r="AN126" s="328"/>
      <c r="AO126" s="328"/>
      <c r="AP126" s="328"/>
      <c r="AQ126" s="328"/>
      <c r="AR126" s="328"/>
      <c r="AS126" s="328"/>
      <c r="AT126" s="328"/>
      <c r="AU126" s="328"/>
    </row>
    <row r="127" ht="15.75" customHeight="1">
      <c r="A127" s="328"/>
      <c r="B127" s="328"/>
      <c r="C127" s="328"/>
      <c r="D127" s="328"/>
      <c r="E127" s="328"/>
      <c r="F127" s="328"/>
      <c r="G127" s="328"/>
      <c r="H127" s="328"/>
      <c r="I127" s="328"/>
      <c r="J127" s="328"/>
      <c r="K127" s="328"/>
      <c r="L127" s="328"/>
      <c r="M127" s="328"/>
      <c r="N127" s="328"/>
      <c r="O127" s="328"/>
      <c r="P127" s="328"/>
      <c r="Q127" s="328"/>
      <c r="R127" s="328"/>
      <c r="S127" s="328"/>
      <c r="T127" s="328"/>
      <c r="U127" s="328"/>
      <c r="V127" s="328"/>
      <c r="W127" s="328"/>
      <c r="X127" s="328"/>
      <c r="Y127" s="328"/>
      <c r="Z127" s="328"/>
      <c r="AA127" s="328"/>
      <c r="AB127" s="328"/>
      <c r="AC127" s="328"/>
      <c r="AD127" s="328"/>
      <c r="AE127" s="328"/>
      <c r="AF127" s="328"/>
      <c r="AG127" s="328"/>
      <c r="AH127" s="328"/>
      <c r="AI127" s="328"/>
      <c r="AJ127" s="328"/>
      <c r="AK127" s="328"/>
      <c r="AL127" s="328"/>
      <c r="AM127" s="328"/>
      <c r="AN127" s="328"/>
      <c r="AO127" s="328"/>
      <c r="AP127" s="328"/>
      <c r="AQ127" s="328"/>
      <c r="AR127" s="328"/>
      <c r="AS127" s="328"/>
      <c r="AT127" s="328"/>
      <c r="AU127" s="328"/>
    </row>
    <row r="128" ht="15.75" customHeight="1">
      <c r="A128" s="328"/>
      <c r="B128" s="328"/>
      <c r="C128" s="328"/>
      <c r="D128" s="328"/>
      <c r="E128" s="328"/>
      <c r="F128" s="328"/>
      <c r="G128" s="328"/>
      <c r="H128" s="328"/>
      <c r="I128" s="328"/>
      <c r="J128" s="328"/>
      <c r="K128" s="328"/>
      <c r="L128" s="328"/>
      <c r="M128" s="328"/>
      <c r="N128" s="328"/>
      <c r="O128" s="328"/>
      <c r="P128" s="328"/>
      <c r="Q128" s="328"/>
      <c r="R128" s="328"/>
      <c r="S128" s="328"/>
      <c r="T128" s="328"/>
      <c r="U128" s="328"/>
      <c r="V128" s="328"/>
      <c r="W128" s="328"/>
      <c r="X128" s="328"/>
      <c r="Y128" s="328"/>
      <c r="Z128" s="328"/>
      <c r="AA128" s="328"/>
      <c r="AB128" s="328"/>
      <c r="AC128" s="328"/>
      <c r="AD128" s="328"/>
      <c r="AE128" s="328"/>
      <c r="AF128" s="328"/>
      <c r="AG128" s="328"/>
      <c r="AH128" s="328"/>
      <c r="AI128" s="328"/>
      <c r="AJ128" s="328"/>
      <c r="AK128" s="328"/>
      <c r="AL128" s="328"/>
      <c r="AM128" s="328"/>
      <c r="AN128" s="328"/>
      <c r="AO128" s="328"/>
      <c r="AP128" s="328"/>
      <c r="AQ128" s="328"/>
      <c r="AR128" s="328"/>
      <c r="AS128" s="328"/>
      <c r="AT128" s="328"/>
      <c r="AU128" s="328"/>
    </row>
    <row r="129" ht="15.75" customHeight="1">
      <c r="A129" s="328"/>
      <c r="B129" s="328"/>
      <c r="C129" s="328"/>
      <c r="D129" s="328"/>
      <c r="E129" s="328"/>
      <c r="F129" s="328"/>
      <c r="G129" s="328"/>
      <c r="H129" s="328"/>
      <c r="I129" s="328"/>
      <c r="J129" s="328"/>
      <c r="K129" s="328"/>
      <c r="L129" s="328"/>
      <c r="M129" s="328"/>
      <c r="N129" s="328"/>
      <c r="O129" s="328"/>
      <c r="P129" s="328"/>
      <c r="Q129" s="328"/>
      <c r="R129" s="328"/>
      <c r="S129" s="328"/>
      <c r="T129" s="328"/>
      <c r="U129" s="328"/>
      <c r="V129" s="328"/>
      <c r="W129" s="328"/>
      <c r="X129" s="328"/>
      <c r="Y129" s="328"/>
      <c r="Z129" s="328"/>
      <c r="AA129" s="328"/>
      <c r="AB129" s="328"/>
      <c r="AC129" s="328"/>
      <c r="AD129" s="328"/>
      <c r="AE129" s="328"/>
      <c r="AF129" s="328"/>
      <c r="AG129" s="328"/>
      <c r="AH129" s="328"/>
      <c r="AI129" s="328"/>
      <c r="AJ129" s="328"/>
      <c r="AK129" s="328"/>
      <c r="AL129" s="328"/>
      <c r="AM129" s="328"/>
      <c r="AN129" s="328"/>
      <c r="AO129" s="328"/>
      <c r="AP129" s="328"/>
      <c r="AQ129" s="328"/>
      <c r="AR129" s="328"/>
      <c r="AS129" s="328"/>
      <c r="AT129" s="328"/>
      <c r="AU129" s="328"/>
    </row>
    <row r="130" ht="15.75" customHeight="1">
      <c r="A130" s="328"/>
      <c r="B130" s="328"/>
      <c r="C130" s="328"/>
      <c r="D130" s="328"/>
      <c r="E130" s="328"/>
      <c r="F130" s="328"/>
      <c r="G130" s="328"/>
      <c r="H130" s="328"/>
      <c r="I130" s="328"/>
      <c r="J130" s="328"/>
      <c r="K130" s="328"/>
      <c r="L130" s="328"/>
      <c r="M130" s="328"/>
      <c r="N130" s="328"/>
      <c r="O130" s="328"/>
      <c r="P130" s="328"/>
      <c r="Q130" s="328"/>
      <c r="R130" s="328"/>
      <c r="S130" s="328"/>
      <c r="T130" s="328"/>
      <c r="U130" s="328"/>
      <c r="V130" s="328"/>
      <c r="W130" s="328"/>
      <c r="X130" s="328"/>
      <c r="Y130" s="328"/>
      <c r="Z130" s="328"/>
      <c r="AA130" s="328"/>
      <c r="AB130" s="328"/>
      <c r="AC130" s="328"/>
      <c r="AD130" s="328"/>
      <c r="AE130" s="328"/>
      <c r="AF130" s="328"/>
      <c r="AG130" s="328"/>
      <c r="AH130" s="328"/>
      <c r="AI130" s="328"/>
      <c r="AJ130" s="328"/>
      <c r="AK130" s="328"/>
      <c r="AL130" s="328"/>
      <c r="AM130" s="328"/>
      <c r="AN130" s="328"/>
      <c r="AO130" s="328"/>
      <c r="AP130" s="328"/>
      <c r="AQ130" s="328"/>
      <c r="AR130" s="328"/>
      <c r="AS130" s="328"/>
      <c r="AT130" s="328"/>
      <c r="AU130" s="328"/>
    </row>
    <row r="131" ht="15.75" customHeight="1">
      <c r="A131" s="328"/>
      <c r="B131" s="328"/>
      <c r="C131" s="328"/>
      <c r="D131" s="328"/>
      <c r="E131" s="328"/>
      <c r="F131" s="328"/>
      <c r="G131" s="328"/>
      <c r="H131" s="328"/>
      <c r="I131" s="328"/>
      <c r="J131" s="328"/>
      <c r="K131" s="328"/>
      <c r="L131" s="328"/>
      <c r="M131" s="328"/>
      <c r="N131" s="328"/>
      <c r="O131" s="328"/>
      <c r="P131" s="328"/>
      <c r="Q131" s="328"/>
      <c r="R131" s="328"/>
      <c r="S131" s="328"/>
      <c r="T131" s="328"/>
      <c r="U131" s="328"/>
      <c r="V131" s="328"/>
      <c r="W131" s="328"/>
      <c r="X131" s="328"/>
      <c r="Y131" s="328"/>
      <c r="Z131" s="328"/>
      <c r="AA131" s="328"/>
      <c r="AB131" s="328"/>
      <c r="AC131" s="328"/>
      <c r="AD131" s="328"/>
      <c r="AE131" s="328"/>
      <c r="AF131" s="328"/>
      <c r="AG131" s="328"/>
      <c r="AH131" s="328"/>
      <c r="AI131" s="328"/>
      <c r="AJ131" s="328"/>
      <c r="AK131" s="328"/>
      <c r="AL131" s="328"/>
      <c r="AM131" s="328"/>
      <c r="AN131" s="328"/>
      <c r="AO131" s="328"/>
      <c r="AP131" s="328"/>
      <c r="AQ131" s="328"/>
      <c r="AR131" s="328"/>
      <c r="AS131" s="328"/>
      <c r="AT131" s="328"/>
      <c r="AU131" s="328"/>
    </row>
    <row r="132" ht="15.75" customHeight="1">
      <c r="A132" s="328"/>
      <c r="B132" s="328"/>
      <c r="C132" s="328"/>
      <c r="D132" s="328"/>
      <c r="E132" s="328"/>
      <c r="F132" s="328"/>
      <c r="G132" s="328"/>
      <c r="H132" s="328"/>
      <c r="I132" s="328"/>
      <c r="J132" s="328"/>
      <c r="K132" s="328"/>
      <c r="L132" s="328"/>
      <c r="M132" s="328"/>
      <c r="N132" s="328"/>
      <c r="O132" s="328"/>
      <c r="P132" s="328"/>
      <c r="Q132" s="328"/>
      <c r="R132" s="328"/>
      <c r="S132" s="328"/>
      <c r="T132" s="328"/>
      <c r="U132" s="328"/>
      <c r="V132" s="328"/>
      <c r="W132" s="328"/>
      <c r="X132" s="328"/>
      <c r="Y132" s="328"/>
      <c r="Z132" s="328"/>
      <c r="AA132" s="328"/>
      <c r="AB132" s="328"/>
      <c r="AC132" s="328"/>
      <c r="AD132" s="328"/>
      <c r="AE132" s="328"/>
      <c r="AF132" s="328"/>
      <c r="AG132" s="328"/>
      <c r="AH132" s="328"/>
      <c r="AI132" s="328"/>
      <c r="AJ132" s="328"/>
      <c r="AK132" s="328"/>
      <c r="AL132" s="328"/>
      <c r="AM132" s="328"/>
      <c r="AN132" s="328"/>
      <c r="AO132" s="328"/>
      <c r="AP132" s="328"/>
      <c r="AQ132" s="328"/>
      <c r="AR132" s="328"/>
      <c r="AS132" s="328"/>
      <c r="AT132" s="328"/>
      <c r="AU132" s="328"/>
    </row>
    <row r="133" ht="15.75" customHeight="1">
      <c r="A133" s="328"/>
      <c r="B133" s="328"/>
      <c r="C133" s="328"/>
      <c r="D133" s="328"/>
      <c r="E133" s="328"/>
      <c r="F133" s="328"/>
      <c r="G133" s="328"/>
      <c r="H133" s="328"/>
      <c r="I133" s="328"/>
      <c r="J133" s="328"/>
      <c r="K133" s="328"/>
      <c r="L133" s="328"/>
      <c r="M133" s="328"/>
      <c r="N133" s="328"/>
      <c r="O133" s="328"/>
      <c r="P133" s="328"/>
      <c r="Q133" s="328"/>
      <c r="R133" s="328"/>
      <c r="S133" s="328"/>
      <c r="T133" s="328"/>
      <c r="U133" s="328"/>
      <c r="V133" s="328"/>
      <c r="W133" s="328"/>
      <c r="X133" s="328"/>
      <c r="Y133" s="328"/>
      <c r="Z133" s="328"/>
      <c r="AA133" s="328"/>
      <c r="AB133" s="328"/>
      <c r="AC133" s="328"/>
      <c r="AD133" s="328"/>
      <c r="AE133" s="328"/>
      <c r="AF133" s="328"/>
      <c r="AG133" s="328"/>
      <c r="AH133" s="328"/>
      <c r="AI133" s="328"/>
      <c r="AJ133" s="328"/>
      <c r="AK133" s="328"/>
      <c r="AL133" s="328"/>
      <c r="AM133" s="328"/>
      <c r="AN133" s="328"/>
      <c r="AO133" s="328"/>
      <c r="AP133" s="328"/>
      <c r="AQ133" s="328"/>
      <c r="AR133" s="328"/>
      <c r="AS133" s="328"/>
      <c r="AT133" s="328"/>
      <c r="AU133" s="328"/>
    </row>
    <row r="134" ht="15.75" customHeight="1">
      <c r="A134" s="328"/>
      <c r="B134" s="328"/>
      <c r="C134" s="328"/>
      <c r="D134" s="328"/>
      <c r="E134" s="328"/>
      <c r="F134" s="328"/>
      <c r="G134" s="328"/>
      <c r="H134" s="328"/>
      <c r="I134" s="328"/>
      <c r="J134" s="328"/>
      <c r="K134" s="328"/>
      <c r="L134" s="328"/>
      <c r="M134" s="328"/>
      <c r="N134" s="328"/>
      <c r="O134" s="328"/>
      <c r="P134" s="328"/>
      <c r="Q134" s="328"/>
      <c r="R134" s="328"/>
      <c r="S134" s="328"/>
      <c r="T134" s="328"/>
      <c r="U134" s="328"/>
      <c r="V134" s="328"/>
      <c r="W134" s="328"/>
      <c r="X134" s="328"/>
      <c r="Y134" s="328"/>
      <c r="Z134" s="328"/>
      <c r="AA134" s="328"/>
      <c r="AB134" s="328"/>
      <c r="AC134" s="328"/>
      <c r="AD134" s="328"/>
      <c r="AE134" s="328"/>
      <c r="AF134" s="328"/>
      <c r="AG134" s="328"/>
      <c r="AH134" s="328"/>
      <c r="AI134" s="328"/>
      <c r="AJ134" s="328"/>
      <c r="AK134" s="328"/>
      <c r="AL134" s="328"/>
      <c r="AM134" s="328"/>
      <c r="AN134" s="328"/>
      <c r="AO134" s="328"/>
      <c r="AP134" s="328"/>
      <c r="AQ134" s="328"/>
      <c r="AR134" s="328"/>
      <c r="AS134" s="328"/>
      <c r="AT134" s="328"/>
      <c r="AU134" s="328"/>
    </row>
    <row r="135" ht="15.75" customHeight="1">
      <c r="A135" s="328"/>
      <c r="B135" s="328"/>
      <c r="C135" s="328"/>
      <c r="D135" s="328"/>
      <c r="E135" s="328"/>
      <c r="F135" s="328"/>
      <c r="G135" s="328"/>
      <c r="H135" s="328"/>
      <c r="I135" s="328"/>
      <c r="J135" s="328"/>
      <c r="K135" s="328"/>
      <c r="L135" s="328"/>
      <c r="M135" s="328"/>
      <c r="N135" s="328"/>
      <c r="O135" s="328"/>
      <c r="P135" s="328"/>
      <c r="Q135" s="328"/>
      <c r="R135" s="328"/>
      <c r="S135" s="328"/>
      <c r="T135" s="328"/>
      <c r="U135" s="328"/>
      <c r="V135" s="328"/>
      <c r="W135" s="328"/>
      <c r="X135" s="328"/>
      <c r="Y135" s="328"/>
      <c r="Z135" s="328"/>
      <c r="AA135" s="328"/>
      <c r="AB135" s="328"/>
      <c r="AC135" s="328"/>
      <c r="AD135" s="328"/>
      <c r="AE135" s="328"/>
      <c r="AF135" s="328"/>
      <c r="AG135" s="328"/>
      <c r="AH135" s="328"/>
      <c r="AI135" s="328"/>
      <c r="AJ135" s="328"/>
      <c r="AK135" s="328"/>
      <c r="AL135" s="328"/>
      <c r="AM135" s="328"/>
      <c r="AN135" s="328"/>
      <c r="AO135" s="328"/>
      <c r="AP135" s="328"/>
      <c r="AQ135" s="328"/>
      <c r="AR135" s="328"/>
      <c r="AS135" s="328"/>
      <c r="AT135" s="328"/>
      <c r="AU135" s="328"/>
    </row>
    <row r="136" ht="15.75" customHeight="1">
      <c r="A136" s="328"/>
      <c r="B136" s="328"/>
      <c r="C136" s="328"/>
      <c r="D136" s="328"/>
      <c r="E136" s="328"/>
      <c r="F136" s="328"/>
      <c r="G136" s="328"/>
      <c r="H136" s="328"/>
      <c r="I136" s="328"/>
      <c r="J136" s="328"/>
      <c r="K136" s="328"/>
      <c r="L136" s="328"/>
      <c r="M136" s="328"/>
      <c r="N136" s="328"/>
      <c r="O136" s="328"/>
      <c r="P136" s="328"/>
      <c r="Q136" s="328"/>
      <c r="R136" s="328"/>
      <c r="S136" s="328"/>
      <c r="T136" s="328"/>
      <c r="U136" s="328"/>
      <c r="V136" s="328"/>
      <c r="W136" s="328"/>
      <c r="X136" s="328"/>
      <c r="Y136" s="328"/>
      <c r="Z136" s="328"/>
      <c r="AA136" s="328"/>
      <c r="AB136" s="328"/>
      <c r="AC136" s="328"/>
      <c r="AD136" s="328"/>
      <c r="AE136" s="328"/>
      <c r="AF136" s="328"/>
      <c r="AG136" s="328"/>
      <c r="AH136" s="328"/>
      <c r="AI136" s="328"/>
      <c r="AJ136" s="328"/>
      <c r="AK136" s="328"/>
      <c r="AL136" s="328"/>
      <c r="AM136" s="328"/>
      <c r="AN136" s="328"/>
      <c r="AO136" s="328"/>
      <c r="AP136" s="328"/>
      <c r="AQ136" s="328"/>
      <c r="AR136" s="328"/>
      <c r="AS136" s="328"/>
      <c r="AT136" s="328"/>
      <c r="AU136" s="328"/>
    </row>
    <row r="137" ht="15.75" customHeight="1">
      <c r="A137" s="328"/>
      <c r="B137" s="328"/>
      <c r="C137" s="328"/>
      <c r="D137" s="328"/>
      <c r="E137" s="328"/>
      <c r="F137" s="328"/>
      <c r="G137" s="328"/>
      <c r="H137" s="328"/>
      <c r="I137" s="328"/>
      <c r="J137" s="328"/>
      <c r="K137" s="328"/>
      <c r="L137" s="328"/>
      <c r="M137" s="328"/>
      <c r="N137" s="328"/>
      <c r="O137" s="328"/>
      <c r="P137" s="328"/>
      <c r="Q137" s="328"/>
      <c r="R137" s="328"/>
      <c r="S137" s="328"/>
      <c r="T137" s="328"/>
      <c r="U137" s="328"/>
      <c r="V137" s="328"/>
      <c r="W137" s="328"/>
      <c r="X137" s="328"/>
      <c r="Y137" s="328"/>
      <c r="Z137" s="328"/>
      <c r="AA137" s="328"/>
      <c r="AB137" s="328"/>
      <c r="AC137" s="328"/>
      <c r="AD137" s="328"/>
      <c r="AE137" s="328"/>
      <c r="AF137" s="328"/>
      <c r="AG137" s="328"/>
      <c r="AH137" s="328"/>
      <c r="AI137" s="328"/>
      <c r="AJ137" s="328"/>
      <c r="AK137" s="328"/>
      <c r="AL137" s="328"/>
      <c r="AM137" s="328"/>
      <c r="AN137" s="328"/>
      <c r="AO137" s="328"/>
      <c r="AP137" s="328"/>
      <c r="AQ137" s="328"/>
      <c r="AR137" s="328"/>
      <c r="AS137" s="328"/>
      <c r="AT137" s="328"/>
      <c r="AU137" s="328"/>
    </row>
    <row r="138" ht="15.75" customHeight="1">
      <c r="A138" s="328"/>
      <c r="B138" s="328"/>
      <c r="C138" s="328"/>
      <c r="D138" s="328"/>
      <c r="E138" s="328"/>
      <c r="F138" s="328"/>
      <c r="G138" s="328"/>
      <c r="H138" s="328"/>
      <c r="I138" s="328"/>
      <c r="J138" s="328"/>
      <c r="K138" s="328"/>
      <c r="L138" s="328"/>
      <c r="M138" s="328"/>
      <c r="N138" s="328"/>
      <c r="O138" s="328"/>
      <c r="P138" s="328"/>
      <c r="Q138" s="328"/>
      <c r="R138" s="328"/>
      <c r="S138" s="328"/>
      <c r="T138" s="328"/>
      <c r="U138" s="328"/>
      <c r="V138" s="328"/>
      <c r="W138" s="328"/>
      <c r="X138" s="328"/>
      <c r="Y138" s="328"/>
      <c r="Z138" s="328"/>
      <c r="AA138" s="328"/>
      <c r="AB138" s="328"/>
      <c r="AC138" s="328"/>
      <c r="AD138" s="328"/>
      <c r="AE138" s="328"/>
      <c r="AF138" s="328"/>
      <c r="AG138" s="328"/>
      <c r="AH138" s="328"/>
      <c r="AI138" s="328"/>
      <c r="AJ138" s="328"/>
      <c r="AK138" s="328"/>
      <c r="AL138" s="328"/>
      <c r="AM138" s="328"/>
      <c r="AN138" s="328"/>
      <c r="AO138" s="328"/>
      <c r="AP138" s="328"/>
      <c r="AQ138" s="328"/>
      <c r="AR138" s="328"/>
      <c r="AS138" s="328"/>
      <c r="AT138" s="328"/>
      <c r="AU138" s="328"/>
    </row>
    <row r="139" ht="15.75" customHeight="1">
      <c r="A139" s="328"/>
      <c r="B139" s="328"/>
      <c r="C139" s="328"/>
      <c r="D139" s="328"/>
      <c r="E139" s="328"/>
      <c r="F139" s="328"/>
      <c r="G139" s="328"/>
      <c r="H139" s="328"/>
      <c r="I139" s="328"/>
      <c r="J139" s="328"/>
      <c r="K139" s="328"/>
      <c r="L139" s="328"/>
      <c r="M139" s="328"/>
      <c r="N139" s="328"/>
      <c r="O139" s="328"/>
      <c r="P139" s="328"/>
      <c r="Q139" s="328"/>
      <c r="R139" s="328"/>
      <c r="S139" s="328"/>
      <c r="T139" s="328"/>
      <c r="U139" s="328"/>
      <c r="V139" s="328"/>
      <c r="W139" s="328"/>
      <c r="X139" s="328"/>
      <c r="Y139" s="328"/>
      <c r="Z139" s="328"/>
      <c r="AA139" s="328"/>
      <c r="AB139" s="328"/>
      <c r="AC139" s="328"/>
      <c r="AD139" s="328"/>
      <c r="AE139" s="328"/>
      <c r="AF139" s="328"/>
      <c r="AG139" s="328"/>
      <c r="AH139" s="328"/>
      <c r="AI139" s="328"/>
      <c r="AJ139" s="328"/>
      <c r="AK139" s="328"/>
      <c r="AL139" s="328"/>
      <c r="AM139" s="328"/>
      <c r="AN139" s="328"/>
      <c r="AO139" s="328"/>
      <c r="AP139" s="328"/>
      <c r="AQ139" s="328"/>
      <c r="AR139" s="328"/>
      <c r="AS139" s="328"/>
      <c r="AT139" s="328"/>
      <c r="AU139" s="328"/>
    </row>
    <row r="140" ht="15.75" customHeight="1">
      <c r="A140" s="328"/>
      <c r="B140" s="328"/>
      <c r="C140" s="328"/>
      <c r="D140" s="328"/>
      <c r="E140" s="328"/>
      <c r="F140" s="328"/>
      <c r="G140" s="328"/>
      <c r="H140" s="328"/>
      <c r="I140" s="328"/>
      <c r="J140" s="328"/>
      <c r="K140" s="328"/>
      <c r="L140" s="328"/>
      <c r="M140" s="328"/>
      <c r="N140" s="328"/>
      <c r="O140" s="328"/>
      <c r="P140" s="328"/>
      <c r="Q140" s="328"/>
      <c r="R140" s="328"/>
      <c r="S140" s="328"/>
      <c r="T140" s="328"/>
      <c r="U140" s="328"/>
      <c r="V140" s="328"/>
      <c r="W140" s="328"/>
      <c r="X140" s="328"/>
      <c r="Y140" s="328"/>
      <c r="Z140" s="328"/>
      <c r="AA140" s="328"/>
      <c r="AB140" s="328"/>
      <c r="AC140" s="328"/>
      <c r="AD140" s="328"/>
      <c r="AE140" s="328"/>
      <c r="AF140" s="328"/>
      <c r="AG140" s="328"/>
      <c r="AH140" s="328"/>
      <c r="AI140" s="328"/>
      <c r="AJ140" s="328"/>
      <c r="AK140" s="328"/>
      <c r="AL140" s="328"/>
      <c r="AM140" s="328"/>
      <c r="AN140" s="328"/>
      <c r="AO140" s="328"/>
      <c r="AP140" s="328"/>
      <c r="AQ140" s="328"/>
      <c r="AR140" s="328"/>
      <c r="AS140" s="328"/>
      <c r="AT140" s="328"/>
      <c r="AU140" s="328"/>
    </row>
    <row r="141" ht="15.75" customHeight="1">
      <c r="A141" s="328"/>
      <c r="B141" s="328"/>
      <c r="C141" s="328"/>
      <c r="D141" s="328"/>
      <c r="E141" s="328"/>
      <c r="F141" s="328"/>
      <c r="G141" s="328"/>
      <c r="H141" s="328"/>
      <c r="I141" s="328"/>
      <c r="J141" s="328"/>
      <c r="K141" s="328"/>
      <c r="L141" s="328"/>
      <c r="M141" s="328"/>
      <c r="N141" s="328"/>
      <c r="O141" s="328"/>
      <c r="P141" s="328"/>
      <c r="Q141" s="328"/>
      <c r="R141" s="328"/>
      <c r="S141" s="328"/>
      <c r="T141" s="328"/>
      <c r="U141" s="328"/>
      <c r="V141" s="328"/>
      <c r="W141" s="328"/>
      <c r="X141" s="328"/>
      <c r="Y141" s="328"/>
      <c r="Z141" s="328"/>
      <c r="AA141" s="328"/>
      <c r="AB141" s="328"/>
      <c r="AC141" s="328"/>
      <c r="AD141" s="328"/>
      <c r="AE141" s="328"/>
      <c r="AF141" s="328"/>
      <c r="AG141" s="328"/>
      <c r="AH141" s="328"/>
      <c r="AI141" s="328"/>
      <c r="AJ141" s="328"/>
      <c r="AK141" s="328"/>
      <c r="AL141" s="328"/>
      <c r="AM141" s="328"/>
      <c r="AN141" s="328"/>
      <c r="AO141" s="328"/>
      <c r="AP141" s="328"/>
      <c r="AQ141" s="328"/>
      <c r="AR141" s="328"/>
      <c r="AS141" s="328"/>
      <c r="AT141" s="328"/>
      <c r="AU141" s="328"/>
    </row>
    <row r="142" ht="15.75" customHeight="1">
      <c r="A142" s="328"/>
      <c r="B142" s="328"/>
      <c r="C142" s="328"/>
      <c r="D142" s="328"/>
      <c r="E142" s="328"/>
      <c r="F142" s="328"/>
      <c r="G142" s="328"/>
      <c r="H142" s="328"/>
      <c r="I142" s="328"/>
      <c r="J142" s="328"/>
      <c r="K142" s="328"/>
      <c r="L142" s="328"/>
      <c r="M142" s="328"/>
      <c r="N142" s="328"/>
      <c r="O142" s="328"/>
      <c r="P142" s="328"/>
      <c r="Q142" s="328"/>
      <c r="R142" s="328"/>
      <c r="S142" s="328"/>
      <c r="T142" s="328"/>
      <c r="U142" s="328"/>
      <c r="V142" s="328"/>
      <c r="W142" s="328"/>
      <c r="X142" s="328"/>
      <c r="Y142" s="328"/>
      <c r="Z142" s="328"/>
      <c r="AA142" s="328"/>
      <c r="AB142" s="328"/>
      <c r="AC142" s="328"/>
      <c r="AD142" s="328"/>
      <c r="AE142" s="328"/>
      <c r="AF142" s="328"/>
      <c r="AG142" s="328"/>
      <c r="AH142" s="328"/>
      <c r="AI142" s="328"/>
      <c r="AJ142" s="328"/>
      <c r="AK142" s="328"/>
      <c r="AL142" s="328"/>
      <c r="AM142" s="328"/>
      <c r="AN142" s="328"/>
      <c r="AO142" s="328"/>
      <c r="AP142" s="328"/>
      <c r="AQ142" s="328"/>
      <c r="AR142" s="328"/>
      <c r="AS142" s="328"/>
      <c r="AT142" s="328"/>
      <c r="AU142" s="328"/>
    </row>
    <row r="143" ht="15.75" customHeight="1">
      <c r="A143" s="328"/>
      <c r="B143" s="328"/>
      <c r="C143" s="328"/>
      <c r="D143" s="328"/>
      <c r="E143" s="328"/>
      <c r="F143" s="328"/>
      <c r="G143" s="328"/>
      <c r="H143" s="328"/>
      <c r="I143" s="328"/>
      <c r="J143" s="328"/>
      <c r="K143" s="328"/>
      <c r="L143" s="328"/>
      <c r="M143" s="328"/>
      <c r="N143" s="328"/>
      <c r="O143" s="328"/>
      <c r="P143" s="328"/>
      <c r="Q143" s="328"/>
      <c r="R143" s="328"/>
      <c r="S143" s="328"/>
      <c r="T143" s="328"/>
      <c r="U143" s="328"/>
      <c r="V143" s="328"/>
      <c r="W143" s="328"/>
      <c r="X143" s="328"/>
      <c r="Y143" s="328"/>
      <c r="Z143" s="328"/>
      <c r="AA143" s="328"/>
      <c r="AB143" s="328"/>
      <c r="AC143" s="328"/>
      <c r="AD143" s="328"/>
      <c r="AE143" s="328"/>
      <c r="AF143" s="328"/>
      <c r="AG143" s="328"/>
      <c r="AH143" s="328"/>
      <c r="AI143" s="328"/>
      <c r="AJ143" s="328"/>
      <c r="AK143" s="328"/>
      <c r="AL143" s="328"/>
      <c r="AM143" s="328"/>
      <c r="AN143" s="328"/>
      <c r="AO143" s="328"/>
      <c r="AP143" s="328"/>
      <c r="AQ143" s="328"/>
      <c r="AR143" s="328"/>
      <c r="AS143" s="328"/>
      <c r="AT143" s="328"/>
      <c r="AU143" s="328"/>
    </row>
    <row r="144" ht="15.75" customHeight="1">
      <c r="A144" s="328"/>
      <c r="B144" s="328"/>
      <c r="C144" s="328"/>
      <c r="D144" s="328"/>
      <c r="E144" s="328"/>
      <c r="F144" s="328"/>
      <c r="G144" s="328"/>
      <c r="H144" s="328"/>
      <c r="I144" s="328"/>
      <c r="J144" s="328"/>
      <c r="K144" s="328"/>
      <c r="L144" s="328"/>
      <c r="M144" s="328"/>
      <c r="N144" s="328"/>
      <c r="O144" s="328"/>
      <c r="P144" s="328"/>
      <c r="Q144" s="328"/>
      <c r="R144" s="328"/>
      <c r="S144" s="328"/>
      <c r="T144" s="328"/>
      <c r="U144" s="328"/>
      <c r="V144" s="328"/>
      <c r="W144" s="328"/>
      <c r="X144" s="328"/>
      <c r="Y144" s="328"/>
      <c r="Z144" s="328"/>
      <c r="AA144" s="328"/>
      <c r="AB144" s="328"/>
      <c r="AC144" s="328"/>
      <c r="AD144" s="328"/>
      <c r="AE144" s="328"/>
      <c r="AF144" s="328"/>
      <c r="AG144" s="328"/>
      <c r="AH144" s="328"/>
      <c r="AI144" s="328"/>
      <c r="AJ144" s="328"/>
      <c r="AK144" s="328"/>
      <c r="AL144" s="328"/>
      <c r="AM144" s="328"/>
      <c r="AN144" s="328"/>
      <c r="AO144" s="328"/>
      <c r="AP144" s="328"/>
      <c r="AQ144" s="328"/>
      <c r="AR144" s="328"/>
      <c r="AS144" s="328"/>
      <c r="AT144" s="328"/>
      <c r="AU144" s="328"/>
    </row>
    <row r="145" ht="15.75" customHeight="1">
      <c r="A145" s="328"/>
      <c r="B145" s="328"/>
      <c r="C145" s="328"/>
      <c r="D145" s="328"/>
      <c r="E145" s="328"/>
      <c r="F145" s="328"/>
      <c r="G145" s="328"/>
      <c r="H145" s="328"/>
      <c r="I145" s="328"/>
      <c r="J145" s="328"/>
      <c r="K145" s="328"/>
      <c r="L145" s="328"/>
      <c r="M145" s="328"/>
      <c r="N145" s="328"/>
      <c r="O145" s="328"/>
      <c r="P145" s="328"/>
      <c r="Q145" s="328"/>
      <c r="R145" s="328"/>
      <c r="S145" s="328"/>
      <c r="T145" s="328"/>
      <c r="U145" s="328"/>
      <c r="V145" s="328"/>
      <c r="W145" s="328"/>
      <c r="X145" s="328"/>
      <c r="Y145" s="328"/>
      <c r="Z145" s="328"/>
      <c r="AA145" s="328"/>
      <c r="AB145" s="328"/>
      <c r="AC145" s="328"/>
      <c r="AD145" s="328"/>
      <c r="AE145" s="328"/>
      <c r="AF145" s="328"/>
      <c r="AG145" s="328"/>
      <c r="AH145" s="328"/>
      <c r="AI145" s="328"/>
      <c r="AJ145" s="328"/>
      <c r="AK145" s="328"/>
      <c r="AL145" s="328"/>
      <c r="AM145" s="328"/>
      <c r="AN145" s="328"/>
      <c r="AO145" s="328"/>
      <c r="AP145" s="328"/>
      <c r="AQ145" s="328"/>
      <c r="AR145" s="328"/>
      <c r="AS145" s="328"/>
      <c r="AT145" s="328"/>
      <c r="AU145" s="328"/>
    </row>
    <row r="146" ht="15.75" customHeight="1">
      <c r="A146" s="328"/>
      <c r="B146" s="328"/>
      <c r="C146" s="328"/>
      <c r="D146" s="328"/>
      <c r="E146" s="328"/>
      <c r="F146" s="328"/>
      <c r="G146" s="328"/>
      <c r="H146" s="328"/>
      <c r="I146" s="328"/>
      <c r="J146" s="328"/>
      <c r="K146" s="328"/>
      <c r="L146" s="328"/>
      <c r="M146" s="328"/>
      <c r="N146" s="328"/>
      <c r="O146" s="328"/>
      <c r="P146" s="328"/>
      <c r="Q146" s="328"/>
      <c r="R146" s="328"/>
      <c r="S146" s="328"/>
      <c r="T146" s="328"/>
      <c r="U146" s="328"/>
      <c r="V146" s="328"/>
      <c r="W146" s="328"/>
      <c r="X146" s="328"/>
      <c r="Y146" s="328"/>
      <c r="Z146" s="328"/>
      <c r="AA146" s="328"/>
      <c r="AB146" s="328"/>
      <c r="AC146" s="328"/>
      <c r="AD146" s="328"/>
      <c r="AE146" s="328"/>
      <c r="AF146" s="328"/>
      <c r="AG146" s="328"/>
      <c r="AH146" s="328"/>
      <c r="AI146" s="328"/>
      <c r="AJ146" s="328"/>
      <c r="AK146" s="328"/>
      <c r="AL146" s="328"/>
      <c r="AM146" s="328"/>
      <c r="AN146" s="328"/>
      <c r="AO146" s="328"/>
      <c r="AP146" s="328"/>
      <c r="AQ146" s="328"/>
      <c r="AR146" s="328"/>
      <c r="AS146" s="328"/>
      <c r="AT146" s="328"/>
      <c r="AU146" s="328"/>
    </row>
    <row r="147" ht="15.75" customHeight="1">
      <c r="A147" s="328"/>
      <c r="B147" s="328"/>
      <c r="C147" s="328"/>
      <c r="D147" s="328"/>
      <c r="E147" s="328"/>
      <c r="F147" s="328"/>
      <c r="G147" s="328"/>
      <c r="H147" s="328"/>
      <c r="I147" s="328"/>
      <c r="J147" s="328"/>
      <c r="K147" s="328"/>
      <c r="L147" s="328"/>
      <c r="M147" s="328"/>
      <c r="N147" s="328"/>
      <c r="O147" s="328"/>
      <c r="P147" s="328"/>
      <c r="Q147" s="328"/>
      <c r="R147" s="328"/>
      <c r="S147" s="328"/>
      <c r="T147" s="328"/>
      <c r="U147" s="328"/>
      <c r="V147" s="328"/>
      <c r="W147" s="328"/>
      <c r="X147" s="328"/>
      <c r="Y147" s="328"/>
      <c r="Z147" s="328"/>
      <c r="AA147" s="328"/>
      <c r="AB147" s="328"/>
      <c r="AC147" s="328"/>
      <c r="AD147" s="328"/>
      <c r="AE147" s="328"/>
      <c r="AF147" s="328"/>
      <c r="AG147" s="328"/>
      <c r="AH147" s="328"/>
      <c r="AI147" s="328"/>
      <c r="AJ147" s="328"/>
      <c r="AK147" s="328"/>
      <c r="AL147" s="328"/>
      <c r="AM147" s="328"/>
      <c r="AN147" s="328"/>
      <c r="AO147" s="328"/>
      <c r="AP147" s="328"/>
      <c r="AQ147" s="328"/>
      <c r="AR147" s="328"/>
      <c r="AS147" s="328"/>
      <c r="AT147" s="328"/>
      <c r="AU147" s="328"/>
    </row>
    <row r="148" ht="15.75" customHeight="1">
      <c r="A148" s="328"/>
      <c r="B148" s="328"/>
      <c r="C148" s="328"/>
      <c r="D148" s="328"/>
      <c r="E148" s="328"/>
      <c r="F148" s="328"/>
      <c r="G148" s="328"/>
      <c r="H148" s="328"/>
      <c r="I148" s="328"/>
      <c r="J148" s="328"/>
      <c r="K148" s="328"/>
      <c r="L148" s="328"/>
      <c r="M148" s="328"/>
      <c r="N148" s="328"/>
      <c r="O148" s="328"/>
      <c r="P148" s="328"/>
      <c r="Q148" s="328"/>
      <c r="R148" s="328"/>
      <c r="S148" s="328"/>
      <c r="T148" s="328"/>
      <c r="U148" s="328"/>
      <c r="V148" s="328"/>
      <c r="W148" s="328"/>
      <c r="X148" s="328"/>
      <c r="Y148" s="328"/>
      <c r="Z148" s="328"/>
      <c r="AA148" s="328"/>
      <c r="AB148" s="328"/>
      <c r="AC148" s="328"/>
      <c r="AD148" s="328"/>
      <c r="AE148" s="328"/>
      <c r="AF148" s="328"/>
      <c r="AG148" s="328"/>
      <c r="AH148" s="328"/>
      <c r="AI148" s="328"/>
      <c r="AJ148" s="328"/>
      <c r="AK148" s="328"/>
      <c r="AL148" s="328"/>
      <c r="AM148" s="328"/>
      <c r="AN148" s="328"/>
      <c r="AO148" s="328"/>
      <c r="AP148" s="328"/>
      <c r="AQ148" s="328"/>
      <c r="AR148" s="328"/>
      <c r="AS148" s="328"/>
      <c r="AT148" s="328"/>
      <c r="AU148" s="328"/>
    </row>
    <row r="149" ht="15.75" customHeight="1">
      <c r="A149" s="328"/>
      <c r="B149" s="328"/>
      <c r="C149" s="328"/>
      <c r="D149" s="328"/>
      <c r="E149" s="328"/>
      <c r="F149" s="328"/>
      <c r="G149" s="328"/>
      <c r="H149" s="328"/>
      <c r="I149" s="328"/>
      <c r="J149" s="328"/>
      <c r="K149" s="328"/>
      <c r="L149" s="328"/>
      <c r="M149" s="328"/>
      <c r="N149" s="328"/>
      <c r="O149" s="328"/>
      <c r="P149" s="328"/>
      <c r="Q149" s="328"/>
      <c r="R149" s="328"/>
      <c r="S149" s="328"/>
      <c r="T149" s="328"/>
      <c r="U149" s="328"/>
      <c r="V149" s="328"/>
      <c r="W149" s="328"/>
      <c r="X149" s="328"/>
      <c r="Y149" s="328"/>
      <c r="Z149" s="328"/>
      <c r="AA149" s="328"/>
      <c r="AB149" s="328"/>
      <c r="AC149" s="328"/>
      <c r="AD149" s="328"/>
      <c r="AE149" s="328"/>
      <c r="AF149" s="328"/>
      <c r="AG149" s="328"/>
      <c r="AH149" s="328"/>
      <c r="AI149" s="328"/>
      <c r="AJ149" s="328"/>
      <c r="AK149" s="328"/>
      <c r="AL149" s="328"/>
      <c r="AM149" s="328"/>
      <c r="AN149" s="328"/>
      <c r="AO149" s="328"/>
      <c r="AP149" s="328"/>
      <c r="AQ149" s="328"/>
      <c r="AR149" s="328"/>
      <c r="AS149" s="328"/>
      <c r="AT149" s="328"/>
      <c r="AU149" s="328"/>
    </row>
    <row r="150" ht="15.75" customHeight="1">
      <c r="A150" s="328"/>
      <c r="B150" s="328"/>
      <c r="C150" s="328"/>
      <c r="D150" s="328"/>
      <c r="E150" s="328"/>
      <c r="F150" s="328"/>
      <c r="G150" s="328"/>
      <c r="H150" s="328"/>
      <c r="I150" s="328"/>
      <c r="J150" s="328"/>
      <c r="K150" s="328"/>
      <c r="L150" s="328"/>
      <c r="M150" s="328"/>
      <c r="N150" s="328"/>
      <c r="O150" s="328"/>
      <c r="P150" s="328"/>
      <c r="Q150" s="328"/>
      <c r="R150" s="328"/>
      <c r="S150" s="328"/>
      <c r="T150" s="328"/>
      <c r="U150" s="328"/>
      <c r="V150" s="328"/>
      <c r="W150" s="328"/>
      <c r="X150" s="328"/>
      <c r="Y150" s="328"/>
      <c r="Z150" s="328"/>
      <c r="AA150" s="328"/>
      <c r="AB150" s="328"/>
      <c r="AC150" s="328"/>
      <c r="AD150" s="328"/>
      <c r="AE150" s="328"/>
      <c r="AF150" s="328"/>
      <c r="AG150" s="328"/>
      <c r="AH150" s="328"/>
      <c r="AI150" s="328"/>
      <c r="AJ150" s="328"/>
      <c r="AK150" s="328"/>
      <c r="AL150" s="328"/>
      <c r="AM150" s="328"/>
      <c r="AN150" s="328"/>
      <c r="AO150" s="328"/>
      <c r="AP150" s="328"/>
      <c r="AQ150" s="328"/>
      <c r="AR150" s="328"/>
      <c r="AS150" s="328"/>
      <c r="AT150" s="328"/>
      <c r="AU150" s="328"/>
    </row>
    <row r="151" ht="15.75" customHeight="1">
      <c r="A151" s="328"/>
      <c r="B151" s="328"/>
      <c r="C151" s="328"/>
      <c r="D151" s="328"/>
      <c r="E151" s="328"/>
      <c r="F151" s="328"/>
      <c r="G151" s="328"/>
      <c r="H151" s="328"/>
      <c r="I151" s="328"/>
      <c r="J151" s="328"/>
      <c r="K151" s="328"/>
      <c r="L151" s="328"/>
      <c r="M151" s="328"/>
      <c r="N151" s="328"/>
      <c r="O151" s="328"/>
      <c r="P151" s="328"/>
      <c r="Q151" s="328"/>
      <c r="R151" s="328"/>
      <c r="S151" s="328"/>
      <c r="T151" s="328"/>
      <c r="U151" s="328"/>
      <c r="V151" s="328"/>
      <c r="W151" s="328"/>
      <c r="X151" s="328"/>
      <c r="Y151" s="328"/>
      <c r="Z151" s="328"/>
      <c r="AA151" s="328"/>
      <c r="AB151" s="328"/>
      <c r="AC151" s="328"/>
      <c r="AD151" s="328"/>
      <c r="AE151" s="328"/>
      <c r="AF151" s="328"/>
      <c r="AG151" s="328"/>
      <c r="AH151" s="328"/>
      <c r="AI151" s="328"/>
      <c r="AJ151" s="328"/>
      <c r="AK151" s="328"/>
      <c r="AL151" s="328"/>
      <c r="AM151" s="328"/>
      <c r="AN151" s="328"/>
      <c r="AO151" s="328"/>
      <c r="AP151" s="328"/>
      <c r="AQ151" s="328"/>
      <c r="AR151" s="328"/>
      <c r="AS151" s="328"/>
      <c r="AT151" s="328"/>
      <c r="AU151" s="328"/>
    </row>
    <row r="152" ht="15.75" customHeight="1">
      <c r="A152" s="328"/>
      <c r="B152" s="328"/>
      <c r="C152" s="328"/>
      <c r="D152" s="328"/>
      <c r="E152" s="328"/>
      <c r="F152" s="328"/>
      <c r="G152" s="328"/>
      <c r="H152" s="328"/>
      <c r="I152" s="328"/>
      <c r="J152" s="328"/>
      <c r="K152" s="328"/>
      <c r="L152" s="328"/>
      <c r="M152" s="328"/>
      <c r="N152" s="328"/>
      <c r="O152" s="328"/>
      <c r="P152" s="328"/>
      <c r="Q152" s="328"/>
      <c r="R152" s="328"/>
      <c r="S152" s="328"/>
      <c r="T152" s="328"/>
      <c r="U152" s="328"/>
      <c r="V152" s="328"/>
      <c r="W152" s="328"/>
      <c r="X152" s="328"/>
      <c r="Y152" s="328"/>
      <c r="Z152" s="328"/>
      <c r="AA152" s="328"/>
      <c r="AB152" s="328"/>
      <c r="AC152" s="328"/>
      <c r="AD152" s="328"/>
      <c r="AE152" s="328"/>
      <c r="AF152" s="328"/>
      <c r="AG152" s="328"/>
      <c r="AH152" s="328"/>
      <c r="AI152" s="328"/>
      <c r="AJ152" s="328"/>
      <c r="AK152" s="328"/>
      <c r="AL152" s="328"/>
      <c r="AM152" s="328"/>
      <c r="AN152" s="328"/>
      <c r="AO152" s="328"/>
      <c r="AP152" s="328"/>
      <c r="AQ152" s="328"/>
      <c r="AR152" s="328"/>
      <c r="AS152" s="328"/>
      <c r="AT152" s="328"/>
      <c r="AU152" s="328"/>
    </row>
    <row r="153" ht="15.75" customHeight="1">
      <c r="A153" s="328"/>
      <c r="B153" s="328"/>
      <c r="C153" s="328"/>
      <c r="D153" s="328"/>
      <c r="E153" s="328"/>
      <c r="F153" s="328"/>
      <c r="G153" s="328"/>
      <c r="H153" s="328"/>
      <c r="I153" s="328"/>
      <c r="J153" s="328"/>
      <c r="K153" s="328"/>
      <c r="L153" s="328"/>
      <c r="M153" s="328"/>
      <c r="N153" s="328"/>
      <c r="O153" s="328"/>
      <c r="P153" s="328"/>
      <c r="Q153" s="328"/>
      <c r="R153" s="328"/>
      <c r="S153" s="328"/>
      <c r="T153" s="328"/>
      <c r="U153" s="328"/>
      <c r="V153" s="328"/>
      <c r="W153" s="328"/>
      <c r="X153" s="328"/>
      <c r="Y153" s="328"/>
      <c r="Z153" s="328"/>
      <c r="AA153" s="328"/>
      <c r="AB153" s="328"/>
      <c r="AC153" s="328"/>
      <c r="AD153" s="328"/>
      <c r="AE153" s="328"/>
      <c r="AF153" s="328"/>
      <c r="AG153" s="328"/>
      <c r="AH153" s="328"/>
      <c r="AI153" s="328"/>
      <c r="AJ153" s="328"/>
      <c r="AK153" s="328"/>
      <c r="AL153" s="328"/>
      <c r="AM153" s="328"/>
      <c r="AN153" s="328"/>
      <c r="AO153" s="328"/>
      <c r="AP153" s="328"/>
      <c r="AQ153" s="328"/>
      <c r="AR153" s="328"/>
      <c r="AS153" s="328"/>
      <c r="AT153" s="328"/>
      <c r="AU153" s="328"/>
    </row>
    <row r="154" ht="15.75" customHeight="1">
      <c r="A154" s="328"/>
      <c r="B154" s="328"/>
      <c r="C154" s="328"/>
      <c r="D154" s="328"/>
      <c r="E154" s="328"/>
      <c r="F154" s="328"/>
      <c r="G154" s="328"/>
      <c r="H154" s="328"/>
      <c r="I154" s="328"/>
      <c r="J154" s="328"/>
      <c r="K154" s="328"/>
      <c r="L154" s="328"/>
      <c r="M154" s="328"/>
      <c r="N154" s="328"/>
      <c r="O154" s="328"/>
      <c r="P154" s="328"/>
      <c r="Q154" s="328"/>
      <c r="R154" s="328"/>
      <c r="S154" s="328"/>
      <c r="T154" s="328"/>
      <c r="U154" s="328"/>
      <c r="V154" s="328"/>
      <c r="W154" s="328"/>
      <c r="X154" s="328"/>
      <c r="Y154" s="328"/>
      <c r="Z154" s="328"/>
      <c r="AA154" s="328"/>
      <c r="AB154" s="328"/>
      <c r="AC154" s="328"/>
      <c r="AD154" s="328"/>
      <c r="AE154" s="328"/>
      <c r="AF154" s="328"/>
      <c r="AG154" s="328"/>
      <c r="AH154" s="328"/>
      <c r="AI154" s="328"/>
      <c r="AJ154" s="328"/>
      <c r="AK154" s="328"/>
      <c r="AL154" s="328"/>
      <c r="AM154" s="328"/>
      <c r="AN154" s="328"/>
      <c r="AO154" s="328"/>
      <c r="AP154" s="328"/>
      <c r="AQ154" s="328"/>
      <c r="AR154" s="328"/>
      <c r="AS154" s="328"/>
      <c r="AT154" s="328"/>
      <c r="AU154" s="328"/>
    </row>
    <row r="155" ht="15.75" customHeight="1">
      <c r="A155" s="328"/>
      <c r="B155" s="328"/>
      <c r="C155" s="328"/>
      <c r="D155" s="328"/>
      <c r="E155" s="328"/>
      <c r="F155" s="328"/>
      <c r="G155" s="328"/>
      <c r="H155" s="328"/>
      <c r="I155" s="328"/>
      <c r="J155" s="328"/>
      <c r="K155" s="328"/>
      <c r="L155" s="328"/>
      <c r="M155" s="328"/>
      <c r="N155" s="328"/>
      <c r="O155" s="328"/>
      <c r="P155" s="328"/>
      <c r="Q155" s="328"/>
      <c r="R155" s="328"/>
      <c r="S155" s="328"/>
      <c r="T155" s="328"/>
      <c r="U155" s="328"/>
      <c r="V155" s="328"/>
      <c r="W155" s="328"/>
      <c r="X155" s="328"/>
      <c r="Y155" s="328"/>
      <c r="Z155" s="328"/>
      <c r="AA155" s="328"/>
      <c r="AB155" s="328"/>
      <c r="AC155" s="328"/>
      <c r="AD155" s="328"/>
      <c r="AE155" s="328"/>
      <c r="AF155" s="328"/>
      <c r="AG155" s="328"/>
      <c r="AH155" s="328"/>
      <c r="AI155" s="328"/>
      <c r="AJ155" s="328"/>
      <c r="AK155" s="328"/>
      <c r="AL155" s="328"/>
      <c r="AM155" s="328"/>
      <c r="AN155" s="328"/>
      <c r="AO155" s="328"/>
      <c r="AP155" s="328"/>
      <c r="AQ155" s="328"/>
      <c r="AR155" s="328"/>
      <c r="AS155" s="328"/>
      <c r="AT155" s="328"/>
      <c r="AU155" s="328"/>
    </row>
    <row r="156" ht="15.75" customHeight="1">
      <c r="A156" s="328"/>
      <c r="B156" s="328"/>
      <c r="C156" s="328"/>
      <c r="D156" s="328"/>
      <c r="E156" s="328"/>
      <c r="F156" s="328"/>
      <c r="G156" s="328"/>
      <c r="H156" s="328"/>
      <c r="I156" s="328"/>
      <c r="J156" s="328"/>
      <c r="K156" s="328"/>
      <c r="L156" s="328"/>
      <c r="M156" s="328"/>
      <c r="N156" s="328"/>
      <c r="O156" s="328"/>
      <c r="P156" s="328"/>
      <c r="Q156" s="328"/>
      <c r="R156" s="328"/>
      <c r="S156" s="328"/>
      <c r="T156" s="328"/>
      <c r="U156" s="328"/>
      <c r="V156" s="328"/>
      <c r="W156" s="328"/>
      <c r="X156" s="328"/>
      <c r="Y156" s="328"/>
      <c r="Z156" s="328"/>
      <c r="AA156" s="328"/>
      <c r="AB156" s="328"/>
      <c r="AC156" s="328"/>
      <c r="AD156" s="328"/>
      <c r="AE156" s="328"/>
      <c r="AF156" s="328"/>
      <c r="AG156" s="328"/>
      <c r="AH156" s="328"/>
      <c r="AI156" s="328"/>
      <c r="AJ156" s="328"/>
      <c r="AK156" s="328"/>
      <c r="AL156" s="328"/>
      <c r="AM156" s="328"/>
      <c r="AN156" s="328"/>
      <c r="AO156" s="328"/>
      <c r="AP156" s="328"/>
      <c r="AQ156" s="328"/>
      <c r="AR156" s="328"/>
      <c r="AS156" s="328"/>
      <c r="AT156" s="328"/>
      <c r="AU156" s="328"/>
    </row>
    <row r="157" ht="15.75" customHeight="1">
      <c r="A157" s="328"/>
      <c r="B157" s="328"/>
      <c r="C157" s="328"/>
      <c r="D157" s="328"/>
      <c r="E157" s="328"/>
      <c r="F157" s="328"/>
      <c r="G157" s="328"/>
      <c r="H157" s="328"/>
      <c r="I157" s="328"/>
      <c r="J157" s="328"/>
      <c r="K157" s="328"/>
      <c r="L157" s="328"/>
      <c r="M157" s="328"/>
      <c r="N157" s="328"/>
      <c r="O157" s="328"/>
      <c r="P157" s="328"/>
      <c r="Q157" s="328"/>
      <c r="R157" s="328"/>
      <c r="S157" s="328"/>
      <c r="T157" s="328"/>
      <c r="U157" s="328"/>
      <c r="V157" s="328"/>
      <c r="W157" s="328"/>
      <c r="X157" s="328"/>
      <c r="Y157" s="328"/>
      <c r="Z157" s="328"/>
      <c r="AA157" s="328"/>
      <c r="AB157" s="328"/>
      <c r="AC157" s="328"/>
      <c r="AD157" s="328"/>
      <c r="AE157" s="328"/>
      <c r="AF157" s="328"/>
      <c r="AG157" s="328"/>
      <c r="AH157" s="328"/>
      <c r="AI157" s="328"/>
      <c r="AJ157" s="328"/>
      <c r="AK157" s="328"/>
      <c r="AL157" s="328"/>
      <c r="AM157" s="328"/>
      <c r="AN157" s="328"/>
      <c r="AO157" s="328"/>
      <c r="AP157" s="328"/>
      <c r="AQ157" s="328"/>
      <c r="AR157" s="328"/>
      <c r="AS157" s="328"/>
      <c r="AT157" s="328"/>
      <c r="AU157" s="328"/>
    </row>
    <row r="158" ht="15.75" customHeight="1">
      <c r="A158" s="328"/>
      <c r="B158" s="328"/>
      <c r="C158" s="328"/>
      <c r="D158" s="328"/>
      <c r="E158" s="328"/>
      <c r="F158" s="328"/>
      <c r="G158" s="328"/>
      <c r="H158" s="328"/>
      <c r="I158" s="328"/>
      <c r="J158" s="328"/>
      <c r="K158" s="328"/>
      <c r="L158" s="328"/>
      <c r="M158" s="328"/>
      <c r="N158" s="328"/>
      <c r="O158" s="328"/>
      <c r="P158" s="328"/>
      <c r="Q158" s="328"/>
      <c r="R158" s="328"/>
      <c r="S158" s="328"/>
      <c r="T158" s="328"/>
      <c r="U158" s="328"/>
      <c r="V158" s="328"/>
      <c r="W158" s="328"/>
      <c r="X158" s="328"/>
      <c r="Y158" s="328"/>
      <c r="Z158" s="328"/>
      <c r="AA158" s="328"/>
      <c r="AB158" s="328"/>
      <c r="AC158" s="328"/>
      <c r="AD158" s="328"/>
      <c r="AE158" s="328"/>
      <c r="AF158" s="328"/>
      <c r="AG158" s="328"/>
      <c r="AH158" s="328"/>
      <c r="AI158" s="328"/>
      <c r="AJ158" s="328"/>
      <c r="AK158" s="328"/>
      <c r="AL158" s="328"/>
      <c r="AM158" s="328"/>
      <c r="AN158" s="328"/>
      <c r="AO158" s="328"/>
      <c r="AP158" s="328"/>
      <c r="AQ158" s="328"/>
      <c r="AR158" s="328"/>
      <c r="AS158" s="328"/>
      <c r="AT158" s="328"/>
      <c r="AU158" s="328"/>
    </row>
    <row r="159" ht="15.75" customHeight="1">
      <c r="A159" s="328"/>
      <c r="B159" s="328"/>
      <c r="C159" s="328"/>
      <c r="D159" s="328"/>
      <c r="E159" s="328"/>
      <c r="F159" s="328"/>
      <c r="G159" s="328"/>
      <c r="H159" s="328"/>
      <c r="I159" s="328"/>
      <c r="J159" s="328"/>
      <c r="K159" s="328"/>
      <c r="L159" s="328"/>
      <c r="M159" s="328"/>
      <c r="N159" s="328"/>
      <c r="O159" s="328"/>
      <c r="P159" s="328"/>
      <c r="Q159" s="328"/>
      <c r="R159" s="328"/>
      <c r="S159" s="328"/>
      <c r="T159" s="328"/>
      <c r="U159" s="328"/>
      <c r="V159" s="328"/>
      <c r="W159" s="328"/>
      <c r="X159" s="328"/>
      <c r="Y159" s="328"/>
      <c r="Z159" s="328"/>
      <c r="AA159" s="328"/>
      <c r="AB159" s="328"/>
      <c r="AC159" s="328"/>
      <c r="AD159" s="328"/>
      <c r="AE159" s="328"/>
      <c r="AF159" s="328"/>
      <c r="AG159" s="328"/>
      <c r="AH159" s="328"/>
      <c r="AI159" s="328"/>
      <c r="AJ159" s="328"/>
      <c r="AK159" s="328"/>
      <c r="AL159" s="328"/>
      <c r="AM159" s="328"/>
      <c r="AN159" s="328"/>
      <c r="AO159" s="328"/>
      <c r="AP159" s="328"/>
      <c r="AQ159" s="328"/>
      <c r="AR159" s="328"/>
      <c r="AS159" s="328"/>
      <c r="AT159" s="328"/>
      <c r="AU159" s="328"/>
    </row>
    <row r="160" ht="15.75" customHeight="1">
      <c r="A160" s="328"/>
      <c r="B160" s="328"/>
      <c r="C160" s="328"/>
      <c r="D160" s="328"/>
      <c r="E160" s="328"/>
      <c r="F160" s="328"/>
      <c r="G160" s="328"/>
      <c r="H160" s="328"/>
      <c r="I160" s="328"/>
      <c r="J160" s="328"/>
      <c r="K160" s="328"/>
      <c r="L160" s="328"/>
      <c r="M160" s="328"/>
      <c r="N160" s="328"/>
      <c r="O160" s="328"/>
      <c r="P160" s="328"/>
      <c r="Q160" s="328"/>
      <c r="R160" s="328"/>
      <c r="S160" s="328"/>
      <c r="T160" s="328"/>
      <c r="U160" s="328"/>
      <c r="V160" s="328"/>
      <c r="W160" s="328"/>
      <c r="X160" s="328"/>
      <c r="Y160" s="328"/>
      <c r="Z160" s="328"/>
      <c r="AA160" s="328"/>
      <c r="AB160" s="328"/>
      <c r="AC160" s="328"/>
      <c r="AD160" s="328"/>
      <c r="AE160" s="328"/>
      <c r="AF160" s="328"/>
      <c r="AG160" s="328"/>
      <c r="AH160" s="328"/>
      <c r="AI160" s="328"/>
      <c r="AJ160" s="328"/>
      <c r="AK160" s="328"/>
      <c r="AL160" s="328"/>
      <c r="AM160" s="328"/>
      <c r="AN160" s="328"/>
      <c r="AO160" s="328"/>
      <c r="AP160" s="328"/>
      <c r="AQ160" s="328"/>
      <c r="AR160" s="328"/>
      <c r="AS160" s="328"/>
      <c r="AT160" s="328"/>
      <c r="AU160" s="328"/>
    </row>
    <row r="161" ht="15.75" customHeight="1">
      <c r="A161" s="328"/>
      <c r="B161" s="328"/>
      <c r="C161" s="328"/>
      <c r="D161" s="328"/>
      <c r="E161" s="328"/>
      <c r="F161" s="328"/>
      <c r="G161" s="328"/>
      <c r="H161" s="328"/>
      <c r="I161" s="328"/>
      <c r="J161" s="328"/>
      <c r="K161" s="328"/>
      <c r="L161" s="328"/>
      <c r="M161" s="328"/>
      <c r="N161" s="328"/>
      <c r="O161" s="328"/>
      <c r="P161" s="328"/>
      <c r="Q161" s="328"/>
      <c r="R161" s="328"/>
      <c r="S161" s="328"/>
      <c r="T161" s="328"/>
      <c r="U161" s="328"/>
      <c r="V161" s="328"/>
      <c r="W161" s="328"/>
      <c r="X161" s="328"/>
      <c r="Y161" s="328"/>
      <c r="Z161" s="328"/>
      <c r="AA161" s="328"/>
      <c r="AB161" s="328"/>
      <c r="AC161" s="328"/>
      <c r="AD161" s="328"/>
      <c r="AE161" s="328"/>
      <c r="AF161" s="328"/>
      <c r="AG161" s="328"/>
      <c r="AH161" s="328"/>
      <c r="AI161" s="328"/>
      <c r="AJ161" s="328"/>
      <c r="AK161" s="328"/>
      <c r="AL161" s="328"/>
      <c r="AM161" s="328"/>
      <c r="AN161" s="328"/>
      <c r="AO161" s="328"/>
      <c r="AP161" s="328"/>
      <c r="AQ161" s="328"/>
      <c r="AR161" s="328"/>
      <c r="AS161" s="328"/>
      <c r="AT161" s="328"/>
      <c r="AU161" s="328"/>
    </row>
    <row r="162" ht="15.75" customHeight="1">
      <c r="A162" s="328"/>
      <c r="B162" s="328"/>
      <c r="C162" s="328"/>
      <c r="D162" s="328"/>
      <c r="E162" s="328"/>
      <c r="F162" s="328"/>
      <c r="G162" s="328"/>
      <c r="H162" s="328"/>
      <c r="I162" s="328"/>
      <c r="J162" s="328"/>
      <c r="K162" s="328"/>
      <c r="L162" s="328"/>
      <c r="M162" s="328"/>
      <c r="N162" s="328"/>
      <c r="O162" s="328"/>
      <c r="P162" s="328"/>
      <c r="Q162" s="328"/>
      <c r="R162" s="328"/>
      <c r="S162" s="328"/>
      <c r="T162" s="328"/>
      <c r="U162" s="328"/>
      <c r="V162" s="328"/>
      <c r="W162" s="328"/>
      <c r="X162" s="328"/>
      <c r="Y162" s="328"/>
      <c r="Z162" s="328"/>
      <c r="AA162" s="328"/>
      <c r="AB162" s="328"/>
      <c r="AC162" s="328"/>
      <c r="AD162" s="328"/>
      <c r="AE162" s="328"/>
      <c r="AF162" s="328"/>
      <c r="AG162" s="328"/>
      <c r="AH162" s="328"/>
      <c r="AI162" s="328"/>
      <c r="AJ162" s="328"/>
      <c r="AK162" s="328"/>
      <c r="AL162" s="328"/>
      <c r="AM162" s="328"/>
      <c r="AN162" s="328"/>
      <c r="AO162" s="328"/>
      <c r="AP162" s="328"/>
      <c r="AQ162" s="328"/>
      <c r="AR162" s="328"/>
      <c r="AS162" s="328"/>
      <c r="AT162" s="328"/>
      <c r="AU162" s="328"/>
    </row>
    <row r="163" ht="15.75" customHeight="1">
      <c r="A163" s="328"/>
      <c r="B163" s="328"/>
      <c r="C163" s="328"/>
      <c r="D163" s="328"/>
      <c r="E163" s="328"/>
      <c r="F163" s="328"/>
      <c r="G163" s="328"/>
      <c r="H163" s="328"/>
      <c r="I163" s="328"/>
      <c r="J163" s="328"/>
      <c r="K163" s="328"/>
      <c r="L163" s="328"/>
      <c r="M163" s="328"/>
      <c r="N163" s="328"/>
      <c r="O163" s="328"/>
      <c r="P163" s="328"/>
      <c r="Q163" s="328"/>
      <c r="R163" s="328"/>
      <c r="S163" s="328"/>
      <c r="T163" s="328"/>
      <c r="U163" s="328"/>
      <c r="V163" s="328"/>
      <c r="W163" s="328"/>
      <c r="X163" s="328"/>
      <c r="Y163" s="328"/>
      <c r="Z163" s="328"/>
      <c r="AA163" s="328"/>
      <c r="AB163" s="328"/>
      <c r="AC163" s="328"/>
      <c r="AD163" s="328"/>
      <c r="AE163" s="328"/>
      <c r="AF163" s="328"/>
      <c r="AG163" s="328"/>
      <c r="AH163" s="328"/>
      <c r="AI163" s="328"/>
      <c r="AJ163" s="328"/>
      <c r="AK163" s="328"/>
      <c r="AL163" s="328"/>
      <c r="AM163" s="328"/>
      <c r="AN163" s="328"/>
      <c r="AO163" s="328"/>
      <c r="AP163" s="328"/>
      <c r="AQ163" s="328"/>
      <c r="AR163" s="328"/>
      <c r="AS163" s="328"/>
      <c r="AT163" s="328"/>
      <c r="AU163" s="328"/>
    </row>
    <row r="164" ht="15.75" customHeight="1">
      <c r="A164" s="328"/>
      <c r="B164" s="328"/>
      <c r="C164" s="328"/>
      <c r="D164" s="328"/>
      <c r="E164" s="328"/>
      <c r="F164" s="328"/>
      <c r="G164" s="328"/>
      <c r="H164" s="328"/>
      <c r="I164" s="328"/>
      <c r="J164" s="328"/>
      <c r="K164" s="328"/>
      <c r="L164" s="328"/>
      <c r="M164" s="328"/>
      <c r="N164" s="328"/>
      <c r="O164" s="328"/>
      <c r="P164" s="328"/>
      <c r="Q164" s="328"/>
      <c r="R164" s="328"/>
      <c r="S164" s="328"/>
      <c r="T164" s="328"/>
      <c r="U164" s="328"/>
      <c r="V164" s="328"/>
      <c r="W164" s="328"/>
      <c r="X164" s="328"/>
      <c r="Y164" s="328"/>
      <c r="Z164" s="328"/>
      <c r="AA164" s="328"/>
      <c r="AB164" s="328"/>
      <c r="AC164" s="328"/>
      <c r="AD164" s="328"/>
      <c r="AE164" s="328"/>
      <c r="AF164" s="328"/>
      <c r="AG164" s="328"/>
      <c r="AH164" s="328"/>
      <c r="AI164" s="328"/>
      <c r="AJ164" s="328"/>
      <c r="AK164" s="328"/>
      <c r="AL164" s="328"/>
      <c r="AM164" s="328"/>
      <c r="AN164" s="328"/>
      <c r="AO164" s="328"/>
      <c r="AP164" s="328"/>
      <c r="AQ164" s="328"/>
      <c r="AR164" s="328"/>
      <c r="AS164" s="328"/>
      <c r="AT164" s="328"/>
      <c r="AU164" s="328"/>
    </row>
    <row r="165" ht="15.75" customHeight="1">
      <c r="A165" s="328"/>
      <c r="B165" s="328"/>
      <c r="C165" s="328"/>
      <c r="D165" s="328"/>
      <c r="E165" s="328"/>
      <c r="F165" s="328"/>
      <c r="G165" s="328"/>
      <c r="H165" s="328"/>
      <c r="I165" s="328"/>
      <c r="J165" s="328"/>
      <c r="K165" s="328"/>
      <c r="L165" s="328"/>
      <c r="M165" s="328"/>
      <c r="N165" s="328"/>
      <c r="O165" s="328"/>
      <c r="P165" s="328"/>
      <c r="Q165" s="328"/>
      <c r="R165" s="328"/>
      <c r="S165" s="328"/>
      <c r="T165" s="328"/>
      <c r="U165" s="328"/>
      <c r="V165" s="328"/>
      <c r="W165" s="328"/>
      <c r="X165" s="328"/>
      <c r="Y165" s="328"/>
      <c r="Z165" s="328"/>
      <c r="AA165" s="328"/>
      <c r="AB165" s="328"/>
      <c r="AC165" s="328"/>
      <c r="AD165" s="328"/>
      <c r="AE165" s="328"/>
      <c r="AF165" s="328"/>
      <c r="AG165" s="328"/>
      <c r="AH165" s="328"/>
      <c r="AI165" s="328"/>
      <c r="AJ165" s="328"/>
      <c r="AK165" s="328"/>
      <c r="AL165" s="328"/>
      <c r="AM165" s="328"/>
      <c r="AN165" s="328"/>
      <c r="AO165" s="328"/>
      <c r="AP165" s="328"/>
      <c r="AQ165" s="328"/>
      <c r="AR165" s="328"/>
      <c r="AS165" s="328"/>
      <c r="AT165" s="328"/>
      <c r="AU165" s="328"/>
    </row>
    <row r="166" ht="15.75" customHeight="1">
      <c r="A166" s="328"/>
      <c r="B166" s="328"/>
      <c r="C166" s="328"/>
      <c r="D166" s="328"/>
      <c r="E166" s="328"/>
      <c r="F166" s="328"/>
      <c r="G166" s="328"/>
      <c r="H166" s="328"/>
      <c r="I166" s="328"/>
      <c r="J166" s="328"/>
      <c r="K166" s="328"/>
      <c r="L166" s="328"/>
      <c r="M166" s="328"/>
      <c r="N166" s="328"/>
      <c r="O166" s="328"/>
      <c r="P166" s="328"/>
      <c r="Q166" s="328"/>
      <c r="R166" s="328"/>
      <c r="S166" s="328"/>
      <c r="T166" s="328"/>
      <c r="U166" s="328"/>
      <c r="V166" s="328"/>
      <c r="W166" s="328"/>
      <c r="X166" s="328"/>
      <c r="Y166" s="328"/>
      <c r="Z166" s="328"/>
      <c r="AA166" s="328"/>
      <c r="AB166" s="328"/>
      <c r="AC166" s="328"/>
      <c r="AD166" s="328"/>
      <c r="AE166" s="328"/>
      <c r="AF166" s="328"/>
      <c r="AG166" s="328"/>
      <c r="AH166" s="328"/>
      <c r="AI166" s="328"/>
      <c r="AJ166" s="328"/>
      <c r="AK166" s="328"/>
      <c r="AL166" s="328"/>
      <c r="AM166" s="328"/>
      <c r="AN166" s="328"/>
      <c r="AO166" s="328"/>
      <c r="AP166" s="328"/>
      <c r="AQ166" s="328"/>
      <c r="AR166" s="328"/>
      <c r="AS166" s="328"/>
      <c r="AT166" s="328"/>
      <c r="AU166" s="328"/>
    </row>
    <row r="167" ht="15.75" customHeight="1">
      <c r="A167" s="328"/>
      <c r="B167" s="328"/>
      <c r="C167" s="328"/>
      <c r="D167" s="328"/>
      <c r="E167" s="328"/>
      <c r="F167" s="328"/>
      <c r="G167" s="328"/>
      <c r="H167" s="328"/>
      <c r="I167" s="328"/>
      <c r="J167" s="328"/>
      <c r="K167" s="328"/>
      <c r="L167" s="328"/>
      <c r="M167" s="328"/>
      <c r="N167" s="328"/>
      <c r="O167" s="328"/>
      <c r="P167" s="328"/>
      <c r="Q167" s="328"/>
      <c r="R167" s="328"/>
      <c r="S167" s="328"/>
      <c r="T167" s="328"/>
      <c r="U167" s="328"/>
      <c r="V167" s="328"/>
      <c r="W167" s="328"/>
      <c r="X167" s="328"/>
      <c r="Y167" s="328"/>
      <c r="Z167" s="328"/>
      <c r="AA167" s="328"/>
      <c r="AB167" s="328"/>
      <c r="AC167" s="328"/>
      <c r="AD167" s="328"/>
      <c r="AE167" s="328"/>
      <c r="AF167" s="328"/>
      <c r="AG167" s="328"/>
      <c r="AH167" s="328"/>
      <c r="AI167" s="328"/>
      <c r="AJ167" s="328"/>
      <c r="AK167" s="328"/>
      <c r="AL167" s="328"/>
      <c r="AM167" s="328"/>
      <c r="AN167" s="328"/>
      <c r="AO167" s="328"/>
      <c r="AP167" s="328"/>
      <c r="AQ167" s="328"/>
      <c r="AR167" s="328"/>
      <c r="AS167" s="328"/>
      <c r="AT167" s="328"/>
      <c r="AU167" s="328"/>
    </row>
    <row r="168" ht="15.75" customHeight="1">
      <c r="A168" s="328"/>
      <c r="B168" s="328"/>
      <c r="C168" s="328"/>
      <c r="D168" s="328"/>
      <c r="E168" s="328"/>
      <c r="F168" s="328"/>
      <c r="G168" s="328"/>
      <c r="H168" s="328"/>
      <c r="I168" s="328"/>
      <c r="J168" s="328"/>
      <c r="K168" s="328"/>
      <c r="L168" s="328"/>
      <c r="M168" s="328"/>
      <c r="N168" s="328"/>
      <c r="O168" s="328"/>
      <c r="P168" s="328"/>
      <c r="Q168" s="328"/>
      <c r="R168" s="328"/>
      <c r="S168" s="328"/>
      <c r="T168" s="328"/>
      <c r="U168" s="328"/>
      <c r="V168" s="328"/>
      <c r="W168" s="328"/>
      <c r="X168" s="328"/>
      <c r="Y168" s="328"/>
      <c r="Z168" s="328"/>
      <c r="AA168" s="328"/>
      <c r="AB168" s="328"/>
      <c r="AC168" s="328"/>
      <c r="AD168" s="328"/>
      <c r="AE168" s="328"/>
      <c r="AF168" s="328"/>
      <c r="AG168" s="328"/>
      <c r="AH168" s="328"/>
      <c r="AI168" s="328"/>
      <c r="AJ168" s="328"/>
      <c r="AK168" s="328"/>
      <c r="AL168" s="328"/>
      <c r="AM168" s="328"/>
      <c r="AN168" s="328"/>
      <c r="AO168" s="328"/>
      <c r="AP168" s="328"/>
      <c r="AQ168" s="328"/>
      <c r="AR168" s="328"/>
      <c r="AS168" s="328"/>
      <c r="AT168" s="328"/>
      <c r="AU168" s="328"/>
    </row>
    <row r="169" ht="15.75" customHeight="1">
      <c r="A169" s="328"/>
      <c r="B169" s="328"/>
      <c r="C169" s="328"/>
      <c r="D169" s="328"/>
      <c r="E169" s="328"/>
      <c r="F169" s="328"/>
      <c r="G169" s="328"/>
      <c r="H169" s="328"/>
      <c r="I169" s="328"/>
      <c r="J169" s="328"/>
      <c r="K169" s="328"/>
      <c r="L169" s="328"/>
      <c r="M169" s="328"/>
      <c r="N169" s="328"/>
      <c r="O169" s="328"/>
      <c r="P169" s="328"/>
      <c r="Q169" s="328"/>
      <c r="R169" s="328"/>
      <c r="S169" s="328"/>
      <c r="T169" s="328"/>
      <c r="U169" s="328"/>
      <c r="V169" s="328"/>
      <c r="W169" s="328"/>
      <c r="X169" s="328"/>
      <c r="Y169" s="328"/>
      <c r="Z169" s="328"/>
      <c r="AA169" s="328"/>
      <c r="AB169" s="328"/>
      <c r="AC169" s="328"/>
      <c r="AD169" s="328"/>
      <c r="AE169" s="328"/>
      <c r="AF169" s="328"/>
      <c r="AG169" s="328"/>
      <c r="AH169" s="328"/>
      <c r="AI169" s="328"/>
      <c r="AJ169" s="328"/>
      <c r="AK169" s="328"/>
      <c r="AL169" s="328"/>
      <c r="AM169" s="328"/>
      <c r="AN169" s="328"/>
      <c r="AO169" s="328"/>
      <c r="AP169" s="328"/>
      <c r="AQ169" s="328"/>
      <c r="AR169" s="328"/>
      <c r="AS169" s="328"/>
      <c r="AT169" s="328"/>
      <c r="AU169" s="328"/>
    </row>
    <row r="170" ht="15.75" customHeight="1">
      <c r="A170" s="328"/>
      <c r="B170" s="328"/>
      <c r="C170" s="328"/>
      <c r="D170" s="328"/>
      <c r="E170" s="328"/>
      <c r="F170" s="328"/>
      <c r="G170" s="328"/>
      <c r="H170" s="328"/>
      <c r="I170" s="328"/>
      <c r="J170" s="328"/>
      <c r="K170" s="328"/>
      <c r="L170" s="328"/>
      <c r="M170" s="328"/>
      <c r="N170" s="328"/>
      <c r="O170" s="328"/>
      <c r="P170" s="328"/>
      <c r="Q170" s="328"/>
      <c r="R170" s="328"/>
      <c r="S170" s="328"/>
      <c r="T170" s="328"/>
      <c r="U170" s="328"/>
      <c r="V170" s="328"/>
      <c r="W170" s="328"/>
      <c r="X170" s="328"/>
      <c r="Y170" s="328"/>
      <c r="Z170" s="328"/>
      <c r="AA170" s="328"/>
      <c r="AB170" s="328"/>
      <c r="AC170" s="328"/>
      <c r="AD170" s="328"/>
      <c r="AE170" s="328"/>
      <c r="AF170" s="328"/>
      <c r="AG170" s="328"/>
      <c r="AH170" s="328"/>
      <c r="AI170" s="328"/>
      <c r="AJ170" s="328"/>
      <c r="AK170" s="328"/>
      <c r="AL170" s="328"/>
      <c r="AM170" s="328"/>
      <c r="AN170" s="328"/>
      <c r="AO170" s="328"/>
      <c r="AP170" s="328"/>
      <c r="AQ170" s="328"/>
      <c r="AR170" s="328"/>
      <c r="AS170" s="328"/>
      <c r="AT170" s="328"/>
      <c r="AU170" s="328"/>
    </row>
    <row r="171" ht="15.75" customHeight="1">
      <c r="A171" s="328"/>
      <c r="B171" s="328"/>
      <c r="C171" s="328"/>
      <c r="D171" s="328"/>
      <c r="E171" s="328"/>
      <c r="F171" s="328"/>
      <c r="G171" s="328"/>
      <c r="H171" s="328"/>
      <c r="I171" s="328"/>
      <c r="J171" s="328"/>
      <c r="K171" s="328"/>
      <c r="L171" s="328"/>
      <c r="M171" s="328"/>
      <c r="N171" s="328"/>
      <c r="O171" s="328"/>
      <c r="P171" s="328"/>
      <c r="Q171" s="328"/>
      <c r="R171" s="328"/>
      <c r="S171" s="328"/>
      <c r="T171" s="328"/>
      <c r="U171" s="328"/>
      <c r="V171" s="328"/>
      <c r="W171" s="328"/>
      <c r="X171" s="328"/>
      <c r="Y171" s="328"/>
      <c r="Z171" s="328"/>
      <c r="AA171" s="328"/>
      <c r="AB171" s="328"/>
      <c r="AC171" s="328"/>
      <c r="AD171" s="328"/>
      <c r="AE171" s="328"/>
      <c r="AF171" s="328"/>
      <c r="AG171" s="328"/>
      <c r="AH171" s="328"/>
      <c r="AI171" s="328"/>
      <c r="AJ171" s="328"/>
      <c r="AK171" s="328"/>
      <c r="AL171" s="328"/>
      <c r="AM171" s="328"/>
      <c r="AN171" s="328"/>
      <c r="AO171" s="328"/>
      <c r="AP171" s="328"/>
      <c r="AQ171" s="328"/>
      <c r="AR171" s="328"/>
      <c r="AS171" s="328"/>
      <c r="AT171" s="328"/>
      <c r="AU171" s="328"/>
    </row>
    <row r="172" ht="15.75" customHeight="1">
      <c r="A172" s="328"/>
      <c r="B172" s="328"/>
      <c r="C172" s="328"/>
      <c r="D172" s="328"/>
      <c r="E172" s="328"/>
      <c r="F172" s="328"/>
      <c r="G172" s="328"/>
      <c r="H172" s="328"/>
      <c r="I172" s="328"/>
      <c r="J172" s="328"/>
      <c r="K172" s="328"/>
      <c r="L172" s="328"/>
      <c r="M172" s="328"/>
      <c r="N172" s="328"/>
      <c r="O172" s="328"/>
      <c r="P172" s="328"/>
      <c r="Q172" s="328"/>
      <c r="R172" s="328"/>
      <c r="S172" s="328"/>
      <c r="T172" s="328"/>
      <c r="U172" s="328"/>
      <c r="V172" s="328"/>
      <c r="W172" s="328"/>
      <c r="X172" s="328"/>
      <c r="Y172" s="328"/>
      <c r="Z172" s="328"/>
      <c r="AA172" s="328"/>
      <c r="AB172" s="328"/>
      <c r="AC172" s="328"/>
      <c r="AD172" s="328"/>
      <c r="AE172" s="328"/>
      <c r="AF172" s="328"/>
      <c r="AG172" s="328"/>
      <c r="AH172" s="328"/>
      <c r="AI172" s="328"/>
      <c r="AJ172" s="328"/>
      <c r="AK172" s="328"/>
      <c r="AL172" s="328"/>
      <c r="AM172" s="328"/>
      <c r="AN172" s="328"/>
      <c r="AO172" s="328"/>
      <c r="AP172" s="328"/>
      <c r="AQ172" s="328"/>
      <c r="AR172" s="328"/>
      <c r="AS172" s="328"/>
      <c r="AT172" s="328"/>
      <c r="AU172" s="328"/>
    </row>
    <row r="173" ht="15.75" customHeight="1">
      <c r="A173" s="328"/>
      <c r="B173" s="328"/>
      <c r="C173" s="328"/>
      <c r="D173" s="328"/>
      <c r="E173" s="328"/>
      <c r="F173" s="328"/>
      <c r="G173" s="328"/>
      <c r="H173" s="328"/>
      <c r="I173" s="328"/>
      <c r="J173" s="328"/>
      <c r="K173" s="328"/>
      <c r="L173" s="328"/>
      <c r="M173" s="328"/>
      <c r="N173" s="328"/>
      <c r="O173" s="328"/>
      <c r="P173" s="328"/>
      <c r="Q173" s="328"/>
      <c r="R173" s="328"/>
      <c r="S173" s="328"/>
      <c r="T173" s="328"/>
      <c r="U173" s="328"/>
      <c r="V173" s="328"/>
      <c r="W173" s="328"/>
      <c r="X173" s="328"/>
      <c r="Y173" s="328"/>
      <c r="Z173" s="328"/>
      <c r="AA173" s="328"/>
      <c r="AB173" s="328"/>
      <c r="AC173" s="328"/>
      <c r="AD173" s="328"/>
      <c r="AE173" s="328"/>
      <c r="AF173" s="328"/>
      <c r="AG173" s="328"/>
      <c r="AH173" s="328"/>
      <c r="AI173" s="328"/>
      <c r="AJ173" s="328"/>
      <c r="AK173" s="328"/>
      <c r="AL173" s="328"/>
      <c r="AM173" s="328"/>
      <c r="AN173" s="328"/>
      <c r="AO173" s="328"/>
      <c r="AP173" s="328"/>
      <c r="AQ173" s="328"/>
      <c r="AR173" s="328"/>
      <c r="AS173" s="328"/>
      <c r="AT173" s="328"/>
      <c r="AU173" s="328"/>
    </row>
    <row r="174" ht="15.75" customHeight="1">
      <c r="A174" s="328"/>
      <c r="B174" s="328"/>
      <c r="C174" s="328"/>
      <c r="D174" s="328"/>
      <c r="E174" s="328"/>
      <c r="F174" s="328"/>
      <c r="G174" s="328"/>
      <c r="H174" s="328"/>
      <c r="I174" s="328"/>
      <c r="J174" s="328"/>
      <c r="K174" s="328"/>
      <c r="L174" s="328"/>
      <c r="M174" s="328"/>
      <c r="N174" s="328"/>
      <c r="O174" s="328"/>
      <c r="P174" s="328"/>
      <c r="Q174" s="328"/>
      <c r="R174" s="328"/>
      <c r="S174" s="328"/>
      <c r="T174" s="328"/>
      <c r="U174" s="328"/>
      <c r="V174" s="328"/>
      <c r="W174" s="328"/>
      <c r="X174" s="328"/>
      <c r="Y174" s="328"/>
      <c r="Z174" s="328"/>
      <c r="AA174" s="328"/>
      <c r="AB174" s="328"/>
      <c r="AC174" s="328"/>
      <c r="AD174" s="328"/>
      <c r="AE174" s="328"/>
      <c r="AF174" s="328"/>
      <c r="AG174" s="328"/>
      <c r="AH174" s="328"/>
      <c r="AI174" s="328"/>
      <c r="AJ174" s="328"/>
      <c r="AK174" s="328"/>
      <c r="AL174" s="328"/>
      <c r="AM174" s="328"/>
      <c r="AN174" s="328"/>
      <c r="AO174" s="328"/>
      <c r="AP174" s="328"/>
      <c r="AQ174" s="328"/>
      <c r="AR174" s="328"/>
      <c r="AS174" s="328"/>
      <c r="AT174" s="328"/>
      <c r="AU174" s="328"/>
    </row>
    <row r="175" ht="15.75" customHeight="1">
      <c r="A175" s="328"/>
      <c r="B175" s="328"/>
      <c r="C175" s="328"/>
      <c r="D175" s="328"/>
      <c r="E175" s="328"/>
      <c r="F175" s="328"/>
      <c r="G175" s="328"/>
      <c r="H175" s="328"/>
      <c r="I175" s="328"/>
      <c r="J175" s="328"/>
      <c r="K175" s="328"/>
      <c r="L175" s="328"/>
      <c r="M175" s="328"/>
      <c r="N175" s="328"/>
      <c r="O175" s="328"/>
      <c r="P175" s="328"/>
      <c r="Q175" s="328"/>
      <c r="R175" s="328"/>
      <c r="S175" s="328"/>
      <c r="T175" s="328"/>
      <c r="U175" s="328"/>
      <c r="V175" s="328"/>
      <c r="W175" s="328"/>
      <c r="X175" s="328"/>
      <c r="Y175" s="328"/>
      <c r="Z175" s="328"/>
      <c r="AA175" s="328"/>
      <c r="AB175" s="328"/>
      <c r="AC175" s="328"/>
      <c r="AD175" s="328"/>
      <c r="AE175" s="328"/>
      <c r="AF175" s="328"/>
      <c r="AG175" s="328"/>
      <c r="AH175" s="328"/>
      <c r="AI175" s="328"/>
      <c r="AJ175" s="328"/>
      <c r="AK175" s="328"/>
      <c r="AL175" s="328"/>
      <c r="AM175" s="328"/>
      <c r="AN175" s="328"/>
      <c r="AO175" s="328"/>
      <c r="AP175" s="328"/>
      <c r="AQ175" s="328"/>
      <c r="AR175" s="328"/>
      <c r="AS175" s="328"/>
      <c r="AT175" s="328"/>
      <c r="AU175" s="328"/>
    </row>
    <row r="176" ht="15.75" customHeight="1">
      <c r="A176" s="328"/>
      <c r="B176" s="328"/>
      <c r="C176" s="328"/>
      <c r="D176" s="328"/>
      <c r="E176" s="328"/>
      <c r="F176" s="328"/>
      <c r="G176" s="328"/>
      <c r="H176" s="328"/>
      <c r="I176" s="328"/>
      <c r="J176" s="328"/>
      <c r="K176" s="328"/>
      <c r="L176" s="328"/>
      <c r="M176" s="328"/>
      <c r="N176" s="328"/>
      <c r="O176" s="328"/>
      <c r="P176" s="328"/>
      <c r="Q176" s="328"/>
      <c r="R176" s="328"/>
      <c r="S176" s="328"/>
      <c r="T176" s="328"/>
      <c r="U176" s="328"/>
      <c r="V176" s="328"/>
      <c r="W176" s="328"/>
      <c r="X176" s="328"/>
      <c r="Y176" s="328"/>
      <c r="Z176" s="328"/>
      <c r="AA176" s="328"/>
      <c r="AB176" s="328"/>
      <c r="AC176" s="328"/>
      <c r="AD176" s="328"/>
      <c r="AE176" s="328"/>
      <c r="AF176" s="328"/>
      <c r="AG176" s="328"/>
      <c r="AH176" s="328"/>
      <c r="AI176" s="328"/>
      <c r="AJ176" s="328"/>
      <c r="AK176" s="328"/>
      <c r="AL176" s="328"/>
      <c r="AM176" s="328"/>
      <c r="AN176" s="328"/>
      <c r="AO176" s="328"/>
      <c r="AP176" s="328"/>
      <c r="AQ176" s="328"/>
      <c r="AR176" s="328"/>
      <c r="AS176" s="328"/>
      <c r="AT176" s="328"/>
      <c r="AU176" s="328"/>
    </row>
    <row r="177" ht="15.75" customHeight="1">
      <c r="A177" s="328"/>
      <c r="B177" s="328"/>
      <c r="C177" s="328"/>
      <c r="D177" s="328"/>
      <c r="E177" s="328"/>
      <c r="F177" s="328"/>
      <c r="G177" s="328"/>
      <c r="H177" s="328"/>
      <c r="I177" s="328"/>
      <c r="J177" s="328"/>
      <c r="K177" s="328"/>
      <c r="L177" s="328"/>
      <c r="M177" s="328"/>
      <c r="N177" s="328"/>
      <c r="O177" s="328"/>
      <c r="P177" s="328"/>
      <c r="Q177" s="328"/>
      <c r="R177" s="328"/>
      <c r="S177" s="328"/>
      <c r="T177" s="328"/>
      <c r="U177" s="328"/>
      <c r="V177" s="328"/>
      <c r="W177" s="328"/>
      <c r="X177" s="328"/>
      <c r="Y177" s="328"/>
      <c r="Z177" s="328"/>
      <c r="AA177" s="328"/>
      <c r="AB177" s="328"/>
      <c r="AC177" s="328"/>
      <c r="AD177" s="328"/>
      <c r="AE177" s="328"/>
      <c r="AF177" s="328"/>
      <c r="AG177" s="328"/>
      <c r="AH177" s="328"/>
      <c r="AI177" s="328"/>
      <c r="AJ177" s="328"/>
      <c r="AK177" s="328"/>
      <c r="AL177" s="328"/>
      <c r="AM177" s="328"/>
      <c r="AN177" s="328"/>
      <c r="AO177" s="328"/>
      <c r="AP177" s="328"/>
      <c r="AQ177" s="328"/>
      <c r="AR177" s="328"/>
      <c r="AS177" s="328"/>
      <c r="AT177" s="328"/>
      <c r="AU177" s="328"/>
    </row>
    <row r="178" ht="15.75" customHeight="1">
      <c r="A178" s="328"/>
      <c r="B178" s="328"/>
      <c r="C178" s="328"/>
      <c r="D178" s="328"/>
      <c r="E178" s="328"/>
      <c r="F178" s="328"/>
      <c r="G178" s="328"/>
      <c r="H178" s="328"/>
      <c r="I178" s="328"/>
      <c r="J178" s="328"/>
      <c r="K178" s="328"/>
      <c r="L178" s="328"/>
      <c r="M178" s="328"/>
      <c r="N178" s="328"/>
      <c r="O178" s="328"/>
      <c r="P178" s="328"/>
      <c r="Q178" s="328"/>
      <c r="R178" s="328"/>
      <c r="S178" s="328"/>
      <c r="T178" s="328"/>
      <c r="U178" s="328"/>
      <c r="V178" s="328"/>
      <c r="W178" s="328"/>
      <c r="X178" s="328"/>
      <c r="Y178" s="328"/>
      <c r="Z178" s="328"/>
      <c r="AA178" s="328"/>
      <c r="AB178" s="328"/>
      <c r="AC178" s="328"/>
      <c r="AD178" s="328"/>
      <c r="AE178" s="328"/>
      <c r="AF178" s="328"/>
      <c r="AG178" s="328"/>
      <c r="AH178" s="328"/>
      <c r="AI178" s="328"/>
      <c r="AJ178" s="328"/>
      <c r="AK178" s="328"/>
      <c r="AL178" s="328"/>
      <c r="AM178" s="328"/>
      <c r="AN178" s="328"/>
      <c r="AO178" s="328"/>
      <c r="AP178" s="328"/>
      <c r="AQ178" s="328"/>
      <c r="AR178" s="328"/>
      <c r="AS178" s="328"/>
      <c r="AT178" s="328"/>
      <c r="AU178" s="328"/>
    </row>
    <row r="179" ht="15.75" customHeight="1">
      <c r="A179" s="328"/>
      <c r="B179" s="328"/>
      <c r="C179" s="328"/>
      <c r="D179" s="328"/>
      <c r="E179" s="328"/>
      <c r="F179" s="328"/>
      <c r="G179" s="328"/>
      <c r="H179" s="328"/>
      <c r="I179" s="328"/>
      <c r="J179" s="328"/>
      <c r="K179" s="328"/>
      <c r="L179" s="328"/>
      <c r="M179" s="328"/>
      <c r="N179" s="328"/>
      <c r="O179" s="328"/>
      <c r="P179" s="328"/>
      <c r="Q179" s="328"/>
      <c r="R179" s="328"/>
      <c r="S179" s="328"/>
      <c r="T179" s="328"/>
      <c r="U179" s="328"/>
      <c r="V179" s="328"/>
      <c r="W179" s="328"/>
      <c r="X179" s="328"/>
      <c r="Y179" s="328"/>
      <c r="Z179" s="328"/>
      <c r="AA179" s="328"/>
      <c r="AB179" s="328"/>
      <c r="AC179" s="328"/>
      <c r="AD179" s="328"/>
      <c r="AE179" s="328"/>
      <c r="AF179" s="328"/>
      <c r="AG179" s="328"/>
      <c r="AH179" s="328"/>
      <c r="AI179" s="328"/>
      <c r="AJ179" s="328"/>
      <c r="AK179" s="328"/>
      <c r="AL179" s="328"/>
      <c r="AM179" s="328"/>
      <c r="AN179" s="328"/>
      <c r="AO179" s="328"/>
      <c r="AP179" s="328"/>
      <c r="AQ179" s="328"/>
      <c r="AR179" s="328"/>
      <c r="AS179" s="328"/>
      <c r="AT179" s="328"/>
      <c r="AU179" s="328"/>
    </row>
    <row r="180" ht="15.75" customHeight="1">
      <c r="A180" s="328"/>
      <c r="B180" s="328"/>
      <c r="C180" s="328"/>
      <c r="D180" s="328"/>
      <c r="E180" s="328"/>
      <c r="F180" s="328"/>
      <c r="G180" s="328"/>
      <c r="H180" s="328"/>
      <c r="I180" s="328"/>
      <c r="J180" s="328"/>
      <c r="K180" s="328"/>
      <c r="L180" s="328"/>
      <c r="M180" s="328"/>
      <c r="N180" s="328"/>
      <c r="O180" s="328"/>
      <c r="P180" s="328"/>
      <c r="Q180" s="328"/>
      <c r="R180" s="328"/>
      <c r="S180" s="328"/>
      <c r="T180" s="328"/>
      <c r="U180" s="328"/>
      <c r="V180" s="328"/>
      <c r="W180" s="328"/>
      <c r="X180" s="328"/>
      <c r="Y180" s="328"/>
      <c r="Z180" s="328"/>
      <c r="AA180" s="328"/>
      <c r="AB180" s="328"/>
      <c r="AC180" s="328"/>
      <c r="AD180" s="328"/>
      <c r="AE180" s="328"/>
      <c r="AF180" s="328"/>
      <c r="AG180" s="328"/>
      <c r="AH180" s="328"/>
      <c r="AI180" s="328"/>
      <c r="AJ180" s="328"/>
      <c r="AK180" s="328"/>
      <c r="AL180" s="328"/>
      <c r="AM180" s="328"/>
      <c r="AN180" s="328"/>
      <c r="AO180" s="328"/>
      <c r="AP180" s="328"/>
      <c r="AQ180" s="328"/>
      <c r="AR180" s="328"/>
      <c r="AS180" s="328"/>
      <c r="AT180" s="328"/>
      <c r="AU180" s="328"/>
    </row>
    <row r="181" ht="15.75" customHeight="1">
      <c r="A181" s="328"/>
      <c r="B181" s="328"/>
      <c r="C181" s="328"/>
      <c r="D181" s="328"/>
      <c r="E181" s="328"/>
      <c r="F181" s="328"/>
      <c r="G181" s="328"/>
      <c r="H181" s="328"/>
      <c r="I181" s="328"/>
      <c r="J181" s="328"/>
      <c r="K181" s="328"/>
      <c r="L181" s="328"/>
      <c r="M181" s="328"/>
      <c r="N181" s="328"/>
      <c r="O181" s="328"/>
      <c r="P181" s="328"/>
      <c r="Q181" s="328"/>
      <c r="R181" s="328"/>
      <c r="S181" s="328"/>
      <c r="T181" s="328"/>
      <c r="U181" s="328"/>
      <c r="V181" s="328"/>
      <c r="W181" s="328"/>
      <c r="X181" s="328"/>
      <c r="Y181" s="328"/>
      <c r="Z181" s="328"/>
      <c r="AA181" s="328"/>
      <c r="AB181" s="328"/>
      <c r="AC181" s="328"/>
      <c r="AD181" s="328"/>
      <c r="AE181" s="328"/>
      <c r="AF181" s="328"/>
      <c r="AG181" s="328"/>
      <c r="AH181" s="328"/>
      <c r="AI181" s="328"/>
      <c r="AJ181" s="328"/>
      <c r="AK181" s="328"/>
      <c r="AL181" s="328"/>
      <c r="AM181" s="328"/>
      <c r="AN181" s="328"/>
      <c r="AO181" s="328"/>
      <c r="AP181" s="328"/>
      <c r="AQ181" s="328"/>
      <c r="AR181" s="328"/>
      <c r="AS181" s="328"/>
      <c r="AT181" s="328"/>
      <c r="AU181" s="328"/>
    </row>
    <row r="182" ht="15.75" customHeight="1">
      <c r="A182" s="328"/>
      <c r="B182" s="328"/>
      <c r="C182" s="328"/>
      <c r="D182" s="328"/>
      <c r="E182" s="328"/>
      <c r="F182" s="328"/>
      <c r="G182" s="328"/>
      <c r="H182" s="328"/>
      <c r="I182" s="328"/>
      <c r="J182" s="328"/>
      <c r="K182" s="328"/>
      <c r="L182" s="328"/>
      <c r="M182" s="328"/>
      <c r="N182" s="328"/>
      <c r="O182" s="328"/>
      <c r="P182" s="328"/>
      <c r="Q182" s="328"/>
      <c r="R182" s="328"/>
      <c r="S182" s="328"/>
      <c r="T182" s="328"/>
      <c r="U182" s="328"/>
      <c r="V182" s="328"/>
      <c r="W182" s="328"/>
      <c r="X182" s="328"/>
      <c r="Y182" s="328"/>
      <c r="Z182" s="328"/>
      <c r="AA182" s="328"/>
      <c r="AB182" s="328"/>
      <c r="AC182" s="328"/>
      <c r="AD182" s="328"/>
      <c r="AE182" s="328"/>
      <c r="AF182" s="328"/>
      <c r="AG182" s="328"/>
      <c r="AH182" s="328"/>
      <c r="AI182" s="328"/>
      <c r="AJ182" s="328"/>
      <c r="AK182" s="328"/>
      <c r="AL182" s="328"/>
      <c r="AM182" s="328"/>
      <c r="AN182" s="328"/>
      <c r="AO182" s="328"/>
      <c r="AP182" s="328"/>
      <c r="AQ182" s="328"/>
      <c r="AR182" s="328"/>
      <c r="AS182" s="328"/>
      <c r="AT182" s="328"/>
      <c r="AU182" s="328"/>
    </row>
    <row r="183" ht="15.75" customHeight="1">
      <c r="A183" s="328"/>
      <c r="B183" s="328"/>
      <c r="C183" s="328"/>
      <c r="D183" s="328"/>
      <c r="E183" s="328"/>
      <c r="F183" s="328"/>
      <c r="G183" s="328"/>
      <c r="H183" s="328"/>
      <c r="I183" s="328"/>
      <c r="J183" s="328"/>
      <c r="K183" s="328"/>
      <c r="L183" s="328"/>
      <c r="M183" s="328"/>
      <c r="N183" s="328"/>
      <c r="O183" s="328"/>
      <c r="P183" s="328"/>
      <c r="Q183" s="328"/>
      <c r="R183" s="328"/>
      <c r="S183" s="328"/>
      <c r="T183" s="328"/>
      <c r="U183" s="328"/>
      <c r="V183" s="328"/>
      <c r="W183" s="328"/>
      <c r="X183" s="328"/>
      <c r="Y183" s="328"/>
      <c r="Z183" s="328"/>
      <c r="AA183" s="328"/>
      <c r="AB183" s="328"/>
      <c r="AC183" s="328"/>
      <c r="AD183" s="328"/>
      <c r="AE183" s="328"/>
      <c r="AF183" s="328"/>
      <c r="AG183" s="328"/>
      <c r="AH183" s="328"/>
      <c r="AI183" s="328"/>
      <c r="AJ183" s="328"/>
      <c r="AK183" s="328"/>
      <c r="AL183" s="328"/>
      <c r="AM183" s="328"/>
      <c r="AN183" s="328"/>
      <c r="AO183" s="328"/>
      <c r="AP183" s="328"/>
      <c r="AQ183" s="328"/>
      <c r="AR183" s="328"/>
      <c r="AS183" s="328"/>
      <c r="AT183" s="328"/>
      <c r="AU183" s="328"/>
    </row>
    <row r="184" ht="15.75" customHeight="1">
      <c r="A184" s="328"/>
      <c r="B184" s="328"/>
      <c r="C184" s="328"/>
      <c r="D184" s="328"/>
      <c r="E184" s="328"/>
      <c r="F184" s="328"/>
      <c r="G184" s="328"/>
      <c r="H184" s="328"/>
      <c r="I184" s="328"/>
      <c r="J184" s="328"/>
      <c r="K184" s="328"/>
      <c r="L184" s="328"/>
      <c r="M184" s="328"/>
      <c r="N184" s="328"/>
      <c r="O184" s="328"/>
      <c r="P184" s="328"/>
      <c r="Q184" s="328"/>
      <c r="R184" s="328"/>
      <c r="S184" s="328"/>
      <c r="T184" s="328"/>
      <c r="U184" s="328"/>
      <c r="V184" s="328"/>
      <c r="W184" s="328"/>
      <c r="X184" s="328"/>
      <c r="Y184" s="328"/>
      <c r="Z184" s="328"/>
      <c r="AA184" s="328"/>
      <c r="AB184" s="328"/>
      <c r="AC184" s="328"/>
      <c r="AD184" s="328"/>
      <c r="AE184" s="328"/>
      <c r="AF184" s="328"/>
      <c r="AG184" s="328"/>
      <c r="AH184" s="328"/>
      <c r="AI184" s="328"/>
      <c r="AJ184" s="328"/>
      <c r="AK184" s="328"/>
      <c r="AL184" s="328"/>
      <c r="AM184" s="328"/>
      <c r="AN184" s="328"/>
      <c r="AO184" s="328"/>
      <c r="AP184" s="328"/>
      <c r="AQ184" s="328"/>
      <c r="AR184" s="328"/>
      <c r="AS184" s="328"/>
      <c r="AT184" s="328"/>
      <c r="AU184" s="328"/>
    </row>
    <row r="185" ht="15.75" customHeight="1">
      <c r="A185" s="328"/>
      <c r="B185" s="328"/>
      <c r="C185" s="328"/>
      <c r="D185" s="328"/>
      <c r="E185" s="328"/>
      <c r="F185" s="328"/>
      <c r="G185" s="328"/>
      <c r="H185" s="328"/>
      <c r="I185" s="328"/>
      <c r="J185" s="328"/>
      <c r="K185" s="328"/>
      <c r="L185" s="328"/>
      <c r="M185" s="328"/>
      <c r="N185" s="328"/>
      <c r="O185" s="328"/>
      <c r="P185" s="328"/>
      <c r="Q185" s="328"/>
      <c r="R185" s="328"/>
      <c r="S185" s="328"/>
      <c r="T185" s="328"/>
      <c r="U185" s="328"/>
      <c r="V185" s="328"/>
      <c r="W185" s="328"/>
      <c r="X185" s="328"/>
      <c r="Y185" s="328"/>
      <c r="Z185" s="328"/>
      <c r="AA185" s="328"/>
      <c r="AB185" s="328"/>
      <c r="AC185" s="328"/>
      <c r="AD185" s="328"/>
      <c r="AE185" s="328"/>
      <c r="AF185" s="328"/>
      <c r="AG185" s="328"/>
      <c r="AH185" s="328"/>
      <c r="AI185" s="328"/>
      <c r="AJ185" s="328"/>
      <c r="AK185" s="328"/>
      <c r="AL185" s="328"/>
      <c r="AM185" s="328"/>
      <c r="AN185" s="328"/>
      <c r="AO185" s="328"/>
      <c r="AP185" s="328"/>
      <c r="AQ185" s="328"/>
      <c r="AR185" s="328"/>
      <c r="AS185" s="328"/>
      <c r="AT185" s="328"/>
      <c r="AU185" s="328"/>
    </row>
    <row r="186" ht="15.75" customHeight="1">
      <c r="A186" s="328"/>
      <c r="B186" s="328"/>
      <c r="C186" s="328"/>
      <c r="D186" s="328"/>
      <c r="E186" s="328"/>
      <c r="F186" s="328"/>
      <c r="G186" s="328"/>
      <c r="H186" s="328"/>
      <c r="I186" s="328"/>
      <c r="J186" s="328"/>
      <c r="K186" s="328"/>
      <c r="L186" s="328"/>
      <c r="M186" s="328"/>
      <c r="N186" s="328"/>
      <c r="O186" s="328"/>
      <c r="P186" s="328"/>
      <c r="Q186" s="328"/>
      <c r="R186" s="328"/>
      <c r="S186" s="328"/>
      <c r="T186" s="328"/>
      <c r="U186" s="328"/>
      <c r="V186" s="328"/>
      <c r="W186" s="328"/>
      <c r="X186" s="328"/>
      <c r="Y186" s="328"/>
      <c r="Z186" s="328"/>
      <c r="AA186" s="328"/>
      <c r="AB186" s="328"/>
      <c r="AC186" s="328"/>
      <c r="AD186" s="328"/>
      <c r="AE186" s="328"/>
      <c r="AF186" s="328"/>
      <c r="AG186" s="328"/>
      <c r="AH186" s="328"/>
      <c r="AI186" s="328"/>
      <c r="AJ186" s="328"/>
      <c r="AK186" s="328"/>
      <c r="AL186" s="328"/>
      <c r="AM186" s="328"/>
      <c r="AN186" s="328"/>
      <c r="AO186" s="328"/>
      <c r="AP186" s="328"/>
      <c r="AQ186" s="328"/>
      <c r="AR186" s="328"/>
      <c r="AS186" s="328"/>
      <c r="AT186" s="328"/>
      <c r="AU186" s="328"/>
    </row>
    <row r="187" ht="15.75" customHeight="1">
      <c r="A187" s="328"/>
      <c r="B187" s="328"/>
      <c r="C187" s="328"/>
      <c r="D187" s="328"/>
      <c r="E187" s="328"/>
      <c r="F187" s="328"/>
      <c r="G187" s="328"/>
      <c r="H187" s="328"/>
      <c r="I187" s="328"/>
      <c r="J187" s="328"/>
      <c r="K187" s="328"/>
      <c r="L187" s="328"/>
      <c r="M187" s="328"/>
      <c r="N187" s="328"/>
      <c r="O187" s="328"/>
      <c r="P187" s="328"/>
      <c r="Q187" s="328"/>
      <c r="R187" s="328"/>
      <c r="S187" s="328"/>
      <c r="T187" s="328"/>
      <c r="U187" s="328"/>
      <c r="V187" s="328"/>
      <c r="W187" s="328"/>
      <c r="X187" s="328"/>
      <c r="Y187" s="328"/>
      <c r="Z187" s="328"/>
      <c r="AA187" s="328"/>
      <c r="AB187" s="328"/>
      <c r="AC187" s="328"/>
      <c r="AD187" s="328"/>
      <c r="AE187" s="328"/>
      <c r="AF187" s="328"/>
      <c r="AG187" s="328"/>
      <c r="AH187" s="328"/>
      <c r="AI187" s="328"/>
      <c r="AJ187" s="328"/>
      <c r="AK187" s="328"/>
      <c r="AL187" s="328"/>
      <c r="AM187" s="328"/>
      <c r="AN187" s="328"/>
      <c r="AO187" s="328"/>
      <c r="AP187" s="328"/>
      <c r="AQ187" s="328"/>
      <c r="AR187" s="328"/>
      <c r="AS187" s="328"/>
      <c r="AT187" s="328"/>
      <c r="AU187" s="328"/>
    </row>
    <row r="188" ht="15.75" customHeight="1">
      <c r="A188" s="328"/>
      <c r="B188" s="328"/>
      <c r="C188" s="328"/>
      <c r="D188" s="328"/>
      <c r="E188" s="328"/>
      <c r="F188" s="328"/>
      <c r="G188" s="328"/>
      <c r="H188" s="328"/>
      <c r="I188" s="328"/>
      <c r="J188" s="328"/>
      <c r="K188" s="328"/>
      <c r="L188" s="328"/>
      <c r="M188" s="328"/>
      <c r="N188" s="328"/>
      <c r="O188" s="328"/>
      <c r="P188" s="328"/>
      <c r="Q188" s="328"/>
      <c r="R188" s="328"/>
      <c r="S188" s="328"/>
      <c r="T188" s="328"/>
      <c r="U188" s="328"/>
      <c r="V188" s="328"/>
      <c r="W188" s="328"/>
      <c r="X188" s="328"/>
      <c r="Y188" s="328"/>
      <c r="Z188" s="328"/>
      <c r="AA188" s="328"/>
      <c r="AB188" s="328"/>
      <c r="AC188" s="328"/>
      <c r="AD188" s="328"/>
      <c r="AE188" s="328"/>
      <c r="AF188" s="328"/>
      <c r="AG188" s="328"/>
      <c r="AH188" s="328"/>
      <c r="AI188" s="328"/>
      <c r="AJ188" s="328"/>
      <c r="AK188" s="328"/>
      <c r="AL188" s="328"/>
      <c r="AM188" s="328"/>
      <c r="AN188" s="328"/>
      <c r="AO188" s="328"/>
      <c r="AP188" s="328"/>
      <c r="AQ188" s="328"/>
      <c r="AR188" s="328"/>
      <c r="AS188" s="328"/>
      <c r="AT188" s="328"/>
      <c r="AU188" s="328"/>
    </row>
    <row r="189" ht="15.75" customHeight="1">
      <c r="A189" s="328"/>
      <c r="B189" s="328"/>
      <c r="C189" s="328"/>
      <c r="D189" s="328"/>
      <c r="E189" s="328"/>
      <c r="F189" s="328"/>
      <c r="G189" s="328"/>
      <c r="H189" s="328"/>
      <c r="I189" s="328"/>
      <c r="J189" s="328"/>
      <c r="K189" s="328"/>
      <c r="L189" s="328"/>
      <c r="M189" s="328"/>
      <c r="N189" s="328"/>
      <c r="O189" s="328"/>
      <c r="P189" s="328"/>
      <c r="Q189" s="328"/>
      <c r="R189" s="328"/>
      <c r="S189" s="328"/>
      <c r="T189" s="328"/>
      <c r="U189" s="328"/>
      <c r="V189" s="328"/>
      <c r="W189" s="328"/>
      <c r="X189" s="328"/>
      <c r="Y189" s="328"/>
      <c r="Z189" s="328"/>
      <c r="AA189" s="328"/>
      <c r="AB189" s="328"/>
      <c r="AC189" s="328"/>
      <c r="AD189" s="328"/>
      <c r="AE189" s="328"/>
      <c r="AF189" s="328"/>
      <c r="AG189" s="328"/>
      <c r="AH189" s="328"/>
      <c r="AI189" s="328"/>
      <c r="AJ189" s="328"/>
      <c r="AK189" s="328"/>
      <c r="AL189" s="328"/>
      <c r="AM189" s="328"/>
      <c r="AN189" s="328"/>
      <c r="AO189" s="328"/>
      <c r="AP189" s="328"/>
      <c r="AQ189" s="328"/>
      <c r="AR189" s="328"/>
      <c r="AS189" s="328"/>
      <c r="AT189" s="328"/>
      <c r="AU189" s="328"/>
    </row>
    <row r="190" ht="15.75" customHeight="1">
      <c r="A190" s="328"/>
      <c r="B190" s="328"/>
      <c r="C190" s="328"/>
      <c r="D190" s="328"/>
      <c r="E190" s="328"/>
      <c r="F190" s="328"/>
      <c r="G190" s="328"/>
      <c r="H190" s="328"/>
      <c r="I190" s="328"/>
      <c r="J190" s="328"/>
      <c r="K190" s="328"/>
      <c r="L190" s="328"/>
      <c r="M190" s="328"/>
      <c r="N190" s="328"/>
      <c r="O190" s="328"/>
      <c r="P190" s="328"/>
      <c r="Q190" s="328"/>
      <c r="R190" s="328"/>
      <c r="S190" s="328"/>
      <c r="T190" s="328"/>
      <c r="U190" s="328"/>
      <c r="V190" s="328"/>
      <c r="W190" s="328"/>
      <c r="X190" s="328"/>
      <c r="Y190" s="328"/>
      <c r="Z190" s="328"/>
      <c r="AA190" s="328"/>
      <c r="AB190" s="328"/>
      <c r="AC190" s="328"/>
      <c r="AD190" s="328"/>
      <c r="AE190" s="328"/>
      <c r="AF190" s="328"/>
      <c r="AG190" s="328"/>
      <c r="AH190" s="328"/>
      <c r="AI190" s="328"/>
      <c r="AJ190" s="328"/>
      <c r="AK190" s="328"/>
      <c r="AL190" s="328"/>
      <c r="AM190" s="328"/>
      <c r="AN190" s="328"/>
      <c r="AO190" s="328"/>
      <c r="AP190" s="328"/>
      <c r="AQ190" s="328"/>
      <c r="AR190" s="328"/>
      <c r="AS190" s="328"/>
      <c r="AT190" s="328"/>
      <c r="AU190" s="328"/>
    </row>
    <row r="191" ht="15.75" customHeight="1">
      <c r="A191" s="328"/>
      <c r="B191" s="328"/>
      <c r="C191" s="328"/>
      <c r="D191" s="328"/>
      <c r="E191" s="328"/>
      <c r="F191" s="328"/>
      <c r="G191" s="328"/>
      <c r="H191" s="328"/>
      <c r="I191" s="328"/>
      <c r="J191" s="328"/>
      <c r="K191" s="328"/>
      <c r="L191" s="328"/>
      <c r="M191" s="328"/>
      <c r="N191" s="328"/>
      <c r="O191" s="328"/>
      <c r="P191" s="328"/>
      <c r="Q191" s="328"/>
      <c r="R191" s="328"/>
      <c r="S191" s="328"/>
      <c r="T191" s="328"/>
      <c r="U191" s="328"/>
      <c r="V191" s="328"/>
      <c r="W191" s="328"/>
      <c r="X191" s="328"/>
      <c r="Y191" s="328"/>
      <c r="Z191" s="328"/>
      <c r="AA191" s="328"/>
      <c r="AB191" s="328"/>
      <c r="AC191" s="328"/>
      <c r="AD191" s="328"/>
      <c r="AE191" s="328"/>
      <c r="AF191" s="328"/>
      <c r="AG191" s="328"/>
      <c r="AH191" s="328"/>
      <c r="AI191" s="328"/>
      <c r="AJ191" s="328"/>
      <c r="AK191" s="328"/>
      <c r="AL191" s="328"/>
      <c r="AM191" s="328"/>
      <c r="AN191" s="328"/>
      <c r="AO191" s="328"/>
      <c r="AP191" s="328"/>
      <c r="AQ191" s="328"/>
      <c r="AR191" s="328"/>
      <c r="AS191" s="328"/>
      <c r="AT191" s="328"/>
      <c r="AU191" s="328"/>
    </row>
    <row r="192" ht="15.75" customHeight="1">
      <c r="A192" s="328"/>
      <c r="B192" s="328"/>
      <c r="C192" s="328"/>
      <c r="D192" s="328"/>
      <c r="E192" s="328"/>
      <c r="F192" s="328"/>
      <c r="G192" s="328"/>
      <c r="H192" s="328"/>
      <c r="I192" s="328"/>
      <c r="J192" s="328"/>
      <c r="K192" s="328"/>
      <c r="L192" s="328"/>
      <c r="M192" s="328"/>
      <c r="N192" s="328"/>
      <c r="O192" s="328"/>
      <c r="P192" s="328"/>
      <c r="Q192" s="328"/>
      <c r="R192" s="328"/>
      <c r="S192" s="328"/>
      <c r="T192" s="328"/>
      <c r="U192" s="328"/>
      <c r="V192" s="328"/>
      <c r="W192" s="328"/>
      <c r="X192" s="328"/>
      <c r="Y192" s="328"/>
      <c r="Z192" s="328"/>
      <c r="AA192" s="328"/>
      <c r="AB192" s="328"/>
      <c r="AC192" s="328"/>
      <c r="AD192" s="328"/>
      <c r="AE192" s="328"/>
      <c r="AF192" s="328"/>
      <c r="AG192" s="328"/>
      <c r="AH192" s="328"/>
      <c r="AI192" s="328"/>
      <c r="AJ192" s="328"/>
      <c r="AK192" s="328"/>
      <c r="AL192" s="328"/>
      <c r="AM192" s="328"/>
      <c r="AN192" s="328"/>
      <c r="AO192" s="328"/>
      <c r="AP192" s="328"/>
      <c r="AQ192" s="328"/>
      <c r="AR192" s="328"/>
      <c r="AS192" s="328"/>
      <c r="AT192" s="328"/>
      <c r="AU192" s="328"/>
    </row>
    <row r="193" ht="15.75" customHeight="1">
      <c r="A193" s="328"/>
      <c r="B193" s="328"/>
      <c r="C193" s="328"/>
      <c r="D193" s="328"/>
      <c r="E193" s="328"/>
      <c r="F193" s="328"/>
      <c r="G193" s="328"/>
      <c r="H193" s="328"/>
      <c r="I193" s="328"/>
      <c r="J193" s="328"/>
      <c r="K193" s="328"/>
      <c r="L193" s="328"/>
      <c r="M193" s="328"/>
      <c r="N193" s="328"/>
      <c r="O193" s="328"/>
      <c r="P193" s="328"/>
      <c r="Q193" s="328"/>
      <c r="R193" s="328"/>
      <c r="S193" s="328"/>
      <c r="T193" s="328"/>
      <c r="U193" s="328"/>
      <c r="V193" s="328"/>
      <c r="W193" s="328"/>
      <c r="X193" s="328"/>
      <c r="Y193" s="328"/>
      <c r="Z193" s="328"/>
      <c r="AA193" s="328"/>
      <c r="AB193" s="328"/>
      <c r="AC193" s="328"/>
      <c r="AD193" s="328"/>
      <c r="AE193" s="328"/>
      <c r="AF193" s="328"/>
      <c r="AG193" s="328"/>
      <c r="AH193" s="328"/>
      <c r="AI193" s="328"/>
      <c r="AJ193" s="328"/>
      <c r="AK193" s="328"/>
      <c r="AL193" s="328"/>
      <c r="AM193" s="328"/>
      <c r="AN193" s="328"/>
      <c r="AO193" s="328"/>
      <c r="AP193" s="328"/>
      <c r="AQ193" s="328"/>
      <c r="AR193" s="328"/>
      <c r="AS193" s="328"/>
      <c r="AT193" s="328"/>
      <c r="AU193" s="328"/>
    </row>
    <row r="194" ht="15.75" customHeight="1">
      <c r="A194" s="328"/>
      <c r="B194" s="328"/>
      <c r="C194" s="328"/>
      <c r="D194" s="328"/>
      <c r="E194" s="328"/>
      <c r="F194" s="328"/>
      <c r="G194" s="328"/>
      <c r="H194" s="328"/>
      <c r="I194" s="328"/>
      <c r="J194" s="328"/>
      <c r="K194" s="328"/>
      <c r="L194" s="328"/>
      <c r="M194" s="328"/>
      <c r="N194" s="328"/>
      <c r="O194" s="328"/>
      <c r="P194" s="328"/>
      <c r="Q194" s="328"/>
      <c r="R194" s="328"/>
      <c r="S194" s="328"/>
      <c r="T194" s="328"/>
      <c r="U194" s="328"/>
      <c r="V194" s="328"/>
      <c r="W194" s="328"/>
      <c r="X194" s="328"/>
      <c r="Y194" s="328"/>
      <c r="Z194" s="328"/>
      <c r="AA194" s="328"/>
      <c r="AB194" s="328"/>
      <c r="AC194" s="328"/>
      <c r="AD194" s="328"/>
      <c r="AE194" s="328"/>
      <c r="AF194" s="328"/>
      <c r="AG194" s="328"/>
      <c r="AH194" s="328"/>
      <c r="AI194" s="328"/>
      <c r="AJ194" s="328"/>
      <c r="AK194" s="328"/>
      <c r="AL194" s="328"/>
      <c r="AM194" s="328"/>
      <c r="AN194" s="328"/>
      <c r="AO194" s="328"/>
      <c r="AP194" s="328"/>
      <c r="AQ194" s="328"/>
      <c r="AR194" s="328"/>
      <c r="AS194" s="328"/>
      <c r="AT194" s="328"/>
      <c r="AU194" s="328"/>
    </row>
    <row r="195" ht="15.75" customHeight="1">
      <c r="A195" s="328"/>
      <c r="B195" s="328"/>
      <c r="C195" s="328"/>
      <c r="D195" s="328"/>
      <c r="E195" s="328"/>
      <c r="F195" s="328"/>
      <c r="G195" s="328"/>
      <c r="H195" s="328"/>
      <c r="I195" s="328"/>
      <c r="J195" s="328"/>
      <c r="K195" s="328"/>
      <c r="L195" s="328"/>
      <c r="M195" s="328"/>
      <c r="N195" s="328"/>
      <c r="O195" s="328"/>
      <c r="P195" s="328"/>
      <c r="Q195" s="328"/>
      <c r="R195" s="328"/>
      <c r="S195" s="328"/>
      <c r="T195" s="328"/>
      <c r="U195" s="328"/>
      <c r="V195" s="328"/>
      <c r="W195" s="328"/>
      <c r="X195" s="328"/>
      <c r="Y195" s="328"/>
      <c r="Z195" s="328"/>
      <c r="AA195" s="328"/>
      <c r="AB195" s="328"/>
      <c r="AC195" s="328"/>
      <c r="AD195" s="328"/>
      <c r="AE195" s="328"/>
      <c r="AF195" s="328"/>
      <c r="AG195" s="328"/>
      <c r="AH195" s="328"/>
      <c r="AI195" s="328"/>
      <c r="AJ195" s="328"/>
      <c r="AK195" s="328"/>
      <c r="AL195" s="328"/>
      <c r="AM195" s="328"/>
      <c r="AN195" s="328"/>
      <c r="AO195" s="328"/>
      <c r="AP195" s="328"/>
      <c r="AQ195" s="328"/>
      <c r="AR195" s="328"/>
      <c r="AS195" s="328"/>
      <c r="AT195" s="328"/>
      <c r="AU195" s="328"/>
    </row>
    <row r="196" ht="15.75" customHeight="1">
      <c r="A196" s="328"/>
      <c r="B196" s="328"/>
      <c r="C196" s="328"/>
      <c r="D196" s="328"/>
      <c r="E196" s="328"/>
      <c r="F196" s="328"/>
      <c r="G196" s="328"/>
      <c r="H196" s="328"/>
      <c r="I196" s="328"/>
      <c r="J196" s="328"/>
      <c r="K196" s="328"/>
      <c r="L196" s="328"/>
      <c r="M196" s="328"/>
      <c r="N196" s="328"/>
      <c r="O196" s="328"/>
      <c r="P196" s="328"/>
      <c r="Q196" s="328"/>
      <c r="R196" s="328"/>
      <c r="S196" s="328"/>
      <c r="T196" s="328"/>
      <c r="U196" s="328"/>
      <c r="V196" s="328"/>
      <c r="W196" s="328"/>
      <c r="X196" s="328"/>
      <c r="Y196" s="328"/>
      <c r="Z196" s="328"/>
      <c r="AA196" s="328"/>
      <c r="AB196" s="328"/>
      <c r="AC196" s="328"/>
      <c r="AD196" s="328"/>
      <c r="AE196" s="328"/>
      <c r="AF196" s="328"/>
      <c r="AG196" s="328"/>
      <c r="AH196" s="328"/>
      <c r="AI196" s="328"/>
      <c r="AJ196" s="328"/>
      <c r="AK196" s="328"/>
      <c r="AL196" s="328"/>
      <c r="AM196" s="328"/>
      <c r="AN196" s="328"/>
      <c r="AO196" s="328"/>
      <c r="AP196" s="328"/>
      <c r="AQ196" s="328"/>
      <c r="AR196" s="328"/>
      <c r="AS196" s="328"/>
      <c r="AT196" s="328"/>
      <c r="AU196" s="328"/>
    </row>
    <row r="197" ht="15.75" customHeight="1">
      <c r="A197" s="328"/>
      <c r="B197" s="328"/>
      <c r="C197" s="328"/>
      <c r="D197" s="328"/>
      <c r="E197" s="328"/>
      <c r="F197" s="328"/>
      <c r="G197" s="328"/>
      <c r="H197" s="328"/>
      <c r="I197" s="328"/>
      <c r="J197" s="328"/>
      <c r="K197" s="328"/>
      <c r="L197" s="328"/>
      <c r="M197" s="328"/>
      <c r="N197" s="328"/>
      <c r="O197" s="328"/>
      <c r="P197" s="328"/>
      <c r="Q197" s="328"/>
      <c r="R197" s="328"/>
      <c r="S197" s="328"/>
      <c r="T197" s="328"/>
      <c r="U197" s="328"/>
      <c r="V197" s="328"/>
      <c r="W197" s="328"/>
      <c r="X197" s="328"/>
      <c r="Y197" s="328"/>
      <c r="Z197" s="328"/>
      <c r="AA197" s="328"/>
      <c r="AB197" s="328"/>
      <c r="AC197" s="328"/>
      <c r="AD197" s="328"/>
      <c r="AE197" s="328"/>
      <c r="AF197" s="328"/>
      <c r="AG197" s="328"/>
      <c r="AH197" s="328"/>
      <c r="AI197" s="328"/>
      <c r="AJ197" s="328"/>
      <c r="AK197" s="328"/>
      <c r="AL197" s="328"/>
      <c r="AM197" s="328"/>
      <c r="AN197" s="328"/>
      <c r="AO197" s="328"/>
      <c r="AP197" s="328"/>
      <c r="AQ197" s="328"/>
      <c r="AR197" s="328"/>
      <c r="AS197" s="328"/>
      <c r="AT197" s="328"/>
      <c r="AU197" s="328"/>
    </row>
    <row r="198" ht="15.75" customHeight="1">
      <c r="A198" s="328"/>
      <c r="B198" s="328"/>
      <c r="C198" s="328"/>
      <c r="D198" s="328"/>
      <c r="E198" s="328"/>
      <c r="F198" s="328"/>
      <c r="G198" s="328"/>
      <c r="H198" s="328"/>
      <c r="I198" s="328"/>
      <c r="J198" s="328"/>
      <c r="K198" s="328"/>
      <c r="L198" s="328"/>
      <c r="M198" s="328"/>
      <c r="N198" s="328"/>
      <c r="O198" s="328"/>
      <c r="P198" s="328"/>
      <c r="Q198" s="328"/>
      <c r="R198" s="328"/>
      <c r="S198" s="328"/>
      <c r="T198" s="328"/>
      <c r="U198" s="328"/>
      <c r="V198" s="328"/>
      <c r="W198" s="328"/>
      <c r="X198" s="328"/>
      <c r="Y198" s="328"/>
      <c r="Z198" s="328"/>
      <c r="AA198" s="328"/>
      <c r="AB198" s="328"/>
      <c r="AC198" s="328"/>
      <c r="AD198" s="328"/>
      <c r="AE198" s="328"/>
      <c r="AF198" s="328"/>
      <c r="AG198" s="328"/>
      <c r="AH198" s="328"/>
      <c r="AI198" s="328"/>
      <c r="AJ198" s="328"/>
      <c r="AK198" s="328"/>
      <c r="AL198" s="328"/>
      <c r="AM198" s="328"/>
      <c r="AN198" s="328"/>
      <c r="AO198" s="328"/>
      <c r="AP198" s="328"/>
      <c r="AQ198" s="328"/>
      <c r="AR198" s="328"/>
      <c r="AS198" s="328"/>
      <c r="AT198" s="328"/>
      <c r="AU198" s="328"/>
    </row>
    <row r="199" ht="15.75" customHeight="1">
      <c r="A199" s="328"/>
      <c r="B199" s="328"/>
      <c r="C199" s="328"/>
      <c r="D199" s="328"/>
      <c r="E199" s="328"/>
      <c r="F199" s="328"/>
      <c r="G199" s="328"/>
      <c r="H199" s="328"/>
      <c r="I199" s="328"/>
      <c r="J199" s="328"/>
      <c r="K199" s="328"/>
      <c r="L199" s="328"/>
      <c r="M199" s="328"/>
      <c r="N199" s="328"/>
      <c r="O199" s="328"/>
      <c r="P199" s="328"/>
      <c r="Q199" s="328"/>
      <c r="R199" s="328"/>
      <c r="S199" s="328"/>
      <c r="T199" s="328"/>
      <c r="U199" s="328"/>
      <c r="V199" s="328"/>
      <c r="W199" s="328"/>
      <c r="X199" s="328"/>
      <c r="Y199" s="328"/>
      <c r="Z199" s="328"/>
      <c r="AA199" s="328"/>
      <c r="AB199" s="328"/>
      <c r="AC199" s="328"/>
      <c r="AD199" s="328"/>
      <c r="AE199" s="328"/>
      <c r="AF199" s="328"/>
      <c r="AG199" s="328"/>
      <c r="AH199" s="328"/>
      <c r="AI199" s="328"/>
      <c r="AJ199" s="328"/>
      <c r="AK199" s="328"/>
      <c r="AL199" s="328"/>
      <c r="AM199" s="328"/>
      <c r="AN199" s="328"/>
      <c r="AO199" s="328"/>
      <c r="AP199" s="328"/>
      <c r="AQ199" s="328"/>
      <c r="AR199" s="328"/>
      <c r="AS199" s="328"/>
      <c r="AT199" s="328"/>
      <c r="AU199" s="328"/>
    </row>
    <row r="200" ht="15.75" customHeight="1">
      <c r="A200" s="328"/>
      <c r="B200" s="328"/>
      <c r="C200" s="328"/>
      <c r="D200" s="328"/>
      <c r="E200" s="328"/>
      <c r="F200" s="328"/>
      <c r="G200" s="328"/>
      <c r="H200" s="328"/>
      <c r="I200" s="328"/>
      <c r="J200" s="328"/>
      <c r="K200" s="328"/>
      <c r="L200" s="328"/>
      <c r="M200" s="328"/>
      <c r="N200" s="328"/>
      <c r="O200" s="328"/>
      <c r="P200" s="328"/>
      <c r="Q200" s="328"/>
      <c r="R200" s="328"/>
      <c r="S200" s="328"/>
      <c r="T200" s="328"/>
      <c r="U200" s="328"/>
      <c r="V200" s="328"/>
      <c r="W200" s="328"/>
      <c r="X200" s="328"/>
      <c r="Y200" s="328"/>
      <c r="Z200" s="328"/>
      <c r="AA200" s="328"/>
      <c r="AB200" s="328"/>
      <c r="AC200" s="328"/>
      <c r="AD200" s="328"/>
      <c r="AE200" s="328"/>
      <c r="AF200" s="328"/>
      <c r="AG200" s="328"/>
      <c r="AH200" s="328"/>
      <c r="AI200" s="328"/>
      <c r="AJ200" s="328"/>
      <c r="AK200" s="328"/>
      <c r="AL200" s="328"/>
      <c r="AM200" s="328"/>
      <c r="AN200" s="328"/>
      <c r="AO200" s="328"/>
      <c r="AP200" s="328"/>
      <c r="AQ200" s="328"/>
      <c r="AR200" s="328"/>
      <c r="AS200" s="328"/>
      <c r="AT200" s="328"/>
      <c r="AU200" s="328"/>
    </row>
    <row r="201" ht="15.75" customHeight="1">
      <c r="A201" s="328"/>
      <c r="B201" s="328"/>
      <c r="C201" s="328"/>
      <c r="D201" s="328"/>
      <c r="E201" s="328"/>
      <c r="F201" s="328"/>
      <c r="G201" s="328"/>
      <c r="H201" s="328"/>
      <c r="I201" s="328"/>
      <c r="J201" s="328"/>
      <c r="K201" s="328"/>
      <c r="L201" s="328"/>
      <c r="M201" s="328"/>
      <c r="N201" s="328"/>
      <c r="O201" s="328"/>
      <c r="P201" s="328"/>
      <c r="Q201" s="328"/>
      <c r="R201" s="328"/>
      <c r="S201" s="328"/>
      <c r="T201" s="328"/>
      <c r="U201" s="328"/>
      <c r="V201" s="328"/>
      <c r="W201" s="328"/>
      <c r="X201" s="328"/>
      <c r="Y201" s="328"/>
      <c r="Z201" s="328"/>
      <c r="AA201" s="328"/>
      <c r="AB201" s="328"/>
      <c r="AC201" s="328"/>
      <c r="AD201" s="328"/>
      <c r="AE201" s="328"/>
      <c r="AF201" s="328"/>
      <c r="AG201" s="328"/>
      <c r="AH201" s="328"/>
      <c r="AI201" s="328"/>
      <c r="AJ201" s="328"/>
      <c r="AK201" s="328"/>
      <c r="AL201" s="328"/>
      <c r="AM201" s="328"/>
      <c r="AN201" s="328"/>
      <c r="AO201" s="328"/>
      <c r="AP201" s="328"/>
      <c r="AQ201" s="328"/>
      <c r="AR201" s="328"/>
      <c r="AS201" s="328"/>
      <c r="AT201" s="328"/>
      <c r="AU201" s="328"/>
    </row>
    <row r="202" ht="15.75" customHeight="1">
      <c r="A202" s="328"/>
      <c r="B202" s="328"/>
      <c r="C202" s="328"/>
      <c r="D202" s="328"/>
      <c r="E202" s="328"/>
      <c r="F202" s="328"/>
      <c r="G202" s="328"/>
      <c r="H202" s="328"/>
      <c r="I202" s="328"/>
      <c r="J202" s="328"/>
      <c r="K202" s="328"/>
      <c r="L202" s="328"/>
      <c r="M202" s="328"/>
      <c r="N202" s="328"/>
      <c r="O202" s="328"/>
      <c r="P202" s="328"/>
      <c r="Q202" s="328"/>
      <c r="R202" s="328"/>
      <c r="S202" s="328"/>
      <c r="T202" s="328"/>
      <c r="U202" s="328"/>
      <c r="V202" s="328"/>
      <c r="W202" s="328"/>
      <c r="X202" s="328"/>
      <c r="Y202" s="328"/>
      <c r="Z202" s="328"/>
      <c r="AA202" s="328"/>
      <c r="AB202" s="328"/>
      <c r="AC202" s="328"/>
      <c r="AD202" s="328"/>
      <c r="AE202" s="328"/>
      <c r="AF202" s="328"/>
      <c r="AG202" s="328"/>
      <c r="AH202" s="328"/>
      <c r="AI202" s="328"/>
      <c r="AJ202" s="328"/>
      <c r="AK202" s="328"/>
      <c r="AL202" s="328"/>
      <c r="AM202" s="328"/>
      <c r="AN202" s="328"/>
      <c r="AO202" s="328"/>
      <c r="AP202" s="328"/>
      <c r="AQ202" s="328"/>
      <c r="AR202" s="328"/>
      <c r="AS202" s="328"/>
      <c r="AT202" s="328"/>
      <c r="AU202" s="328"/>
    </row>
    <row r="203" ht="15.75" customHeight="1">
      <c r="A203" s="328"/>
      <c r="B203" s="328"/>
      <c r="C203" s="328"/>
      <c r="D203" s="328"/>
      <c r="E203" s="328"/>
      <c r="F203" s="328"/>
      <c r="G203" s="328"/>
      <c r="H203" s="328"/>
      <c r="I203" s="328"/>
      <c r="J203" s="328"/>
      <c r="K203" s="328"/>
      <c r="L203" s="328"/>
      <c r="M203" s="328"/>
      <c r="N203" s="328"/>
      <c r="O203" s="328"/>
      <c r="P203" s="328"/>
      <c r="Q203" s="328"/>
      <c r="R203" s="328"/>
      <c r="S203" s="328"/>
      <c r="T203" s="328"/>
      <c r="U203" s="328"/>
      <c r="V203" s="328"/>
      <c r="W203" s="328"/>
      <c r="X203" s="328"/>
      <c r="Y203" s="328"/>
      <c r="Z203" s="328"/>
      <c r="AA203" s="328"/>
      <c r="AB203" s="328"/>
      <c r="AC203" s="328"/>
      <c r="AD203" s="328"/>
      <c r="AE203" s="328"/>
      <c r="AF203" s="328"/>
      <c r="AG203" s="328"/>
      <c r="AH203" s="328"/>
      <c r="AI203" s="328"/>
      <c r="AJ203" s="328"/>
      <c r="AK203" s="328"/>
      <c r="AL203" s="328"/>
      <c r="AM203" s="328"/>
      <c r="AN203" s="328"/>
      <c r="AO203" s="328"/>
      <c r="AP203" s="328"/>
      <c r="AQ203" s="328"/>
      <c r="AR203" s="328"/>
      <c r="AS203" s="328"/>
      <c r="AT203" s="328"/>
      <c r="AU203" s="328"/>
    </row>
    <row r="204" ht="15.75" customHeight="1">
      <c r="A204" s="328"/>
      <c r="B204" s="328"/>
      <c r="C204" s="328"/>
      <c r="D204" s="328"/>
      <c r="E204" s="328"/>
      <c r="F204" s="328"/>
      <c r="G204" s="328"/>
      <c r="H204" s="328"/>
      <c r="I204" s="328"/>
      <c r="J204" s="328"/>
      <c r="K204" s="328"/>
      <c r="L204" s="328"/>
      <c r="M204" s="328"/>
      <c r="N204" s="328"/>
      <c r="O204" s="328"/>
      <c r="P204" s="328"/>
      <c r="Q204" s="328"/>
      <c r="R204" s="328"/>
      <c r="S204" s="328"/>
      <c r="T204" s="328"/>
      <c r="U204" s="328"/>
      <c r="V204" s="328"/>
      <c r="W204" s="328"/>
      <c r="X204" s="328"/>
      <c r="Y204" s="328"/>
      <c r="Z204" s="328"/>
      <c r="AA204" s="328"/>
      <c r="AB204" s="328"/>
      <c r="AC204" s="328"/>
      <c r="AD204" s="328"/>
      <c r="AE204" s="328"/>
      <c r="AF204" s="328"/>
      <c r="AG204" s="328"/>
      <c r="AH204" s="328"/>
      <c r="AI204" s="328"/>
      <c r="AJ204" s="328"/>
      <c r="AK204" s="328"/>
      <c r="AL204" s="328"/>
      <c r="AM204" s="328"/>
      <c r="AN204" s="328"/>
      <c r="AO204" s="328"/>
      <c r="AP204" s="328"/>
      <c r="AQ204" s="328"/>
      <c r="AR204" s="328"/>
      <c r="AS204" s="328"/>
      <c r="AT204" s="328"/>
      <c r="AU204" s="328"/>
    </row>
    <row r="205" ht="15.75" customHeight="1">
      <c r="A205" s="328"/>
      <c r="B205" s="328"/>
      <c r="C205" s="328"/>
      <c r="D205" s="328"/>
      <c r="E205" s="328"/>
      <c r="F205" s="328"/>
      <c r="G205" s="328"/>
      <c r="H205" s="328"/>
      <c r="I205" s="328"/>
      <c r="J205" s="328"/>
      <c r="K205" s="328"/>
      <c r="L205" s="328"/>
      <c r="M205" s="328"/>
      <c r="N205" s="328"/>
      <c r="O205" s="328"/>
      <c r="P205" s="328"/>
      <c r="Q205" s="328"/>
      <c r="R205" s="328"/>
      <c r="S205" s="328"/>
      <c r="T205" s="328"/>
      <c r="U205" s="328"/>
      <c r="V205" s="328"/>
      <c r="W205" s="328"/>
      <c r="X205" s="328"/>
      <c r="Y205" s="328"/>
      <c r="Z205" s="328"/>
      <c r="AA205" s="328"/>
      <c r="AB205" s="328"/>
      <c r="AC205" s="328"/>
      <c r="AD205" s="328"/>
      <c r="AE205" s="328"/>
      <c r="AF205" s="328"/>
      <c r="AG205" s="328"/>
      <c r="AH205" s="328"/>
      <c r="AI205" s="328"/>
      <c r="AJ205" s="328"/>
      <c r="AK205" s="328"/>
      <c r="AL205" s="328"/>
      <c r="AM205" s="328"/>
      <c r="AN205" s="328"/>
      <c r="AO205" s="328"/>
      <c r="AP205" s="328"/>
      <c r="AQ205" s="328"/>
      <c r="AR205" s="328"/>
      <c r="AS205" s="328"/>
      <c r="AT205" s="328"/>
      <c r="AU205" s="328"/>
    </row>
    <row r="206" ht="15.75" customHeight="1">
      <c r="A206" s="328"/>
      <c r="B206" s="328"/>
      <c r="C206" s="328"/>
      <c r="D206" s="328"/>
      <c r="E206" s="328"/>
      <c r="F206" s="328"/>
      <c r="G206" s="328"/>
      <c r="H206" s="328"/>
      <c r="I206" s="328"/>
      <c r="J206" s="328"/>
      <c r="K206" s="328"/>
      <c r="L206" s="328"/>
      <c r="M206" s="328"/>
      <c r="N206" s="328"/>
      <c r="O206" s="328"/>
      <c r="P206" s="328"/>
      <c r="Q206" s="328"/>
      <c r="R206" s="328"/>
      <c r="S206" s="328"/>
      <c r="T206" s="328"/>
      <c r="U206" s="328"/>
      <c r="V206" s="328"/>
      <c r="W206" s="328"/>
      <c r="X206" s="328"/>
      <c r="Y206" s="328"/>
      <c r="Z206" s="328"/>
      <c r="AA206" s="328"/>
      <c r="AB206" s="328"/>
      <c r="AC206" s="328"/>
      <c r="AD206" s="328"/>
      <c r="AE206" s="328"/>
      <c r="AF206" s="328"/>
      <c r="AG206" s="328"/>
      <c r="AH206" s="328"/>
      <c r="AI206" s="328"/>
      <c r="AJ206" s="328"/>
      <c r="AK206" s="328"/>
      <c r="AL206" s="328"/>
      <c r="AM206" s="328"/>
      <c r="AN206" s="328"/>
      <c r="AO206" s="328"/>
      <c r="AP206" s="328"/>
      <c r="AQ206" s="328"/>
      <c r="AR206" s="328"/>
      <c r="AS206" s="328"/>
      <c r="AT206" s="328"/>
      <c r="AU206" s="328"/>
    </row>
    <row r="207" ht="15.75" customHeight="1">
      <c r="A207" s="328"/>
      <c r="B207" s="328"/>
      <c r="C207" s="328"/>
      <c r="D207" s="328"/>
      <c r="E207" s="328"/>
      <c r="F207" s="328"/>
      <c r="G207" s="328"/>
      <c r="H207" s="328"/>
      <c r="I207" s="328"/>
      <c r="J207" s="328"/>
      <c r="K207" s="328"/>
      <c r="L207" s="328"/>
      <c r="M207" s="328"/>
      <c r="N207" s="328"/>
      <c r="O207" s="328"/>
      <c r="P207" s="328"/>
      <c r="Q207" s="328"/>
      <c r="R207" s="328"/>
      <c r="S207" s="328"/>
      <c r="T207" s="328"/>
      <c r="U207" s="328"/>
      <c r="V207" s="328"/>
      <c r="W207" s="328"/>
      <c r="X207" s="328"/>
      <c r="Y207" s="328"/>
      <c r="Z207" s="328"/>
      <c r="AA207" s="328"/>
      <c r="AB207" s="328"/>
      <c r="AC207" s="328"/>
      <c r="AD207" s="328"/>
      <c r="AE207" s="328"/>
      <c r="AF207" s="328"/>
      <c r="AG207" s="328"/>
      <c r="AH207" s="328"/>
      <c r="AI207" s="328"/>
      <c r="AJ207" s="328"/>
      <c r="AK207" s="328"/>
      <c r="AL207" s="328"/>
      <c r="AM207" s="328"/>
      <c r="AN207" s="328"/>
      <c r="AO207" s="328"/>
      <c r="AP207" s="328"/>
      <c r="AQ207" s="328"/>
      <c r="AR207" s="328"/>
      <c r="AS207" s="328"/>
      <c r="AT207" s="328"/>
      <c r="AU207" s="328"/>
    </row>
    <row r="208" ht="15.75" customHeight="1">
      <c r="A208" s="328"/>
      <c r="B208" s="328"/>
      <c r="C208" s="328"/>
      <c r="D208" s="328"/>
      <c r="E208" s="328"/>
      <c r="F208" s="328"/>
      <c r="G208" s="328"/>
      <c r="H208" s="328"/>
      <c r="I208" s="328"/>
      <c r="J208" s="328"/>
      <c r="K208" s="328"/>
      <c r="L208" s="328"/>
      <c r="M208" s="328"/>
      <c r="N208" s="328"/>
      <c r="O208" s="328"/>
      <c r="P208" s="328"/>
      <c r="Q208" s="328"/>
      <c r="R208" s="328"/>
      <c r="S208" s="328"/>
      <c r="T208" s="328"/>
      <c r="U208" s="328"/>
      <c r="V208" s="328"/>
      <c r="W208" s="328"/>
      <c r="X208" s="328"/>
      <c r="Y208" s="328"/>
      <c r="Z208" s="328"/>
      <c r="AA208" s="328"/>
      <c r="AB208" s="328"/>
      <c r="AC208" s="328"/>
      <c r="AD208" s="328"/>
      <c r="AE208" s="328"/>
      <c r="AF208" s="328"/>
      <c r="AG208" s="328"/>
      <c r="AH208" s="328"/>
      <c r="AI208" s="328"/>
      <c r="AJ208" s="328"/>
      <c r="AK208" s="328"/>
      <c r="AL208" s="328"/>
      <c r="AM208" s="328"/>
      <c r="AN208" s="328"/>
      <c r="AO208" s="328"/>
      <c r="AP208" s="328"/>
      <c r="AQ208" s="328"/>
      <c r="AR208" s="328"/>
      <c r="AS208" s="328"/>
      <c r="AT208" s="328"/>
      <c r="AU208" s="328"/>
    </row>
    <row r="209" ht="15.75" customHeight="1">
      <c r="A209" s="328"/>
      <c r="B209" s="328"/>
      <c r="C209" s="328"/>
      <c r="D209" s="328"/>
      <c r="E209" s="328"/>
      <c r="F209" s="328"/>
      <c r="G209" s="328"/>
      <c r="H209" s="328"/>
      <c r="I209" s="328"/>
      <c r="J209" s="328"/>
      <c r="K209" s="328"/>
      <c r="L209" s="328"/>
      <c r="M209" s="328"/>
      <c r="N209" s="328"/>
      <c r="O209" s="328"/>
      <c r="P209" s="328"/>
      <c r="Q209" s="328"/>
      <c r="R209" s="328"/>
      <c r="S209" s="328"/>
      <c r="T209" s="328"/>
      <c r="U209" s="328"/>
      <c r="V209" s="328"/>
      <c r="W209" s="328"/>
      <c r="X209" s="328"/>
      <c r="Y209" s="328"/>
      <c r="Z209" s="328"/>
      <c r="AA209" s="328"/>
      <c r="AB209" s="328"/>
      <c r="AC209" s="328"/>
      <c r="AD209" s="328"/>
      <c r="AE209" s="328"/>
      <c r="AF209" s="328"/>
      <c r="AG209" s="328"/>
      <c r="AH209" s="328"/>
      <c r="AI209" s="328"/>
      <c r="AJ209" s="328"/>
      <c r="AK209" s="328"/>
      <c r="AL209" s="328"/>
      <c r="AM209" s="328"/>
      <c r="AN209" s="328"/>
      <c r="AO209" s="328"/>
      <c r="AP209" s="328"/>
      <c r="AQ209" s="328"/>
      <c r="AR209" s="328"/>
      <c r="AS209" s="328"/>
      <c r="AT209" s="328"/>
      <c r="AU209" s="328"/>
    </row>
    <row r="210" ht="15.75" customHeight="1">
      <c r="A210" s="328"/>
      <c r="B210" s="328"/>
      <c r="C210" s="328"/>
      <c r="D210" s="328"/>
      <c r="E210" s="328"/>
      <c r="F210" s="328"/>
      <c r="G210" s="328"/>
      <c r="H210" s="328"/>
      <c r="I210" s="328"/>
      <c r="J210" s="328"/>
      <c r="K210" s="328"/>
      <c r="L210" s="328"/>
      <c r="M210" s="328"/>
      <c r="N210" s="328"/>
      <c r="O210" s="328"/>
      <c r="P210" s="328"/>
      <c r="Q210" s="328"/>
      <c r="R210" s="328"/>
      <c r="S210" s="328"/>
      <c r="T210" s="328"/>
      <c r="U210" s="328"/>
      <c r="V210" s="328"/>
      <c r="W210" s="328"/>
      <c r="X210" s="328"/>
      <c r="Y210" s="328"/>
      <c r="Z210" s="328"/>
      <c r="AA210" s="328"/>
      <c r="AB210" s="328"/>
      <c r="AC210" s="328"/>
      <c r="AD210" s="328"/>
      <c r="AE210" s="328"/>
      <c r="AF210" s="328"/>
      <c r="AG210" s="328"/>
      <c r="AH210" s="328"/>
      <c r="AI210" s="328"/>
      <c r="AJ210" s="328"/>
      <c r="AK210" s="328"/>
      <c r="AL210" s="328"/>
      <c r="AM210" s="328"/>
      <c r="AN210" s="328"/>
      <c r="AO210" s="328"/>
      <c r="AP210" s="328"/>
      <c r="AQ210" s="328"/>
      <c r="AR210" s="328"/>
      <c r="AS210" s="328"/>
      <c r="AT210" s="328"/>
      <c r="AU210" s="328"/>
    </row>
    <row r="211" ht="15.75" customHeight="1">
      <c r="A211" s="328"/>
      <c r="B211" s="328"/>
      <c r="C211" s="328"/>
      <c r="D211" s="328"/>
      <c r="E211" s="328"/>
      <c r="F211" s="328"/>
      <c r="G211" s="328"/>
      <c r="H211" s="328"/>
      <c r="I211" s="328"/>
      <c r="J211" s="328"/>
      <c r="K211" s="328"/>
      <c r="L211" s="328"/>
      <c r="M211" s="328"/>
      <c r="N211" s="328"/>
      <c r="O211" s="328"/>
      <c r="P211" s="328"/>
      <c r="Q211" s="328"/>
      <c r="R211" s="328"/>
      <c r="S211" s="328"/>
      <c r="T211" s="328"/>
      <c r="U211" s="328"/>
      <c r="V211" s="328"/>
      <c r="W211" s="328"/>
      <c r="X211" s="328"/>
      <c r="Y211" s="328"/>
      <c r="Z211" s="328"/>
      <c r="AA211" s="328"/>
      <c r="AB211" s="328"/>
      <c r="AC211" s="328"/>
      <c r="AD211" s="328"/>
      <c r="AE211" s="328"/>
      <c r="AF211" s="328"/>
      <c r="AG211" s="328"/>
      <c r="AH211" s="328"/>
      <c r="AI211" s="328"/>
      <c r="AJ211" s="328"/>
      <c r="AK211" s="328"/>
      <c r="AL211" s="328"/>
      <c r="AM211" s="328"/>
      <c r="AN211" s="328"/>
      <c r="AO211" s="328"/>
      <c r="AP211" s="328"/>
      <c r="AQ211" s="328"/>
      <c r="AR211" s="328"/>
      <c r="AS211" s="328"/>
      <c r="AT211" s="328"/>
      <c r="AU211" s="328"/>
    </row>
    <row r="212" ht="15.75" customHeight="1">
      <c r="A212" s="328"/>
      <c r="B212" s="328"/>
      <c r="C212" s="328"/>
      <c r="D212" s="328"/>
      <c r="E212" s="328"/>
      <c r="F212" s="328"/>
      <c r="G212" s="328"/>
      <c r="H212" s="328"/>
      <c r="I212" s="328"/>
      <c r="J212" s="328"/>
      <c r="K212" s="328"/>
      <c r="L212" s="328"/>
      <c r="M212" s="328"/>
      <c r="N212" s="328"/>
      <c r="O212" s="328"/>
      <c r="P212" s="328"/>
      <c r="Q212" s="328"/>
      <c r="R212" s="328"/>
      <c r="S212" s="328"/>
      <c r="T212" s="328"/>
      <c r="U212" s="328"/>
      <c r="V212" s="328"/>
      <c r="W212" s="328"/>
      <c r="X212" s="328"/>
      <c r="Y212" s="328"/>
      <c r="Z212" s="328"/>
      <c r="AA212" s="328"/>
      <c r="AB212" s="328"/>
      <c r="AC212" s="328"/>
      <c r="AD212" s="328"/>
      <c r="AE212" s="328"/>
      <c r="AF212" s="328"/>
      <c r="AG212" s="328"/>
      <c r="AH212" s="328"/>
      <c r="AI212" s="328"/>
      <c r="AJ212" s="328"/>
      <c r="AK212" s="328"/>
      <c r="AL212" s="328"/>
      <c r="AM212" s="328"/>
      <c r="AN212" s="328"/>
      <c r="AO212" s="328"/>
      <c r="AP212" s="328"/>
      <c r="AQ212" s="328"/>
      <c r="AR212" s="328"/>
      <c r="AS212" s="328"/>
      <c r="AT212" s="328"/>
      <c r="AU212" s="328"/>
    </row>
    <row r="213" ht="15.75" customHeight="1">
      <c r="A213" s="328"/>
      <c r="B213" s="328"/>
      <c r="C213" s="328"/>
      <c r="D213" s="328"/>
      <c r="E213" s="328"/>
      <c r="F213" s="328"/>
      <c r="G213" s="328"/>
      <c r="H213" s="328"/>
      <c r="I213" s="328"/>
      <c r="J213" s="328"/>
      <c r="K213" s="328"/>
      <c r="L213" s="328"/>
      <c r="M213" s="328"/>
      <c r="N213" s="328"/>
      <c r="O213" s="328"/>
      <c r="P213" s="328"/>
      <c r="Q213" s="328"/>
      <c r="R213" s="328"/>
      <c r="S213" s="328"/>
      <c r="T213" s="328"/>
      <c r="U213" s="328"/>
      <c r="V213" s="328"/>
      <c r="W213" s="328"/>
      <c r="X213" s="328"/>
      <c r="Y213" s="328"/>
      <c r="Z213" s="328"/>
      <c r="AA213" s="328"/>
      <c r="AB213" s="328"/>
      <c r="AC213" s="328"/>
      <c r="AD213" s="328"/>
      <c r="AE213" s="328"/>
      <c r="AF213" s="328"/>
      <c r="AG213" s="328"/>
      <c r="AH213" s="328"/>
      <c r="AI213" s="328"/>
      <c r="AJ213" s="328"/>
      <c r="AK213" s="328"/>
      <c r="AL213" s="328"/>
      <c r="AM213" s="328"/>
      <c r="AN213" s="328"/>
      <c r="AO213" s="328"/>
      <c r="AP213" s="328"/>
      <c r="AQ213" s="328"/>
      <c r="AR213" s="328"/>
      <c r="AS213" s="328"/>
      <c r="AT213" s="328"/>
      <c r="AU213" s="328"/>
    </row>
    <row r="214" ht="15.75" customHeight="1">
      <c r="A214" s="328"/>
      <c r="B214" s="328"/>
      <c r="C214" s="328"/>
      <c r="D214" s="328"/>
      <c r="E214" s="328"/>
      <c r="F214" s="328"/>
      <c r="G214" s="328"/>
      <c r="H214" s="328"/>
      <c r="I214" s="328"/>
      <c r="J214" s="328"/>
      <c r="K214" s="328"/>
      <c r="L214" s="328"/>
      <c r="M214" s="328"/>
      <c r="N214" s="328"/>
      <c r="O214" s="328"/>
      <c r="P214" s="328"/>
      <c r="Q214" s="328"/>
      <c r="R214" s="328"/>
      <c r="S214" s="328"/>
      <c r="T214" s="328"/>
      <c r="U214" s="328"/>
      <c r="V214" s="328"/>
      <c r="W214" s="328"/>
      <c r="X214" s="328"/>
      <c r="Y214" s="328"/>
      <c r="Z214" s="328"/>
      <c r="AA214" s="328"/>
      <c r="AB214" s="328"/>
      <c r="AC214" s="328"/>
      <c r="AD214" s="328"/>
      <c r="AE214" s="328"/>
      <c r="AF214" s="328"/>
      <c r="AG214" s="328"/>
      <c r="AH214" s="328"/>
      <c r="AI214" s="328"/>
      <c r="AJ214" s="328"/>
      <c r="AK214" s="328"/>
      <c r="AL214" s="328"/>
      <c r="AM214" s="328"/>
      <c r="AN214" s="328"/>
      <c r="AO214" s="328"/>
      <c r="AP214" s="328"/>
      <c r="AQ214" s="328"/>
      <c r="AR214" s="328"/>
      <c r="AS214" s="328"/>
      <c r="AT214" s="328"/>
      <c r="AU214" s="328"/>
    </row>
    <row r="215" ht="15.75" customHeight="1">
      <c r="A215" s="328"/>
      <c r="B215" s="328"/>
      <c r="C215" s="328"/>
      <c r="D215" s="328"/>
      <c r="E215" s="328"/>
      <c r="F215" s="328"/>
      <c r="G215" s="328"/>
      <c r="H215" s="328"/>
      <c r="I215" s="328"/>
      <c r="J215" s="328"/>
      <c r="K215" s="328"/>
      <c r="L215" s="328"/>
      <c r="M215" s="328"/>
      <c r="N215" s="328"/>
      <c r="O215" s="328"/>
      <c r="P215" s="328"/>
      <c r="Q215" s="328"/>
      <c r="R215" s="328"/>
      <c r="S215" s="328"/>
      <c r="T215" s="328"/>
      <c r="U215" s="328"/>
      <c r="V215" s="328"/>
      <c r="W215" s="328"/>
      <c r="X215" s="328"/>
      <c r="Y215" s="328"/>
      <c r="Z215" s="328"/>
      <c r="AA215" s="328"/>
      <c r="AB215" s="328"/>
      <c r="AC215" s="328"/>
      <c r="AD215" s="328"/>
      <c r="AE215" s="328"/>
      <c r="AF215" s="328"/>
      <c r="AG215" s="328"/>
      <c r="AH215" s="328"/>
      <c r="AI215" s="328"/>
      <c r="AJ215" s="328"/>
      <c r="AK215" s="328"/>
      <c r="AL215" s="328"/>
      <c r="AM215" s="328"/>
      <c r="AN215" s="328"/>
      <c r="AO215" s="328"/>
      <c r="AP215" s="328"/>
      <c r="AQ215" s="328"/>
      <c r="AR215" s="328"/>
      <c r="AS215" s="328"/>
      <c r="AT215" s="328"/>
      <c r="AU215" s="328"/>
    </row>
    <row r="216" ht="15.75" customHeight="1">
      <c r="A216" s="328"/>
      <c r="B216" s="328"/>
      <c r="C216" s="328"/>
      <c r="D216" s="328"/>
      <c r="E216" s="328"/>
      <c r="F216" s="328"/>
      <c r="G216" s="328"/>
      <c r="H216" s="328"/>
      <c r="I216" s="328"/>
      <c r="J216" s="328"/>
      <c r="K216" s="328"/>
      <c r="L216" s="328"/>
      <c r="M216" s="328"/>
      <c r="N216" s="328"/>
      <c r="O216" s="328"/>
      <c r="P216" s="328"/>
      <c r="Q216" s="328"/>
      <c r="R216" s="328"/>
      <c r="S216" s="328"/>
      <c r="T216" s="328"/>
      <c r="U216" s="328"/>
      <c r="V216" s="328"/>
      <c r="W216" s="328"/>
      <c r="X216" s="328"/>
      <c r="Y216" s="328"/>
      <c r="Z216" s="328"/>
      <c r="AA216" s="328"/>
      <c r="AB216" s="328"/>
      <c r="AC216" s="328"/>
      <c r="AD216" s="328"/>
      <c r="AE216" s="328"/>
      <c r="AF216" s="328"/>
      <c r="AG216" s="328"/>
      <c r="AH216" s="328"/>
      <c r="AI216" s="328"/>
      <c r="AJ216" s="328"/>
      <c r="AK216" s="328"/>
      <c r="AL216" s="328"/>
      <c r="AM216" s="328"/>
      <c r="AN216" s="328"/>
      <c r="AO216" s="328"/>
      <c r="AP216" s="328"/>
      <c r="AQ216" s="328"/>
      <c r="AR216" s="328"/>
      <c r="AS216" s="328"/>
      <c r="AT216" s="328"/>
      <c r="AU216" s="328"/>
    </row>
    <row r="217" ht="15.75" customHeight="1">
      <c r="A217" s="328"/>
      <c r="B217" s="328"/>
      <c r="C217" s="328"/>
      <c r="D217" s="328"/>
      <c r="E217" s="328"/>
      <c r="F217" s="328"/>
      <c r="G217" s="328"/>
      <c r="H217" s="328"/>
      <c r="I217" s="328"/>
      <c r="J217" s="328"/>
      <c r="K217" s="328"/>
      <c r="L217" s="328"/>
      <c r="M217" s="328"/>
      <c r="N217" s="328"/>
      <c r="O217" s="328"/>
      <c r="P217" s="328"/>
      <c r="Q217" s="328"/>
      <c r="R217" s="328"/>
      <c r="S217" s="328"/>
      <c r="T217" s="328"/>
      <c r="U217" s="328"/>
      <c r="V217" s="328"/>
      <c r="W217" s="328"/>
      <c r="X217" s="328"/>
      <c r="Y217" s="328"/>
      <c r="Z217" s="328"/>
      <c r="AA217" s="328"/>
      <c r="AB217" s="328"/>
      <c r="AC217" s="328"/>
      <c r="AD217" s="328"/>
      <c r="AE217" s="328"/>
      <c r="AF217" s="328"/>
      <c r="AG217" s="328"/>
      <c r="AH217" s="328"/>
      <c r="AI217" s="328"/>
      <c r="AJ217" s="328"/>
      <c r="AK217" s="328"/>
      <c r="AL217" s="328"/>
      <c r="AM217" s="328"/>
      <c r="AN217" s="328"/>
      <c r="AO217" s="328"/>
      <c r="AP217" s="328"/>
      <c r="AQ217" s="328"/>
      <c r="AR217" s="328"/>
      <c r="AS217" s="328"/>
      <c r="AT217" s="328"/>
      <c r="AU217" s="328"/>
    </row>
    <row r="218" ht="15.75" customHeight="1">
      <c r="A218" s="328"/>
      <c r="B218" s="328"/>
      <c r="C218" s="328"/>
      <c r="D218" s="328"/>
      <c r="E218" s="328"/>
      <c r="F218" s="328"/>
      <c r="G218" s="328"/>
      <c r="H218" s="328"/>
      <c r="I218" s="328"/>
      <c r="J218" s="328"/>
      <c r="K218" s="328"/>
      <c r="L218" s="328"/>
      <c r="M218" s="328"/>
      <c r="N218" s="328"/>
      <c r="O218" s="328"/>
      <c r="P218" s="328"/>
      <c r="Q218" s="328"/>
      <c r="R218" s="328"/>
      <c r="S218" s="328"/>
      <c r="T218" s="328"/>
      <c r="U218" s="328"/>
      <c r="V218" s="328"/>
      <c r="W218" s="328"/>
      <c r="X218" s="328"/>
      <c r="Y218" s="328"/>
      <c r="Z218" s="328"/>
      <c r="AA218" s="328"/>
      <c r="AB218" s="328"/>
      <c r="AC218" s="328"/>
      <c r="AD218" s="328"/>
      <c r="AE218" s="328"/>
      <c r="AF218" s="328"/>
      <c r="AG218" s="328"/>
      <c r="AH218" s="328"/>
      <c r="AI218" s="328"/>
      <c r="AJ218" s="328"/>
      <c r="AK218" s="328"/>
      <c r="AL218" s="328"/>
      <c r="AM218" s="328"/>
      <c r="AN218" s="328"/>
      <c r="AO218" s="328"/>
      <c r="AP218" s="328"/>
      <c r="AQ218" s="328"/>
      <c r="AR218" s="328"/>
      <c r="AS218" s="328"/>
      <c r="AT218" s="328"/>
      <c r="AU218" s="328"/>
    </row>
    <row r="219" ht="15.75" customHeight="1">
      <c r="A219" s="328"/>
      <c r="B219" s="328"/>
      <c r="C219" s="328"/>
      <c r="D219" s="328"/>
      <c r="E219" s="328"/>
      <c r="F219" s="328"/>
      <c r="G219" s="328"/>
      <c r="H219" s="328"/>
      <c r="I219" s="328"/>
      <c r="J219" s="328"/>
      <c r="K219" s="328"/>
      <c r="L219" s="328"/>
      <c r="M219" s="328"/>
      <c r="N219" s="328"/>
      <c r="O219" s="328"/>
      <c r="P219" s="328"/>
      <c r="Q219" s="328"/>
      <c r="R219" s="328"/>
      <c r="S219" s="328"/>
      <c r="T219" s="328"/>
      <c r="U219" s="328"/>
      <c r="V219" s="328"/>
      <c r="W219" s="328"/>
      <c r="X219" s="328"/>
      <c r="Y219" s="328"/>
      <c r="Z219" s="328"/>
      <c r="AA219" s="328"/>
      <c r="AB219" s="328"/>
      <c r="AC219" s="328"/>
      <c r="AD219" s="328"/>
      <c r="AE219" s="328"/>
      <c r="AF219" s="328"/>
      <c r="AG219" s="328"/>
      <c r="AH219" s="328"/>
      <c r="AI219" s="328"/>
      <c r="AJ219" s="328"/>
      <c r="AK219" s="328"/>
      <c r="AL219" s="328"/>
      <c r="AM219" s="328"/>
      <c r="AN219" s="328"/>
      <c r="AO219" s="328"/>
      <c r="AP219" s="328"/>
      <c r="AQ219" s="328"/>
      <c r="AR219" s="328"/>
      <c r="AS219" s="328"/>
      <c r="AT219" s="328"/>
      <c r="AU219" s="328"/>
    </row>
    <row r="220" ht="15.75" customHeight="1">
      <c r="A220" s="328"/>
      <c r="B220" s="328"/>
      <c r="C220" s="328"/>
      <c r="D220" s="328"/>
      <c r="E220" s="328"/>
      <c r="F220" s="328"/>
      <c r="G220" s="328"/>
      <c r="H220" s="328"/>
      <c r="I220" s="328"/>
      <c r="J220" s="328"/>
      <c r="K220" s="328"/>
      <c r="L220" s="328"/>
      <c r="M220" s="328"/>
      <c r="N220" s="328"/>
      <c r="O220" s="328"/>
      <c r="P220" s="328"/>
      <c r="Q220" s="328"/>
      <c r="R220" s="328"/>
      <c r="S220" s="328"/>
      <c r="T220" s="328"/>
      <c r="U220" s="328"/>
      <c r="V220" s="328"/>
      <c r="W220" s="328"/>
      <c r="X220" s="328"/>
      <c r="Y220" s="328"/>
      <c r="Z220" s="328"/>
      <c r="AA220" s="328"/>
      <c r="AB220" s="328"/>
      <c r="AC220" s="328"/>
      <c r="AD220" s="328"/>
      <c r="AE220" s="328"/>
      <c r="AF220" s="328"/>
      <c r="AG220" s="328"/>
      <c r="AH220" s="328"/>
      <c r="AI220" s="328"/>
      <c r="AJ220" s="328"/>
      <c r="AK220" s="328"/>
      <c r="AL220" s="328"/>
      <c r="AM220" s="328"/>
      <c r="AN220" s="328"/>
      <c r="AO220" s="328"/>
      <c r="AP220" s="328"/>
      <c r="AQ220" s="328"/>
      <c r="AR220" s="328"/>
      <c r="AS220" s="328"/>
      <c r="AT220" s="328"/>
      <c r="AU220" s="328"/>
    </row>
    <row r="221" ht="15.75" customHeight="1">
      <c r="A221" s="328"/>
      <c r="B221" s="328"/>
      <c r="C221" s="328"/>
      <c r="D221" s="328"/>
      <c r="E221" s="328"/>
      <c r="F221" s="328"/>
      <c r="G221" s="328"/>
      <c r="H221" s="328"/>
      <c r="I221" s="328"/>
      <c r="J221" s="328"/>
      <c r="K221" s="328"/>
      <c r="L221" s="328"/>
      <c r="M221" s="328"/>
      <c r="N221" s="328"/>
      <c r="O221" s="328"/>
      <c r="P221" s="328"/>
      <c r="Q221" s="328"/>
      <c r="R221" s="328"/>
      <c r="S221" s="328"/>
      <c r="T221" s="328"/>
      <c r="U221" s="328"/>
      <c r="V221" s="328"/>
      <c r="W221" s="328"/>
      <c r="X221" s="328"/>
      <c r="Y221" s="328"/>
      <c r="Z221" s="328"/>
      <c r="AA221" s="328"/>
      <c r="AB221" s="328"/>
      <c r="AC221" s="328"/>
      <c r="AD221" s="328"/>
      <c r="AE221" s="328"/>
      <c r="AF221" s="328"/>
      <c r="AG221" s="328"/>
      <c r="AH221" s="328"/>
      <c r="AI221" s="328"/>
      <c r="AJ221" s="328"/>
      <c r="AK221" s="328"/>
      <c r="AL221" s="328"/>
      <c r="AM221" s="328"/>
      <c r="AN221" s="328"/>
      <c r="AO221" s="328"/>
      <c r="AP221" s="328"/>
      <c r="AQ221" s="328"/>
      <c r="AR221" s="328"/>
      <c r="AS221" s="328"/>
      <c r="AT221" s="328"/>
      <c r="AU221" s="328"/>
    </row>
    <row r="222" ht="15.75" customHeight="1">
      <c r="A222" s="328"/>
      <c r="B222" s="328"/>
      <c r="C222" s="328"/>
      <c r="D222" s="328"/>
      <c r="E222" s="328"/>
      <c r="F222" s="328"/>
      <c r="G222" s="328"/>
      <c r="H222" s="328"/>
      <c r="I222" s="328"/>
      <c r="J222" s="328"/>
      <c r="K222" s="328"/>
      <c r="L222" s="328"/>
      <c r="M222" s="328"/>
      <c r="N222" s="328"/>
      <c r="O222" s="328"/>
      <c r="P222" s="328"/>
      <c r="Q222" s="328"/>
      <c r="R222" s="328"/>
      <c r="S222" s="328"/>
      <c r="T222" s="328"/>
      <c r="U222" s="328"/>
      <c r="V222" s="328"/>
      <c r="W222" s="328"/>
      <c r="X222" s="328"/>
      <c r="Y222" s="328"/>
      <c r="Z222" s="328"/>
      <c r="AA222" s="328"/>
      <c r="AB222" s="328"/>
      <c r="AC222" s="328"/>
      <c r="AD222" s="328"/>
      <c r="AE222" s="328"/>
      <c r="AF222" s="328"/>
      <c r="AG222" s="328"/>
      <c r="AH222" s="328"/>
      <c r="AI222" s="328"/>
      <c r="AJ222" s="328"/>
      <c r="AK222" s="328"/>
      <c r="AL222" s="328"/>
      <c r="AM222" s="328"/>
      <c r="AN222" s="328"/>
      <c r="AO222" s="328"/>
      <c r="AP222" s="328"/>
      <c r="AQ222" s="328"/>
      <c r="AR222" s="328"/>
      <c r="AS222" s="328"/>
      <c r="AT222" s="328"/>
      <c r="AU222" s="328"/>
    </row>
    <row r="223" ht="15.75" customHeight="1">
      <c r="A223" s="328"/>
      <c r="B223" s="328"/>
      <c r="C223" s="328"/>
      <c r="D223" s="328"/>
      <c r="E223" s="328"/>
      <c r="F223" s="328"/>
      <c r="G223" s="328"/>
      <c r="H223" s="328"/>
      <c r="I223" s="328"/>
      <c r="J223" s="328"/>
      <c r="K223" s="328"/>
      <c r="L223" s="328"/>
      <c r="M223" s="328"/>
      <c r="N223" s="328"/>
      <c r="O223" s="328"/>
      <c r="P223" s="328"/>
      <c r="Q223" s="328"/>
      <c r="R223" s="328"/>
      <c r="S223" s="328"/>
      <c r="T223" s="328"/>
      <c r="U223" s="328"/>
      <c r="V223" s="328"/>
      <c r="W223" s="328"/>
      <c r="X223" s="328"/>
      <c r="Y223" s="328"/>
      <c r="Z223" s="328"/>
      <c r="AA223" s="328"/>
      <c r="AB223" s="328"/>
      <c r="AC223" s="328"/>
      <c r="AD223" s="328"/>
      <c r="AE223" s="328"/>
      <c r="AF223" s="328"/>
      <c r="AG223" s="328"/>
      <c r="AH223" s="328"/>
      <c r="AI223" s="328"/>
      <c r="AJ223" s="328"/>
      <c r="AK223" s="328"/>
      <c r="AL223" s="328"/>
      <c r="AM223" s="328"/>
      <c r="AN223" s="328"/>
      <c r="AO223" s="328"/>
      <c r="AP223" s="328"/>
      <c r="AQ223" s="328"/>
      <c r="AR223" s="328"/>
      <c r="AS223" s="328"/>
      <c r="AT223" s="328"/>
      <c r="AU223" s="328"/>
    </row>
    <row r="224" ht="15.75" customHeight="1">
      <c r="A224" s="328"/>
      <c r="B224" s="328"/>
      <c r="C224" s="328"/>
      <c r="D224" s="328"/>
      <c r="E224" s="328"/>
      <c r="F224" s="328"/>
      <c r="G224" s="328"/>
      <c r="H224" s="328"/>
      <c r="I224" s="328"/>
      <c r="J224" s="328"/>
      <c r="K224" s="328"/>
      <c r="L224" s="328"/>
      <c r="M224" s="328"/>
      <c r="N224" s="328"/>
      <c r="O224" s="328"/>
      <c r="P224" s="328"/>
      <c r="Q224" s="328"/>
      <c r="R224" s="328"/>
      <c r="S224" s="328"/>
      <c r="T224" s="328"/>
      <c r="U224" s="328"/>
      <c r="V224" s="328"/>
      <c r="W224" s="328"/>
      <c r="X224" s="328"/>
      <c r="Y224" s="328"/>
      <c r="Z224" s="328"/>
      <c r="AA224" s="328"/>
      <c r="AB224" s="328"/>
      <c r="AC224" s="328"/>
      <c r="AD224" s="328"/>
      <c r="AE224" s="328"/>
      <c r="AF224" s="328"/>
      <c r="AG224" s="328"/>
      <c r="AH224" s="328"/>
      <c r="AI224" s="328"/>
      <c r="AJ224" s="328"/>
      <c r="AK224" s="328"/>
      <c r="AL224" s="328"/>
      <c r="AM224" s="328"/>
      <c r="AN224" s="328"/>
      <c r="AO224" s="328"/>
      <c r="AP224" s="328"/>
      <c r="AQ224" s="328"/>
      <c r="AR224" s="328"/>
      <c r="AS224" s="328"/>
      <c r="AT224" s="328"/>
      <c r="AU224" s="328"/>
    </row>
    <row r="225" ht="15.75" customHeight="1">
      <c r="A225" s="328"/>
      <c r="B225" s="328"/>
      <c r="C225" s="328"/>
      <c r="D225" s="328"/>
      <c r="E225" s="328"/>
      <c r="F225" s="328"/>
      <c r="G225" s="328"/>
      <c r="H225" s="328"/>
      <c r="I225" s="328"/>
      <c r="J225" s="328"/>
      <c r="K225" s="328"/>
      <c r="L225" s="328"/>
      <c r="M225" s="328"/>
      <c r="N225" s="328"/>
      <c r="O225" s="328"/>
      <c r="P225" s="328"/>
      <c r="Q225" s="328"/>
      <c r="R225" s="328"/>
      <c r="S225" s="328"/>
      <c r="T225" s="328"/>
      <c r="U225" s="328"/>
      <c r="V225" s="328"/>
      <c r="W225" s="328"/>
      <c r="X225" s="328"/>
      <c r="Y225" s="328"/>
      <c r="Z225" s="328"/>
      <c r="AA225" s="328"/>
      <c r="AB225" s="328"/>
      <c r="AC225" s="328"/>
      <c r="AD225" s="328"/>
      <c r="AE225" s="328"/>
      <c r="AF225" s="328"/>
      <c r="AG225" s="328"/>
      <c r="AH225" s="328"/>
      <c r="AI225" s="328"/>
      <c r="AJ225" s="328"/>
      <c r="AK225" s="328"/>
      <c r="AL225" s="328"/>
      <c r="AM225" s="328"/>
      <c r="AN225" s="328"/>
      <c r="AO225" s="328"/>
      <c r="AP225" s="328"/>
      <c r="AQ225" s="328"/>
      <c r="AR225" s="328"/>
      <c r="AS225" s="328"/>
      <c r="AT225" s="328"/>
      <c r="AU225" s="328"/>
    </row>
    <row r="226" ht="15.75" customHeight="1">
      <c r="A226" s="328"/>
      <c r="B226" s="328"/>
      <c r="C226" s="328"/>
      <c r="D226" s="328"/>
      <c r="E226" s="328"/>
      <c r="F226" s="328"/>
      <c r="G226" s="328"/>
      <c r="H226" s="328"/>
      <c r="I226" s="328"/>
      <c r="J226" s="328"/>
      <c r="K226" s="328"/>
      <c r="L226" s="328"/>
      <c r="M226" s="328"/>
      <c r="N226" s="328"/>
      <c r="O226" s="328"/>
      <c r="P226" s="328"/>
      <c r="Q226" s="328"/>
      <c r="R226" s="328"/>
      <c r="S226" s="328"/>
      <c r="T226" s="328"/>
      <c r="U226" s="328"/>
      <c r="V226" s="328"/>
      <c r="W226" s="328"/>
      <c r="X226" s="328"/>
      <c r="Y226" s="328"/>
      <c r="Z226" s="328"/>
      <c r="AA226" s="328"/>
      <c r="AB226" s="328"/>
      <c r="AC226" s="328"/>
      <c r="AD226" s="328"/>
      <c r="AE226" s="328"/>
      <c r="AF226" s="328"/>
      <c r="AG226" s="328"/>
      <c r="AH226" s="328"/>
      <c r="AI226" s="328"/>
      <c r="AJ226" s="328"/>
      <c r="AK226" s="328"/>
      <c r="AL226" s="328"/>
      <c r="AM226" s="328"/>
      <c r="AN226" s="328"/>
      <c r="AO226" s="328"/>
      <c r="AP226" s="328"/>
      <c r="AQ226" s="328"/>
      <c r="AR226" s="328"/>
      <c r="AS226" s="328"/>
      <c r="AT226" s="328"/>
      <c r="AU226" s="328"/>
    </row>
    <row r="227" ht="15.75" customHeight="1">
      <c r="A227" s="328"/>
      <c r="B227" s="328"/>
      <c r="C227" s="328"/>
      <c r="D227" s="328"/>
      <c r="E227" s="328"/>
      <c r="F227" s="328"/>
      <c r="G227" s="328"/>
      <c r="H227" s="328"/>
      <c r="I227" s="328"/>
      <c r="J227" s="328"/>
      <c r="K227" s="328"/>
      <c r="L227" s="328"/>
      <c r="M227" s="328"/>
      <c r="N227" s="328"/>
      <c r="O227" s="328"/>
      <c r="P227" s="328"/>
      <c r="Q227" s="328"/>
      <c r="R227" s="328"/>
      <c r="S227" s="328"/>
      <c r="T227" s="328"/>
      <c r="U227" s="328"/>
      <c r="V227" s="328"/>
      <c r="W227" s="328"/>
      <c r="X227" s="328"/>
      <c r="Y227" s="328"/>
      <c r="Z227" s="328"/>
      <c r="AA227" s="328"/>
      <c r="AB227" s="328"/>
      <c r="AC227" s="328"/>
      <c r="AD227" s="328"/>
      <c r="AE227" s="328"/>
      <c r="AF227" s="328"/>
      <c r="AG227" s="328"/>
      <c r="AH227" s="328"/>
      <c r="AI227" s="328"/>
      <c r="AJ227" s="328"/>
      <c r="AK227" s="328"/>
      <c r="AL227" s="328"/>
      <c r="AM227" s="328"/>
      <c r="AN227" s="328"/>
      <c r="AO227" s="328"/>
      <c r="AP227" s="328"/>
      <c r="AQ227" s="328"/>
      <c r="AR227" s="328"/>
      <c r="AS227" s="328"/>
      <c r="AT227" s="328"/>
      <c r="AU227" s="328"/>
    </row>
    <row r="228" ht="15.75" customHeight="1">
      <c r="A228" s="328"/>
      <c r="B228" s="328"/>
      <c r="C228" s="328"/>
      <c r="D228" s="328"/>
      <c r="E228" s="328"/>
      <c r="F228" s="328"/>
      <c r="G228" s="328"/>
      <c r="H228" s="328"/>
      <c r="I228" s="328"/>
      <c r="J228" s="328"/>
      <c r="K228" s="328"/>
      <c r="L228" s="328"/>
      <c r="M228" s="328"/>
      <c r="N228" s="328"/>
      <c r="O228" s="328"/>
      <c r="P228" s="328"/>
      <c r="Q228" s="328"/>
      <c r="R228" s="328"/>
      <c r="S228" s="328"/>
      <c r="T228" s="328"/>
      <c r="U228" s="328"/>
      <c r="V228" s="328"/>
      <c r="W228" s="328"/>
      <c r="X228" s="328"/>
      <c r="Y228" s="328"/>
      <c r="Z228" s="328"/>
      <c r="AA228" s="328"/>
      <c r="AB228" s="328"/>
      <c r="AC228" s="328"/>
      <c r="AD228" s="328"/>
      <c r="AE228" s="328"/>
      <c r="AF228" s="328"/>
      <c r="AG228" s="328"/>
      <c r="AH228" s="328"/>
      <c r="AI228" s="328"/>
      <c r="AJ228" s="328"/>
      <c r="AK228" s="328"/>
      <c r="AL228" s="328"/>
      <c r="AM228" s="328"/>
      <c r="AN228" s="328"/>
      <c r="AO228" s="328"/>
      <c r="AP228" s="328"/>
      <c r="AQ228" s="328"/>
      <c r="AR228" s="328"/>
      <c r="AS228" s="328"/>
      <c r="AT228" s="328"/>
      <c r="AU228" s="328"/>
    </row>
    <row r="229" ht="15.75" customHeight="1">
      <c r="A229" s="328"/>
      <c r="B229" s="328"/>
      <c r="C229" s="328"/>
      <c r="D229" s="328"/>
      <c r="E229" s="328"/>
      <c r="F229" s="328"/>
      <c r="G229" s="328"/>
      <c r="H229" s="328"/>
      <c r="I229" s="328"/>
      <c r="J229" s="328"/>
      <c r="K229" s="328"/>
      <c r="L229" s="328"/>
      <c r="M229" s="328"/>
      <c r="N229" s="328"/>
      <c r="O229" s="328"/>
      <c r="P229" s="328"/>
      <c r="Q229" s="328"/>
      <c r="R229" s="328"/>
      <c r="S229" s="328"/>
      <c r="T229" s="328"/>
      <c r="U229" s="328"/>
      <c r="V229" s="328"/>
      <c r="W229" s="328"/>
      <c r="X229" s="328"/>
      <c r="Y229" s="328"/>
      <c r="Z229" s="328"/>
      <c r="AA229" s="328"/>
      <c r="AB229" s="328"/>
      <c r="AC229" s="328"/>
      <c r="AD229" s="328"/>
      <c r="AE229" s="328"/>
      <c r="AF229" s="328"/>
      <c r="AG229" s="328"/>
      <c r="AH229" s="328"/>
      <c r="AI229" s="328"/>
      <c r="AJ229" s="328"/>
      <c r="AK229" s="328"/>
      <c r="AL229" s="328"/>
      <c r="AM229" s="328"/>
      <c r="AN229" s="328"/>
      <c r="AO229" s="328"/>
      <c r="AP229" s="328"/>
      <c r="AQ229" s="328"/>
      <c r="AR229" s="328"/>
      <c r="AS229" s="328"/>
      <c r="AT229" s="328"/>
      <c r="AU229" s="328"/>
    </row>
    <row r="230" ht="15.75" customHeight="1">
      <c r="A230" s="328"/>
      <c r="B230" s="328"/>
      <c r="C230" s="328"/>
      <c r="D230" s="328"/>
      <c r="E230" s="328"/>
      <c r="F230" s="328"/>
      <c r="G230" s="328"/>
      <c r="H230" s="328"/>
      <c r="I230" s="328"/>
      <c r="J230" s="328"/>
      <c r="K230" s="328"/>
      <c r="L230" s="328"/>
      <c r="M230" s="328"/>
      <c r="N230" s="328"/>
      <c r="O230" s="328"/>
      <c r="P230" s="328"/>
      <c r="Q230" s="328"/>
      <c r="R230" s="328"/>
      <c r="S230" s="328"/>
      <c r="T230" s="328"/>
      <c r="U230" s="328"/>
      <c r="V230" s="328"/>
      <c r="W230" s="328"/>
      <c r="X230" s="328"/>
      <c r="Y230" s="328"/>
      <c r="Z230" s="328"/>
      <c r="AA230" s="328"/>
      <c r="AB230" s="328"/>
      <c r="AC230" s="328"/>
      <c r="AD230" s="328"/>
      <c r="AE230" s="328"/>
      <c r="AF230" s="328"/>
      <c r="AG230" s="328"/>
      <c r="AH230" s="328"/>
      <c r="AI230" s="328"/>
      <c r="AJ230" s="328"/>
      <c r="AK230" s="328"/>
      <c r="AL230" s="328"/>
      <c r="AM230" s="328"/>
      <c r="AN230" s="328"/>
      <c r="AO230" s="328"/>
      <c r="AP230" s="328"/>
      <c r="AQ230" s="328"/>
      <c r="AR230" s="328"/>
      <c r="AS230" s="328"/>
      <c r="AT230" s="328"/>
      <c r="AU230" s="328"/>
    </row>
    <row r="231" ht="15.75" customHeight="1">
      <c r="A231" s="328"/>
      <c r="B231" s="328"/>
      <c r="C231" s="328"/>
      <c r="D231" s="328"/>
      <c r="E231" s="328"/>
      <c r="F231" s="328"/>
      <c r="G231" s="328"/>
      <c r="H231" s="328"/>
      <c r="I231" s="328"/>
      <c r="J231" s="328"/>
      <c r="K231" s="328"/>
      <c r="L231" s="328"/>
      <c r="M231" s="328"/>
      <c r="N231" s="328"/>
      <c r="O231" s="328"/>
      <c r="P231" s="328"/>
      <c r="Q231" s="328"/>
      <c r="R231" s="328"/>
      <c r="S231" s="328"/>
      <c r="T231" s="328"/>
      <c r="U231" s="328"/>
      <c r="V231" s="328"/>
      <c r="W231" s="328"/>
      <c r="X231" s="328"/>
      <c r="Y231" s="328"/>
      <c r="Z231" s="328"/>
      <c r="AA231" s="328"/>
      <c r="AB231" s="328"/>
      <c r="AC231" s="328"/>
      <c r="AD231" s="328"/>
      <c r="AE231" s="328"/>
      <c r="AF231" s="328"/>
      <c r="AG231" s="328"/>
      <c r="AH231" s="328"/>
      <c r="AI231" s="328"/>
      <c r="AJ231" s="328"/>
      <c r="AK231" s="328"/>
      <c r="AL231" s="328"/>
      <c r="AM231" s="328"/>
      <c r="AN231" s="328"/>
      <c r="AO231" s="328"/>
      <c r="AP231" s="328"/>
      <c r="AQ231" s="328"/>
      <c r="AR231" s="328"/>
      <c r="AS231" s="328"/>
      <c r="AT231" s="328"/>
      <c r="AU231" s="328"/>
    </row>
    <row r="232" ht="15.75" customHeight="1">
      <c r="A232" s="328"/>
      <c r="B232" s="328"/>
      <c r="C232" s="328"/>
      <c r="D232" s="328"/>
      <c r="E232" s="328"/>
      <c r="F232" s="328"/>
      <c r="G232" s="328"/>
      <c r="H232" s="328"/>
      <c r="I232" s="328"/>
      <c r="J232" s="328"/>
      <c r="K232" s="328"/>
      <c r="L232" s="328"/>
      <c r="M232" s="328"/>
      <c r="N232" s="328"/>
      <c r="O232" s="328"/>
      <c r="P232" s="328"/>
      <c r="Q232" s="328"/>
      <c r="R232" s="328"/>
      <c r="S232" s="328"/>
      <c r="T232" s="328"/>
      <c r="U232" s="328"/>
      <c r="V232" s="328"/>
      <c r="W232" s="328"/>
      <c r="X232" s="328"/>
      <c r="Y232" s="328"/>
      <c r="Z232" s="328"/>
      <c r="AA232" s="328"/>
      <c r="AB232" s="328"/>
      <c r="AC232" s="328"/>
      <c r="AD232" s="328"/>
      <c r="AE232" s="328"/>
      <c r="AF232" s="328"/>
      <c r="AG232" s="328"/>
      <c r="AH232" s="328"/>
      <c r="AI232" s="328"/>
      <c r="AJ232" s="328"/>
      <c r="AK232" s="328"/>
      <c r="AL232" s="328"/>
      <c r="AM232" s="328"/>
      <c r="AN232" s="328"/>
      <c r="AO232" s="328"/>
      <c r="AP232" s="328"/>
      <c r="AQ232" s="328"/>
      <c r="AR232" s="328"/>
      <c r="AS232" s="328"/>
      <c r="AT232" s="328"/>
      <c r="AU232" s="328"/>
    </row>
    <row r="233" ht="15.75" customHeight="1">
      <c r="A233" s="328"/>
      <c r="B233" s="328"/>
      <c r="C233" s="328"/>
      <c r="D233" s="328"/>
      <c r="E233" s="328"/>
      <c r="F233" s="328"/>
      <c r="G233" s="328"/>
      <c r="H233" s="328"/>
      <c r="I233" s="328"/>
      <c r="J233" s="328"/>
      <c r="K233" s="328"/>
      <c r="L233" s="328"/>
      <c r="M233" s="328"/>
      <c r="N233" s="328"/>
      <c r="O233" s="328"/>
      <c r="P233" s="328"/>
      <c r="Q233" s="328"/>
      <c r="R233" s="328"/>
      <c r="S233" s="328"/>
      <c r="T233" s="328"/>
      <c r="U233" s="328"/>
      <c r="V233" s="328"/>
      <c r="W233" s="328"/>
      <c r="X233" s="328"/>
      <c r="Y233" s="328"/>
      <c r="Z233" s="328"/>
      <c r="AA233" s="328"/>
      <c r="AB233" s="328"/>
      <c r="AC233" s="328"/>
      <c r="AD233" s="328"/>
      <c r="AE233" s="328"/>
      <c r="AF233" s="328"/>
      <c r="AG233" s="328"/>
      <c r="AH233" s="328"/>
      <c r="AI233" s="328"/>
      <c r="AJ233" s="328"/>
      <c r="AK233" s="328"/>
      <c r="AL233" s="328"/>
      <c r="AM233" s="328"/>
      <c r="AN233" s="328"/>
      <c r="AO233" s="328"/>
      <c r="AP233" s="328"/>
      <c r="AQ233" s="328"/>
      <c r="AR233" s="328"/>
      <c r="AS233" s="328"/>
      <c r="AT233" s="328"/>
      <c r="AU233" s="328"/>
    </row>
    <row r="234" ht="15.75" customHeight="1">
      <c r="A234" s="328"/>
      <c r="B234" s="328"/>
      <c r="C234" s="328"/>
      <c r="D234" s="328"/>
      <c r="E234" s="328"/>
      <c r="F234" s="328"/>
      <c r="G234" s="328"/>
      <c r="H234" s="328"/>
      <c r="I234" s="328"/>
      <c r="J234" s="328"/>
      <c r="K234" s="328"/>
      <c r="L234" s="328"/>
      <c r="M234" s="328"/>
      <c r="N234" s="328"/>
      <c r="O234" s="328"/>
      <c r="P234" s="328"/>
      <c r="Q234" s="328"/>
      <c r="R234" s="328"/>
      <c r="S234" s="328"/>
      <c r="T234" s="328"/>
      <c r="U234" s="328"/>
      <c r="V234" s="328"/>
      <c r="W234" s="328"/>
      <c r="X234" s="328"/>
      <c r="Y234" s="328"/>
      <c r="Z234" s="328"/>
      <c r="AA234" s="328"/>
      <c r="AB234" s="328"/>
      <c r="AC234" s="328"/>
      <c r="AD234" s="328"/>
      <c r="AE234" s="328"/>
      <c r="AF234" s="328"/>
      <c r="AG234" s="328"/>
      <c r="AH234" s="328"/>
      <c r="AI234" s="328"/>
      <c r="AJ234" s="328"/>
      <c r="AK234" s="328"/>
      <c r="AL234" s="328"/>
      <c r="AM234" s="328"/>
      <c r="AN234" s="328"/>
      <c r="AO234" s="328"/>
      <c r="AP234" s="328"/>
      <c r="AQ234" s="328"/>
      <c r="AR234" s="328"/>
      <c r="AS234" s="328"/>
      <c r="AT234" s="328"/>
      <c r="AU234" s="328"/>
    </row>
    <row r="235" ht="15.75" customHeight="1">
      <c r="A235" s="328"/>
      <c r="B235" s="328"/>
      <c r="C235" s="328"/>
      <c r="D235" s="328"/>
      <c r="E235" s="328"/>
      <c r="F235" s="328"/>
      <c r="G235" s="328"/>
      <c r="H235" s="328"/>
      <c r="I235" s="328"/>
      <c r="J235" s="328"/>
      <c r="K235" s="328"/>
      <c r="L235" s="328"/>
      <c r="M235" s="328"/>
      <c r="N235" s="328"/>
      <c r="O235" s="328"/>
      <c r="P235" s="328"/>
      <c r="Q235" s="328"/>
      <c r="R235" s="328"/>
      <c r="S235" s="328"/>
      <c r="T235" s="328"/>
      <c r="U235" s="328"/>
      <c r="V235" s="328"/>
      <c r="W235" s="328"/>
      <c r="X235" s="328"/>
      <c r="Y235" s="328"/>
      <c r="Z235" s="328"/>
      <c r="AA235" s="328"/>
      <c r="AB235" s="328"/>
      <c r="AC235" s="328"/>
      <c r="AD235" s="328"/>
      <c r="AE235" s="328"/>
      <c r="AF235" s="328"/>
      <c r="AG235" s="328"/>
      <c r="AH235" s="328"/>
      <c r="AI235" s="328"/>
      <c r="AJ235" s="328"/>
      <c r="AK235" s="328"/>
      <c r="AL235" s="328"/>
      <c r="AM235" s="328"/>
      <c r="AN235" s="328"/>
      <c r="AO235" s="328"/>
      <c r="AP235" s="328"/>
      <c r="AQ235" s="328"/>
      <c r="AR235" s="328"/>
      <c r="AS235" s="328"/>
      <c r="AT235" s="328"/>
      <c r="AU235" s="328"/>
    </row>
    <row r="236" ht="15.75" customHeight="1">
      <c r="A236" s="328"/>
      <c r="B236" s="328"/>
      <c r="C236" s="328"/>
      <c r="D236" s="328"/>
      <c r="E236" s="328"/>
      <c r="F236" s="328"/>
      <c r="G236" s="328"/>
      <c r="H236" s="328"/>
      <c r="I236" s="328"/>
      <c r="J236" s="328"/>
      <c r="K236" s="328"/>
      <c r="L236" s="328"/>
      <c r="M236" s="328"/>
      <c r="N236" s="328"/>
      <c r="O236" s="328"/>
      <c r="P236" s="328"/>
      <c r="Q236" s="328"/>
      <c r="R236" s="328"/>
      <c r="S236" s="328"/>
      <c r="T236" s="328"/>
      <c r="U236" s="328"/>
      <c r="V236" s="328"/>
      <c r="W236" s="328"/>
      <c r="X236" s="328"/>
      <c r="Y236" s="328"/>
      <c r="Z236" s="328"/>
      <c r="AA236" s="328"/>
      <c r="AB236" s="328"/>
      <c r="AC236" s="328"/>
      <c r="AD236" s="328"/>
      <c r="AE236" s="328"/>
      <c r="AF236" s="328"/>
      <c r="AG236" s="328"/>
      <c r="AH236" s="328"/>
      <c r="AI236" s="328"/>
      <c r="AJ236" s="328"/>
      <c r="AK236" s="328"/>
      <c r="AL236" s="328"/>
      <c r="AM236" s="328"/>
      <c r="AN236" s="328"/>
      <c r="AO236" s="328"/>
      <c r="AP236" s="328"/>
      <c r="AQ236" s="328"/>
      <c r="AR236" s="328"/>
      <c r="AS236" s="328"/>
      <c r="AT236" s="328"/>
      <c r="AU236" s="328"/>
    </row>
    <row r="237" ht="15.75" customHeight="1">
      <c r="A237" s="328"/>
      <c r="B237" s="328"/>
      <c r="C237" s="328"/>
      <c r="D237" s="328"/>
      <c r="E237" s="328"/>
      <c r="F237" s="328"/>
      <c r="G237" s="328"/>
      <c r="H237" s="328"/>
      <c r="I237" s="328"/>
      <c r="J237" s="328"/>
      <c r="K237" s="328"/>
      <c r="L237" s="328"/>
      <c r="M237" s="328"/>
      <c r="N237" s="328"/>
      <c r="O237" s="328"/>
      <c r="P237" s="328"/>
      <c r="Q237" s="328"/>
      <c r="R237" s="328"/>
      <c r="S237" s="328"/>
      <c r="T237" s="328"/>
      <c r="U237" s="328"/>
      <c r="V237" s="328"/>
      <c r="W237" s="328"/>
      <c r="X237" s="328"/>
      <c r="Y237" s="328"/>
      <c r="Z237" s="328"/>
      <c r="AA237" s="328"/>
      <c r="AB237" s="328"/>
      <c r="AC237" s="328"/>
      <c r="AD237" s="328"/>
      <c r="AE237" s="328"/>
      <c r="AF237" s="328"/>
      <c r="AG237" s="328"/>
      <c r="AH237" s="328"/>
      <c r="AI237" s="328"/>
      <c r="AJ237" s="328"/>
      <c r="AK237" s="328"/>
      <c r="AL237" s="328"/>
      <c r="AM237" s="328"/>
      <c r="AN237" s="328"/>
      <c r="AO237" s="328"/>
      <c r="AP237" s="328"/>
      <c r="AQ237" s="328"/>
      <c r="AR237" s="328"/>
      <c r="AS237" s="328"/>
      <c r="AT237" s="328"/>
      <c r="AU237" s="328"/>
    </row>
    <row r="238" ht="15.75" customHeight="1">
      <c r="A238" s="328"/>
      <c r="B238" s="328"/>
      <c r="C238" s="328"/>
      <c r="D238" s="328"/>
      <c r="E238" s="328"/>
      <c r="F238" s="328"/>
      <c r="G238" s="328"/>
      <c r="H238" s="328"/>
      <c r="I238" s="328"/>
      <c r="J238" s="328"/>
      <c r="K238" s="328"/>
      <c r="L238" s="328"/>
      <c r="M238" s="328"/>
      <c r="N238" s="328"/>
      <c r="O238" s="328"/>
      <c r="P238" s="328"/>
      <c r="Q238" s="328"/>
      <c r="R238" s="328"/>
      <c r="S238" s="328"/>
      <c r="T238" s="328"/>
      <c r="U238" s="328"/>
      <c r="V238" s="328"/>
      <c r="W238" s="328"/>
      <c r="X238" s="328"/>
      <c r="Y238" s="328"/>
      <c r="Z238" s="328"/>
      <c r="AA238" s="328"/>
      <c r="AB238" s="328"/>
      <c r="AC238" s="328"/>
      <c r="AD238" s="328"/>
      <c r="AE238" s="328"/>
      <c r="AF238" s="328"/>
      <c r="AG238" s="328"/>
      <c r="AH238" s="328"/>
      <c r="AI238" s="328"/>
      <c r="AJ238" s="328"/>
      <c r="AK238" s="328"/>
      <c r="AL238" s="328"/>
      <c r="AM238" s="328"/>
      <c r="AN238" s="328"/>
      <c r="AO238" s="328"/>
      <c r="AP238" s="328"/>
      <c r="AQ238" s="328"/>
      <c r="AR238" s="328"/>
      <c r="AS238" s="328"/>
      <c r="AT238" s="328"/>
      <c r="AU238" s="328"/>
    </row>
    <row r="239" ht="15.75" customHeight="1">
      <c r="A239" s="328"/>
      <c r="B239" s="328"/>
      <c r="C239" s="328"/>
      <c r="D239" s="328"/>
      <c r="E239" s="328"/>
      <c r="F239" s="328"/>
      <c r="G239" s="328"/>
      <c r="H239" s="328"/>
      <c r="I239" s="328"/>
      <c r="J239" s="328"/>
      <c r="K239" s="328"/>
      <c r="L239" s="328"/>
      <c r="M239" s="328"/>
      <c r="N239" s="328"/>
      <c r="O239" s="328"/>
      <c r="P239" s="328"/>
      <c r="Q239" s="328"/>
      <c r="R239" s="328"/>
      <c r="S239" s="328"/>
      <c r="T239" s="328"/>
      <c r="U239" s="328"/>
      <c r="V239" s="328"/>
      <c r="W239" s="328"/>
      <c r="X239" s="328"/>
      <c r="Y239" s="328"/>
      <c r="Z239" s="328"/>
      <c r="AA239" s="328"/>
      <c r="AB239" s="328"/>
      <c r="AC239" s="328"/>
      <c r="AD239" s="328"/>
      <c r="AE239" s="328"/>
      <c r="AF239" s="328"/>
      <c r="AG239" s="328"/>
      <c r="AH239" s="328"/>
      <c r="AI239" s="328"/>
      <c r="AJ239" s="328"/>
      <c r="AK239" s="328"/>
      <c r="AL239" s="328"/>
      <c r="AM239" s="328"/>
      <c r="AN239" s="328"/>
      <c r="AO239" s="328"/>
      <c r="AP239" s="328"/>
      <c r="AQ239" s="328"/>
      <c r="AR239" s="328"/>
      <c r="AS239" s="328"/>
      <c r="AT239" s="328"/>
      <c r="AU239" s="328"/>
    </row>
    <row r="240" ht="15.75" customHeight="1">
      <c r="A240" s="328"/>
      <c r="B240" s="328"/>
      <c r="C240" s="328"/>
      <c r="D240" s="328"/>
      <c r="E240" s="328"/>
      <c r="F240" s="328"/>
      <c r="G240" s="328"/>
      <c r="H240" s="328"/>
      <c r="I240" s="328"/>
      <c r="J240" s="328"/>
      <c r="K240" s="328"/>
      <c r="L240" s="328"/>
      <c r="M240" s="328"/>
      <c r="N240" s="328"/>
      <c r="O240" s="328"/>
      <c r="P240" s="328"/>
      <c r="Q240" s="328"/>
      <c r="R240" s="328"/>
      <c r="S240" s="328"/>
      <c r="T240" s="328"/>
      <c r="U240" s="328"/>
      <c r="V240" s="328"/>
      <c r="W240" s="328"/>
      <c r="X240" s="328"/>
      <c r="Y240" s="328"/>
      <c r="Z240" s="328"/>
      <c r="AA240" s="328"/>
      <c r="AB240" s="328"/>
      <c r="AC240" s="328"/>
      <c r="AD240" s="328"/>
      <c r="AE240" s="328"/>
      <c r="AF240" s="328"/>
      <c r="AG240" s="328"/>
      <c r="AH240" s="328"/>
      <c r="AI240" s="328"/>
      <c r="AJ240" s="328"/>
      <c r="AK240" s="328"/>
      <c r="AL240" s="328"/>
      <c r="AM240" s="328"/>
      <c r="AN240" s="328"/>
      <c r="AO240" s="328"/>
      <c r="AP240" s="328"/>
      <c r="AQ240" s="328"/>
      <c r="AR240" s="328"/>
      <c r="AS240" s="328"/>
      <c r="AT240" s="328"/>
      <c r="AU240" s="328"/>
    </row>
    <row r="241" ht="15.75" customHeight="1">
      <c r="A241" s="328"/>
      <c r="B241" s="328"/>
      <c r="C241" s="328"/>
      <c r="D241" s="328"/>
      <c r="E241" s="328"/>
      <c r="F241" s="328"/>
      <c r="G241" s="328"/>
      <c r="H241" s="328"/>
      <c r="I241" s="328"/>
      <c r="J241" s="328"/>
      <c r="K241" s="328"/>
      <c r="L241" s="328"/>
      <c r="M241" s="328"/>
      <c r="N241" s="328"/>
      <c r="O241" s="328"/>
      <c r="P241" s="328"/>
      <c r="Q241" s="328"/>
      <c r="R241" s="328"/>
      <c r="S241" s="328"/>
      <c r="T241" s="328"/>
      <c r="U241" s="328"/>
      <c r="V241" s="328"/>
      <c r="W241" s="328"/>
      <c r="X241" s="328"/>
      <c r="Y241" s="328"/>
      <c r="Z241" s="328"/>
      <c r="AA241" s="328"/>
      <c r="AB241" s="328"/>
      <c r="AC241" s="328"/>
      <c r="AD241" s="328"/>
      <c r="AE241" s="328"/>
      <c r="AF241" s="328"/>
      <c r="AG241" s="328"/>
      <c r="AH241" s="328"/>
      <c r="AI241" s="328"/>
      <c r="AJ241" s="328"/>
      <c r="AK241" s="328"/>
      <c r="AL241" s="328"/>
      <c r="AM241" s="328"/>
      <c r="AN241" s="328"/>
      <c r="AO241" s="328"/>
      <c r="AP241" s="328"/>
      <c r="AQ241" s="328"/>
      <c r="AR241" s="328"/>
      <c r="AS241" s="328"/>
      <c r="AT241" s="328"/>
      <c r="AU241" s="328"/>
    </row>
    <row r="242" ht="15.75" customHeight="1">
      <c r="A242" s="328"/>
      <c r="B242" s="328"/>
      <c r="C242" s="328"/>
      <c r="D242" s="328"/>
      <c r="E242" s="328"/>
      <c r="F242" s="328"/>
      <c r="G242" s="328"/>
      <c r="H242" s="328"/>
      <c r="I242" s="328"/>
      <c r="J242" s="328"/>
      <c r="K242" s="328"/>
      <c r="L242" s="328"/>
      <c r="M242" s="328"/>
      <c r="N242" s="328"/>
      <c r="O242" s="328"/>
      <c r="P242" s="328"/>
      <c r="Q242" s="328"/>
      <c r="R242" s="328"/>
      <c r="S242" s="328"/>
      <c r="T242" s="328"/>
      <c r="U242" s="328"/>
      <c r="V242" s="328"/>
      <c r="W242" s="328"/>
      <c r="X242" s="328"/>
      <c r="Y242" s="328"/>
      <c r="Z242" s="328"/>
      <c r="AA242" s="328"/>
      <c r="AB242" s="328"/>
      <c r="AC242" s="328"/>
      <c r="AD242" s="328"/>
      <c r="AE242" s="328"/>
      <c r="AF242" s="328"/>
      <c r="AG242" s="328"/>
      <c r="AH242" s="328"/>
      <c r="AI242" s="328"/>
      <c r="AJ242" s="328"/>
      <c r="AK242" s="328"/>
      <c r="AL242" s="328"/>
      <c r="AM242" s="328"/>
      <c r="AN242" s="328"/>
      <c r="AO242" s="328"/>
      <c r="AP242" s="328"/>
      <c r="AQ242" s="328"/>
      <c r="AR242" s="328"/>
      <c r="AS242" s="328"/>
      <c r="AT242" s="328"/>
      <c r="AU242" s="328"/>
    </row>
    <row r="243" ht="15.75" customHeight="1">
      <c r="A243" s="328"/>
      <c r="B243" s="328"/>
      <c r="C243" s="328"/>
      <c r="D243" s="328"/>
      <c r="E243" s="328"/>
      <c r="F243" s="328"/>
      <c r="G243" s="328"/>
      <c r="H243" s="328"/>
      <c r="I243" s="328"/>
      <c r="J243" s="328"/>
      <c r="K243" s="328"/>
      <c r="L243" s="328"/>
      <c r="M243" s="328"/>
      <c r="N243" s="328"/>
      <c r="O243" s="328"/>
      <c r="P243" s="328"/>
      <c r="Q243" s="328"/>
      <c r="R243" s="328"/>
      <c r="S243" s="328"/>
      <c r="T243" s="328"/>
      <c r="U243" s="328"/>
      <c r="V243" s="328"/>
      <c r="W243" s="328"/>
      <c r="X243" s="328"/>
      <c r="Y243" s="328"/>
      <c r="Z243" s="328"/>
      <c r="AA243" s="328"/>
      <c r="AB243" s="328"/>
      <c r="AC243" s="328"/>
      <c r="AD243" s="328"/>
      <c r="AE243" s="328"/>
      <c r="AF243" s="328"/>
      <c r="AG243" s="328"/>
      <c r="AH243" s="328"/>
      <c r="AI243" s="328"/>
      <c r="AJ243" s="328"/>
      <c r="AK243" s="328"/>
      <c r="AL243" s="328"/>
      <c r="AM243" s="328"/>
      <c r="AN243" s="328"/>
      <c r="AO243" s="328"/>
      <c r="AP243" s="328"/>
      <c r="AQ243" s="328"/>
      <c r="AR243" s="328"/>
      <c r="AS243" s="328"/>
      <c r="AT243" s="328"/>
      <c r="AU243" s="328"/>
    </row>
    <row r="244" ht="15.75" customHeight="1">
      <c r="A244" s="328"/>
      <c r="B244" s="328"/>
      <c r="C244" s="328"/>
      <c r="D244" s="328"/>
      <c r="E244" s="328"/>
      <c r="F244" s="328"/>
      <c r="G244" s="328"/>
      <c r="H244" s="328"/>
      <c r="I244" s="328"/>
      <c r="J244" s="328"/>
      <c r="K244" s="328"/>
      <c r="L244" s="328"/>
      <c r="M244" s="328"/>
      <c r="N244" s="328"/>
      <c r="O244" s="328"/>
      <c r="P244" s="328"/>
      <c r="Q244" s="328"/>
      <c r="R244" s="328"/>
      <c r="S244" s="328"/>
      <c r="T244" s="328"/>
      <c r="U244" s="328"/>
      <c r="V244" s="328"/>
      <c r="W244" s="328"/>
      <c r="X244" s="328"/>
      <c r="Y244" s="328"/>
      <c r="Z244" s="328"/>
      <c r="AA244" s="328"/>
      <c r="AB244" s="328"/>
      <c r="AC244" s="328"/>
      <c r="AD244" s="328"/>
      <c r="AE244" s="328"/>
      <c r="AF244" s="328"/>
      <c r="AG244" s="328"/>
      <c r="AH244" s="328"/>
      <c r="AI244" s="328"/>
      <c r="AJ244" s="328"/>
      <c r="AK244" s="328"/>
      <c r="AL244" s="328"/>
      <c r="AM244" s="328"/>
      <c r="AN244" s="328"/>
      <c r="AO244" s="328"/>
      <c r="AP244" s="328"/>
      <c r="AQ244" s="328"/>
      <c r="AR244" s="328"/>
      <c r="AS244" s="328"/>
      <c r="AT244" s="328"/>
      <c r="AU244" s="328"/>
    </row>
    <row r="245" ht="15.75" customHeight="1">
      <c r="A245" s="328"/>
      <c r="B245" s="328"/>
      <c r="C245" s="328"/>
      <c r="D245" s="328"/>
      <c r="E245" s="328"/>
      <c r="F245" s="328"/>
      <c r="G245" s="328"/>
      <c r="H245" s="328"/>
      <c r="I245" s="328"/>
      <c r="J245" s="328"/>
      <c r="K245" s="328"/>
      <c r="L245" s="328"/>
      <c r="M245" s="328"/>
      <c r="N245" s="328"/>
      <c r="O245" s="328"/>
      <c r="P245" s="328"/>
      <c r="Q245" s="328"/>
      <c r="R245" s="328"/>
      <c r="S245" s="328"/>
      <c r="T245" s="328"/>
      <c r="U245" s="328"/>
      <c r="V245" s="328"/>
      <c r="W245" s="328"/>
      <c r="X245" s="328"/>
      <c r="Y245" s="328"/>
      <c r="Z245" s="328"/>
      <c r="AA245" s="328"/>
      <c r="AB245" s="328"/>
      <c r="AC245" s="328"/>
      <c r="AD245" s="328"/>
      <c r="AE245" s="328"/>
      <c r="AF245" s="328"/>
      <c r="AG245" s="328"/>
      <c r="AH245" s="328"/>
      <c r="AI245" s="328"/>
      <c r="AJ245" s="328"/>
      <c r="AK245" s="328"/>
      <c r="AL245" s="328"/>
      <c r="AM245" s="328"/>
      <c r="AN245" s="328"/>
      <c r="AO245" s="328"/>
      <c r="AP245" s="328"/>
      <c r="AQ245" s="328"/>
      <c r="AR245" s="328"/>
      <c r="AS245" s="328"/>
      <c r="AT245" s="328"/>
      <c r="AU245" s="328"/>
    </row>
    <row r="246" ht="15.75" customHeight="1">
      <c r="A246" s="328"/>
      <c r="B246" s="328"/>
      <c r="C246" s="328"/>
      <c r="D246" s="328"/>
      <c r="E246" s="328"/>
      <c r="F246" s="328"/>
      <c r="G246" s="328"/>
      <c r="H246" s="328"/>
      <c r="I246" s="328"/>
      <c r="J246" s="328"/>
      <c r="K246" s="328"/>
      <c r="L246" s="328"/>
      <c r="M246" s="328"/>
      <c r="N246" s="328"/>
      <c r="O246" s="328"/>
      <c r="P246" s="328"/>
      <c r="Q246" s="328"/>
      <c r="R246" s="328"/>
      <c r="S246" s="328"/>
      <c r="T246" s="328"/>
      <c r="U246" s="328"/>
      <c r="V246" s="328"/>
      <c r="W246" s="328"/>
      <c r="X246" s="328"/>
      <c r="Y246" s="328"/>
      <c r="Z246" s="328"/>
      <c r="AA246" s="328"/>
      <c r="AB246" s="328"/>
      <c r="AC246" s="328"/>
      <c r="AD246" s="328"/>
      <c r="AE246" s="328"/>
      <c r="AF246" s="328"/>
      <c r="AG246" s="328"/>
      <c r="AH246" s="328"/>
      <c r="AI246" s="328"/>
      <c r="AJ246" s="328"/>
      <c r="AK246" s="328"/>
      <c r="AL246" s="328"/>
      <c r="AM246" s="328"/>
      <c r="AN246" s="328"/>
      <c r="AO246" s="328"/>
      <c r="AP246" s="328"/>
      <c r="AQ246" s="328"/>
      <c r="AR246" s="328"/>
      <c r="AS246" s="328"/>
      <c r="AT246" s="328"/>
      <c r="AU246" s="328"/>
    </row>
    <row r="247" ht="15.75" customHeight="1">
      <c r="A247" s="328"/>
      <c r="B247" s="328"/>
      <c r="C247" s="328"/>
      <c r="D247" s="328"/>
      <c r="E247" s="328"/>
      <c r="F247" s="328"/>
      <c r="G247" s="328"/>
      <c r="H247" s="328"/>
      <c r="I247" s="328"/>
      <c r="J247" s="328"/>
      <c r="K247" s="328"/>
      <c r="L247" s="328"/>
      <c r="M247" s="328"/>
      <c r="N247" s="328"/>
      <c r="O247" s="328"/>
      <c r="P247" s="328"/>
      <c r="Q247" s="328"/>
      <c r="R247" s="328"/>
      <c r="S247" s="328"/>
      <c r="T247" s="328"/>
      <c r="U247" s="328"/>
      <c r="V247" s="328"/>
      <c r="W247" s="328"/>
      <c r="X247" s="328"/>
      <c r="Y247" s="328"/>
      <c r="Z247" s="328"/>
      <c r="AA247" s="328"/>
      <c r="AB247" s="328"/>
      <c r="AC247" s="328"/>
      <c r="AD247" s="328"/>
      <c r="AE247" s="328"/>
      <c r="AF247" s="328"/>
      <c r="AG247" s="328"/>
      <c r="AH247" s="328"/>
      <c r="AI247" s="328"/>
      <c r="AJ247" s="328"/>
      <c r="AK247" s="328"/>
      <c r="AL247" s="328"/>
      <c r="AM247" s="328"/>
      <c r="AN247" s="328"/>
      <c r="AO247" s="328"/>
      <c r="AP247" s="328"/>
      <c r="AQ247" s="328"/>
      <c r="AR247" s="328"/>
      <c r="AS247" s="328"/>
      <c r="AT247" s="328"/>
      <c r="AU247" s="328"/>
    </row>
    <row r="248" ht="15.75" customHeight="1">
      <c r="A248" s="328"/>
      <c r="B248" s="328"/>
      <c r="C248" s="328"/>
      <c r="D248" s="328"/>
      <c r="E248" s="328"/>
      <c r="F248" s="328"/>
      <c r="G248" s="328"/>
      <c r="H248" s="328"/>
      <c r="I248" s="328"/>
      <c r="J248" s="328"/>
      <c r="K248" s="328"/>
      <c r="L248" s="328"/>
      <c r="M248" s="328"/>
      <c r="N248" s="328"/>
      <c r="O248" s="328"/>
      <c r="P248" s="328"/>
      <c r="Q248" s="328"/>
      <c r="R248" s="328"/>
      <c r="S248" s="328"/>
      <c r="T248" s="328"/>
      <c r="U248" s="328"/>
      <c r="V248" s="328"/>
      <c r="W248" s="328"/>
      <c r="X248" s="328"/>
      <c r="Y248" s="328"/>
      <c r="Z248" s="328"/>
      <c r="AA248" s="328"/>
      <c r="AB248" s="328"/>
      <c r="AC248" s="328"/>
      <c r="AD248" s="328"/>
      <c r="AE248" s="328"/>
      <c r="AF248" s="328"/>
      <c r="AG248" s="328"/>
      <c r="AH248" s="328"/>
      <c r="AI248" s="328"/>
      <c r="AJ248" s="328"/>
      <c r="AK248" s="328"/>
      <c r="AL248" s="328"/>
      <c r="AM248" s="328"/>
      <c r="AN248" s="328"/>
      <c r="AO248" s="328"/>
      <c r="AP248" s="328"/>
      <c r="AQ248" s="328"/>
      <c r="AR248" s="328"/>
      <c r="AS248" s="328"/>
      <c r="AT248" s="328"/>
      <c r="AU248" s="328"/>
    </row>
    <row r="249" ht="15.75" customHeight="1">
      <c r="A249" s="328"/>
      <c r="B249" s="328"/>
      <c r="C249" s="328"/>
      <c r="D249" s="328"/>
      <c r="E249" s="328"/>
      <c r="F249" s="328"/>
      <c r="G249" s="328"/>
      <c r="H249" s="328"/>
      <c r="I249" s="328"/>
      <c r="J249" s="328"/>
      <c r="K249" s="328"/>
      <c r="L249" s="328"/>
      <c r="M249" s="328"/>
      <c r="N249" s="328"/>
      <c r="O249" s="328"/>
      <c r="P249" s="328"/>
      <c r="Q249" s="328"/>
      <c r="R249" s="328"/>
      <c r="S249" s="328"/>
      <c r="T249" s="328"/>
      <c r="U249" s="328"/>
      <c r="V249" s="328"/>
      <c r="W249" s="328"/>
      <c r="X249" s="328"/>
      <c r="Y249" s="328"/>
      <c r="Z249" s="328"/>
      <c r="AA249" s="328"/>
      <c r="AB249" s="328"/>
      <c r="AC249" s="328"/>
      <c r="AD249" s="328"/>
      <c r="AE249" s="328"/>
      <c r="AF249" s="328"/>
      <c r="AG249" s="328"/>
      <c r="AH249" s="328"/>
      <c r="AI249" s="328"/>
      <c r="AJ249" s="328"/>
      <c r="AK249" s="328"/>
      <c r="AL249" s="328"/>
      <c r="AM249" s="328"/>
      <c r="AN249" s="328"/>
      <c r="AO249" s="328"/>
      <c r="AP249" s="328"/>
      <c r="AQ249" s="328"/>
      <c r="AR249" s="328"/>
      <c r="AS249" s="328"/>
      <c r="AT249" s="328"/>
      <c r="AU249" s="328"/>
    </row>
    <row r="250" ht="15.75" customHeight="1">
      <c r="A250" s="328"/>
      <c r="B250" s="328"/>
      <c r="C250" s="328"/>
      <c r="D250" s="328"/>
      <c r="E250" s="328"/>
      <c r="F250" s="328"/>
      <c r="G250" s="328"/>
      <c r="H250" s="328"/>
      <c r="I250" s="328"/>
      <c r="J250" s="328"/>
      <c r="K250" s="328"/>
      <c r="L250" s="328"/>
      <c r="M250" s="328"/>
      <c r="N250" s="328"/>
      <c r="O250" s="328"/>
      <c r="P250" s="328"/>
      <c r="Q250" s="328"/>
      <c r="R250" s="328"/>
      <c r="S250" s="328"/>
      <c r="T250" s="328"/>
      <c r="U250" s="328"/>
      <c r="V250" s="328"/>
      <c r="W250" s="328"/>
      <c r="X250" s="328"/>
      <c r="Y250" s="328"/>
      <c r="Z250" s="328"/>
      <c r="AA250" s="328"/>
      <c r="AB250" s="328"/>
      <c r="AC250" s="328"/>
      <c r="AD250" s="328"/>
      <c r="AE250" s="328"/>
      <c r="AF250" s="328"/>
      <c r="AG250" s="328"/>
      <c r="AH250" s="328"/>
      <c r="AI250" s="328"/>
      <c r="AJ250" s="328"/>
      <c r="AK250" s="328"/>
      <c r="AL250" s="328"/>
      <c r="AM250" s="328"/>
      <c r="AN250" s="328"/>
      <c r="AO250" s="328"/>
      <c r="AP250" s="328"/>
      <c r="AQ250" s="328"/>
      <c r="AR250" s="328"/>
      <c r="AS250" s="328"/>
      <c r="AT250" s="328"/>
      <c r="AU250" s="328"/>
    </row>
    <row r="251" ht="15.75" customHeight="1">
      <c r="A251" s="328"/>
      <c r="B251" s="328"/>
      <c r="C251" s="328"/>
      <c r="D251" s="328"/>
      <c r="E251" s="328"/>
      <c r="F251" s="328"/>
      <c r="G251" s="328"/>
      <c r="H251" s="328"/>
      <c r="I251" s="328"/>
      <c r="J251" s="328"/>
      <c r="K251" s="328"/>
      <c r="L251" s="328"/>
      <c r="M251" s="328"/>
      <c r="N251" s="328"/>
      <c r="O251" s="328"/>
      <c r="P251" s="328"/>
      <c r="Q251" s="328"/>
      <c r="R251" s="328"/>
      <c r="S251" s="328"/>
      <c r="T251" s="328"/>
      <c r="U251" s="328"/>
      <c r="V251" s="328"/>
      <c r="W251" s="328"/>
      <c r="X251" s="328"/>
      <c r="Y251" s="328"/>
      <c r="Z251" s="328"/>
      <c r="AA251" s="328"/>
      <c r="AB251" s="328"/>
      <c r="AC251" s="328"/>
      <c r="AD251" s="328"/>
      <c r="AE251" s="328"/>
      <c r="AF251" s="328"/>
      <c r="AG251" s="328"/>
      <c r="AH251" s="328"/>
      <c r="AI251" s="328"/>
      <c r="AJ251" s="328"/>
      <c r="AK251" s="328"/>
      <c r="AL251" s="328"/>
      <c r="AM251" s="328"/>
      <c r="AN251" s="328"/>
      <c r="AO251" s="328"/>
      <c r="AP251" s="328"/>
      <c r="AQ251" s="328"/>
      <c r="AR251" s="328"/>
      <c r="AS251" s="328"/>
      <c r="AT251" s="328"/>
      <c r="AU251" s="328"/>
    </row>
    <row r="252" ht="15.75" customHeight="1">
      <c r="A252" s="328"/>
      <c r="B252" s="328"/>
      <c r="C252" s="328"/>
      <c r="D252" s="328"/>
      <c r="E252" s="328"/>
      <c r="F252" s="328"/>
      <c r="G252" s="328"/>
      <c r="H252" s="328"/>
      <c r="I252" s="328"/>
      <c r="J252" s="328"/>
      <c r="K252" s="328"/>
      <c r="L252" s="328"/>
      <c r="M252" s="328"/>
      <c r="N252" s="328"/>
      <c r="O252" s="328"/>
      <c r="P252" s="328"/>
      <c r="Q252" s="328"/>
      <c r="R252" s="328"/>
      <c r="S252" s="328"/>
      <c r="T252" s="328"/>
      <c r="U252" s="328"/>
      <c r="V252" s="328"/>
      <c r="W252" s="328"/>
      <c r="X252" s="328"/>
      <c r="Y252" s="328"/>
      <c r="Z252" s="328"/>
      <c r="AA252" s="328"/>
      <c r="AB252" s="328"/>
      <c r="AC252" s="328"/>
      <c r="AD252" s="328"/>
      <c r="AE252" s="328"/>
      <c r="AF252" s="328"/>
      <c r="AG252" s="328"/>
      <c r="AH252" s="328"/>
      <c r="AI252" s="328"/>
      <c r="AJ252" s="328"/>
      <c r="AK252" s="328"/>
      <c r="AL252" s="328"/>
      <c r="AM252" s="328"/>
      <c r="AN252" s="328"/>
      <c r="AO252" s="328"/>
      <c r="AP252" s="328"/>
      <c r="AQ252" s="328"/>
      <c r="AR252" s="328"/>
      <c r="AS252" s="328"/>
      <c r="AT252" s="328"/>
      <c r="AU252" s="328"/>
    </row>
    <row r="253" ht="15.75" customHeight="1">
      <c r="A253" s="328"/>
      <c r="B253" s="328"/>
      <c r="C253" s="328"/>
      <c r="D253" s="328"/>
      <c r="E253" s="328"/>
      <c r="F253" s="328"/>
      <c r="G253" s="328"/>
      <c r="H253" s="328"/>
      <c r="I253" s="328"/>
      <c r="J253" s="328"/>
      <c r="K253" s="328"/>
      <c r="L253" s="328"/>
      <c r="M253" s="328"/>
      <c r="N253" s="328"/>
      <c r="O253" s="328"/>
      <c r="P253" s="328"/>
      <c r="Q253" s="328"/>
      <c r="R253" s="328"/>
      <c r="S253" s="328"/>
      <c r="T253" s="328"/>
      <c r="U253" s="328"/>
      <c r="V253" s="328"/>
      <c r="W253" s="328"/>
      <c r="X253" s="328"/>
      <c r="Y253" s="328"/>
      <c r="Z253" s="328"/>
      <c r="AA253" s="328"/>
      <c r="AB253" s="328"/>
      <c r="AC253" s="328"/>
      <c r="AD253" s="328"/>
      <c r="AE253" s="328"/>
      <c r="AF253" s="328"/>
      <c r="AG253" s="328"/>
      <c r="AH253" s="328"/>
      <c r="AI253" s="328"/>
      <c r="AJ253" s="328"/>
      <c r="AK253" s="328"/>
      <c r="AL253" s="328"/>
      <c r="AM253" s="328"/>
      <c r="AN253" s="328"/>
      <c r="AO253" s="328"/>
      <c r="AP253" s="328"/>
      <c r="AQ253" s="328"/>
      <c r="AR253" s="328"/>
      <c r="AS253" s="328"/>
      <c r="AT253" s="328"/>
      <c r="AU253" s="328"/>
    </row>
    <row r="254" ht="15.75" customHeight="1">
      <c r="A254" s="328"/>
      <c r="B254" s="328"/>
      <c r="C254" s="328"/>
      <c r="D254" s="328"/>
      <c r="E254" s="328"/>
      <c r="F254" s="328"/>
      <c r="G254" s="328"/>
      <c r="H254" s="328"/>
      <c r="I254" s="328"/>
      <c r="J254" s="328"/>
      <c r="K254" s="328"/>
      <c r="L254" s="328"/>
      <c r="M254" s="328"/>
      <c r="N254" s="328"/>
      <c r="O254" s="328"/>
      <c r="P254" s="328"/>
      <c r="Q254" s="328"/>
      <c r="R254" s="328"/>
      <c r="S254" s="328"/>
      <c r="T254" s="328"/>
      <c r="U254" s="328"/>
      <c r="V254" s="328"/>
      <c r="W254" s="328"/>
      <c r="X254" s="328"/>
      <c r="Y254" s="328"/>
      <c r="Z254" s="328"/>
      <c r="AA254" s="328"/>
      <c r="AB254" s="328"/>
      <c r="AC254" s="328"/>
      <c r="AD254" s="328"/>
      <c r="AE254" s="328"/>
      <c r="AF254" s="328"/>
      <c r="AG254" s="328"/>
      <c r="AH254" s="328"/>
      <c r="AI254" s="328"/>
      <c r="AJ254" s="328"/>
      <c r="AK254" s="328"/>
      <c r="AL254" s="328"/>
      <c r="AM254" s="328"/>
      <c r="AN254" s="328"/>
      <c r="AO254" s="328"/>
      <c r="AP254" s="328"/>
      <c r="AQ254" s="328"/>
      <c r="AR254" s="328"/>
      <c r="AS254" s="328"/>
      <c r="AT254" s="328"/>
      <c r="AU254" s="328"/>
    </row>
    <row r="255" ht="15.75" customHeight="1">
      <c r="A255" s="328"/>
      <c r="B255" s="328"/>
      <c r="C255" s="328"/>
      <c r="D255" s="328"/>
      <c r="E255" s="328"/>
      <c r="F255" s="328"/>
      <c r="G255" s="328"/>
      <c r="H255" s="328"/>
      <c r="I255" s="328"/>
      <c r="J255" s="328"/>
      <c r="K255" s="328"/>
      <c r="L255" s="328"/>
      <c r="M255" s="328"/>
      <c r="N255" s="328"/>
      <c r="O255" s="328"/>
      <c r="P255" s="328"/>
      <c r="Q255" s="328"/>
      <c r="R255" s="328"/>
      <c r="S255" s="328"/>
      <c r="T255" s="328"/>
      <c r="U255" s="328"/>
      <c r="V255" s="328"/>
      <c r="W255" s="328"/>
      <c r="X255" s="328"/>
      <c r="Y255" s="328"/>
      <c r="Z255" s="328"/>
      <c r="AA255" s="328"/>
      <c r="AB255" s="328"/>
      <c r="AC255" s="328"/>
      <c r="AD255" s="328"/>
      <c r="AE255" s="328"/>
      <c r="AF255" s="328"/>
      <c r="AG255" s="328"/>
      <c r="AH255" s="328"/>
      <c r="AI255" s="328"/>
      <c r="AJ255" s="328"/>
      <c r="AK255" s="328"/>
      <c r="AL255" s="328"/>
      <c r="AM255" s="328"/>
      <c r="AN255" s="328"/>
      <c r="AO255" s="328"/>
      <c r="AP255" s="328"/>
      <c r="AQ255" s="328"/>
      <c r="AR255" s="328"/>
      <c r="AS255" s="328"/>
      <c r="AT255" s="328"/>
      <c r="AU255" s="328"/>
    </row>
    <row r="256" ht="15.75" customHeight="1">
      <c r="A256" s="328"/>
      <c r="B256" s="328"/>
      <c r="C256" s="328"/>
      <c r="D256" s="328"/>
      <c r="E256" s="328"/>
      <c r="F256" s="328"/>
      <c r="G256" s="328"/>
      <c r="H256" s="328"/>
      <c r="I256" s="328"/>
      <c r="J256" s="328"/>
      <c r="K256" s="328"/>
      <c r="L256" s="328"/>
      <c r="M256" s="328"/>
      <c r="N256" s="328"/>
      <c r="O256" s="328"/>
      <c r="P256" s="328"/>
      <c r="Q256" s="328"/>
      <c r="R256" s="328"/>
      <c r="S256" s="328"/>
      <c r="T256" s="328"/>
      <c r="U256" s="328"/>
      <c r="V256" s="328"/>
      <c r="W256" s="328"/>
      <c r="X256" s="328"/>
      <c r="Y256" s="328"/>
      <c r="Z256" s="328"/>
      <c r="AA256" s="328"/>
      <c r="AB256" s="328"/>
      <c r="AC256" s="328"/>
      <c r="AD256" s="328"/>
      <c r="AE256" s="328"/>
      <c r="AF256" s="328"/>
      <c r="AG256" s="328"/>
      <c r="AH256" s="328"/>
      <c r="AI256" s="328"/>
      <c r="AJ256" s="328"/>
      <c r="AK256" s="328"/>
      <c r="AL256" s="328"/>
      <c r="AM256" s="328"/>
      <c r="AN256" s="328"/>
      <c r="AO256" s="328"/>
      <c r="AP256" s="328"/>
      <c r="AQ256" s="328"/>
      <c r="AR256" s="328"/>
      <c r="AS256" s="328"/>
      <c r="AT256" s="328"/>
      <c r="AU256" s="328"/>
    </row>
    <row r="257" ht="15.75" customHeight="1">
      <c r="A257" s="328"/>
      <c r="B257" s="328"/>
      <c r="C257" s="328"/>
      <c r="D257" s="328"/>
      <c r="E257" s="328"/>
      <c r="F257" s="328"/>
      <c r="G257" s="328"/>
      <c r="H257" s="328"/>
      <c r="I257" s="328"/>
      <c r="J257" s="328"/>
      <c r="K257" s="328"/>
      <c r="L257" s="328"/>
      <c r="M257" s="328"/>
      <c r="N257" s="328"/>
      <c r="O257" s="328"/>
      <c r="P257" s="328"/>
      <c r="Q257" s="328"/>
      <c r="R257" s="328"/>
      <c r="S257" s="328"/>
      <c r="T257" s="328"/>
      <c r="U257" s="328"/>
      <c r="V257" s="328"/>
      <c r="W257" s="328"/>
      <c r="X257" s="328"/>
      <c r="Y257" s="328"/>
      <c r="Z257" s="328"/>
      <c r="AA257" s="328"/>
      <c r="AB257" s="328"/>
      <c r="AC257" s="328"/>
      <c r="AD257" s="328"/>
      <c r="AE257" s="328"/>
      <c r="AF257" s="328"/>
      <c r="AG257" s="328"/>
      <c r="AH257" s="328"/>
      <c r="AI257" s="328"/>
      <c r="AJ257" s="328"/>
      <c r="AK257" s="328"/>
      <c r="AL257" s="328"/>
      <c r="AM257" s="328"/>
      <c r="AN257" s="328"/>
      <c r="AO257" s="328"/>
      <c r="AP257" s="328"/>
      <c r="AQ257" s="328"/>
      <c r="AR257" s="328"/>
      <c r="AS257" s="328"/>
      <c r="AT257" s="328"/>
      <c r="AU257" s="328"/>
    </row>
    <row r="258" ht="15.75" customHeight="1">
      <c r="A258" s="328"/>
      <c r="B258" s="328"/>
      <c r="C258" s="328"/>
      <c r="D258" s="328"/>
      <c r="E258" s="328"/>
      <c r="F258" s="328"/>
      <c r="G258" s="328"/>
      <c r="H258" s="328"/>
      <c r="I258" s="328"/>
      <c r="J258" s="328"/>
      <c r="K258" s="328"/>
      <c r="L258" s="328"/>
      <c r="M258" s="328"/>
      <c r="N258" s="328"/>
      <c r="O258" s="328"/>
      <c r="P258" s="328"/>
      <c r="Q258" s="328"/>
      <c r="R258" s="328"/>
      <c r="S258" s="328"/>
      <c r="T258" s="328"/>
      <c r="U258" s="328"/>
      <c r="V258" s="328"/>
      <c r="W258" s="328"/>
      <c r="X258" s="328"/>
      <c r="Y258" s="328"/>
      <c r="Z258" s="328"/>
      <c r="AA258" s="328"/>
      <c r="AB258" s="328"/>
      <c r="AC258" s="328"/>
      <c r="AD258" s="328"/>
      <c r="AE258" s="328"/>
      <c r="AF258" s="328"/>
      <c r="AG258" s="328"/>
      <c r="AH258" s="328"/>
      <c r="AI258" s="328"/>
      <c r="AJ258" s="328"/>
      <c r="AK258" s="328"/>
      <c r="AL258" s="328"/>
      <c r="AM258" s="328"/>
      <c r="AN258" s="328"/>
      <c r="AO258" s="328"/>
      <c r="AP258" s="328"/>
      <c r="AQ258" s="328"/>
      <c r="AR258" s="328"/>
      <c r="AS258" s="328"/>
      <c r="AT258" s="328"/>
      <c r="AU258" s="328"/>
    </row>
    <row r="259" ht="15.75" customHeight="1">
      <c r="A259" s="328"/>
      <c r="B259" s="328"/>
      <c r="C259" s="328"/>
      <c r="D259" s="328"/>
      <c r="E259" s="328"/>
      <c r="F259" s="328"/>
      <c r="G259" s="328"/>
      <c r="H259" s="328"/>
      <c r="I259" s="328"/>
      <c r="J259" s="328"/>
      <c r="K259" s="328"/>
      <c r="L259" s="328"/>
      <c r="M259" s="328"/>
      <c r="N259" s="328"/>
      <c r="O259" s="328"/>
      <c r="P259" s="328"/>
      <c r="Q259" s="328"/>
      <c r="R259" s="328"/>
      <c r="S259" s="328"/>
      <c r="T259" s="328"/>
      <c r="U259" s="328"/>
      <c r="V259" s="328"/>
      <c r="W259" s="328"/>
      <c r="X259" s="328"/>
      <c r="Y259" s="328"/>
      <c r="Z259" s="328"/>
      <c r="AA259" s="328"/>
      <c r="AB259" s="328"/>
      <c r="AC259" s="328"/>
      <c r="AD259" s="328"/>
      <c r="AE259" s="328"/>
      <c r="AF259" s="328"/>
      <c r="AG259" s="328"/>
      <c r="AH259" s="328"/>
      <c r="AI259" s="328"/>
      <c r="AJ259" s="328"/>
      <c r="AK259" s="328"/>
      <c r="AL259" s="328"/>
      <c r="AM259" s="328"/>
      <c r="AN259" s="328"/>
      <c r="AO259" s="328"/>
      <c r="AP259" s="328"/>
      <c r="AQ259" s="328"/>
      <c r="AR259" s="328"/>
      <c r="AS259" s="328"/>
      <c r="AT259" s="328"/>
      <c r="AU259" s="328"/>
    </row>
    <row r="260" ht="15.75" customHeight="1">
      <c r="A260" s="328"/>
      <c r="B260" s="328"/>
      <c r="C260" s="328"/>
      <c r="D260" s="328"/>
      <c r="E260" s="328"/>
      <c r="F260" s="328"/>
      <c r="G260" s="328"/>
      <c r="H260" s="328"/>
      <c r="I260" s="328"/>
      <c r="J260" s="328"/>
      <c r="K260" s="328"/>
      <c r="L260" s="328"/>
      <c r="M260" s="328"/>
      <c r="N260" s="328"/>
      <c r="O260" s="328"/>
      <c r="P260" s="328"/>
      <c r="Q260" s="328"/>
      <c r="R260" s="328"/>
      <c r="S260" s="328"/>
      <c r="T260" s="328"/>
      <c r="U260" s="328"/>
      <c r="V260" s="328"/>
      <c r="W260" s="328"/>
      <c r="X260" s="328"/>
      <c r="Y260" s="328"/>
      <c r="Z260" s="328"/>
      <c r="AA260" s="328"/>
      <c r="AB260" s="328"/>
      <c r="AC260" s="328"/>
      <c r="AD260" s="328"/>
      <c r="AE260" s="328"/>
      <c r="AF260" s="328"/>
      <c r="AG260" s="328"/>
      <c r="AH260" s="328"/>
      <c r="AI260" s="328"/>
      <c r="AJ260" s="328"/>
      <c r="AK260" s="328"/>
      <c r="AL260" s="328"/>
      <c r="AM260" s="328"/>
      <c r="AN260" s="328"/>
      <c r="AO260" s="328"/>
      <c r="AP260" s="328"/>
      <c r="AQ260" s="328"/>
      <c r="AR260" s="328"/>
      <c r="AS260" s="328"/>
      <c r="AT260" s="328"/>
      <c r="AU260" s="328"/>
    </row>
    <row r="261" ht="15.75" customHeight="1">
      <c r="A261" s="328"/>
      <c r="B261" s="328"/>
      <c r="C261" s="328"/>
      <c r="D261" s="328"/>
      <c r="E261" s="328"/>
      <c r="F261" s="328"/>
      <c r="G261" s="328"/>
      <c r="H261" s="328"/>
      <c r="I261" s="328"/>
      <c r="J261" s="328"/>
      <c r="K261" s="328"/>
      <c r="L261" s="328"/>
      <c r="M261" s="328"/>
      <c r="N261" s="328"/>
      <c r="O261" s="328"/>
      <c r="P261" s="328"/>
      <c r="Q261" s="328"/>
      <c r="R261" s="328"/>
      <c r="S261" s="328"/>
      <c r="T261" s="328"/>
      <c r="U261" s="328"/>
      <c r="V261" s="328"/>
      <c r="W261" s="328"/>
      <c r="X261" s="328"/>
      <c r="Y261" s="328"/>
      <c r="Z261" s="328"/>
      <c r="AA261" s="328"/>
      <c r="AB261" s="328"/>
      <c r="AC261" s="328"/>
      <c r="AD261" s="328"/>
      <c r="AE261" s="328"/>
      <c r="AF261" s="328"/>
      <c r="AG261" s="328"/>
      <c r="AH261" s="328"/>
      <c r="AI261" s="328"/>
      <c r="AJ261" s="328"/>
      <c r="AK261" s="328"/>
      <c r="AL261" s="328"/>
      <c r="AM261" s="328"/>
      <c r="AN261" s="328"/>
      <c r="AO261" s="328"/>
      <c r="AP261" s="328"/>
      <c r="AQ261" s="328"/>
      <c r="AR261" s="328"/>
      <c r="AS261" s="328"/>
      <c r="AT261" s="328"/>
      <c r="AU261" s="328"/>
    </row>
    <row r="262" ht="15.75" customHeight="1">
      <c r="A262" s="328"/>
      <c r="B262" s="328"/>
      <c r="C262" s="328"/>
      <c r="D262" s="328"/>
      <c r="E262" s="328"/>
      <c r="F262" s="328"/>
      <c r="G262" s="328"/>
      <c r="H262" s="328"/>
      <c r="I262" s="328"/>
      <c r="J262" s="328"/>
      <c r="K262" s="328"/>
      <c r="L262" s="328"/>
      <c r="M262" s="328"/>
      <c r="N262" s="328"/>
      <c r="O262" s="328"/>
      <c r="P262" s="328"/>
      <c r="Q262" s="328"/>
      <c r="R262" s="328"/>
      <c r="S262" s="328"/>
      <c r="T262" s="328"/>
      <c r="U262" s="328"/>
      <c r="V262" s="328"/>
      <c r="W262" s="328"/>
      <c r="X262" s="328"/>
      <c r="Y262" s="328"/>
      <c r="Z262" s="328"/>
      <c r="AA262" s="328"/>
      <c r="AB262" s="328"/>
      <c r="AC262" s="328"/>
      <c r="AD262" s="328"/>
      <c r="AE262" s="328"/>
      <c r="AF262" s="328"/>
      <c r="AG262" s="328"/>
      <c r="AH262" s="328"/>
      <c r="AI262" s="328"/>
      <c r="AJ262" s="328"/>
      <c r="AK262" s="328"/>
      <c r="AL262" s="328"/>
      <c r="AM262" s="328"/>
      <c r="AN262" s="328"/>
      <c r="AO262" s="328"/>
      <c r="AP262" s="328"/>
      <c r="AQ262" s="328"/>
      <c r="AR262" s="328"/>
      <c r="AS262" s="328"/>
      <c r="AT262" s="328"/>
      <c r="AU262" s="328"/>
    </row>
    <row r="263" ht="15.75" customHeight="1">
      <c r="A263" s="328"/>
      <c r="B263" s="328"/>
      <c r="C263" s="328"/>
      <c r="D263" s="328"/>
      <c r="E263" s="328"/>
      <c r="F263" s="328"/>
      <c r="G263" s="328"/>
      <c r="H263" s="328"/>
      <c r="I263" s="328"/>
      <c r="J263" s="328"/>
      <c r="K263" s="328"/>
      <c r="L263" s="328"/>
      <c r="M263" s="328"/>
      <c r="N263" s="328"/>
      <c r="O263" s="328"/>
      <c r="P263" s="328"/>
      <c r="Q263" s="328"/>
      <c r="R263" s="328"/>
      <c r="S263" s="328"/>
      <c r="T263" s="328"/>
      <c r="U263" s="328"/>
      <c r="V263" s="328"/>
      <c r="W263" s="328"/>
      <c r="X263" s="328"/>
      <c r="Y263" s="328"/>
      <c r="Z263" s="328"/>
      <c r="AA263" s="328"/>
      <c r="AB263" s="328"/>
      <c r="AC263" s="328"/>
      <c r="AD263" s="328"/>
      <c r="AE263" s="328"/>
      <c r="AF263" s="328"/>
      <c r="AG263" s="328"/>
      <c r="AH263" s="328"/>
      <c r="AI263" s="328"/>
      <c r="AJ263" s="328"/>
      <c r="AK263" s="328"/>
      <c r="AL263" s="328"/>
      <c r="AM263" s="328"/>
      <c r="AN263" s="328"/>
      <c r="AO263" s="328"/>
      <c r="AP263" s="328"/>
      <c r="AQ263" s="328"/>
      <c r="AR263" s="328"/>
      <c r="AS263" s="328"/>
      <c r="AT263" s="328"/>
      <c r="AU263" s="328"/>
    </row>
    <row r="264" ht="15.75" customHeight="1">
      <c r="A264" s="328"/>
      <c r="B264" s="328"/>
      <c r="C264" s="328"/>
      <c r="D264" s="328"/>
      <c r="E264" s="328"/>
      <c r="F264" s="328"/>
      <c r="G264" s="328"/>
      <c r="H264" s="328"/>
      <c r="I264" s="328"/>
      <c r="J264" s="328"/>
      <c r="K264" s="328"/>
      <c r="L264" s="328"/>
      <c r="M264" s="328"/>
      <c r="N264" s="328"/>
      <c r="O264" s="328"/>
      <c r="P264" s="328"/>
      <c r="Q264" s="328"/>
      <c r="R264" s="328"/>
      <c r="S264" s="328"/>
      <c r="T264" s="328"/>
      <c r="U264" s="328"/>
      <c r="V264" s="328"/>
      <c r="W264" s="328"/>
      <c r="X264" s="328"/>
      <c r="Y264" s="328"/>
      <c r="Z264" s="328"/>
      <c r="AA264" s="328"/>
      <c r="AB264" s="328"/>
      <c r="AC264" s="328"/>
      <c r="AD264" s="328"/>
      <c r="AE264" s="328"/>
      <c r="AF264" s="328"/>
      <c r="AG264" s="328"/>
      <c r="AH264" s="328"/>
      <c r="AI264" s="328"/>
      <c r="AJ264" s="328"/>
      <c r="AK264" s="328"/>
      <c r="AL264" s="328"/>
      <c r="AM264" s="328"/>
      <c r="AN264" s="328"/>
      <c r="AO264" s="328"/>
      <c r="AP264" s="328"/>
      <c r="AQ264" s="328"/>
      <c r="AR264" s="328"/>
      <c r="AS264" s="328"/>
      <c r="AT264" s="328"/>
      <c r="AU264" s="328"/>
    </row>
    <row r="265" ht="15.75" customHeight="1">
      <c r="A265" s="328"/>
      <c r="B265" s="328"/>
      <c r="C265" s="328"/>
      <c r="D265" s="328"/>
      <c r="E265" s="328"/>
      <c r="F265" s="328"/>
      <c r="G265" s="328"/>
      <c r="H265" s="328"/>
      <c r="I265" s="328"/>
      <c r="J265" s="328"/>
      <c r="K265" s="328"/>
      <c r="L265" s="328"/>
      <c r="M265" s="328"/>
      <c r="N265" s="328"/>
      <c r="O265" s="328"/>
      <c r="P265" s="328"/>
      <c r="Q265" s="328"/>
      <c r="R265" s="328"/>
      <c r="S265" s="328"/>
      <c r="T265" s="328"/>
      <c r="U265" s="328"/>
      <c r="V265" s="328"/>
      <c r="W265" s="328"/>
      <c r="X265" s="328"/>
      <c r="Y265" s="328"/>
      <c r="Z265" s="328"/>
      <c r="AA265" s="328"/>
      <c r="AB265" s="328"/>
      <c r="AC265" s="328"/>
      <c r="AD265" s="328"/>
      <c r="AE265" s="328"/>
      <c r="AF265" s="328"/>
      <c r="AG265" s="328"/>
      <c r="AH265" s="328"/>
      <c r="AI265" s="328"/>
      <c r="AJ265" s="328"/>
      <c r="AK265" s="328"/>
      <c r="AL265" s="328"/>
      <c r="AM265" s="328"/>
      <c r="AN265" s="328"/>
      <c r="AO265" s="328"/>
      <c r="AP265" s="328"/>
      <c r="AQ265" s="328"/>
      <c r="AR265" s="328"/>
      <c r="AS265" s="328"/>
      <c r="AT265" s="328"/>
      <c r="AU265" s="328"/>
    </row>
    <row r="266" ht="15.75" customHeight="1">
      <c r="A266" s="328"/>
      <c r="B266" s="328"/>
      <c r="C266" s="328"/>
      <c r="D266" s="328"/>
      <c r="E266" s="328"/>
      <c r="F266" s="328"/>
      <c r="G266" s="328"/>
      <c r="H266" s="328"/>
      <c r="I266" s="328"/>
      <c r="J266" s="328"/>
      <c r="K266" s="328"/>
      <c r="L266" s="328"/>
      <c r="M266" s="328"/>
      <c r="N266" s="328"/>
      <c r="O266" s="328"/>
      <c r="P266" s="328"/>
      <c r="Q266" s="328"/>
      <c r="R266" s="328"/>
      <c r="S266" s="328"/>
      <c r="T266" s="328"/>
      <c r="U266" s="328"/>
      <c r="V266" s="328"/>
      <c r="W266" s="328"/>
      <c r="X266" s="328"/>
      <c r="Y266" s="328"/>
      <c r="Z266" s="328"/>
      <c r="AA266" s="328"/>
      <c r="AB266" s="328"/>
      <c r="AC266" s="328"/>
      <c r="AD266" s="328"/>
      <c r="AE266" s="328"/>
      <c r="AF266" s="328"/>
      <c r="AG266" s="328"/>
      <c r="AH266" s="328"/>
      <c r="AI266" s="328"/>
      <c r="AJ266" s="328"/>
      <c r="AK266" s="328"/>
      <c r="AL266" s="328"/>
      <c r="AM266" s="328"/>
      <c r="AN266" s="328"/>
      <c r="AO266" s="328"/>
      <c r="AP266" s="328"/>
      <c r="AQ266" s="328"/>
      <c r="AR266" s="328"/>
      <c r="AS266" s="328"/>
      <c r="AT266" s="328"/>
      <c r="AU266" s="328"/>
    </row>
    <row r="267" ht="15.75" customHeight="1">
      <c r="A267" s="328"/>
      <c r="B267" s="328"/>
      <c r="C267" s="328"/>
      <c r="D267" s="328"/>
      <c r="E267" s="328"/>
      <c r="F267" s="328"/>
      <c r="G267" s="328"/>
      <c r="H267" s="328"/>
      <c r="I267" s="328"/>
      <c r="J267" s="328"/>
      <c r="K267" s="328"/>
      <c r="L267" s="328"/>
      <c r="M267" s="328"/>
      <c r="N267" s="328"/>
      <c r="O267" s="328"/>
      <c r="P267" s="328"/>
      <c r="Q267" s="328"/>
      <c r="R267" s="328"/>
      <c r="S267" s="328"/>
      <c r="T267" s="328"/>
      <c r="U267" s="328"/>
      <c r="V267" s="328"/>
      <c r="W267" s="328"/>
      <c r="X267" s="328"/>
      <c r="Y267" s="328"/>
      <c r="Z267" s="328"/>
      <c r="AA267" s="328"/>
      <c r="AB267" s="328"/>
      <c r="AC267" s="328"/>
      <c r="AD267" s="328"/>
      <c r="AE267" s="328"/>
      <c r="AF267" s="328"/>
      <c r="AG267" s="328"/>
      <c r="AH267" s="328"/>
      <c r="AI267" s="328"/>
      <c r="AJ267" s="328"/>
      <c r="AK267" s="328"/>
      <c r="AL267" s="328"/>
      <c r="AM267" s="328"/>
      <c r="AN267" s="328"/>
      <c r="AO267" s="328"/>
      <c r="AP267" s="328"/>
      <c r="AQ267" s="328"/>
      <c r="AR267" s="328"/>
      <c r="AS267" s="328"/>
      <c r="AT267" s="328"/>
      <c r="AU267" s="328"/>
    </row>
    <row r="268" ht="15.75" customHeight="1">
      <c r="A268" s="328"/>
      <c r="B268" s="328"/>
      <c r="C268" s="328"/>
      <c r="D268" s="328"/>
      <c r="E268" s="328"/>
      <c r="F268" s="328"/>
      <c r="G268" s="328"/>
      <c r="H268" s="328"/>
      <c r="I268" s="328"/>
      <c r="J268" s="328"/>
      <c r="K268" s="328"/>
      <c r="L268" s="328"/>
      <c r="M268" s="328"/>
      <c r="N268" s="328"/>
      <c r="O268" s="328"/>
      <c r="P268" s="328"/>
      <c r="Q268" s="328"/>
      <c r="R268" s="328"/>
      <c r="S268" s="328"/>
      <c r="T268" s="328"/>
      <c r="U268" s="328"/>
      <c r="V268" s="328"/>
      <c r="W268" s="328"/>
      <c r="X268" s="328"/>
      <c r="Y268" s="328"/>
      <c r="Z268" s="328"/>
      <c r="AA268" s="328"/>
      <c r="AB268" s="328"/>
      <c r="AC268" s="328"/>
      <c r="AD268" s="328"/>
      <c r="AE268" s="328"/>
      <c r="AF268" s="328"/>
      <c r="AG268" s="328"/>
      <c r="AH268" s="328"/>
      <c r="AI268" s="328"/>
      <c r="AJ268" s="328"/>
      <c r="AK268" s="328"/>
      <c r="AL268" s="328"/>
      <c r="AM268" s="328"/>
      <c r="AN268" s="328"/>
      <c r="AO268" s="328"/>
      <c r="AP268" s="328"/>
      <c r="AQ268" s="328"/>
      <c r="AR268" s="328"/>
      <c r="AS268" s="328"/>
      <c r="AT268" s="328"/>
      <c r="AU268" s="328"/>
    </row>
    <row r="269" ht="15.75" customHeight="1">
      <c r="A269" s="328"/>
      <c r="B269" s="328"/>
      <c r="C269" s="328"/>
      <c r="D269" s="328"/>
      <c r="E269" s="328"/>
      <c r="F269" s="328"/>
      <c r="G269" s="328"/>
      <c r="H269" s="328"/>
      <c r="I269" s="328"/>
      <c r="J269" s="328"/>
      <c r="K269" s="328"/>
      <c r="L269" s="328"/>
      <c r="M269" s="328"/>
      <c r="N269" s="328"/>
      <c r="O269" s="328"/>
      <c r="P269" s="328"/>
      <c r="Q269" s="328"/>
      <c r="R269" s="328"/>
      <c r="S269" s="328"/>
      <c r="T269" s="328"/>
      <c r="U269" s="328"/>
      <c r="V269" s="328"/>
      <c r="W269" s="328"/>
      <c r="X269" s="328"/>
      <c r="Y269" s="328"/>
      <c r="Z269" s="328"/>
      <c r="AA269" s="328"/>
      <c r="AB269" s="328"/>
      <c r="AC269" s="328"/>
      <c r="AD269" s="328"/>
      <c r="AE269" s="328"/>
      <c r="AF269" s="328"/>
      <c r="AG269" s="328"/>
      <c r="AH269" s="328"/>
      <c r="AI269" s="328"/>
      <c r="AJ269" s="328"/>
      <c r="AK269" s="328"/>
      <c r="AL269" s="328"/>
      <c r="AM269" s="328"/>
      <c r="AN269" s="328"/>
      <c r="AO269" s="328"/>
      <c r="AP269" s="328"/>
      <c r="AQ269" s="328"/>
      <c r="AR269" s="328"/>
      <c r="AS269" s="328"/>
      <c r="AT269" s="328"/>
      <c r="AU269" s="328"/>
    </row>
    <row r="270" ht="15.75" customHeight="1">
      <c r="A270" s="328"/>
      <c r="B270" s="328"/>
      <c r="C270" s="328"/>
      <c r="D270" s="328"/>
      <c r="E270" s="328"/>
      <c r="F270" s="328"/>
      <c r="G270" s="328"/>
      <c r="H270" s="328"/>
      <c r="I270" s="328"/>
      <c r="J270" s="328"/>
      <c r="K270" s="328"/>
      <c r="L270" s="328"/>
      <c r="M270" s="328"/>
      <c r="N270" s="328"/>
      <c r="O270" s="328"/>
      <c r="P270" s="328"/>
      <c r="Q270" s="328"/>
      <c r="R270" s="328"/>
      <c r="S270" s="328"/>
      <c r="T270" s="328"/>
      <c r="U270" s="328"/>
      <c r="V270" s="328"/>
      <c r="W270" s="328"/>
      <c r="X270" s="328"/>
      <c r="Y270" s="328"/>
      <c r="Z270" s="328"/>
      <c r="AA270" s="328"/>
      <c r="AB270" s="328"/>
      <c r="AC270" s="328"/>
      <c r="AD270" s="328"/>
      <c r="AE270" s="328"/>
      <c r="AF270" s="328"/>
      <c r="AG270" s="328"/>
      <c r="AH270" s="328"/>
      <c r="AI270" s="328"/>
      <c r="AJ270" s="328"/>
      <c r="AK270" s="328"/>
      <c r="AL270" s="328"/>
      <c r="AM270" s="328"/>
      <c r="AN270" s="328"/>
      <c r="AO270" s="328"/>
      <c r="AP270" s="328"/>
      <c r="AQ270" s="328"/>
      <c r="AR270" s="328"/>
      <c r="AS270" s="328"/>
      <c r="AT270" s="328"/>
      <c r="AU270" s="328"/>
    </row>
    <row r="271" ht="15.75" customHeight="1">
      <c r="A271" s="328"/>
      <c r="B271" s="328"/>
      <c r="C271" s="328"/>
      <c r="D271" s="328"/>
      <c r="E271" s="328"/>
      <c r="F271" s="328"/>
      <c r="G271" s="328"/>
      <c r="H271" s="328"/>
      <c r="I271" s="328"/>
      <c r="J271" s="328"/>
      <c r="K271" s="328"/>
      <c r="L271" s="328"/>
      <c r="M271" s="328"/>
      <c r="N271" s="328"/>
      <c r="O271" s="328"/>
      <c r="P271" s="328"/>
      <c r="Q271" s="328"/>
      <c r="R271" s="328"/>
      <c r="S271" s="328"/>
      <c r="T271" s="328"/>
      <c r="U271" s="328"/>
      <c r="V271" s="328"/>
      <c r="W271" s="328"/>
      <c r="X271" s="328"/>
      <c r="Y271" s="328"/>
      <c r="Z271" s="328"/>
      <c r="AA271" s="328"/>
      <c r="AB271" s="328"/>
      <c r="AC271" s="328"/>
      <c r="AD271" s="328"/>
      <c r="AE271" s="328"/>
      <c r="AF271" s="328"/>
      <c r="AG271" s="328"/>
      <c r="AH271" s="328"/>
      <c r="AI271" s="328"/>
      <c r="AJ271" s="328"/>
      <c r="AK271" s="328"/>
      <c r="AL271" s="328"/>
      <c r="AM271" s="328"/>
      <c r="AN271" s="328"/>
      <c r="AO271" s="328"/>
      <c r="AP271" s="328"/>
      <c r="AQ271" s="328"/>
      <c r="AR271" s="328"/>
      <c r="AS271" s="328"/>
      <c r="AT271" s="328"/>
      <c r="AU271" s="328"/>
    </row>
    <row r="272" ht="15.75" customHeight="1">
      <c r="A272" s="328"/>
      <c r="B272" s="328"/>
      <c r="C272" s="328"/>
      <c r="D272" s="328"/>
      <c r="E272" s="328"/>
      <c r="F272" s="328"/>
      <c r="G272" s="328"/>
      <c r="H272" s="328"/>
      <c r="I272" s="328"/>
      <c r="J272" s="328"/>
      <c r="K272" s="328"/>
      <c r="L272" s="328"/>
      <c r="M272" s="328"/>
      <c r="N272" s="328"/>
      <c r="O272" s="328"/>
      <c r="P272" s="328"/>
      <c r="Q272" s="328"/>
      <c r="R272" s="328"/>
      <c r="S272" s="328"/>
      <c r="T272" s="328"/>
      <c r="U272" s="328"/>
      <c r="V272" s="328"/>
      <c r="W272" s="328"/>
      <c r="X272" s="328"/>
      <c r="Y272" s="328"/>
      <c r="Z272" s="328"/>
      <c r="AA272" s="328"/>
      <c r="AB272" s="328"/>
      <c r="AC272" s="328"/>
      <c r="AD272" s="328"/>
      <c r="AE272" s="328"/>
      <c r="AF272" s="328"/>
      <c r="AG272" s="328"/>
      <c r="AH272" s="328"/>
      <c r="AI272" s="328"/>
      <c r="AJ272" s="328"/>
      <c r="AK272" s="328"/>
      <c r="AL272" s="328"/>
      <c r="AM272" s="328"/>
      <c r="AN272" s="328"/>
      <c r="AO272" s="328"/>
      <c r="AP272" s="328"/>
      <c r="AQ272" s="328"/>
      <c r="AR272" s="328"/>
      <c r="AS272" s="328"/>
      <c r="AT272" s="328"/>
      <c r="AU272" s="328"/>
    </row>
    <row r="273" ht="15.75" customHeight="1">
      <c r="A273" s="328"/>
      <c r="B273" s="328"/>
      <c r="C273" s="328"/>
      <c r="D273" s="328"/>
      <c r="E273" s="328"/>
      <c r="F273" s="328"/>
      <c r="G273" s="328"/>
      <c r="H273" s="328"/>
      <c r="I273" s="328"/>
      <c r="J273" s="328"/>
      <c r="K273" s="328"/>
      <c r="L273" s="328"/>
      <c r="M273" s="328"/>
      <c r="N273" s="328"/>
      <c r="O273" s="328"/>
      <c r="P273" s="328"/>
      <c r="Q273" s="328"/>
      <c r="R273" s="328"/>
      <c r="S273" s="328"/>
      <c r="T273" s="328"/>
      <c r="U273" s="328"/>
      <c r="V273" s="328"/>
      <c r="W273" s="328"/>
      <c r="X273" s="328"/>
      <c r="Y273" s="328"/>
      <c r="Z273" s="328"/>
      <c r="AA273" s="328"/>
      <c r="AB273" s="328"/>
      <c r="AC273" s="328"/>
      <c r="AD273" s="328"/>
      <c r="AE273" s="328"/>
      <c r="AF273" s="328"/>
      <c r="AG273" s="328"/>
      <c r="AH273" s="328"/>
      <c r="AI273" s="328"/>
      <c r="AJ273" s="328"/>
      <c r="AK273" s="328"/>
      <c r="AL273" s="328"/>
      <c r="AM273" s="328"/>
      <c r="AN273" s="328"/>
      <c r="AO273" s="328"/>
      <c r="AP273" s="328"/>
      <c r="AQ273" s="328"/>
      <c r="AR273" s="328"/>
      <c r="AS273" s="328"/>
      <c r="AT273" s="328"/>
      <c r="AU273" s="328"/>
    </row>
    <row r="274" ht="15.75" customHeight="1">
      <c r="A274" s="328"/>
      <c r="B274" s="328"/>
      <c r="C274" s="328"/>
      <c r="D274" s="328"/>
      <c r="E274" s="328"/>
      <c r="F274" s="328"/>
      <c r="G274" s="328"/>
      <c r="H274" s="328"/>
      <c r="I274" s="328"/>
      <c r="J274" s="328"/>
      <c r="K274" s="328"/>
      <c r="L274" s="328"/>
      <c r="M274" s="328"/>
      <c r="N274" s="328"/>
      <c r="O274" s="328"/>
      <c r="P274" s="328"/>
      <c r="Q274" s="328"/>
      <c r="R274" s="328"/>
      <c r="S274" s="328"/>
      <c r="T274" s="328"/>
      <c r="U274" s="328"/>
      <c r="V274" s="328"/>
      <c r="W274" s="328"/>
      <c r="X274" s="328"/>
      <c r="Y274" s="328"/>
      <c r="Z274" s="328"/>
      <c r="AA274" s="328"/>
      <c r="AB274" s="328"/>
      <c r="AC274" s="328"/>
      <c r="AD274" s="328"/>
      <c r="AE274" s="328"/>
      <c r="AF274" s="328"/>
      <c r="AG274" s="328"/>
      <c r="AH274" s="328"/>
      <c r="AI274" s="328"/>
      <c r="AJ274" s="328"/>
      <c r="AK274" s="328"/>
      <c r="AL274" s="328"/>
      <c r="AM274" s="328"/>
      <c r="AN274" s="328"/>
      <c r="AO274" s="328"/>
      <c r="AP274" s="328"/>
      <c r="AQ274" s="328"/>
      <c r="AR274" s="328"/>
      <c r="AS274" s="328"/>
      <c r="AT274" s="328"/>
      <c r="AU274" s="328"/>
    </row>
    <row r="275" ht="15.75" customHeight="1">
      <c r="A275" s="328"/>
      <c r="B275" s="328"/>
      <c r="C275" s="328"/>
      <c r="D275" s="328"/>
      <c r="E275" s="328"/>
      <c r="F275" s="328"/>
      <c r="G275" s="328"/>
      <c r="H275" s="328"/>
      <c r="I275" s="328"/>
      <c r="J275" s="328"/>
      <c r="K275" s="328"/>
      <c r="L275" s="328"/>
      <c r="M275" s="328"/>
      <c r="N275" s="328"/>
      <c r="O275" s="328"/>
      <c r="P275" s="328"/>
      <c r="Q275" s="328"/>
      <c r="R275" s="328"/>
      <c r="S275" s="328"/>
      <c r="T275" s="328"/>
      <c r="U275" s="328"/>
      <c r="V275" s="328"/>
      <c r="W275" s="328"/>
      <c r="X275" s="328"/>
      <c r="Y275" s="328"/>
      <c r="Z275" s="328"/>
      <c r="AA275" s="328"/>
      <c r="AB275" s="328"/>
      <c r="AC275" s="328"/>
      <c r="AD275" s="328"/>
      <c r="AE275" s="328"/>
      <c r="AF275" s="328"/>
      <c r="AG275" s="328"/>
      <c r="AH275" s="328"/>
      <c r="AI275" s="328"/>
      <c r="AJ275" s="328"/>
      <c r="AK275" s="328"/>
      <c r="AL275" s="328"/>
      <c r="AM275" s="328"/>
      <c r="AN275" s="328"/>
      <c r="AO275" s="328"/>
      <c r="AP275" s="328"/>
      <c r="AQ275" s="328"/>
      <c r="AR275" s="328"/>
      <c r="AS275" s="328"/>
      <c r="AT275" s="328"/>
      <c r="AU275" s="328"/>
    </row>
    <row r="276" ht="15.75" customHeight="1">
      <c r="A276" s="328"/>
      <c r="B276" s="328"/>
      <c r="C276" s="328"/>
      <c r="D276" s="328"/>
      <c r="E276" s="328"/>
      <c r="F276" s="328"/>
      <c r="G276" s="328"/>
      <c r="H276" s="328"/>
      <c r="I276" s="328"/>
      <c r="J276" s="328"/>
      <c r="K276" s="328"/>
      <c r="L276" s="328"/>
      <c r="M276" s="328"/>
      <c r="N276" s="328"/>
      <c r="O276" s="328"/>
      <c r="P276" s="328"/>
      <c r="Q276" s="328"/>
      <c r="R276" s="328"/>
      <c r="S276" s="328"/>
      <c r="T276" s="328"/>
      <c r="U276" s="328"/>
      <c r="V276" s="328"/>
      <c r="W276" s="328"/>
      <c r="X276" s="328"/>
      <c r="Y276" s="328"/>
      <c r="Z276" s="328"/>
      <c r="AA276" s="328"/>
      <c r="AB276" s="328"/>
      <c r="AC276" s="328"/>
      <c r="AD276" s="328"/>
      <c r="AE276" s="328"/>
      <c r="AF276" s="328"/>
      <c r="AG276" s="328"/>
      <c r="AH276" s="328"/>
      <c r="AI276" s="328"/>
      <c r="AJ276" s="328"/>
      <c r="AK276" s="328"/>
      <c r="AL276" s="328"/>
      <c r="AM276" s="328"/>
      <c r="AN276" s="328"/>
      <c r="AO276" s="328"/>
      <c r="AP276" s="328"/>
      <c r="AQ276" s="328"/>
      <c r="AR276" s="328"/>
      <c r="AS276" s="328"/>
      <c r="AT276" s="328"/>
      <c r="AU276" s="328"/>
    </row>
    <row r="277" ht="15.75" customHeight="1">
      <c r="A277" s="328"/>
      <c r="B277" s="328"/>
      <c r="C277" s="328"/>
      <c r="D277" s="328"/>
      <c r="E277" s="328"/>
      <c r="F277" s="328"/>
      <c r="G277" s="328"/>
      <c r="H277" s="328"/>
      <c r="I277" s="328"/>
      <c r="J277" s="328"/>
      <c r="K277" s="328"/>
      <c r="L277" s="328"/>
      <c r="M277" s="328"/>
      <c r="N277" s="328"/>
      <c r="O277" s="328"/>
      <c r="P277" s="328"/>
      <c r="Q277" s="328"/>
      <c r="R277" s="328"/>
      <c r="S277" s="328"/>
      <c r="T277" s="328"/>
      <c r="U277" s="328"/>
      <c r="V277" s="328"/>
      <c r="W277" s="328"/>
      <c r="X277" s="328"/>
      <c r="Y277" s="328"/>
      <c r="Z277" s="328"/>
      <c r="AA277" s="328"/>
      <c r="AB277" s="328"/>
      <c r="AC277" s="328"/>
      <c r="AD277" s="328"/>
      <c r="AE277" s="328"/>
      <c r="AF277" s="328"/>
      <c r="AG277" s="328"/>
      <c r="AH277" s="328"/>
      <c r="AI277" s="328"/>
      <c r="AJ277" s="328"/>
      <c r="AK277" s="328"/>
      <c r="AL277" s="328"/>
      <c r="AM277" s="328"/>
      <c r="AN277" s="328"/>
      <c r="AO277" s="328"/>
      <c r="AP277" s="328"/>
      <c r="AQ277" s="328"/>
      <c r="AR277" s="328"/>
      <c r="AS277" s="328"/>
      <c r="AT277" s="328"/>
      <c r="AU277" s="328"/>
    </row>
    <row r="278" ht="15.75" customHeight="1">
      <c r="A278" s="328"/>
      <c r="B278" s="328"/>
      <c r="C278" s="328"/>
      <c r="D278" s="328"/>
      <c r="E278" s="328"/>
      <c r="F278" s="328"/>
      <c r="G278" s="328"/>
      <c r="H278" s="328"/>
      <c r="I278" s="328"/>
      <c r="J278" s="328"/>
      <c r="K278" s="328"/>
      <c r="L278" s="328"/>
      <c r="M278" s="328"/>
      <c r="N278" s="328"/>
      <c r="O278" s="328"/>
      <c r="P278" s="328"/>
      <c r="Q278" s="328"/>
      <c r="R278" s="328"/>
      <c r="S278" s="328"/>
      <c r="T278" s="328"/>
      <c r="U278" s="328"/>
      <c r="V278" s="328"/>
      <c r="W278" s="328"/>
      <c r="X278" s="328"/>
      <c r="Y278" s="328"/>
      <c r="Z278" s="328"/>
      <c r="AA278" s="328"/>
      <c r="AB278" s="328"/>
      <c r="AC278" s="328"/>
      <c r="AD278" s="328"/>
      <c r="AE278" s="328"/>
      <c r="AF278" s="328"/>
      <c r="AG278" s="328"/>
      <c r="AH278" s="328"/>
      <c r="AI278" s="328"/>
      <c r="AJ278" s="328"/>
      <c r="AK278" s="328"/>
      <c r="AL278" s="328"/>
      <c r="AM278" s="328"/>
      <c r="AN278" s="328"/>
      <c r="AO278" s="328"/>
      <c r="AP278" s="328"/>
      <c r="AQ278" s="328"/>
      <c r="AR278" s="328"/>
      <c r="AS278" s="328"/>
      <c r="AT278" s="328"/>
      <c r="AU278" s="328"/>
    </row>
    <row r="279" ht="15.75" customHeight="1">
      <c r="A279" s="328"/>
      <c r="B279" s="328"/>
      <c r="C279" s="328"/>
      <c r="D279" s="328"/>
      <c r="E279" s="328"/>
      <c r="F279" s="328"/>
      <c r="G279" s="328"/>
      <c r="H279" s="328"/>
      <c r="I279" s="328"/>
      <c r="J279" s="328"/>
      <c r="K279" s="328"/>
      <c r="L279" s="328"/>
      <c r="M279" s="328"/>
      <c r="N279" s="328"/>
      <c r="O279" s="328"/>
      <c r="P279" s="328"/>
      <c r="Q279" s="328"/>
      <c r="R279" s="328"/>
      <c r="S279" s="328"/>
      <c r="T279" s="328"/>
      <c r="U279" s="328"/>
      <c r="V279" s="328"/>
      <c r="W279" s="328"/>
      <c r="X279" s="328"/>
      <c r="Y279" s="328"/>
      <c r="Z279" s="328"/>
      <c r="AA279" s="328"/>
      <c r="AB279" s="328"/>
      <c r="AC279" s="328"/>
      <c r="AD279" s="328"/>
      <c r="AE279" s="328"/>
      <c r="AF279" s="328"/>
      <c r="AG279" s="328"/>
      <c r="AH279" s="328"/>
      <c r="AI279" s="328"/>
      <c r="AJ279" s="328"/>
      <c r="AK279" s="328"/>
      <c r="AL279" s="328"/>
      <c r="AM279" s="328"/>
      <c r="AN279" s="328"/>
      <c r="AO279" s="328"/>
      <c r="AP279" s="328"/>
      <c r="AQ279" s="328"/>
      <c r="AR279" s="328"/>
      <c r="AS279" s="328"/>
      <c r="AT279" s="328"/>
      <c r="AU279" s="328"/>
    </row>
    <row r="280" ht="15.75" customHeight="1">
      <c r="A280" s="328"/>
      <c r="B280" s="328"/>
      <c r="C280" s="328"/>
      <c r="D280" s="328"/>
      <c r="E280" s="328"/>
      <c r="F280" s="328"/>
      <c r="G280" s="328"/>
      <c r="H280" s="328"/>
      <c r="I280" s="328"/>
      <c r="J280" s="328"/>
      <c r="K280" s="328"/>
      <c r="L280" s="328"/>
      <c r="M280" s="328"/>
      <c r="N280" s="328"/>
      <c r="O280" s="328"/>
      <c r="P280" s="328"/>
      <c r="Q280" s="328"/>
      <c r="R280" s="328"/>
      <c r="S280" s="328"/>
      <c r="T280" s="328"/>
      <c r="U280" s="328"/>
      <c r="V280" s="328"/>
      <c r="W280" s="328"/>
      <c r="X280" s="328"/>
      <c r="Y280" s="328"/>
      <c r="Z280" s="328"/>
      <c r="AA280" s="328"/>
      <c r="AB280" s="328"/>
      <c r="AC280" s="328"/>
      <c r="AD280" s="328"/>
      <c r="AE280" s="328"/>
      <c r="AF280" s="328"/>
      <c r="AG280" s="328"/>
      <c r="AH280" s="328"/>
      <c r="AI280" s="328"/>
      <c r="AJ280" s="328"/>
      <c r="AK280" s="328"/>
      <c r="AL280" s="328"/>
      <c r="AM280" s="328"/>
      <c r="AN280" s="328"/>
      <c r="AO280" s="328"/>
      <c r="AP280" s="328"/>
      <c r="AQ280" s="328"/>
      <c r="AR280" s="328"/>
      <c r="AS280" s="328"/>
      <c r="AT280" s="328"/>
      <c r="AU280" s="328"/>
    </row>
    <row r="281" ht="15.75" customHeight="1">
      <c r="A281" s="328"/>
      <c r="B281" s="328"/>
      <c r="C281" s="328"/>
      <c r="D281" s="328"/>
      <c r="E281" s="328"/>
      <c r="F281" s="328"/>
      <c r="G281" s="328"/>
      <c r="H281" s="328"/>
      <c r="I281" s="328"/>
      <c r="J281" s="328"/>
      <c r="K281" s="328"/>
      <c r="L281" s="328"/>
      <c r="M281" s="328"/>
      <c r="N281" s="328"/>
      <c r="O281" s="328"/>
      <c r="P281" s="328"/>
      <c r="Q281" s="328"/>
      <c r="R281" s="328"/>
      <c r="S281" s="328"/>
      <c r="T281" s="328"/>
      <c r="U281" s="328"/>
      <c r="V281" s="328"/>
      <c r="W281" s="328"/>
      <c r="X281" s="328"/>
      <c r="Y281" s="328"/>
      <c r="Z281" s="328"/>
      <c r="AA281" s="328"/>
      <c r="AB281" s="328"/>
      <c r="AC281" s="328"/>
      <c r="AD281" s="328"/>
      <c r="AE281" s="328"/>
      <c r="AF281" s="328"/>
      <c r="AG281" s="328"/>
      <c r="AH281" s="328"/>
      <c r="AI281" s="328"/>
      <c r="AJ281" s="328"/>
      <c r="AK281" s="328"/>
      <c r="AL281" s="328"/>
      <c r="AM281" s="328"/>
      <c r="AN281" s="328"/>
      <c r="AO281" s="328"/>
      <c r="AP281" s="328"/>
      <c r="AQ281" s="328"/>
      <c r="AR281" s="328"/>
      <c r="AS281" s="328"/>
      <c r="AT281" s="328"/>
      <c r="AU281" s="328"/>
    </row>
    <row r="282" ht="15.75" customHeight="1">
      <c r="A282" s="328"/>
      <c r="B282" s="328"/>
      <c r="C282" s="328"/>
      <c r="D282" s="328"/>
      <c r="E282" s="328"/>
      <c r="F282" s="328"/>
      <c r="G282" s="328"/>
      <c r="H282" s="328"/>
      <c r="I282" s="328"/>
      <c r="J282" s="328"/>
      <c r="K282" s="328"/>
      <c r="L282" s="328"/>
      <c r="M282" s="328"/>
      <c r="N282" s="328"/>
      <c r="O282" s="328"/>
      <c r="P282" s="328"/>
      <c r="Q282" s="328"/>
      <c r="R282" s="328"/>
      <c r="S282" s="328"/>
      <c r="T282" s="328"/>
      <c r="U282" s="328"/>
      <c r="V282" s="328"/>
      <c r="W282" s="328"/>
      <c r="X282" s="328"/>
      <c r="Y282" s="328"/>
      <c r="Z282" s="328"/>
      <c r="AA282" s="328"/>
      <c r="AB282" s="328"/>
      <c r="AC282" s="328"/>
      <c r="AD282" s="328"/>
      <c r="AE282" s="328"/>
      <c r="AF282" s="328"/>
      <c r="AG282" s="328"/>
      <c r="AH282" s="328"/>
      <c r="AI282" s="328"/>
      <c r="AJ282" s="328"/>
      <c r="AK282" s="328"/>
      <c r="AL282" s="328"/>
      <c r="AM282" s="328"/>
      <c r="AN282" s="328"/>
      <c r="AO282" s="328"/>
      <c r="AP282" s="328"/>
      <c r="AQ282" s="328"/>
      <c r="AR282" s="328"/>
      <c r="AS282" s="328"/>
      <c r="AT282" s="328"/>
      <c r="AU282" s="328"/>
    </row>
    <row r="283" ht="15.75" customHeight="1">
      <c r="A283" s="328"/>
      <c r="B283" s="328"/>
      <c r="C283" s="328"/>
      <c r="D283" s="328"/>
      <c r="E283" s="328"/>
      <c r="F283" s="328"/>
      <c r="G283" s="328"/>
      <c r="H283" s="328"/>
      <c r="I283" s="328"/>
      <c r="J283" s="328"/>
      <c r="K283" s="328"/>
      <c r="L283" s="328"/>
      <c r="M283" s="328"/>
      <c r="N283" s="328"/>
      <c r="O283" s="328"/>
      <c r="P283" s="328"/>
      <c r="Q283" s="328"/>
      <c r="R283" s="328"/>
      <c r="S283" s="328"/>
      <c r="T283" s="328"/>
      <c r="U283" s="328"/>
      <c r="V283" s="328"/>
      <c r="W283" s="328"/>
      <c r="X283" s="328"/>
      <c r="Y283" s="328"/>
      <c r="Z283" s="328"/>
      <c r="AA283" s="328"/>
      <c r="AB283" s="328"/>
      <c r="AC283" s="328"/>
      <c r="AD283" s="328"/>
      <c r="AE283" s="328"/>
      <c r="AF283" s="328"/>
      <c r="AG283" s="328"/>
      <c r="AH283" s="328"/>
      <c r="AI283" s="328"/>
      <c r="AJ283" s="328"/>
      <c r="AK283" s="328"/>
      <c r="AL283" s="328"/>
      <c r="AM283" s="328"/>
      <c r="AN283" s="328"/>
      <c r="AO283" s="328"/>
      <c r="AP283" s="328"/>
      <c r="AQ283" s="328"/>
      <c r="AR283" s="328"/>
      <c r="AS283" s="328"/>
      <c r="AT283" s="328"/>
      <c r="AU283" s="328"/>
    </row>
    <row r="284" ht="15.75" customHeight="1">
      <c r="A284" s="328"/>
      <c r="B284" s="328"/>
      <c r="C284" s="328"/>
      <c r="D284" s="328"/>
      <c r="E284" s="328"/>
      <c r="F284" s="328"/>
      <c r="G284" s="328"/>
      <c r="H284" s="328"/>
      <c r="I284" s="328"/>
      <c r="J284" s="328"/>
      <c r="K284" s="328"/>
      <c r="L284" s="328"/>
      <c r="M284" s="328"/>
      <c r="N284" s="328"/>
      <c r="O284" s="328"/>
      <c r="P284" s="328"/>
      <c r="Q284" s="328"/>
      <c r="R284" s="328"/>
      <c r="S284" s="328"/>
      <c r="T284" s="328"/>
      <c r="U284" s="328"/>
      <c r="V284" s="328"/>
      <c r="W284" s="328"/>
      <c r="X284" s="328"/>
      <c r="Y284" s="328"/>
      <c r="Z284" s="328"/>
      <c r="AA284" s="328"/>
      <c r="AB284" s="328"/>
      <c r="AC284" s="328"/>
      <c r="AD284" s="328"/>
      <c r="AE284" s="328"/>
      <c r="AF284" s="328"/>
      <c r="AG284" s="328"/>
      <c r="AH284" s="328"/>
      <c r="AI284" s="328"/>
      <c r="AJ284" s="328"/>
      <c r="AK284" s="328"/>
      <c r="AL284" s="328"/>
      <c r="AM284" s="328"/>
      <c r="AN284" s="328"/>
      <c r="AO284" s="328"/>
      <c r="AP284" s="328"/>
      <c r="AQ284" s="328"/>
      <c r="AR284" s="328"/>
      <c r="AS284" s="328"/>
      <c r="AT284" s="328"/>
      <c r="AU284" s="328"/>
    </row>
    <row r="285" ht="15.75" customHeight="1">
      <c r="A285" s="328"/>
      <c r="B285" s="328"/>
      <c r="C285" s="328"/>
      <c r="D285" s="328"/>
      <c r="E285" s="328"/>
      <c r="F285" s="328"/>
      <c r="G285" s="328"/>
      <c r="H285" s="328"/>
      <c r="I285" s="328"/>
      <c r="J285" s="328"/>
      <c r="K285" s="328"/>
      <c r="L285" s="328"/>
      <c r="M285" s="328"/>
      <c r="N285" s="328"/>
      <c r="O285" s="328"/>
      <c r="P285" s="328"/>
      <c r="Q285" s="328"/>
      <c r="R285" s="328"/>
      <c r="S285" s="328"/>
      <c r="T285" s="328"/>
      <c r="U285" s="328"/>
      <c r="V285" s="328"/>
      <c r="W285" s="328"/>
      <c r="X285" s="328"/>
      <c r="Y285" s="328"/>
      <c r="Z285" s="328"/>
      <c r="AA285" s="328"/>
      <c r="AB285" s="328"/>
      <c r="AC285" s="328"/>
      <c r="AD285" s="328"/>
      <c r="AE285" s="328"/>
      <c r="AF285" s="328"/>
      <c r="AG285" s="328"/>
      <c r="AH285" s="328"/>
      <c r="AI285" s="328"/>
      <c r="AJ285" s="328"/>
      <c r="AK285" s="328"/>
      <c r="AL285" s="328"/>
      <c r="AM285" s="328"/>
      <c r="AN285" s="328"/>
      <c r="AO285" s="328"/>
      <c r="AP285" s="328"/>
      <c r="AQ285" s="328"/>
      <c r="AR285" s="328"/>
      <c r="AS285" s="328"/>
      <c r="AT285" s="328"/>
      <c r="AU285" s="328"/>
    </row>
    <row r="286" ht="15.75" customHeight="1">
      <c r="A286" s="328"/>
      <c r="B286" s="328"/>
      <c r="C286" s="328"/>
      <c r="D286" s="328"/>
      <c r="E286" s="328"/>
      <c r="F286" s="328"/>
      <c r="G286" s="328"/>
      <c r="H286" s="328"/>
      <c r="I286" s="328"/>
      <c r="J286" s="328"/>
      <c r="K286" s="328"/>
      <c r="L286" s="328"/>
      <c r="M286" s="328"/>
      <c r="N286" s="328"/>
      <c r="O286" s="328"/>
      <c r="P286" s="328"/>
      <c r="Q286" s="328"/>
      <c r="R286" s="328"/>
      <c r="S286" s="328"/>
      <c r="T286" s="328"/>
      <c r="U286" s="328"/>
      <c r="V286" s="328"/>
      <c r="W286" s="328"/>
      <c r="X286" s="328"/>
      <c r="Y286" s="328"/>
      <c r="Z286" s="328"/>
      <c r="AA286" s="328"/>
      <c r="AB286" s="328"/>
      <c r="AC286" s="328"/>
      <c r="AD286" s="328"/>
      <c r="AE286" s="328"/>
      <c r="AF286" s="328"/>
      <c r="AG286" s="328"/>
      <c r="AH286" s="328"/>
      <c r="AI286" s="328"/>
      <c r="AJ286" s="328"/>
      <c r="AK286" s="328"/>
      <c r="AL286" s="328"/>
      <c r="AM286" s="328"/>
      <c r="AN286" s="328"/>
      <c r="AO286" s="328"/>
      <c r="AP286" s="328"/>
      <c r="AQ286" s="328"/>
      <c r="AR286" s="328"/>
      <c r="AS286" s="328"/>
      <c r="AT286" s="328"/>
      <c r="AU286" s="328"/>
    </row>
    <row r="287" ht="15.75" customHeight="1">
      <c r="A287" s="328"/>
      <c r="B287" s="328"/>
      <c r="C287" s="328"/>
      <c r="D287" s="328"/>
      <c r="E287" s="328"/>
      <c r="F287" s="328"/>
      <c r="G287" s="328"/>
      <c r="H287" s="328"/>
      <c r="I287" s="328"/>
      <c r="J287" s="328"/>
      <c r="K287" s="328"/>
      <c r="L287" s="328"/>
      <c r="M287" s="328"/>
      <c r="N287" s="328"/>
      <c r="O287" s="328"/>
      <c r="P287" s="328"/>
      <c r="Q287" s="328"/>
      <c r="R287" s="328"/>
      <c r="S287" s="328"/>
      <c r="T287" s="328"/>
      <c r="U287" s="328"/>
      <c r="V287" s="328"/>
      <c r="W287" s="328"/>
      <c r="X287" s="328"/>
      <c r="Y287" s="328"/>
      <c r="Z287" s="328"/>
      <c r="AA287" s="328"/>
      <c r="AB287" s="328"/>
      <c r="AC287" s="328"/>
      <c r="AD287" s="328"/>
      <c r="AE287" s="328"/>
      <c r="AF287" s="328"/>
      <c r="AG287" s="328"/>
      <c r="AH287" s="328"/>
      <c r="AI287" s="328"/>
      <c r="AJ287" s="328"/>
      <c r="AK287" s="328"/>
      <c r="AL287" s="328"/>
      <c r="AM287" s="328"/>
      <c r="AN287" s="328"/>
      <c r="AO287" s="328"/>
      <c r="AP287" s="328"/>
      <c r="AQ287" s="328"/>
      <c r="AR287" s="328"/>
      <c r="AS287" s="328"/>
      <c r="AT287" s="328"/>
      <c r="AU287" s="328"/>
    </row>
    <row r="288" ht="15.75" customHeight="1">
      <c r="A288" s="328"/>
      <c r="B288" s="328"/>
      <c r="C288" s="328"/>
      <c r="D288" s="328"/>
      <c r="E288" s="328"/>
      <c r="F288" s="328"/>
      <c r="G288" s="328"/>
      <c r="H288" s="328"/>
      <c r="I288" s="328"/>
      <c r="J288" s="328"/>
      <c r="K288" s="328"/>
      <c r="L288" s="328"/>
      <c r="M288" s="328"/>
      <c r="N288" s="328"/>
      <c r="O288" s="328"/>
      <c r="P288" s="328"/>
      <c r="Q288" s="328"/>
      <c r="R288" s="328"/>
      <c r="S288" s="328"/>
      <c r="T288" s="328"/>
      <c r="U288" s="328"/>
      <c r="V288" s="328"/>
      <c r="W288" s="328"/>
      <c r="X288" s="328"/>
      <c r="Y288" s="328"/>
      <c r="Z288" s="328"/>
      <c r="AA288" s="328"/>
      <c r="AB288" s="328"/>
      <c r="AC288" s="328"/>
      <c r="AD288" s="328"/>
      <c r="AE288" s="328"/>
      <c r="AF288" s="328"/>
      <c r="AG288" s="328"/>
      <c r="AH288" s="328"/>
      <c r="AI288" s="328"/>
      <c r="AJ288" s="328"/>
      <c r="AK288" s="328"/>
      <c r="AL288" s="328"/>
      <c r="AM288" s="328"/>
      <c r="AN288" s="328"/>
      <c r="AO288" s="328"/>
      <c r="AP288" s="328"/>
      <c r="AQ288" s="328"/>
      <c r="AR288" s="328"/>
      <c r="AS288" s="328"/>
      <c r="AT288" s="328"/>
      <c r="AU288" s="328"/>
    </row>
    <row r="289" ht="15.75" customHeight="1">
      <c r="A289" s="328"/>
      <c r="B289" s="328"/>
      <c r="C289" s="328"/>
      <c r="D289" s="328"/>
      <c r="E289" s="328"/>
      <c r="F289" s="328"/>
      <c r="G289" s="328"/>
      <c r="H289" s="328"/>
      <c r="I289" s="328"/>
      <c r="J289" s="328"/>
      <c r="K289" s="328"/>
      <c r="L289" s="328"/>
      <c r="M289" s="328"/>
      <c r="N289" s="328"/>
      <c r="O289" s="328"/>
      <c r="P289" s="328"/>
      <c r="Q289" s="328"/>
      <c r="R289" s="328"/>
      <c r="S289" s="328"/>
      <c r="T289" s="328"/>
      <c r="U289" s="328"/>
      <c r="V289" s="328"/>
      <c r="W289" s="328"/>
      <c r="X289" s="328"/>
      <c r="Y289" s="328"/>
      <c r="Z289" s="328"/>
      <c r="AA289" s="328"/>
      <c r="AB289" s="328"/>
      <c r="AC289" s="328"/>
      <c r="AD289" s="328"/>
      <c r="AE289" s="328"/>
      <c r="AF289" s="328"/>
      <c r="AG289" s="328"/>
      <c r="AH289" s="328"/>
      <c r="AI289" s="328"/>
      <c r="AJ289" s="328"/>
      <c r="AK289" s="328"/>
      <c r="AL289" s="328"/>
      <c r="AM289" s="328"/>
      <c r="AN289" s="328"/>
      <c r="AO289" s="328"/>
      <c r="AP289" s="328"/>
      <c r="AQ289" s="328"/>
      <c r="AR289" s="328"/>
      <c r="AS289" s="328"/>
      <c r="AT289" s="328"/>
      <c r="AU289" s="328"/>
    </row>
    <row r="290" ht="15.75" customHeight="1">
      <c r="A290" s="328"/>
      <c r="B290" s="328"/>
      <c r="C290" s="328"/>
      <c r="D290" s="328"/>
      <c r="E290" s="328"/>
      <c r="F290" s="328"/>
      <c r="G290" s="328"/>
      <c r="H290" s="328"/>
      <c r="I290" s="328"/>
      <c r="J290" s="328"/>
      <c r="K290" s="328"/>
      <c r="L290" s="328"/>
      <c r="M290" s="328"/>
      <c r="N290" s="328"/>
      <c r="O290" s="328"/>
      <c r="P290" s="328"/>
      <c r="Q290" s="328"/>
      <c r="R290" s="328"/>
      <c r="S290" s="328"/>
      <c r="T290" s="328"/>
      <c r="U290" s="328"/>
      <c r="V290" s="328"/>
      <c r="W290" s="328"/>
      <c r="X290" s="328"/>
      <c r="Y290" s="328"/>
      <c r="Z290" s="328"/>
      <c r="AA290" s="328"/>
      <c r="AB290" s="328"/>
      <c r="AC290" s="328"/>
      <c r="AD290" s="328"/>
      <c r="AE290" s="328"/>
      <c r="AF290" s="328"/>
      <c r="AG290" s="328"/>
      <c r="AH290" s="328"/>
      <c r="AI290" s="328"/>
      <c r="AJ290" s="328"/>
      <c r="AK290" s="328"/>
      <c r="AL290" s="328"/>
      <c r="AM290" s="328"/>
      <c r="AN290" s="328"/>
      <c r="AO290" s="328"/>
      <c r="AP290" s="328"/>
      <c r="AQ290" s="328"/>
      <c r="AR290" s="328"/>
      <c r="AS290" s="328"/>
      <c r="AT290" s="328"/>
      <c r="AU290" s="328"/>
    </row>
    <row r="291" ht="15.75" customHeight="1">
      <c r="A291" s="328"/>
      <c r="B291" s="328"/>
      <c r="C291" s="328"/>
      <c r="D291" s="328"/>
      <c r="E291" s="328"/>
      <c r="F291" s="328"/>
      <c r="G291" s="328"/>
      <c r="H291" s="328"/>
      <c r="I291" s="328"/>
      <c r="J291" s="328"/>
      <c r="K291" s="328"/>
      <c r="L291" s="328"/>
      <c r="M291" s="328"/>
      <c r="N291" s="328"/>
      <c r="O291" s="328"/>
      <c r="P291" s="328"/>
      <c r="Q291" s="328"/>
      <c r="R291" s="328"/>
      <c r="S291" s="328"/>
      <c r="T291" s="328"/>
      <c r="U291" s="328"/>
      <c r="V291" s="328"/>
      <c r="W291" s="328"/>
      <c r="X291" s="328"/>
      <c r="Y291" s="328"/>
      <c r="Z291" s="328"/>
      <c r="AA291" s="328"/>
      <c r="AB291" s="328"/>
      <c r="AC291" s="328"/>
      <c r="AD291" s="328"/>
      <c r="AE291" s="328"/>
      <c r="AF291" s="328"/>
      <c r="AG291" s="328"/>
      <c r="AH291" s="328"/>
      <c r="AI291" s="328"/>
      <c r="AJ291" s="328"/>
      <c r="AK291" s="328"/>
      <c r="AL291" s="328"/>
      <c r="AM291" s="328"/>
      <c r="AN291" s="328"/>
      <c r="AO291" s="328"/>
      <c r="AP291" s="328"/>
      <c r="AQ291" s="328"/>
      <c r="AR291" s="328"/>
      <c r="AS291" s="328"/>
      <c r="AT291" s="328"/>
      <c r="AU291" s="328"/>
    </row>
    <row r="292" ht="15.75" customHeight="1">
      <c r="A292" s="328"/>
      <c r="B292" s="328"/>
      <c r="C292" s="328"/>
      <c r="D292" s="328"/>
      <c r="E292" s="328"/>
      <c r="F292" s="328"/>
      <c r="G292" s="328"/>
      <c r="H292" s="328"/>
      <c r="I292" s="328"/>
      <c r="J292" s="328"/>
      <c r="K292" s="328"/>
      <c r="L292" s="328"/>
      <c r="M292" s="328"/>
      <c r="N292" s="328"/>
      <c r="O292" s="328"/>
      <c r="P292" s="328"/>
      <c r="Q292" s="328"/>
      <c r="R292" s="328"/>
      <c r="S292" s="328"/>
      <c r="T292" s="328"/>
      <c r="U292" s="328"/>
      <c r="V292" s="328"/>
      <c r="W292" s="328"/>
      <c r="X292" s="328"/>
      <c r="Y292" s="328"/>
      <c r="Z292" s="328"/>
      <c r="AA292" s="328"/>
      <c r="AB292" s="328"/>
      <c r="AC292" s="328"/>
      <c r="AD292" s="328"/>
      <c r="AE292" s="328"/>
      <c r="AF292" s="328"/>
      <c r="AG292" s="328"/>
      <c r="AH292" s="328"/>
      <c r="AI292" s="328"/>
      <c r="AJ292" s="328"/>
      <c r="AK292" s="328"/>
      <c r="AL292" s="328"/>
      <c r="AM292" s="328"/>
      <c r="AN292" s="328"/>
      <c r="AO292" s="328"/>
      <c r="AP292" s="328"/>
      <c r="AQ292" s="328"/>
      <c r="AR292" s="328"/>
      <c r="AS292" s="328"/>
      <c r="AT292" s="328"/>
      <c r="AU292" s="328"/>
    </row>
    <row r="293" ht="15.75" customHeight="1">
      <c r="A293" s="328"/>
      <c r="B293" s="328"/>
      <c r="C293" s="328"/>
      <c r="D293" s="328"/>
      <c r="E293" s="328"/>
      <c r="F293" s="328"/>
      <c r="G293" s="328"/>
      <c r="H293" s="328"/>
      <c r="I293" s="328"/>
      <c r="J293" s="328"/>
      <c r="K293" s="328"/>
      <c r="L293" s="328"/>
      <c r="M293" s="328"/>
      <c r="N293" s="328"/>
      <c r="O293" s="328"/>
      <c r="P293" s="328"/>
      <c r="Q293" s="328"/>
      <c r="R293" s="328"/>
      <c r="S293" s="328"/>
      <c r="T293" s="328"/>
      <c r="U293" s="328"/>
      <c r="V293" s="328"/>
      <c r="W293" s="328"/>
      <c r="X293" s="328"/>
      <c r="Y293" s="328"/>
      <c r="Z293" s="328"/>
      <c r="AA293" s="328"/>
      <c r="AB293" s="328"/>
      <c r="AC293" s="328"/>
      <c r="AD293" s="328"/>
      <c r="AE293" s="328"/>
      <c r="AF293" s="328"/>
      <c r="AG293" s="328"/>
      <c r="AH293" s="328"/>
      <c r="AI293" s="328"/>
      <c r="AJ293" s="328"/>
      <c r="AK293" s="328"/>
      <c r="AL293" s="328"/>
      <c r="AM293" s="328"/>
      <c r="AN293" s="328"/>
      <c r="AO293" s="328"/>
      <c r="AP293" s="328"/>
      <c r="AQ293" s="328"/>
      <c r="AR293" s="328"/>
      <c r="AS293" s="328"/>
      <c r="AT293" s="328"/>
      <c r="AU293" s="328"/>
    </row>
    <row r="294" ht="15.75" customHeight="1">
      <c r="A294" s="328"/>
      <c r="B294" s="328"/>
      <c r="C294" s="328"/>
      <c r="D294" s="328"/>
      <c r="E294" s="328"/>
      <c r="F294" s="328"/>
      <c r="G294" s="328"/>
      <c r="H294" s="328"/>
      <c r="I294" s="328"/>
      <c r="J294" s="328"/>
      <c r="K294" s="328"/>
      <c r="L294" s="328"/>
      <c r="M294" s="328"/>
      <c r="N294" s="328"/>
      <c r="O294" s="328"/>
      <c r="P294" s="328"/>
      <c r="Q294" s="328"/>
      <c r="R294" s="328"/>
      <c r="S294" s="328"/>
      <c r="T294" s="328"/>
      <c r="U294" s="328"/>
      <c r="V294" s="328"/>
      <c r="W294" s="328"/>
      <c r="X294" s="328"/>
      <c r="Y294" s="328"/>
      <c r="Z294" s="328"/>
      <c r="AA294" s="328"/>
      <c r="AB294" s="328"/>
      <c r="AC294" s="328"/>
      <c r="AD294" s="328"/>
      <c r="AE294" s="328"/>
      <c r="AF294" s="328"/>
      <c r="AG294" s="328"/>
      <c r="AH294" s="328"/>
      <c r="AI294" s="328"/>
      <c r="AJ294" s="328"/>
      <c r="AK294" s="328"/>
      <c r="AL294" s="328"/>
      <c r="AM294" s="328"/>
      <c r="AN294" s="328"/>
      <c r="AO294" s="328"/>
      <c r="AP294" s="328"/>
      <c r="AQ294" s="328"/>
      <c r="AR294" s="328"/>
      <c r="AS294" s="328"/>
      <c r="AT294" s="328"/>
      <c r="AU294" s="328"/>
    </row>
    <row r="295" ht="15.75" customHeight="1">
      <c r="A295" s="328"/>
      <c r="B295" s="328"/>
      <c r="C295" s="328"/>
      <c r="D295" s="328"/>
      <c r="E295" s="328"/>
      <c r="F295" s="328"/>
      <c r="G295" s="328"/>
      <c r="H295" s="328"/>
      <c r="I295" s="328"/>
      <c r="J295" s="328"/>
      <c r="K295" s="328"/>
      <c r="L295" s="328"/>
      <c r="M295" s="328"/>
      <c r="N295" s="328"/>
      <c r="O295" s="328"/>
      <c r="P295" s="328"/>
      <c r="Q295" s="328"/>
      <c r="R295" s="328"/>
      <c r="S295" s="328"/>
      <c r="T295" s="328"/>
      <c r="U295" s="328"/>
      <c r="V295" s="328"/>
      <c r="W295" s="328"/>
      <c r="X295" s="328"/>
      <c r="Y295" s="328"/>
      <c r="Z295" s="328"/>
      <c r="AA295" s="328"/>
      <c r="AB295" s="328"/>
      <c r="AC295" s="328"/>
      <c r="AD295" s="328"/>
      <c r="AE295" s="328"/>
      <c r="AF295" s="328"/>
      <c r="AG295" s="328"/>
      <c r="AH295" s="328"/>
      <c r="AI295" s="328"/>
      <c r="AJ295" s="328"/>
      <c r="AK295" s="328"/>
      <c r="AL295" s="328"/>
      <c r="AM295" s="328"/>
      <c r="AN295" s="328"/>
      <c r="AO295" s="328"/>
      <c r="AP295" s="328"/>
      <c r="AQ295" s="328"/>
      <c r="AR295" s="328"/>
      <c r="AS295" s="328"/>
      <c r="AT295" s="328"/>
      <c r="AU295" s="328"/>
    </row>
    <row r="296" ht="15.75" customHeight="1">
      <c r="A296" s="328"/>
      <c r="B296" s="328"/>
      <c r="C296" s="328"/>
      <c r="D296" s="328"/>
      <c r="E296" s="328"/>
      <c r="F296" s="328"/>
      <c r="G296" s="328"/>
      <c r="H296" s="328"/>
      <c r="I296" s="328"/>
      <c r="J296" s="328"/>
      <c r="K296" s="328"/>
      <c r="L296" s="328"/>
      <c r="M296" s="328"/>
      <c r="N296" s="328"/>
      <c r="O296" s="328"/>
      <c r="P296" s="328"/>
      <c r="Q296" s="328"/>
      <c r="R296" s="328"/>
      <c r="S296" s="328"/>
      <c r="T296" s="328"/>
      <c r="U296" s="328"/>
      <c r="V296" s="328"/>
      <c r="W296" s="328"/>
      <c r="X296" s="328"/>
      <c r="Y296" s="328"/>
      <c r="Z296" s="328"/>
      <c r="AA296" s="328"/>
      <c r="AB296" s="328"/>
      <c r="AC296" s="328"/>
      <c r="AD296" s="328"/>
      <c r="AE296" s="328"/>
      <c r="AF296" s="328"/>
      <c r="AG296" s="328"/>
      <c r="AH296" s="328"/>
      <c r="AI296" s="328"/>
      <c r="AJ296" s="328"/>
      <c r="AK296" s="328"/>
      <c r="AL296" s="328"/>
      <c r="AM296" s="328"/>
      <c r="AN296" s="328"/>
      <c r="AO296" s="328"/>
      <c r="AP296" s="328"/>
      <c r="AQ296" s="328"/>
      <c r="AR296" s="328"/>
      <c r="AS296" s="328"/>
      <c r="AT296" s="328"/>
      <c r="AU296" s="328"/>
    </row>
    <row r="297" ht="15.75" customHeight="1">
      <c r="A297" s="328"/>
      <c r="B297" s="328"/>
      <c r="C297" s="328"/>
      <c r="D297" s="328"/>
      <c r="E297" s="328"/>
      <c r="F297" s="328"/>
      <c r="G297" s="328"/>
      <c r="H297" s="328"/>
      <c r="I297" s="328"/>
      <c r="J297" s="328"/>
      <c r="K297" s="328"/>
      <c r="L297" s="328"/>
      <c r="M297" s="328"/>
      <c r="N297" s="328"/>
      <c r="O297" s="328"/>
      <c r="P297" s="328"/>
      <c r="Q297" s="328"/>
      <c r="R297" s="328"/>
      <c r="S297" s="328"/>
      <c r="T297" s="328"/>
      <c r="U297" s="328"/>
      <c r="V297" s="328"/>
      <c r="W297" s="328"/>
      <c r="X297" s="328"/>
      <c r="Y297" s="328"/>
      <c r="Z297" s="328"/>
      <c r="AA297" s="328"/>
      <c r="AB297" s="328"/>
      <c r="AC297" s="328"/>
      <c r="AD297" s="328"/>
      <c r="AE297" s="328"/>
      <c r="AF297" s="328"/>
      <c r="AG297" s="328"/>
      <c r="AH297" s="328"/>
      <c r="AI297" s="328"/>
      <c r="AJ297" s="328"/>
      <c r="AK297" s="328"/>
      <c r="AL297" s="328"/>
      <c r="AM297" s="328"/>
      <c r="AN297" s="328"/>
      <c r="AO297" s="328"/>
      <c r="AP297" s="328"/>
      <c r="AQ297" s="328"/>
      <c r="AR297" s="328"/>
      <c r="AS297" s="328"/>
      <c r="AT297" s="328"/>
      <c r="AU297" s="328"/>
    </row>
    <row r="298" ht="15.75" customHeight="1">
      <c r="A298" s="328"/>
      <c r="B298" s="328"/>
      <c r="C298" s="328"/>
      <c r="D298" s="328"/>
      <c r="E298" s="328"/>
      <c r="F298" s="328"/>
      <c r="G298" s="328"/>
      <c r="H298" s="328"/>
      <c r="I298" s="328"/>
      <c r="J298" s="328"/>
      <c r="K298" s="328"/>
      <c r="L298" s="328"/>
      <c r="M298" s="328"/>
      <c r="N298" s="328"/>
      <c r="O298" s="328"/>
      <c r="P298" s="328"/>
      <c r="Q298" s="328"/>
      <c r="R298" s="328"/>
      <c r="S298" s="328"/>
      <c r="T298" s="328"/>
      <c r="U298" s="328"/>
      <c r="V298" s="328"/>
      <c r="W298" s="328"/>
      <c r="X298" s="328"/>
      <c r="Y298" s="328"/>
      <c r="Z298" s="328"/>
      <c r="AA298" s="328"/>
      <c r="AB298" s="328"/>
      <c r="AC298" s="328"/>
      <c r="AD298" s="328"/>
      <c r="AE298" s="328"/>
      <c r="AF298" s="328"/>
      <c r="AG298" s="328"/>
      <c r="AH298" s="328"/>
      <c r="AI298" s="328"/>
      <c r="AJ298" s="328"/>
      <c r="AK298" s="328"/>
      <c r="AL298" s="328"/>
      <c r="AM298" s="328"/>
      <c r="AN298" s="328"/>
      <c r="AO298" s="328"/>
      <c r="AP298" s="328"/>
      <c r="AQ298" s="328"/>
      <c r="AR298" s="328"/>
      <c r="AS298" s="328"/>
      <c r="AT298" s="328"/>
      <c r="AU298" s="328"/>
    </row>
    <row r="299" ht="15.75" customHeight="1">
      <c r="A299" s="328"/>
      <c r="B299" s="328"/>
      <c r="C299" s="328"/>
      <c r="D299" s="328"/>
      <c r="E299" s="328"/>
      <c r="F299" s="328"/>
      <c r="G299" s="328"/>
      <c r="H299" s="328"/>
      <c r="I299" s="328"/>
      <c r="J299" s="328"/>
      <c r="K299" s="328"/>
      <c r="L299" s="328"/>
      <c r="M299" s="328"/>
      <c r="N299" s="328"/>
      <c r="O299" s="328"/>
      <c r="P299" s="328"/>
      <c r="Q299" s="328"/>
      <c r="R299" s="328"/>
      <c r="S299" s="328"/>
      <c r="T299" s="328"/>
      <c r="U299" s="328"/>
      <c r="V299" s="328"/>
      <c r="W299" s="328"/>
      <c r="X299" s="328"/>
      <c r="Y299" s="328"/>
      <c r="Z299" s="328"/>
      <c r="AA299" s="328"/>
      <c r="AB299" s="328"/>
      <c r="AC299" s="328"/>
      <c r="AD299" s="328"/>
      <c r="AE299" s="328"/>
      <c r="AF299" s="328"/>
      <c r="AG299" s="328"/>
      <c r="AH299" s="328"/>
      <c r="AI299" s="328"/>
      <c r="AJ299" s="328"/>
      <c r="AK299" s="328"/>
      <c r="AL299" s="328"/>
      <c r="AM299" s="328"/>
      <c r="AN299" s="328"/>
      <c r="AO299" s="328"/>
      <c r="AP299" s="328"/>
      <c r="AQ299" s="328"/>
      <c r="AR299" s="328"/>
      <c r="AS299" s="328"/>
      <c r="AT299" s="328"/>
      <c r="AU299" s="328"/>
    </row>
    <row r="300" ht="15.75" customHeight="1">
      <c r="A300" s="328"/>
      <c r="B300" s="328"/>
      <c r="C300" s="328"/>
      <c r="D300" s="328"/>
      <c r="E300" s="328"/>
      <c r="F300" s="328"/>
      <c r="G300" s="328"/>
      <c r="H300" s="328"/>
      <c r="I300" s="328"/>
      <c r="J300" s="328"/>
      <c r="K300" s="328"/>
      <c r="L300" s="328"/>
      <c r="M300" s="328"/>
      <c r="N300" s="328"/>
      <c r="O300" s="328"/>
      <c r="P300" s="328"/>
      <c r="Q300" s="328"/>
      <c r="R300" s="328"/>
      <c r="S300" s="328"/>
      <c r="T300" s="328"/>
      <c r="U300" s="328"/>
      <c r="V300" s="328"/>
      <c r="W300" s="328"/>
      <c r="X300" s="328"/>
      <c r="Y300" s="328"/>
      <c r="Z300" s="328"/>
      <c r="AA300" s="328"/>
      <c r="AB300" s="328"/>
      <c r="AC300" s="328"/>
      <c r="AD300" s="328"/>
      <c r="AE300" s="328"/>
      <c r="AF300" s="328"/>
      <c r="AG300" s="328"/>
      <c r="AH300" s="328"/>
      <c r="AI300" s="328"/>
      <c r="AJ300" s="328"/>
      <c r="AK300" s="328"/>
      <c r="AL300" s="328"/>
      <c r="AM300" s="328"/>
      <c r="AN300" s="328"/>
      <c r="AO300" s="328"/>
      <c r="AP300" s="328"/>
      <c r="AQ300" s="328"/>
      <c r="AR300" s="328"/>
      <c r="AS300" s="328"/>
      <c r="AT300" s="328"/>
      <c r="AU300" s="328"/>
    </row>
    <row r="301" ht="15.75" customHeight="1">
      <c r="A301" s="328"/>
      <c r="B301" s="328"/>
      <c r="C301" s="328"/>
      <c r="D301" s="328"/>
      <c r="E301" s="328"/>
      <c r="F301" s="328"/>
      <c r="G301" s="328"/>
      <c r="H301" s="328"/>
      <c r="I301" s="328"/>
      <c r="J301" s="328"/>
      <c r="K301" s="328"/>
      <c r="L301" s="328"/>
      <c r="M301" s="328"/>
      <c r="N301" s="328"/>
      <c r="O301" s="328"/>
      <c r="P301" s="328"/>
      <c r="Q301" s="328"/>
      <c r="R301" s="328"/>
      <c r="S301" s="328"/>
      <c r="T301" s="328"/>
      <c r="U301" s="328"/>
      <c r="V301" s="328"/>
      <c r="W301" s="328"/>
      <c r="X301" s="328"/>
      <c r="Y301" s="328"/>
      <c r="Z301" s="328"/>
      <c r="AA301" s="328"/>
      <c r="AB301" s="328"/>
      <c r="AC301" s="328"/>
      <c r="AD301" s="328"/>
      <c r="AE301" s="328"/>
      <c r="AF301" s="328"/>
      <c r="AG301" s="328"/>
      <c r="AH301" s="328"/>
      <c r="AI301" s="328"/>
      <c r="AJ301" s="328"/>
      <c r="AK301" s="328"/>
      <c r="AL301" s="328"/>
      <c r="AM301" s="328"/>
      <c r="AN301" s="328"/>
      <c r="AO301" s="328"/>
      <c r="AP301" s="328"/>
      <c r="AQ301" s="328"/>
      <c r="AR301" s="328"/>
      <c r="AS301" s="328"/>
      <c r="AT301" s="328"/>
      <c r="AU301" s="328"/>
    </row>
    <row r="302" ht="15.75" customHeight="1">
      <c r="A302" s="328"/>
      <c r="B302" s="328"/>
      <c r="C302" s="328"/>
      <c r="D302" s="328"/>
      <c r="E302" s="328"/>
      <c r="F302" s="328"/>
      <c r="G302" s="328"/>
      <c r="H302" s="328"/>
      <c r="I302" s="328"/>
      <c r="J302" s="328"/>
      <c r="K302" s="328"/>
      <c r="L302" s="328"/>
      <c r="M302" s="328"/>
      <c r="N302" s="328"/>
      <c r="O302" s="328"/>
      <c r="P302" s="328"/>
      <c r="Q302" s="328"/>
      <c r="R302" s="328"/>
      <c r="S302" s="328"/>
      <c r="T302" s="328"/>
      <c r="U302" s="328"/>
      <c r="V302" s="328"/>
      <c r="W302" s="328"/>
      <c r="X302" s="328"/>
      <c r="Y302" s="328"/>
      <c r="Z302" s="328"/>
      <c r="AA302" s="328"/>
      <c r="AB302" s="328"/>
      <c r="AC302" s="328"/>
      <c r="AD302" s="328"/>
      <c r="AE302" s="328"/>
      <c r="AF302" s="328"/>
      <c r="AG302" s="328"/>
      <c r="AH302" s="328"/>
      <c r="AI302" s="328"/>
      <c r="AJ302" s="328"/>
      <c r="AK302" s="328"/>
      <c r="AL302" s="328"/>
      <c r="AM302" s="328"/>
      <c r="AN302" s="328"/>
      <c r="AO302" s="328"/>
      <c r="AP302" s="328"/>
      <c r="AQ302" s="328"/>
      <c r="AR302" s="328"/>
      <c r="AS302" s="328"/>
      <c r="AT302" s="328"/>
      <c r="AU302" s="328"/>
    </row>
    <row r="303" ht="15.75" customHeight="1">
      <c r="A303" s="328"/>
      <c r="B303" s="328"/>
      <c r="C303" s="328"/>
      <c r="D303" s="328"/>
      <c r="E303" s="328"/>
      <c r="F303" s="328"/>
      <c r="G303" s="328"/>
      <c r="H303" s="328"/>
      <c r="I303" s="328"/>
      <c r="J303" s="328"/>
      <c r="K303" s="328"/>
      <c r="L303" s="328"/>
      <c r="M303" s="328"/>
      <c r="N303" s="328"/>
      <c r="O303" s="328"/>
      <c r="P303" s="328"/>
      <c r="Q303" s="328"/>
      <c r="R303" s="328"/>
      <c r="S303" s="328"/>
      <c r="T303" s="328"/>
      <c r="U303" s="328"/>
      <c r="V303" s="328"/>
      <c r="W303" s="328"/>
      <c r="X303" s="328"/>
      <c r="Y303" s="328"/>
      <c r="Z303" s="328"/>
      <c r="AA303" s="328"/>
      <c r="AB303" s="328"/>
      <c r="AC303" s="328"/>
      <c r="AD303" s="328"/>
      <c r="AE303" s="328"/>
      <c r="AF303" s="328"/>
      <c r="AG303" s="328"/>
      <c r="AH303" s="328"/>
      <c r="AI303" s="328"/>
      <c r="AJ303" s="328"/>
      <c r="AK303" s="328"/>
      <c r="AL303" s="328"/>
      <c r="AM303" s="328"/>
      <c r="AN303" s="328"/>
      <c r="AO303" s="328"/>
      <c r="AP303" s="328"/>
      <c r="AQ303" s="328"/>
      <c r="AR303" s="328"/>
      <c r="AS303" s="328"/>
      <c r="AT303" s="328"/>
      <c r="AU303" s="328"/>
    </row>
    <row r="304" ht="15.75" customHeight="1">
      <c r="A304" s="328"/>
      <c r="B304" s="328"/>
      <c r="C304" s="328"/>
      <c r="D304" s="328"/>
      <c r="E304" s="328"/>
      <c r="F304" s="328"/>
      <c r="G304" s="328"/>
      <c r="H304" s="328"/>
      <c r="I304" s="328"/>
      <c r="J304" s="328"/>
      <c r="K304" s="328"/>
      <c r="L304" s="328"/>
      <c r="M304" s="328"/>
      <c r="N304" s="328"/>
      <c r="O304" s="328"/>
      <c r="P304" s="328"/>
      <c r="Q304" s="328"/>
      <c r="R304" s="328"/>
      <c r="S304" s="328"/>
      <c r="T304" s="328"/>
      <c r="U304" s="328"/>
      <c r="V304" s="328"/>
      <c r="W304" s="328"/>
      <c r="X304" s="328"/>
      <c r="Y304" s="328"/>
      <c r="Z304" s="328"/>
      <c r="AA304" s="328"/>
      <c r="AB304" s="328"/>
      <c r="AC304" s="328"/>
      <c r="AD304" s="328"/>
      <c r="AE304" s="328"/>
      <c r="AF304" s="328"/>
      <c r="AG304" s="328"/>
      <c r="AH304" s="328"/>
      <c r="AI304" s="328"/>
      <c r="AJ304" s="328"/>
      <c r="AK304" s="328"/>
      <c r="AL304" s="328"/>
      <c r="AM304" s="328"/>
      <c r="AN304" s="328"/>
      <c r="AO304" s="328"/>
      <c r="AP304" s="328"/>
      <c r="AQ304" s="328"/>
      <c r="AR304" s="328"/>
      <c r="AS304" s="328"/>
      <c r="AT304" s="328"/>
      <c r="AU304" s="328"/>
    </row>
    <row r="305" ht="15.75" customHeight="1">
      <c r="A305" s="328"/>
      <c r="B305" s="328"/>
      <c r="C305" s="328"/>
      <c r="D305" s="328"/>
      <c r="E305" s="328"/>
      <c r="F305" s="328"/>
      <c r="G305" s="328"/>
      <c r="H305" s="328"/>
      <c r="I305" s="328"/>
      <c r="J305" s="328"/>
      <c r="K305" s="328"/>
      <c r="L305" s="328"/>
      <c r="M305" s="328"/>
      <c r="N305" s="328"/>
      <c r="O305" s="328"/>
      <c r="P305" s="328"/>
      <c r="Q305" s="328"/>
      <c r="R305" s="328"/>
      <c r="S305" s="328"/>
      <c r="T305" s="328"/>
      <c r="U305" s="328"/>
      <c r="V305" s="328"/>
      <c r="W305" s="328"/>
      <c r="X305" s="328"/>
      <c r="Y305" s="328"/>
      <c r="Z305" s="328"/>
      <c r="AA305" s="328"/>
      <c r="AB305" s="328"/>
      <c r="AC305" s="328"/>
      <c r="AD305" s="328"/>
      <c r="AE305" s="328"/>
      <c r="AF305" s="328"/>
      <c r="AG305" s="328"/>
      <c r="AH305" s="328"/>
      <c r="AI305" s="328"/>
      <c r="AJ305" s="328"/>
      <c r="AK305" s="328"/>
      <c r="AL305" s="328"/>
      <c r="AM305" s="328"/>
      <c r="AN305" s="328"/>
      <c r="AO305" s="328"/>
      <c r="AP305" s="328"/>
      <c r="AQ305" s="328"/>
      <c r="AR305" s="328"/>
      <c r="AS305" s="328"/>
      <c r="AT305" s="328"/>
      <c r="AU305" s="328"/>
    </row>
    <row r="306" ht="15.75" customHeight="1">
      <c r="A306" s="328"/>
      <c r="B306" s="328"/>
      <c r="C306" s="328"/>
      <c r="D306" s="328"/>
      <c r="E306" s="328"/>
      <c r="F306" s="328"/>
      <c r="G306" s="328"/>
      <c r="H306" s="328"/>
      <c r="I306" s="328"/>
      <c r="J306" s="328"/>
      <c r="K306" s="328"/>
      <c r="L306" s="328"/>
      <c r="M306" s="328"/>
      <c r="N306" s="328"/>
      <c r="O306" s="328"/>
      <c r="P306" s="328"/>
      <c r="Q306" s="328"/>
      <c r="R306" s="328"/>
      <c r="S306" s="328"/>
      <c r="T306" s="328"/>
      <c r="U306" s="328"/>
      <c r="V306" s="328"/>
      <c r="W306" s="328"/>
      <c r="X306" s="328"/>
      <c r="Y306" s="328"/>
      <c r="Z306" s="328"/>
      <c r="AA306" s="328"/>
      <c r="AB306" s="328"/>
      <c r="AC306" s="328"/>
      <c r="AD306" s="328"/>
      <c r="AE306" s="328"/>
      <c r="AF306" s="328"/>
      <c r="AG306" s="328"/>
      <c r="AH306" s="328"/>
      <c r="AI306" s="328"/>
      <c r="AJ306" s="328"/>
      <c r="AK306" s="328"/>
      <c r="AL306" s="328"/>
      <c r="AM306" s="328"/>
      <c r="AN306" s="328"/>
      <c r="AO306" s="328"/>
      <c r="AP306" s="328"/>
      <c r="AQ306" s="328"/>
      <c r="AR306" s="328"/>
      <c r="AS306" s="328"/>
      <c r="AT306" s="328"/>
      <c r="AU306" s="328"/>
    </row>
    <row r="307" ht="15.75" customHeight="1">
      <c r="A307" s="328"/>
      <c r="B307" s="328"/>
      <c r="C307" s="328"/>
      <c r="D307" s="328"/>
      <c r="E307" s="328"/>
      <c r="F307" s="328"/>
      <c r="G307" s="328"/>
      <c r="H307" s="328"/>
      <c r="I307" s="328"/>
      <c r="J307" s="328"/>
      <c r="K307" s="328"/>
      <c r="L307" s="328"/>
      <c r="M307" s="328"/>
      <c r="N307" s="328"/>
      <c r="O307" s="328"/>
      <c r="P307" s="328"/>
      <c r="Q307" s="328"/>
      <c r="R307" s="328"/>
      <c r="S307" s="328"/>
      <c r="T307" s="328"/>
      <c r="U307" s="328"/>
      <c r="V307" s="328"/>
      <c r="W307" s="328"/>
      <c r="X307" s="328"/>
      <c r="Y307" s="328"/>
      <c r="Z307" s="328"/>
      <c r="AA307" s="328"/>
      <c r="AB307" s="328"/>
      <c r="AC307" s="328"/>
      <c r="AD307" s="328"/>
      <c r="AE307" s="328"/>
      <c r="AF307" s="328"/>
      <c r="AG307" s="328"/>
      <c r="AH307" s="328"/>
      <c r="AI307" s="328"/>
      <c r="AJ307" s="328"/>
      <c r="AK307" s="328"/>
      <c r="AL307" s="328"/>
      <c r="AM307" s="328"/>
      <c r="AN307" s="328"/>
      <c r="AO307" s="328"/>
      <c r="AP307" s="328"/>
      <c r="AQ307" s="328"/>
      <c r="AR307" s="328"/>
      <c r="AS307" s="328"/>
      <c r="AT307" s="328"/>
      <c r="AU307" s="328"/>
    </row>
    <row r="308" ht="15.75" customHeight="1">
      <c r="A308" s="328"/>
      <c r="B308" s="328"/>
      <c r="C308" s="328"/>
      <c r="D308" s="328"/>
      <c r="E308" s="328"/>
      <c r="F308" s="328"/>
      <c r="G308" s="328"/>
      <c r="H308" s="328"/>
      <c r="I308" s="328"/>
      <c r="J308" s="328"/>
      <c r="K308" s="328"/>
      <c r="L308" s="328"/>
      <c r="M308" s="328"/>
      <c r="N308" s="328"/>
      <c r="O308" s="328"/>
      <c r="P308" s="328"/>
      <c r="Q308" s="328"/>
      <c r="R308" s="328"/>
      <c r="S308" s="328"/>
      <c r="T308" s="328"/>
      <c r="U308" s="328"/>
      <c r="V308" s="328"/>
      <c r="W308" s="328"/>
      <c r="X308" s="328"/>
      <c r="Y308" s="328"/>
      <c r="Z308" s="328"/>
      <c r="AA308" s="328"/>
      <c r="AB308" s="328"/>
      <c r="AC308" s="328"/>
      <c r="AD308" s="328"/>
      <c r="AE308" s="328"/>
      <c r="AF308" s="328"/>
      <c r="AG308" s="328"/>
      <c r="AH308" s="328"/>
      <c r="AI308" s="328"/>
      <c r="AJ308" s="328"/>
      <c r="AK308" s="328"/>
      <c r="AL308" s="328"/>
      <c r="AM308" s="328"/>
      <c r="AN308" s="328"/>
      <c r="AO308" s="328"/>
      <c r="AP308" s="328"/>
      <c r="AQ308" s="328"/>
      <c r="AR308" s="328"/>
      <c r="AS308" s="328"/>
      <c r="AT308" s="328"/>
      <c r="AU308" s="328"/>
    </row>
    <row r="309" ht="15.75" customHeight="1">
      <c r="A309" s="328"/>
      <c r="B309" s="328"/>
      <c r="C309" s="328"/>
      <c r="D309" s="328"/>
      <c r="E309" s="328"/>
      <c r="F309" s="328"/>
      <c r="G309" s="328"/>
      <c r="H309" s="328"/>
      <c r="I309" s="328"/>
      <c r="J309" s="328"/>
      <c r="K309" s="328"/>
      <c r="L309" s="328"/>
      <c r="M309" s="328"/>
      <c r="N309" s="328"/>
      <c r="O309" s="328"/>
      <c r="P309" s="328"/>
      <c r="Q309" s="328"/>
      <c r="R309" s="328"/>
      <c r="S309" s="328"/>
      <c r="T309" s="328"/>
      <c r="U309" s="328"/>
      <c r="V309" s="328"/>
      <c r="W309" s="328"/>
      <c r="X309" s="328"/>
      <c r="Y309" s="328"/>
      <c r="Z309" s="328"/>
      <c r="AA309" s="328"/>
      <c r="AB309" s="328"/>
      <c r="AC309" s="328"/>
      <c r="AD309" s="328"/>
      <c r="AE309" s="328"/>
      <c r="AF309" s="328"/>
      <c r="AG309" s="328"/>
      <c r="AH309" s="328"/>
      <c r="AI309" s="328"/>
      <c r="AJ309" s="328"/>
      <c r="AK309" s="328"/>
      <c r="AL309" s="328"/>
      <c r="AM309" s="328"/>
      <c r="AN309" s="328"/>
      <c r="AO309" s="328"/>
      <c r="AP309" s="328"/>
      <c r="AQ309" s="328"/>
      <c r="AR309" s="328"/>
      <c r="AS309" s="328"/>
      <c r="AT309" s="328"/>
      <c r="AU309" s="328"/>
    </row>
    <row r="310" ht="15.75" customHeight="1">
      <c r="A310" s="328"/>
      <c r="B310" s="328"/>
      <c r="C310" s="328"/>
      <c r="D310" s="328"/>
      <c r="E310" s="328"/>
      <c r="F310" s="328"/>
      <c r="G310" s="328"/>
      <c r="H310" s="328"/>
      <c r="I310" s="328"/>
      <c r="J310" s="328"/>
      <c r="K310" s="328"/>
      <c r="L310" s="328"/>
      <c r="M310" s="328"/>
      <c r="N310" s="328"/>
      <c r="O310" s="328"/>
      <c r="P310" s="328"/>
      <c r="Q310" s="328"/>
      <c r="R310" s="328"/>
      <c r="S310" s="328"/>
      <c r="T310" s="328"/>
      <c r="U310" s="328"/>
      <c r="V310" s="328"/>
      <c r="W310" s="328"/>
      <c r="X310" s="328"/>
      <c r="Y310" s="328"/>
      <c r="Z310" s="328"/>
      <c r="AA310" s="328"/>
      <c r="AB310" s="328"/>
      <c r="AC310" s="328"/>
      <c r="AD310" s="328"/>
      <c r="AE310" s="328"/>
      <c r="AF310" s="328"/>
      <c r="AG310" s="328"/>
      <c r="AH310" s="328"/>
      <c r="AI310" s="328"/>
      <c r="AJ310" s="328"/>
      <c r="AK310" s="328"/>
      <c r="AL310" s="328"/>
      <c r="AM310" s="328"/>
      <c r="AN310" s="328"/>
      <c r="AO310" s="328"/>
      <c r="AP310" s="328"/>
      <c r="AQ310" s="328"/>
      <c r="AR310" s="328"/>
      <c r="AS310" s="328"/>
      <c r="AT310" s="328"/>
      <c r="AU310" s="328"/>
    </row>
    <row r="311" ht="15.75" customHeight="1">
      <c r="A311" s="328"/>
      <c r="B311" s="328"/>
      <c r="C311" s="328"/>
      <c r="D311" s="328"/>
      <c r="E311" s="328"/>
      <c r="F311" s="328"/>
      <c r="G311" s="328"/>
      <c r="H311" s="328"/>
      <c r="I311" s="328"/>
      <c r="J311" s="328"/>
      <c r="K311" s="328"/>
      <c r="L311" s="328"/>
      <c r="M311" s="328"/>
      <c r="N311" s="328"/>
      <c r="O311" s="328"/>
      <c r="P311" s="328"/>
      <c r="Q311" s="328"/>
      <c r="R311" s="328"/>
      <c r="S311" s="328"/>
      <c r="T311" s="328"/>
      <c r="U311" s="328"/>
      <c r="V311" s="328"/>
      <c r="W311" s="328"/>
      <c r="X311" s="328"/>
      <c r="Y311" s="328"/>
      <c r="Z311" s="328"/>
      <c r="AA311" s="328"/>
      <c r="AB311" s="328"/>
      <c r="AC311" s="328"/>
      <c r="AD311" s="328"/>
      <c r="AE311" s="328"/>
      <c r="AF311" s="328"/>
      <c r="AG311" s="328"/>
      <c r="AH311" s="328"/>
      <c r="AI311" s="328"/>
      <c r="AJ311" s="328"/>
      <c r="AK311" s="328"/>
      <c r="AL311" s="328"/>
      <c r="AM311" s="328"/>
      <c r="AN311" s="328"/>
      <c r="AO311" s="328"/>
      <c r="AP311" s="328"/>
      <c r="AQ311" s="328"/>
      <c r="AR311" s="328"/>
      <c r="AS311" s="328"/>
      <c r="AT311" s="328"/>
      <c r="AU311" s="328"/>
    </row>
    <row r="312" ht="15.75" customHeight="1">
      <c r="A312" s="328"/>
      <c r="B312" s="328"/>
      <c r="C312" s="328"/>
      <c r="D312" s="328"/>
      <c r="E312" s="328"/>
      <c r="F312" s="328"/>
      <c r="G312" s="328"/>
      <c r="H312" s="328"/>
      <c r="I312" s="328"/>
      <c r="J312" s="328"/>
      <c r="K312" s="328"/>
      <c r="L312" s="328"/>
      <c r="M312" s="328"/>
      <c r="N312" s="328"/>
      <c r="O312" s="328"/>
      <c r="P312" s="328"/>
      <c r="Q312" s="328"/>
      <c r="R312" s="328"/>
      <c r="S312" s="328"/>
      <c r="T312" s="328"/>
      <c r="U312" s="328"/>
      <c r="V312" s="328"/>
      <c r="W312" s="328"/>
      <c r="X312" s="328"/>
      <c r="Y312" s="328"/>
      <c r="Z312" s="328"/>
      <c r="AA312" s="328"/>
      <c r="AB312" s="328"/>
      <c r="AC312" s="328"/>
      <c r="AD312" s="328"/>
      <c r="AE312" s="328"/>
      <c r="AF312" s="328"/>
      <c r="AG312" s="328"/>
      <c r="AH312" s="328"/>
      <c r="AI312" s="328"/>
      <c r="AJ312" s="328"/>
      <c r="AK312" s="328"/>
      <c r="AL312" s="328"/>
      <c r="AM312" s="328"/>
      <c r="AN312" s="328"/>
      <c r="AO312" s="328"/>
      <c r="AP312" s="328"/>
      <c r="AQ312" s="328"/>
      <c r="AR312" s="328"/>
      <c r="AS312" s="328"/>
      <c r="AT312" s="328"/>
      <c r="AU312" s="328"/>
    </row>
    <row r="313" ht="15.75" customHeight="1">
      <c r="A313" s="328"/>
      <c r="B313" s="328"/>
      <c r="C313" s="328"/>
      <c r="D313" s="328"/>
      <c r="E313" s="328"/>
      <c r="F313" s="328"/>
      <c r="G313" s="328"/>
      <c r="H313" s="328"/>
      <c r="I313" s="328"/>
      <c r="J313" s="328"/>
      <c r="K313" s="328"/>
      <c r="L313" s="328"/>
      <c r="M313" s="328"/>
      <c r="N313" s="328"/>
      <c r="O313" s="328"/>
      <c r="P313" s="328"/>
      <c r="Q313" s="328"/>
      <c r="R313" s="328"/>
      <c r="S313" s="328"/>
      <c r="T313" s="328"/>
      <c r="U313" s="328"/>
      <c r="V313" s="328"/>
      <c r="W313" s="328"/>
      <c r="X313" s="328"/>
      <c r="Y313" s="328"/>
      <c r="Z313" s="328"/>
      <c r="AA313" s="328"/>
      <c r="AB313" s="328"/>
      <c r="AC313" s="328"/>
      <c r="AD313" s="328"/>
      <c r="AE313" s="328"/>
      <c r="AF313" s="328"/>
      <c r="AG313" s="328"/>
      <c r="AH313" s="328"/>
      <c r="AI313" s="328"/>
      <c r="AJ313" s="328"/>
      <c r="AK313" s="328"/>
      <c r="AL313" s="328"/>
      <c r="AM313" s="328"/>
      <c r="AN313" s="328"/>
      <c r="AO313" s="328"/>
      <c r="AP313" s="328"/>
      <c r="AQ313" s="328"/>
      <c r="AR313" s="328"/>
      <c r="AS313" s="328"/>
      <c r="AT313" s="328"/>
      <c r="AU313" s="328"/>
    </row>
    <row r="314" ht="15.75" customHeight="1">
      <c r="A314" s="328"/>
      <c r="B314" s="328"/>
      <c r="C314" s="328"/>
      <c r="D314" s="328"/>
      <c r="E314" s="328"/>
      <c r="F314" s="328"/>
      <c r="G314" s="328"/>
      <c r="H314" s="328"/>
      <c r="I314" s="328"/>
      <c r="J314" s="328"/>
      <c r="K314" s="328"/>
      <c r="L314" s="328"/>
      <c r="M314" s="328"/>
      <c r="N314" s="328"/>
      <c r="O314" s="328"/>
      <c r="P314" s="328"/>
      <c r="Q314" s="328"/>
      <c r="R314" s="328"/>
      <c r="S314" s="328"/>
      <c r="T314" s="328"/>
      <c r="U314" s="328"/>
      <c r="V314" s="328"/>
      <c r="W314" s="328"/>
      <c r="X314" s="328"/>
      <c r="Y314" s="328"/>
      <c r="Z314" s="328"/>
      <c r="AA314" s="328"/>
      <c r="AB314" s="328"/>
      <c r="AC314" s="328"/>
      <c r="AD314" s="328"/>
      <c r="AE314" s="328"/>
      <c r="AF314" s="328"/>
      <c r="AG314" s="328"/>
      <c r="AH314" s="328"/>
      <c r="AI314" s="328"/>
      <c r="AJ314" s="328"/>
      <c r="AK314" s="328"/>
      <c r="AL314" s="328"/>
      <c r="AM314" s="328"/>
      <c r="AN314" s="328"/>
      <c r="AO314" s="328"/>
      <c r="AP314" s="328"/>
      <c r="AQ314" s="328"/>
      <c r="AR314" s="328"/>
      <c r="AS314" s="328"/>
      <c r="AT314" s="328"/>
      <c r="AU314" s="328"/>
    </row>
    <row r="315" ht="15.75" customHeight="1">
      <c r="A315" s="328"/>
      <c r="B315" s="328"/>
      <c r="C315" s="328"/>
      <c r="D315" s="328"/>
      <c r="E315" s="328"/>
      <c r="F315" s="328"/>
      <c r="G315" s="328"/>
      <c r="H315" s="328"/>
      <c r="I315" s="328"/>
      <c r="J315" s="328"/>
      <c r="K315" s="328"/>
      <c r="L315" s="328"/>
      <c r="M315" s="328"/>
      <c r="N315" s="328"/>
      <c r="O315" s="328"/>
      <c r="P315" s="328"/>
      <c r="Q315" s="328"/>
      <c r="R315" s="328"/>
      <c r="S315" s="328"/>
      <c r="T315" s="328"/>
      <c r="U315" s="328"/>
      <c r="V315" s="328"/>
      <c r="W315" s="328"/>
      <c r="X315" s="328"/>
      <c r="Y315" s="328"/>
      <c r="Z315" s="328"/>
      <c r="AA315" s="328"/>
      <c r="AB315" s="328"/>
      <c r="AC315" s="328"/>
      <c r="AD315" s="328"/>
      <c r="AE315" s="328"/>
      <c r="AF315" s="328"/>
      <c r="AG315" s="328"/>
      <c r="AH315" s="328"/>
      <c r="AI315" s="328"/>
      <c r="AJ315" s="328"/>
      <c r="AK315" s="328"/>
      <c r="AL315" s="328"/>
      <c r="AM315" s="328"/>
      <c r="AN315" s="328"/>
      <c r="AO315" s="328"/>
      <c r="AP315" s="328"/>
      <c r="AQ315" s="328"/>
      <c r="AR315" s="328"/>
      <c r="AS315" s="328"/>
      <c r="AT315" s="328"/>
      <c r="AU315" s="328"/>
    </row>
    <row r="316" ht="15.75" customHeight="1">
      <c r="A316" s="328"/>
      <c r="B316" s="328"/>
      <c r="C316" s="328"/>
      <c r="D316" s="328"/>
      <c r="E316" s="328"/>
      <c r="F316" s="328"/>
      <c r="G316" s="328"/>
      <c r="H316" s="328"/>
      <c r="I316" s="328"/>
      <c r="J316" s="328"/>
      <c r="K316" s="328"/>
      <c r="L316" s="328"/>
      <c r="M316" s="328"/>
      <c r="N316" s="328"/>
      <c r="O316" s="328"/>
      <c r="P316" s="328"/>
      <c r="Q316" s="328"/>
      <c r="R316" s="328"/>
      <c r="S316" s="328"/>
      <c r="T316" s="328"/>
      <c r="U316" s="328"/>
      <c r="V316" s="328"/>
      <c r="W316" s="328"/>
      <c r="X316" s="328"/>
      <c r="Y316" s="328"/>
      <c r="Z316" s="328"/>
      <c r="AA316" s="328"/>
      <c r="AB316" s="328"/>
      <c r="AC316" s="328"/>
      <c r="AD316" s="328"/>
      <c r="AE316" s="328"/>
      <c r="AF316" s="328"/>
      <c r="AG316" s="328"/>
      <c r="AH316" s="328"/>
      <c r="AI316" s="328"/>
      <c r="AJ316" s="328"/>
      <c r="AK316" s="328"/>
      <c r="AL316" s="328"/>
      <c r="AM316" s="328"/>
      <c r="AN316" s="328"/>
      <c r="AO316" s="328"/>
      <c r="AP316" s="328"/>
      <c r="AQ316" s="328"/>
      <c r="AR316" s="328"/>
      <c r="AS316" s="328"/>
      <c r="AT316" s="328"/>
      <c r="AU316" s="328"/>
    </row>
    <row r="317" ht="15.75" customHeight="1">
      <c r="A317" s="328"/>
      <c r="B317" s="328"/>
      <c r="C317" s="328"/>
      <c r="D317" s="328"/>
      <c r="E317" s="328"/>
      <c r="F317" s="328"/>
      <c r="G317" s="328"/>
      <c r="H317" s="328"/>
      <c r="I317" s="328"/>
      <c r="J317" s="328"/>
      <c r="K317" s="328"/>
      <c r="L317" s="328"/>
      <c r="M317" s="328"/>
      <c r="N317" s="328"/>
      <c r="O317" s="328"/>
      <c r="P317" s="328"/>
      <c r="Q317" s="328"/>
      <c r="R317" s="328"/>
      <c r="S317" s="328"/>
      <c r="T317" s="328"/>
      <c r="U317" s="328"/>
      <c r="V317" s="328"/>
      <c r="W317" s="328"/>
      <c r="X317" s="328"/>
      <c r="Y317" s="328"/>
      <c r="Z317" s="328"/>
      <c r="AA317" s="328"/>
      <c r="AB317" s="328"/>
      <c r="AC317" s="328"/>
      <c r="AD317" s="328"/>
      <c r="AE317" s="328"/>
      <c r="AF317" s="328"/>
      <c r="AG317" s="328"/>
      <c r="AH317" s="328"/>
      <c r="AI317" s="328"/>
      <c r="AJ317" s="328"/>
      <c r="AK317" s="328"/>
      <c r="AL317" s="328"/>
      <c r="AM317" s="328"/>
      <c r="AN317" s="328"/>
      <c r="AO317" s="328"/>
      <c r="AP317" s="328"/>
      <c r="AQ317" s="328"/>
      <c r="AR317" s="328"/>
      <c r="AS317" s="328"/>
      <c r="AT317" s="328"/>
      <c r="AU317" s="328"/>
    </row>
    <row r="318" ht="15.75" customHeight="1">
      <c r="A318" s="328"/>
      <c r="B318" s="328"/>
      <c r="C318" s="328"/>
      <c r="D318" s="328"/>
      <c r="E318" s="328"/>
      <c r="F318" s="328"/>
      <c r="G318" s="328"/>
      <c r="H318" s="328"/>
      <c r="I318" s="328"/>
      <c r="J318" s="328"/>
      <c r="K318" s="328"/>
      <c r="L318" s="328"/>
      <c r="M318" s="328"/>
      <c r="N318" s="328"/>
      <c r="O318" s="328"/>
      <c r="P318" s="328"/>
      <c r="Q318" s="328"/>
      <c r="R318" s="328"/>
      <c r="S318" s="328"/>
      <c r="T318" s="328"/>
      <c r="U318" s="328"/>
      <c r="V318" s="328"/>
      <c r="W318" s="328"/>
      <c r="X318" s="328"/>
      <c r="Y318" s="328"/>
      <c r="Z318" s="328"/>
      <c r="AA318" s="328"/>
      <c r="AB318" s="328"/>
      <c r="AC318" s="328"/>
      <c r="AD318" s="328"/>
      <c r="AE318" s="328"/>
      <c r="AF318" s="328"/>
      <c r="AG318" s="328"/>
      <c r="AH318" s="328"/>
      <c r="AI318" s="328"/>
      <c r="AJ318" s="328"/>
      <c r="AK318" s="328"/>
      <c r="AL318" s="328"/>
      <c r="AM318" s="328"/>
      <c r="AN318" s="328"/>
      <c r="AO318" s="328"/>
      <c r="AP318" s="328"/>
      <c r="AQ318" s="328"/>
      <c r="AR318" s="328"/>
      <c r="AS318" s="328"/>
      <c r="AT318" s="328"/>
      <c r="AU318" s="328"/>
    </row>
    <row r="319" ht="15.75" customHeight="1">
      <c r="A319" s="328"/>
      <c r="B319" s="328"/>
      <c r="C319" s="328"/>
      <c r="D319" s="328"/>
      <c r="E319" s="328"/>
      <c r="F319" s="328"/>
      <c r="G319" s="328"/>
      <c r="H319" s="328"/>
      <c r="I319" s="328"/>
      <c r="J319" s="328"/>
      <c r="K319" s="328"/>
      <c r="L319" s="328"/>
      <c r="M319" s="328"/>
      <c r="N319" s="328"/>
      <c r="O319" s="328"/>
      <c r="P319" s="328"/>
      <c r="Q319" s="328"/>
      <c r="R319" s="328"/>
      <c r="S319" s="328"/>
      <c r="T319" s="328"/>
      <c r="U319" s="328"/>
      <c r="V319" s="328"/>
      <c r="W319" s="328"/>
      <c r="X319" s="328"/>
      <c r="Y319" s="328"/>
      <c r="Z319" s="328"/>
      <c r="AA319" s="328"/>
      <c r="AB319" s="328"/>
      <c r="AC319" s="328"/>
      <c r="AD319" s="328"/>
      <c r="AE319" s="328"/>
      <c r="AF319" s="328"/>
      <c r="AG319" s="328"/>
      <c r="AH319" s="328"/>
      <c r="AI319" s="328"/>
      <c r="AJ319" s="328"/>
      <c r="AK319" s="328"/>
      <c r="AL319" s="328"/>
      <c r="AM319" s="328"/>
      <c r="AN319" s="328"/>
      <c r="AO319" s="328"/>
      <c r="AP319" s="328"/>
      <c r="AQ319" s="328"/>
      <c r="AR319" s="328"/>
      <c r="AS319" s="328"/>
      <c r="AT319" s="328"/>
      <c r="AU319" s="328"/>
    </row>
    <row r="320" ht="15.75" customHeight="1">
      <c r="A320" s="328"/>
      <c r="B320" s="328"/>
      <c r="C320" s="328"/>
      <c r="D320" s="328"/>
      <c r="E320" s="328"/>
      <c r="F320" s="328"/>
      <c r="G320" s="328"/>
      <c r="H320" s="328"/>
      <c r="I320" s="328"/>
      <c r="J320" s="328"/>
      <c r="K320" s="328"/>
      <c r="L320" s="328"/>
      <c r="M320" s="328"/>
      <c r="N320" s="328"/>
      <c r="O320" s="328"/>
      <c r="P320" s="328"/>
      <c r="Q320" s="328"/>
      <c r="R320" s="328"/>
      <c r="S320" s="328"/>
      <c r="T320" s="328"/>
      <c r="U320" s="328"/>
      <c r="V320" s="328"/>
      <c r="W320" s="328"/>
      <c r="X320" s="328"/>
      <c r="Y320" s="328"/>
      <c r="Z320" s="328"/>
      <c r="AA320" s="328"/>
      <c r="AB320" s="328"/>
      <c r="AC320" s="328"/>
      <c r="AD320" s="328"/>
      <c r="AE320" s="328"/>
      <c r="AF320" s="328"/>
      <c r="AG320" s="328"/>
      <c r="AH320" s="328"/>
      <c r="AI320" s="328"/>
      <c r="AJ320" s="328"/>
      <c r="AK320" s="328"/>
      <c r="AL320" s="328"/>
      <c r="AM320" s="328"/>
      <c r="AN320" s="328"/>
      <c r="AO320" s="328"/>
      <c r="AP320" s="328"/>
      <c r="AQ320" s="328"/>
      <c r="AR320" s="328"/>
      <c r="AS320" s="328"/>
      <c r="AT320" s="328"/>
      <c r="AU320" s="328"/>
    </row>
    <row r="321" ht="15.75" customHeight="1">
      <c r="A321" s="328"/>
      <c r="B321" s="328"/>
      <c r="C321" s="328"/>
      <c r="D321" s="328"/>
      <c r="E321" s="328"/>
      <c r="F321" s="328"/>
      <c r="G321" s="328"/>
      <c r="H321" s="328"/>
      <c r="I321" s="328"/>
      <c r="J321" s="328"/>
      <c r="K321" s="328"/>
      <c r="L321" s="328"/>
      <c r="M321" s="328"/>
      <c r="N321" s="328"/>
      <c r="O321" s="328"/>
      <c r="P321" s="328"/>
      <c r="Q321" s="328"/>
      <c r="R321" s="328"/>
      <c r="S321" s="328"/>
      <c r="T321" s="328"/>
      <c r="U321" s="328"/>
      <c r="V321" s="328"/>
      <c r="W321" s="328"/>
      <c r="X321" s="328"/>
      <c r="Y321" s="328"/>
      <c r="Z321" s="328"/>
      <c r="AA321" s="328"/>
      <c r="AB321" s="328"/>
      <c r="AC321" s="328"/>
      <c r="AD321" s="328"/>
      <c r="AE321" s="328"/>
      <c r="AF321" s="328"/>
      <c r="AG321" s="328"/>
      <c r="AH321" s="328"/>
      <c r="AI321" s="328"/>
      <c r="AJ321" s="328"/>
      <c r="AK321" s="328"/>
      <c r="AL321" s="328"/>
      <c r="AM321" s="328"/>
      <c r="AN321" s="328"/>
      <c r="AO321" s="328"/>
      <c r="AP321" s="328"/>
      <c r="AQ321" s="328"/>
      <c r="AR321" s="328"/>
      <c r="AS321" s="328"/>
      <c r="AT321" s="328"/>
      <c r="AU321" s="328"/>
    </row>
    <row r="322" ht="15.75" customHeight="1">
      <c r="A322" s="328"/>
      <c r="B322" s="328"/>
      <c r="C322" s="328"/>
      <c r="D322" s="328"/>
      <c r="E322" s="328"/>
      <c r="F322" s="328"/>
      <c r="G322" s="328"/>
      <c r="H322" s="328"/>
      <c r="I322" s="328"/>
      <c r="J322" s="328"/>
      <c r="K322" s="328"/>
      <c r="L322" s="328"/>
      <c r="M322" s="328"/>
      <c r="N322" s="328"/>
      <c r="O322" s="328"/>
      <c r="P322" s="328"/>
      <c r="Q322" s="328"/>
      <c r="R322" s="328"/>
      <c r="S322" s="328"/>
      <c r="T322" s="328"/>
      <c r="U322" s="328"/>
      <c r="V322" s="328"/>
      <c r="W322" s="328"/>
      <c r="X322" s="328"/>
      <c r="Y322" s="328"/>
      <c r="Z322" s="328"/>
      <c r="AA322" s="328"/>
      <c r="AB322" s="328"/>
      <c r="AC322" s="328"/>
      <c r="AD322" s="328"/>
      <c r="AE322" s="328"/>
      <c r="AF322" s="328"/>
      <c r="AG322" s="328"/>
      <c r="AH322" s="328"/>
      <c r="AI322" s="328"/>
      <c r="AJ322" s="328"/>
      <c r="AK322" s="328"/>
      <c r="AL322" s="328"/>
      <c r="AM322" s="328"/>
      <c r="AN322" s="328"/>
      <c r="AO322" s="328"/>
      <c r="AP322" s="328"/>
      <c r="AQ322" s="328"/>
      <c r="AR322" s="328"/>
      <c r="AS322" s="328"/>
      <c r="AT322" s="328"/>
      <c r="AU322" s="328"/>
    </row>
    <row r="323" ht="15.75" customHeight="1">
      <c r="A323" s="328"/>
      <c r="B323" s="328"/>
      <c r="C323" s="328"/>
      <c r="D323" s="328"/>
      <c r="E323" s="328"/>
      <c r="F323" s="328"/>
      <c r="G323" s="328"/>
      <c r="H323" s="328"/>
      <c r="I323" s="328"/>
      <c r="J323" s="328"/>
      <c r="K323" s="328"/>
      <c r="L323" s="328"/>
      <c r="M323" s="328"/>
      <c r="N323" s="328"/>
      <c r="O323" s="328"/>
      <c r="P323" s="328"/>
      <c r="Q323" s="328"/>
      <c r="R323" s="328"/>
      <c r="S323" s="328"/>
      <c r="T323" s="328"/>
      <c r="U323" s="328"/>
      <c r="V323" s="328"/>
      <c r="W323" s="328"/>
      <c r="X323" s="328"/>
      <c r="Y323" s="328"/>
      <c r="Z323" s="328"/>
      <c r="AA323" s="328"/>
      <c r="AB323" s="328"/>
      <c r="AC323" s="328"/>
      <c r="AD323" s="328"/>
      <c r="AE323" s="328"/>
      <c r="AF323" s="328"/>
      <c r="AG323" s="328"/>
      <c r="AH323" s="328"/>
      <c r="AI323" s="328"/>
      <c r="AJ323" s="328"/>
      <c r="AK323" s="328"/>
      <c r="AL323" s="328"/>
      <c r="AM323" s="328"/>
      <c r="AN323" s="328"/>
      <c r="AO323" s="328"/>
      <c r="AP323" s="328"/>
      <c r="AQ323" s="328"/>
      <c r="AR323" s="328"/>
      <c r="AS323" s="328"/>
      <c r="AT323" s="328"/>
      <c r="AU323" s="328"/>
    </row>
    <row r="324" ht="15.75" customHeight="1">
      <c r="A324" s="328"/>
      <c r="B324" s="328"/>
      <c r="C324" s="328"/>
      <c r="D324" s="328"/>
      <c r="E324" s="328"/>
      <c r="F324" s="328"/>
      <c r="G324" s="328"/>
      <c r="H324" s="328"/>
      <c r="I324" s="328"/>
      <c r="J324" s="328"/>
      <c r="K324" s="328"/>
      <c r="L324" s="328"/>
      <c r="M324" s="328"/>
      <c r="N324" s="328"/>
      <c r="O324" s="328"/>
      <c r="P324" s="328"/>
      <c r="Q324" s="328"/>
      <c r="R324" s="328"/>
      <c r="S324" s="328"/>
      <c r="T324" s="328"/>
      <c r="U324" s="328"/>
      <c r="V324" s="328"/>
      <c r="W324" s="328"/>
      <c r="X324" s="328"/>
      <c r="Y324" s="328"/>
      <c r="Z324" s="328"/>
      <c r="AA324" s="328"/>
      <c r="AB324" s="328"/>
      <c r="AC324" s="328"/>
      <c r="AD324" s="328"/>
      <c r="AE324" s="328"/>
      <c r="AF324" s="328"/>
      <c r="AG324" s="328"/>
      <c r="AH324" s="328"/>
      <c r="AI324" s="328"/>
      <c r="AJ324" s="328"/>
      <c r="AK324" s="328"/>
      <c r="AL324" s="328"/>
      <c r="AM324" s="328"/>
      <c r="AN324" s="328"/>
      <c r="AO324" s="328"/>
      <c r="AP324" s="328"/>
      <c r="AQ324" s="328"/>
      <c r="AR324" s="328"/>
      <c r="AS324" s="328"/>
      <c r="AT324" s="328"/>
      <c r="AU324" s="328"/>
    </row>
    <row r="325" ht="15.75" customHeight="1">
      <c r="A325" s="328"/>
      <c r="B325" s="328"/>
      <c r="C325" s="328"/>
      <c r="D325" s="328"/>
      <c r="E325" s="328"/>
      <c r="F325" s="328"/>
      <c r="G325" s="328"/>
      <c r="H325" s="328"/>
      <c r="I325" s="328"/>
      <c r="J325" s="328"/>
      <c r="K325" s="328"/>
      <c r="L325" s="328"/>
      <c r="M325" s="328"/>
      <c r="N325" s="328"/>
      <c r="O325" s="328"/>
      <c r="P325" s="328"/>
      <c r="Q325" s="328"/>
      <c r="R325" s="328"/>
      <c r="S325" s="328"/>
      <c r="T325" s="328"/>
      <c r="U325" s="328"/>
      <c r="V325" s="328"/>
      <c r="W325" s="328"/>
      <c r="X325" s="328"/>
      <c r="Y325" s="328"/>
      <c r="Z325" s="328"/>
      <c r="AA325" s="328"/>
      <c r="AB325" s="328"/>
      <c r="AC325" s="328"/>
      <c r="AD325" s="328"/>
      <c r="AE325" s="328"/>
      <c r="AF325" s="328"/>
      <c r="AG325" s="328"/>
      <c r="AH325" s="328"/>
      <c r="AI325" s="328"/>
      <c r="AJ325" s="328"/>
      <c r="AK325" s="328"/>
      <c r="AL325" s="328"/>
      <c r="AM325" s="328"/>
      <c r="AN325" s="328"/>
      <c r="AO325" s="328"/>
      <c r="AP325" s="328"/>
      <c r="AQ325" s="328"/>
      <c r="AR325" s="328"/>
      <c r="AS325" s="328"/>
      <c r="AT325" s="328"/>
      <c r="AU325" s="328"/>
    </row>
    <row r="326" ht="15.75" customHeight="1">
      <c r="A326" s="328"/>
      <c r="B326" s="328"/>
      <c r="C326" s="328"/>
      <c r="D326" s="328"/>
      <c r="E326" s="328"/>
      <c r="F326" s="328"/>
      <c r="G326" s="328"/>
      <c r="H326" s="328"/>
      <c r="I326" s="328"/>
      <c r="J326" s="328"/>
      <c r="K326" s="328"/>
      <c r="L326" s="328"/>
      <c r="M326" s="328"/>
      <c r="N326" s="328"/>
      <c r="O326" s="328"/>
      <c r="P326" s="328"/>
      <c r="Q326" s="328"/>
      <c r="R326" s="328"/>
      <c r="S326" s="328"/>
      <c r="T326" s="328"/>
      <c r="U326" s="328"/>
      <c r="V326" s="328"/>
      <c r="W326" s="328"/>
      <c r="X326" s="328"/>
      <c r="Y326" s="328"/>
      <c r="Z326" s="328"/>
      <c r="AA326" s="328"/>
      <c r="AB326" s="328"/>
      <c r="AC326" s="328"/>
      <c r="AD326" s="328"/>
      <c r="AE326" s="328"/>
      <c r="AF326" s="328"/>
      <c r="AG326" s="328"/>
      <c r="AH326" s="328"/>
      <c r="AI326" s="328"/>
      <c r="AJ326" s="328"/>
      <c r="AK326" s="328"/>
      <c r="AL326" s="328"/>
      <c r="AM326" s="328"/>
      <c r="AN326" s="328"/>
      <c r="AO326" s="328"/>
      <c r="AP326" s="328"/>
      <c r="AQ326" s="328"/>
      <c r="AR326" s="328"/>
      <c r="AS326" s="328"/>
      <c r="AT326" s="328"/>
      <c r="AU326" s="328"/>
    </row>
    <row r="327" ht="15.75" customHeight="1">
      <c r="A327" s="328"/>
      <c r="B327" s="328"/>
      <c r="C327" s="328"/>
      <c r="D327" s="328"/>
      <c r="E327" s="328"/>
      <c r="F327" s="328"/>
      <c r="G327" s="328"/>
      <c r="H327" s="328"/>
      <c r="I327" s="328"/>
      <c r="J327" s="328"/>
      <c r="K327" s="328"/>
      <c r="L327" s="328"/>
      <c r="M327" s="328"/>
      <c r="N327" s="328"/>
      <c r="O327" s="328"/>
      <c r="P327" s="328"/>
      <c r="Q327" s="328"/>
      <c r="R327" s="328"/>
      <c r="S327" s="328"/>
      <c r="T327" s="328"/>
      <c r="U327" s="328"/>
      <c r="V327" s="328"/>
      <c r="W327" s="328"/>
      <c r="X327" s="328"/>
      <c r="Y327" s="328"/>
      <c r="Z327" s="328"/>
      <c r="AA327" s="328"/>
      <c r="AB327" s="328"/>
      <c r="AC327" s="328"/>
      <c r="AD327" s="328"/>
      <c r="AE327" s="328"/>
      <c r="AF327" s="328"/>
      <c r="AG327" s="328"/>
      <c r="AH327" s="328"/>
      <c r="AI327" s="328"/>
      <c r="AJ327" s="328"/>
      <c r="AK327" s="328"/>
      <c r="AL327" s="328"/>
      <c r="AM327" s="328"/>
      <c r="AN327" s="328"/>
      <c r="AO327" s="328"/>
      <c r="AP327" s="328"/>
      <c r="AQ327" s="328"/>
      <c r="AR327" s="328"/>
      <c r="AS327" s="328"/>
      <c r="AT327" s="328"/>
      <c r="AU327" s="328"/>
    </row>
    <row r="328" ht="15.75" customHeight="1">
      <c r="A328" s="328"/>
      <c r="B328" s="328"/>
      <c r="C328" s="328"/>
      <c r="D328" s="328"/>
      <c r="E328" s="328"/>
      <c r="F328" s="328"/>
      <c r="G328" s="328"/>
      <c r="H328" s="328"/>
      <c r="I328" s="328"/>
      <c r="J328" s="328"/>
      <c r="K328" s="328"/>
      <c r="L328" s="328"/>
      <c r="M328" s="328"/>
      <c r="N328" s="328"/>
      <c r="O328" s="328"/>
      <c r="P328" s="328"/>
      <c r="Q328" s="328"/>
      <c r="R328" s="328"/>
      <c r="S328" s="328"/>
      <c r="T328" s="328"/>
      <c r="U328" s="328"/>
      <c r="V328" s="328"/>
      <c r="W328" s="328"/>
      <c r="X328" s="328"/>
      <c r="Y328" s="328"/>
      <c r="Z328" s="328"/>
      <c r="AA328" s="328"/>
      <c r="AB328" s="328"/>
      <c r="AC328" s="328"/>
      <c r="AD328" s="328"/>
      <c r="AE328" s="328"/>
      <c r="AF328" s="328"/>
      <c r="AG328" s="328"/>
      <c r="AH328" s="328"/>
      <c r="AI328" s="328"/>
      <c r="AJ328" s="328"/>
      <c r="AK328" s="328"/>
      <c r="AL328" s="328"/>
      <c r="AM328" s="328"/>
      <c r="AN328" s="328"/>
      <c r="AO328" s="328"/>
      <c r="AP328" s="328"/>
      <c r="AQ328" s="328"/>
      <c r="AR328" s="328"/>
      <c r="AS328" s="328"/>
      <c r="AT328" s="328"/>
      <c r="AU328" s="328"/>
    </row>
    <row r="329" ht="15.75" customHeight="1">
      <c r="A329" s="328"/>
      <c r="B329" s="328"/>
      <c r="C329" s="328"/>
      <c r="D329" s="328"/>
      <c r="E329" s="328"/>
      <c r="F329" s="328"/>
      <c r="G329" s="328"/>
      <c r="H329" s="328"/>
      <c r="I329" s="328"/>
      <c r="J329" s="328"/>
      <c r="K329" s="328"/>
      <c r="L329" s="328"/>
      <c r="M329" s="328"/>
      <c r="N329" s="328"/>
      <c r="O329" s="328"/>
      <c r="P329" s="328"/>
      <c r="Q329" s="328"/>
      <c r="R329" s="328"/>
      <c r="S329" s="328"/>
      <c r="T329" s="328"/>
      <c r="U329" s="328"/>
      <c r="V329" s="328"/>
      <c r="W329" s="328"/>
      <c r="X329" s="328"/>
      <c r="Y329" s="328"/>
      <c r="Z329" s="328"/>
      <c r="AA329" s="328"/>
      <c r="AB329" s="328"/>
      <c r="AC329" s="328"/>
      <c r="AD329" s="328"/>
      <c r="AE329" s="328"/>
      <c r="AF329" s="328"/>
      <c r="AG329" s="328"/>
      <c r="AH329" s="328"/>
      <c r="AI329" s="328"/>
      <c r="AJ329" s="328"/>
      <c r="AK329" s="328"/>
      <c r="AL329" s="328"/>
      <c r="AM329" s="328"/>
      <c r="AN329" s="328"/>
      <c r="AO329" s="328"/>
      <c r="AP329" s="328"/>
      <c r="AQ329" s="328"/>
      <c r="AR329" s="328"/>
      <c r="AS329" s="328"/>
      <c r="AT329" s="328"/>
      <c r="AU329" s="328"/>
    </row>
    <row r="330" ht="15.75" customHeight="1">
      <c r="A330" s="328"/>
      <c r="B330" s="328"/>
      <c r="C330" s="328"/>
      <c r="D330" s="328"/>
      <c r="E330" s="328"/>
      <c r="F330" s="328"/>
      <c r="G330" s="328"/>
      <c r="H330" s="328"/>
      <c r="I330" s="328"/>
      <c r="J330" s="328"/>
      <c r="K330" s="328"/>
      <c r="L330" s="328"/>
      <c r="M330" s="328"/>
      <c r="N330" s="328"/>
      <c r="O330" s="328"/>
      <c r="P330" s="328"/>
      <c r="Q330" s="328"/>
      <c r="R330" s="328"/>
      <c r="S330" s="328"/>
      <c r="T330" s="328"/>
      <c r="U330" s="328"/>
      <c r="V330" s="328"/>
      <c r="W330" s="328"/>
      <c r="X330" s="328"/>
      <c r="Y330" s="328"/>
      <c r="Z330" s="328"/>
      <c r="AA330" s="328"/>
      <c r="AB330" s="328"/>
      <c r="AC330" s="328"/>
      <c r="AD330" s="328"/>
      <c r="AE330" s="328"/>
      <c r="AF330" s="328"/>
      <c r="AG330" s="328"/>
      <c r="AH330" s="328"/>
      <c r="AI330" s="328"/>
      <c r="AJ330" s="328"/>
      <c r="AK330" s="328"/>
      <c r="AL330" s="328"/>
      <c r="AM330" s="328"/>
      <c r="AN330" s="328"/>
      <c r="AO330" s="328"/>
      <c r="AP330" s="328"/>
      <c r="AQ330" s="328"/>
      <c r="AR330" s="328"/>
      <c r="AS330" s="328"/>
      <c r="AT330" s="328"/>
      <c r="AU330" s="328"/>
    </row>
    <row r="331" ht="15.75" customHeight="1">
      <c r="A331" s="328"/>
      <c r="B331" s="328"/>
      <c r="C331" s="328"/>
      <c r="D331" s="328"/>
      <c r="E331" s="328"/>
      <c r="F331" s="328"/>
      <c r="G331" s="328"/>
      <c r="H331" s="328"/>
      <c r="I331" s="328"/>
      <c r="J331" s="328"/>
      <c r="K331" s="328"/>
      <c r="L331" s="328"/>
      <c r="M331" s="328"/>
      <c r="N331" s="328"/>
      <c r="O331" s="328"/>
      <c r="P331" s="328"/>
      <c r="Q331" s="328"/>
      <c r="R331" s="328"/>
      <c r="S331" s="328"/>
      <c r="T331" s="328"/>
      <c r="U331" s="328"/>
      <c r="V331" s="328"/>
      <c r="W331" s="328"/>
      <c r="X331" s="328"/>
      <c r="Y331" s="328"/>
      <c r="Z331" s="328"/>
      <c r="AA331" s="328"/>
      <c r="AB331" s="328"/>
      <c r="AC331" s="328"/>
      <c r="AD331" s="328"/>
      <c r="AE331" s="328"/>
      <c r="AF331" s="328"/>
      <c r="AG331" s="328"/>
      <c r="AH331" s="328"/>
      <c r="AI331" s="328"/>
      <c r="AJ331" s="328"/>
      <c r="AK331" s="328"/>
      <c r="AL331" s="328"/>
      <c r="AM331" s="328"/>
      <c r="AN331" s="328"/>
      <c r="AO331" s="328"/>
      <c r="AP331" s="328"/>
      <c r="AQ331" s="328"/>
      <c r="AR331" s="328"/>
      <c r="AS331" s="328"/>
      <c r="AT331" s="328"/>
      <c r="AU331" s="328"/>
    </row>
    <row r="332" ht="15.75" customHeight="1">
      <c r="A332" s="328"/>
      <c r="B332" s="328"/>
      <c r="C332" s="328"/>
      <c r="D332" s="328"/>
      <c r="E332" s="328"/>
      <c r="F332" s="328"/>
      <c r="G332" s="328"/>
      <c r="H332" s="328"/>
      <c r="I332" s="328"/>
      <c r="J332" s="328"/>
      <c r="K332" s="328"/>
      <c r="L332" s="328"/>
      <c r="M332" s="328"/>
      <c r="N332" s="328"/>
      <c r="O332" s="328"/>
      <c r="P332" s="328"/>
      <c r="Q332" s="328"/>
      <c r="R332" s="328"/>
      <c r="S332" s="328"/>
      <c r="T332" s="328"/>
      <c r="U332" s="328"/>
      <c r="V332" s="328"/>
      <c r="W332" s="328"/>
      <c r="X332" s="328"/>
      <c r="Y332" s="328"/>
      <c r="Z332" s="328"/>
      <c r="AA332" s="328"/>
      <c r="AB332" s="328"/>
      <c r="AC332" s="328"/>
      <c r="AD332" s="328"/>
      <c r="AE332" s="328"/>
      <c r="AF332" s="328"/>
      <c r="AG332" s="328"/>
      <c r="AH332" s="328"/>
      <c r="AI332" s="328"/>
      <c r="AJ332" s="328"/>
      <c r="AK332" s="328"/>
      <c r="AL332" s="328"/>
      <c r="AM332" s="328"/>
      <c r="AN332" s="328"/>
      <c r="AO332" s="328"/>
      <c r="AP332" s="328"/>
      <c r="AQ332" s="328"/>
      <c r="AR332" s="328"/>
      <c r="AS332" s="328"/>
      <c r="AT332" s="328"/>
      <c r="AU332" s="328"/>
    </row>
    <row r="333" ht="15.75" customHeight="1">
      <c r="A333" s="328"/>
      <c r="B333" s="328"/>
      <c r="C333" s="328"/>
      <c r="D333" s="328"/>
      <c r="E333" s="328"/>
      <c r="F333" s="328"/>
      <c r="G333" s="328"/>
      <c r="H333" s="328"/>
      <c r="I333" s="328"/>
      <c r="J333" s="328"/>
      <c r="K333" s="328"/>
      <c r="L333" s="328"/>
      <c r="M333" s="328"/>
      <c r="N333" s="328"/>
      <c r="O333" s="328"/>
      <c r="P333" s="328"/>
      <c r="Q333" s="328"/>
      <c r="R333" s="328"/>
      <c r="S333" s="328"/>
      <c r="T333" s="328"/>
      <c r="U333" s="328"/>
      <c r="V333" s="328"/>
      <c r="W333" s="328"/>
      <c r="X333" s="328"/>
      <c r="Y333" s="328"/>
      <c r="Z333" s="328"/>
      <c r="AA333" s="328"/>
      <c r="AB333" s="328"/>
      <c r="AC333" s="328"/>
      <c r="AD333" s="328"/>
      <c r="AE333" s="328"/>
      <c r="AF333" s="328"/>
      <c r="AG333" s="328"/>
      <c r="AH333" s="328"/>
      <c r="AI333" s="328"/>
      <c r="AJ333" s="328"/>
      <c r="AK333" s="328"/>
      <c r="AL333" s="328"/>
      <c r="AM333" s="328"/>
      <c r="AN333" s="328"/>
      <c r="AO333" s="328"/>
      <c r="AP333" s="328"/>
      <c r="AQ333" s="328"/>
      <c r="AR333" s="328"/>
      <c r="AS333" s="328"/>
      <c r="AT333" s="328"/>
      <c r="AU333" s="328"/>
    </row>
    <row r="334" ht="15.75" customHeight="1">
      <c r="A334" s="328"/>
      <c r="B334" s="328"/>
      <c r="C334" s="328"/>
      <c r="D334" s="328"/>
      <c r="E334" s="328"/>
      <c r="F334" s="328"/>
      <c r="G334" s="328"/>
      <c r="H334" s="328"/>
      <c r="I334" s="328"/>
      <c r="J334" s="328"/>
      <c r="K334" s="328"/>
      <c r="L334" s="328"/>
      <c r="M334" s="328"/>
      <c r="N334" s="328"/>
      <c r="O334" s="328"/>
      <c r="P334" s="328"/>
      <c r="Q334" s="328"/>
      <c r="R334" s="328"/>
      <c r="S334" s="328"/>
      <c r="T334" s="328"/>
      <c r="U334" s="328"/>
      <c r="V334" s="328"/>
      <c r="W334" s="328"/>
      <c r="X334" s="328"/>
      <c r="Y334" s="328"/>
      <c r="Z334" s="328"/>
      <c r="AA334" s="328"/>
      <c r="AB334" s="328"/>
      <c r="AC334" s="328"/>
      <c r="AD334" s="328"/>
      <c r="AE334" s="328"/>
      <c r="AF334" s="328"/>
      <c r="AG334" s="328"/>
      <c r="AH334" s="328"/>
      <c r="AI334" s="328"/>
      <c r="AJ334" s="328"/>
      <c r="AK334" s="328"/>
      <c r="AL334" s="328"/>
      <c r="AM334" s="328"/>
      <c r="AN334" s="328"/>
      <c r="AO334" s="328"/>
      <c r="AP334" s="328"/>
      <c r="AQ334" s="328"/>
      <c r="AR334" s="328"/>
      <c r="AS334" s="328"/>
      <c r="AT334" s="328"/>
      <c r="AU334" s="328"/>
    </row>
    <row r="335" ht="15.75" customHeight="1">
      <c r="A335" s="328"/>
      <c r="B335" s="328"/>
      <c r="C335" s="328"/>
      <c r="D335" s="328"/>
      <c r="E335" s="328"/>
      <c r="F335" s="328"/>
      <c r="G335" s="328"/>
      <c r="H335" s="328"/>
      <c r="I335" s="328"/>
      <c r="J335" s="328"/>
      <c r="K335" s="328"/>
      <c r="L335" s="328"/>
      <c r="M335" s="328"/>
      <c r="N335" s="328"/>
      <c r="O335" s="328"/>
      <c r="P335" s="328"/>
      <c r="Q335" s="328"/>
      <c r="R335" s="328"/>
      <c r="S335" s="328"/>
      <c r="T335" s="328"/>
      <c r="U335" s="328"/>
      <c r="V335" s="328"/>
      <c r="W335" s="328"/>
      <c r="X335" s="328"/>
      <c r="Y335" s="328"/>
      <c r="Z335" s="328"/>
      <c r="AA335" s="328"/>
      <c r="AB335" s="328"/>
      <c r="AC335" s="328"/>
      <c r="AD335" s="328"/>
      <c r="AE335" s="328"/>
      <c r="AF335" s="328"/>
      <c r="AG335" s="328"/>
      <c r="AH335" s="328"/>
      <c r="AI335" s="328"/>
      <c r="AJ335" s="328"/>
      <c r="AK335" s="328"/>
      <c r="AL335" s="328"/>
      <c r="AM335" s="328"/>
      <c r="AN335" s="328"/>
      <c r="AO335" s="328"/>
      <c r="AP335" s="328"/>
      <c r="AQ335" s="328"/>
      <c r="AR335" s="328"/>
      <c r="AS335" s="328"/>
      <c r="AT335" s="328"/>
      <c r="AU335" s="328"/>
    </row>
    <row r="336" ht="15.75" customHeight="1">
      <c r="A336" s="328"/>
      <c r="B336" s="328"/>
      <c r="C336" s="328"/>
      <c r="D336" s="328"/>
      <c r="E336" s="328"/>
      <c r="F336" s="328"/>
      <c r="G336" s="328"/>
      <c r="H336" s="328"/>
      <c r="I336" s="328"/>
      <c r="J336" s="328"/>
      <c r="K336" s="328"/>
      <c r="L336" s="328"/>
      <c r="M336" s="328"/>
      <c r="N336" s="328"/>
      <c r="O336" s="328"/>
      <c r="P336" s="328"/>
      <c r="Q336" s="328"/>
      <c r="R336" s="328"/>
      <c r="S336" s="328"/>
      <c r="T336" s="328"/>
      <c r="U336" s="328"/>
      <c r="V336" s="328"/>
      <c r="W336" s="328"/>
      <c r="X336" s="328"/>
      <c r="Y336" s="328"/>
      <c r="Z336" s="328"/>
      <c r="AA336" s="328"/>
      <c r="AB336" s="328"/>
      <c r="AC336" s="328"/>
      <c r="AD336" s="328"/>
      <c r="AE336" s="328"/>
      <c r="AF336" s="328"/>
      <c r="AG336" s="328"/>
      <c r="AH336" s="328"/>
      <c r="AI336" s="328"/>
      <c r="AJ336" s="328"/>
      <c r="AK336" s="328"/>
      <c r="AL336" s="328"/>
      <c r="AM336" s="328"/>
      <c r="AN336" s="328"/>
      <c r="AO336" s="328"/>
      <c r="AP336" s="328"/>
      <c r="AQ336" s="328"/>
      <c r="AR336" s="328"/>
      <c r="AS336" s="328"/>
      <c r="AT336" s="328"/>
      <c r="AU336" s="328"/>
    </row>
    <row r="337" ht="15.75" customHeight="1">
      <c r="A337" s="328"/>
      <c r="B337" s="328"/>
      <c r="C337" s="328"/>
      <c r="D337" s="328"/>
      <c r="E337" s="328"/>
      <c r="F337" s="328"/>
      <c r="G337" s="328"/>
      <c r="H337" s="328"/>
      <c r="I337" s="328"/>
      <c r="J337" s="328"/>
      <c r="K337" s="328"/>
      <c r="L337" s="328"/>
      <c r="M337" s="328"/>
      <c r="N337" s="328"/>
      <c r="O337" s="328"/>
      <c r="P337" s="328"/>
      <c r="Q337" s="328"/>
      <c r="R337" s="328"/>
      <c r="S337" s="328"/>
      <c r="T337" s="328"/>
      <c r="U337" s="328"/>
      <c r="V337" s="328"/>
      <c r="W337" s="328"/>
      <c r="X337" s="328"/>
      <c r="Y337" s="328"/>
      <c r="Z337" s="328"/>
      <c r="AA337" s="328"/>
      <c r="AB337" s="328"/>
      <c r="AC337" s="328"/>
      <c r="AD337" s="328"/>
      <c r="AE337" s="328"/>
      <c r="AF337" s="328"/>
      <c r="AG337" s="328"/>
      <c r="AH337" s="328"/>
      <c r="AI337" s="328"/>
      <c r="AJ337" s="328"/>
      <c r="AK337" s="328"/>
      <c r="AL337" s="328"/>
      <c r="AM337" s="328"/>
      <c r="AN337" s="328"/>
      <c r="AO337" s="328"/>
      <c r="AP337" s="328"/>
      <c r="AQ337" s="328"/>
      <c r="AR337" s="328"/>
      <c r="AS337" s="328"/>
      <c r="AT337" s="328"/>
      <c r="AU337" s="328"/>
    </row>
    <row r="338" ht="15.75" customHeight="1">
      <c r="A338" s="328"/>
      <c r="B338" s="328"/>
      <c r="C338" s="328"/>
      <c r="D338" s="328"/>
      <c r="E338" s="328"/>
      <c r="F338" s="328"/>
      <c r="G338" s="328"/>
      <c r="H338" s="328"/>
      <c r="I338" s="328"/>
      <c r="J338" s="328"/>
      <c r="K338" s="328"/>
      <c r="L338" s="328"/>
      <c r="M338" s="328"/>
      <c r="N338" s="328"/>
      <c r="O338" s="328"/>
      <c r="P338" s="328"/>
      <c r="Q338" s="328"/>
      <c r="R338" s="328"/>
      <c r="S338" s="328"/>
      <c r="T338" s="328"/>
      <c r="U338" s="328"/>
      <c r="V338" s="328"/>
      <c r="W338" s="328"/>
      <c r="X338" s="328"/>
      <c r="Y338" s="328"/>
      <c r="Z338" s="328"/>
      <c r="AA338" s="328"/>
      <c r="AB338" s="328"/>
      <c r="AC338" s="328"/>
      <c r="AD338" s="328"/>
      <c r="AE338" s="328"/>
      <c r="AF338" s="328"/>
      <c r="AG338" s="328"/>
      <c r="AH338" s="328"/>
      <c r="AI338" s="328"/>
      <c r="AJ338" s="328"/>
      <c r="AK338" s="328"/>
      <c r="AL338" s="328"/>
      <c r="AM338" s="328"/>
      <c r="AN338" s="328"/>
      <c r="AO338" s="328"/>
      <c r="AP338" s="328"/>
      <c r="AQ338" s="328"/>
      <c r="AR338" s="328"/>
      <c r="AS338" s="328"/>
      <c r="AT338" s="328"/>
      <c r="AU338" s="328"/>
    </row>
    <row r="339" ht="15.75" customHeight="1">
      <c r="A339" s="328"/>
      <c r="B339" s="328"/>
      <c r="C339" s="328"/>
      <c r="D339" s="328"/>
      <c r="E339" s="328"/>
      <c r="F339" s="328"/>
      <c r="G339" s="328"/>
      <c r="H339" s="328"/>
      <c r="I339" s="328"/>
      <c r="J339" s="328"/>
      <c r="K339" s="328"/>
      <c r="L339" s="328"/>
      <c r="M339" s="328"/>
      <c r="N339" s="328"/>
      <c r="O339" s="328"/>
      <c r="P339" s="328"/>
      <c r="Q339" s="328"/>
      <c r="R339" s="328"/>
      <c r="S339" s="328"/>
      <c r="T339" s="328"/>
      <c r="U339" s="328"/>
      <c r="V339" s="328"/>
      <c r="W339" s="328"/>
      <c r="X339" s="328"/>
      <c r="Y339" s="328"/>
      <c r="Z339" s="328"/>
      <c r="AA339" s="328"/>
      <c r="AB339" s="328"/>
      <c r="AC339" s="328"/>
      <c r="AD339" s="328"/>
      <c r="AE339" s="328"/>
      <c r="AF339" s="328"/>
      <c r="AG339" s="328"/>
      <c r="AH339" s="328"/>
      <c r="AI339" s="328"/>
      <c r="AJ339" s="328"/>
      <c r="AK339" s="328"/>
      <c r="AL339" s="328"/>
      <c r="AM339" s="328"/>
      <c r="AN339" s="328"/>
      <c r="AO339" s="328"/>
      <c r="AP339" s="328"/>
      <c r="AQ339" s="328"/>
      <c r="AR339" s="328"/>
      <c r="AS339" s="328"/>
      <c r="AT339" s="328"/>
      <c r="AU339" s="328"/>
    </row>
    <row r="340" ht="15.75" customHeight="1">
      <c r="A340" s="328"/>
      <c r="B340" s="328"/>
      <c r="C340" s="328"/>
      <c r="D340" s="328"/>
      <c r="E340" s="328"/>
      <c r="F340" s="328"/>
      <c r="G340" s="328"/>
      <c r="H340" s="328"/>
      <c r="I340" s="328"/>
      <c r="J340" s="328"/>
      <c r="K340" s="328"/>
      <c r="L340" s="328"/>
      <c r="M340" s="328"/>
      <c r="N340" s="328"/>
      <c r="O340" s="328"/>
      <c r="P340" s="328"/>
      <c r="Q340" s="328"/>
      <c r="R340" s="328"/>
      <c r="S340" s="328"/>
      <c r="T340" s="328"/>
      <c r="U340" s="328"/>
      <c r="V340" s="328"/>
      <c r="W340" s="328"/>
      <c r="X340" s="328"/>
      <c r="Y340" s="328"/>
      <c r="Z340" s="328"/>
      <c r="AA340" s="328"/>
      <c r="AB340" s="328"/>
      <c r="AC340" s="328"/>
      <c r="AD340" s="328"/>
      <c r="AE340" s="328"/>
      <c r="AF340" s="328"/>
      <c r="AG340" s="328"/>
      <c r="AH340" s="328"/>
      <c r="AI340" s="328"/>
      <c r="AJ340" s="328"/>
      <c r="AK340" s="328"/>
      <c r="AL340" s="328"/>
      <c r="AM340" s="328"/>
      <c r="AN340" s="328"/>
      <c r="AO340" s="328"/>
      <c r="AP340" s="328"/>
      <c r="AQ340" s="328"/>
      <c r="AR340" s="328"/>
      <c r="AS340" s="328"/>
      <c r="AT340" s="328"/>
      <c r="AU340" s="328"/>
    </row>
    <row r="341" ht="15.75" customHeight="1">
      <c r="A341" s="328"/>
      <c r="B341" s="328"/>
      <c r="C341" s="328"/>
      <c r="D341" s="328"/>
      <c r="E341" s="328"/>
      <c r="F341" s="328"/>
      <c r="G341" s="328"/>
      <c r="H341" s="328"/>
      <c r="I341" s="328"/>
      <c r="J341" s="328"/>
      <c r="K341" s="328"/>
      <c r="L341" s="328"/>
      <c r="M341" s="328"/>
      <c r="N341" s="328"/>
      <c r="O341" s="328"/>
      <c r="P341" s="328"/>
      <c r="Q341" s="328"/>
      <c r="R341" s="328"/>
      <c r="S341" s="328"/>
      <c r="T341" s="328"/>
      <c r="U341" s="328"/>
      <c r="V341" s="328"/>
      <c r="W341" s="328"/>
      <c r="X341" s="328"/>
      <c r="Y341" s="328"/>
      <c r="Z341" s="328"/>
      <c r="AA341" s="328"/>
      <c r="AB341" s="328"/>
      <c r="AC341" s="328"/>
      <c r="AD341" s="328"/>
      <c r="AE341" s="328"/>
      <c r="AF341" s="328"/>
      <c r="AG341" s="328"/>
      <c r="AH341" s="328"/>
      <c r="AI341" s="328"/>
      <c r="AJ341" s="328"/>
      <c r="AK341" s="328"/>
      <c r="AL341" s="328"/>
      <c r="AM341" s="328"/>
      <c r="AN341" s="328"/>
      <c r="AO341" s="328"/>
      <c r="AP341" s="328"/>
      <c r="AQ341" s="328"/>
      <c r="AR341" s="328"/>
      <c r="AS341" s="328"/>
      <c r="AT341" s="328"/>
      <c r="AU341" s="328"/>
    </row>
    <row r="342" ht="15.75" customHeight="1">
      <c r="A342" s="328"/>
      <c r="B342" s="328"/>
      <c r="C342" s="328"/>
      <c r="D342" s="328"/>
      <c r="E342" s="328"/>
      <c r="F342" s="328"/>
      <c r="G342" s="328"/>
      <c r="H342" s="328"/>
      <c r="I342" s="328"/>
      <c r="J342" s="328"/>
      <c r="K342" s="328"/>
      <c r="L342" s="328"/>
      <c r="M342" s="328"/>
      <c r="N342" s="328"/>
      <c r="O342" s="328"/>
      <c r="P342" s="328"/>
      <c r="Q342" s="328"/>
      <c r="R342" s="328"/>
      <c r="S342" s="328"/>
      <c r="T342" s="328"/>
      <c r="U342" s="328"/>
      <c r="V342" s="328"/>
      <c r="W342" s="328"/>
      <c r="X342" s="328"/>
      <c r="Y342" s="328"/>
      <c r="Z342" s="328"/>
      <c r="AA342" s="328"/>
      <c r="AB342" s="328"/>
      <c r="AC342" s="328"/>
      <c r="AD342" s="328"/>
      <c r="AE342" s="328"/>
      <c r="AF342" s="328"/>
      <c r="AG342" s="328"/>
      <c r="AH342" s="328"/>
      <c r="AI342" s="328"/>
      <c r="AJ342" s="328"/>
      <c r="AK342" s="328"/>
      <c r="AL342" s="328"/>
      <c r="AM342" s="328"/>
      <c r="AN342" s="328"/>
      <c r="AO342" s="328"/>
      <c r="AP342" s="328"/>
      <c r="AQ342" s="328"/>
      <c r="AR342" s="328"/>
      <c r="AS342" s="328"/>
      <c r="AT342" s="328"/>
      <c r="AU342" s="328"/>
    </row>
    <row r="343" ht="15.75" customHeight="1">
      <c r="A343" s="328"/>
      <c r="B343" s="328"/>
      <c r="C343" s="328"/>
      <c r="D343" s="328"/>
      <c r="E343" s="328"/>
      <c r="F343" s="328"/>
      <c r="G343" s="328"/>
      <c r="H343" s="328"/>
      <c r="I343" s="328"/>
      <c r="J343" s="328"/>
      <c r="K343" s="328"/>
      <c r="L343" s="328"/>
      <c r="M343" s="328"/>
      <c r="N343" s="328"/>
      <c r="O343" s="328"/>
      <c r="P343" s="328"/>
      <c r="Q343" s="328"/>
      <c r="R343" s="328"/>
      <c r="S343" s="328"/>
      <c r="T343" s="328"/>
      <c r="U343" s="328"/>
      <c r="V343" s="328"/>
      <c r="W343" s="328"/>
      <c r="X343" s="328"/>
      <c r="Y343" s="328"/>
      <c r="Z343" s="328"/>
      <c r="AA343" s="328"/>
      <c r="AB343" s="328"/>
      <c r="AC343" s="328"/>
      <c r="AD343" s="328"/>
      <c r="AE343" s="328"/>
      <c r="AF343" s="328"/>
      <c r="AG343" s="328"/>
      <c r="AH343" s="328"/>
      <c r="AI343" s="328"/>
      <c r="AJ343" s="328"/>
      <c r="AK343" s="328"/>
      <c r="AL343" s="328"/>
      <c r="AM343" s="328"/>
      <c r="AN343" s="328"/>
      <c r="AO343" s="328"/>
      <c r="AP343" s="328"/>
      <c r="AQ343" s="328"/>
      <c r="AR343" s="328"/>
      <c r="AS343" s="328"/>
      <c r="AT343" s="328"/>
      <c r="AU343" s="328"/>
    </row>
    <row r="344" ht="15.75" customHeight="1">
      <c r="A344" s="328"/>
      <c r="B344" s="328"/>
      <c r="C344" s="328"/>
      <c r="D344" s="328"/>
      <c r="E344" s="328"/>
      <c r="F344" s="328"/>
      <c r="G344" s="328"/>
      <c r="H344" s="328"/>
      <c r="I344" s="328"/>
      <c r="J344" s="328"/>
      <c r="K344" s="328"/>
      <c r="L344" s="328"/>
      <c r="M344" s="328"/>
      <c r="N344" s="328"/>
      <c r="O344" s="328"/>
      <c r="P344" s="328"/>
      <c r="Q344" s="328"/>
      <c r="R344" s="328"/>
      <c r="S344" s="328"/>
      <c r="T344" s="328"/>
      <c r="U344" s="328"/>
      <c r="V344" s="328"/>
      <c r="W344" s="328"/>
      <c r="X344" s="328"/>
      <c r="Y344" s="328"/>
      <c r="Z344" s="328"/>
      <c r="AA344" s="328"/>
      <c r="AB344" s="328"/>
      <c r="AC344" s="328"/>
      <c r="AD344" s="328"/>
      <c r="AE344" s="328"/>
      <c r="AF344" s="328"/>
      <c r="AG344" s="328"/>
      <c r="AH344" s="328"/>
      <c r="AI344" s="328"/>
      <c r="AJ344" s="328"/>
      <c r="AK344" s="328"/>
      <c r="AL344" s="328"/>
      <c r="AM344" s="328"/>
      <c r="AN344" s="328"/>
      <c r="AO344" s="328"/>
      <c r="AP344" s="328"/>
      <c r="AQ344" s="328"/>
      <c r="AR344" s="328"/>
      <c r="AS344" s="328"/>
      <c r="AT344" s="328"/>
      <c r="AU344" s="328"/>
    </row>
    <row r="345" ht="15.75" customHeight="1">
      <c r="A345" s="328"/>
      <c r="B345" s="328"/>
      <c r="C345" s="328"/>
      <c r="D345" s="328"/>
      <c r="E345" s="328"/>
      <c r="F345" s="328"/>
      <c r="G345" s="328"/>
      <c r="H345" s="328"/>
      <c r="I345" s="328"/>
      <c r="J345" s="328"/>
      <c r="K345" s="328"/>
      <c r="L345" s="328"/>
      <c r="M345" s="328"/>
      <c r="N345" s="328"/>
      <c r="O345" s="328"/>
      <c r="P345" s="328"/>
      <c r="Q345" s="328"/>
      <c r="R345" s="328"/>
      <c r="S345" s="328"/>
      <c r="T345" s="328"/>
      <c r="U345" s="328"/>
      <c r="V345" s="328"/>
      <c r="W345" s="328"/>
      <c r="X345" s="328"/>
      <c r="Y345" s="328"/>
      <c r="Z345" s="328"/>
      <c r="AA345" s="328"/>
      <c r="AB345" s="328"/>
      <c r="AC345" s="328"/>
      <c r="AD345" s="328"/>
      <c r="AE345" s="328"/>
      <c r="AF345" s="328"/>
      <c r="AG345" s="328"/>
      <c r="AH345" s="328"/>
      <c r="AI345" s="328"/>
      <c r="AJ345" s="328"/>
      <c r="AK345" s="328"/>
      <c r="AL345" s="328"/>
      <c r="AM345" s="328"/>
      <c r="AN345" s="328"/>
      <c r="AO345" s="328"/>
      <c r="AP345" s="328"/>
      <c r="AQ345" s="328"/>
      <c r="AR345" s="328"/>
      <c r="AS345" s="328"/>
      <c r="AT345" s="328"/>
      <c r="AU345" s="328"/>
    </row>
    <row r="346" ht="15.75" customHeight="1">
      <c r="A346" s="328"/>
      <c r="B346" s="328"/>
      <c r="C346" s="328"/>
      <c r="D346" s="328"/>
      <c r="E346" s="328"/>
      <c r="F346" s="328"/>
      <c r="G346" s="328"/>
      <c r="H346" s="328"/>
      <c r="I346" s="328"/>
      <c r="J346" s="328"/>
      <c r="K346" s="328"/>
      <c r="L346" s="328"/>
      <c r="M346" s="328"/>
      <c r="N346" s="328"/>
      <c r="O346" s="328"/>
      <c r="P346" s="328"/>
      <c r="Q346" s="328"/>
      <c r="R346" s="328"/>
      <c r="S346" s="328"/>
      <c r="T346" s="328"/>
      <c r="U346" s="328"/>
      <c r="V346" s="328"/>
      <c r="W346" s="328"/>
      <c r="X346" s="328"/>
      <c r="Y346" s="328"/>
      <c r="Z346" s="328"/>
      <c r="AA346" s="328"/>
      <c r="AB346" s="328"/>
      <c r="AC346" s="328"/>
      <c r="AD346" s="328"/>
      <c r="AE346" s="328"/>
      <c r="AF346" s="328"/>
      <c r="AG346" s="328"/>
      <c r="AH346" s="328"/>
      <c r="AI346" s="328"/>
      <c r="AJ346" s="328"/>
      <c r="AK346" s="328"/>
      <c r="AL346" s="328"/>
      <c r="AM346" s="328"/>
      <c r="AN346" s="328"/>
      <c r="AO346" s="328"/>
      <c r="AP346" s="328"/>
      <c r="AQ346" s="328"/>
      <c r="AR346" s="328"/>
      <c r="AS346" s="328"/>
      <c r="AT346" s="328"/>
      <c r="AU346" s="328"/>
    </row>
    <row r="347" ht="15.75" customHeight="1">
      <c r="A347" s="328"/>
      <c r="B347" s="328"/>
      <c r="C347" s="328"/>
      <c r="D347" s="328"/>
      <c r="E347" s="328"/>
      <c r="F347" s="328"/>
      <c r="G347" s="328"/>
      <c r="H347" s="328"/>
      <c r="I347" s="328"/>
      <c r="J347" s="328"/>
      <c r="K347" s="328"/>
      <c r="L347" s="328"/>
      <c r="M347" s="328"/>
      <c r="N347" s="328"/>
      <c r="O347" s="328"/>
      <c r="P347" s="328"/>
      <c r="Q347" s="328"/>
      <c r="R347" s="328"/>
      <c r="S347" s="328"/>
      <c r="T347" s="328"/>
      <c r="U347" s="328"/>
      <c r="V347" s="328"/>
      <c r="W347" s="328"/>
      <c r="X347" s="328"/>
      <c r="Y347" s="328"/>
      <c r="Z347" s="328"/>
      <c r="AA347" s="328"/>
      <c r="AB347" s="328"/>
      <c r="AC347" s="328"/>
      <c r="AD347" s="328"/>
      <c r="AE347" s="328"/>
      <c r="AF347" s="328"/>
      <c r="AG347" s="328"/>
      <c r="AH347" s="328"/>
      <c r="AI347" s="328"/>
      <c r="AJ347" s="328"/>
      <c r="AK347" s="328"/>
      <c r="AL347" s="328"/>
      <c r="AM347" s="328"/>
      <c r="AN347" s="328"/>
      <c r="AO347" s="328"/>
      <c r="AP347" s="328"/>
      <c r="AQ347" s="328"/>
      <c r="AR347" s="328"/>
      <c r="AS347" s="328"/>
      <c r="AT347" s="328"/>
      <c r="AU347" s="328"/>
    </row>
    <row r="348" ht="15.75" customHeight="1">
      <c r="A348" s="328"/>
      <c r="B348" s="328"/>
      <c r="C348" s="328"/>
      <c r="D348" s="328"/>
      <c r="E348" s="328"/>
      <c r="F348" s="328"/>
      <c r="G348" s="328"/>
      <c r="H348" s="328"/>
      <c r="I348" s="328"/>
      <c r="J348" s="328"/>
      <c r="K348" s="328"/>
      <c r="L348" s="328"/>
      <c r="M348" s="328"/>
      <c r="N348" s="328"/>
      <c r="O348" s="328"/>
      <c r="P348" s="328"/>
      <c r="Q348" s="328"/>
      <c r="R348" s="328"/>
      <c r="S348" s="328"/>
      <c r="T348" s="328"/>
      <c r="U348" s="328"/>
      <c r="V348" s="328"/>
      <c r="W348" s="328"/>
      <c r="X348" s="328"/>
      <c r="Y348" s="328"/>
      <c r="Z348" s="328"/>
      <c r="AA348" s="328"/>
      <c r="AB348" s="328"/>
      <c r="AC348" s="328"/>
      <c r="AD348" s="328"/>
      <c r="AE348" s="328"/>
      <c r="AF348" s="328"/>
      <c r="AG348" s="328"/>
      <c r="AH348" s="328"/>
      <c r="AI348" s="328"/>
      <c r="AJ348" s="328"/>
      <c r="AK348" s="328"/>
      <c r="AL348" s="328"/>
      <c r="AM348" s="328"/>
      <c r="AN348" s="328"/>
      <c r="AO348" s="328"/>
      <c r="AP348" s="328"/>
      <c r="AQ348" s="328"/>
      <c r="AR348" s="328"/>
      <c r="AS348" s="328"/>
      <c r="AT348" s="328"/>
      <c r="AU348" s="328"/>
    </row>
    <row r="349" ht="15.75" customHeight="1">
      <c r="A349" s="328"/>
      <c r="B349" s="328"/>
      <c r="C349" s="328"/>
      <c r="D349" s="328"/>
      <c r="E349" s="328"/>
      <c r="F349" s="328"/>
      <c r="G349" s="328"/>
      <c r="H349" s="328"/>
      <c r="I349" s="328"/>
      <c r="J349" s="328"/>
      <c r="K349" s="328"/>
      <c r="L349" s="328"/>
      <c r="M349" s="328"/>
      <c r="N349" s="328"/>
      <c r="O349" s="328"/>
      <c r="P349" s="328"/>
      <c r="Q349" s="328"/>
      <c r="R349" s="328"/>
      <c r="S349" s="328"/>
      <c r="T349" s="328"/>
      <c r="U349" s="328"/>
      <c r="V349" s="328"/>
      <c r="W349" s="328"/>
      <c r="X349" s="328"/>
      <c r="Y349" s="328"/>
      <c r="Z349" s="328"/>
      <c r="AA349" s="328"/>
      <c r="AB349" s="328"/>
      <c r="AC349" s="328"/>
      <c r="AD349" s="328"/>
      <c r="AE349" s="328"/>
      <c r="AF349" s="328"/>
      <c r="AG349" s="328"/>
      <c r="AH349" s="328"/>
      <c r="AI349" s="328"/>
      <c r="AJ349" s="328"/>
      <c r="AK349" s="328"/>
      <c r="AL349" s="328"/>
      <c r="AM349" s="328"/>
      <c r="AN349" s="328"/>
      <c r="AO349" s="328"/>
      <c r="AP349" s="328"/>
      <c r="AQ349" s="328"/>
      <c r="AR349" s="328"/>
      <c r="AS349" s="328"/>
      <c r="AT349" s="328"/>
      <c r="AU349" s="328"/>
    </row>
    <row r="350" ht="15.75" customHeight="1">
      <c r="A350" s="328"/>
      <c r="B350" s="328"/>
      <c r="C350" s="328"/>
      <c r="D350" s="328"/>
      <c r="E350" s="328"/>
      <c r="F350" s="328"/>
      <c r="G350" s="328"/>
      <c r="H350" s="328"/>
      <c r="I350" s="328"/>
      <c r="J350" s="328"/>
      <c r="K350" s="328"/>
      <c r="L350" s="328"/>
      <c r="M350" s="328"/>
      <c r="N350" s="328"/>
      <c r="O350" s="328"/>
      <c r="P350" s="328"/>
      <c r="Q350" s="328"/>
      <c r="R350" s="328"/>
      <c r="S350" s="328"/>
      <c r="T350" s="328"/>
      <c r="U350" s="328"/>
      <c r="V350" s="328"/>
      <c r="W350" s="328"/>
      <c r="X350" s="328"/>
      <c r="Y350" s="328"/>
      <c r="Z350" s="328"/>
      <c r="AA350" s="328"/>
      <c r="AB350" s="328"/>
      <c r="AC350" s="328"/>
      <c r="AD350" s="328"/>
      <c r="AE350" s="328"/>
      <c r="AF350" s="328"/>
      <c r="AG350" s="328"/>
      <c r="AH350" s="328"/>
      <c r="AI350" s="328"/>
      <c r="AJ350" s="328"/>
      <c r="AK350" s="328"/>
      <c r="AL350" s="328"/>
      <c r="AM350" s="328"/>
      <c r="AN350" s="328"/>
      <c r="AO350" s="328"/>
      <c r="AP350" s="328"/>
      <c r="AQ350" s="328"/>
      <c r="AR350" s="328"/>
      <c r="AS350" s="328"/>
      <c r="AT350" s="328"/>
      <c r="AU350" s="328"/>
    </row>
    <row r="351" ht="15.75" customHeight="1">
      <c r="A351" s="328"/>
      <c r="B351" s="328"/>
      <c r="C351" s="328"/>
      <c r="D351" s="328"/>
      <c r="E351" s="328"/>
      <c r="F351" s="328"/>
      <c r="G351" s="328"/>
      <c r="H351" s="328"/>
      <c r="I351" s="328"/>
      <c r="J351" s="328"/>
      <c r="K351" s="328"/>
      <c r="L351" s="328"/>
      <c r="M351" s="328"/>
      <c r="N351" s="328"/>
      <c r="O351" s="328"/>
      <c r="P351" s="328"/>
      <c r="Q351" s="328"/>
      <c r="R351" s="328"/>
      <c r="S351" s="328"/>
      <c r="T351" s="328"/>
      <c r="U351" s="328"/>
      <c r="V351" s="328"/>
      <c r="W351" s="328"/>
      <c r="X351" s="328"/>
      <c r="Y351" s="328"/>
      <c r="Z351" s="328"/>
      <c r="AA351" s="328"/>
      <c r="AB351" s="328"/>
      <c r="AC351" s="328"/>
      <c r="AD351" s="328"/>
      <c r="AE351" s="328"/>
      <c r="AF351" s="328"/>
      <c r="AG351" s="328"/>
      <c r="AH351" s="328"/>
      <c r="AI351" s="328"/>
      <c r="AJ351" s="328"/>
      <c r="AK351" s="328"/>
      <c r="AL351" s="328"/>
      <c r="AM351" s="328"/>
      <c r="AN351" s="328"/>
      <c r="AO351" s="328"/>
      <c r="AP351" s="328"/>
      <c r="AQ351" s="328"/>
      <c r="AR351" s="328"/>
      <c r="AS351" s="328"/>
      <c r="AT351" s="328"/>
      <c r="AU351" s="328"/>
    </row>
    <row r="352" ht="15.75" customHeight="1">
      <c r="A352" s="328"/>
      <c r="B352" s="328"/>
      <c r="C352" s="328"/>
      <c r="D352" s="328"/>
      <c r="E352" s="328"/>
      <c r="F352" s="328"/>
      <c r="G352" s="328"/>
      <c r="H352" s="328"/>
      <c r="I352" s="328"/>
      <c r="J352" s="328"/>
      <c r="K352" s="328"/>
      <c r="L352" s="328"/>
      <c r="M352" s="328"/>
      <c r="N352" s="328"/>
      <c r="O352" s="328"/>
      <c r="P352" s="328"/>
      <c r="Q352" s="328"/>
      <c r="R352" s="328"/>
      <c r="S352" s="328"/>
      <c r="T352" s="328"/>
      <c r="U352" s="328"/>
      <c r="V352" s="328"/>
      <c r="W352" s="328"/>
      <c r="X352" s="328"/>
      <c r="Y352" s="328"/>
      <c r="Z352" s="328"/>
      <c r="AA352" s="328"/>
      <c r="AB352" s="328"/>
      <c r="AC352" s="328"/>
      <c r="AD352" s="328"/>
      <c r="AE352" s="328"/>
      <c r="AF352" s="328"/>
      <c r="AG352" s="328"/>
      <c r="AH352" s="328"/>
      <c r="AI352" s="328"/>
      <c r="AJ352" s="328"/>
      <c r="AK352" s="328"/>
      <c r="AL352" s="328"/>
      <c r="AM352" s="328"/>
      <c r="AN352" s="328"/>
      <c r="AO352" s="328"/>
      <c r="AP352" s="328"/>
      <c r="AQ352" s="328"/>
      <c r="AR352" s="328"/>
      <c r="AS352" s="328"/>
      <c r="AT352" s="328"/>
      <c r="AU352" s="328"/>
    </row>
    <row r="353" ht="15.75" customHeight="1">
      <c r="A353" s="328"/>
      <c r="B353" s="328"/>
      <c r="C353" s="328"/>
      <c r="D353" s="328"/>
      <c r="E353" s="328"/>
      <c r="F353" s="328"/>
      <c r="G353" s="328"/>
      <c r="H353" s="328"/>
      <c r="I353" s="328"/>
      <c r="J353" s="328"/>
      <c r="K353" s="328"/>
      <c r="L353" s="328"/>
      <c r="M353" s="328"/>
      <c r="N353" s="328"/>
      <c r="O353" s="328"/>
      <c r="P353" s="328"/>
      <c r="Q353" s="328"/>
      <c r="R353" s="328"/>
      <c r="S353" s="328"/>
      <c r="T353" s="328"/>
      <c r="U353" s="328"/>
      <c r="V353" s="328"/>
      <c r="W353" s="328"/>
      <c r="X353" s="328"/>
      <c r="Y353" s="328"/>
      <c r="Z353" s="328"/>
      <c r="AA353" s="328"/>
      <c r="AB353" s="328"/>
      <c r="AC353" s="328"/>
      <c r="AD353" s="328"/>
      <c r="AE353" s="328"/>
      <c r="AF353" s="328"/>
      <c r="AG353" s="328"/>
      <c r="AH353" s="328"/>
      <c r="AI353" s="328"/>
      <c r="AJ353" s="328"/>
      <c r="AK353" s="328"/>
      <c r="AL353" s="328"/>
      <c r="AM353" s="328"/>
      <c r="AN353" s="328"/>
      <c r="AO353" s="328"/>
      <c r="AP353" s="328"/>
      <c r="AQ353" s="328"/>
      <c r="AR353" s="328"/>
      <c r="AS353" s="328"/>
      <c r="AT353" s="328"/>
      <c r="AU353" s="328"/>
    </row>
    <row r="354" ht="15.75" customHeight="1">
      <c r="A354" s="328"/>
      <c r="B354" s="328"/>
      <c r="C354" s="328"/>
      <c r="D354" s="328"/>
      <c r="E354" s="328"/>
      <c r="F354" s="328"/>
      <c r="G354" s="328"/>
      <c r="H354" s="328"/>
      <c r="I354" s="328"/>
      <c r="J354" s="328"/>
      <c r="K354" s="328"/>
      <c r="L354" s="328"/>
      <c r="M354" s="328"/>
      <c r="N354" s="328"/>
      <c r="O354" s="328"/>
      <c r="P354" s="328"/>
      <c r="Q354" s="328"/>
      <c r="R354" s="328"/>
      <c r="S354" s="328"/>
      <c r="T354" s="328"/>
      <c r="U354" s="328"/>
      <c r="V354" s="328"/>
      <c r="W354" s="328"/>
      <c r="X354" s="328"/>
      <c r="Y354" s="328"/>
      <c r="Z354" s="328"/>
      <c r="AA354" s="328"/>
      <c r="AB354" s="328"/>
      <c r="AC354" s="328"/>
      <c r="AD354" s="328"/>
      <c r="AE354" s="328"/>
      <c r="AF354" s="328"/>
      <c r="AG354" s="328"/>
      <c r="AH354" s="328"/>
      <c r="AI354" s="328"/>
      <c r="AJ354" s="328"/>
      <c r="AK354" s="328"/>
      <c r="AL354" s="328"/>
      <c r="AM354" s="328"/>
      <c r="AN354" s="328"/>
      <c r="AO354" s="328"/>
      <c r="AP354" s="328"/>
      <c r="AQ354" s="328"/>
      <c r="AR354" s="328"/>
      <c r="AS354" s="328"/>
      <c r="AT354" s="328"/>
      <c r="AU354" s="328"/>
    </row>
    <row r="355" ht="15.75" customHeight="1">
      <c r="A355" s="328"/>
      <c r="B355" s="328"/>
      <c r="C355" s="328"/>
      <c r="D355" s="328"/>
      <c r="E355" s="328"/>
      <c r="F355" s="328"/>
      <c r="G355" s="328"/>
      <c r="H355" s="328"/>
      <c r="I355" s="328"/>
      <c r="J355" s="328"/>
      <c r="K355" s="328"/>
      <c r="L355" s="328"/>
      <c r="M355" s="328"/>
      <c r="N355" s="328"/>
      <c r="O355" s="328"/>
      <c r="P355" s="328"/>
      <c r="Q355" s="328"/>
      <c r="R355" s="328"/>
      <c r="S355" s="328"/>
      <c r="T355" s="328"/>
      <c r="U355" s="328"/>
      <c r="V355" s="328"/>
      <c r="W355" s="328"/>
      <c r="X355" s="328"/>
      <c r="Y355" s="328"/>
      <c r="Z355" s="328"/>
      <c r="AA355" s="328"/>
      <c r="AB355" s="328"/>
      <c r="AC355" s="328"/>
      <c r="AD355" s="328"/>
      <c r="AE355" s="328"/>
      <c r="AF355" s="328"/>
      <c r="AG355" s="328"/>
      <c r="AH355" s="328"/>
      <c r="AI355" s="328"/>
      <c r="AJ355" s="328"/>
      <c r="AK355" s="328"/>
      <c r="AL355" s="328"/>
      <c r="AM355" s="328"/>
      <c r="AN355" s="328"/>
      <c r="AO355" s="328"/>
      <c r="AP355" s="328"/>
      <c r="AQ355" s="328"/>
      <c r="AR355" s="328"/>
      <c r="AS355" s="328"/>
      <c r="AT355" s="328"/>
      <c r="AU355" s="328"/>
    </row>
    <row r="356" ht="15.75" customHeight="1">
      <c r="A356" s="328"/>
      <c r="B356" s="328"/>
      <c r="C356" s="328"/>
      <c r="D356" s="328"/>
      <c r="E356" s="328"/>
      <c r="F356" s="328"/>
      <c r="G356" s="328"/>
      <c r="H356" s="328"/>
      <c r="I356" s="328"/>
      <c r="J356" s="328"/>
      <c r="K356" s="328"/>
      <c r="L356" s="328"/>
      <c r="M356" s="328"/>
      <c r="N356" s="328"/>
      <c r="O356" s="328"/>
      <c r="P356" s="328"/>
      <c r="Q356" s="328"/>
      <c r="R356" s="328"/>
      <c r="S356" s="328"/>
      <c r="T356" s="328"/>
      <c r="U356" s="328"/>
      <c r="V356" s="328"/>
      <c r="W356" s="328"/>
      <c r="X356" s="328"/>
      <c r="Y356" s="328"/>
      <c r="Z356" s="328"/>
      <c r="AA356" s="328"/>
      <c r="AB356" s="328"/>
      <c r="AC356" s="328"/>
      <c r="AD356" s="328"/>
      <c r="AE356" s="328"/>
      <c r="AF356" s="328"/>
      <c r="AG356" s="328"/>
      <c r="AH356" s="328"/>
      <c r="AI356" s="328"/>
      <c r="AJ356" s="328"/>
      <c r="AK356" s="328"/>
      <c r="AL356" s="328"/>
      <c r="AM356" s="328"/>
      <c r="AN356" s="328"/>
      <c r="AO356" s="328"/>
      <c r="AP356" s="328"/>
      <c r="AQ356" s="328"/>
      <c r="AR356" s="328"/>
      <c r="AS356" s="328"/>
      <c r="AT356" s="328"/>
      <c r="AU356" s="328"/>
    </row>
    <row r="357" ht="15.75" customHeight="1">
      <c r="A357" s="328"/>
      <c r="B357" s="328"/>
      <c r="C357" s="328"/>
      <c r="D357" s="328"/>
      <c r="E357" s="328"/>
      <c r="F357" s="328"/>
      <c r="G357" s="328"/>
      <c r="H357" s="328"/>
      <c r="I357" s="328"/>
      <c r="J357" s="328"/>
      <c r="K357" s="328"/>
      <c r="L357" s="328"/>
      <c r="M357" s="328"/>
      <c r="N357" s="328"/>
      <c r="O357" s="328"/>
      <c r="P357" s="328"/>
      <c r="Q357" s="328"/>
      <c r="R357" s="328"/>
      <c r="S357" s="328"/>
      <c r="T357" s="328"/>
      <c r="U357" s="328"/>
      <c r="V357" s="328"/>
      <c r="W357" s="328"/>
      <c r="X357" s="328"/>
      <c r="Y357" s="328"/>
      <c r="Z357" s="328"/>
      <c r="AA357" s="328"/>
      <c r="AB357" s="328"/>
      <c r="AC357" s="328"/>
      <c r="AD357" s="328"/>
      <c r="AE357" s="328"/>
      <c r="AF357" s="328"/>
      <c r="AG357" s="328"/>
      <c r="AH357" s="328"/>
      <c r="AI357" s="328"/>
      <c r="AJ357" s="328"/>
      <c r="AK357" s="328"/>
      <c r="AL357" s="328"/>
      <c r="AM357" s="328"/>
      <c r="AN357" s="328"/>
      <c r="AO357" s="328"/>
      <c r="AP357" s="328"/>
      <c r="AQ357" s="328"/>
      <c r="AR357" s="328"/>
      <c r="AS357" s="328"/>
      <c r="AT357" s="328"/>
      <c r="AU357" s="328"/>
    </row>
    <row r="358" ht="15.75" customHeight="1">
      <c r="A358" s="328"/>
      <c r="B358" s="328"/>
      <c r="C358" s="328"/>
      <c r="D358" s="328"/>
      <c r="E358" s="328"/>
      <c r="F358" s="328"/>
      <c r="G358" s="328"/>
      <c r="H358" s="328"/>
      <c r="I358" s="328"/>
      <c r="J358" s="328"/>
      <c r="K358" s="328"/>
      <c r="L358" s="328"/>
      <c r="M358" s="328"/>
      <c r="N358" s="328"/>
      <c r="O358" s="328"/>
      <c r="P358" s="328"/>
      <c r="Q358" s="328"/>
      <c r="R358" s="328"/>
      <c r="S358" s="328"/>
      <c r="T358" s="328"/>
      <c r="U358" s="328"/>
      <c r="V358" s="328"/>
      <c r="W358" s="328"/>
      <c r="X358" s="328"/>
      <c r="Y358" s="328"/>
      <c r="Z358" s="328"/>
      <c r="AA358" s="328"/>
      <c r="AB358" s="328"/>
      <c r="AC358" s="328"/>
      <c r="AD358" s="328"/>
      <c r="AE358" s="328"/>
      <c r="AF358" s="328"/>
      <c r="AG358" s="328"/>
      <c r="AH358" s="328"/>
      <c r="AI358" s="328"/>
      <c r="AJ358" s="328"/>
      <c r="AK358" s="328"/>
      <c r="AL358" s="328"/>
      <c r="AM358" s="328"/>
      <c r="AN358" s="328"/>
      <c r="AO358" s="328"/>
      <c r="AP358" s="328"/>
      <c r="AQ358" s="328"/>
      <c r="AR358" s="328"/>
      <c r="AS358" s="328"/>
      <c r="AT358" s="328"/>
      <c r="AU358" s="328"/>
    </row>
    <row r="359" ht="15.75" customHeight="1">
      <c r="A359" s="328"/>
      <c r="B359" s="328"/>
      <c r="C359" s="328"/>
      <c r="D359" s="328"/>
      <c r="E359" s="328"/>
      <c r="F359" s="328"/>
      <c r="G359" s="328"/>
      <c r="H359" s="328"/>
      <c r="I359" s="328"/>
      <c r="J359" s="328"/>
      <c r="K359" s="328"/>
      <c r="L359" s="328"/>
      <c r="M359" s="328"/>
      <c r="N359" s="328"/>
      <c r="O359" s="328"/>
      <c r="P359" s="328"/>
      <c r="Q359" s="328"/>
      <c r="R359" s="328"/>
      <c r="S359" s="328"/>
      <c r="T359" s="328"/>
      <c r="U359" s="328"/>
      <c r="V359" s="328"/>
      <c r="W359" s="328"/>
      <c r="X359" s="328"/>
      <c r="Y359" s="328"/>
      <c r="Z359" s="328"/>
      <c r="AA359" s="328"/>
      <c r="AB359" s="328"/>
      <c r="AC359" s="328"/>
      <c r="AD359" s="328"/>
      <c r="AE359" s="328"/>
      <c r="AF359" s="328"/>
      <c r="AG359" s="328"/>
      <c r="AH359" s="328"/>
      <c r="AI359" s="328"/>
      <c r="AJ359" s="328"/>
      <c r="AK359" s="328"/>
      <c r="AL359" s="328"/>
      <c r="AM359" s="328"/>
      <c r="AN359" s="328"/>
      <c r="AO359" s="328"/>
      <c r="AP359" s="328"/>
      <c r="AQ359" s="328"/>
      <c r="AR359" s="328"/>
      <c r="AS359" s="328"/>
      <c r="AT359" s="328"/>
      <c r="AU359" s="328"/>
    </row>
    <row r="360" ht="15.75" customHeight="1">
      <c r="A360" s="328"/>
      <c r="B360" s="328"/>
      <c r="C360" s="328"/>
      <c r="D360" s="328"/>
      <c r="E360" s="328"/>
      <c r="F360" s="328"/>
      <c r="G360" s="328"/>
      <c r="H360" s="328"/>
      <c r="I360" s="328"/>
      <c r="J360" s="328"/>
      <c r="K360" s="328"/>
      <c r="L360" s="328"/>
      <c r="M360" s="328"/>
      <c r="N360" s="328"/>
      <c r="O360" s="328"/>
      <c r="P360" s="328"/>
      <c r="Q360" s="328"/>
      <c r="R360" s="328"/>
      <c r="S360" s="328"/>
      <c r="T360" s="328"/>
      <c r="U360" s="328"/>
      <c r="V360" s="328"/>
      <c r="W360" s="328"/>
      <c r="X360" s="328"/>
      <c r="Y360" s="328"/>
      <c r="Z360" s="328"/>
      <c r="AA360" s="328"/>
      <c r="AB360" s="328"/>
      <c r="AC360" s="328"/>
      <c r="AD360" s="328"/>
      <c r="AE360" s="328"/>
      <c r="AF360" s="328"/>
      <c r="AG360" s="328"/>
      <c r="AH360" s="328"/>
      <c r="AI360" s="328"/>
      <c r="AJ360" s="328"/>
      <c r="AK360" s="328"/>
      <c r="AL360" s="328"/>
      <c r="AM360" s="328"/>
      <c r="AN360" s="328"/>
      <c r="AO360" s="328"/>
      <c r="AP360" s="328"/>
      <c r="AQ360" s="328"/>
      <c r="AR360" s="328"/>
      <c r="AS360" s="328"/>
      <c r="AT360" s="328"/>
      <c r="AU360" s="328"/>
    </row>
    <row r="361" ht="15.75" customHeight="1">
      <c r="A361" s="328"/>
      <c r="B361" s="328"/>
      <c r="C361" s="328"/>
      <c r="D361" s="328"/>
      <c r="E361" s="328"/>
      <c r="F361" s="328"/>
      <c r="G361" s="328"/>
      <c r="H361" s="328"/>
      <c r="I361" s="328"/>
      <c r="J361" s="328"/>
      <c r="K361" s="328"/>
      <c r="L361" s="328"/>
      <c r="M361" s="328"/>
      <c r="N361" s="328"/>
      <c r="O361" s="328"/>
      <c r="P361" s="328"/>
      <c r="Q361" s="328"/>
      <c r="R361" s="328"/>
      <c r="S361" s="328"/>
      <c r="T361" s="328"/>
      <c r="U361" s="328"/>
      <c r="V361" s="328"/>
      <c r="W361" s="328"/>
      <c r="X361" s="328"/>
      <c r="Y361" s="328"/>
      <c r="Z361" s="328"/>
      <c r="AA361" s="328"/>
      <c r="AB361" s="328"/>
      <c r="AC361" s="328"/>
      <c r="AD361" s="328"/>
      <c r="AE361" s="328"/>
      <c r="AF361" s="328"/>
      <c r="AG361" s="328"/>
      <c r="AH361" s="328"/>
      <c r="AI361" s="328"/>
      <c r="AJ361" s="328"/>
      <c r="AK361" s="328"/>
      <c r="AL361" s="328"/>
      <c r="AM361" s="328"/>
      <c r="AN361" s="328"/>
      <c r="AO361" s="328"/>
      <c r="AP361" s="328"/>
      <c r="AQ361" s="328"/>
      <c r="AR361" s="328"/>
      <c r="AS361" s="328"/>
      <c r="AT361" s="328"/>
      <c r="AU361" s="328"/>
    </row>
    <row r="362" ht="15.75" customHeight="1">
      <c r="A362" s="328"/>
      <c r="B362" s="328"/>
      <c r="C362" s="328"/>
      <c r="D362" s="328"/>
      <c r="E362" s="328"/>
      <c r="F362" s="328"/>
      <c r="G362" s="328"/>
      <c r="H362" s="328"/>
      <c r="I362" s="328"/>
      <c r="J362" s="328"/>
      <c r="K362" s="328"/>
      <c r="L362" s="328"/>
      <c r="M362" s="328"/>
      <c r="N362" s="328"/>
      <c r="O362" s="328"/>
      <c r="P362" s="328"/>
      <c r="Q362" s="328"/>
      <c r="R362" s="328"/>
      <c r="S362" s="328"/>
      <c r="T362" s="328"/>
      <c r="U362" s="328"/>
      <c r="V362" s="328"/>
      <c r="W362" s="328"/>
      <c r="X362" s="328"/>
      <c r="Y362" s="328"/>
      <c r="Z362" s="328"/>
      <c r="AA362" s="328"/>
      <c r="AB362" s="328"/>
      <c r="AC362" s="328"/>
      <c r="AD362" s="328"/>
      <c r="AE362" s="328"/>
      <c r="AF362" s="328"/>
      <c r="AG362" s="328"/>
      <c r="AH362" s="328"/>
      <c r="AI362" s="328"/>
      <c r="AJ362" s="328"/>
      <c r="AK362" s="328"/>
      <c r="AL362" s="328"/>
      <c r="AM362" s="328"/>
      <c r="AN362" s="328"/>
      <c r="AO362" s="328"/>
      <c r="AP362" s="328"/>
      <c r="AQ362" s="328"/>
      <c r="AR362" s="328"/>
      <c r="AS362" s="328"/>
      <c r="AT362" s="328"/>
      <c r="AU362" s="328"/>
    </row>
    <row r="363" ht="15.75" customHeight="1">
      <c r="A363" s="328"/>
      <c r="B363" s="328"/>
      <c r="C363" s="328"/>
      <c r="D363" s="328"/>
      <c r="E363" s="328"/>
      <c r="F363" s="328"/>
      <c r="G363" s="328"/>
      <c r="H363" s="328"/>
      <c r="I363" s="328"/>
      <c r="J363" s="328"/>
      <c r="K363" s="328"/>
      <c r="L363" s="328"/>
      <c r="M363" s="328"/>
      <c r="N363" s="328"/>
      <c r="O363" s="328"/>
      <c r="P363" s="328"/>
      <c r="Q363" s="328"/>
      <c r="R363" s="328"/>
      <c r="S363" s="328"/>
      <c r="T363" s="328"/>
      <c r="U363" s="328"/>
      <c r="V363" s="328"/>
      <c r="W363" s="328"/>
      <c r="X363" s="328"/>
      <c r="Y363" s="328"/>
      <c r="Z363" s="328"/>
      <c r="AA363" s="328"/>
      <c r="AB363" s="328"/>
      <c r="AC363" s="328"/>
      <c r="AD363" s="328"/>
      <c r="AE363" s="328"/>
      <c r="AF363" s="328"/>
      <c r="AG363" s="328"/>
      <c r="AH363" s="328"/>
      <c r="AI363" s="328"/>
      <c r="AJ363" s="328"/>
      <c r="AK363" s="328"/>
      <c r="AL363" s="328"/>
      <c r="AM363" s="328"/>
      <c r="AN363" s="328"/>
      <c r="AO363" s="328"/>
      <c r="AP363" s="328"/>
      <c r="AQ363" s="328"/>
      <c r="AR363" s="328"/>
      <c r="AS363" s="328"/>
      <c r="AT363" s="328"/>
      <c r="AU363" s="328"/>
    </row>
    <row r="364" ht="15.75" customHeight="1">
      <c r="A364" s="328"/>
      <c r="B364" s="328"/>
      <c r="C364" s="328"/>
      <c r="D364" s="328"/>
      <c r="E364" s="328"/>
      <c r="F364" s="328"/>
      <c r="G364" s="328"/>
      <c r="H364" s="328"/>
      <c r="I364" s="328"/>
      <c r="J364" s="328"/>
      <c r="K364" s="328"/>
      <c r="L364" s="328"/>
      <c r="M364" s="328"/>
      <c r="N364" s="328"/>
      <c r="O364" s="328"/>
      <c r="P364" s="328"/>
      <c r="Q364" s="328"/>
      <c r="R364" s="328"/>
      <c r="S364" s="328"/>
      <c r="T364" s="328"/>
      <c r="U364" s="328"/>
      <c r="V364" s="328"/>
      <c r="W364" s="328"/>
      <c r="X364" s="328"/>
      <c r="Y364" s="328"/>
      <c r="Z364" s="328"/>
      <c r="AA364" s="328"/>
      <c r="AB364" s="328"/>
      <c r="AC364" s="328"/>
      <c r="AD364" s="328"/>
      <c r="AE364" s="328"/>
      <c r="AF364" s="328"/>
      <c r="AG364" s="328"/>
      <c r="AH364" s="328"/>
      <c r="AI364" s="328"/>
      <c r="AJ364" s="328"/>
      <c r="AK364" s="328"/>
      <c r="AL364" s="328"/>
      <c r="AM364" s="328"/>
      <c r="AN364" s="328"/>
      <c r="AO364" s="328"/>
      <c r="AP364" s="328"/>
      <c r="AQ364" s="328"/>
      <c r="AR364" s="328"/>
      <c r="AS364" s="328"/>
      <c r="AT364" s="328"/>
      <c r="AU364" s="328"/>
    </row>
    <row r="365" ht="15.75" customHeight="1">
      <c r="A365" s="328"/>
      <c r="B365" s="328"/>
      <c r="C365" s="328"/>
      <c r="D365" s="328"/>
      <c r="E365" s="328"/>
      <c r="F365" s="328"/>
      <c r="G365" s="328"/>
      <c r="H365" s="328"/>
      <c r="I365" s="328"/>
      <c r="J365" s="328"/>
      <c r="K365" s="328"/>
      <c r="L365" s="328"/>
      <c r="M365" s="328"/>
      <c r="N365" s="328"/>
      <c r="O365" s="328"/>
      <c r="P365" s="328"/>
      <c r="Q365" s="328"/>
      <c r="R365" s="328"/>
      <c r="S365" s="328"/>
      <c r="T365" s="328"/>
      <c r="U365" s="328"/>
      <c r="V365" s="328"/>
      <c r="W365" s="328"/>
      <c r="X365" s="328"/>
      <c r="Y365" s="328"/>
      <c r="Z365" s="328"/>
      <c r="AA365" s="328"/>
      <c r="AB365" s="328"/>
      <c r="AC365" s="328"/>
      <c r="AD365" s="328"/>
      <c r="AE365" s="328"/>
      <c r="AF365" s="328"/>
      <c r="AG365" s="328"/>
      <c r="AH365" s="328"/>
      <c r="AI365" s="328"/>
      <c r="AJ365" s="328"/>
      <c r="AK365" s="328"/>
      <c r="AL365" s="328"/>
      <c r="AM365" s="328"/>
      <c r="AN365" s="328"/>
      <c r="AO365" s="328"/>
      <c r="AP365" s="328"/>
      <c r="AQ365" s="328"/>
      <c r="AR365" s="328"/>
      <c r="AS365" s="328"/>
      <c r="AT365" s="328"/>
      <c r="AU365" s="328"/>
    </row>
    <row r="366" ht="15.75" customHeight="1">
      <c r="A366" s="328"/>
      <c r="B366" s="328"/>
      <c r="C366" s="328"/>
      <c r="D366" s="328"/>
      <c r="E366" s="328"/>
      <c r="F366" s="328"/>
      <c r="G366" s="328"/>
      <c r="H366" s="328"/>
      <c r="I366" s="328"/>
      <c r="J366" s="328"/>
      <c r="K366" s="328"/>
      <c r="L366" s="328"/>
      <c r="M366" s="328"/>
      <c r="N366" s="328"/>
      <c r="O366" s="328"/>
      <c r="P366" s="328"/>
      <c r="Q366" s="328"/>
      <c r="R366" s="328"/>
      <c r="S366" s="328"/>
      <c r="T366" s="328"/>
      <c r="U366" s="328"/>
      <c r="V366" s="328"/>
      <c r="W366" s="328"/>
      <c r="X366" s="328"/>
      <c r="Y366" s="328"/>
      <c r="Z366" s="328"/>
      <c r="AA366" s="328"/>
      <c r="AB366" s="328"/>
      <c r="AC366" s="328"/>
      <c r="AD366" s="328"/>
      <c r="AE366" s="328"/>
      <c r="AF366" s="328"/>
      <c r="AG366" s="328"/>
      <c r="AH366" s="328"/>
      <c r="AI366" s="328"/>
      <c r="AJ366" s="328"/>
      <c r="AK366" s="328"/>
      <c r="AL366" s="328"/>
      <c r="AM366" s="328"/>
      <c r="AN366" s="328"/>
      <c r="AO366" s="328"/>
      <c r="AP366" s="328"/>
      <c r="AQ366" s="328"/>
      <c r="AR366" s="328"/>
      <c r="AS366" s="328"/>
      <c r="AT366" s="328"/>
      <c r="AU366" s="328"/>
    </row>
    <row r="367" ht="15.75" customHeight="1">
      <c r="A367" s="328"/>
      <c r="B367" s="328"/>
      <c r="C367" s="328"/>
      <c r="D367" s="328"/>
      <c r="E367" s="328"/>
      <c r="F367" s="328"/>
      <c r="G367" s="328"/>
      <c r="H367" s="328"/>
      <c r="I367" s="328"/>
      <c r="J367" s="328"/>
      <c r="K367" s="328"/>
      <c r="L367" s="328"/>
      <c r="M367" s="328"/>
      <c r="N367" s="328"/>
      <c r="O367" s="328"/>
      <c r="P367" s="328"/>
      <c r="Q367" s="328"/>
      <c r="R367" s="328"/>
      <c r="S367" s="328"/>
      <c r="T367" s="328"/>
      <c r="U367" s="328"/>
      <c r="V367" s="328"/>
      <c r="W367" s="328"/>
      <c r="X367" s="328"/>
      <c r="Y367" s="328"/>
      <c r="Z367" s="328"/>
      <c r="AA367" s="328"/>
      <c r="AB367" s="328"/>
      <c r="AC367" s="328"/>
      <c r="AD367" s="328"/>
      <c r="AE367" s="328"/>
      <c r="AF367" s="328"/>
      <c r="AG367" s="328"/>
      <c r="AH367" s="328"/>
      <c r="AI367" s="328"/>
      <c r="AJ367" s="328"/>
      <c r="AK367" s="328"/>
      <c r="AL367" s="328"/>
      <c r="AM367" s="328"/>
      <c r="AN367" s="328"/>
      <c r="AO367" s="328"/>
      <c r="AP367" s="328"/>
      <c r="AQ367" s="328"/>
      <c r="AR367" s="328"/>
      <c r="AS367" s="328"/>
      <c r="AT367" s="328"/>
      <c r="AU367" s="328"/>
    </row>
    <row r="368" ht="15.75" customHeight="1">
      <c r="A368" s="328"/>
      <c r="B368" s="328"/>
      <c r="C368" s="328"/>
      <c r="D368" s="328"/>
      <c r="E368" s="328"/>
      <c r="F368" s="328"/>
      <c r="G368" s="328"/>
      <c r="H368" s="328"/>
      <c r="I368" s="328"/>
      <c r="J368" s="328"/>
      <c r="K368" s="328"/>
      <c r="L368" s="328"/>
      <c r="M368" s="328"/>
      <c r="N368" s="328"/>
      <c r="O368" s="328"/>
      <c r="P368" s="328"/>
      <c r="Q368" s="328"/>
      <c r="R368" s="328"/>
      <c r="S368" s="328"/>
      <c r="T368" s="328"/>
      <c r="U368" s="328"/>
      <c r="V368" s="328"/>
      <c r="W368" s="328"/>
      <c r="X368" s="328"/>
      <c r="Y368" s="328"/>
      <c r="Z368" s="328"/>
      <c r="AA368" s="328"/>
      <c r="AB368" s="328"/>
      <c r="AC368" s="328"/>
      <c r="AD368" s="328"/>
      <c r="AE368" s="328"/>
      <c r="AF368" s="328"/>
      <c r="AG368" s="328"/>
      <c r="AH368" s="328"/>
      <c r="AI368" s="328"/>
      <c r="AJ368" s="328"/>
      <c r="AK368" s="328"/>
      <c r="AL368" s="328"/>
      <c r="AM368" s="328"/>
      <c r="AN368" s="328"/>
      <c r="AO368" s="328"/>
      <c r="AP368" s="328"/>
      <c r="AQ368" s="328"/>
      <c r="AR368" s="328"/>
      <c r="AS368" s="328"/>
      <c r="AT368" s="328"/>
      <c r="AU368" s="328"/>
    </row>
    <row r="369" ht="15.75" customHeight="1">
      <c r="A369" s="328"/>
      <c r="B369" s="328"/>
      <c r="C369" s="328"/>
      <c r="D369" s="328"/>
      <c r="E369" s="328"/>
      <c r="F369" s="328"/>
      <c r="G369" s="328"/>
      <c r="H369" s="328"/>
      <c r="I369" s="328"/>
      <c r="J369" s="328"/>
      <c r="K369" s="328"/>
      <c r="L369" s="328"/>
      <c r="M369" s="328"/>
      <c r="N369" s="328"/>
      <c r="O369" s="328"/>
      <c r="P369" s="328"/>
      <c r="Q369" s="328"/>
      <c r="R369" s="328"/>
      <c r="S369" s="328"/>
      <c r="T369" s="328"/>
      <c r="U369" s="328"/>
      <c r="V369" s="328"/>
      <c r="W369" s="328"/>
      <c r="X369" s="328"/>
      <c r="Y369" s="328"/>
      <c r="Z369" s="328"/>
      <c r="AA369" s="328"/>
      <c r="AB369" s="328"/>
      <c r="AC369" s="328"/>
      <c r="AD369" s="328"/>
      <c r="AE369" s="328"/>
      <c r="AF369" s="328"/>
      <c r="AG369" s="328"/>
      <c r="AH369" s="328"/>
      <c r="AI369" s="328"/>
      <c r="AJ369" s="328"/>
      <c r="AK369" s="328"/>
      <c r="AL369" s="328"/>
      <c r="AM369" s="328"/>
      <c r="AN369" s="328"/>
      <c r="AO369" s="328"/>
      <c r="AP369" s="328"/>
      <c r="AQ369" s="328"/>
      <c r="AR369" s="328"/>
      <c r="AS369" s="328"/>
      <c r="AT369" s="328"/>
      <c r="AU369" s="328"/>
    </row>
    <row r="370" ht="15.75" customHeight="1">
      <c r="A370" s="328"/>
      <c r="B370" s="328"/>
      <c r="C370" s="328"/>
      <c r="D370" s="328"/>
      <c r="E370" s="328"/>
      <c r="F370" s="328"/>
      <c r="G370" s="328"/>
      <c r="H370" s="328"/>
      <c r="I370" s="328"/>
      <c r="J370" s="328"/>
      <c r="K370" s="328"/>
      <c r="L370" s="328"/>
      <c r="M370" s="328"/>
      <c r="N370" s="328"/>
      <c r="O370" s="328"/>
      <c r="P370" s="328"/>
      <c r="Q370" s="328"/>
      <c r="R370" s="328"/>
      <c r="S370" s="328"/>
      <c r="T370" s="328"/>
      <c r="U370" s="328"/>
      <c r="V370" s="328"/>
      <c r="W370" s="328"/>
      <c r="X370" s="328"/>
      <c r="Y370" s="328"/>
      <c r="Z370" s="328"/>
      <c r="AA370" s="328"/>
      <c r="AB370" s="328"/>
      <c r="AC370" s="328"/>
      <c r="AD370" s="328"/>
      <c r="AE370" s="328"/>
      <c r="AF370" s="328"/>
      <c r="AG370" s="328"/>
      <c r="AH370" s="328"/>
      <c r="AI370" s="328"/>
      <c r="AJ370" s="328"/>
      <c r="AK370" s="328"/>
      <c r="AL370" s="328"/>
      <c r="AM370" s="328"/>
      <c r="AN370" s="328"/>
      <c r="AO370" s="328"/>
      <c r="AP370" s="328"/>
      <c r="AQ370" s="328"/>
      <c r="AR370" s="328"/>
      <c r="AS370" s="328"/>
      <c r="AT370" s="328"/>
      <c r="AU370" s="328"/>
    </row>
    <row r="371" ht="15.75" customHeight="1">
      <c r="A371" s="328"/>
      <c r="B371" s="328"/>
      <c r="C371" s="328"/>
      <c r="D371" s="328"/>
      <c r="E371" s="328"/>
      <c r="F371" s="328"/>
      <c r="G371" s="328"/>
      <c r="H371" s="328"/>
      <c r="I371" s="328"/>
      <c r="J371" s="328"/>
      <c r="K371" s="328"/>
      <c r="L371" s="328"/>
      <c r="M371" s="328"/>
      <c r="N371" s="328"/>
      <c r="O371" s="328"/>
      <c r="P371" s="328"/>
      <c r="Q371" s="328"/>
      <c r="R371" s="328"/>
      <c r="S371" s="328"/>
      <c r="T371" s="328"/>
      <c r="U371" s="328"/>
      <c r="V371" s="328"/>
      <c r="W371" s="328"/>
      <c r="X371" s="328"/>
      <c r="Y371" s="328"/>
      <c r="Z371" s="328"/>
      <c r="AA371" s="328"/>
      <c r="AB371" s="328"/>
      <c r="AC371" s="328"/>
      <c r="AD371" s="328"/>
      <c r="AE371" s="328"/>
      <c r="AF371" s="328"/>
      <c r="AG371" s="328"/>
      <c r="AH371" s="328"/>
      <c r="AI371" s="328"/>
      <c r="AJ371" s="328"/>
      <c r="AK371" s="328"/>
      <c r="AL371" s="328"/>
      <c r="AM371" s="328"/>
      <c r="AN371" s="328"/>
      <c r="AO371" s="328"/>
      <c r="AP371" s="328"/>
      <c r="AQ371" s="328"/>
      <c r="AR371" s="328"/>
      <c r="AS371" s="328"/>
      <c r="AT371" s="328"/>
      <c r="AU371" s="328"/>
    </row>
    <row r="372" ht="15.75" customHeight="1">
      <c r="A372" s="328"/>
      <c r="B372" s="328"/>
      <c r="C372" s="328"/>
      <c r="D372" s="328"/>
      <c r="E372" s="328"/>
      <c r="F372" s="328"/>
      <c r="G372" s="328"/>
      <c r="H372" s="328"/>
      <c r="I372" s="328"/>
      <c r="J372" s="328"/>
      <c r="K372" s="328"/>
      <c r="L372" s="328"/>
      <c r="M372" s="328"/>
      <c r="N372" s="328"/>
      <c r="O372" s="328"/>
      <c r="P372" s="328"/>
      <c r="Q372" s="328"/>
      <c r="R372" s="328"/>
      <c r="S372" s="328"/>
      <c r="T372" s="328"/>
      <c r="U372" s="328"/>
      <c r="V372" s="328"/>
      <c r="W372" s="328"/>
      <c r="X372" s="328"/>
      <c r="Y372" s="328"/>
      <c r="Z372" s="328"/>
      <c r="AA372" s="328"/>
      <c r="AB372" s="328"/>
      <c r="AC372" s="328"/>
      <c r="AD372" s="328"/>
      <c r="AE372" s="328"/>
      <c r="AF372" s="328"/>
      <c r="AG372" s="328"/>
      <c r="AH372" s="328"/>
      <c r="AI372" s="328"/>
      <c r="AJ372" s="328"/>
      <c r="AK372" s="328"/>
      <c r="AL372" s="328"/>
      <c r="AM372" s="328"/>
      <c r="AN372" s="328"/>
      <c r="AO372" s="328"/>
      <c r="AP372" s="328"/>
      <c r="AQ372" s="328"/>
      <c r="AR372" s="328"/>
      <c r="AS372" s="328"/>
      <c r="AT372" s="328"/>
      <c r="AU372" s="328"/>
    </row>
    <row r="373" ht="15.75" customHeight="1">
      <c r="A373" s="328"/>
      <c r="B373" s="328"/>
      <c r="C373" s="328"/>
      <c r="D373" s="328"/>
      <c r="E373" s="328"/>
      <c r="F373" s="328"/>
      <c r="G373" s="328"/>
      <c r="H373" s="328"/>
      <c r="I373" s="328"/>
      <c r="J373" s="328"/>
      <c r="K373" s="328"/>
      <c r="L373" s="328"/>
      <c r="M373" s="328"/>
      <c r="N373" s="328"/>
      <c r="O373" s="328"/>
      <c r="P373" s="328"/>
      <c r="Q373" s="328"/>
      <c r="R373" s="328"/>
      <c r="S373" s="328"/>
      <c r="T373" s="328"/>
      <c r="U373" s="328"/>
      <c r="V373" s="328"/>
      <c r="W373" s="328"/>
      <c r="X373" s="328"/>
      <c r="Y373" s="328"/>
      <c r="Z373" s="328"/>
      <c r="AA373" s="328"/>
      <c r="AB373" s="328"/>
      <c r="AC373" s="328"/>
      <c r="AD373" s="328"/>
      <c r="AE373" s="328"/>
      <c r="AF373" s="328"/>
      <c r="AG373" s="328"/>
      <c r="AH373" s="328"/>
      <c r="AI373" s="328"/>
      <c r="AJ373" s="328"/>
      <c r="AK373" s="328"/>
      <c r="AL373" s="328"/>
      <c r="AM373" s="328"/>
      <c r="AN373" s="328"/>
      <c r="AO373" s="328"/>
      <c r="AP373" s="328"/>
      <c r="AQ373" s="328"/>
      <c r="AR373" s="328"/>
      <c r="AS373" s="328"/>
      <c r="AT373" s="328"/>
      <c r="AU373" s="328"/>
    </row>
    <row r="374" ht="15.75" customHeight="1">
      <c r="A374" s="328"/>
      <c r="B374" s="328"/>
      <c r="C374" s="328"/>
      <c r="D374" s="328"/>
      <c r="E374" s="328"/>
      <c r="F374" s="328"/>
      <c r="G374" s="328"/>
      <c r="H374" s="328"/>
      <c r="I374" s="328"/>
      <c r="J374" s="328"/>
      <c r="K374" s="328"/>
      <c r="L374" s="328"/>
      <c r="M374" s="328"/>
      <c r="N374" s="328"/>
      <c r="O374" s="328"/>
      <c r="P374" s="328"/>
      <c r="Q374" s="328"/>
      <c r="R374" s="328"/>
      <c r="S374" s="328"/>
      <c r="T374" s="328"/>
      <c r="U374" s="328"/>
      <c r="V374" s="328"/>
      <c r="W374" s="328"/>
      <c r="X374" s="328"/>
      <c r="Y374" s="328"/>
      <c r="Z374" s="328"/>
      <c r="AA374" s="328"/>
      <c r="AB374" s="328"/>
      <c r="AC374" s="328"/>
      <c r="AD374" s="328"/>
      <c r="AE374" s="328"/>
      <c r="AF374" s="328"/>
      <c r="AG374" s="328"/>
      <c r="AH374" s="328"/>
      <c r="AI374" s="328"/>
      <c r="AJ374" s="328"/>
      <c r="AK374" s="328"/>
      <c r="AL374" s="328"/>
      <c r="AM374" s="328"/>
      <c r="AN374" s="328"/>
      <c r="AO374" s="328"/>
      <c r="AP374" s="328"/>
      <c r="AQ374" s="328"/>
      <c r="AR374" s="328"/>
      <c r="AS374" s="328"/>
      <c r="AT374" s="328"/>
      <c r="AU374" s="328"/>
    </row>
    <row r="375" ht="15.75" customHeight="1">
      <c r="A375" s="328"/>
      <c r="B375" s="328"/>
      <c r="C375" s="328"/>
      <c r="D375" s="328"/>
      <c r="E375" s="328"/>
      <c r="F375" s="328"/>
      <c r="G375" s="328"/>
      <c r="H375" s="328"/>
      <c r="I375" s="328"/>
      <c r="J375" s="328"/>
      <c r="K375" s="328"/>
      <c r="L375" s="328"/>
      <c r="M375" s="328"/>
      <c r="N375" s="328"/>
      <c r="O375" s="328"/>
      <c r="P375" s="328"/>
      <c r="Q375" s="328"/>
      <c r="R375" s="328"/>
      <c r="S375" s="328"/>
      <c r="T375" s="328"/>
      <c r="U375" s="328"/>
      <c r="V375" s="328"/>
      <c r="W375" s="328"/>
      <c r="X375" s="328"/>
      <c r="Y375" s="328"/>
      <c r="Z375" s="328"/>
      <c r="AA375" s="328"/>
      <c r="AB375" s="328"/>
      <c r="AC375" s="328"/>
      <c r="AD375" s="328"/>
      <c r="AE375" s="328"/>
      <c r="AF375" s="328"/>
      <c r="AG375" s="328"/>
      <c r="AH375" s="328"/>
      <c r="AI375" s="328"/>
      <c r="AJ375" s="328"/>
      <c r="AK375" s="328"/>
      <c r="AL375" s="328"/>
      <c r="AM375" s="328"/>
      <c r="AN375" s="328"/>
      <c r="AO375" s="328"/>
      <c r="AP375" s="328"/>
      <c r="AQ375" s="328"/>
      <c r="AR375" s="328"/>
      <c r="AS375" s="328"/>
      <c r="AT375" s="328"/>
      <c r="AU375" s="328"/>
    </row>
    <row r="376" ht="15.75" customHeight="1">
      <c r="A376" s="328"/>
      <c r="B376" s="328"/>
      <c r="C376" s="328"/>
      <c r="D376" s="328"/>
      <c r="E376" s="328"/>
      <c r="F376" s="328"/>
      <c r="G376" s="328"/>
      <c r="H376" s="328"/>
      <c r="I376" s="328"/>
      <c r="J376" s="328"/>
      <c r="K376" s="328"/>
      <c r="L376" s="328"/>
      <c r="M376" s="328"/>
      <c r="N376" s="328"/>
      <c r="O376" s="328"/>
      <c r="P376" s="328"/>
      <c r="Q376" s="328"/>
      <c r="R376" s="328"/>
      <c r="S376" s="328"/>
      <c r="T376" s="328"/>
      <c r="U376" s="328"/>
      <c r="V376" s="328"/>
      <c r="W376" s="328"/>
      <c r="X376" s="328"/>
      <c r="Y376" s="328"/>
      <c r="Z376" s="328"/>
      <c r="AA376" s="328"/>
      <c r="AB376" s="328"/>
      <c r="AC376" s="328"/>
      <c r="AD376" s="328"/>
      <c r="AE376" s="328"/>
      <c r="AF376" s="328"/>
      <c r="AG376" s="328"/>
      <c r="AH376" s="328"/>
      <c r="AI376" s="328"/>
      <c r="AJ376" s="328"/>
      <c r="AK376" s="328"/>
      <c r="AL376" s="328"/>
      <c r="AM376" s="328"/>
      <c r="AN376" s="328"/>
      <c r="AO376" s="328"/>
      <c r="AP376" s="328"/>
      <c r="AQ376" s="328"/>
      <c r="AR376" s="328"/>
      <c r="AS376" s="328"/>
      <c r="AT376" s="328"/>
      <c r="AU376" s="328"/>
    </row>
    <row r="377" ht="15.75" customHeight="1">
      <c r="A377" s="328"/>
      <c r="B377" s="328"/>
      <c r="C377" s="328"/>
      <c r="D377" s="328"/>
      <c r="E377" s="328"/>
      <c r="F377" s="328"/>
      <c r="G377" s="328"/>
      <c r="H377" s="328"/>
      <c r="I377" s="328"/>
      <c r="J377" s="328"/>
      <c r="K377" s="328"/>
      <c r="L377" s="328"/>
      <c r="M377" s="328"/>
      <c r="N377" s="328"/>
      <c r="O377" s="328"/>
      <c r="P377" s="328"/>
      <c r="Q377" s="328"/>
      <c r="R377" s="328"/>
      <c r="S377" s="328"/>
      <c r="T377" s="328"/>
      <c r="U377" s="328"/>
      <c r="V377" s="328"/>
      <c r="W377" s="328"/>
      <c r="X377" s="328"/>
      <c r="Y377" s="328"/>
      <c r="Z377" s="328"/>
      <c r="AA377" s="328"/>
      <c r="AB377" s="328"/>
      <c r="AC377" s="328"/>
      <c r="AD377" s="328"/>
      <c r="AE377" s="328"/>
      <c r="AF377" s="328"/>
      <c r="AG377" s="328"/>
      <c r="AH377" s="328"/>
      <c r="AI377" s="328"/>
      <c r="AJ377" s="328"/>
      <c r="AK377" s="328"/>
      <c r="AL377" s="328"/>
      <c r="AM377" s="328"/>
      <c r="AN377" s="328"/>
      <c r="AO377" s="328"/>
      <c r="AP377" s="328"/>
      <c r="AQ377" s="328"/>
      <c r="AR377" s="328"/>
      <c r="AS377" s="328"/>
      <c r="AT377" s="328"/>
      <c r="AU377" s="328"/>
    </row>
    <row r="378" ht="15.75" customHeight="1">
      <c r="A378" s="328"/>
      <c r="B378" s="328"/>
      <c r="C378" s="328"/>
      <c r="D378" s="328"/>
      <c r="E378" s="328"/>
      <c r="F378" s="328"/>
      <c r="G378" s="328"/>
      <c r="H378" s="328"/>
      <c r="I378" s="328"/>
      <c r="J378" s="328"/>
      <c r="K378" s="328"/>
      <c r="L378" s="328"/>
      <c r="M378" s="328"/>
      <c r="N378" s="328"/>
      <c r="O378" s="328"/>
      <c r="P378" s="328"/>
      <c r="Q378" s="328"/>
      <c r="R378" s="328"/>
      <c r="S378" s="328"/>
      <c r="T378" s="328"/>
      <c r="U378" s="328"/>
      <c r="V378" s="328"/>
      <c r="W378" s="328"/>
      <c r="X378" s="328"/>
      <c r="Y378" s="328"/>
      <c r="Z378" s="328"/>
      <c r="AA378" s="328"/>
      <c r="AB378" s="328"/>
      <c r="AC378" s="328"/>
      <c r="AD378" s="328"/>
      <c r="AE378" s="328"/>
      <c r="AF378" s="328"/>
      <c r="AG378" s="328"/>
      <c r="AH378" s="328"/>
      <c r="AI378" s="328"/>
      <c r="AJ378" s="328"/>
      <c r="AK378" s="328"/>
      <c r="AL378" s="328"/>
      <c r="AM378" s="328"/>
      <c r="AN378" s="328"/>
      <c r="AO378" s="328"/>
      <c r="AP378" s="328"/>
      <c r="AQ378" s="328"/>
      <c r="AR378" s="328"/>
      <c r="AS378" s="328"/>
      <c r="AT378" s="328"/>
      <c r="AU378" s="328"/>
    </row>
    <row r="379" ht="15.75" customHeight="1">
      <c r="A379" s="328"/>
      <c r="B379" s="328"/>
      <c r="C379" s="328"/>
      <c r="D379" s="328"/>
      <c r="E379" s="328"/>
      <c r="F379" s="328"/>
      <c r="G379" s="328"/>
      <c r="H379" s="328"/>
      <c r="I379" s="328"/>
      <c r="J379" s="328"/>
      <c r="K379" s="328"/>
      <c r="L379" s="328"/>
      <c r="M379" s="328"/>
      <c r="N379" s="328"/>
      <c r="O379" s="328"/>
      <c r="P379" s="328"/>
      <c r="Q379" s="328"/>
      <c r="R379" s="328"/>
      <c r="S379" s="328"/>
      <c r="T379" s="328"/>
      <c r="U379" s="328"/>
      <c r="V379" s="328"/>
      <c r="W379" s="328"/>
      <c r="X379" s="328"/>
      <c r="Y379" s="328"/>
      <c r="Z379" s="328"/>
      <c r="AA379" s="328"/>
      <c r="AB379" s="328"/>
      <c r="AC379" s="328"/>
      <c r="AD379" s="328"/>
      <c r="AE379" s="328"/>
      <c r="AF379" s="328"/>
      <c r="AG379" s="328"/>
      <c r="AH379" s="328"/>
      <c r="AI379" s="328"/>
      <c r="AJ379" s="328"/>
      <c r="AK379" s="328"/>
      <c r="AL379" s="328"/>
      <c r="AM379" s="328"/>
      <c r="AN379" s="328"/>
      <c r="AO379" s="328"/>
      <c r="AP379" s="328"/>
      <c r="AQ379" s="328"/>
      <c r="AR379" s="328"/>
      <c r="AS379" s="328"/>
      <c r="AT379" s="328"/>
      <c r="AU379" s="328"/>
    </row>
    <row r="380" ht="15.75" customHeight="1">
      <c r="A380" s="328"/>
      <c r="B380" s="328"/>
      <c r="C380" s="328"/>
      <c r="D380" s="328"/>
      <c r="E380" s="328"/>
      <c r="F380" s="328"/>
      <c r="G380" s="328"/>
      <c r="H380" s="328"/>
      <c r="I380" s="328"/>
      <c r="J380" s="328"/>
      <c r="K380" s="328"/>
      <c r="L380" s="328"/>
      <c r="M380" s="328"/>
      <c r="N380" s="328"/>
      <c r="O380" s="328"/>
      <c r="P380" s="328"/>
      <c r="Q380" s="328"/>
      <c r="R380" s="328"/>
      <c r="S380" s="328"/>
      <c r="T380" s="328"/>
      <c r="U380" s="328"/>
      <c r="V380" s="328"/>
      <c r="W380" s="328"/>
      <c r="X380" s="328"/>
      <c r="Y380" s="328"/>
      <c r="Z380" s="328"/>
      <c r="AA380" s="328"/>
      <c r="AB380" s="328"/>
      <c r="AC380" s="328"/>
      <c r="AD380" s="328"/>
      <c r="AE380" s="328"/>
      <c r="AF380" s="328"/>
      <c r="AG380" s="328"/>
      <c r="AH380" s="328"/>
      <c r="AI380" s="328"/>
      <c r="AJ380" s="328"/>
      <c r="AK380" s="328"/>
      <c r="AL380" s="328"/>
      <c r="AM380" s="328"/>
      <c r="AN380" s="328"/>
      <c r="AO380" s="328"/>
      <c r="AP380" s="328"/>
      <c r="AQ380" s="328"/>
      <c r="AR380" s="328"/>
      <c r="AS380" s="328"/>
      <c r="AT380" s="328"/>
      <c r="AU380" s="328"/>
    </row>
    <row r="381" ht="15.75" customHeight="1">
      <c r="A381" s="328"/>
      <c r="B381" s="328"/>
      <c r="C381" s="328"/>
      <c r="D381" s="328"/>
      <c r="E381" s="328"/>
      <c r="F381" s="328"/>
      <c r="G381" s="328"/>
      <c r="H381" s="328"/>
      <c r="I381" s="328"/>
      <c r="J381" s="328"/>
      <c r="K381" s="328"/>
      <c r="L381" s="328"/>
      <c r="M381" s="328"/>
      <c r="N381" s="328"/>
      <c r="O381" s="328"/>
      <c r="P381" s="328"/>
      <c r="Q381" s="328"/>
      <c r="R381" s="328"/>
      <c r="S381" s="328"/>
      <c r="T381" s="328"/>
      <c r="U381" s="328"/>
      <c r="V381" s="328"/>
      <c r="W381" s="328"/>
      <c r="X381" s="328"/>
      <c r="Y381" s="328"/>
      <c r="Z381" s="328"/>
      <c r="AA381" s="328"/>
      <c r="AB381" s="328"/>
      <c r="AC381" s="328"/>
      <c r="AD381" s="328"/>
      <c r="AE381" s="328"/>
      <c r="AF381" s="328"/>
      <c r="AG381" s="328"/>
      <c r="AH381" s="328"/>
      <c r="AI381" s="328"/>
      <c r="AJ381" s="328"/>
      <c r="AK381" s="328"/>
      <c r="AL381" s="328"/>
      <c r="AM381" s="328"/>
      <c r="AN381" s="328"/>
      <c r="AO381" s="328"/>
      <c r="AP381" s="328"/>
      <c r="AQ381" s="328"/>
      <c r="AR381" s="328"/>
      <c r="AS381" s="328"/>
      <c r="AT381" s="328"/>
      <c r="AU381" s="328"/>
    </row>
    <row r="382" ht="15.75" customHeight="1">
      <c r="A382" s="328"/>
      <c r="B382" s="328"/>
      <c r="C382" s="328"/>
      <c r="D382" s="328"/>
      <c r="E382" s="328"/>
      <c r="F382" s="328"/>
      <c r="G382" s="328"/>
      <c r="H382" s="328"/>
      <c r="I382" s="328"/>
      <c r="J382" s="328"/>
      <c r="K382" s="328"/>
      <c r="L382" s="328"/>
      <c r="M382" s="328"/>
      <c r="N382" s="328"/>
      <c r="O382" s="328"/>
      <c r="P382" s="328"/>
      <c r="Q382" s="328"/>
      <c r="R382" s="328"/>
      <c r="S382" s="328"/>
      <c r="T382" s="328"/>
      <c r="U382" s="328"/>
      <c r="V382" s="328"/>
      <c r="W382" s="328"/>
      <c r="X382" s="328"/>
      <c r="Y382" s="328"/>
      <c r="Z382" s="328"/>
      <c r="AA382" s="328"/>
      <c r="AB382" s="328"/>
      <c r="AC382" s="328"/>
      <c r="AD382" s="328"/>
      <c r="AE382" s="328"/>
      <c r="AF382" s="328"/>
      <c r="AG382" s="328"/>
      <c r="AH382" s="328"/>
      <c r="AI382" s="328"/>
      <c r="AJ382" s="328"/>
      <c r="AK382" s="328"/>
      <c r="AL382" s="328"/>
      <c r="AM382" s="328"/>
      <c r="AN382" s="328"/>
      <c r="AO382" s="328"/>
      <c r="AP382" s="328"/>
      <c r="AQ382" s="328"/>
      <c r="AR382" s="328"/>
      <c r="AS382" s="328"/>
      <c r="AT382" s="328"/>
      <c r="AU382" s="328"/>
    </row>
    <row r="383" ht="15.75" customHeight="1">
      <c r="A383" s="328"/>
      <c r="B383" s="328"/>
      <c r="C383" s="328"/>
      <c r="D383" s="328"/>
      <c r="E383" s="328"/>
      <c r="F383" s="328"/>
      <c r="G383" s="328"/>
      <c r="H383" s="328"/>
      <c r="I383" s="328"/>
      <c r="J383" s="328"/>
      <c r="K383" s="328"/>
      <c r="L383" s="328"/>
      <c r="M383" s="328"/>
      <c r="N383" s="328"/>
      <c r="O383" s="328"/>
      <c r="P383" s="328"/>
      <c r="Q383" s="328"/>
      <c r="R383" s="328"/>
      <c r="S383" s="328"/>
      <c r="T383" s="328"/>
      <c r="U383" s="328"/>
      <c r="V383" s="328"/>
      <c r="W383" s="328"/>
      <c r="X383" s="328"/>
      <c r="Y383" s="328"/>
      <c r="Z383" s="328"/>
      <c r="AA383" s="328"/>
      <c r="AB383" s="328"/>
      <c r="AC383" s="328"/>
      <c r="AD383" s="328"/>
      <c r="AE383" s="328"/>
      <c r="AF383" s="328"/>
      <c r="AG383" s="328"/>
      <c r="AH383" s="328"/>
      <c r="AI383" s="328"/>
      <c r="AJ383" s="328"/>
      <c r="AK383" s="328"/>
      <c r="AL383" s="328"/>
      <c r="AM383" s="328"/>
      <c r="AN383" s="328"/>
      <c r="AO383" s="328"/>
      <c r="AP383" s="328"/>
      <c r="AQ383" s="328"/>
      <c r="AR383" s="328"/>
      <c r="AS383" s="328"/>
      <c r="AT383" s="328"/>
      <c r="AU383" s="328"/>
    </row>
    <row r="384" ht="15.75" customHeight="1">
      <c r="A384" s="328"/>
      <c r="B384" s="328"/>
      <c r="C384" s="328"/>
      <c r="D384" s="328"/>
      <c r="E384" s="328"/>
      <c r="F384" s="328"/>
      <c r="G384" s="328"/>
      <c r="H384" s="328"/>
      <c r="I384" s="328"/>
      <c r="J384" s="328"/>
      <c r="K384" s="328"/>
      <c r="L384" s="328"/>
      <c r="M384" s="328"/>
      <c r="N384" s="328"/>
      <c r="O384" s="328"/>
      <c r="P384" s="328"/>
      <c r="Q384" s="328"/>
      <c r="R384" s="328"/>
      <c r="S384" s="328"/>
      <c r="T384" s="328"/>
      <c r="U384" s="328"/>
      <c r="V384" s="328"/>
      <c r="W384" s="328"/>
      <c r="X384" s="328"/>
      <c r="Y384" s="328"/>
      <c r="Z384" s="328"/>
      <c r="AA384" s="328"/>
      <c r="AB384" s="328"/>
      <c r="AC384" s="328"/>
      <c r="AD384" s="328"/>
      <c r="AE384" s="328"/>
      <c r="AF384" s="328"/>
      <c r="AG384" s="328"/>
      <c r="AH384" s="328"/>
      <c r="AI384" s="328"/>
      <c r="AJ384" s="328"/>
      <c r="AK384" s="328"/>
      <c r="AL384" s="328"/>
      <c r="AM384" s="328"/>
      <c r="AN384" s="328"/>
      <c r="AO384" s="328"/>
      <c r="AP384" s="328"/>
      <c r="AQ384" s="328"/>
      <c r="AR384" s="328"/>
      <c r="AS384" s="328"/>
      <c r="AT384" s="328"/>
      <c r="AU384" s="328"/>
    </row>
    <row r="385" ht="15.75" customHeight="1">
      <c r="A385" s="328"/>
      <c r="B385" s="328"/>
      <c r="C385" s="328"/>
      <c r="D385" s="328"/>
      <c r="E385" s="328"/>
      <c r="F385" s="328"/>
      <c r="G385" s="328"/>
      <c r="H385" s="328"/>
      <c r="I385" s="328"/>
      <c r="J385" s="328"/>
      <c r="K385" s="328"/>
      <c r="L385" s="328"/>
      <c r="M385" s="328"/>
      <c r="N385" s="328"/>
      <c r="O385" s="328"/>
      <c r="P385" s="328"/>
      <c r="Q385" s="328"/>
      <c r="R385" s="328"/>
      <c r="S385" s="328"/>
      <c r="T385" s="328"/>
      <c r="U385" s="328"/>
      <c r="V385" s="328"/>
      <c r="W385" s="328"/>
      <c r="X385" s="328"/>
      <c r="Y385" s="328"/>
      <c r="Z385" s="328"/>
      <c r="AA385" s="328"/>
      <c r="AB385" s="328"/>
      <c r="AC385" s="328"/>
      <c r="AD385" s="328"/>
      <c r="AE385" s="328"/>
      <c r="AF385" s="328"/>
      <c r="AG385" s="328"/>
      <c r="AH385" s="328"/>
      <c r="AI385" s="328"/>
      <c r="AJ385" s="328"/>
      <c r="AK385" s="328"/>
      <c r="AL385" s="328"/>
      <c r="AM385" s="328"/>
      <c r="AN385" s="328"/>
      <c r="AO385" s="328"/>
      <c r="AP385" s="328"/>
      <c r="AQ385" s="328"/>
      <c r="AR385" s="328"/>
      <c r="AS385" s="328"/>
      <c r="AT385" s="328"/>
      <c r="AU385" s="328"/>
    </row>
    <row r="386" ht="15.75" customHeight="1">
      <c r="A386" s="328"/>
      <c r="B386" s="328"/>
      <c r="C386" s="328"/>
      <c r="D386" s="328"/>
      <c r="E386" s="328"/>
      <c r="F386" s="328"/>
      <c r="G386" s="328"/>
      <c r="H386" s="328"/>
      <c r="I386" s="328"/>
      <c r="J386" s="328"/>
      <c r="K386" s="328"/>
      <c r="L386" s="328"/>
      <c r="M386" s="328"/>
      <c r="N386" s="328"/>
      <c r="O386" s="328"/>
      <c r="P386" s="328"/>
      <c r="Q386" s="328"/>
      <c r="R386" s="328"/>
      <c r="S386" s="328"/>
      <c r="T386" s="328"/>
      <c r="U386" s="328"/>
      <c r="V386" s="328"/>
      <c r="W386" s="328"/>
      <c r="X386" s="328"/>
      <c r="Y386" s="328"/>
      <c r="Z386" s="328"/>
      <c r="AA386" s="328"/>
      <c r="AB386" s="328"/>
      <c r="AC386" s="328"/>
      <c r="AD386" s="328"/>
      <c r="AE386" s="328"/>
      <c r="AF386" s="328"/>
      <c r="AG386" s="328"/>
      <c r="AH386" s="328"/>
      <c r="AI386" s="328"/>
      <c r="AJ386" s="328"/>
      <c r="AK386" s="328"/>
      <c r="AL386" s="328"/>
      <c r="AM386" s="328"/>
      <c r="AN386" s="328"/>
      <c r="AO386" s="328"/>
      <c r="AP386" s="328"/>
      <c r="AQ386" s="328"/>
      <c r="AR386" s="328"/>
      <c r="AS386" s="328"/>
      <c r="AT386" s="328"/>
      <c r="AU386" s="328"/>
    </row>
    <row r="387" ht="15.75" customHeight="1">
      <c r="A387" s="328"/>
      <c r="B387" s="328"/>
      <c r="C387" s="328"/>
      <c r="D387" s="328"/>
      <c r="E387" s="328"/>
      <c r="F387" s="328"/>
      <c r="G387" s="328"/>
      <c r="H387" s="328"/>
      <c r="I387" s="328"/>
      <c r="J387" s="328"/>
      <c r="K387" s="328"/>
      <c r="L387" s="328"/>
      <c r="M387" s="328"/>
      <c r="N387" s="328"/>
      <c r="O387" s="328"/>
      <c r="P387" s="328"/>
      <c r="Q387" s="328"/>
      <c r="R387" s="328"/>
      <c r="S387" s="328"/>
      <c r="T387" s="328"/>
      <c r="U387" s="328"/>
      <c r="V387" s="328"/>
      <c r="W387" s="328"/>
      <c r="X387" s="328"/>
      <c r="Y387" s="328"/>
      <c r="Z387" s="328"/>
      <c r="AA387" s="328"/>
      <c r="AB387" s="328"/>
      <c r="AC387" s="328"/>
      <c r="AD387" s="328"/>
      <c r="AE387" s="328"/>
      <c r="AF387" s="328"/>
      <c r="AG387" s="328"/>
      <c r="AH387" s="328"/>
      <c r="AI387" s="328"/>
      <c r="AJ387" s="328"/>
      <c r="AK387" s="328"/>
      <c r="AL387" s="328"/>
      <c r="AM387" s="328"/>
      <c r="AN387" s="328"/>
      <c r="AO387" s="328"/>
      <c r="AP387" s="328"/>
      <c r="AQ387" s="328"/>
      <c r="AR387" s="328"/>
      <c r="AS387" s="328"/>
      <c r="AT387" s="328"/>
      <c r="AU387" s="328"/>
    </row>
    <row r="388" ht="15.75" customHeight="1">
      <c r="A388" s="328"/>
      <c r="B388" s="328"/>
      <c r="C388" s="328"/>
      <c r="D388" s="328"/>
      <c r="E388" s="328"/>
      <c r="F388" s="328"/>
      <c r="G388" s="328"/>
      <c r="H388" s="328"/>
      <c r="I388" s="328"/>
      <c r="J388" s="328"/>
      <c r="K388" s="328"/>
      <c r="L388" s="328"/>
      <c r="M388" s="328"/>
      <c r="N388" s="328"/>
      <c r="O388" s="328"/>
      <c r="P388" s="328"/>
      <c r="Q388" s="328"/>
      <c r="R388" s="328"/>
      <c r="S388" s="328"/>
      <c r="T388" s="328"/>
      <c r="U388" s="328"/>
      <c r="V388" s="328"/>
      <c r="W388" s="328"/>
      <c r="X388" s="328"/>
      <c r="Y388" s="328"/>
      <c r="Z388" s="328"/>
      <c r="AA388" s="328"/>
      <c r="AB388" s="328"/>
      <c r="AC388" s="328"/>
      <c r="AD388" s="328"/>
      <c r="AE388" s="328"/>
      <c r="AF388" s="328"/>
      <c r="AG388" s="328"/>
      <c r="AH388" s="328"/>
      <c r="AI388" s="328"/>
      <c r="AJ388" s="328"/>
      <c r="AK388" s="328"/>
      <c r="AL388" s="328"/>
      <c r="AM388" s="328"/>
      <c r="AN388" s="328"/>
      <c r="AO388" s="328"/>
      <c r="AP388" s="328"/>
      <c r="AQ388" s="328"/>
      <c r="AR388" s="328"/>
      <c r="AS388" s="328"/>
      <c r="AT388" s="328"/>
      <c r="AU388" s="328"/>
    </row>
    <row r="389" ht="15.75" customHeight="1">
      <c r="A389" s="328"/>
      <c r="B389" s="328"/>
      <c r="C389" s="328"/>
      <c r="D389" s="328"/>
      <c r="E389" s="328"/>
      <c r="F389" s="328"/>
      <c r="G389" s="328"/>
      <c r="H389" s="328"/>
      <c r="I389" s="328"/>
      <c r="J389" s="328"/>
      <c r="K389" s="328"/>
      <c r="L389" s="328"/>
      <c r="M389" s="328"/>
      <c r="N389" s="328"/>
      <c r="O389" s="328"/>
      <c r="P389" s="328"/>
      <c r="Q389" s="328"/>
      <c r="R389" s="328"/>
      <c r="S389" s="328"/>
      <c r="T389" s="328"/>
      <c r="U389" s="328"/>
      <c r="V389" s="328"/>
      <c r="W389" s="328"/>
      <c r="X389" s="328"/>
      <c r="Y389" s="328"/>
      <c r="Z389" s="328"/>
      <c r="AA389" s="328"/>
      <c r="AB389" s="328"/>
      <c r="AC389" s="328"/>
      <c r="AD389" s="328"/>
      <c r="AE389" s="328"/>
      <c r="AF389" s="328"/>
      <c r="AG389" s="328"/>
      <c r="AH389" s="328"/>
      <c r="AI389" s="328"/>
      <c r="AJ389" s="328"/>
      <c r="AK389" s="328"/>
      <c r="AL389" s="328"/>
      <c r="AM389" s="328"/>
      <c r="AN389" s="328"/>
      <c r="AO389" s="328"/>
      <c r="AP389" s="328"/>
      <c r="AQ389" s="328"/>
      <c r="AR389" s="328"/>
      <c r="AS389" s="328"/>
      <c r="AT389" s="328"/>
      <c r="AU389" s="328"/>
    </row>
    <row r="390" ht="15.75" customHeight="1">
      <c r="A390" s="328"/>
      <c r="B390" s="328"/>
      <c r="C390" s="328"/>
      <c r="D390" s="328"/>
      <c r="E390" s="328"/>
      <c r="F390" s="328"/>
      <c r="G390" s="328"/>
      <c r="H390" s="328"/>
      <c r="I390" s="328"/>
      <c r="J390" s="328"/>
      <c r="K390" s="328"/>
      <c r="L390" s="328"/>
      <c r="M390" s="328"/>
      <c r="N390" s="328"/>
      <c r="O390" s="328"/>
      <c r="P390" s="328"/>
      <c r="Q390" s="328"/>
      <c r="R390" s="328"/>
      <c r="S390" s="328"/>
      <c r="T390" s="328"/>
      <c r="U390" s="328"/>
      <c r="V390" s="328"/>
      <c r="W390" s="328"/>
      <c r="X390" s="328"/>
      <c r="Y390" s="328"/>
      <c r="Z390" s="328"/>
      <c r="AA390" s="328"/>
      <c r="AB390" s="328"/>
      <c r="AC390" s="328"/>
      <c r="AD390" s="328"/>
      <c r="AE390" s="328"/>
      <c r="AF390" s="328"/>
      <c r="AG390" s="328"/>
      <c r="AH390" s="328"/>
      <c r="AI390" s="328"/>
      <c r="AJ390" s="328"/>
      <c r="AK390" s="328"/>
      <c r="AL390" s="328"/>
      <c r="AM390" s="328"/>
      <c r="AN390" s="328"/>
      <c r="AO390" s="328"/>
      <c r="AP390" s="328"/>
      <c r="AQ390" s="328"/>
      <c r="AR390" s="328"/>
      <c r="AS390" s="328"/>
      <c r="AT390" s="328"/>
      <c r="AU390" s="328"/>
    </row>
    <row r="391" ht="15.75" customHeight="1">
      <c r="A391" s="328"/>
      <c r="B391" s="328"/>
      <c r="C391" s="328"/>
      <c r="D391" s="328"/>
      <c r="E391" s="328"/>
      <c r="F391" s="328"/>
      <c r="G391" s="328"/>
      <c r="H391" s="328"/>
      <c r="I391" s="328"/>
      <c r="J391" s="328"/>
      <c r="K391" s="328"/>
      <c r="L391" s="328"/>
      <c r="M391" s="328"/>
      <c r="N391" s="328"/>
      <c r="O391" s="328"/>
      <c r="P391" s="328"/>
      <c r="Q391" s="328"/>
      <c r="R391" s="328"/>
      <c r="S391" s="328"/>
      <c r="T391" s="328"/>
      <c r="U391" s="328"/>
      <c r="V391" s="328"/>
      <c r="W391" s="328"/>
      <c r="X391" s="328"/>
      <c r="Y391" s="328"/>
      <c r="Z391" s="328"/>
      <c r="AA391" s="328"/>
      <c r="AB391" s="328"/>
      <c r="AC391" s="328"/>
      <c r="AD391" s="328"/>
      <c r="AE391" s="328"/>
      <c r="AF391" s="328"/>
      <c r="AG391" s="328"/>
      <c r="AH391" s="328"/>
      <c r="AI391" s="328"/>
      <c r="AJ391" s="328"/>
      <c r="AK391" s="328"/>
      <c r="AL391" s="328"/>
      <c r="AM391" s="328"/>
      <c r="AN391" s="328"/>
      <c r="AO391" s="328"/>
      <c r="AP391" s="328"/>
      <c r="AQ391" s="328"/>
      <c r="AR391" s="328"/>
      <c r="AS391" s="328"/>
      <c r="AT391" s="328"/>
      <c r="AU391" s="328"/>
    </row>
    <row r="392" ht="15.75" customHeight="1">
      <c r="A392" s="328"/>
      <c r="B392" s="328"/>
      <c r="C392" s="328"/>
      <c r="D392" s="328"/>
      <c r="E392" s="328"/>
      <c r="F392" s="328"/>
      <c r="G392" s="328"/>
      <c r="H392" s="328"/>
      <c r="I392" s="328"/>
      <c r="J392" s="328"/>
      <c r="K392" s="328"/>
      <c r="L392" s="328"/>
      <c r="M392" s="328"/>
      <c r="N392" s="328"/>
      <c r="O392" s="328"/>
      <c r="P392" s="328"/>
      <c r="Q392" s="328"/>
      <c r="R392" s="328"/>
      <c r="S392" s="328"/>
      <c r="T392" s="328"/>
      <c r="U392" s="328"/>
      <c r="V392" s="328"/>
      <c r="W392" s="328"/>
      <c r="X392" s="328"/>
      <c r="Y392" s="328"/>
      <c r="Z392" s="328"/>
      <c r="AA392" s="328"/>
      <c r="AB392" s="328"/>
      <c r="AC392" s="328"/>
      <c r="AD392" s="328"/>
      <c r="AE392" s="328"/>
      <c r="AF392" s="328"/>
      <c r="AG392" s="328"/>
      <c r="AH392" s="328"/>
      <c r="AI392" s="328"/>
      <c r="AJ392" s="328"/>
      <c r="AK392" s="328"/>
      <c r="AL392" s="328"/>
      <c r="AM392" s="328"/>
      <c r="AN392" s="328"/>
      <c r="AO392" s="328"/>
      <c r="AP392" s="328"/>
      <c r="AQ392" s="328"/>
      <c r="AR392" s="328"/>
      <c r="AS392" s="328"/>
      <c r="AT392" s="328"/>
      <c r="AU392" s="328"/>
    </row>
    <row r="393" ht="15.75" customHeight="1">
      <c r="A393" s="328"/>
      <c r="B393" s="328"/>
      <c r="C393" s="328"/>
      <c r="D393" s="328"/>
      <c r="E393" s="328"/>
      <c r="F393" s="328"/>
      <c r="G393" s="328"/>
      <c r="H393" s="328"/>
      <c r="I393" s="328"/>
      <c r="J393" s="328"/>
      <c r="K393" s="328"/>
      <c r="L393" s="328"/>
      <c r="M393" s="328"/>
      <c r="N393" s="328"/>
      <c r="O393" s="328"/>
      <c r="P393" s="328"/>
      <c r="Q393" s="328"/>
      <c r="R393" s="328"/>
      <c r="S393" s="328"/>
      <c r="T393" s="328"/>
      <c r="U393" s="328"/>
      <c r="V393" s="328"/>
      <c r="W393" s="328"/>
      <c r="X393" s="328"/>
      <c r="Y393" s="328"/>
      <c r="Z393" s="328"/>
      <c r="AA393" s="328"/>
      <c r="AB393" s="328"/>
      <c r="AC393" s="328"/>
      <c r="AD393" s="328"/>
      <c r="AE393" s="328"/>
      <c r="AF393" s="328"/>
      <c r="AG393" s="328"/>
      <c r="AH393" s="328"/>
      <c r="AI393" s="328"/>
      <c r="AJ393" s="328"/>
      <c r="AK393" s="328"/>
      <c r="AL393" s="328"/>
      <c r="AM393" s="328"/>
      <c r="AN393" s="328"/>
      <c r="AO393" s="328"/>
      <c r="AP393" s="328"/>
      <c r="AQ393" s="328"/>
      <c r="AR393" s="328"/>
      <c r="AS393" s="328"/>
      <c r="AT393" s="328"/>
      <c r="AU393" s="328"/>
    </row>
    <row r="394" ht="15.75" customHeight="1">
      <c r="A394" s="328"/>
      <c r="B394" s="328"/>
      <c r="C394" s="328"/>
      <c r="D394" s="328"/>
      <c r="E394" s="328"/>
      <c r="F394" s="328"/>
      <c r="G394" s="328"/>
      <c r="H394" s="328"/>
      <c r="I394" s="328"/>
      <c r="J394" s="328"/>
      <c r="K394" s="328"/>
      <c r="L394" s="328"/>
      <c r="M394" s="328"/>
      <c r="N394" s="328"/>
      <c r="O394" s="328"/>
      <c r="P394" s="328"/>
      <c r="Q394" s="328"/>
      <c r="R394" s="328"/>
      <c r="S394" s="328"/>
      <c r="T394" s="328"/>
      <c r="U394" s="328"/>
      <c r="V394" s="328"/>
      <c r="W394" s="328"/>
      <c r="X394" s="328"/>
      <c r="Y394" s="328"/>
      <c r="Z394" s="328"/>
      <c r="AA394" s="328"/>
      <c r="AB394" s="328"/>
      <c r="AC394" s="328"/>
      <c r="AD394" s="328"/>
      <c r="AE394" s="328"/>
      <c r="AF394" s="328"/>
      <c r="AG394" s="328"/>
      <c r="AH394" s="328"/>
      <c r="AI394" s="328"/>
      <c r="AJ394" s="328"/>
      <c r="AK394" s="328"/>
      <c r="AL394" s="328"/>
      <c r="AM394" s="328"/>
      <c r="AN394" s="328"/>
      <c r="AO394" s="328"/>
      <c r="AP394" s="328"/>
      <c r="AQ394" s="328"/>
      <c r="AR394" s="328"/>
      <c r="AS394" s="328"/>
      <c r="AT394" s="328"/>
      <c r="AU394" s="328"/>
    </row>
    <row r="395" ht="15.75" customHeight="1">
      <c r="A395" s="328"/>
      <c r="B395" s="328"/>
      <c r="C395" s="328"/>
      <c r="D395" s="328"/>
      <c r="E395" s="328"/>
      <c r="F395" s="328"/>
      <c r="G395" s="328"/>
      <c r="H395" s="328"/>
      <c r="I395" s="328"/>
      <c r="J395" s="328"/>
      <c r="K395" s="328"/>
      <c r="L395" s="328"/>
      <c r="M395" s="328"/>
      <c r="N395" s="328"/>
      <c r="O395" s="328"/>
      <c r="P395" s="328"/>
      <c r="Q395" s="328"/>
      <c r="R395" s="328"/>
      <c r="S395" s="328"/>
      <c r="T395" s="328"/>
      <c r="U395" s="328"/>
      <c r="V395" s="328"/>
      <c r="W395" s="328"/>
      <c r="X395" s="328"/>
      <c r="Y395" s="328"/>
      <c r="Z395" s="328"/>
      <c r="AA395" s="328"/>
      <c r="AB395" s="328"/>
      <c r="AC395" s="328"/>
      <c r="AD395" s="328"/>
      <c r="AE395" s="328"/>
      <c r="AF395" s="328"/>
      <c r="AG395" s="328"/>
      <c r="AH395" s="328"/>
      <c r="AI395" s="328"/>
      <c r="AJ395" s="328"/>
      <c r="AK395" s="328"/>
      <c r="AL395" s="328"/>
      <c r="AM395" s="328"/>
      <c r="AN395" s="328"/>
      <c r="AO395" s="328"/>
      <c r="AP395" s="328"/>
      <c r="AQ395" s="328"/>
      <c r="AR395" s="328"/>
      <c r="AS395" s="328"/>
      <c r="AT395" s="328"/>
      <c r="AU395" s="328"/>
    </row>
    <row r="396" ht="15.75" customHeight="1">
      <c r="A396" s="328"/>
      <c r="B396" s="328"/>
      <c r="C396" s="328"/>
      <c r="D396" s="328"/>
      <c r="E396" s="328"/>
      <c r="F396" s="328"/>
      <c r="G396" s="328"/>
      <c r="H396" s="328"/>
      <c r="I396" s="328"/>
      <c r="J396" s="328"/>
      <c r="K396" s="328"/>
      <c r="L396" s="328"/>
      <c r="M396" s="328"/>
      <c r="N396" s="328"/>
      <c r="O396" s="328"/>
      <c r="P396" s="328"/>
      <c r="Q396" s="328"/>
      <c r="R396" s="328"/>
      <c r="S396" s="328"/>
      <c r="T396" s="328"/>
      <c r="U396" s="328"/>
      <c r="V396" s="328"/>
      <c r="W396" s="328"/>
      <c r="X396" s="328"/>
      <c r="Y396" s="328"/>
      <c r="Z396" s="328"/>
      <c r="AA396" s="328"/>
      <c r="AB396" s="328"/>
      <c r="AC396" s="328"/>
      <c r="AD396" s="328"/>
      <c r="AE396" s="328"/>
      <c r="AF396" s="328"/>
      <c r="AG396" s="328"/>
      <c r="AH396" s="328"/>
      <c r="AI396" s="328"/>
      <c r="AJ396" s="328"/>
      <c r="AK396" s="328"/>
      <c r="AL396" s="328"/>
      <c r="AM396" s="328"/>
      <c r="AN396" s="328"/>
      <c r="AO396" s="328"/>
      <c r="AP396" s="328"/>
      <c r="AQ396" s="328"/>
      <c r="AR396" s="328"/>
      <c r="AS396" s="328"/>
      <c r="AT396" s="328"/>
      <c r="AU396" s="328"/>
    </row>
    <row r="397" ht="15.75" customHeight="1">
      <c r="A397" s="328"/>
      <c r="B397" s="328"/>
      <c r="C397" s="328"/>
      <c r="D397" s="328"/>
      <c r="E397" s="328"/>
      <c r="F397" s="328"/>
      <c r="G397" s="328"/>
      <c r="H397" s="328"/>
      <c r="I397" s="328"/>
      <c r="J397" s="328"/>
      <c r="K397" s="328"/>
      <c r="L397" s="328"/>
      <c r="M397" s="328"/>
      <c r="N397" s="328"/>
      <c r="O397" s="328"/>
      <c r="P397" s="328"/>
      <c r="Q397" s="328"/>
      <c r="R397" s="328"/>
      <c r="S397" s="328"/>
      <c r="T397" s="328"/>
      <c r="U397" s="328"/>
      <c r="V397" s="328"/>
      <c r="W397" s="328"/>
      <c r="X397" s="328"/>
      <c r="Y397" s="328"/>
      <c r="Z397" s="328"/>
      <c r="AA397" s="328"/>
      <c r="AB397" s="328"/>
      <c r="AC397" s="328"/>
      <c r="AD397" s="328"/>
      <c r="AE397" s="328"/>
      <c r="AF397" s="328"/>
      <c r="AG397" s="328"/>
      <c r="AH397" s="328"/>
      <c r="AI397" s="328"/>
      <c r="AJ397" s="328"/>
      <c r="AK397" s="328"/>
      <c r="AL397" s="328"/>
      <c r="AM397" s="328"/>
      <c r="AN397" s="328"/>
      <c r="AO397" s="328"/>
      <c r="AP397" s="328"/>
      <c r="AQ397" s="328"/>
      <c r="AR397" s="328"/>
      <c r="AS397" s="328"/>
      <c r="AT397" s="328"/>
      <c r="AU397" s="328"/>
    </row>
    <row r="398" ht="15.75" customHeight="1">
      <c r="A398" s="328"/>
      <c r="B398" s="328"/>
      <c r="C398" s="328"/>
      <c r="D398" s="328"/>
      <c r="E398" s="328"/>
      <c r="F398" s="328"/>
      <c r="G398" s="328"/>
      <c r="H398" s="328"/>
      <c r="I398" s="328"/>
      <c r="J398" s="328"/>
      <c r="K398" s="328"/>
      <c r="L398" s="328"/>
      <c r="M398" s="328"/>
      <c r="N398" s="328"/>
      <c r="O398" s="328"/>
      <c r="P398" s="328"/>
      <c r="Q398" s="328"/>
      <c r="R398" s="328"/>
      <c r="S398" s="328"/>
      <c r="T398" s="328"/>
      <c r="U398" s="328"/>
      <c r="V398" s="328"/>
      <c r="W398" s="328"/>
      <c r="X398" s="328"/>
      <c r="Y398" s="328"/>
      <c r="Z398" s="328"/>
      <c r="AA398" s="328"/>
      <c r="AB398" s="328"/>
      <c r="AC398" s="328"/>
      <c r="AD398" s="328"/>
      <c r="AE398" s="328"/>
      <c r="AF398" s="328"/>
      <c r="AG398" s="328"/>
      <c r="AH398" s="328"/>
      <c r="AI398" s="328"/>
      <c r="AJ398" s="328"/>
      <c r="AK398" s="328"/>
      <c r="AL398" s="328"/>
      <c r="AM398" s="328"/>
      <c r="AN398" s="328"/>
      <c r="AO398" s="328"/>
      <c r="AP398" s="328"/>
      <c r="AQ398" s="328"/>
      <c r="AR398" s="328"/>
      <c r="AS398" s="328"/>
      <c r="AT398" s="328"/>
      <c r="AU398" s="328"/>
    </row>
    <row r="399" ht="15.75" customHeight="1">
      <c r="A399" s="328"/>
      <c r="B399" s="328"/>
      <c r="C399" s="328"/>
      <c r="D399" s="328"/>
      <c r="E399" s="328"/>
      <c r="F399" s="328"/>
      <c r="G399" s="328"/>
      <c r="H399" s="328"/>
      <c r="I399" s="328"/>
      <c r="J399" s="328"/>
      <c r="K399" s="328"/>
      <c r="L399" s="328"/>
      <c r="M399" s="328"/>
      <c r="N399" s="328"/>
      <c r="O399" s="328"/>
      <c r="P399" s="328"/>
      <c r="Q399" s="328"/>
      <c r="R399" s="328"/>
      <c r="S399" s="328"/>
      <c r="T399" s="328"/>
      <c r="U399" s="328"/>
      <c r="V399" s="328"/>
      <c r="W399" s="328"/>
      <c r="X399" s="328"/>
      <c r="Y399" s="328"/>
      <c r="Z399" s="328"/>
      <c r="AA399" s="328"/>
      <c r="AB399" s="328"/>
      <c r="AC399" s="328"/>
      <c r="AD399" s="328"/>
      <c r="AE399" s="328"/>
      <c r="AF399" s="328"/>
      <c r="AG399" s="328"/>
      <c r="AH399" s="328"/>
      <c r="AI399" s="328"/>
      <c r="AJ399" s="328"/>
      <c r="AK399" s="328"/>
      <c r="AL399" s="328"/>
      <c r="AM399" s="328"/>
      <c r="AN399" s="328"/>
      <c r="AO399" s="328"/>
      <c r="AP399" s="328"/>
      <c r="AQ399" s="328"/>
      <c r="AR399" s="328"/>
      <c r="AS399" s="328"/>
      <c r="AT399" s="328"/>
      <c r="AU399" s="328"/>
    </row>
    <row r="400" ht="15.75" customHeight="1">
      <c r="A400" s="328"/>
      <c r="B400" s="328"/>
      <c r="C400" s="328"/>
      <c r="D400" s="328"/>
      <c r="E400" s="328"/>
      <c r="F400" s="328"/>
      <c r="G400" s="328"/>
      <c r="H400" s="328"/>
      <c r="I400" s="328"/>
      <c r="J400" s="328"/>
      <c r="K400" s="328"/>
      <c r="L400" s="328"/>
      <c r="M400" s="328"/>
      <c r="N400" s="328"/>
      <c r="O400" s="328"/>
      <c r="P400" s="328"/>
      <c r="Q400" s="328"/>
      <c r="R400" s="328"/>
      <c r="S400" s="328"/>
      <c r="T400" s="328"/>
      <c r="U400" s="328"/>
      <c r="V400" s="328"/>
      <c r="W400" s="328"/>
      <c r="X400" s="328"/>
      <c r="Y400" s="328"/>
      <c r="Z400" s="328"/>
      <c r="AA400" s="328"/>
      <c r="AB400" s="328"/>
      <c r="AC400" s="328"/>
      <c r="AD400" s="328"/>
      <c r="AE400" s="328"/>
      <c r="AF400" s="328"/>
      <c r="AG400" s="328"/>
      <c r="AH400" s="328"/>
      <c r="AI400" s="328"/>
      <c r="AJ400" s="328"/>
      <c r="AK400" s="328"/>
      <c r="AL400" s="328"/>
      <c r="AM400" s="328"/>
      <c r="AN400" s="328"/>
      <c r="AO400" s="328"/>
      <c r="AP400" s="328"/>
      <c r="AQ400" s="328"/>
      <c r="AR400" s="328"/>
      <c r="AS400" s="328"/>
      <c r="AT400" s="328"/>
      <c r="AU400" s="328"/>
    </row>
    <row r="401" ht="15.75" customHeight="1">
      <c r="A401" s="328"/>
      <c r="B401" s="328"/>
      <c r="C401" s="328"/>
      <c r="D401" s="328"/>
      <c r="E401" s="328"/>
      <c r="F401" s="328"/>
      <c r="G401" s="328"/>
      <c r="H401" s="328"/>
      <c r="I401" s="328"/>
      <c r="J401" s="328"/>
      <c r="K401" s="328"/>
      <c r="L401" s="328"/>
      <c r="M401" s="328"/>
      <c r="N401" s="328"/>
      <c r="O401" s="328"/>
      <c r="P401" s="328"/>
      <c r="Q401" s="328"/>
      <c r="R401" s="328"/>
      <c r="S401" s="328"/>
      <c r="T401" s="328"/>
      <c r="U401" s="328"/>
      <c r="V401" s="328"/>
      <c r="W401" s="328"/>
      <c r="X401" s="328"/>
      <c r="Y401" s="328"/>
      <c r="Z401" s="328"/>
      <c r="AA401" s="328"/>
      <c r="AB401" s="328"/>
      <c r="AC401" s="328"/>
      <c r="AD401" s="328"/>
      <c r="AE401" s="328"/>
      <c r="AF401" s="328"/>
      <c r="AG401" s="328"/>
      <c r="AH401" s="328"/>
      <c r="AI401" s="328"/>
      <c r="AJ401" s="328"/>
      <c r="AK401" s="328"/>
      <c r="AL401" s="328"/>
      <c r="AM401" s="328"/>
      <c r="AN401" s="328"/>
      <c r="AO401" s="328"/>
      <c r="AP401" s="328"/>
      <c r="AQ401" s="328"/>
      <c r="AR401" s="328"/>
      <c r="AS401" s="328"/>
      <c r="AT401" s="328"/>
      <c r="AU401" s="328"/>
    </row>
    <row r="402" ht="15.75" customHeight="1">
      <c r="A402" s="328"/>
      <c r="B402" s="328"/>
      <c r="C402" s="328"/>
      <c r="D402" s="328"/>
      <c r="E402" s="328"/>
      <c r="F402" s="328"/>
      <c r="G402" s="328"/>
      <c r="H402" s="328"/>
      <c r="I402" s="328"/>
      <c r="J402" s="328"/>
      <c r="K402" s="328"/>
      <c r="L402" s="328"/>
      <c r="M402" s="328"/>
      <c r="N402" s="328"/>
      <c r="O402" s="328"/>
      <c r="P402" s="328"/>
      <c r="Q402" s="328"/>
      <c r="R402" s="328"/>
      <c r="S402" s="328"/>
      <c r="T402" s="328"/>
      <c r="U402" s="328"/>
      <c r="V402" s="328"/>
      <c r="W402" s="328"/>
      <c r="X402" s="328"/>
      <c r="Y402" s="328"/>
      <c r="Z402" s="328"/>
      <c r="AA402" s="328"/>
      <c r="AB402" s="328"/>
      <c r="AC402" s="328"/>
      <c r="AD402" s="328"/>
      <c r="AE402" s="328"/>
      <c r="AF402" s="328"/>
      <c r="AG402" s="328"/>
      <c r="AH402" s="328"/>
      <c r="AI402" s="328"/>
      <c r="AJ402" s="328"/>
      <c r="AK402" s="328"/>
      <c r="AL402" s="328"/>
      <c r="AM402" s="328"/>
      <c r="AN402" s="328"/>
      <c r="AO402" s="328"/>
      <c r="AP402" s="328"/>
      <c r="AQ402" s="328"/>
      <c r="AR402" s="328"/>
      <c r="AS402" s="328"/>
      <c r="AT402" s="328"/>
      <c r="AU402" s="328"/>
    </row>
    <row r="403" ht="15.75" customHeight="1">
      <c r="A403" s="328"/>
      <c r="B403" s="328"/>
      <c r="C403" s="328"/>
      <c r="D403" s="328"/>
      <c r="E403" s="328"/>
      <c r="F403" s="328"/>
      <c r="G403" s="328"/>
      <c r="H403" s="328"/>
      <c r="I403" s="328"/>
      <c r="J403" s="328"/>
      <c r="K403" s="328"/>
      <c r="L403" s="328"/>
      <c r="M403" s="328"/>
      <c r="N403" s="328"/>
      <c r="O403" s="328"/>
      <c r="P403" s="328"/>
      <c r="Q403" s="328"/>
      <c r="R403" s="328"/>
      <c r="S403" s="328"/>
      <c r="T403" s="328"/>
      <c r="U403" s="328"/>
      <c r="V403" s="328"/>
      <c r="W403" s="328"/>
      <c r="X403" s="328"/>
      <c r="Y403" s="328"/>
      <c r="Z403" s="328"/>
      <c r="AA403" s="328"/>
      <c r="AB403" s="328"/>
      <c r="AC403" s="328"/>
      <c r="AD403" s="328"/>
      <c r="AE403" s="328"/>
      <c r="AF403" s="328"/>
      <c r="AG403" s="328"/>
      <c r="AH403" s="328"/>
      <c r="AI403" s="328"/>
      <c r="AJ403" s="328"/>
      <c r="AK403" s="328"/>
      <c r="AL403" s="328"/>
      <c r="AM403" s="328"/>
      <c r="AN403" s="328"/>
      <c r="AO403" s="328"/>
      <c r="AP403" s="328"/>
      <c r="AQ403" s="328"/>
      <c r="AR403" s="328"/>
      <c r="AS403" s="328"/>
      <c r="AT403" s="328"/>
      <c r="AU403" s="328"/>
    </row>
    <row r="404" ht="15.75" customHeight="1">
      <c r="A404" s="328"/>
      <c r="B404" s="328"/>
      <c r="C404" s="328"/>
      <c r="D404" s="328"/>
      <c r="E404" s="328"/>
      <c r="F404" s="328"/>
      <c r="G404" s="328"/>
      <c r="H404" s="328"/>
      <c r="I404" s="328"/>
      <c r="J404" s="328"/>
      <c r="K404" s="328"/>
      <c r="L404" s="328"/>
      <c r="M404" s="328"/>
      <c r="N404" s="328"/>
      <c r="O404" s="328"/>
      <c r="P404" s="328"/>
      <c r="Q404" s="328"/>
      <c r="R404" s="328"/>
      <c r="S404" s="328"/>
      <c r="T404" s="328"/>
      <c r="U404" s="328"/>
      <c r="V404" s="328"/>
      <c r="W404" s="328"/>
      <c r="X404" s="328"/>
      <c r="Y404" s="328"/>
      <c r="Z404" s="328"/>
      <c r="AA404" s="328"/>
      <c r="AB404" s="328"/>
      <c r="AC404" s="328"/>
      <c r="AD404" s="328"/>
      <c r="AE404" s="328"/>
      <c r="AF404" s="328"/>
      <c r="AG404" s="328"/>
      <c r="AH404" s="328"/>
      <c r="AI404" s="328"/>
      <c r="AJ404" s="328"/>
      <c r="AK404" s="328"/>
      <c r="AL404" s="328"/>
      <c r="AM404" s="328"/>
      <c r="AN404" s="328"/>
      <c r="AO404" s="328"/>
      <c r="AP404" s="328"/>
      <c r="AQ404" s="328"/>
      <c r="AR404" s="328"/>
      <c r="AS404" s="328"/>
      <c r="AT404" s="328"/>
      <c r="AU404" s="328"/>
    </row>
    <row r="405" ht="15.75" customHeight="1">
      <c r="A405" s="328"/>
      <c r="B405" s="328"/>
      <c r="C405" s="328"/>
      <c r="D405" s="328"/>
      <c r="E405" s="328"/>
      <c r="F405" s="328"/>
      <c r="G405" s="328"/>
      <c r="H405" s="328"/>
      <c r="I405" s="328"/>
      <c r="J405" s="328"/>
      <c r="K405" s="328"/>
      <c r="L405" s="328"/>
      <c r="M405" s="328"/>
      <c r="N405" s="328"/>
      <c r="O405" s="328"/>
      <c r="P405" s="328"/>
      <c r="Q405" s="328"/>
      <c r="R405" s="328"/>
      <c r="S405" s="328"/>
      <c r="T405" s="328"/>
      <c r="U405" s="328"/>
      <c r="V405" s="328"/>
      <c r="W405" s="328"/>
      <c r="X405" s="328"/>
      <c r="Y405" s="328"/>
      <c r="Z405" s="328"/>
      <c r="AA405" s="328"/>
      <c r="AB405" s="328"/>
      <c r="AC405" s="328"/>
      <c r="AD405" s="328"/>
      <c r="AE405" s="328"/>
      <c r="AF405" s="328"/>
      <c r="AG405" s="328"/>
      <c r="AH405" s="328"/>
      <c r="AI405" s="328"/>
      <c r="AJ405" s="328"/>
      <c r="AK405" s="328"/>
      <c r="AL405" s="328"/>
      <c r="AM405" s="328"/>
      <c r="AN405" s="328"/>
      <c r="AO405" s="328"/>
      <c r="AP405" s="328"/>
      <c r="AQ405" s="328"/>
      <c r="AR405" s="328"/>
      <c r="AS405" s="328"/>
      <c r="AT405" s="328"/>
      <c r="AU405" s="328"/>
    </row>
    <row r="406" ht="15.75" customHeight="1">
      <c r="A406" s="328"/>
      <c r="B406" s="328"/>
      <c r="C406" s="328"/>
      <c r="D406" s="328"/>
      <c r="E406" s="328"/>
      <c r="F406" s="328"/>
      <c r="G406" s="328"/>
      <c r="H406" s="328"/>
      <c r="I406" s="328"/>
      <c r="J406" s="328"/>
      <c r="K406" s="328"/>
      <c r="L406" s="328"/>
      <c r="M406" s="328"/>
      <c r="N406" s="328"/>
      <c r="O406" s="328"/>
      <c r="P406" s="328"/>
      <c r="Q406" s="328"/>
      <c r="R406" s="328"/>
      <c r="S406" s="328"/>
      <c r="T406" s="328"/>
      <c r="U406" s="328"/>
      <c r="V406" s="328"/>
      <c r="W406" s="328"/>
      <c r="X406" s="328"/>
      <c r="Y406" s="328"/>
      <c r="Z406" s="328"/>
      <c r="AA406" s="328"/>
      <c r="AB406" s="328"/>
      <c r="AC406" s="328"/>
      <c r="AD406" s="328"/>
      <c r="AE406" s="328"/>
      <c r="AF406" s="328"/>
      <c r="AG406" s="328"/>
      <c r="AH406" s="328"/>
      <c r="AI406" s="328"/>
      <c r="AJ406" s="328"/>
      <c r="AK406" s="328"/>
      <c r="AL406" s="328"/>
      <c r="AM406" s="328"/>
      <c r="AN406" s="328"/>
      <c r="AO406" s="328"/>
      <c r="AP406" s="328"/>
      <c r="AQ406" s="328"/>
      <c r="AR406" s="328"/>
      <c r="AS406" s="328"/>
      <c r="AT406" s="328"/>
      <c r="AU406" s="328"/>
    </row>
    <row r="407" ht="15.75" customHeight="1">
      <c r="A407" s="328"/>
      <c r="B407" s="328"/>
      <c r="C407" s="328"/>
      <c r="D407" s="328"/>
      <c r="E407" s="328"/>
      <c r="F407" s="328"/>
      <c r="G407" s="328"/>
      <c r="H407" s="328"/>
      <c r="I407" s="328"/>
      <c r="J407" s="328"/>
      <c r="K407" s="328"/>
      <c r="L407" s="328"/>
      <c r="M407" s="328"/>
      <c r="N407" s="328"/>
      <c r="O407" s="328"/>
      <c r="P407" s="328"/>
      <c r="Q407" s="328"/>
      <c r="R407" s="328"/>
      <c r="S407" s="328"/>
      <c r="T407" s="328"/>
      <c r="U407" s="328"/>
      <c r="V407" s="328"/>
      <c r="W407" s="328"/>
      <c r="X407" s="328"/>
      <c r="Y407" s="328"/>
      <c r="Z407" s="328"/>
      <c r="AA407" s="328"/>
      <c r="AB407" s="328"/>
      <c r="AC407" s="328"/>
      <c r="AD407" s="328"/>
      <c r="AE407" s="328"/>
      <c r="AF407" s="328"/>
      <c r="AG407" s="328"/>
      <c r="AH407" s="328"/>
      <c r="AI407" s="328"/>
      <c r="AJ407" s="328"/>
      <c r="AK407" s="328"/>
      <c r="AL407" s="328"/>
      <c r="AM407" s="328"/>
      <c r="AN407" s="328"/>
      <c r="AO407" s="328"/>
      <c r="AP407" s="328"/>
      <c r="AQ407" s="328"/>
      <c r="AR407" s="328"/>
      <c r="AS407" s="328"/>
      <c r="AT407" s="328"/>
      <c r="AU407" s="328"/>
    </row>
    <row r="408" ht="15.75" customHeight="1">
      <c r="A408" s="328"/>
      <c r="B408" s="328"/>
      <c r="C408" s="328"/>
      <c r="D408" s="328"/>
      <c r="E408" s="328"/>
      <c r="F408" s="328"/>
      <c r="G408" s="328"/>
      <c r="H408" s="328"/>
      <c r="I408" s="328"/>
      <c r="J408" s="328"/>
      <c r="K408" s="328"/>
      <c r="L408" s="328"/>
      <c r="M408" s="328"/>
      <c r="N408" s="328"/>
      <c r="O408" s="328"/>
      <c r="P408" s="328"/>
      <c r="Q408" s="328"/>
      <c r="R408" s="328"/>
      <c r="S408" s="328"/>
      <c r="T408" s="328"/>
      <c r="U408" s="328"/>
      <c r="V408" s="328"/>
      <c r="W408" s="328"/>
      <c r="X408" s="328"/>
      <c r="Y408" s="328"/>
      <c r="Z408" s="328"/>
      <c r="AA408" s="328"/>
      <c r="AB408" s="328"/>
      <c r="AC408" s="328"/>
      <c r="AD408" s="328"/>
      <c r="AE408" s="328"/>
      <c r="AF408" s="328"/>
      <c r="AG408" s="328"/>
      <c r="AH408" s="328"/>
      <c r="AI408" s="328"/>
      <c r="AJ408" s="328"/>
      <c r="AK408" s="328"/>
      <c r="AL408" s="328"/>
      <c r="AM408" s="328"/>
      <c r="AN408" s="328"/>
      <c r="AO408" s="328"/>
      <c r="AP408" s="328"/>
      <c r="AQ408" s="328"/>
      <c r="AR408" s="328"/>
      <c r="AS408" s="328"/>
      <c r="AT408" s="328"/>
      <c r="AU408" s="328"/>
    </row>
    <row r="409" ht="15.75" customHeight="1">
      <c r="A409" s="328"/>
      <c r="B409" s="328"/>
      <c r="C409" s="328"/>
      <c r="D409" s="328"/>
      <c r="E409" s="328"/>
      <c r="F409" s="328"/>
      <c r="G409" s="328"/>
      <c r="H409" s="328"/>
      <c r="I409" s="328"/>
      <c r="J409" s="328"/>
      <c r="K409" s="328"/>
      <c r="L409" s="328"/>
      <c r="M409" s="328"/>
      <c r="N409" s="328"/>
      <c r="O409" s="328"/>
      <c r="P409" s="328"/>
      <c r="Q409" s="328"/>
      <c r="R409" s="328"/>
      <c r="S409" s="328"/>
      <c r="T409" s="328"/>
      <c r="U409" s="328"/>
      <c r="V409" s="328"/>
      <c r="W409" s="328"/>
      <c r="X409" s="328"/>
      <c r="Y409" s="328"/>
      <c r="Z409" s="328"/>
      <c r="AA409" s="328"/>
      <c r="AB409" s="328"/>
      <c r="AC409" s="328"/>
      <c r="AD409" s="328"/>
      <c r="AE409" s="328"/>
      <c r="AF409" s="328"/>
      <c r="AG409" s="328"/>
      <c r="AH409" s="328"/>
      <c r="AI409" s="328"/>
      <c r="AJ409" s="328"/>
      <c r="AK409" s="328"/>
      <c r="AL409" s="328"/>
      <c r="AM409" s="328"/>
      <c r="AN409" s="328"/>
      <c r="AO409" s="328"/>
      <c r="AP409" s="328"/>
      <c r="AQ409" s="328"/>
      <c r="AR409" s="328"/>
      <c r="AS409" s="328"/>
      <c r="AT409" s="328"/>
      <c r="AU409" s="328"/>
    </row>
    <row r="410" ht="15.75" customHeight="1">
      <c r="A410" s="328"/>
      <c r="B410" s="328"/>
      <c r="C410" s="328"/>
      <c r="D410" s="328"/>
      <c r="E410" s="328"/>
      <c r="F410" s="328"/>
      <c r="G410" s="328"/>
      <c r="H410" s="328"/>
      <c r="I410" s="328"/>
      <c r="J410" s="328"/>
      <c r="K410" s="328"/>
      <c r="L410" s="328"/>
      <c r="M410" s="328"/>
      <c r="N410" s="328"/>
      <c r="O410" s="328"/>
      <c r="P410" s="328"/>
      <c r="Q410" s="328"/>
      <c r="R410" s="328"/>
      <c r="S410" s="328"/>
      <c r="T410" s="328"/>
      <c r="U410" s="328"/>
      <c r="V410" s="328"/>
      <c r="W410" s="328"/>
      <c r="X410" s="328"/>
      <c r="Y410" s="328"/>
      <c r="Z410" s="328"/>
      <c r="AA410" s="328"/>
      <c r="AB410" s="328"/>
      <c r="AC410" s="328"/>
      <c r="AD410" s="328"/>
      <c r="AE410" s="328"/>
      <c r="AF410" s="328"/>
      <c r="AG410" s="328"/>
      <c r="AH410" s="328"/>
      <c r="AI410" s="328"/>
      <c r="AJ410" s="328"/>
      <c r="AK410" s="328"/>
      <c r="AL410" s="328"/>
      <c r="AM410" s="328"/>
      <c r="AN410" s="328"/>
      <c r="AO410" s="328"/>
      <c r="AP410" s="328"/>
      <c r="AQ410" s="328"/>
      <c r="AR410" s="328"/>
      <c r="AS410" s="328"/>
      <c r="AT410" s="328"/>
      <c r="AU410" s="328"/>
    </row>
    <row r="411" ht="15.75" customHeight="1">
      <c r="A411" s="328"/>
      <c r="B411" s="328"/>
      <c r="C411" s="328"/>
      <c r="D411" s="328"/>
      <c r="E411" s="328"/>
      <c r="F411" s="328"/>
      <c r="G411" s="328"/>
      <c r="H411" s="328"/>
      <c r="I411" s="328"/>
      <c r="J411" s="328"/>
      <c r="K411" s="328"/>
      <c r="L411" s="328"/>
      <c r="M411" s="328"/>
      <c r="N411" s="328"/>
      <c r="O411" s="328"/>
      <c r="P411" s="328"/>
      <c r="Q411" s="328"/>
      <c r="R411" s="328"/>
      <c r="S411" s="328"/>
      <c r="T411" s="328"/>
      <c r="U411" s="328"/>
      <c r="V411" s="328"/>
      <c r="W411" s="328"/>
      <c r="X411" s="328"/>
      <c r="Y411" s="328"/>
      <c r="Z411" s="328"/>
      <c r="AA411" s="328"/>
      <c r="AB411" s="328"/>
      <c r="AC411" s="328"/>
      <c r="AD411" s="328"/>
      <c r="AE411" s="328"/>
      <c r="AF411" s="328"/>
      <c r="AG411" s="328"/>
      <c r="AH411" s="328"/>
      <c r="AI411" s="328"/>
      <c r="AJ411" s="328"/>
      <c r="AK411" s="328"/>
      <c r="AL411" s="328"/>
      <c r="AM411" s="328"/>
      <c r="AN411" s="328"/>
      <c r="AO411" s="328"/>
      <c r="AP411" s="328"/>
      <c r="AQ411" s="328"/>
      <c r="AR411" s="328"/>
      <c r="AS411" s="328"/>
      <c r="AT411" s="328"/>
      <c r="AU411" s="328"/>
    </row>
    <row r="412" ht="15.75" customHeight="1">
      <c r="A412" s="328"/>
      <c r="B412" s="328"/>
      <c r="C412" s="328"/>
      <c r="D412" s="328"/>
      <c r="E412" s="328"/>
      <c r="F412" s="328"/>
      <c r="G412" s="328"/>
      <c r="H412" s="328"/>
      <c r="I412" s="328"/>
      <c r="J412" s="328"/>
      <c r="K412" s="328"/>
      <c r="L412" s="328"/>
      <c r="M412" s="328"/>
      <c r="N412" s="328"/>
      <c r="O412" s="328"/>
      <c r="P412" s="328"/>
      <c r="Q412" s="328"/>
      <c r="R412" s="328"/>
      <c r="S412" s="328"/>
      <c r="T412" s="328"/>
      <c r="U412" s="328"/>
      <c r="V412" s="328"/>
      <c r="W412" s="328"/>
      <c r="X412" s="328"/>
      <c r="Y412" s="328"/>
      <c r="Z412" s="328"/>
      <c r="AA412" s="328"/>
      <c r="AB412" s="328"/>
      <c r="AC412" s="328"/>
      <c r="AD412" s="328"/>
      <c r="AE412" s="328"/>
      <c r="AF412" s="328"/>
      <c r="AG412" s="328"/>
      <c r="AH412" s="328"/>
      <c r="AI412" s="328"/>
      <c r="AJ412" s="328"/>
      <c r="AK412" s="328"/>
      <c r="AL412" s="328"/>
      <c r="AM412" s="328"/>
      <c r="AN412" s="328"/>
      <c r="AO412" s="328"/>
      <c r="AP412" s="328"/>
      <c r="AQ412" s="328"/>
      <c r="AR412" s="328"/>
      <c r="AS412" s="328"/>
      <c r="AT412" s="328"/>
      <c r="AU412" s="328"/>
    </row>
    <row r="413" ht="15.75" customHeight="1">
      <c r="A413" s="328"/>
      <c r="B413" s="328"/>
      <c r="C413" s="328"/>
      <c r="D413" s="328"/>
      <c r="E413" s="328"/>
      <c r="F413" s="328"/>
      <c r="G413" s="328"/>
      <c r="H413" s="328"/>
      <c r="I413" s="328"/>
      <c r="J413" s="328"/>
      <c r="K413" s="328"/>
      <c r="L413" s="328"/>
      <c r="M413" s="328"/>
      <c r="N413" s="328"/>
      <c r="O413" s="328"/>
      <c r="P413" s="328"/>
      <c r="Q413" s="328"/>
      <c r="R413" s="328"/>
      <c r="S413" s="328"/>
      <c r="T413" s="328"/>
      <c r="U413" s="328"/>
      <c r="V413" s="328"/>
      <c r="W413" s="328"/>
      <c r="X413" s="328"/>
      <c r="Y413" s="328"/>
      <c r="Z413" s="328"/>
      <c r="AA413" s="328"/>
      <c r="AB413" s="328"/>
      <c r="AC413" s="328"/>
      <c r="AD413" s="328"/>
      <c r="AE413" s="328"/>
      <c r="AF413" s="328"/>
      <c r="AG413" s="328"/>
      <c r="AH413" s="328"/>
      <c r="AI413" s="328"/>
      <c r="AJ413" s="328"/>
      <c r="AK413" s="328"/>
      <c r="AL413" s="328"/>
      <c r="AM413" s="328"/>
      <c r="AN413" s="328"/>
      <c r="AO413" s="328"/>
      <c r="AP413" s="328"/>
      <c r="AQ413" s="328"/>
      <c r="AR413" s="328"/>
      <c r="AS413" s="328"/>
      <c r="AT413" s="328"/>
      <c r="AU413" s="328"/>
    </row>
    <row r="414" ht="15.75" customHeight="1">
      <c r="A414" s="328"/>
      <c r="B414" s="328"/>
      <c r="C414" s="328"/>
      <c r="D414" s="328"/>
      <c r="E414" s="328"/>
      <c r="F414" s="328"/>
      <c r="G414" s="328"/>
      <c r="H414" s="328"/>
      <c r="I414" s="328"/>
      <c r="J414" s="328"/>
      <c r="K414" s="328"/>
      <c r="L414" s="328"/>
      <c r="M414" s="328"/>
      <c r="N414" s="328"/>
      <c r="O414" s="328"/>
      <c r="P414" s="328"/>
      <c r="Q414" s="328"/>
      <c r="R414" s="328"/>
      <c r="S414" s="328"/>
      <c r="T414" s="328"/>
      <c r="U414" s="328"/>
      <c r="V414" s="328"/>
      <c r="W414" s="328"/>
      <c r="X414" s="328"/>
      <c r="Y414" s="328"/>
      <c r="Z414" s="328"/>
      <c r="AA414" s="328"/>
      <c r="AB414" s="328"/>
      <c r="AC414" s="328"/>
      <c r="AD414" s="328"/>
      <c r="AE414" s="328"/>
      <c r="AF414" s="328"/>
      <c r="AG414" s="328"/>
      <c r="AH414" s="328"/>
      <c r="AI414" s="328"/>
      <c r="AJ414" s="328"/>
      <c r="AK414" s="328"/>
      <c r="AL414" s="328"/>
      <c r="AM414" s="328"/>
      <c r="AN414" s="328"/>
      <c r="AO414" s="328"/>
      <c r="AP414" s="328"/>
      <c r="AQ414" s="328"/>
      <c r="AR414" s="328"/>
      <c r="AS414" s="328"/>
      <c r="AT414" s="328"/>
      <c r="AU414" s="328"/>
    </row>
    <row r="415" ht="15.75" customHeight="1">
      <c r="A415" s="328"/>
      <c r="B415" s="328"/>
      <c r="C415" s="328"/>
      <c r="D415" s="328"/>
      <c r="E415" s="328"/>
      <c r="F415" s="328"/>
      <c r="G415" s="328"/>
      <c r="H415" s="328"/>
      <c r="I415" s="328"/>
      <c r="J415" s="328"/>
      <c r="K415" s="328"/>
      <c r="L415" s="328"/>
      <c r="M415" s="328"/>
      <c r="N415" s="328"/>
      <c r="O415" s="328"/>
      <c r="P415" s="328"/>
      <c r="Q415" s="328"/>
      <c r="R415" s="328"/>
      <c r="S415" s="328"/>
      <c r="T415" s="328"/>
      <c r="U415" s="328"/>
      <c r="V415" s="328"/>
      <c r="W415" s="328"/>
      <c r="X415" s="328"/>
      <c r="Y415" s="328"/>
      <c r="Z415" s="328"/>
      <c r="AA415" s="328"/>
      <c r="AB415" s="328"/>
      <c r="AC415" s="328"/>
      <c r="AD415" s="328"/>
      <c r="AE415" s="328"/>
      <c r="AF415" s="328"/>
      <c r="AG415" s="328"/>
      <c r="AH415" s="328"/>
      <c r="AI415" s="328"/>
      <c r="AJ415" s="328"/>
      <c r="AK415" s="328"/>
      <c r="AL415" s="328"/>
      <c r="AM415" s="328"/>
      <c r="AN415" s="328"/>
      <c r="AO415" s="328"/>
      <c r="AP415" s="328"/>
      <c r="AQ415" s="328"/>
      <c r="AR415" s="328"/>
      <c r="AS415" s="328"/>
      <c r="AT415" s="328"/>
      <c r="AU415" s="328"/>
    </row>
    <row r="416" ht="15.75" customHeight="1">
      <c r="A416" s="328"/>
      <c r="B416" s="328"/>
      <c r="C416" s="328"/>
      <c r="D416" s="328"/>
      <c r="E416" s="328"/>
      <c r="F416" s="328"/>
      <c r="G416" s="328"/>
      <c r="H416" s="328"/>
      <c r="I416" s="328"/>
      <c r="J416" s="328"/>
      <c r="K416" s="328"/>
      <c r="L416" s="328"/>
      <c r="M416" s="328"/>
      <c r="N416" s="328"/>
      <c r="O416" s="328"/>
      <c r="P416" s="328"/>
      <c r="Q416" s="328"/>
      <c r="R416" s="328"/>
      <c r="S416" s="328"/>
      <c r="T416" s="328"/>
      <c r="U416" s="328"/>
      <c r="V416" s="328"/>
      <c r="W416" s="328"/>
      <c r="X416" s="328"/>
      <c r="Y416" s="328"/>
      <c r="Z416" s="328"/>
      <c r="AA416" s="328"/>
      <c r="AB416" s="328"/>
      <c r="AC416" s="328"/>
      <c r="AD416" s="328"/>
      <c r="AE416" s="328"/>
      <c r="AF416" s="328"/>
      <c r="AG416" s="328"/>
      <c r="AH416" s="328"/>
      <c r="AI416" s="328"/>
      <c r="AJ416" s="328"/>
      <c r="AK416" s="328"/>
      <c r="AL416" s="328"/>
      <c r="AM416" s="328"/>
      <c r="AN416" s="328"/>
      <c r="AO416" s="328"/>
      <c r="AP416" s="328"/>
      <c r="AQ416" s="328"/>
      <c r="AR416" s="328"/>
      <c r="AS416" s="328"/>
      <c r="AT416" s="328"/>
      <c r="AU416" s="328"/>
    </row>
    <row r="417" ht="15.75" customHeight="1">
      <c r="A417" s="328"/>
      <c r="B417" s="328"/>
      <c r="C417" s="328"/>
      <c r="D417" s="328"/>
      <c r="E417" s="328"/>
      <c r="F417" s="328"/>
      <c r="G417" s="328"/>
      <c r="H417" s="328"/>
      <c r="I417" s="328"/>
      <c r="J417" s="328"/>
      <c r="K417" s="328"/>
      <c r="L417" s="328"/>
      <c r="M417" s="328"/>
      <c r="N417" s="328"/>
      <c r="O417" s="328"/>
      <c r="P417" s="328"/>
      <c r="Q417" s="328"/>
      <c r="R417" s="328"/>
      <c r="S417" s="328"/>
      <c r="T417" s="328"/>
      <c r="U417" s="328"/>
      <c r="V417" s="328"/>
      <c r="W417" s="328"/>
      <c r="X417" s="328"/>
      <c r="Y417" s="328"/>
      <c r="Z417" s="328"/>
      <c r="AA417" s="328"/>
      <c r="AB417" s="328"/>
      <c r="AC417" s="328"/>
      <c r="AD417" s="328"/>
      <c r="AE417" s="328"/>
      <c r="AF417" s="328"/>
      <c r="AG417" s="328"/>
      <c r="AH417" s="328"/>
      <c r="AI417" s="328"/>
      <c r="AJ417" s="328"/>
      <c r="AK417" s="328"/>
      <c r="AL417" s="328"/>
      <c r="AM417" s="328"/>
      <c r="AN417" s="328"/>
      <c r="AO417" s="328"/>
      <c r="AP417" s="328"/>
      <c r="AQ417" s="328"/>
      <c r="AR417" s="328"/>
      <c r="AS417" s="328"/>
      <c r="AT417" s="328"/>
      <c r="AU417" s="328"/>
    </row>
    <row r="418" ht="15.75" customHeight="1">
      <c r="A418" s="328"/>
      <c r="B418" s="328"/>
      <c r="C418" s="328"/>
      <c r="D418" s="328"/>
      <c r="E418" s="328"/>
      <c r="F418" s="328"/>
      <c r="G418" s="328"/>
      <c r="H418" s="328"/>
      <c r="I418" s="328"/>
      <c r="J418" s="328"/>
      <c r="K418" s="328"/>
      <c r="L418" s="328"/>
      <c r="M418" s="328"/>
      <c r="N418" s="328"/>
      <c r="O418" s="328"/>
      <c r="P418" s="328"/>
      <c r="Q418" s="328"/>
      <c r="R418" s="328"/>
      <c r="S418" s="328"/>
      <c r="T418" s="328"/>
      <c r="U418" s="328"/>
      <c r="V418" s="328"/>
      <c r="W418" s="328"/>
      <c r="X418" s="328"/>
      <c r="Y418" s="328"/>
      <c r="Z418" s="328"/>
      <c r="AA418" s="328"/>
      <c r="AB418" s="328"/>
      <c r="AC418" s="328"/>
      <c r="AD418" s="328"/>
      <c r="AE418" s="328"/>
      <c r="AF418" s="328"/>
      <c r="AG418" s="328"/>
      <c r="AH418" s="328"/>
      <c r="AI418" s="328"/>
      <c r="AJ418" s="328"/>
      <c r="AK418" s="328"/>
      <c r="AL418" s="328"/>
      <c r="AM418" s="328"/>
      <c r="AN418" s="328"/>
      <c r="AO418" s="328"/>
      <c r="AP418" s="328"/>
      <c r="AQ418" s="328"/>
      <c r="AR418" s="328"/>
      <c r="AS418" s="328"/>
      <c r="AT418" s="328"/>
      <c r="AU418" s="328"/>
    </row>
    <row r="419" ht="15.75" customHeight="1">
      <c r="A419" s="328"/>
      <c r="B419" s="328"/>
      <c r="C419" s="328"/>
      <c r="D419" s="328"/>
      <c r="E419" s="328"/>
      <c r="F419" s="328"/>
      <c r="G419" s="328"/>
      <c r="H419" s="328"/>
      <c r="I419" s="328"/>
      <c r="J419" s="328"/>
      <c r="K419" s="328"/>
      <c r="L419" s="328"/>
      <c r="M419" s="328"/>
      <c r="N419" s="328"/>
      <c r="O419" s="328"/>
      <c r="P419" s="328"/>
      <c r="Q419" s="328"/>
      <c r="R419" s="328"/>
      <c r="S419" s="328"/>
      <c r="T419" s="328"/>
      <c r="U419" s="328"/>
      <c r="V419" s="328"/>
      <c r="W419" s="328"/>
      <c r="X419" s="328"/>
      <c r="Y419" s="328"/>
      <c r="Z419" s="328"/>
      <c r="AA419" s="328"/>
      <c r="AB419" s="328"/>
      <c r="AC419" s="328"/>
      <c r="AD419" s="328"/>
      <c r="AE419" s="328"/>
      <c r="AF419" s="328"/>
      <c r="AG419" s="328"/>
      <c r="AH419" s="328"/>
      <c r="AI419" s="328"/>
      <c r="AJ419" s="328"/>
      <c r="AK419" s="328"/>
      <c r="AL419" s="328"/>
      <c r="AM419" s="328"/>
      <c r="AN419" s="328"/>
      <c r="AO419" s="328"/>
      <c r="AP419" s="328"/>
      <c r="AQ419" s="328"/>
      <c r="AR419" s="328"/>
      <c r="AS419" s="328"/>
      <c r="AT419" s="328"/>
      <c r="AU419" s="328"/>
    </row>
    <row r="420" ht="15.75" customHeight="1">
      <c r="A420" s="328"/>
      <c r="B420" s="328"/>
      <c r="C420" s="328"/>
      <c r="D420" s="328"/>
      <c r="E420" s="328"/>
      <c r="F420" s="328"/>
      <c r="G420" s="328"/>
      <c r="H420" s="328"/>
      <c r="I420" s="328"/>
      <c r="J420" s="328"/>
      <c r="K420" s="328"/>
      <c r="L420" s="328"/>
      <c r="M420" s="328"/>
      <c r="N420" s="328"/>
      <c r="O420" s="328"/>
      <c r="P420" s="328"/>
      <c r="Q420" s="328"/>
      <c r="R420" s="328"/>
      <c r="S420" s="328"/>
      <c r="T420" s="328"/>
      <c r="U420" s="328"/>
      <c r="V420" s="328"/>
      <c r="W420" s="328"/>
      <c r="X420" s="328"/>
      <c r="Y420" s="328"/>
      <c r="Z420" s="328"/>
      <c r="AA420" s="328"/>
      <c r="AB420" s="328"/>
      <c r="AC420" s="328"/>
      <c r="AD420" s="328"/>
      <c r="AE420" s="328"/>
      <c r="AF420" s="328"/>
      <c r="AG420" s="328"/>
      <c r="AH420" s="328"/>
      <c r="AI420" s="328"/>
      <c r="AJ420" s="328"/>
      <c r="AK420" s="328"/>
      <c r="AL420" s="328"/>
      <c r="AM420" s="328"/>
      <c r="AN420" s="328"/>
      <c r="AO420" s="328"/>
      <c r="AP420" s="328"/>
      <c r="AQ420" s="328"/>
      <c r="AR420" s="328"/>
      <c r="AS420" s="328"/>
      <c r="AT420" s="328"/>
      <c r="AU420" s="328"/>
    </row>
    <row r="421" ht="15.75" customHeight="1">
      <c r="A421" s="328"/>
      <c r="B421" s="328"/>
      <c r="C421" s="328"/>
      <c r="D421" s="328"/>
      <c r="E421" s="328"/>
      <c r="F421" s="328"/>
      <c r="G421" s="328"/>
      <c r="H421" s="328"/>
      <c r="I421" s="328"/>
      <c r="J421" s="328"/>
      <c r="K421" s="328"/>
      <c r="L421" s="328"/>
      <c r="M421" s="328"/>
      <c r="N421" s="328"/>
      <c r="O421" s="328"/>
      <c r="P421" s="328"/>
      <c r="Q421" s="328"/>
      <c r="R421" s="328"/>
      <c r="S421" s="328"/>
      <c r="T421" s="328"/>
      <c r="U421" s="328"/>
      <c r="V421" s="328"/>
      <c r="W421" s="328"/>
      <c r="X421" s="328"/>
      <c r="Y421" s="328"/>
      <c r="Z421" s="328"/>
      <c r="AA421" s="328"/>
      <c r="AB421" s="328"/>
      <c r="AC421" s="328"/>
      <c r="AD421" s="328"/>
      <c r="AE421" s="328"/>
      <c r="AF421" s="328"/>
      <c r="AG421" s="328"/>
      <c r="AH421" s="328"/>
      <c r="AI421" s="328"/>
      <c r="AJ421" s="328"/>
      <c r="AK421" s="328"/>
      <c r="AL421" s="328"/>
      <c r="AM421" s="328"/>
      <c r="AN421" s="328"/>
      <c r="AO421" s="328"/>
      <c r="AP421" s="328"/>
      <c r="AQ421" s="328"/>
      <c r="AR421" s="328"/>
      <c r="AS421" s="328"/>
      <c r="AT421" s="328"/>
      <c r="AU421" s="328"/>
    </row>
    <row r="422" ht="15.75" customHeight="1">
      <c r="A422" s="328"/>
      <c r="B422" s="328"/>
      <c r="C422" s="328"/>
      <c r="D422" s="328"/>
      <c r="E422" s="328"/>
      <c r="F422" s="328"/>
      <c r="G422" s="328"/>
      <c r="H422" s="328"/>
      <c r="I422" s="328"/>
      <c r="J422" s="328"/>
      <c r="K422" s="328"/>
      <c r="L422" s="328"/>
      <c r="M422" s="328"/>
      <c r="N422" s="328"/>
      <c r="O422" s="328"/>
      <c r="P422" s="328"/>
      <c r="Q422" s="328"/>
      <c r="R422" s="328"/>
      <c r="S422" s="328"/>
      <c r="T422" s="328"/>
      <c r="U422" s="328"/>
      <c r="V422" s="328"/>
      <c r="W422" s="328"/>
      <c r="X422" s="328"/>
      <c r="Y422" s="328"/>
      <c r="Z422" s="328"/>
      <c r="AA422" s="328"/>
      <c r="AB422" s="328"/>
      <c r="AC422" s="328"/>
      <c r="AD422" s="328"/>
      <c r="AE422" s="328"/>
      <c r="AF422" s="328"/>
      <c r="AG422" s="328"/>
      <c r="AH422" s="328"/>
      <c r="AI422" s="328"/>
      <c r="AJ422" s="328"/>
      <c r="AK422" s="328"/>
      <c r="AL422" s="328"/>
      <c r="AM422" s="328"/>
      <c r="AN422" s="328"/>
      <c r="AO422" s="328"/>
      <c r="AP422" s="328"/>
      <c r="AQ422" s="328"/>
      <c r="AR422" s="328"/>
      <c r="AS422" s="328"/>
      <c r="AT422" s="328"/>
      <c r="AU422" s="328"/>
    </row>
    <row r="423" ht="15.75" customHeight="1">
      <c r="A423" s="328"/>
      <c r="B423" s="328"/>
      <c r="C423" s="328"/>
      <c r="D423" s="328"/>
      <c r="E423" s="328"/>
      <c r="F423" s="328"/>
      <c r="G423" s="328"/>
      <c r="H423" s="328"/>
      <c r="I423" s="328"/>
      <c r="J423" s="328"/>
      <c r="K423" s="328"/>
      <c r="L423" s="328"/>
      <c r="M423" s="328"/>
      <c r="N423" s="328"/>
      <c r="O423" s="328"/>
      <c r="P423" s="328"/>
      <c r="Q423" s="328"/>
      <c r="R423" s="328"/>
      <c r="S423" s="328"/>
      <c r="T423" s="328"/>
      <c r="U423" s="328"/>
      <c r="V423" s="328"/>
      <c r="W423" s="328"/>
      <c r="X423" s="328"/>
      <c r="Y423" s="328"/>
      <c r="Z423" s="328"/>
      <c r="AA423" s="328"/>
      <c r="AB423" s="328"/>
      <c r="AC423" s="328"/>
      <c r="AD423" s="328"/>
      <c r="AE423" s="328"/>
      <c r="AF423" s="328"/>
      <c r="AG423" s="328"/>
      <c r="AH423" s="328"/>
      <c r="AI423" s="328"/>
      <c r="AJ423" s="328"/>
      <c r="AK423" s="328"/>
      <c r="AL423" s="328"/>
      <c r="AM423" s="328"/>
      <c r="AN423" s="328"/>
      <c r="AO423" s="328"/>
      <c r="AP423" s="328"/>
      <c r="AQ423" s="328"/>
      <c r="AR423" s="328"/>
      <c r="AS423" s="328"/>
      <c r="AT423" s="328"/>
      <c r="AU423" s="328"/>
    </row>
    <row r="424" ht="15.75" customHeight="1">
      <c r="A424" s="328"/>
      <c r="B424" s="328"/>
      <c r="C424" s="328"/>
      <c r="D424" s="328"/>
      <c r="E424" s="328"/>
      <c r="F424" s="328"/>
      <c r="G424" s="328"/>
      <c r="H424" s="328"/>
      <c r="I424" s="328"/>
      <c r="J424" s="328"/>
      <c r="K424" s="328"/>
      <c r="L424" s="328"/>
      <c r="M424" s="328"/>
      <c r="N424" s="328"/>
      <c r="O424" s="328"/>
      <c r="P424" s="328"/>
      <c r="Q424" s="328"/>
      <c r="R424" s="328"/>
      <c r="S424" s="328"/>
      <c r="T424" s="328"/>
      <c r="U424" s="328"/>
      <c r="V424" s="328"/>
      <c r="W424" s="328"/>
      <c r="X424" s="328"/>
      <c r="Y424" s="328"/>
      <c r="Z424" s="328"/>
      <c r="AA424" s="328"/>
      <c r="AB424" s="328"/>
      <c r="AC424" s="328"/>
      <c r="AD424" s="328"/>
      <c r="AE424" s="328"/>
      <c r="AF424" s="328"/>
      <c r="AG424" s="328"/>
      <c r="AH424" s="328"/>
      <c r="AI424" s="328"/>
      <c r="AJ424" s="328"/>
      <c r="AK424" s="328"/>
      <c r="AL424" s="328"/>
      <c r="AM424" s="328"/>
      <c r="AN424" s="328"/>
      <c r="AO424" s="328"/>
      <c r="AP424" s="328"/>
      <c r="AQ424" s="328"/>
      <c r="AR424" s="328"/>
      <c r="AS424" s="328"/>
      <c r="AT424" s="328"/>
      <c r="AU424" s="328"/>
    </row>
    <row r="425" ht="15.75" customHeight="1">
      <c r="A425" s="328"/>
      <c r="B425" s="328"/>
      <c r="C425" s="328"/>
      <c r="D425" s="328"/>
      <c r="E425" s="328"/>
      <c r="F425" s="328"/>
      <c r="G425" s="328"/>
      <c r="H425" s="328"/>
      <c r="I425" s="328"/>
      <c r="J425" s="328"/>
      <c r="K425" s="328"/>
      <c r="L425" s="328"/>
      <c r="M425" s="328"/>
      <c r="N425" s="328"/>
      <c r="O425" s="328"/>
      <c r="P425" s="328"/>
      <c r="Q425" s="328"/>
      <c r="R425" s="328"/>
      <c r="S425" s="328"/>
      <c r="T425" s="328"/>
      <c r="U425" s="328"/>
      <c r="V425" s="328"/>
      <c r="W425" s="328"/>
      <c r="X425" s="328"/>
      <c r="Y425" s="328"/>
      <c r="Z425" s="328"/>
      <c r="AA425" s="328"/>
      <c r="AB425" s="328"/>
      <c r="AC425" s="328"/>
      <c r="AD425" s="328"/>
      <c r="AE425" s="328"/>
      <c r="AF425" s="328"/>
      <c r="AG425" s="328"/>
      <c r="AH425" s="328"/>
      <c r="AI425" s="328"/>
      <c r="AJ425" s="328"/>
      <c r="AK425" s="328"/>
      <c r="AL425" s="328"/>
      <c r="AM425" s="328"/>
      <c r="AN425" s="328"/>
      <c r="AO425" s="328"/>
      <c r="AP425" s="328"/>
      <c r="AQ425" s="328"/>
      <c r="AR425" s="328"/>
      <c r="AS425" s="328"/>
      <c r="AT425" s="328"/>
      <c r="AU425" s="328"/>
    </row>
    <row r="426" ht="15.75" customHeight="1">
      <c r="A426" s="328"/>
      <c r="B426" s="328"/>
      <c r="C426" s="328"/>
      <c r="D426" s="328"/>
      <c r="E426" s="328"/>
      <c r="F426" s="328"/>
      <c r="G426" s="328"/>
      <c r="H426" s="328"/>
      <c r="I426" s="328"/>
      <c r="J426" s="328"/>
      <c r="K426" s="328"/>
      <c r="L426" s="328"/>
      <c r="M426" s="328"/>
      <c r="N426" s="328"/>
      <c r="O426" s="328"/>
      <c r="P426" s="328"/>
      <c r="Q426" s="328"/>
      <c r="R426" s="328"/>
      <c r="S426" s="328"/>
      <c r="T426" s="328"/>
      <c r="U426" s="328"/>
      <c r="V426" s="328"/>
      <c r="W426" s="328"/>
      <c r="X426" s="328"/>
      <c r="Y426" s="328"/>
      <c r="Z426" s="328"/>
      <c r="AA426" s="328"/>
      <c r="AB426" s="328"/>
      <c r="AC426" s="328"/>
      <c r="AD426" s="328"/>
      <c r="AE426" s="328"/>
      <c r="AF426" s="328"/>
      <c r="AG426" s="328"/>
      <c r="AH426" s="328"/>
      <c r="AI426" s="328"/>
      <c r="AJ426" s="328"/>
      <c r="AK426" s="328"/>
      <c r="AL426" s="328"/>
      <c r="AM426" s="328"/>
      <c r="AN426" s="328"/>
      <c r="AO426" s="328"/>
      <c r="AP426" s="328"/>
      <c r="AQ426" s="328"/>
      <c r="AR426" s="328"/>
      <c r="AS426" s="328"/>
      <c r="AT426" s="328"/>
      <c r="AU426" s="328"/>
    </row>
    <row r="427" ht="15.75" customHeight="1">
      <c r="A427" s="328"/>
      <c r="B427" s="328"/>
      <c r="C427" s="328"/>
      <c r="D427" s="328"/>
      <c r="E427" s="328"/>
      <c r="F427" s="328"/>
      <c r="G427" s="328"/>
      <c r="H427" s="328"/>
      <c r="I427" s="328"/>
      <c r="J427" s="328"/>
      <c r="K427" s="328"/>
      <c r="L427" s="328"/>
      <c r="M427" s="328"/>
      <c r="N427" s="328"/>
      <c r="O427" s="328"/>
      <c r="P427" s="328"/>
      <c r="Q427" s="328"/>
      <c r="R427" s="328"/>
      <c r="S427" s="328"/>
      <c r="T427" s="328"/>
      <c r="U427" s="328"/>
      <c r="V427" s="328"/>
      <c r="W427" s="328"/>
      <c r="X427" s="328"/>
      <c r="Y427" s="328"/>
      <c r="Z427" s="328"/>
      <c r="AA427" s="328"/>
      <c r="AB427" s="328"/>
      <c r="AC427" s="328"/>
      <c r="AD427" s="328"/>
      <c r="AE427" s="328"/>
      <c r="AF427" s="328"/>
      <c r="AG427" s="328"/>
      <c r="AH427" s="328"/>
      <c r="AI427" s="328"/>
      <c r="AJ427" s="328"/>
      <c r="AK427" s="328"/>
      <c r="AL427" s="328"/>
      <c r="AM427" s="328"/>
      <c r="AN427" s="328"/>
      <c r="AO427" s="328"/>
      <c r="AP427" s="328"/>
      <c r="AQ427" s="328"/>
      <c r="AR427" s="328"/>
      <c r="AS427" s="328"/>
      <c r="AT427" s="328"/>
      <c r="AU427" s="328"/>
    </row>
    <row r="428" ht="15.75" customHeight="1">
      <c r="A428" s="328"/>
      <c r="B428" s="328"/>
      <c r="C428" s="328"/>
      <c r="D428" s="328"/>
      <c r="E428" s="328"/>
      <c r="F428" s="328"/>
      <c r="G428" s="328"/>
      <c r="H428" s="328"/>
      <c r="I428" s="328"/>
      <c r="J428" s="328"/>
      <c r="K428" s="328"/>
      <c r="L428" s="328"/>
      <c r="M428" s="328"/>
      <c r="N428" s="328"/>
      <c r="O428" s="328"/>
      <c r="P428" s="328"/>
      <c r="Q428" s="328"/>
      <c r="R428" s="328"/>
      <c r="S428" s="328"/>
      <c r="T428" s="328"/>
      <c r="U428" s="328"/>
      <c r="V428" s="328"/>
      <c r="W428" s="328"/>
      <c r="X428" s="328"/>
      <c r="Y428" s="328"/>
      <c r="Z428" s="328"/>
      <c r="AA428" s="328"/>
      <c r="AB428" s="328"/>
      <c r="AC428" s="328"/>
      <c r="AD428" s="328"/>
      <c r="AE428" s="328"/>
      <c r="AF428" s="328"/>
      <c r="AG428" s="328"/>
      <c r="AH428" s="328"/>
      <c r="AI428" s="328"/>
      <c r="AJ428" s="328"/>
      <c r="AK428" s="328"/>
      <c r="AL428" s="328"/>
      <c r="AM428" s="328"/>
      <c r="AN428" s="328"/>
      <c r="AO428" s="328"/>
      <c r="AP428" s="328"/>
      <c r="AQ428" s="328"/>
      <c r="AR428" s="328"/>
      <c r="AS428" s="328"/>
      <c r="AT428" s="328"/>
      <c r="AU428" s="328"/>
    </row>
    <row r="429" ht="15.75" customHeight="1">
      <c r="A429" s="328"/>
      <c r="B429" s="328"/>
      <c r="C429" s="328"/>
      <c r="D429" s="328"/>
      <c r="E429" s="328"/>
      <c r="F429" s="328"/>
      <c r="G429" s="328"/>
      <c r="H429" s="328"/>
      <c r="I429" s="328"/>
      <c r="J429" s="328"/>
      <c r="K429" s="328"/>
      <c r="L429" s="328"/>
      <c r="M429" s="328"/>
      <c r="N429" s="328"/>
      <c r="O429" s="328"/>
      <c r="P429" s="328"/>
      <c r="Q429" s="328"/>
      <c r="R429" s="328"/>
      <c r="S429" s="328"/>
      <c r="T429" s="328"/>
      <c r="U429" s="328"/>
      <c r="V429" s="328"/>
      <c r="W429" s="328"/>
      <c r="X429" s="328"/>
      <c r="Y429" s="328"/>
      <c r="Z429" s="328"/>
      <c r="AA429" s="328"/>
      <c r="AB429" s="328"/>
      <c r="AC429" s="328"/>
      <c r="AD429" s="328"/>
      <c r="AE429" s="328"/>
      <c r="AF429" s="328"/>
      <c r="AG429" s="328"/>
      <c r="AH429" s="328"/>
      <c r="AI429" s="328"/>
      <c r="AJ429" s="328"/>
      <c r="AK429" s="328"/>
      <c r="AL429" s="328"/>
      <c r="AM429" s="328"/>
      <c r="AN429" s="328"/>
      <c r="AO429" s="328"/>
      <c r="AP429" s="328"/>
      <c r="AQ429" s="328"/>
      <c r="AR429" s="328"/>
      <c r="AS429" s="328"/>
      <c r="AT429" s="328"/>
      <c r="AU429" s="328"/>
    </row>
    <row r="430" ht="15.75" customHeight="1">
      <c r="A430" s="328"/>
      <c r="B430" s="328"/>
      <c r="C430" s="328"/>
      <c r="D430" s="328"/>
      <c r="E430" s="328"/>
      <c r="F430" s="328"/>
      <c r="G430" s="328"/>
      <c r="H430" s="328"/>
      <c r="I430" s="328"/>
      <c r="J430" s="328"/>
      <c r="K430" s="328"/>
      <c r="L430" s="328"/>
      <c r="M430" s="328"/>
      <c r="N430" s="328"/>
      <c r="O430" s="328"/>
      <c r="P430" s="328"/>
      <c r="Q430" s="328"/>
      <c r="R430" s="328"/>
      <c r="S430" s="328"/>
      <c r="T430" s="328"/>
      <c r="U430" s="328"/>
      <c r="V430" s="328"/>
      <c r="W430" s="328"/>
      <c r="X430" s="328"/>
      <c r="Y430" s="328"/>
      <c r="Z430" s="328"/>
      <c r="AA430" s="328"/>
      <c r="AB430" s="328"/>
      <c r="AC430" s="328"/>
      <c r="AD430" s="328"/>
      <c r="AE430" s="328"/>
      <c r="AF430" s="328"/>
      <c r="AG430" s="328"/>
      <c r="AH430" s="328"/>
      <c r="AI430" s="328"/>
      <c r="AJ430" s="328"/>
      <c r="AK430" s="328"/>
      <c r="AL430" s="328"/>
      <c r="AM430" s="328"/>
      <c r="AN430" s="328"/>
      <c r="AO430" s="328"/>
      <c r="AP430" s="328"/>
      <c r="AQ430" s="328"/>
      <c r="AR430" s="328"/>
      <c r="AS430" s="328"/>
      <c r="AT430" s="328"/>
      <c r="AU430" s="328"/>
    </row>
    <row r="431" ht="15.75" customHeight="1">
      <c r="A431" s="328"/>
      <c r="B431" s="328"/>
      <c r="C431" s="328"/>
      <c r="D431" s="328"/>
      <c r="E431" s="328"/>
      <c r="F431" s="328"/>
      <c r="G431" s="328"/>
      <c r="H431" s="328"/>
      <c r="I431" s="328"/>
      <c r="J431" s="328"/>
      <c r="K431" s="328"/>
      <c r="L431" s="328"/>
      <c r="M431" s="328"/>
      <c r="N431" s="328"/>
      <c r="O431" s="328"/>
      <c r="P431" s="328"/>
      <c r="Q431" s="328"/>
      <c r="R431" s="328"/>
      <c r="S431" s="328"/>
      <c r="T431" s="328"/>
      <c r="U431" s="328"/>
      <c r="V431" s="328"/>
      <c r="W431" s="328"/>
      <c r="X431" s="328"/>
      <c r="Y431" s="328"/>
      <c r="Z431" s="328"/>
      <c r="AA431" s="328"/>
      <c r="AB431" s="328"/>
      <c r="AC431" s="328"/>
      <c r="AD431" s="328"/>
      <c r="AE431" s="328"/>
      <c r="AF431" s="328"/>
      <c r="AG431" s="328"/>
      <c r="AH431" s="328"/>
      <c r="AI431" s="328"/>
      <c r="AJ431" s="328"/>
      <c r="AK431" s="328"/>
      <c r="AL431" s="328"/>
      <c r="AM431" s="328"/>
      <c r="AN431" s="328"/>
      <c r="AO431" s="328"/>
      <c r="AP431" s="328"/>
      <c r="AQ431" s="328"/>
      <c r="AR431" s="328"/>
      <c r="AS431" s="328"/>
      <c r="AT431" s="328"/>
      <c r="AU431" s="328"/>
    </row>
    <row r="432" ht="15.75" customHeight="1">
      <c r="A432" s="328"/>
      <c r="B432" s="328"/>
      <c r="C432" s="328"/>
      <c r="D432" s="328"/>
      <c r="E432" s="328"/>
      <c r="F432" s="328"/>
      <c r="G432" s="328"/>
      <c r="H432" s="328"/>
      <c r="I432" s="328"/>
      <c r="J432" s="328"/>
      <c r="K432" s="328"/>
      <c r="L432" s="328"/>
      <c r="M432" s="328"/>
      <c r="N432" s="328"/>
      <c r="O432" s="328"/>
      <c r="P432" s="328"/>
      <c r="Q432" s="328"/>
      <c r="R432" s="328"/>
      <c r="S432" s="328"/>
      <c r="T432" s="328"/>
      <c r="U432" s="328"/>
      <c r="V432" s="328"/>
      <c r="W432" s="328"/>
      <c r="X432" s="328"/>
      <c r="Y432" s="328"/>
      <c r="Z432" s="328"/>
      <c r="AA432" s="328"/>
      <c r="AB432" s="328"/>
      <c r="AC432" s="328"/>
      <c r="AD432" s="328"/>
      <c r="AE432" s="328"/>
      <c r="AF432" s="328"/>
      <c r="AG432" s="328"/>
      <c r="AH432" s="328"/>
      <c r="AI432" s="328"/>
      <c r="AJ432" s="328"/>
      <c r="AK432" s="328"/>
      <c r="AL432" s="328"/>
      <c r="AM432" s="328"/>
      <c r="AN432" s="328"/>
      <c r="AO432" s="328"/>
      <c r="AP432" s="328"/>
      <c r="AQ432" s="328"/>
      <c r="AR432" s="328"/>
      <c r="AS432" s="328"/>
      <c r="AT432" s="328"/>
      <c r="AU432" s="328"/>
    </row>
    <row r="433" ht="15.75" customHeight="1">
      <c r="A433" s="328"/>
      <c r="B433" s="328"/>
      <c r="C433" s="328"/>
      <c r="D433" s="328"/>
      <c r="E433" s="328"/>
      <c r="F433" s="328"/>
      <c r="G433" s="328"/>
      <c r="H433" s="328"/>
      <c r="I433" s="328"/>
      <c r="J433" s="328"/>
      <c r="K433" s="328"/>
      <c r="L433" s="328"/>
      <c r="M433" s="328"/>
      <c r="N433" s="328"/>
      <c r="O433" s="328"/>
      <c r="P433" s="328"/>
      <c r="Q433" s="328"/>
      <c r="R433" s="328"/>
      <c r="S433" s="328"/>
      <c r="T433" s="328"/>
      <c r="U433" s="328"/>
      <c r="V433" s="328"/>
      <c r="W433" s="328"/>
      <c r="X433" s="328"/>
      <c r="Y433" s="328"/>
      <c r="Z433" s="328"/>
      <c r="AA433" s="328"/>
      <c r="AB433" s="328"/>
      <c r="AC433" s="328"/>
      <c r="AD433" s="328"/>
      <c r="AE433" s="328"/>
      <c r="AF433" s="328"/>
      <c r="AG433" s="328"/>
      <c r="AH433" s="328"/>
      <c r="AI433" s="328"/>
      <c r="AJ433" s="328"/>
      <c r="AK433" s="328"/>
      <c r="AL433" s="328"/>
      <c r="AM433" s="328"/>
      <c r="AN433" s="328"/>
      <c r="AO433" s="328"/>
      <c r="AP433" s="328"/>
      <c r="AQ433" s="328"/>
      <c r="AR433" s="328"/>
      <c r="AS433" s="328"/>
      <c r="AT433" s="328"/>
      <c r="AU433" s="328"/>
    </row>
    <row r="434" ht="15.75" customHeight="1">
      <c r="A434" s="328"/>
      <c r="B434" s="328"/>
      <c r="C434" s="328"/>
      <c r="D434" s="328"/>
      <c r="E434" s="328"/>
      <c r="F434" s="328"/>
      <c r="G434" s="328"/>
      <c r="H434" s="328"/>
      <c r="I434" s="328"/>
      <c r="J434" s="328"/>
      <c r="K434" s="328"/>
      <c r="L434" s="328"/>
      <c r="M434" s="328"/>
      <c r="N434" s="328"/>
      <c r="O434" s="328"/>
      <c r="P434" s="328"/>
      <c r="Q434" s="328"/>
      <c r="R434" s="328"/>
      <c r="S434" s="328"/>
      <c r="T434" s="328"/>
      <c r="U434" s="328"/>
      <c r="V434" s="328"/>
      <c r="W434" s="328"/>
      <c r="X434" s="328"/>
      <c r="Y434" s="328"/>
      <c r="Z434" s="328"/>
      <c r="AA434" s="328"/>
      <c r="AB434" s="328"/>
      <c r="AC434" s="328"/>
      <c r="AD434" s="328"/>
      <c r="AE434" s="328"/>
      <c r="AF434" s="328"/>
      <c r="AG434" s="328"/>
      <c r="AH434" s="328"/>
      <c r="AI434" s="328"/>
      <c r="AJ434" s="328"/>
      <c r="AK434" s="328"/>
      <c r="AL434" s="328"/>
      <c r="AM434" s="328"/>
      <c r="AN434" s="328"/>
      <c r="AO434" s="328"/>
      <c r="AP434" s="328"/>
      <c r="AQ434" s="328"/>
      <c r="AR434" s="328"/>
      <c r="AS434" s="328"/>
      <c r="AT434" s="328"/>
      <c r="AU434" s="328"/>
    </row>
    <row r="435" ht="15.75" customHeight="1">
      <c r="A435" s="328"/>
      <c r="B435" s="328"/>
      <c r="C435" s="328"/>
      <c r="D435" s="328"/>
      <c r="E435" s="328"/>
      <c r="F435" s="328"/>
      <c r="G435" s="328"/>
      <c r="H435" s="328"/>
      <c r="I435" s="328"/>
      <c r="J435" s="328"/>
      <c r="K435" s="328"/>
      <c r="L435" s="328"/>
      <c r="M435" s="328"/>
      <c r="N435" s="328"/>
      <c r="O435" s="328"/>
      <c r="P435" s="328"/>
      <c r="Q435" s="328"/>
      <c r="R435" s="328"/>
      <c r="S435" s="328"/>
      <c r="T435" s="328"/>
      <c r="U435" s="328"/>
      <c r="V435" s="328"/>
      <c r="W435" s="328"/>
      <c r="X435" s="328"/>
      <c r="Y435" s="328"/>
      <c r="Z435" s="328"/>
      <c r="AA435" s="328"/>
      <c r="AB435" s="328"/>
      <c r="AC435" s="328"/>
      <c r="AD435" s="328"/>
      <c r="AE435" s="328"/>
      <c r="AF435" s="328"/>
      <c r="AG435" s="328"/>
      <c r="AH435" s="328"/>
      <c r="AI435" s="328"/>
      <c r="AJ435" s="328"/>
      <c r="AK435" s="328"/>
      <c r="AL435" s="328"/>
      <c r="AM435" s="328"/>
      <c r="AN435" s="328"/>
      <c r="AO435" s="328"/>
      <c r="AP435" s="328"/>
      <c r="AQ435" s="328"/>
      <c r="AR435" s="328"/>
      <c r="AS435" s="328"/>
      <c r="AT435" s="328"/>
      <c r="AU435" s="328"/>
    </row>
    <row r="436" ht="15.75" customHeight="1">
      <c r="A436" s="328"/>
      <c r="B436" s="328"/>
      <c r="C436" s="328"/>
      <c r="D436" s="328"/>
      <c r="E436" s="328"/>
      <c r="F436" s="328"/>
      <c r="G436" s="328"/>
      <c r="H436" s="328"/>
      <c r="I436" s="328"/>
      <c r="J436" s="328"/>
      <c r="K436" s="328"/>
      <c r="L436" s="328"/>
      <c r="M436" s="328"/>
      <c r="N436" s="328"/>
      <c r="O436" s="328"/>
      <c r="P436" s="328"/>
      <c r="Q436" s="328"/>
      <c r="R436" s="328"/>
      <c r="S436" s="328"/>
      <c r="T436" s="328"/>
      <c r="U436" s="328"/>
      <c r="V436" s="328"/>
      <c r="W436" s="328"/>
      <c r="X436" s="328"/>
      <c r="Y436" s="328"/>
      <c r="Z436" s="328"/>
      <c r="AA436" s="328"/>
      <c r="AB436" s="328"/>
      <c r="AC436" s="328"/>
      <c r="AD436" s="328"/>
      <c r="AE436" s="328"/>
      <c r="AF436" s="328"/>
      <c r="AG436" s="328"/>
      <c r="AH436" s="328"/>
      <c r="AI436" s="328"/>
      <c r="AJ436" s="328"/>
      <c r="AK436" s="328"/>
      <c r="AL436" s="328"/>
      <c r="AM436" s="328"/>
      <c r="AN436" s="328"/>
      <c r="AO436" s="328"/>
      <c r="AP436" s="328"/>
      <c r="AQ436" s="328"/>
      <c r="AR436" s="328"/>
      <c r="AS436" s="328"/>
      <c r="AT436" s="328"/>
      <c r="AU436" s="328"/>
    </row>
    <row r="437" ht="15.75" customHeight="1">
      <c r="A437" s="328"/>
      <c r="B437" s="328"/>
      <c r="C437" s="328"/>
      <c r="D437" s="328"/>
      <c r="E437" s="328"/>
      <c r="F437" s="328"/>
      <c r="G437" s="328"/>
      <c r="H437" s="328"/>
      <c r="I437" s="328"/>
      <c r="J437" s="328"/>
      <c r="K437" s="328"/>
      <c r="L437" s="328"/>
      <c r="M437" s="328"/>
      <c r="N437" s="328"/>
      <c r="O437" s="328"/>
      <c r="P437" s="328"/>
      <c r="Q437" s="328"/>
      <c r="R437" s="328"/>
      <c r="S437" s="328"/>
      <c r="T437" s="328"/>
      <c r="U437" s="328"/>
      <c r="V437" s="328"/>
      <c r="W437" s="328"/>
      <c r="X437" s="328"/>
      <c r="Y437" s="328"/>
      <c r="Z437" s="328"/>
      <c r="AA437" s="328"/>
      <c r="AB437" s="328"/>
      <c r="AC437" s="328"/>
      <c r="AD437" s="328"/>
      <c r="AE437" s="328"/>
      <c r="AF437" s="328"/>
      <c r="AG437" s="328"/>
      <c r="AH437" s="328"/>
      <c r="AI437" s="328"/>
      <c r="AJ437" s="328"/>
      <c r="AK437" s="328"/>
      <c r="AL437" s="328"/>
      <c r="AM437" s="328"/>
      <c r="AN437" s="328"/>
      <c r="AO437" s="328"/>
      <c r="AP437" s="328"/>
      <c r="AQ437" s="328"/>
      <c r="AR437" s="328"/>
      <c r="AS437" s="328"/>
      <c r="AT437" s="328"/>
      <c r="AU437" s="328"/>
    </row>
    <row r="438" ht="15.75" customHeight="1">
      <c r="A438" s="328"/>
      <c r="B438" s="328"/>
      <c r="C438" s="328"/>
      <c r="D438" s="328"/>
      <c r="E438" s="328"/>
      <c r="F438" s="328"/>
      <c r="G438" s="328"/>
      <c r="H438" s="328"/>
      <c r="I438" s="328"/>
      <c r="J438" s="328"/>
      <c r="K438" s="328"/>
      <c r="L438" s="328"/>
      <c r="M438" s="328"/>
      <c r="N438" s="328"/>
      <c r="O438" s="328"/>
      <c r="P438" s="328"/>
      <c r="Q438" s="328"/>
      <c r="R438" s="328"/>
      <c r="S438" s="328"/>
      <c r="T438" s="328"/>
      <c r="U438" s="328"/>
      <c r="V438" s="328"/>
      <c r="W438" s="328"/>
      <c r="X438" s="328"/>
      <c r="Y438" s="328"/>
      <c r="Z438" s="328"/>
      <c r="AA438" s="328"/>
      <c r="AB438" s="328"/>
      <c r="AC438" s="328"/>
      <c r="AD438" s="328"/>
      <c r="AE438" s="328"/>
      <c r="AF438" s="328"/>
      <c r="AG438" s="328"/>
      <c r="AH438" s="328"/>
      <c r="AI438" s="328"/>
      <c r="AJ438" s="328"/>
      <c r="AK438" s="328"/>
      <c r="AL438" s="328"/>
      <c r="AM438" s="328"/>
      <c r="AN438" s="328"/>
      <c r="AO438" s="328"/>
      <c r="AP438" s="328"/>
      <c r="AQ438" s="328"/>
      <c r="AR438" s="328"/>
      <c r="AS438" s="328"/>
      <c r="AT438" s="328"/>
      <c r="AU438" s="328"/>
    </row>
    <row r="439" ht="15.75" customHeight="1">
      <c r="A439" s="328"/>
      <c r="B439" s="328"/>
      <c r="C439" s="328"/>
      <c r="D439" s="328"/>
      <c r="E439" s="328"/>
      <c r="F439" s="328"/>
      <c r="G439" s="328"/>
      <c r="H439" s="328"/>
      <c r="I439" s="328"/>
      <c r="J439" s="328"/>
      <c r="K439" s="328"/>
      <c r="L439" s="328"/>
      <c r="M439" s="328"/>
      <c r="N439" s="328"/>
      <c r="O439" s="328"/>
      <c r="P439" s="328"/>
      <c r="Q439" s="328"/>
      <c r="R439" s="328"/>
      <c r="S439" s="328"/>
      <c r="T439" s="328"/>
      <c r="U439" s="328"/>
      <c r="V439" s="328"/>
      <c r="W439" s="328"/>
      <c r="X439" s="328"/>
      <c r="Y439" s="328"/>
      <c r="Z439" s="328"/>
      <c r="AA439" s="328"/>
      <c r="AB439" s="328"/>
      <c r="AC439" s="328"/>
      <c r="AD439" s="328"/>
      <c r="AE439" s="328"/>
      <c r="AF439" s="328"/>
      <c r="AG439" s="328"/>
      <c r="AH439" s="328"/>
      <c r="AI439" s="328"/>
      <c r="AJ439" s="328"/>
      <c r="AK439" s="328"/>
      <c r="AL439" s="328"/>
      <c r="AM439" s="328"/>
      <c r="AN439" s="328"/>
      <c r="AO439" s="328"/>
      <c r="AP439" s="328"/>
      <c r="AQ439" s="328"/>
      <c r="AR439" s="328"/>
      <c r="AS439" s="328"/>
      <c r="AT439" s="328"/>
      <c r="AU439" s="328"/>
    </row>
    <row r="440" ht="15.75" customHeight="1">
      <c r="A440" s="328"/>
      <c r="B440" s="328"/>
      <c r="C440" s="328"/>
      <c r="D440" s="328"/>
      <c r="E440" s="328"/>
      <c r="F440" s="328"/>
      <c r="G440" s="328"/>
      <c r="H440" s="328"/>
      <c r="I440" s="328"/>
      <c r="J440" s="328"/>
      <c r="K440" s="328"/>
      <c r="L440" s="328"/>
      <c r="M440" s="328"/>
      <c r="N440" s="328"/>
      <c r="O440" s="328"/>
      <c r="P440" s="328"/>
      <c r="Q440" s="328"/>
      <c r="R440" s="328"/>
      <c r="S440" s="328"/>
      <c r="T440" s="328"/>
      <c r="U440" s="328"/>
      <c r="V440" s="328"/>
      <c r="W440" s="328"/>
      <c r="X440" s="328"/>
      <c r="Y440" s="328"/>
      <c r="Z440" s="328"/>
      <c r="AA440" s="328"/>
      <c r="AB440" s="328"/>
      <c r="AC440" s="328"/>
      <c r="AD440" s="328"/>
      <c r="AE440" s="328"/>
      <c r="AF440" s="328"/>
      <c r="AG440" s="328"/>
      <c r="AH440" s="328"/>
      <c r="AI440" s="328"/>
      <c r="AJ440" s="328"/>
      <c r="AK440" s="328"/>
      <c r="AL440" s="328"/>
      <c r="AM440" s="328"/>
      <c r="AN440" s="328"/>
      <c r="AO440" s="328"/>
      <c r="AP440" s="328"/>
      <c r="AQ440" s="328"/>
      <c r="AR440" s="328"/>
      <c r="AS440" s="328"/>
      <c r="AT440" s="328"/>
      <c r="AU440" s="328"/>
    </row>
    <row r="441" ht="15.75" customHeight="1">
      <c r="A441" s="328"/>
      <c r="B441" s="328"/>
      <c r="C441" s="328"/>
      <c r="D441" s="328"/>
      <c r="E441" s="328"/>
      <c r="F441" s="328"/>
      <c r="G441" s="328"/>
      <c r="H441" s="328"/>
      <c r="I441" s="328"/>
      <c r="J441" s="328"/>
      <c r="K441" s="328"/>
      <c r="L441" s="328"/>
      <c r="M441" s="328"/>
      <c r="N441" s="328"/>
      <c r="O441" s="328"/>
      <c r="P441" s="328"/>
      <c r="Q441" s="328"/>
      <c r="R441" s="328"/>
      <c r="S441" s="328"/>
      <c r="T441" s="328"/>
      <c r="U441" s="328"/>
      <c r="V441" s="328"/>
      <c r="W441" s="328"/>
      <c r="X441" s="328"/>
      <c r="Y441" s="328"/>
      <c r="Z441" s="328"/>
      <c r="AA441" s="328"/>
      <c r="AB441" s="328"/>
      <c r="AC441" s="328"/>
      <c r="AD441" s="328"/>
      <c r="AE441" s="328"/>
      <c r="AF441" s="328"/>
      <c r="AG441" s="328"/>
      <c r="AH441" s="328"/>
      <c r="AI441" s="328"/>
      <c r="AJ441" s="328"/>
      <c r="AK441" s="328"/>
      <c r="AL441" s="328"/>
      <c r="AM441" s="328"/>
      <c r="AN441" s="328"/>
      <c r="AO441" s="328"/>
      <c r="AP441" s="328"/>
      <c r="AQ441" s="328"/>
      <c r="AR441" s="328"/>
      <c r="AS441" s="328"/>
      <c r="AT441" s="328"/>
      <c r="AU441" s="328"/>
    </row>
    <row r="442" ht="15.75" customHeight="1">
      <c r="A442" s="328"/>
      <c r="B442" s="328"/>
      <c r="C442" s="328"/>
      <c r="D442" s="328"/>
      <c r="E442" s="328"/>
      <c r="F442" s="328"/>
      <c r="G442" s="328"/>
      <c r="H442" s="328"/>
      <c r="I442" s="328"/>
      <c r="J442" s="328"/>
      <c r="K442" s="328"/>
      <c r="L442" s="328"/>
      <c r="M442" s="328"/>
      <c r="N442" s="328"/>
      <c r="O442" s="328"/>
      <c r="P442" s="328"/>
      <c r="Q442" s="328"/>
      <c r="R442" s="328"/>
      <c r="S442" s="328"/>
      <c r="T442" s="328"/>
      <c r="U442" s="328"/>
      <c r="V442" s="328"/>
      <c r="W442" s="328"/>
      <c r="X442" s="328"/>
      <c r="Y442" s="328"/>
      <c r="Z442" s="328"/>
      <c r="AA442" s="328"/>
      <c r="AB442" s="328"/>
      <c r="AC442" s="328"/>
      <c r="AD442" s="328"/>
      <c r="AE442" s="328"/>
      <c r="AF442" s="328"/>
      <c r="AG442" s="328"/>
      <c r="AH442" s="328"/>
      <c r="AI442" s="328"/>
      <c r="AJ442" s="328"/>
      <c r="AK442" s="328"/>
      <c r="AL442" s="328"/>
      <c r="AM442" s="328"/>
      <c r="AN442" s="328"/>
      <c r="AO442" s="328"/>
      <c r="AP442" s="328"/>
      <c r="AQ442" s="328"/>
      <c r="AR442" s="328"/>
      <c r="AS442" s="328"/>
      <c r="AT442" s="328"/>
      <c r="AU442" s="328"/>
    </row>
    <row r="443" ht="15.75" customHeight="1">
      <c r="A443" s="328"/>
      <c r="B443" s="328"/>
      <c r="C443" s="328"/>
      <c r="D443" s="328"/>
      <c r="E443" s="328"/>
      <c r="F443" s="328"/>
      <c r="G443" s="328"/>
      <c r="H443" s="328"/>
      <c r="I443" s="328"/>
      <c r="J443" s="328"/>
      <c r="K443" s="328"/>
      <c r="L443" s="328"/>
      <c r="M443" s="328"/>
      <c r="N443" s="328"/>
      <c r="O443" s="328"/>
      <c r="P443" s="328"/>
      <c r="Q443" s="328"/>
      <c r="R443" s="328"/>
      <c r="S443" s="328"/>
      <c r="T443" s="328"/>
      <c r="U443" s="328"/>
      <c r="V443" s="328"/>
      <c r="W443" s="328"/>
      <c r="X443" s="328"/>
      <c r="Y443" s="328"/>
      <c r="Z443" s="328"/>
      <c r="AA443" s="328"/>
      <c r="AB443" s="328"/>
      <c r="AC443" s="328"/>
      <c r="AD443" s="328"/>
      <c r="AE443" s="328"/>
      <c r="AF443" s="328"/>
      <c r="AG443" s="328"/>
      <c r="AH443" s="328"/>
      <c r="AI443" s="328"/>
      <c r="AJ443" s="328"/>
      <c r="AK443" s="328"/>
      <c r="AL443" s="328"/>
      <c r="AM443" s="328"/>
      <c r="AN443" s="328"/>
      <c r="AO443" s="328"/>
      <c r="AP443" s="328"/>
      <c r="AQ443" s="328"/>
      <c r="AR443" s="328"/>
      <c r="AS443" s="328"/>
      <c r="AT443" s="328"/>
      <c r="AU443" s="328"/>
    </row>
    <row r="444" ht="15.75" customHeight="1">
      <c r="A444" s="328"/>
      <c r="B444" s="328"/>
      <c r="C444" s="328"/>
      <c r="D444" s="328"/>
      <c r="E444" s="328"/>
      <c r="F444" s="328"/>
      <c r="G444" s="328"/>
      <c r="H444" s="328"/>
      <c r="I444" s="328"/>
      <c r="J444" s="328"/>
      <c r="K444" s="328"/>
      <c r="L444" s="328"/>
      <c r="M444" s="328"/>
      <c r="N444" s="328"/>
      <c r="O444" s="328"/>
      <c r="P444" s="328"/>
      <c r="Q444" s="328"/>
      <c r="R444" s="328"/>
      <c r="S444" s="328"/>
      <c r="T444" s="328"/>
      <c r="U444" s="328"/>
      <c r="V444" s="328"/>
      <c r="W444" s="328"/>
      <c r="X444" s="328"/>
      <c r="Y444" s="328"/>
      <c r="Z444" s="328"/>
      <c r="AA444" s="328"/>
      <c r="AB444" s="328"/>
      <c r="AC444" s="328"/>
      <c r="AD444" s="328"/>
      <c r="AE444" s="328"/>
      <c r="AF444" s="328"/>
      <c r="AG444" s="328"/>
      <c r="AH444" s="328"/>
      <c r="AI444" s="328"/>
      <c r="AJ444" s="328"/>
      <c r="AK444" s="328"/>
      <c r="AL444" s="328"/>
      <c r="AM444" s="328"/>
      <c r="AN444" s="328"/>
      <c r="AO444" s="328"/>
      <c r="AP444" s="328"/>
      <c r="AQ444" s="328"/>
      <c r="AR444" s="328"/>
      <c r="AS444" s="328"/>
      <c r="AT444" s="328"/>
      <c r="AU444" s="328"/>
    </row>
    <row r="445" ht="15.75" customHeight="1">
      <c r="A445" s="328"/>
      <c r="B445" s="328"/>
      <c r="C445" s="328"/>
      <c r="D445" s="328"/>
      <c r="E445" s="328"/>
      <c r="F445" s="328"/>
      <c r="G445" s="328"/>
      <c r="H445" s="328"/>
      <c r="I445" s="328"/>
      <c r="J445" s="328"/>
      <c r="K445" s="328"/>
      <c r="L445" s="328"/>
      <c r="M445" s="328"/>
      <c r="N445" s="328"/>
      <c r="O445" s="328"/>
      <c r="P445" s="328"/>
      <c r="Q445" s="328"/>
      <c r="R445" s="328"/>
      <c r="S445" s="328"/>
      <c r="T445" s="328"/>
      <c r="U445" s="328"/>
      <c r="V445" s="328"/>
      <c r="W445" s="328"/>
      <c r="X445" s="328"/>
      <c r="Y445" s="328"/>
      <c r="Z445" s="328"/>
      <c r="AA445" s="328"/>
      <c r="AB445" s="328"/>
      <c r="AC445" s="328"/>
      <c r="AD445" s="328"/>
      <c r="AE445" s="328"/>
      <c r="AF445" s="328"/>
      <c r="AG445" s="328"/>
      <c r="AH445" s="328"/>
      <c r="AI445" s="328"/>
      <c r="AJ445" s="328"/>
      <c r="AK445" s="328"/>
      <c r="AL445" s="328"/>
      <c r="AM445" s="328"/>
      <c r="AN445" s="328"/>
      <c r="AO445" s="328"/>
      <c r="AP445" s="328"/>
      <c r="AQ445" s="328"/>
      <c r="AR445" s="328"/>
      <c r="AS445" s="328"/>
      <c r="AT445" s="328"/>
      <c r="AU445" s="328"/>
    </row>
    <row r="446" ht="15.75" customHeight="1">
      <c r="A446" s="328"/>
      <c r="B446" s="328"/>
      <c r="C446" s="328"/>
      <c r="D446" s="328"/>
      <c r="E446" s="328"/>
      <c r="F446" s="328"/>
      <c r="G446" s="328"/>
      <c r="H446" s="328"/>
      <c r="I446" s="328"/>
      <c r="J446" s="328"/>
      <c r="K446" s="328"/>
      <c r="L446" s="328"/>
      <c r="M446" s="328"/>
      <c r="N446" s="328"/>
      <c r="O446" s="328"/>
      <c r="P446" s="328"/>
      <c r="Q446" s="328"/>
      <c r="R446" s="328"/>
      <c r="S446" s="328"/>
      <c r="T446" s="328"/>
      <c r="U446" s="328"/>
      <c r="V446" s="328"/>
      <c r="W446" s="328"/>
      <c r="X446" s="328"/>
      <c r="Y446" s="328"/>
      <c r="Z446" s="328"/>
      <c r="AA446" s="328"/>
      <c r="AB446" s="328"/>
      <c r="AC446" s="328"/>
      <c r="AD446" s="328"/>
      <c r="AE446" s="328"/>
      <c r="AF446" s="328"/>
      <c r="AG446" s="328"/>
      <c r="AH446" s="328"/>
      <c r="AI446" s="328"/>
      <c r="AJ446" s="328"/>
      <c r="AK446" s="328"/>
      <c r="AL446" s="328"/>
      <c r="AM446" s="328"/>
      <c r="AN446" s="328"/>
      <c r="AO446" s="328"/>
      <c r="AP446" s="328"/>
      <c r="AQ446" s="328"/>
      <c r="AR446" s="328"/>
      <c r="AS446" s="328"/>
      <c r="AT446" s="328"/>
      <c r="AU446" s="328"/>
    </row>
    <row r="447" ht="15.75" customHeight="1">
      <c r="A447" s="328"/>
      <c r="B447" s="328"/>
      <c r="C447" s="328"/>
      <c r="D447" s="328"/>
      <c r="E447" s="328"/>
      <c r="F447" s="328"/>
      <c r="G447" s="328"/>
      <c r="H447" s="328"/>
      <c r="I447" s="328"/>
      <c r="J447" s="328"/>
      <c r="K447" s="328"/>
      <c r="L447" s="328"/>
      <c r="M447" s="328"/>
      <c r="N447" s="328"/>
      <c r="O447" s="328"/>
      <c r="P447" s="328"/>
      <c r="Q447" s="328"/>
      <c r="R447" s="328"/>
      <c r="S447" s="328"/>
      <c r="T447" s="328"/>
      <c r="U447" s="328"/>
      <c r="V447" s="328"/>
      <c r="W447" s="328"/>
      <c r="X447" s="328"/>
      <c r="Y447" s="328"/>
      <c r="Z447" s="328"/>
      <c r="AA447" s="328"/>
      <c r="AB447" s="328"/>
      <c r="AC447" s="328"/>
      <c r="AD447" s="328"/>
      <c r="AE447" s="328"/>
      <c r="AF447" s="328"/>
      <c r="AG447" s="328"/>
      <c r="AH447" s="328"/>
      <c r="AI447" s="328"/>
      <c r="AJ447" s="328"/>
      <c r="AK447" s="328"/>
      <c r="AL447" s="328"/>
      <c r="AM447" s="328"/>
      <c r="AN447" s="328"/>
      <c r="AO447" s="328"/>
      <c r="AP447" s="328"/>
      <c r="AQ447" s="328"/>
      <c r="AR447" s="328"/>
      <c r="AS447" s="328"/>
      <c r="AT447" s="328"/>
      <c r="AU447" s="328"/>
    </row>
    <row r="448" ht="15.75" customHeight="1">
      <c r="A448" s="328"/>
      <c r="B448" s="328"/>
      <c r="C448" s="328"/>
      <c r="D448" s="328"/>
      <c r="E448" s="328"/>
      <c r="F448" s="328"/>
      <c r="G448" s="328"/>
      <c r="H448" s="328"/>
      <c r="I448" s="328"/>
      <c r="J448" s="328"/>
      <c r="K448" s="328"/>
      <c r="L448" s="328"/>
      <c r="M448" s="328"/>
      <c r="N448" s="328"/>
      <c r="O448" s="328"/>
      <c r="P448" s="328"/>
      <c r="Q448" s="328"/>
      <c r="R448" s="328"/>
      <c r="S448" s="328"/>
      <c r="T448" s="328"/>
      <c r="U448" s="328"/>
      <c r="V448" s="328"/>
      <c r="W448" s="328"/>
      <c r="X448" s="328"/>
      <c r="Y448" s="328"/>
      <c r="Z448" s="328"/>
      <c r="AA448" s="328"/>
      <c r="AB448" s="328"/>
      <c r="AC448" s="328"/>
      <c r="AD448" s="328"/>
      <c r="AE448" s="328"/>
      <c r="AF448" s="328"/>
      <c r="AG448" s="328"/>
      <c r="AH448" s="328"/>
      <c r="AI448" s="328"/>
      <c r="AJ448" s="328"/>
      <c r="AK448" s="328"/>
      <c r="AL448" s="328"/>
      <c r="AM448" s="328"/>
      <c r="AN448" s="328"/>
      <c r="AO448" s="328"/>
      <c r="AP448" s="328"/>
      <c r="AQ448" s="328"/>
      <c r="AR448" s="328"/>
      <c r="AS448" s="328"/>
      <c r="AT448" s="328"/>
      <c r="AU448" s="328"/>
    </row>
    <row r="449" ht="15.75" customHeight="1">
      <c r="A449" s="328"/>
      <c r="B449" s="328"/>
      <c r="C449" s="328"/>
      <c r="D449" s="328"/>
      <c r="E449" s="328"/>
      <c r="F449" s="328"/>
      <c r="G449" s="328"/>
      <c r="H449" s="328"/>
      <c r="I449" s="328"/>
      <c r="J449" s="328"/>
      <c r="K449" s="328"/>
      <c r="L449" s="328"/>
      <c r="M449" s="328"/>
      <c r="N449" s="328"/>
      <c r="O449" s="328"/>
      <c r="P449" s="328"/>
      <c r="Q449" s="328"/>
      <c r="R449" s="328"/>
      <c r="S449" s="328"/>
      <c r="T449" s="328"/>
      <c r="U449" s="328"/>
      <c r="V449" s="328"/>
      <c r="W449" s="328"/>
      <c r="X449" s="328"/>
      <c r="Y449" s="328"/>
      <c r="Z449" s="328"/>
      <c r="AA449" s="328"/>
      <c r="AB449" s="328"/>
      <c r="AC449" s="328"/>
      <c r="AD449" s="328"/>
      <c r="AE449" s="328"/>
      <c r="AF449" s="328"/>
      <c r="AG449" s="328"/>
      <c r="AH449" s="328"/>
      <c r="AI449" s="328"/>
      <c r="AJ449" s="328"/>
      <c r="AK449" s="328"/>
      <c r="AL449" s="328"/>
      <c r="AM449" s="328"/>
      <c r="AN449" s="328"/>
      <c r="AO449" s="328"/>
      <c r="AP449" s="328"/>
      <c r="AQ449" s="328"/>
      <c r="AR449" s="328"/>
      <c r="AS449" s="328"/>
      <c r="AT449" s="328"/>
      <c r="AU449" s="328"/>
    </row>
    <row r="450" ht="15.75" customHeight="1">
      <c r="A450" s="328"/>
      <c r="B450" s="328"/>
      <c r="C450" s="328"/>
      <c r="D450" s="328"/>
      <c r="E450" s="328"/>
      <c r="F450" s="328"/>
      <c r="G450" s="328"/>
      <c r="H450" s="328"/>
      <c r="I450" s="328"/>
      <c r="J450" s="328"/>
      <c r="K450" s="328"/>
      <c r="L450" s="328"/>
      <c r="M450" s="328"/>
      <c r="N450" s="328"/>
      <c r="O450" s="328"/>
      <c r="P450" s="328"/>
      <c r="Q450" s="328"/>
      <c r="R450" s="328"/>
      <c r="S450" s="328"/>
      <c r="T450" s="328"/>
      <c r="U450" s="328"/>
      <c r="V450" s="328"/>
      <c r="W450" s="328"/>
      <c r="X450" s="328"/>
      <c r="Y450" s="328"/>
      <c r="Z450" s="328"/>
      <c r="AA450" s="328"/>
      <c r="AB450" s="328"/>
      <c r="AC450" s="328"/>
      <c r="AD450" s="328"/>
      <c r="AE450" s="328"/>
      <c r="AF450" s="328"/>
      <c r="AG450" s="328"/>
      <c r="AH450" s="328"/>
      <c r="AI450" s="328"/>
      <c r="AJ450" s="328"/>
      <c r="AK450" s="328"/>
      <c r="AL450" s="328"/>
      <c r="AM450" s="328"/>
      <c r="AN450" s="328"/>
      <c r="AO450" s="328"/>
      <c r="AP450" s="328"/>
      <c r="AQ450" s="328"/>
      <c r="AR450" s="328"/>
      <c r="AS450" s="328"/>
      <c r="AT450" s="328"/>
      <c r="AU450" s="328"/>
    </row>
    <row r="451" ht="15.75" customHeight="1">
      <c r="A451" s="328"/>
      <c r="B451" s="328"/>
      <c r="C451" s="328"/>
      <c r="D451" s="328"/>
      <c r="E451" s="328"/>
      <c r="F451" s="328"/>
      <c r="G451" s="328"/>
      <c r="H451" s="328"/>
      <c r="I451" s="328"/>
      <c r="J451" s="328"/>
      <c r="K451" s="328"/>
      <c r="L451" s="328"/>
      <c r="M451" s="328"/>
      <c r="N451" s="328"/>
      <c r="O451" s="328"/>
      <c r="P451" s="328"/>
      <c r="Q451" s="328"/>
      <c r="R451" s="328"/>
      <c r="S451" s="328"/>
      <c r="T451" s="328"/>
      <c r="U451" s="328"/>
      <c r="V451" s="328"/>
      <c r="W451" s="328"/>
      <c r="X451" s="328"/>
      <c r="Y451" s="328"/>
      <c r="Z451" s="328"/>
      <c r="AA451" s="328"/>
      <c r="AB451" s="328"/>
      <c r="AC451" s="328"/>
      <c r="AD451" s="328"/>
      <c r="AE451" s="328"/>
      <c r="AF451" s="328"/>
      <c r="AG451" s="328"/>
      <c r="AH451" s="328"/>
      <c r="AI451" s="328"/>
      <c r="AJ451" s="328"/>
      <c r="AK451" s="328"/>
      <c r="AL451" s="328"/>
      <c r="AM451" s="328"/>
      <c r="AN451" s="328"/>
      <c r="AO451" s="328"/>
      <c r="AP451" s="328"/>
      <c r="AQ451" s="328"/>
      <c r="AR451" s="328"/>
      <c r="AS451" s="328"/>
      <c r="AT451" s="328"/>
      <c r="AU451" s="328"/>
    </row>
    <row r="452" ht="15.75" customHeight="1">
      <c r="A452" s="328"/>
      <c r="B452" s="328"/>
      <c r="C452" s="328"/>
      <c r="D452" s="328"/>
      <c r="E452" s="328"/>
      <c r="F452" s="328"/>
      <c r="G452" s="328"/>
      <c r="H452" s="328"/>
      <c r="I452" s="328"/>
      <c r="J452" s="328"/>
      <c r="K452" s="328"/>
      <c r="L452" s="328"/>
      <c r="M452" s="328"/>
      <c r="N452" s="328"/>
      <c r="O452" s="328"/>
      <c r="P452" s="328"/>
      <c r="Q452" s="328"/>
      <c r="R452" s="328"/>
      <c r="S452" s="328"/>
      <c r="T452" s="328"/>
      <c r="U452" s="328"/>
      <c r="V452" s="328"/>
      <c r="W452" s="328"/>
      <c r="X452" s="328"/>
      <c r="Y452" s="328"/>
      <c r="Z452" s="328"/>
      <c r="AA452" s="328"/>
      <c r="AB452" s="328"/>
      <c r="AC452" s="328"/>
      <c r="AD452" s="328"/>
      <c r="AE452" s="328"/>
      <c r="AF452" s="328"/>
      <c r="AG452" s="328"/>
      <c r="AH452" s="328"/>
      <c r="AI452" s="328"/>
      <c r="AJ452" s="328"/>
      <c r="AK452" s="328"/>
      <c r="AL452" s="328"/>
      <c r="AM452" s="328"/>
      <c r="AN452" s="328"/>
      <c r="AO452" s="328"/>
      <c r="AP452" s="328"/>
      <c r="AQ452" s="328"/>
      <c r="AR452" s="328"/>
      <c r="AS452" s="328"/>
      <c r="AT452" s="328"/>
      <c r="AU452" s="328"/>
    </row>
    <row r="453" ht="15.75" customHeight="1">
      <c r="A453" s="328"/>
      <c r="B453" s="328"/>
      <c r="C453" s="328"/>
      <c r="D453" s="328"/>
      <c r="E453" s="328"/>
      <c r="F453" s="328"/>
      <c r="G453" s="328"/>
      <c r="H453" s="328"/>
      <c r="I453" s="328"/>
      <c r="J453" s="328"/>
      <c r="K453" s="328"/>
      <c r="L453" s="328"/>
      <c r="M453" s="328"/>
      <c r="N453" s="328"/>
      <c r="O453" s="328"/>
      <c r="P453" s="328"/>
      <c r="Q453" s="328"/>
      <c r="R453" s="328"/>
      <c r="S453" s="328"/>
      <c r="T453" s="328"/>
      <c r="U453" s="328"/>
      <c r="V453" s="328"/>
      <c r="W453" s="328"/>
      <c r="X453" s="328"/>
      <c r="Y453" s="328"/>
      <c r="Z453" s="328"/>
      <c r="AA453" s="328"/>
      <c r="AB453" s="328"/>
      <c r="AC453" s="328"/>
      <c r="AD453" s="328"/>
      <c r="AE453" s="328"/>
      <c r="AF453" s="328"/>
      <c r="AG453" s="328"/>
      <c r="AH453" s="328"/>
      <c r="AI453" s="328"/>
      <c r="AJ453" s="328"/>
      <c r="AK453" s="328"/>
      <c r="AL453" s="328"/>
      <c r="AM453" s="328"/>
      <c r="AN453" s="328"/>
      <c r="AO453" s="328"/>
      <c r="AP453" s="328"/>
      <c r="AQ453" s="328"/>
      <c r="AR453" s="328"/>
      <c r="AS453" s="328"/>
      <c r="AT453" s="328"/>
      <c r="AU453" s="328"/>
    </row>
    <row r="454" ht="15.75" customHeight="1">
      <c r="A454" s="328"/>
      <c r="B454" s="328"/>
      <c r="C454" s="328"/>
      <c r="D454" s="328"/>
      <c r="E454" s="328"/>
      <c r="F454" s="328"/>
      <c r="G454" s="328"/>
      <c r="H454" s="328"/>
      <c r="I454" s="328"/>
      <c r="J454" s="328"/>
      <c r="K454" s="328"/>
      <c r="L454" s="328"/>
      <c r="M454" s="328"/>
      <c r="N454" s="328"/>
      <c r="O454" s="328"/>
      <c r="P454" s="328"/>
      <c r="Q454" s="328"/>
      <c r="R454" s="328"/>
      <c r="S454" s="328"/>
      <c r="T454" s="328"/>
      <c r="U454" s="328"/>
      <c r="V454" s="328"/>
      <c r="W454" s="328"/>
      <c r="X454" s="328"/>
      <c r="Y454" s="328"/>
      <c r="Z454" s="328"/>
      <c r="AA454" s="328"/>
      <c r="AB454" s="328"/>
      <c r="AC454" s="328"/>
      <c r="AD454" s="328"/>
      <c r="AE454" s="328"/>
      <c r="AF454" s="328"/>
      <c r="AG454" s="328"/>
      <c r="AH454" s="328"/>
      <c r="AI454" s="328"/>
      <c r="AJ454" s="328"/>
      <c r="AK454" s="328"/>
      <c r="AL454" s="328"/>
      <c r="AM454" s="328"/>
      <c r="AN454" s="328"/>
      <c r="AO454" s="328"/>
      <c r="AP454" s="328"/>
      <c r="AQ454" s="328"/>
      <c r="AR454" s="328"/>
      <c r="AS454" s="328"/>
      <c r="AT454" s="328"/>
      <c r="AU454" s="328"/>
    </row>
    <row r="455" ht="15.75" customHeight="1">
      <c r="A455" s="328"/>
      <c r="B455" s="328"/>
      <c r="C455" s="328"/>
      <c r="D455" s="328"/>
      <c r="E455" s="328"/>
      <c r="F455" s="328"/>
      <c r="G455" s="328"/>
      <c r="H455" s="328"/>
      <c r="I455" s="328"/>
      <c r="J455" s="328"/>
      <c r="K455" s="328"/>
      <c r="L455" s="328"/>
      <c r="M455" s="328"/>
      <c r="N455" s="328"/>
      <c r="O455" s="328"/>
      <c r="P455" s="328"/>
      <c r="Q455" s="328"/>
      <c r="R455" s="328"/>
      <c r="S455" s="328"/>
      <c r="T455" s="328"/>
      <c r="U455" s="328"/>
      <c r="V455" s="328"/>
      <c r="W455" s="328"/>
      <c r="X455" s="328"/>
      <c r="Y455" s="328"/>
      <c r="Z455" s="328"/>
      <c r="AA455" s="328"/>
      <c r="AB455" s="328"/>
      <c r="AC455" s="328"/>
      <c r="AD455" s="328"/>
      <c r="AE455" s="328"/>
      <c r="AF455" s="328"/>
      <c r="AG455" s="328"/>
      <c r="AH455" s="328"/>
      <c r="AI455" s="328"/>
      <c r="AJ455" s="328"/>
      <c r="AK455" s="328"/>
      <c r="AL455" s="328"/>
      <c r="AM455" s="328"/>
      <c r="AN455" s="328"/>
      <c r="AO455" s="328"/>
      <c r="AP455" s="328"/>
      <c r="AQ455" s="328"/>
      <c r="AR455" s="328"/>
      <c r="AS455" s="328"/>
      <c r="AT455" s="328"/>
      <c r="AU455" s="328"/>
    </row>
    <row r="456" ht="15.75" customHeight="1">
      <c r="A456" s="328"/>
      <c r="B456" s="328"/>
      <c r="C456" s="328"/>
      <c r="D456" s="328"/>
      <c r="E456" s="328"/>
      <c r="F456" s="328"/>
      <c r="G456" s="328"/>
      <c r="H456" s="328"/>
      <c r="I456" s="328"/>
      <c r="J456" s="328"/>
      <c r="K456" s="328"/>
      <c r="L456" s="328"/>
      <c r="M456" s="328"/>
      <c r="N456" s="328"/>
      <c r="O456" s="328"/>
      <c r="P456" s="328"/>
      <c r="Q456" s="328"/>
      <c r="R456" s="328"/>
      <c r="S456" s="328"/>
      <c r="T456" s="328"/>
      <c r="U456" s="328"/>
      <c r="V456" s="328"/>
      <c r="W456" s="328"/>
      <c r="X456" s="328"/>
      <c r="Y456" s="328"/>
      <c r="Z456" s="328"/>
      <c r="AA456" s="328"/>
      <c r="AB456" s="328"/>
      <c r="AC456" s="328"/>
      <c r="AD456" s="328"/>
      <c r="AE456" s="328"/>
      <c r="AF456" s="328"/>
      <c r="AG456" s="328"/>
      <c r="AH456" s="328"/>
      <c r="AI456" s="328"/>
      <c r="AJ456" s="328"/>
      <c r="AK456" s="328"/>
      <c r="AL456" s="328"/>
      <c r="AM456" s="328"/>
      <c r="AN456" s="328"/>
      <c r="AO456" s="328"/>
      <c r="AP456" s="328"/>
      <c r="AQ456" s="328"/>
      <c r="AR456" s="328"/>
      <c r="AS456" s="328"/>
      <c r="AT456" s="328"/>
      <c r="AU456" s="328"/>
    </row>
    <row r="457" ht="15.75" customHeight="1">
      <c r="A457" s="328"/>
      <c r="B457" s="328"/>
      <c r="C457" s="328"/>
      <c r="D457" s="328"/>
      <c r="E457" s="328"/>
      <c r="F457" s="328"/>
      <c r="G457" s="328"/>
      <c r="H457" s="328"/>
      <c r="I457" s="328"/>
      <c r="J457" s="328"/>
      <c r="K457" s="328"/>
      <c r="L457" s="328"/>
      <c r="M457" s="328"/>
      <c r="N457" s="328"/>
      <c r="O457" s="328"/>
      <c r="P457" s="328"/>
      <c r="Q457" s="328"/>
      <c r="R457" s="328"/>
      <c r="S457" s="328"/>
      <c r="T457" s="328"/>
      <c r="U457" s="328"/>
      <c r="V457" s="328"/>
      <c r="W457" s="328"/>
      <c r="X457" s="328"/>
      <c r="Y457" s="328"/>
      <c r="Z457" s="328"/>
      <c r="AA457" s="328"/>
      <c r="AB457" s="328"/>
      <c r="AC457" s="328"/>
      <c r="AD457" s="328"/>
      <c r="AE457" s="328"/>
      <c r="AF457" s="328"/>
      <c r="AG457" s="328"/>
      <c r="AH457" s="328"/>
      <c r="AI457" s="328"/>
      <c r="AJ457" s="328"/>
      <c r="AK457" s="328"/>
      <c r="AL457" s="328"/>
      <c r="AM457" s="328"/>
      <c r="AN457" s="328"/>
      <c r="AO457" s="328"/>
      <c r="AP457" s="328"/>
      <c r="AQ457" s="328"/>
      <c r="AR457" s="328"/>
      <c r="AS457" s="328"/>
      <c r="AT457" s="328"/>
      <c r="AU457" s="328"/>
    </row>
    <row r="458" ht="15.75" customHeight="1">
      <c r="A458" s="328"/>
      <c r="B458" s="328"/>
      <c r="C458" s="328"/>
      <c r="D458" s="328"/>
      <c r="E458" s="328"/>
      <c r="F458" s="328"/>
      <c r="G458" s="328"/>
      <c r="H458" s="328"/>
      <c r="I458" s="328"/>
      <c r="J458" s="328"/>
      <c r="K458" s="328"/>
      <c r="L458" s="328"/>
      <c r="M458" s="328"/>
      <c r="N458" s="328"/>
      <c r="O458" s="328"/>
      <c r="P458" s="328"/>
      <c r="Q458" s="328"/>
      <c r="R458" s="328"/>
      <c r="S458" s="328"/>
      <c r="T458" s="328"/>
      <c r="U458" s="328"/>
      <c r="V458" s="328"/>
      <c r="W458" s="328"/>
      <c r="X458" s="328"/>
      <c r="Y458" s="328"/>
      <c r="Z458" s="328"/>
      <c r="AA458" s="328"/>
      <c r="AB458" s="328"/>
      <c r="AC458" s="328"/>
      <c r="AD458" s="328"/>
      <c r="AE458" s="328"/>
      <c r="AF458" s="328"/>
      <c r="AG458" s="328"/>
      <c r="AH458" s="328"/>
      <c r="AI458" s="328"/>
      <c r="AJ458" s="328"/>
      <c r="AK458" s="328"/>
      <c r="AL458" s="328"/>
      <c r="AM458" s="328"/>
      <c r="AN458" s="328"/>
      <c r="AO458" s="328"/>
      <c r="AP458" s="328"/>
      <c r="AQ458" s="328"/>
      <c r="AR458" s="328"/>
      <c r="AS458" s="328"/>
      <c r="AT458" s="328"/>
      <c r="AU458" s="328"/>
    </row>
    <row r="459" ht="15.75" customHeight="1">
      <c r="A459" s="328"/>
      <c r="B459" s="328"/>
      <c r="C459" s="328"/>
      <c r="D459" s="328"/>
      <c r="E459" s="328"/>
      <c r="F459" s="328"/>
      <c r="G459" s="328"/>
      <c r="H459" s="328"/>
      <c r="I459" s="328"/>
      <c r="J459" s="328"/>
      <c r="K459" s="328"/>
      <c r="L459" s="328"/>
      <c r="M459" s="328"/>
      <c r="N459" s="328"/>
      <c r="O459" s="328"/>
      <c r="P459" s="328"/>
      <c r="Q459" s="328"/>
      <c r="R459" s="328"/>
      <c r="S459" s="328"/>
      <c r="T459" s="328"/>
      <c r="U459" s="328"/>
      <c r="V459" s="328"/>
      <c r="W459" s="328"/>
      <c r="X459" s="328"/>
      <c r="Y459" s="328"/>
      <c r="Z459" s="328"/>
      <c r="AA459" s="328"/>
      <c r="AB459" s="328"/>
      <c r="AC459" s="328"/>
      <c r="AD459" s="328"/>
      <c r="AE459" s="328"/>
      <c r="AF459" s="328"/>
      <c r="AG459" s="328"/>
      <c r="AH459" s="328"/>
      <c r="AI459" s="328"/>
      <c r="AJ459" s="328"/>
      <c r="AK459" s="328"/>
      <c r="AL459" s="328"/>
      <c r="AM459" s="328"/>
      <c r="AN459" s="328"/>
      <c r="AO459" s="328"/>
      <c r="AP459" s="328"/>
      <c r="AQ459" s="328"/>
      <c r="AR459" s="328"/>
      <c r="AS459" s="328"/>
      <c r="AT459" s="328"/>
      <c r="AU459" s="328"/>
    </row>
    <row r="460" ht="15.75" customHeight="1">
      <c r="A460" s="328"/>
      <c r="B460" s="328"/>
      <c r="C460" s="328"/>
      <c r="D460" s="328"/>
      <c r="E460" s="328"/>
      <c r="F460" s="328"/>
      <c r="G460" s="328"/>
      <c r="H460" s="328"/>
      <c r="I460" s="328"/>
      <c r="J460" s="328"/>
      <c r="K460" s="328"/>
      <c r="L460" s="328"/>
      <c r="M460" s="328"/>
      <c r="N460" s="328"/>
      <c r="O460" s="328"/>
      <c r="P460" s="328"/>
      <c r="Q460" s="328"/>
      <c r="R460" s="328"/>
      <c r="S460" s="328"/>
      <c r="T460" s="328"/>
      <c r="U460" s="328"/>
      <c r="V460" s="328"/>
      <c r="W460" s="328"/>
      <c r="X460" s="328"/>
      <c r="Y460" s="328"/>
      <c r="Z460" s="328"/>
      <c r="AA460" s="328"/>
      <c r="AB460" s="328"/>
      <c r="AC460" s="328"/>
      <c r="AD460" s="328"/>
      <c r="AE460" s="328"/>
      <c r="AF460" s="328"/>
      <c r="AG460" s="328"/>
      <c r="AH460" s="328"/>
      <c r="AI460" s="328"/>
      <c r="AJ460" s="328"/>
      <c r="AK460" s="328"/>
      <c r="AL460" s="328"/>
      <c r="AM460" s="328"/>
      <c r="AN460" s="328"/>
      <c r="AO460" s="328"/>
      <c r="AP460" s="328"/>
      <c r="AQ460" s="328"/>
      <c r="AR460" s="328"/>
      <c r="AS460" s="328"/>
      <c r="AT460" s="328"/>
      <c r="AU460" s="328"/>
    </row>
    <row r="461" ht="15.75" customHeight="1">
      <c r="A461" s="328"/>
      <c r="B461" s="328"/>
      <c r="C461" s="328"/>
      <c r="D461" s="328"/>
      <c r="E461" s="328"/>
      <c r="F461" s="328"/>
      <c r="G461" s="328"/>
      <c r="H461" s="328"/>
      <c r="I461" s="328"/>
      <c r="J461" s="328"/>
      <c r="K461" s="328"/>
      <c r="L461" s="328"/>
      <c r="M461" s="328"/>
      <c r="N461" s="328"/>
      <c r="O461" s="328"/>
      <c r="P461" s="328"/>
      <c r="Q461" s="328"/>
      <c r="R461" s="328"/>
      <c r="S461" s="328"/>
      <c r="T461" s="328"/>
      <c r="U461" s="328"/>
      <c r="V461" s="328"/>
      <c r="W461" s="328"/>
      <c r="X461" s="328"/>
      <c r="Y461" s="328"/>
      <c r="Z461" s="328"/>
      <c r="AA461" s="328"/>
      <c r="AB461" s="328"/>
      <c r="AC461" s="328"/>
      <c r="AD461" s="328"/>
      <c r="AE461" s="328"/>
      <c r="AF461" s="328"/>
      <c r="AG461" s="328"/>
      <c r="AH461" s="328"/>
      <c r="AI461" s="328"/>
      <c r="AJ461" s="328"/>
      <c r="AK461" s="328"/>
      <c r="AL461" s="328"/>
      <c r="AM461" s="328"/>
      <c r="AN461" s="328"/>
      <c r="AO461" s="328"/>
      <c r="AP461" s="328"/>
      <c r="AQ461" s="328"/>
      <c r="AR461" s="328"/>
      <c r="AS461" s="328"/>
      <c r="AT461" s="328"/>
      <c r="AU461" s="328"/>
    </row>
    <row r="462" ht="15.75" customHeight="1">
      <c r="A462" s="328"/>
      <c r="B462" s="328"/>
      <c r="C462" s="328"/>
      <c r="D462" s="328"/>
      <c r="E462" s="328"/>
      <c r="F462" s="328"/>
      <c r="G462" s="328"/>
      <c r="H462" s="328"/>
      <c r="I462" s="328"/>
      <c r="J462" s="328"/>
      <c r="K462" s="328"/>
      <c r="L462" s="328"/>
      <c r="M462" s="328"/>
      <c r="N462" s="328"/>
      <c r="O462" s="328"/>
      <c r="P462" s="328"/>
      <c r="Q462" s="328"/>
      <c r="R462" s="328"/>
      <c r="S462" s="328"/>
      <c r="T462" s="328"/>
      <c r="U462" s="328"/>
      <c r="V462" s="328"/>
      <c r="W462" s="328"/>
      <c r="X462" s="328"/>
      <c r="Y462" s="328"/>
      <c r="Z462" s="328"/>
      <c r="AA462" s="328"/>
      <c r="AB462" s="328"/>
      <c r="AC462" s="328"/>
      <c r="AD462" s="328"/>
      <c r="AE462" s="328"/>
      <c r="AF462" s="328"/>
      <c r="AG462" s="328"/>
      <c r="AH462" s="328"/>
      <c r="AI462" s="328"/>
      <c r="AJ462" s="328"/>
      <c r="AK462" s="328"/>
      <c r="AL462" s="328"/>
      <c r="AM462" s="328"/>
      <c r="AN462" s="328"/>
      <c r="AO462" s="328"/>
      <c r="AP462" s="328"/>
      <c r="AQ462" s="328"/>
      <c r="AR462" s="328"/>
      <c r="AS462" s="328"/>
      <c r="AT462" s="328"/>
      <c r="AU462" s="328"/>
    </row>
    <row r="463" ht="15.75" customHeight="1">
      <c r="A463" s="328"/>
      <c r="B463" s="328"/>
      <c r="C463" s="328"/>
      <c r="D463" s="328"/>
      <c r="E463" s="328"/>
      <c r="F463" s="328"/>
      <c r="G463" s="328"/>
      <c r="H463" s="328"/>
      <c r="I463" s="328"/>
      <c r="J463" s="328"/>
      <c r="K463" s="328"/>
      <c r="L463" s="328"/>
      <c r="M463" s="328"/>
      <c r="N463" s="328"/>
      <c r="O463" s="328"/>
      <c r="P463" s="328"/>
      <c r="Q463" s="328"/>
      <c r="R463" s="328"/>
      <c r="S463" s="328"/>
      <c r="T463" s="328"/>
      <c r="U463" s="328"/>
      <c r="V463" s="328"/>
      <c r="W463" s="328"/>
      <c r="X463" s="328"/>
      <c r="Y463" s="328"/>
      <c r="Z463" s="328"/>
      <c r="AA463" s="328"/>
      <c r="AB463" s="328"/>
      <c r="AC463" s="328"/>
      <c r="AD463" s="328"/>
      <c r="AE463" s="328"/>
      <c r="AF463" s="328"/>
      <c r="AG463" s="328"/>
      <c r="AH463" s="328"/>
      <c r="AI463" s="328"/>
      <c r="AJ463" s="328"/>
      <c r="AK463" s="328"/>
      <c r="AL463" s="328"/>
      <c r="AM463" s="328"/>
      <c r="AN463" s="328"/>
      <c r="AO463" s="328"/>
      <c r="AP463" s="328"/>
      <c r="AQ463" s="328"/>
      <c r="AR463" s="328"/>
      <c r="AS463" s="328"/>
      <c r="AT463" s="328"/>
      <c r="AU463" s="328"/>
    </row>
    <row r="464" ht="15.75" customHeight="1">
      <c r="A464" s="328"/>
      <c r="B464" s="328"/>
      <c r="C464" s="328"/>
      <c r="D464" s="328"/>
      <c r="E464" s="328"/>
      <c r="F464" s="328"/>
      <c r="G464" s="328"/>
      <c r="H464" s="328"/>
      <c r="I464" s="328"/>
      <c r="J464" s="328"/>
      <c r="K464" s="328"/>
      <c r="L464" s="328"/>
      <c r="M464" s="328"/>
      <c r="N464" s="328"/>
      <c r="O464" s="328"/>
      <c r="P464" s="328"/>
      <c r="Q464" s="328"/>
      <c r="R464" s="328"/>
      <c r="S464" s="328"/>
      <c r="T464" s="328"/>
      <c r="U464" s="328"/>
      <c r="V464" s="328"/>
      <c r="W464" s="328"/>
      <c r="X464" s="328"/>
      <c r="Y464" s="328"/>
      <c r="Z464" s="328"/>
      <c r="AA464" s="328"/>
      <c r="AB464" s="328"/>
      <c r="AC464" s="328"/>
      <c r="AD464" s="328"/>
      <c r="AE464" s="328"/>
      <c r="AF464" s="328"/>
      <c r="AG464" s="328"/>
      <c r="AH464" s="328"/>
      <c r="AI464" s="328"/>
      <c r="AJ464" s="328"/>
      <c r="AK464" s="328"/>
      <c r="AL464" s="328"/>
      <c r="AM464" s="328"/>
      <c r="AN464" s="328"/>
      <c r="AO464" s="328"/>
      <c r="AP464" s="328"/>
      <c r="AQ464" s="328"/>
      <c r="AR464" s="328"/>
      <c r="AS464" s="328"/>
      <c r="AT464" s="328"/>
      <c r="AU464" s="328"/>
    </row>
    <row r="465" ht="15.75" customHeight="1">
      <c r="A465" s="328"/>
      <c r="B465" s="328"/>
      <c r="C465" s="328"/>
      <c r="D465" s="328"/>
      <c r="E465" s="328"/>
      <c r="F465" s="328"/>
      <c r="G465" s="328"/>
      <c r="H465" s="328"/>
      <c r="I465" s="328"/>
      <c r="J465" s="328"/>
      <c r="K465" s="328"/>
      <c r="L465" s="328"/>
      <c r="M465" s="328"/>
      <c r="N465" s="328"/>
      <c r="O465" s="328"/>
      <c r="P465" s="328"/>
      <c r="Q465" s="328"/>
      <c r="R465" s="328"/>
      <c r="S465" s="328"/>
      <c r="T465" s="328"/>
      <c r="U465" s="328"/>
      <c r="V465" s="328"/>
      <c r="W465" s="328"/>
      <c r="X465" s="328"/>
      <c r="Y465" s="328"/>
      <c r="Z465" s="328"/>
      <c r="AA465" s="328"/>
      <c r="AB465" s="328"/>
      <c r="AC465" s="328"/>
      <c r="AD465" s="328"/>
      <c r="AE465" s="328"/>
      <c r="AF465" s="328"/>
      <c r="AG465" s="328"/>
      <c r="AH465" s="328"/>
      <c r="AI465" s="328"/>
      <c r="AJ465" s="328"/>
      <c r="AK465" s="328"/>
      <c r="AL465" s="328"/>
      <c r="AM465" s="328"/>
      <c r="AN465" s="328"/>
      <c r="AO465" s="328"/>
      <c r="AP465" s="328"/>
      <c r="AQ465" s="328"/>
      <c r="AR465" s="328"/>
      <c r="AS465" s="328"/>
      <c r="AT465" s="328"/>
      <c r="AU465" s="328"/>
    </row>
    <row r="466" ht="15.75" customHeight="1">
      <c r="A466" s="328"/>
      <c r="B466" s="328"/>
      <c r="C466" s="328"/>
      <c r="D466" s="328"/>
      <c r="E466" s="328"/>
      <c r="F466" s="328"/>
      <c r="G466" s="328"/>
      <c r="H466" s="328"/>
      <c r="I466" s="328"/>
      <c r="J466" s="328"/>
      <c r="K466" s="328"/>
      <c r="L466" s="328"/>
      <c r="M466" s="328"/>
      <c r="N466" s="328"/>
      <c r="O466" s="328"/>
      <c r="P466" s="328"/>
      <c r="Q466" s="328"/>
      <c r="R466" s="328"/>
      <c r="S466" s="328"/>
      <c r="T466" s="328"/>
      <c r="U466" s="328"/>
      <c r="V466" s="328"/>
      <c r="W466" s="328"/>
      <c r="X466" s="328"/>
      <c r="Y466" s="328"/>
      <c r="Z466" s="328"/>
      <c r="AA466" s="328"/>
      <c r="AB466" s="328"/>
      <c r="AC466" s="328"/>
      <c r="AD466" s="328"/>
      <c r="AE466" s="328"/>
      <c r="AF466" s="328"/>
      <c r="AG466" s="328"/>
      <c r="AH466" s="328"/>
      <c r="AI466" s="328"/>
      <c r="AJ466" s="328"/>
      <c r="AK466" s="328"/>
      <c r="AL466" s="328"/>
      <c r="AM466" s="328"/>
      <c r="AN466" s="328"/>
      <c r="AO466" s="328"/>
      <c r="AP466" s="328"/>
      <c r="AQ466" s="328"/>
      <c r="AR466" s="328"/>
      <c r="AS466" s="328"/>
      <c r="AT466" s="328"/>
      <c r="AU466" s="328"/>
    </row>
    <row r="467" ht="15.75" customHeight="1">
      <c r="A467" s="328"/>
      <c r="B467" s="328"/>
      <c r="C467" s="328"/>
      <c r="D467" s="328"/>
      <c r="E467" s="328"/>
      <c r="F467" s="328"/>
      <c r="G467" s="328"/>
      <c r="H467" s="328"/>
      <c r="I467" s="328"/>
      <c r="J467" s="328"/>
      <c r="K467" s="328"/>
      <c r="L467" s="328"/>
      <c r="M467" s="328"/>
      <c r="N467" s="328"/>
      <c r="O467" s="328"/>
      <c r="P467" s="328"/>
      <c r="Q467" s="328"/>
      <c r="R467" s="328"/>
      <c r="S467" s="328"/>
      <c r="T467" s="328"/>
      <c r="U467" s="328"/>
      <c r="V467" s="328"/>
      <c r="W467" s="328"/>
      <c r="X467" s="328"/>
      <c r="Y467" s="328"/>
      <c r="Z467" s="328"/>
      <c r="AA467" s="328"/>
      <c r="AB467" s="328"/>
      <c r="AC467" s="328"/>
      <c r="AD467" s="328"/>
      <c r="AE467" s="328"/>
      <c r="AF467" s="328"/>
      <c r="AG467" s="328"/>
      <c r="AH467" s="328"/>
      <c r="AI467" s="328"/>
      <c r="AJ467" s="328"/>
      <c r="AK467" s="328"/>
      <c r="AL467" s="328"/>
      <c r="AM467" s="328"/>
      <c r="AN467" s="328"/>
      <c r="AO467" s="328"/>
      <c r="AP467" s="328"/>
      <c r="AQ467" s="328"/>
      <c r="AR467" s="328"/>
      <c r="AS467" s="328"/>
      <c r="AT467" s="328"/>
      <c r="AU467" s="328"/>
    </row>
    <row r="468" ht="15.75" customHeight="1">
      <c r="A468" s="328"/>
      <c r="B468" s="328"/>
      <c r="C468" s="328"/>
      <c r="D468" s="328"/>
      <c r="E468" s="328"/>
      <c r="F468" s="328"/>
      <c r="G468" s="328"/>
      <c r="H468" s="328"/>
      <c r="I468" s="328"/>
      <c r="J468" s="328"/>
      <c r="K468" s="328"/>
      <c r="L468" s="328"/>
      <c r="M468" s="328"/>
      <c r="N468" s="328"/>
      <c r="O468" s="328"/>
      <c r="P468" s="328"/>
      <c r="Q468" s="328"/>
      <c r="R468" s="328"/>
      <c r="S468" s="328"/>
      <c r="T468" s="328"/>
      <c r="U468" s="328"/>
      <c r="V468" s="328"/>
      <c r="W468" s="328"/>
      <c r="X468" s="328"/>
      <c r="Y468" s="328"/>
      <c r="Z468" s="328"/>
      <c r="AA468" s="328"/>
      <c r="AB468" s="328"/>
      <c r="AC468" s="328"/>
      <c r="AD468" s="328"/>
      <c r="AE468" s="328"/>
      <c r="AF468" s="328"/>
      <c r="AG468" s="328"/>
      <c r="AH468" s="328"/>
      <c r="AI468" s="328"/>
      <c r="AJ468" s="328"/>
      <c r="AK468" s="328"/>
      <c r="AL468" s="328"/>
      <c r="AM468" s="328"/>
      <c r="AN468" s="328"/>
      <c r="AO468" s="328"/>
      <c r="AP468" s="328"/>
      <c r="AQ468" s="328"/>
      <c r="AR468" s="328"/>
      <c r="AS468" s="328"/>
      <c r="AT468" s="328"/>
      <c r="AU468" s="328"/>
    </row>
    <row r="469" ht="15.75" customHeight="1">
      <c r="A469" s="328"/>
      <c r="B469" s="328"/>
      <c r="C469" s="328"/>
      <c r="D469" s="328"/>
      <c r="E469" s="328"/>
      <c r="F469" s="328"/>
      <c r="G469" s="328"/>
      <c r="H469" s="328"/>
      <c r="I469" s="328"/>
      <c r="J469" s="328"/>
      <c r="K469" s="328"/>
      <c r="L469" s="328"/>
      <c r="M469" s="328"/>
      <c r="N469" s="328"/>
      <c r="O469" s="328"/>
      <c r="P469" s="328"/>
      <c r="Q469" s="328"/>
      <c r="R469" s="328"/>
      <c r="S469" s="328"/>
      <c r="T469" s="328"/>
      <c r="U469" s="328"/>
      <c r="V469" s="328"/>
      <c r="W469" s="328"/>
      <c r="X469" s="328"/>
      <c r="Y469" s="328"/>
      <c r="Z469" s="328"/>
      <c r="AA469" s="328"/>
      <c r="AB469" s="328"/>
      <c r="AC469" s="328"/>
      <c r="AD469" s="328"/>
      <c r="AE469" s="328"/>
      <c r="AF469" s="328"/>
      <c r="AG469" s="328"/>
      <c r="AH469" s="328"/>
      <c r="AI469" s="328"/>
      <c r="AJ469" s="328"/>
      <c r="AK469" s="328"/>
      <c r="AL469" s="328"/>
      <c r="AM469" s="328"/>
      <c r="AN469" s="328"/>
      <c r="AO469" s="328"/>
      <c r="AP469" s="328"/>
      <c r="AQ469" s="328"/>
      <c r="AR469" s="328"/>
      <c r="AS469" s="328"/>
      <c r="AT469" s="328"/>
      <c r="AU469" s="328"/>
    </row>
    <row r="470" ht="15.75" customHeight="1">
      <c r="A470" s="328"/>
      <c r="B470" s="328"/>
      <c r="C470" s="328"/>
      <c r="D470" s="328"/>
      <c r="E470" s="328"/>
      <c r="F470" s="328"/>
      <c r="G470" s="328"/>
      <c r="H470" s="328"/>
      <c r="I470" s="328"/>
      <c r="J470" s="328"/>
      <c r="K470" s="328"/>
      <c r="L470" s="328"/>
      <c r="M470" s="328"/>
      <c r="N470" s="328"/>
      <c r="O470" s="328"/>
      <c r="P470" s="328"/>
      <c r="Q470" s="328"/>
      <c r="R470" s="328"/>
      <c r="S470" s="328"/>
      <c r="T470" s="328"/>
      <c r="U470" s="328"/>
      <c r="V470" s="328"/>
      <c r="W470" s="328"/>
      <c r="X470" s="328"/>
      <c r="Y470" s="328"/>
      <c r="Z470" s="328"/>
      <c r="AA470" s="328"/>
      <c r="AB470" s="328"/>
      <c r="AC470" s="328"/>
      <c r="AD470" s="328"/>
      <c r="AE470" s="328"/>
      <c r="AF470" s="328"/>
      <c r="AG470" s="328"/>
      <c r="AH470" s="328"/>
      <c r="AI470" s="328"/>
      <c r="AJ470" s="328"/>
      <c r="AK470" s="328"/>
      <c r="AL470" s="328"/>
      <c r="AM470" s="328"/>
      <c r="AN470" s="328"/>
      <c r="AO470" s="328"/>
      <c r="AP470" s="328"/>
      <c r="AQ470" s="328"/>
      <c r="AR470" s="328"/>
      <c r="AS470" s="328"/>
      <c r="AT470" s="328"/>
      <c r="AU470" s="328"/>
    </row>
    <row r="471" ht="15.75" customHeight="1">
      <c r="A471" s="328"/>
      <c r="B471" s="328"/>
      <c r="C471" s="328"/>
      <c r="D471" s="328"/>
      <c r="E471" s="328"/>
      <c r="F471" s="328"/>
      <c r="G471" s="328"/>
      <c r="H471" s="328"/>
      <c r="I471" s="328"/>
      <c r="J471" s="328"/>
      <c r="K471" s="328"/>
      <c r="L471" s="328"/>
      <c r="M471" s="328"/>
      <c r="N471" s="328"/>
      <c r="O471" s="328"/>
      <c r="P471" s="328"/>
      <c r="Q471" s="328"/>
      <c r="R471" s="328"/>
      <c r="S471" s="328"/>
      <c r="T471" s="328"/>
      <c r="U471" s="328"/>
      <c r="V471" s="328"/>
      <c r="W471" s="328"/>
      <c r="X471" s="328"/>
      <c r="Y471" s="328"/>
      <c r="Z471" s="328"/>
      <c r="AA471" s="328"/>
      <c r="AB471" s="328"/>
      <c r="AC471" s="328"/>
      <c r="AD471" s="328"/>
      <c r="AE471" s="328"/>
      <c r="AF471" s="328"/>
      <c r="AG471" s="328"/>
      <c r="AH471" s="328"/>
      <c r="AI471" s="328"/>
      <c r="AJ471" s="328"/>
      <c r="AK471" s="328"/>
      <c r="AL471" s="328"/>
      <c r="AM471" s="328"/>
      <c r="AN471" s="328"/>
      <c r="AO471" s="328"/>
      <c r="AP471" s="328"/>
      <c r="AQ471" s="328"/>
      <c r="AR471" s="328"/>
      <c r="AS471" s="328"/>
      <c r="AT471" s="328"/>
      <c r="AU471" s="328"/>
    </row>
    <row r="472" ht="15.75" customHeight="1">
      <c r="A472" s="328"/>
      <c r="B472" s="328"/>
      <c r="C472" s="328"/>
      <c r="D472" s="328"/>
      <c r="E472" s="328"/>
      <c r="F472" s="328"/>
      <c r="G472" s="328"/>
      <c r="H472" s="328"/>
      <c r="I472" s="328"/>
      <c r="J472" s="328"/>
      <c r="K472" s="328"/>
      <c r="L472" s="328"/>
      <c r="M472" s="328"/>
      <c r="N472" s="328"/>
      <c r="O472" s="328"/>
      <c r="P472" s="328"/>
      <c r="Q472" s="328"/>
      <c r="R472" s="328"/>
      <c r="S472" s="328"/>
      <c r="T472" s="328"/>
      <c r="U472" s="328"/>
      <c r="V472" s="328"/>
      <c r="W472" s="328"/>
      <c r="X472" s="328"/>
      <c r="Y472" s="328"/>
      <c r="Z472" s="328"/>
      <c r="AA472" s="328"/>
      <c r="AB472" s="328"/>
      <c r="AC472" s="328"/>
      <c r="AD472" s="328"/>
      <c r="AE472" s="328"/>
      <c r="AF472" s="328"/>
      <c r="AG472" s="328"/>
      <c r="AH472" s="328"/>
      <c r="AI472" s="328"/>
      <c r="AJ472" s="328"/>
      <c r="AK472" s="328"/>
      <c r="AL472" s="328"/>
      <c r="AM472" s="328"/>
      <c r="AN472" s="328"/>
      <c r="AO472" s="328"/>
      <c r="AP472" s="328"/>
      <c r="AQ472" s="328"/>
      <c r="AR472" s="328"/>
      <c r="AS472" s="328"/>
      <c r="AT472" s="328"/>
      <c r="AU472" s="328"/>
    </row>
    <row r="473" ht="15.75" customHeight="1">
      <c r="A473" s="328"/>
      <c r="B473" s="328"/>
      <c r="C473" s="328"/>
      <c r="D473" s="328"/>
      <c r="E473" s="328"/>
      <c r="F473" s="328"/>
      <c r="G473" s="328"/>
      <c r="H473" s="328"/>
      <c r="I473" s="328"/>
      <c r="J473" s="328"/>
      <c r="K473" s="328"/>
      <c r="L473" s="328"/>
      <c r="M473" s="328"/>
      <c r="N473" s="328"/>
      <c r="O473" s="328"/>
      <c r="P473" s="328"/>
      <c r="Q473" s="328"/>
      <c r="R473" s="328"/>
      <c r="S473" s="328"/>
      <c r="T473" s="328"/>
      <c r="U473" s="328"/>
      <c r="V473" s="328"/>
      <c r="W473" s="328"/>
      <c r="X473" s="328"/>
      <c r="Y473" s="328"/>
      <c r="Z473" s="328"/>
      <c r="AA473" s="328"/>
      <c r="AB473" s="328"/>
      <c r="AC473" s="328"/>
      <c r="AD473" s="328"/>
      <c r="AE473" s="328"/>
      <c r="AF473" s="328"/>
      <c r="AG473" s="328"/>
      <c r="AH473" s="328"/>
      <c r="AI473" s="328"/>
      <c r="AJ473" s="328"/>
      <c r="AK473" s="328"/>
      <c r="AL473" s="328"/>
      <c r="AM473" s="328"/>
      <c r="AN473" s="328"/>
      <c r="AO473" s="328"/>
      <c r="AP473" s="328"/>
      <c r="AQ473" s="328"/>
      <c r="AR473" s="328"/>
      <c r="AS473" s="328"/>
      <c r="AT473" s="328"/>
      <c r="AU473" s="328"/>
    </row>
    <row r="474" ht="15.75" customHeight="1">
      <c r="A474" s="328"/>
      <c r="B474" s="328"/>
      <c r="C474" s="328"/>
      <c r="D474" s="328"/>
      <c r="E474" s="328"/>
      <c r="F474" s="328"/>
      <c r="G474" s="328"/>
      <c r="H474" s="328"/>
      <c r="I474" s="328"/>
      <c r="J474" s="328"/>
      <c r="K474" s="328"/>
      <c r="L474" s="328"/>
      <c r="M474" s="328"/>
      <c r="N474" s="328"/>
      <c r="O474" s="328"/>
      <c r="P474" s="328"/>
      <c r="Q474" s="328"/>
      <c r="R474" s="328"/>
      <c r="S474" s="328"/>
      <c r="T474" s="328"/>
      <c r="U474" s="328"/>
      <c r="V474" s="328"/>
      <c r="W474" s="328"/>
      <c r="X474" s="328"/>
      <c r="Y474" s="328"/>
      <c r="Z474" s="328"/>
      <c r="AA474" s="328"/>
      <c r="AB474" s="328"/>
      <c r="AC474" s="328"/>
      <c r="AD474" s="328"/>
      <c r="AE474" s="328"/>
      <c r="AF474" s="328"/>
      <c r="AG474" s="328"/>
      <c r="AH474" s="328"/>
      <c r="AI474" s="328"/>
      <c r="AJ474" s="328"/>
      <c r="AK474" s="328"/>
      <c r="AL474" s="328"/>
      <c r="AM474" s="328"/>
      <c r="AN474" s="328"/>
      <c r="AO474" s="328"/>
      <c r="AP474" s="328"/>
      <c r="AQ474" s="328"/>
      <c r="AR474" s="328"/>
      <c r="AS474" s="328"/>
      <c r="AT474" s="328"/>
      <c r="AU474" s="328"/>
    </row>
    <row r="475" ht="15.75" customHeight="1">
      <c r="A475" s="328"/>
      <c r="B475" s="328"/>
      <c r="C475" s="328"/>
      <c r="D475" s="328"/>
      <c r="E475" s="328"/>
      <c r="F475" s="328"/>
      <c r="G475" s="328"/>
      <c r="H475" s="328"/>
      <c r="I475" s="328"/>
      <c r="J475" s="328"/>
      <c r="K475" s="328"/>
      <c r="L475" s="328"/>
      <c r="M475" s="328"/>
      <c r="N475" s="328"/>
      <c r="O475" s="328"/>
      <c r="P475" s="328"/>
      <c r="Q475" s="328"/>
      <c r="R475" s="328"/>
      <c r="S475" s="328"/>
      <c r="T475" s="328"/>
      <c r="U475" s="328"/>
      <c r="V475" s="328"/>
      <c r="W475" s="328"/>
      <c r="X475" s="328"/>
      <c r="Y475" s="328"/>
      <c r="Z475" s="328"/>
      <c r="AA475" s="328"/>
      <c r="AB475" s="328"/>
      <c r="AC475" s="328"/>
      <c r="AD475" s="328"/>
      <c r="AE475" s="328"/>
      <c r="AF475" s="328"/>
      <c r="AG475" s="328"/>
      <c r="AH475" s="328"/>
      <c r="AI475" s="328"/>
      <c r="AJ475" s="328"/>
      <c r="AK475" s="328"/>
      <c r="AL475" s="328"/>
      <c r="AM475" s="328"/>
      <c r="AN475" s="328"/>
      <c r="AO475" s="328"/>
      <c r="AP475" s="328"/>
      <c r="AQ475" s="328"/>
      <c r="AR475" s="328"/>
      <c r="AS475" s="328"/>
      <c r="AT475" s="328"/>
      <c r="AU475" s="328"/>
    </row>
    <row r="476" ht="15.75" customHeight="1">
      <c r="A476" s="328"/>
      <c r="B476" s="328"/>
      <c r="C476" s="328"/>
      <c r="D476" s="328"/>
      <c r="E476" s="328"/>
      <c r="F476" s="328"/>
      <c r="G476" s="328"/>
      <c r="H476" s="328"/>
      <c r="I476" s="328"/>
      <c r="J476" s="328"/>
      <c r="K476" s="328"/>
      <c r="L476" s="328"/>
      <c r="M476" s="328"/>
      <c r="N476" s="328"/>
      <c r="O476" s="328"/>
      <c r="P476" s="328"/>
      <c r="Q476" s="328"/>
      <c r="R476" s="328"/>
      <c r="S476" s="328"/>
      <c r="T476" s="328"/>
      <c r="U476" s="328"/>
      <c r="V476" s="328"/>
      <c r="W476" s="328"/>
      <c r="X476" s="328"/>
      <c r="Y476" s="328"/>
      <c r="Z476" s="328"/>
      <c r="AA476" s="328"/>
      <c r="AB476" s="328"/>
      <c r="AC476" s="328"/>
      <c r="AD476" s="328"/>
      <c r="AE476" s="328"/>
      <c r="AF476" s="328"/>
      <c r="AG476" s="328"/>
      <c r="AH476" s="328"/>
      <c r="AI476" s="328"/>
      <c r="AJ476" s="328"/>
      <c r="AK476" s="328"/>
      <c r="AL476" s="328"/>
      <c r="AM476" s="328"/>
      <c r="AN476" s="328"/>
      <c r="AO476" s="328"/>
      <c r="AP476" s="328"/>
      <c r="AQ476" s="328"/>
      <c r="AR476" s="328"/>
      <c r="AS476" s="328"/>
      <c r="AT476" s="328"/>
      <c r="AU476" s="328"/>
    </row>
    <row r="477" ht="15.75" customHeight="1">
      <c r="A477" s="328"/>
      <c r="B477" s="328"/>
      <c r="C477" s="328"/>
      <c r="D477" s="328"/>
      <c r="E477" s="328"/>
      <c r="F477" s="328"/>
      <c r="G477" s="328"/>
      <c r="H477" s="328"/>
      <c r="I477" s="328"/>
      <c r="J477" s="328"/>
      <c r="K477" s="328"/>
      <c r="L477" s="328"/>
      <c r="M477" s="328"/>
      <c r="N477" s="328"/>
      <c r="O477" s="328"/>
      <c r="P477" s="328"/>
      <c r="Q477" s="328"/>
      <c r="R477" s="328"/>
      <c r="S477" s="328"/>
      <c r="T477" s="328"/>
      <c r="U477" s="328"/>
      <c r="V477" s="328"/>
      <c r="W477" s="328"/>
      <c r="X477" s="328"/>
      <c r="Y477" s="328"/>
      <c r="Z477" s="328"/>
      <c r="AA477" s="328"/>
      <c r="AB477" s="328"/>
      <c r="AC477" s="328"/>
      <c r="AD477" s="328"/>
      <c r="AE477" s="328"/>
      <c r="AF477" s="328"/>
      <c r="AG477" s="328"/>
      <c r="AH477" s="328"/>
      <c r="AI477" s="328"/>
      <c r="AJ477" s="328"/>
      <c r="AK477" s="328"/>
      <c r="AL477" s="328"/>
      <c r="AM477" s="328"/>
      <c r="AN477" s="328"/>
      <c r="AO477" s="328"/>
      <c r="AP477" s="328"/>
      <c r="AQ477" s="328"/>
      <c r="AR477" s="328"/>
      <c r="AS477" s="328"/>
      <c r="AT477" s="328"/>
      <c r="AU477" s="328"/>
    </row>
    <row r="478" ht="15.75" customHeight="1">
      <c r="A478" s="328"/>
      <c r="B478" s="328"/>
      <c r="C478" s="328"/>
      <c r="D478" s="328"/>
      <c r="E478" s="328"/>
      <c r="F478" s="328"/>
      <c r="G478" s="328"/>
      <c r="H478" s="328"/>
      <c r="I478" s="328"/>
      <c r="J478" s="328"/>
      <c r="K478" s="328"/>
      <c r="L478" s="328"/>
      <c r="M478" s="328"/>
      <c r="N478" s="328"/>
      <c r="O478" s="328"/>
      <c r="P478" s="328"/>
      <c r="Q478" s="328"/>
      <c r="R478" s="328"/>
      <c r="S478" s="328"/>
      <c r="T478" s="328"/>
      <c r="U478" s="328"/>
      <c r="V478" s="328"/>
      <c r="W478" s="328"/>
      <c r="X478" s="328"/>
      <c r="Y478" s="328"/>
      <c r="Z478" s="328"/>
      <c r="AA478" s="328"/>
      <c r="AB478" s="328"/>
      <c r="AC478" s="328"/>
      <c r="AD478" s="328"/>
      <c r="AE478" s="328"/>
      <c r="AF478" s="328"/>
      <c r="AG478" s="328"/>
      <c r="AH478" s="328"/>
      <c r="AI478" s="328"/>
      <c r="AJ478" s="328"/>
      <c r="AK478" s="328"/>
      <c r="AL478" s="328"/>
      <c r="AM478" s="328"/>
      <c r="AN478" s="328"/>
      <c r="AO478" s="328"/>
      <c r="AP478" s="328"/>
      <c r="AQ478" s="328"/>
      <c r="AR478" s="328"/>
      <c r="AS478" s="328"/>
      <c r="AT478" s="328"/>
      <c r="AU478" s="328"/>
    </row>
    <row r="479" ht="15.75" customHeight="1">
      <c r="A479" s="328"/>
      <c r="B479" s="328"/>
      <c r="C479" s="328"/>
      <c r="D479" s="328"/>
      <c r="E479" s="328"/>
      <c r="F479" s="328"/>
      <c r="G479" s="328"/>
      <c r="H479" s="328"/>
      <c r="I479" s="328"/>
      <c r="J479" s="328"/>
      <c r="K479" s="328"/>
      <c r="L479" s="328"/>
      <c r="M479" s="328"/>
      <c r="N479" s="328"/>
      <c r="O479" s="328"/>
      <c r="P479" s="328"/>
      <c r="Q479" s="328"/>
      <c r="R479" s="328"/>
      <c r="S479" s="328"/>
      <c r="T479" s="328"/>
      <c r="U479" s="328"/>
      <c r="V479" s="328"/>
      <c r="W479" s="328"/>
      <c r="X479" s="328"/>
      <c r="Y479" s="328"/>
      <c r="Z479" s="328"/>
      <c r="AA479" s="328"/>
      <c r="AB479" s="328"/>
      <c r="AC479" s="328"/>
      <c r="AD479" s="328"/>
      <c r="AE479" s="328"/>
      <c r="AF479" s="328"/>
      <c r="AG479" s="328"/>
      <c r="AH479" s="328"/>
      <c r="AI479" s="328"/>
      <c r="AJ479" s="328"/>
      <c r="AK479" s="328"/>
      <c r="AL479" s="328"/>
      <c r="AM479" s="328"/>
      <c r="AN479" s="328"/>
      <c r="AO479" s="328"/>
      <c r="AP479" s="328"/>
      <c r="AQ479" s="328"/>
      <c r="AR479" s="328"/>
      <c r="AS479" s="328"/>
      <c r="AT479" s="328"/>
      <c r="AU479" s="328"/>
    </row>
    <row r="480" ht="15.75" customHeight="1">
      <c r="A480" s="328"/>
      <c r="B480" s="328"/>
      <c r="C480" s="328"/>
      <c r="D480" s="328"/>
      <c r="E480" s="328"/>
      <c r="F480" s="328"/>
      <c r="G480" s="328"/>
      <c r="H480" s="328"/>
      <c r="I480" s="328"/>
      <c r="J480" s="328"/>
      <c r="K480" s="328"/>
      <c r="L480" s="328"/>
      <c r="M480" s="328"/>
      <c r="N480" s="328"/>
      <c r="O480" s="328"/>
      <c r="P480" s="328"/>
      <c r="Q480" s="328"/>
      <c r="R480" s="328"/>
      <c r="S480" s="328"/>
      <c r="T480" s="328"/>
      <c r="U480" s="328"/>
      <c r="V480" s="328"/>
      <c r="W480" s="328"/>
      <c r="X480" s="328"/>
      <c r="Y480" s="328"/>
      <c r="Z480" s="328"/>
      <c r="AA480" s="328"/>
      <c r="AB480" s="328"/>
      <c r="AC480" s="328"/>
      <c r="AD480" s="328"/>
      <c r="AE480" s="328"/>
      <c r="AF480" s="328"/>
      <c r="AG480" s="328"/>
      <c r="AH480" s="328"/>
      <c r="AI480" s="328"/>
      <c r="AJ480" s="328"/>
      <c r="AK480" s="328"/>
      <c r="AL480" s="328"/>
      <c r="AM480" s="328"/>
      <c r="AN480" s="328"/>
      <c r="AO480" s="328"/>
      <c r="AP480" s="328"/>
      <c r="AQ480" s="328"/>
      <c r="AR480" s="328"/>
      <c r="AS480" s="328"/>
      <c r="AT480" s="328"/>
      <c r="AU480" s="328"/>
    </row>
    <row r="481" ht="15.75" customHeight="1">
      <c r="A481" s="328"/>
      <c r="B481" s="328"/>
      <c r="C481" s="328"/>
      <c r="D481" s="328"/>
      <c r="E481" s="328"/>
      <c r="F481" s="328"/>
      <c r="G481" s="328"/>
      <c r="H481" s="328"/>
      <c r="I481" s="328"/>
      <c r="J481" s="328"/>
      <c r="K481" s="328"/>
      <c r="L481" s="328"/>
      <c r="M481" s="328"/>
      <c r="N481" s="328"/>
      <c r="O481" s="328"/>
      <c r="P481" s="328"/>
      <c r="Q481" s="328"/>
      <c r="R481" s="328"/>
      <c r="S481" s="328"/>
      <c r="T481" s="328"/>
      <c r="U481" s="328"/>
      <c r="V481" s="328"/>
      <c r="W481" s="328"/>
      <c r="X481" s="328"/>
      <c r="Y481" s="328"/>
      <c r="Z481" s="328"/>
      <c r="AA481" s="328"/>
      <c r="AB481" s="328"/>
      <c r="AC481" s="328"/>
      <c r="AD481" s="328"/>
      <c r="AE481" s="328"/>
      <c r="AF481" s="328"/>
      <c r="AG481" s="328"/>
      <c r="AH481" s="328"/>
      <c r="AI481" s="328"/>
      <c r="AJ481" s="328"/>
      <c r="AK481" s="328"/>
      <c r="AL481" s="328"/>
      <c r="AM481" s="328"/>
      <c r="AN481" s="328"/>
      <c r="AO481" s="328"/>
      <c r="AP481" s="328"/>
      <c r="AQ481" s="328"/>
      <c r="AR481" s="328"/>
      <c r="AS481" s="328"/>
      <c r="AT481" s="328"/>
      <c r="AU481" s="328"/>
    </row>
    <row r="482" ht="15.75" customHeight="1">
      <c r="A482" s="328"/>
      <c r="B482" s="328"/>
      <c r="C482" s="328"/>
      <c r="D482" s="328"/>
      <c r="E482" s="328"/>
      <c r="F482" s="328"/>
      <c r="G482" s="328"/>
      <c r="H482" s="328"/>
      <c r="I482" s="328"/>
      <c r="J482" s="328"/>
      <c r="K482" s="328"/>
      <c r="L482" s="328"/>
      <c r="M482" s="328"/>
      <c r="N482" s="328"/>
      <c r="O482" s="328"/>
      <c r="P482" s="328"/>
      <c r="Q482" s="328"/>
      <c r="R482" s="328"/>
      <c r="S482" s="328"/>
      <c r="T482" s="328"/>
      <c r="U482" s="328"/>
      <c r="V482" s="328"/>
      <c r="W482" s="328"/>
      <c r="X482" s="328"/>
      <c r="Y482" s="328"/>
      <c r="Z482" s="328"/>
      <c r="AA482" s="328"/>
      <c r="AB482" s="328"/>
      <c r="AC482" s="328"/>
      <c r="AD482" s="328"/>
      <c r="AE482" s="328"/>
      <c r="AF482" s="328"/>
      <c r="AG482" s="328"/>
      <c r="AH482" s="328"/>
      <c r="AI482" s="328"/>
      <c r="AJ482" s="328"/>
      <c r="AK482" s="328"/>
      <c r="AL482" s="328"/>
      <c r="AM482" s="328"/>
      <c r="AN482" s="328"/>
      <c r="AO482" s="328"/>
      <c r="AP482" s="328"/>
      <c r="AQ482" s="328"/>
      <c r="AR482" s="328"/>
      <c r="AS482" s="328"/>
      <c r="AT482" s="328"/>
      <c r="AU482" s="328"/>
    </row>
    <row r="483" ht="15.75" customHeight="1">
      <c r="A483" s="328"/>
      <c r="B483" s="328"/>
      <c r="C483" s="328"/>
      <c r="D483" s="328"/>
      <c r="E483" s="328"/>
      <c r="F483" s="328"/>
      <c r="G483" s="328"/>
      <c r="H483" s="328"/>
      <c r="I483" s="328"/>
      <c r="J483" s="328"/>
      <c r="K483" s="328"/>
      <c r="L483" s="328"/>
      <c r="M483" s="328"/>
      <c r="N483" s="328"/>
      <c r="O483" s="328"/>
      <c r="P483" s="328"/>
      <c r="Q483" s="328"/>
      <c r="R483" s="328"/>
      <c r="S483" s="328"/>
      <c r="T483" s="328"/>
      <c r="U483" s="328"/>
      <c r="V483" s="328"/>
      <c r="W483" s="328"/>
      <c r="X483" s="328"/>
      <c r="Y483" s="328"/>
      <c r="Z483" s="328"/>
      <c r="AA483" s="328"/>
      <c r="AB483" s="328"/>
      <c r="AC483" s="328"/>
      <c r="AD483" s="328"/>
      <c r="AE483" s="328"/>
      <c r="AF483" s="328"/>
      <c r="AG483" s="328"/>
      <c r="AH483" s="328"/>
      <c r="AI483" s="328"/>
      <c r="AJ483" s="328"/>
      <c r="AK483" s="328"/>
      <c r="AL483" s="328"/>
      <c r="AM483" s="328"/>
      <c r="AN483" s="328"/>
      <c r="AO483" s="328"/>
      <c r="AP483" s="328"/>
      <c r="AQ483" s="328"/>
      <c r="AR483" s="328"/>
      <c r="AS483" s="328"/>
      <c r="AT483" s="328"/>
      <c r="AU483" s="328"/>
    </row>
    <row r="484" ht="15.75" customHeight="1">
      <c r="A484" s="328"/>
      <c r="B484" s="328"/>
      <c r="C484" s="328"/>
      <c r="D484" s="328"/>
      <c r="E484" s="328"/>
      <c r="F484" s="328"/>
      <c r="G484" s="328"/>
      <c r="H484" s="328"/>
      <c r="I484" s="328"/>
      <c r="J484" s="328"/>
      <c r="K484" s="328"/>
      <c r="L484" s="328"/>
      <c r="M484" s="328"/>
      <c r="N484" s="328"/>
      <c r="O484" s="328"/>
      <c r="P484" s="328"/>
      <c r="Q484" s="328"/>
      <c r="R484" s="328"/>
      <c r="S484" s="328"/>
      <c r="T484" s="328"/>
      <c r="U484" s="328"/>
      <c r="V484" s="328"/>
      <c r="W484" s="328"/>
      <c r="X484" s="328"/>
      <c r="Y484" s="328"/>
      <c r="Z484" s="328"/>
      <c r="AA484" s="328"/>
      <c r="AB484" s="328"/>
      <c r="AC484" s="328"/>
      <c r="AD484" s="328"/>
      <c r="AE484" s="328"/>
      <c r="AF484" s="328"/>
      <c r="AG484" s="328"/>
      <c r="AH484" s="328"/>
      <c r="AI484" s="328"/>
      <c r="AJ484" s="328"/>
      <c r="AK484" s="328"/>
      <c r="AL484" s="328"/>
      <c r="AM484" s="328"/>
      <c r="AN484" s="328"/>
      <c r="AO484" s="328"/>
      <c r="AP484" s="328"/>
      <c r="AQ484" s="328"/>
      <c r="AR484" s="328"/>
      <c r="AS484" s="328"/>
      <c r="AT484" s="328"/>
      <c r="AU484" s="328"/>
    </row>
    <row r="485" ht="15.75" customHeight="1">
      <c r="A485" s="328"/>
      <c r="B485" s="328"/>
      <c r="C485" s="328"/>
      <c r="D485" s="328"/>
      <c r="E485" s="328"/>
      <c r="F485" s="328"/>
      <c r="G485" s="328"/>
      <c r="H485" s="328"/>
      <c r="I485" s="328"/>
      <c r="J485" s="328"/>
      <c r="K485" s="328"/>
      <c r="L485" s="328"/>
      <c r="M485" s="328"/>
      <c r="N485" s="328"/>
      <c r="O485" s="328"/>
      <c r="P485" s="328"/>
      <c r="Q485" s="328"/>
      <c r="R485" s="328"/>
      <c r="S485" s="328"/>
      <c r="T485" s="328"/>
      <c r="U485" s="328"/>
      <c r="V485" s="328"/>
      <c r="W485" s="328"/>
      <c r="X485" s="328"/>
      <c r="Y485" s="328"/>
      <c r="Z485" s="328"/>
      <c r="AA485" s="328"/>
      <c r="AB485" s="328"/>
      <c r="AC485" s="328"/>
      <c r="AD485" s="328"/>
      <c r="AE485" s="328"/>
      <c r="AF485" s="328"/>
      <c r="AG485" s="328"/>
      <c r="AH485" s="328"/>
      <c r="AI485" s="328"/>
      <c r="AJ485" s="328"/>
      <c r="AK485" s="328"/>
      <c r="AL485" s="328"/>
      <c r="AM485" s="328"/>
      <c r="AN485" s="328"/>
      <c r="AO485" s="328"/>
      <c r="AP485" s="328"/>
      <c r="AQ485" s="328"/>
      <c r="AR485" s="328"/>
      <c r="AS485" s="328"/>
      <c r="AT485" s="328"/>
      <c r="AU485" s="328"/>
    </row>
    <row r="486" ht="15.75" customHeight="1">
      <c r="A486" s="328"/>
      <c r="B486" s="328"/>
      <c r="C486" s="328"/>
      <c r="D486" s="328"/>
      <c r="E486" s="328"/>
      <c r="F486" s="328"/>
      <c r="G486" s="328"/>
      <c r="H486" s="328"/>
      <c r="I486" s="328"/>
      <c r="J486" s="328"/>
      <c r="K486" s="328"/>
      <c r="L486" s="328"/>
      <c r="M486" s="328"/>
      <c r="N486" s="328"/>
      <c r="O486" s="328"/>
      <c r="P486" s="328"/>
      <c r="Q486" s="328"/>
      <c r="R486" s="328"/>
      <c r="S486" s="328"/>
      <c r="T486" s="328"/>
      <c r="U486" s="328"/>
      <c r="V486" s="328"/>
      <c r="W486" s="328"/>
      <c r="X486" s="328"/>
      <c r="Y486" s="328"/>
      <c r="Z486" s="328"/>
      <c r="AA486" s="328"/>
      <c r="AB486" s="328"/>
      <c r="AC486" s="328"/>
      <c r="AD486" s="328"/>
      <c r="AE486" s="328"/>
      <c r="AF486" s="328"/>
      <c r="AG486" s="328"/>
      <c r="AH486" s="328"/>
      <c r="AI486" s="328"/>
      <c r="AJ486" s="328"/>
      <c r="AK486" s="328"/>
      <c r="AL486" s="328"/>
      <c r="AM486" s="328"/>
      <c r="AN486" s="328"/>
      <c r="AO486" s="328"/>
      <c r="AP486" s="328"/>
      <c r="AQ486" s="328"/>
      <c r="AR486" s="328"/>
      <c r="AS486" s="328"/>
      <c r="AT486" s="328"/>
      <c r="AU486" s="328"/>
    </row>
    <row r="487" ht="15.75" customHeight="1">
      <c r="A487" s="328"/>
      <c r="B487" s="328"/>
      <c r="C487" s="328"/>
      <c r="D487" s="328"/>
      <c r="E487" s="328"/>
      <c r="F487" s="328"/>
      <c r="G487" s="328"/>
      <c r="H487" s="328"/>
      <c r="I487" s="328"/>
      <c r="J487" s="328"/>
      <c r="K487" s="328"/>
      <c r="L487" s="328"/>
      <c r="M487" s="328"/>
      <c r="N487" s="328"/>
      <c r="O487" s="328"/>
      <c r="P487" s="328"/>
      <c r="Q487" s="328"/>
      <c r="R487" s="328"/>
      <c r="S487" s="328"/>
      <c r="T487" s="328"/>
      <c r="U487" s="328"/>
      <c r="V487" s="328"/>
      <c r="W487" s="328"/>
      <c r="X487" s="328"/>
      <c r="Y487" s="328"/>
      <c r="Z487" s="328"/>
      <c r="AA487" s="328"/>
      <c r="AB487" s="328"/>
      <c r="AC487" s="328"/>
      <c r="AD487" s="328"/>
      <c r="AE487" s="328"/>
      <c r="AF487" s="328"/>
      <c r="AG487" s="328"/>
      <c r="AH487" s="328"/>
      <c r="AI487" s="328"/>
      <c r="AJ487" s="328"/>
      <c r="AK487" s="328"/>
      <c r="AL487" s="328"/>
      <c r="AM487" s="328"/>
      <c r="AN487" s="328"/>
      <c r="AO487" s="328"/>
      <c r="AP487" s="328"/>
      <c r="AQ487" s="328"/>
      <c r="AR487" s="328"/>
      <c r="AS487" s="328"/>
      <c r="AT487" s="328"/>
      <c r="AU487" s="328"/>
    </row>
    <row r="488" ht="15.75" customHeight="1">
      <c r="A488" s="328"/>
      <c r="B488" s="328"/>
      <c r="C488" s="328"/>
      <c r="D488" s="328"/>
      <c r="E488" s="328"/>
      <c r="F488" s="328"/>
      <c r="G488" s="328"/>
      <c r="H488" s="328"/>
      <c r="I488" s="328"/>
      <c r="J488" s="328"/>
      <c r="K488" s="328"/>
      <c r="L488" s="328"/>
      <c r="M488" s="328"/>
      <c r="N488" s="328"/>
      <c r="O488" s="328"/>
      <c r="P488" s="328"/>
      <c r="Q488" s="328"/>
      <c r="R488" s="328"/>
      <c r="S488" s="328"/>
      <c r="T488" s="328"/>
      <c r="U488" s="328"/>
      <c r="V488" s="328"/>
      <c r="W488" s="328"/>
      <c r="X488" s="328"/>
      <c r="Y488" s="328"/>
      <c r="Z488" s="328"/>
      <c r="AA488" s="328"/>
      <c r="AB488" s="328"/>
      <c r="AC488" s="328"/>
      <c r="AD488" s="328"/>
      <c r="AE488" s="328"/>
      <c r="AF488" s="328"/>
      <c r="AG488" s="328"/>
      <c r="AH488" s="328"/>
      <c r="AI488" s="328"/>
      <c r="AJ488" s="328"/>
      <c r="AK488" s="328"/>
      <c r="AL488" s="328"/>
      <c r="AM488" s="328"/>
      <c r="AN488" s="328"/>
      <c r="AO488" s="328"/>
      <c r="AP488" s="328"/>
      <c r="AQ488" s="328"/>
      <c r="AR488" s="328"/>
      <c r="AS488" s="328"/>
      <c r="AT488" s="328"/>
      <c r="AU488" s="328"/>
    </row>
    <row r="489" ht="15.75" customHeight="1">
      <c r="A489" s="328"/>
      <c r="B489" s="328"/>
      <c r="C489" s="328"/>
      <c r="D489" s="328"/>
      <c r="E489" s="328"/>
      <c r="F489" s="328"/>
      <c r="G489" s="328"/>
      <c r="H489" s="328"/>
      <c r="I489" s="328"/>
      <c r="J489" s="328"/>
      <c r="K489" s="328"/>
      <c r="L489" s="328"/>
      <c r="M489" s="328"/>
      <c r="N489" s="328"/>
      <c r="O489" s="328"/>
      <c r="P489" s="328"/>
      <c r="Q489" s="328"/>
      <c r="R489" s="328"/>
      <c r="S489" s="328"/>
      <c r="T489" s="328"/>
      <c r="U489" s="328"/>
      <c r="V489" s="328"/>
      <c r="W489" s="328"/>
      <c r="X489" s="328"/>
      <c r="Y489" s="328"/>
      <c r="Z489" s="328"/>
      <c r="AA489" s="328"/>
      <c r="AB489" s="328"/>
      <c r="AC489" s="328"/>
      <c r="AD489" s="328"/>
      <c r="AE489" s="328"/>
      <c r="AF489" s="328"/>
      <c r="AG489" s="328"/>
      <c r="AH489" s="328"/>
      <c r="AI489" s="328"/>
      <c r="AJ489" s="328"/>
      <c r="AK489" s="328"/>
      <c r="AL489" s="328"/>
      <c r="AM489" s="328"/>
      <c r="AN489" s="328"/>
      <c r="AO489" s="328"/>
      <c r="AP489" s="328"/>
      <c r="AQ489" s="328"/>
      <c r="AR489" s="328"/>
      <c r="AS489" s="328"/>
      <c r="AT489" s="328"/>
      <c r="AU489" s="328"/>
    </row>
    <row r="490" ht="15.75" customHeight="1">
      <c r="A490" s="328"/>
      <c r="B490" s="328"/>
      <c r="C490" s="328"/>
      <c r="D490" s="328"/>
      <c r="E490" s="328"/>
      <c r="F490" s="328"/>
      <c r="G490" s="328"/>
      <c r="H490" s="328"/>
      <c r="I490" s="328"/>
      <c r="J490" s="328"/>
      <c r="K490" s="328"/>
      <c r="L490" s="328"/>
      <c r="M490" s="328"/>
      <c r="N490" s="328"/>
      <c r="O490" s="328"/>
      <c r="P490" s="328"/>
      <c r="Q490" s="328"/>
      <c r="R490" s="328"/>
      <c r="S490" s="328"/>
      <c r="T490" s="328"/>
      <c r="U490" s="328"/>
      <c r="V490" s="328"/>
      <c r="W490" s="328"/>
      <c r="X490" s="328"/>
      <c r="Y490" s="328"/>
      <c r="Z490" s="328"/>
      <c r="AA490" s="328"/>
      <c r="AB490" s="328"/>
      <c r="AC490" s="328"/>
      <c r="AD490" s="328"/>
      <c r="AE490" s="328"/>
      <c r="AF490" s="328"/>
      <c r="AG490" s="328"/>
      <c r="AH490" s="328"/>
      <c r="AI490" s="328"/>
      <c r="AJ490" s="328"/>
      <c r="AK490" s="328"/>
      <c r="AL490" s="328"/>
      <c r="AM490" s="328"/>
      <c r="AN490" s="328"/>
      <c r="AO490" s="328"/>
      <c r="AP490" s="328"/>
      <c r="AQ490" s="328"/>
      <c r="AR490" s="328"/>
      <c r="AS490" s="328"/>
      <c r="AT490" s="328"/>
      <c r="AU490" s="328"/>
    </row>
    <row r="491" ht="15.75" customHeight="1">
      <c r="A491" s="328"/>
      <c r="B491" s="328"/>
      <c r="C491" s="328"/>
      <c r="D491" s="328"/>
      <c r="E491" s="328"/>
      <c r="F491" s="328"/>
      <c r="G491" s="328"/>
      <c r="H491" s="328"/>
      <c r="I491" s="328"/>
      <c r="J491" s="328"/>
      <c r="K491" s="328"/>
      <c r="L491" s="328"/>
      <c r="M491" s="328"/>
      <c r="N491" s="328"/>
      <c r="O491" s="328"/>
      <c r="P491" s="328"/>
      <c r="Q491" s="328"/>
      <c r="R491" s="328"/>
      <c r="S491" s="328"/>
      <c r="T491" s="328"/>
      <c r="U491" s="328"/>
      <c r="V491" s="328"/>
      <c r="W491" s="328"/>
      <c r="X491" s="328"/>
      <c r="Y491" s="328"/>
      <c r="Z491" s="328"/>
      <c r="AA491" s="328"/>
      <c r="AB491" s="328"/>
      <c r="AC491" s="328"/>
      <c r="AD491" s="328"/>
      <c r="AE491" s="328"/>
      <c r="AF491" s="328"/>
      <c r="AG491" s="328"/>
      <c r="AH491" s="328"/>
      <c r="AI491" s="328"/>
      <c r="AJ491" s="328"/>
      <c r="AK491" s="328"/>
      <c r="AL491" s="328"/>
      <c r="AM491" s="328"/>
      <c r="AN491" s="328"/>
      <c r="AO491" s="328"/>
      <c r="AP491" s="328"/>
      <c r="AQ491" s="328"/>
      <c r="AR491" s="328"/>
      <c r="AS491" s="328"/>
      <c r="AT491" s="328"/>
      <c r="AU491" s="328"/>
    </row>
    <row r="492" ht="15.75" customHeight="1">
      <c r="A492" s="328"/>
      <c r="B492" s="328"/>
      <c r="C492" s="328"/>
      <c r="D492" s="328"/>
      <c r="E492" s="328"/>
      <c r="F492" s="328"/>
      <c r="G492" s="328"/>
      <c r="H492" s="328"/>
      <c r="I492" s="328"/>
      <c r="J492" s="328"/>
      <c r="K492" s="328"/>
      <c r="L492" s="328"/>
      <c r="M492" s="328"/>
      <c r="N492" s="328"/>
      <c r="O492" s="328"/>
      <c r="P492" s="328"/>
      <c r="Q492" s="328"/>
      <c r="R492" s="328"/>
      <c r="S492" s="328"/>
      <c r="T492" s="328"/>
      <c r="U492" s="328"/>
      <c r="V492" s="328"/>
      <c r="W492" s="328"/>
      <c r="X492" s="328"/>
      <c r="Y492" s="328"/>
      <c r="Z492" s="328"/>
      <c r="AA492" s="328"/>
      <c r="AB492" s="328"/>
      <c r="AC492" s="328"/>
      <c r="AD492" s="328"/>
      <c r="AE492" s="328"/>
      <c r="AF492" s="328"/>
      <c r="AG492" s="328"/>
      <c r="AH492" s="328"/>
      <c r="AI492" s="328"/>
      <c r="AJ492" s="328"/>
      <c r="AK492" s="328"/>
      <c r="AL492" s="328"/>
      <c r="AM492" s="328"/>
      <c r="AN492" s="328"/>
      <c r="AO492" s="328"/>
      <c r="AP492" s="328"/>
      <c r="AQ492" s="328"/>
      <c r="AR492" s="328"/>
      <c r="AS492" s="328"/>
      <c r="AT492" s="328"/>
      <c r="AU492" s="328"/>
    </row>
    <row r="493" ht="15.75" customHeight="1">
      <c r="A493" s="328"/>
      <c r="B493" s="328"/>
      <c r="C493" s="328"/>
      <c r="D493" s="328"/>
      <c r="E493" s="328"/>
      <c r="F493" s="328"/>
      <c r="G493" s="328"/>
      <c r="H493" s="328"/>
      <c r="I493" s="328"/>
      <c r="J493" s="328"/>
      <c r="K493" s="328"/>
      <c r="L493" s="328"/>
      <c r="M493" s="328"/>
      <c r="N493" s="328"/>
      <c r="O493" s="328"/>
      <c r="P493" s="328"/>
      <c r="Q493" s="328"/>
      <c r="R493" s="328"/>
      <c r="S493" s="328"/>
      <c r="T493" s="328"/>
      <c r="U493" s="328"/>
      <c r="V493" s="328"/>
      <c r="W493" s="328"/>
      <c r="X493" s="328"/>
      <c r="Y493" s="328"/>
      <c r="Z493" s="328"/>
      <c r="AA493" s="328"/>
      <c r="AB493" s="328"/>
      <c r="AC493" s="328"/>
      <c r="AD493" s="328"/>
      <c r="AE493" s="328"/>
      <c r="AF493" s="328"/>
      <c r="AG493" s="328"/>
      <c r="AH493" s="328"/>
      <c r="AI493" s="328"/>
      <c r="AJ493" s="328"/>
      <c r="AK493" s="328"/>
      <c r="AL493" s="328"/>
      <c r="AM493" s="328"/>
      <c r="AN493" s="328"/>
      <c r="AO493" s="328"/>
      <c r="AP493" s="328"/>
      <c r="AQ493" s="328"/>
      <c r="AR493" s="328"/>
      <c r="AS493" s="328"/>
      <c r="AT493" s="328"/>
      <c r="AU493" s="328"/>
    </row>
    <row r="494" ht="15.75" customHeight="1">
      <c r="A494" s="328"/>
      <c r="B494" s="328"/>
      <c r="C494" s="328"/>
      <c r="D494" s="328"/>
      <c r="E494" s="328"/>
      <c r="F494" s="328"/>
      <c r="G494" s="328"/>
      <c r="H494" s="328"/>
      <c r="I494" s="328"/>
      <c r="J494" s="328"/>
      <c r="K494" s="328"/>
      <c r="L494" s="328"/>
      <c r="M494" s="328"/>
      <c r="N494" s="328"/>
      <c r="O494" s="328"/>
      <c r="P494" s="328"/>
      <c r="Q494" s="328"/>
      <c r="R494" s="328"/>
      <c r="S494" s="328"/>
      <c r="T494" s="328"/>
      <c r="U494" s="328"/>
      <c r="V494" s="328"/>
      <c r="W494" s="328"/>
      <c r="X494" s="328"/>
      <c r="Y494" s="328"/>
      <c r="Z494" s="328"/>
      <c r="AA494" s="328"/>
      <c r="AB494" s="328"/>
      <c r="AC494" s="328"/>
      <c r="AD494" s="328"/>
      <c r="AE494" s="328"/>
      <c r="AF494" s="328"/>
      <c r="AG494" s="328"/>
      <c r="AH494" s="328"/>
      <c r="AI494" s="328"/>
      <c r="AJ494" s="328"/>
      <c r="AK494" s="328"/>
      <c r="AL494" s="328"/>
      <c r="AM494" s="328"/>
      <c r="AN494" s="328"/>
      <c r="AO494" s="328"/>
      <c r="AP494" s="328"/>
      <c r="AQ494" s="328"/>
      <c r="AR494" s="328"/>
      <c r="AS494" s="328"/>
      <c r="AT494" s="328"/>
      <c r="AU494" s="328"/>
    </row>
    <row r="495" ht="15.75" customHeight="1">
      <c r="A495" s="328"/>
      <c r="B495" s="328"/>
      <c r="C495" s="328"/>
      <c r="D495" s="328"/>
      <c r="E495" s="328"/>
      <c r="F495" s="328"/>
      <c r="G495" s="328"/>
      <c r="H495" s="328"/>
      <c r="I495" s="328"/>
      <c r="J495" s="328"/>
      <c r="K495" s="328"/>
      <c r="L495" s="328"/>
      <c r="M495" s="328"/>
      <c r="N495" s="328"/>
      <c r="O495" s="328"/>
      <c r="P495" s="328"/>
      <c r="Q495" s="328"/>
      <c r="R495" s="328"/>
      <c r="S495" s="328"/>
      <c r="T495" s="328"/>
      <c r="U495" s="328"/>
      <c r="V495" s="328"/>
      <c r="W495" s="328"/>
      <c r="X495" s="328"/>
      <c r="Y495" s="328"/>
      <c r="Z495" s="328"/>
      <c r="AA495" s="328"/>
      <c r="AB495" s="328"/>
      <c r="AC495" s="328"/>
      <c r="AD495" s="328"/>
      <c r="AE495" s="328"/>
      <c r="AF495" s="328"/>
      <c r="AG495" s="328"/>
      <c r="AH495" s="328"/>
      <c r="AI495" s="328"/>
      <c r="AJ495" s="328"/>
      <c r="AK495" s="328"/>
      <c r="AL495" s="328"/>
      <c r="AM495" s="328"/>
      <c r="AN495" s="328"/>
      <c r="AO495" s="328"/>
      <c r="AP495" s="328"/>
      <c r="AQ495" s="328"/>
      <c r="AR495" s="328"/>
      <c r="AS495" s="328"/>
      <c r="AT495" s="328"/>
      <c r="AU495" s="328"/>
    </row>
    <row r="496" ht="15.75" customHeight="1">
      <c r="A496" s="328"/>
      <c r="B496" s="328"/>
      <c r="C496" s="328"/>
      <c r="D496" s="328"/>
      <c r="E496" s="328"/>
      <c r="F496" s="328"/>
      <c r="G496" s="328"/>
      <c r="H496" s="328"/>
      <c r="I496" s="328"/>
      <c r="J496" s="328"/>
      <c r="K496" s="328"/>
      <c r="L496" s="328"/>
      <c r="M496" s="328"/>
      <c r="N496" s="328"/>
      <c r="O496" s="328"/>
      <c r="P496" s="328"/>
      <c r="Q496" s="328"/>
      <c r="R496" s="328"/>
      <c r="S496" s="328"/>
      <c r="T496" s="328"/>
      <c r="U496" s="328"/>
      <c r="V496" s="328"/>
      <c r="W496" s="328"/>
      <c r="X496" s="328"/>
      <c r="Y496" s="328"/>
      <c r="Z496" s="328"/>
      <c r="AA496" s="328"/>
      <c r="AB496" s="328"/>
      <c r="AC496" s="328"/>
      <c r="AD496" s="328"/>
      <c r="AE496" s="328"/>
      <c r="AF496" s="328"/>
      <c r="AG496" s="328"/>
      <c r="AH496" s="328"/>
      <c r="AI496" s="328"/>
      <c r="AJ496" s="328"/>
      <c r="AK496" s="328"/>
      <c r="AL496" s="328"/>
      <c r="AM496" s="328"/>
      <c r="AN496" s="328"/>
      <c r="AO496" s="328"/>
      <c r="AP496" s="328"/>
      <c r="AQ496" s="328"/>
      <c r="AR496" s="328"/>
      <c r="AS496" s="328"/>
      <c r="AT496" s="328"/>
      <c r="AU496" s="328"/>
    </row>
    <row r="497" ht="15.75" customHeight="1">
      <c r="A497" s="328"/>
      <c r="B497" s="328"/>
      <c r="C497" s="328"/>
      <c r="D497" s="328"/>
      <c r="E497" s="328"/>
      <c r="F497" s="328"/>
      <c r="G497" s="328"/>
      <c r="H497" s="328"/>
      <c r="I497" s="328"/>
      <c r="J497" s="328"/>
      <c r="K497" s="328"/>
      <c r="L497" s="328"/>
      <c r="M497" s="328"/>
      <c r="N497" s="328"/>
      <c r="O497" s="328"/>
      <c r="P497" s="328"/>
      <c r="Q497" s="328"/>
      <c r="R497" s="328"/>
      <c r="S497" s="328"/>
      <c r="T497" s="328"/>
      <c r="U497" s="328"/>
      <c r="V497" s="328"/>
      <c r="W497" s="328"/>
      <c r="X497" s="328"/>
      <c r="Y497" s="328"/>
      <c r="Z497" s="328"/>
      <c r="AA497" s="328"/>
      <c r="AB497" s="328"/>
      <c r="AC497" s="328"/>
      <c r="AD497" s="328"/>
      <c r="AE497" s="328"/>
      <c r="AF497" s="328"/>
      <c r="AG497" s="328"/>
      <c r="AH497" s="328"/>
      <c r="AI497" s="328"/>
      <c r="AJ497" s="328"/>
      <c r="AK497" s="328"/>
      <c r="AL497" s="328"/>
      <c r="AM497" s="328"/>
      <c r="AN497" s="328"/>
      <c r="AO497" s="328"/>
      <c r="AP497" s="328"/>
      <c r="AQ497" s="328"/>
      <c r="AR497" s="328"/>
      <c r="AS497" s="328"/>
      <c r="AT497" s="328"/>
      <c r="AU497" s="328"/>
    </row>
    <row r="498" ht="15.75" customHeight="1">
      <c r="A498" s="328"/>
      <c r="B498" s="328"/>
      <c r="C498" s="328"/>
      <c r="D498" s="328"/>
      <c r="E498" s="328"/>
      <c r="F498" s="328"/>
      <c r="G498" s="328"/>
      <c r="H498" s="328"/>
      <c r="I498" s="328"/>
      <c r="J498" s="328"/>
      <c r="K498" s="328"/>
      <c r="L498" s="328"/>
      <c r="M498" s="328"/>
      <c r="N498" s="328"/>
      <c r="O498" s="328"/>
      <c r="P498" s="328"/>
      <c r="Q498" s="328"/>
      <c r="R498" s="328"/>
      <c r="S498" s="328"/>
      <c r="T498" s="328"/>
      <c r="U498" s="328"/>
      <c r="V498" s="328"/>
      <c r="W498" s="328"/>
      <c r="X498" s="328"/>
      <c r="Y498" s="328"/>
      <c r="Z498" s="328"/>
      <c r="AA498" s="328"/>
      <c r="AB498" s="328"/>
      <c r="AC498" s="328"/>
      <c r="AD498" s="328"/>
      <c r="AE498" s="328"/>
      <c r="AF498" s="328"/>
      <c r="AG498" s="328"/>
      <c r="AH498" s="328"/>
      <c r="AI498" s="328"/>
      <c r="AJ498" s="328"/>
      <c r="AK498" s="328"/>
      <c r="AL498" s="328"/>
      <c r="AM498" s="328"/>
      <c r="AN498" s="328"/>
      <c r="AO498" s="328"/>
      <c r="AP498" s="328"/>
      <c r="AQ498" s="328"/>
      <c r="AR498" s="328"/>
      <c r="AS498" s="328"/>
      <c r="AT498" s="328"/>
      <c r="AU498" s="328"/>
    </row>
    <row r="499" ht="15.75" customHeight="1">
      <c r="A499" s="328"/>
      <c r="B499" s="328"/>
      <c r="C499" s="328"/>
      <c r="D499" s="328"/>
      <c r="E499" s="328"/>
      <c r="F499" s="328"/>
      <c r="G499" s="328"/>
      <c r="H499" s="328"/>
      <c r="I499" s="328"/>
      <c r="J499" s="328"/>
      <c r="K499" s="328"/>
      <c r="L499" s="328"/>
      <c r="M499" s="328"/>
      <c r="N499" s="328"/>
      <c r="O499" s="328"/>
      <c r="P499" s="328"/>
      <c r="Q499" s="328"/>
      <c r="R499" s="328"/>
      <c r="S499" s="328"/>
      <c r="T499" s="328"/>
      <c r="U499" s="328"/>
      <c r="V499" s="328"/>
      <c r="W499" s="328"/>
      <c r="X499" s="328"/>
      <c r="Y499" s="328"/>
      <c r="Z499" s="328"/>
      <c r="AA499" s="328"/>
      <c r="AB499" s="328"/>
      <c r="AC499" s="328"/>
      <c r="AD499" s="328"/>
      <c r="AE499" s="328"/>
      <c r="AF499" s="328"/>
      <c r="AG499" s="328"/>
      <c r="AH499" s="328"/>
      <c r="AI499" s="328"/>
      <c r="AJ499" s="328"/>
      <c r="AK499" s="328"/>
      <c r="AL499" s="328"/>
      <c r="AM499" s="328"/>
      <c r="AN499" s="328"/>
      <c r="AO499" s="328"/>
      <c r="AP499" s="328"/>
      <c r="AQ499" s="328"/>
      <c r="AR499" s="328"/>
      <c r="AS499" s="328"/>
      <c r="AT499" s="328"/>
      <c r="AU499" s="328"/>
    </row>
    <row r="500" ht="15.75" customHeight="1">
      <c r="A500" s="328"/>
      <c r="B500" s="328"/>
      <c r="C500" s="328"/>
      <c r="D500" s="328"/>
      <c r="E500" s="328"/>
      <c r="F500" s="328"/>
      <c r="G500" s="328"/>
      <c r="H500" s="328"/>
      <c r="I500" s="328"/>
      <c r="J500" s="328"/>
      <c r="K500" s="328"/>
      <c r="L500" s="328"/>
      <c r="M500" s="328"/>
      <c r="N500" s="328"/>
      <c r="O500" s="328"/>
      <c r="P500" s="328"/>
      <c r="Q500" s="328"/>
      <c r="R500" s="328"/>
      <c r="S500" s="328"/>
      <c r="T500" s="328"/>
      <c r="U500" s="328"/>
      <c r="V500" s="328"/>
      <c r="W500" s="328"/>
      <c r="X500" s="328"/>
      <c r="Y500" s="328"/>
      <c r="Z500" s="328"/>
      <c r="AA500" s="328"/>
      <c r="AB500" s="328"/>
      <c r="AC500" s="328"/>
      <c r="AD500" s="328"/>
      <c r="AE500" s="328"/>
      <c r="AF500" s="328"/>
      <c r="AG500" s="328"/>
      <c r="AH500" s="328"/>
      <c r="AI500" s="328"/>
      <c r="AJ500" s="328"/>
      <c r="AK500" s="328"/>
      <c r="AL500" s="328"/>
      <c r="AM500" s="328"/>
      <c r="AN500" s="328"/>
      <c r="AO500" s="328"/>
      <c r="AP500" s="328"/>
      <c r="AQ500" s="328"/>
      <c r="AR500" s="328"/>
      <c r="AS500" s="328"/>
      <c r="AT500" s="328"/>
      <c r="AU500" s="328"/>
    </row>
    <row r="501" ht="15.75" customHeight="1">
      <c r="A501" s="328"/>
      <c r="B501" s="328"/>
      <c r="C501" s="328"/>
      <c r="D501" s="328"/>
      <c r="E501" s="328"/>
      <c r="F501" s="328"/>
      <c r="G501" s="328"/>
      <c r="H501" s="328"/>
      <c r="I501" s="328"/>
      <c r="J501" s="328"/>
      <c r="K501" s="328"/>
      <c r="L501" s="328"/>
      <c r="M501" s="328"/>
      <c r="N501" s="328"/>
      <c r="O501" s="328"/>
      <c r="P501" s="328"/>
      <c r="Q501" s="328"/>
      <c r="R501" s="328"/>
      <c r="S501" s="328"/>
      <c r="T501" s="328"/>
      <c r="U501" s="328"/>
      <c r="V501" s="328"/>
      <c r="W501" s="328"/>
      <c r="X501" s="328"/>
      <c r="Y501" s="328"/>
      <c r="Z501" s="328"/>
      <c r="AA501" s="328"/>
      <c r="AB501" s="328"/>
      <c r="AC501" s="328"/>
      <c r="AD501" s="328"/>
      <c r="AE501" s="328"/>
      <c r="AF501" s="328"/>
      <c r="AG501" s="328"/>
      <c r="AH501" s="328"/>
      <c r="AI501" s="328"/>
      <c r="AJ501" s="328"/>
      <c r="AK501" s="328"/>
      <c r="AL501" s="328"/>
      <c r="AM501" s="328"/>
      <c r="AN501" s="328"/>
      <c r="AO501" s="328"/>
      <c r="AP501" s="328"/>
      <c r="AQ501" s="328"/>
      <c r="AR501" s="328"/>
      <c r="AS501" s="328"/>
      <c r="AT501" s="328"/>
      <c r="AU501" s="328"/>
    </row>
    <row r="502" ht="15.75" customHeight="1">
      <c r="A502" s="328"/>
      <c r="B502" s="328"/>
      <c r="C502" s="328"/>
      <c r="D502" s="328"/>
      <c r="E502" s="328"/>
      <c r="F502" s="328"/>
      <c r="G502" s="328"/>
      <c r="H502" s="328"/>
      <c r="I502" s="328"/>
      <c r="J502" s="328"/>
      <c r="K502" s="328"/>
      <c r="L502" s="328"/>
      <c r="M502" s="328"/>
      <c r="N502" s="328"/>
      <c r="O502" s="328"/>
      <c r="P502" s="328"/>
      <c r="Q502" s="328"/>
      <c r="R502" s="328"/>
      <c r="S502" s="328"/>
      <c r="T502" s="328"/>
      <c r="U502" s="328"/>
      <c r="V502" s="328"/>
      <c r="W502" s="328"/>
      <c r="X502" s="328"/>
      <c r="Y502" s="328"/>
      <c r="Z502" s="328"/>
      <c r="AA502" s="328"/>
      <c r="AB502" s="328"/>
      <c r="AC502" s="328"/>
      <c r="AD502" s="328"/>
      <c r="AE502" s="328"/>
      <c r="AF502" s="328"/>
      <c r="AG502" s="328"/>
      <c r="AH502" s="328"/>
      <c r="AI502" s="328"/>
      <c r="AJ502" s="328"/>
      <c r="AK502" s="328"/>
      <c r="AL502" s="328"/>
      <c r="AM502" s="328"/>
      <c r="AN502" s="328"/>
      <c r="AO502" s="328"/>
      <c r="AP502" s="328"/>
      <c r="AQ502" s="328"/>
      <c r="AR502" s="328"/>
      <c r="AS502" s="328"/>
      <c r="AT502" s="328"/>
      <c r="AU502" s="328"/>
    </row>
    <row r="503" ht="15.75" customHeight="1">
      <c r="A503" s="328"/>
      <c r="B503" s="328"/>
      <c r="C503" s="328"/>
      <c r="D503" s="328"/>
      <c r="E503" s="328"/>
      <c r="F503" s="328"/>
      <c r="G503" s="328"/>
      <c r="H503" s="328"/>
      <c r="I503" s="328"/>
      <c r="J503" s="328"/>
      <c r="K503" s="328"/>
      <c r="L503" s="328"/>
      <c r="M503" s="328"/>
      <c r="N503" s="328"/>
      <c r="O503" s="328"/>
      <c r="P503" s="328"/>
      <c r="Q503" s="328"/>
      <c r="R503" s="328"/>
      <c r="S503" s="328"/>
      <c r="T503" s="328"/>
      <c r="U503" s="328"/>
      <c r="V503" s="328"/>
      <c r="W503" s="328"/>
      <c r="X503" s="328"/>
      <c r="Y503" s="328"/>
      <c r="Z503" s="328"/>
      <c r="AA503" s="328"/>
      <c r="AB503" s="328"/>
      <c r="AC503" s="328"/>
      <c r="AD503" s="328"/>
      <c r="AE503" s="328"/>
      <c r="AF503" s="328"/>
      <c r="AG503" s="328"/>
      <c r="AH503" s="328"/>
      <c r="AI503" s="328"/>
      <c r="AJ503" s="328"/>
      <c r="AK503" s="328"/>
      <c r="AL503" s="328"/>
      <c r="AM503" s="328"/>
      <c r="AN503" s="328"/>
      <c r="AO503" s="328"/>
      <c r="AP503" s="328"/>
      <c r="AQ503" s="328"/>
      <c r="AR503" s="328"/>
      <c r="AS503" s="328"/>
      <c r="AT503" s="328"/>
      <c r="AU503" s="328"/>
    </row>
    <row r="504" ht="15.75" customHeight="1">
      <c r="A504" s="328"/>
      <c r="B504" s="328"/>
      <c r="C504" s="328"/>
      <c r="D504" s="328"/>
      <c r="E504" s="328"/>
      <c r="F504" s="328"/>
      <c r="G504" s="328"/>
      <c r="H504" s="328"/>
      <c r="I504" s="328"/>
      <c r="J504" s="328"/>
      <c r="K504" s="328"/>
      <c r="L504" s="328"/>
      <c r="M504" s="328"/>
      <c r="N504" s="328"/>
      <c r="O504" s="328"/>
      <c r="P504" s="328"/>
      <c r="Q504" s="328"/>
      <c r="R504" s="328"/>
      <c r="S504" s="328"/>
      <c r="T504" s="328"/>
      <c r="U504" s="328"/>
      <c r="V504" s="328"/>
      <c r="W504" s="328"/>
      <c r="X504" s="328"/>
      <c r="Y504" s="328"/>
      <c r="Z504" s="328"/>
      <c r="AA504" s="328"/>
      <c r="AB504" s="328"/>
      <c r="AC504" s="328"/>
      <c r="AD504" s="328"/>
      <c r="AE504" s="328"/>
      <c r="AF504" s="328"/>
      <c r="AG504" s="328"/>
      <c r="AH504" s="328"/>
      <c r="AI504" s="328"/>
      <c r="AJ504" s="328"/>
      <c r="AK504" s="328"/>
      <c r="AL504" s="328"/>
      <c r="AM504" s="328"/>
      <c r="AN504" s="328"/>
      <c r="AO504" s="328"/>
      <c r="AP504" s="328"/>
      <c r="AQ504" s="328"/>
      <c r="AR504" s="328"/>
      <c r="AS504" s="328"/>
      <c r="AT504" s="328"/>
      <c r="AU504" s="328"/>
    </row>
    <row r="505" ht="15.75" customHeight="1">
      <c r="A505" s="328"/>
      <c r="B505" s="328"/>
      <c r="C505" s="328"/>
      <c r="D505" s="328"/>
      <c r="E505" s="328"/>
      <c r="F505" s="328"/>
      <c r="G505" s="328"/>
      <c r="H505" s="328"/>
      <c r="I505" s="328"/>
      <c r="J505" s="328"/>
      <c r="K505" s="328"/>
      <c r="L505" s="328"/>
      <c r="M505" s="328"/>
      <c r="N505" s="328"/>
      <c r="O505" s="328"/>
      <c r="P505" s="328"/>
      <c r="Q505" s="328"/>
      <c r="R505" s="328"/>
      <c r="S505" s="328"/>
      <c r="T505" s="328"/>
      <c r="U505" s="328"/>
      <c r="V505" s="328"/>
      <c r="W505" s="328"/>
      <c r="X505" s="328"/>
      <c r="Y505" s="328"/>
      <c r="Z505" s="328"/>
      <c r="AA505" s="328"/>
      <c r="AB505" s="328"/>
      <c r="AC505" s="328"/>
      <c r="AD505" s="328"/>
      <c r="AE505" s="328"/>
      <c r="AF505" s="328"/>
      <c r="AG505" s="328"/>
      <c r="AH505" s="328"/>
      <c r="AI505" s="328"/>
      <c r="AJ505" s="328"/>
      <c r="AK505" s="328"/>
      <c r="AL505" s="328"/>
      <c r="AM505" s="328"/>
      <c r="AN505" s="328"/>
      <c r="AO505" s="328"/>
      <c r="AP505" s="328"/>
      <c r="AQ505" s="328"/>
      <c r="AR505" s="328"/>
      <c r="AS505" s="328"/>
      <c r="AT505" s="328"/>
      <c r="AU505" s="328"/>
    </row>
    <row r="506" ht="15.75" customHeight="1">
      <c r="A506" s="328"/>
      <c r="B506" s="328"/>
      <c r="C506" s="328"/>
      <c r="D506" s="328"/>
      <c r="E506" s="328"/>
      <c r="F506" s="328"/>
      <c r="G506" s="328"/>
      <c r="H506" s="328"/>
      <c r="I506" s="328"/>
      <c r="J506" s="328"/>
      <c r="K506" s="328"/>
      <c r="L506" s="328"/>
      <c r="M506" s="328"/>
      <c r="N506" s="328"/>
      <c r="O506" s="328"/>
      <c r="P506" s="328"/>
      <c r="Q506" s="328"/>
      <c r="R506" s="328"/>
      <c r="S506" s="328"/>
      <c r="T506" s="328"/>
      <c r="U506" s="328"/>
      <c r="V506" s="328"/>
      <c r="W506" s="328"/>
      <c r="X506" s="328"/>
      <c r="Y506" s="328"/>
      <c r="Z506" s="328"/>
      <c r="AA506" s="328"/>
      <c r="AB506" s="328"/>
      <c r="AC506" s="328"/>
      <c r="AD506" s="328"/>
      <c r="AE506" s="328"/>
      <c r="AF506" s="328"/>
      <c r="AG506" s="328"/>
      <c r="AH506" s="328"/>
      <c r="AI506" s="328"/>
      <c r="AJ506" s="328"/>
      <c r="AK506" s="328"/>
      <c r="AL506" s="328"/>
      <c r="AM506" s="328"/>
      <c r="AN506" s="328"/>
      <c r="AO506" s="328"/>
      <c r="AP506" s="328"/>
      <c r="AQ506" s="328"/>
      <c r="AR506" s="328"/>
      <c r="AS506" s="328"/>
      <c r="AT506" s="328"/>
      <c r="AU506" s="328"/>
    </row>
    <row r="507" ht="15.75" customHeight="1">
      <c r="A507" s="328"/>
      <c r="B507" s="328"/>
      <c r="C507" s="328"/>
      <c r="D507" s="328"/>
      <c r="E507" s="328"/>
      <c r="F507" s="328"/>
      <c r="G507" s="328"/>
      <c r="H507" s="328"/>
      <c r="I507" s="328"/>
      <c r="J507" s="328"/>
      <c r="K507" s="328"/>
      <c r="L507" s="328"/>
      <c r="M507" s="328"/>
      <c r="N507" s="328"/>
      <c r="O507" s="328"/>
      <c r="P507" s="328"/>
      <c r="Q507" s="328"/>
      <c r="R507" s="328"/>
      <c r="S507" s="328"/>
      <c r="T507" s="328"/>
      <c r="U507" s="328"/>
      <c r="V507" s="328"/>
      <c r="W507" s="328"/>
      <c r="X507" s="328"/>
      <c r="Y507" s="328"/>
      <c r="Z507" s="328"/>
      <c r="AA507" s="328"/>
      <c r="AB507" s="328"/>
      <c r="AC507" s="328"/>
      <c r="AD507" s="328"/>
      <c r="AE507" s="328"/>
      <c r="AF507" s="328"/>
      <c r="AG507" s="328"/>
      <c r="AH507" s="328"/>
      <c r="AI507" s="328"/>
      <c r="AJ507" s="328"/>
      <c r="AK507" s="328"/>
      <c r="AL507" s="328"/>
      <c r="AM507" s="328"/>
      <c r="AN507" s="328"/>
      <c r="AO507" s="328"/>
      <c r="AP507" s="328"/>
      <c r="AQ507" s="328"/>
      <c r="AR507" s="328"/>
      <c r="AS507" s="328"/>
      <c r="AT507" s="328"/>
      <c r="AU507" s="328"/>
    </row>
    <row r="508" ht="15.75" customHeight="1">
      <c r="A508" s="328"/>
      <c r="B508" s="328"/>
      <c r="C508" s="328"/>
      <c r="D508" s="328"/>
      <c r="E508" s="328"/>
      <c r="F508" s="328"/>
      <c r="G508" s="328"/>
      <c r="H508" s="328"/>
      <c r="I508" s="328"/>
      <c r="J508" s="328"/>
      <c r="K508" s="328"/>
      <c r="L508" s="328"/>
      <c r="M508" s="328"/>
      <c r="N508" s="328"/>
      <c r="O508" s="328"/>
      <c r="P508" s="328"/>
      <c r="Q508" s="328"/>
      <c r="R508" s="328"/>
      <c r="S508" s="328"/>
      <c r="T508" s="328"/>
      <c r="U508" s="328"/>
      <c r="V508" s="328"/>
      <c r="W508" s="328"/>
      <c r="X508" s="328"/>
      <c r="Y508" s="328"/>
      <c r="Z508" s="328"/>
      <c r="AA508" s="328"/>
      <c r="AB508" s="328"/>
      <c r="AC508" s="328"/>
      <c r="AD508" s="328"/>
      <c r="AE508" s="328"/>
      <c r="AF508" s="328"/>
      <c r="AG508" s="328"/>
      <c r="AH508" s="328"/>
      <c r="AI508" s="328"/>
      <c r="AJ508" s="328"/>
      <c r="AK508" s="328"/>
      <c r="AL508" s="328"/>
      <c r="AM508" s="328"/>
      <c r="AN508" s="328"/>
      <c r="AO508" s="328"/>
      <c r="AP508" s="328"/>
      <c r="AQ508" s="328"/>
      <c r="AR508" s="328"/>
      <c r="AS508" s="328"/>
      <c r="AT508" s="328"/>
      <c r="AU508" s="328"/>
    </row>
    <row r="509" ht="15.75" customHeight="1">
      <c r="A509" s="328"/>
      <c r="B509" s="328"/>
      <c r="C509" s="328"/>
      <c r="D509" s="328"/>
      <c r="E509" s="328"/>
      <c r="F509" s="328"/>
      <c r="G509" s="328"/>
      <c r="H509" s="328"/>
      <c r="I509" s="328"/>
      <c r="J509" s="328"/>
      <c r="K509" s="328"/>
      <c r="L509" s="328"/>
      <c r="M509" s="328"/>
      <c r="N509" s="328"/>
      <c r="O509" s="328"/>
      <c r="P509" s="328"/>
      <c r="Q509" s="328"/>
      <c r="R509" s="328"/>
      <c r="S509" s="328"/>
      <c r="T509" s="328"/>
      <c r="U509" s="328"/>
      <c r="V509" s="328"/>
      <c r="W509" s="328"/>
      <c r="X509" s="328"/>
      <c r="Y509" s="328"/>
      <c r="Z509" s="328"/>
      <c r="AA509" s="328"/>
      <c r="AB509" s="328"/>
      <c r="AC509" s="328"/>
      <c r="AD509" s="328"/>
      <c r="AE509" s="328"/>
      <c r="AF509" s="328"/>
      <c r="AG509" s="328"/>
      <c r="AH509" s="328"/>
      <c r="AI509" s="328"/>
      <c r="AJ509" s="328"/>
      <c r="AK509" s="328"/>
      <c r="AL509" s="328"/>
      <c r="AM509" s="328"/>
      <c r="AN509" s="328"/>
      <c r="AO509" s="328"/>
      <c r="AP509" s="328"/>
      <c r="AQ509" s="328"/>
      <c r="AR509" s="328"/>
      <c r="AS509" s="328"/>
      <c r="AT509" s="328"/>
      <c r="AU509" s="328"/>
    </row>
    <row r="510" ht="15.75" customHeight="1">
      <c r="A510" s="328"/>
      <c r="B510" s="328"/>
      <c r="C510" s="328"/>
      <c r="D510" s="328"/>
      <c r="E510" s="328"/>
      <c r="F510" s="328"/>
      <c r="G510" s="328"/>
      <c r="H510" s="328"/>
      <c r="I510" s="328"/>
      <c r="J510" s="328"/>
      <c r="K510" s="328"/>
      <c r="L510" s="328"/>
      <c r="M510" s="328"/>
      <c r="N510" s="328"/>
      <c r="O510" s="328"/>
      <c r="P510" s="328"/>
      <c r="Q510" s="328"/>
      <c r="R510" s="328"/>
      <c r="S510" s="328"/>
      <c r="T510" s="328"/>
      <c r="U510" s="328"/>
      <c r="V510" s="328"/>
      <c r="W510" s="328"/>
      <c r="X510" s="328"/>
      <c r="Y510" s="328"/>
      <c r="Z510" s="328"/>
      <c r="AA510" s="328"/>
      <c r="AB510" s="328"/>
      <c r="AC510" s="328"/>
      <c r="AD510" s="328"/>
      <c r="AE510" s="328"/>
      <c r="AF510" s="328"/>
      <c r="AG510" s="328"/>
      <c r="AH510" s="328"/>
      <c r="AI510" s="328"/>
      <c r="AJ510" s="328"/>
      <c r="AK510" s="328"/>
      <c r="AL510" s="328"/>
      <c r="AM510" s="328"/>
      <c r="AN510" s="328"/>
      <c r="AO510" s="328"/>
      <c r="AP510" s="328"/>
      <c r="AQ510" s="328"/>
      <c r="AR510" s="328"/>
      <c r="AS510" s="328"/>
      <c r="AT510" s="328"/>
      <c r="AU510" s="328"/>
    </row>
    <row r="511" ht="15.75" customHeight="1">
      <c r="A511" s="328"/>
      <c r="B511" s="328"/>
      <c r="C511" s="328"/>
      <c r="D511" s="328"/>
      <c r="E511" s="328"/>
      <c r="F511" s="328"/>
      <c r="G511" s="328"/>
      <c r="H511" s="328"/>
      <c r="I511" s="328"/>
      <c r="J511" s="328"/>
      <c r="K511" s="328"/>
      <c r="L511" s="328"/>
      <c r="M511" s="328"/>
      <c r="N511" s="328"/>
      <c r="O511" s="328"/>
      <c r="P511" s="328"/>
      <c r="Q511" s="328"/>
      <c r="R511" s="328"/>
      <c r="S511" s="328"/>
      <c r="T511" s="328"/>
      <c r="U511" s="328"/>
      <c r="V511" s="328"/>
      <c r="W511" s="328"/>
      <c r="X511" s="328"/>
      <c r="Y511" s="328"/>
      <c r="Z511" s="328"/>
      <c r="AA511" s="328"/>
      <c r="AB511" s="328"/>
      <c r="AC511" s="328"/>
      <c r="AD511" s="328"/>
      <c r="AE511" s="328"/>
      <c r="AF511" s="328"/>
      <c r="AG511" s="328"/>
      <c r="AH511" s="328"/>
      <c r="AI511" s="328"/>
      <c r="AJ511" s="328"/>
      <c r="AK511" s="328"/>
      <c r="AL511" s="328"/>
      <c r="AM511" s="328"/>
      <c r="AN511" s="328"/>
      <c r="AO511" s="328"/>
      <c r="AP511" s="328"/>
      <c r="AQ511" s="328"/>
      <c r="AR511" s="328"/>
      <c r="AS511" s="328"/>
      <c r="AT511" s="328"/>
      <c r="AU511" s="328"/>
    </row>
    <row r="512" ht="15.75" customHeight="1">
      <c r="A512" s="328"/>
      <c r="B512" s="328"/>
      <c r="C512" s="328"/>
      <c r="D512" s="328"/>
      <c r="E512" s="328"/>
      <c r="F512" s="328"/>
      <c r="G512" s="328"/>
      <c r="H512" s="328"/>
      <c r="I512" s="328"/>
      <c r="J512" s="328"/>
      <c r="K512" s="328"/>
      <c r="L512" s="328"/>
      <c r="M512" s="328"/>
      <c r="N512" s="328"/>
      <c r="O512" s="328"/>
      <c r="P512" s="328"/>
      <c r="Q512" s="328"/>
      <c r="R512" s="328"/>
      <c r="S512" s="328"/>
      <c r="T512" s="328"/>
      <c r="U512" s="328"/>
      <c r="V512" s="328"/>
      <c r="W512" s="328"/>
      <c r="X512" s="328"/>
      <c r="Y512" s="328"/>
      <c r="Z512" s="328"/>
      <c r="AA512" s="328"/>
      <c r="AB512" s="328"/>
      <c r="AC512" s="328"/>
      <c r="AD512" s="328"/>
      <c r="AE512" s="328"/>
      <c r="AF512" s="328"/>
      <c r="AG512" s="328"/>
      <c r="AH512" s="328"/>
      <c r="AI512" s="328"/>
      <c r="AJ512" s="328"/>
      <c r="AK512" s="328"/>
      <c r="AL512" s="328"/>
      <c r="AM512" s="328"/>
      <c r="AN512" s="328"/>
      <c r="AO512" s="328"/>
      <c r="AP512" s="328"/>
      <c r="AQ512" s="328"/>
      <c r="AR512" s="328"/>
      <c r="AS512" s="328"/>
      <c r="AT512" s="328"/>
      <c r="AU512" s="328"/>
    </row>
    <row r="513" ht="15.75" customHeight="1">
      <c r="A513" s="328"/>
      <c r="B513" s="328"/>
      <c r="C513" s="328"/>
      <c r="D513" s="328"/>
      <c r="E513" s="328"/>
      <c r="F513" s="328"/>
      <c r="G513" s="328"/>
      <c r="H513" s="328"/>
      <c r="I513" s="328"/>
      <c r="J513" s="328"/>
      <c r="K513" s="328"/>
      <c r="L513" s="328"/>
      <c r="M513" s="328"/>
      <c r="N513" s="328"/>
      <c r="O513" s="328"/>
      <c r="P513" s="328"/>
      <c r="Q513" s="328"/>
      <c r="R513" s="328"/>
      <c r="S513" s="328"/>
      <c r="T513" s="328"/>
      <c r="U513" s="328"/>
      <c r="V513" s="328"/>
      <c r="W513" s="328"/>
      <c r="X513" s="328"/>
      <c r="Y513" s="328"/>
      <c r="Z513" s="328"/>
      <c r="AA513" s="328"/>
      <c r="AB513" s="328"/>
      <c r="AC513" s="328"/>
      <c r="AD513" s="328"/>
      <c r="AE513" s="328"/>
      <c r="AF513" s="328"/>
      <c r="AG513" s="328"/>
      <c r="AH513" s="328"/>
      <c r="AI513" s="328"/>
      <c r="AJ513" s="328"/>
      <c r="AK513" s="328"/>
      <c r="AL513" s="328"/>
      <c r="AM513" s="328"/>
      <c r="AN513" s="328"/>
      <c r="AO513" s="328"/>
      <c r="AP513" s="328"/>
      <c r="AQ513" s="328"/>
      <c r="AR513" s="328"/>
      <c r="AS513" s="328"/>
      <c r="AT513" s="328"/>
      <c r="AU513" s="328"/>
    </row>
    <row r="514" ht="15.75" customHeight="1">
      <c r="A514" s="328"/>
      <c r="B514" s="328"/>
      <c r="C514" s="328"/>
      <c r="D514" s="328"/>
      <c r="E514" s="328"/>
      <c r="F514" s="328"/>
      <c r="G514" s="328"/>
      <c r="H514" s="328"/>
      <c r="I514" s="328"/>
      <c r="J514" s="328"/>
      <c r="K514" s="328"/>
      <c r="L514" s="328"/>
      <c r="M514" s="328"/>
      <c r="N514" s="328"/>
      <c r="O514" s="328"/>
      <c r="P514" s="328"/>
      <c r="Q514" s="328"/>
      <c r="R514" s="328"/>
      <c r="S514" s="328"/>
      <c r="T514" s="328"/>
      <c r="U514" s="328"/>
      <c r="V514" s="328"/>
      <c r="W514" s="328"/>
      <c r="X514" s="328"/>
      <c r="Y514" s="328"/>
      <c r="Z514" s="328"/>
      <c r="AA514" s="328"/>
      <c r="AB514" s="328"/>
      <c r="AC514" s="328"/>
      <c r="AD514" s="328"/>
      <c r="AE514" s="328"/>
      <c r="AF514" s="328"/>
      <c r="AG514" s="328"/>
      <c r="AH514" s="328"/>
      <c r="AI514" s="328"/>
      <c r="AJ514" s="328"/>
      <c r="AK514" s="328"/>
      <c r="AL514" s="328"/>
      <c r="AM514" s="328"/>
      <c r="AN514" s="328"/>
      <c r="AO514" s="328"/>
      <c r="AP514" s="328"/>
      <c r="AQ514" s="328"/>
      <c r="AR514" s="328"/>
      <c r="AS514" s="328"/>
      <c r="AT514" s="328"/>
      <c r="AU514" s="328"/>
    </row>
    <row r="515" ht="15.75" customHeight="1">
      <c r="A515" s="328"/>
      <c r="B515" s="328"/>
      <c r="C515" s="328"/>
      <c r="D515" s="328"/>
      <c r="E515" s="328"/>
      <c r="F515" s="328"/>
      <c r="G515" s="328"/>
      <c r="H515" s="328"/>
      <c r="I515" s="328"/>
      <c r="J515" s="328"/>
      <c r="K515" s="328"/>
      <c r="L515" s="328"/>
      <c r="M515" s="328"/>
      <c r="N515" s="328"/>
      <c r="O515" s="328"/>
      <c r="P515" s="328"/>
      <c r="Q515" s="328"/>
      <c r="R515" s="328"/>
      <c r="S515" s="328"/>
      <c r="T515" s="328"/>
      <c r="U515" s="328"/>
      <c r="V515" s="328"/>
      <c r="W515" s="328"/>
      <c r="X515" s="328"/>
      <c r="Y515" s="328"/>
      <c r="Z515" s="328"/>
      <c r="AA515" s="328"/>
      <c r="AB515" s="328"/>
      <c r="AC515" s="328"/>
      <c r="AD515" s="328"/>
      <c r="AE515" s="328"/>
      <c r="AF515" s="328"/>
      <c r="AG515" s="328"/>
      <c r="AH515" s="328"/>
      <c r="AI515" s="328"/>
      <c r="AJ515" s="328"/>
      <c r="AK515" s="328"/>
      <c r="AL515" s="328"/>
      <c r="AM515" s="328"/>
      <c r="AN515" s="328"/>
      <c r="AO515" s="328"/>
      <c r="AP515" s="328"/>
      <c r="AQ515" s="328"/>
      <c r="AR515" s="328"/>
      <c r="AS515" s="328"/>
      <c r="AT515" s="328"/>
      <c r="AU515" s="328"/>
    </row>
    <row r="516" ht="15.75" customHeight="1">
      <c r="A516" s="328"/>
      <c r="B516" s="328"/>
      <c r="C516" s="328"/>
      <c r="D516" s="328"/>
      <c r="E516" s="328"/>
      <c r="F516" s="328"/>
      <c r="G516" s="328"/>
      <c r="H516" s="328"/>
      <c r="I516" s="328"/>
      <c r="J516" s="328"/>
      <c r="K516" s="328"/>
      <c r="L516" s="328"/>
      <c r="M516" s="328"/>
      <c r="N516" s="328"/>
      <c r="O516" s="328"/>
      <c r="P516" s="328"/>
      <c r="Q516" s="328"/>
      <c r="R516" s="328"/>
      <c r="S516" s="328"/>
      <c r="T516" s="328"/>
      <c r="U516" s="328"/>
      <c r="V516" s="328"/>
      <c r="W516" s="328"/>
      <c r="X516" s="328"/>
      <c r="Y516" s="328"/>
      <c r="Z516" s="328"/>
      <c r="AA516" s="328"/>
      <c r="AB516" s="328"/>
      <c r="AC516" s="328"/>
      <c r="AD516" s="328"/>
      <c r="AE516" s="328"/>
      <c r="AF516" s="328"/>
      <c r="AG516" s="328"/>
      <c r="AH516" s="328"/>
      <c r="AI516" s="328"/>
      <c r="AJ516" s="328"/>
      <c r="AK516" s="328"/>
      <c r="AL516" s="328"/>
      <c r="AM516" s="328"/>
      <c r="AN516" s="328"/>
      <c r="AO516" s="328"/>
      <c r="AP516" s="328"/>
      <c r="AQ516" s="328"/>
      <c r="AR516" s="328"/>
      <c r="AS516" s="328"/>
      <c r="AT516" s="328"/>
      <c r="AU516" s="328"/>
    </row>
    <row r="517" ht="15.75" customHeight="1">
      <c r="A517" s="328"/>
      <c r="B517" s="328"/>
      <c r="C517" s="328"/>
      <c r="D517" s="328"/>
      <c r="E517" s="328"/>
      <c r="F517" s="328"/>
      <c r="G517" s="328"/>
      <c r="H517" s="328"/>
      <c r="I517" s="328"/>
      <c r="J517" s="328"/>
      <c r="K517" s="328"/>
      <c r="L517" s="328"/>
      <c r="M517" s="328"/>
      <c r="N517" s="328"/>
      <c r="O517" s="328"/>
      <c r="P517" s="328"/>
      <c r="Q517" s="328"/>
      <c r="R517" s="328"/>
      <c r="S517" s="328"/>
      <c r="T517" s="328"/>
      <c r="U517" s="328"/>
      <c r="V517" s="328"/>
      <c r="W517" s="328"/>
      <c r="X517" s="328"/>
      <c r="Y517" s="328"/>
      <c r="Z517" s="328"/>
      <c r="AA517" s="328"/>
      <c r="AB517" s="328"/>
      <c r="AC517" s="328"/>
      <c r="AD517" s="328"/>
      <c r="AE517" s="328"/>
      <c r="AF517" s="328"/>
      <c r="AG517" s="328"/>
      <c r="AH517" s="328"/>
      <c r="AI517" s="328"/>
      <c r="AJ517" s="328"/>
      <c r="AK517" s="328"/>
      <c r="AL517" s="328"/>
      <c r="AM517" s="328"/>
      <c r="AN517" s="328"/>
      <c r="AO517" s="328"/>
      <c r="AP517" s="328"/>
      <c r="AQ517" s="328"/>
      <c r="AR517" s="328"/>
      <c r="AS517" s="328"/>
      <c r="AT517" s="328"/>
      <c r="AU517" s="328"/>
    </row>
    <row r="518" ht="15.75" customHeight="1">
      <c r="A518" s="328"/>
      <c r="B518" s="328"/>
      <c r="C518" s="328"/>
      <c r="D518" s="328"/>
      <c r="E518" s="328"/>
      <c r="F518" s="328"/>
      <c r="G518" s="328"/>
      <c r="H518" s="328"/>
      <c r="I518" s="328"/>
      <c r="J518" s="328"/>
      <c r="K518" s="328"/>
      <c r="L518" s="328"/>
      <c r="M518" s="328"/>
      <c r="N518" s="328"/>
      <c r="O518" s="328"/>
      <c r="P518" s="328"/>
      <c r="Q518" s="328"/>
      <c r="R518" s="328"/>
      <c r="S518" s="328"/>
      <c r="T518" s="328"/>
      <c r="U518" s="328"/>
      <c r="V518" s="328"/>
      <c r="W518" s="328"/>
      <c r="X518" s="328"/>
      <c r="Y518" s="328"/>
      <c r="Z518" s="328"/>
      <c r="AA518" s="328"/>
      <c r="AB518" s="328"/>
      <c r="AC518" s="328"/>
      <c r="AD518" s="328"/>
      <c r="AE518" s="328"/>
      <c r="AF518" s="328"/>
      <c r="AG518" s="328"/>
      <c r="AH518" s="328"/>
      <c r="AI518" s="328"/>
      <c r="AJ518" s="328"/>
      <c r="AK518" s="328"/>
      <c r="AL518" s="328"/>
      <c r="AM518" s="328"/>
      <c r="AN518" s="328"/>
      <c r="AO518" s="328"/>
      <c r="AP518" s="328"/>
      <c r="AQ518" s="328"/>
      <c r="AR518" s="328"/>
      <c r="AS518" s="328"/>
      <c r="AT518" s="328"/>
      <c r="AU518" s="328"/>
    </row>
    <row r="519" ht="15.75" customHeight="1">
      <c r="A519" s="328"/>
      <c r="B519" s="328"/>
      <c r="C519" s="328"/>
      <c r="D519" s="328"/>
      <c r="E519" s="328"/>
      <c r="F519" s="328"/>
      <c r="G519" s="328"/>
      <c r="H519" s="328"/>
      <c r="I519" s="328"/>
      <c r="J519" s="328"/>
      <c r="K519" s="328"/>
      <c r="L519" s="328"/>
      <c r="M519" s="328"/>
      <c r="N519" s="328"/>
      <c r="O519" s="328"/>
      <c r="P519" s="328"/>
      <c r="Q519" s="328"/>
      <c r="R519" s="328"/>
      <c r="S519" s="328"/>
      <c r="T519" s="328"/>
      <c r="U519" s="328"/>
      <c r="V519" s="328"/>
      <c r="W519" s="328"/>
      <c r="X519" s="328"/>
      <c r="Y519" s="328"/>
      <c r="Z519" s="328"/>
      <c r="AA519" s="328"/>
      <c r="AB519" s="328"/>
      <c r="AC519" s="328"/>
      <c r="AD519" s="328"/>
      <c r="AE519" s="328"/>
      <c r="AF519" s="328"/>
      <c r="AG519" s="328"/>
      <c r="AH519" s="328"/>
      <c r="AI519" s="328"/>
      <c r="AJ519" s="328"/>
      <c r="AK519" s="328"/>
      <c r="AL519" s="328"/>
      <c r="AM519" s="328"/>
      <c r="AN519" s="328"/>
      <c r="AO519" s="328"/>
      <c r="AP519" s="328"/>
      <c r="AQ519" s="328"/>
      <c r="AR519" s="328"/>
      <c r="AS519" s="328"/>
      <c r="AT519" s="328"/>
      <c r="AU519" s="328"/>
    </row>
    <row r="520" ht="15.75" customHeight="1">
      <c r="A520" s="328"/>
      <c r="B520" s="328"/>
      <c r="C520" s="328"/>
      <c r="D520" s="328"/>
      <c r="E520" s="328"/>
      <c r="F520" s="328"/>
      <c r="G520" s="328"/>
      <c r="H520" s="328"/>
      <c r="I520" s="328"/>
      <c r="J520" s="328"/>
      <c r="K520" s="328"/>
      <c r="L520" s="328"/>
      <c r="M520" s="328"/>
      <c r="N520" s="328"/>
      <c r="O520" s="328"/>
      <c r="P520" s="328"/>
      <c r="Q520" s="328"/>
      <c r="R520" s="328"/>
      <c r="S520" s="328"/>
      <c r="T520" s="328"/>
      <c r="U520" s="328"/>
      <c r="V520" s="328"/>
      <c r="W520" s="328"/>
      <c r="X520" s="328"/>
      <c r="Y520" s="328"/>
      <c r="Z520" s="328"/>
      <c r="AA520" s="328"/>
      <c r="AB520" s="328"/>
      <c r="AC520" s="328"/>
      <c r="AD520" s="328"/>
      <c r="AE520" s="328"/>
      <c r="AF520" s="328"/>
      <c r="AG520" s="328"/>
      <c r="AH520" s="328"/>
      <c r="AI520" s="328"/>
      <c r="AJ520" s="328"/>
      <c r="AK520" s="328"/>
      <c r="AL520" s="328"/>
      <c r="AM520" s="328"/>
      <c r="AN520" s="328"/>
      <c r="AO520" s="328"/>
      <c r="AP520" s="328"/>
      <c r="AQ520" s="328"/>
      <c r="AR520" s="328"/>
      <c r="AS520" s="328"/>
      <c r="AT520" s="328"/>
      <c r="AU520" s="328"/>
    </row>
    <row r="521" ht="15.75" customHeight="1">
      <c r="A521" s="328"/>
      <c r="B521" s="328"/>
      <c r="C521" s="328"/>
      <c r="D521" s="328"/>
      <c r="E521" s="328"/>
      <c r="F521" s="328"/>
      <c r="G521" s="328"/>
      <c r="H521" s="328"/>
      <c r="I521" s="328"/>
      <c r="J521" s="328"/>
      <c r="K521" s="328"/>
      <c r="L521" s="328"/>
      <c r="M521" s="328"/>
      <c r="N521" s="328"/>
      <c r="O521" s="328"/>
      <c r="P521" s="328"/>
      <c r="Q521" s="328"/>
      <c r="R521" s="328"/>
      <c r="S521" s="328"/>
      <c r="T521" s="328"/>
      <c r="U521" s="328"/>
      <c r="V521" s="328"/>
      <c r="W521" s="328"/>
      <c r="X521" s="328"/>
      <c r="Y521" s="328"/>
      <c r="Z521" s="328"/>
      <c r="AA521" s="328"/>
      <c r="AB521" s="328"/>
      <c r="AC521" s="328"/>
      <c r="AD521" s="328"/>
      <c r="AE521" s="328"/>
      <c r="AF521" s="328"/>
      <c r="AG521" s="328"/>
      <c r="AH521" s="328"/>
      <c r="AI521" s="328"/>
      <c r="AJ521" s="328"/>
      <c r="AK521" s="328"/>
      <c r="AL521" s="328"/>
      <c r="AM521" s="328"/>
      <c r="AN521" s="328"/>
      <c r="AO521" s="328"/>
      <c r="AP521" s="328"/>
      <c r="AQ521" s="328"/>
      <c r="AR521" s="328"/>
      <c r="AS521" s="328"/>
      <c r="AT521" s="328"/>
      <c r="AU521" s="328"/>
    </row>
    <row r="522" ht="15.75" customHeight="1">
      <c r="A522" s="328"/>
      <c r="B522" s="328"/>
      <c r="C522" s="328"/>
      <c r="D522" s="328"/>
      <c r="E522" s="328"/>
      <c r="F522" s="328"/>
      <c r="G522" s="328"/>
      <c r="H522" s="328"/>
      <c r="I522" s="328"/>
      <c r="J522" s="328"/>
      <c r="K522" s="328"/>
      <c r="L522" s="328"/>
      <c r="M522" s="328"/>
      <c r="N522" s="328"/>
      <c r="O522" s="328"/>
      <c r="P522" s="328"/>
      <c r="Q522" s="328"/>
      <c r="R522" s="328"/>
      <c r="S522" s="328"/>
      <c r="T522" s="328"/>
      <c r="U522" s="328"/>
      <c r="V522" s="328"/>
      <c r="W522" s="328"/>
      <c r="X522" s="328"/>
      <c r="Y522" s="328"/>
      <c r="Z522" s="328"/>
      <c r="AA522" s="328"/>
      <c r="AB522" s="328"/>
      <c r="AC522" s="328"/>
      <c r="AD522" s="328"/>
      <c r="AE522" s="328"/>
      <c r="AF522" s="328"/>
      <c r="AG522" s="328"/>
      <c r="AH522" s="328"/>
      <c r="AI522" s="328"/>
      <c r="AJ522" s="328"/>
      <c r="AK522" s="328"/>
      <c r="AL522" s="328"/>
      <c r="AM522" s="328"/>
      <c r="AN522" s="328"/>
      <c r="AO522" s="328"/>
      <c r="AP522" s="328"/>
      <c r="AQ522" s="328"/>
      <c r="AR522" s="328"/>
      <c r="AS522" s="328"/>
      <c r="AT522" s="328"/>
      <c r="AU522" s="328"/>
    </row>
    <row r="523" ht="15.75" customHeight="1">
      <c r="A523" s="328"/>
      <c r="B523" s="328"/>
      <c r="C523" s="328"/>
      <c r="D523" s="328"/>
      <c r="E523" s="328"/>
      <c r="F523" s="328"/>
      <c r="G523" s="328"/>
      <c r="H523" s="328"/>
      <c r="I523" s="328"/>
      <c r="J523" s="328"/>
      <c r="K523" s="328"/>
      <c r="L523" s="328"/>
      <c r="M523" s="328"/>
      <c r="N523" s="328"/>
      <c r="O523" s="328"/>
      <c r="P523" s="328"/>
      <c r="Q523" s="328"/>
      <c r="R523" s="328"/>
      <c r="S523" s="328"/>
      <c r="T523" s="328"/>
      <c r="U523" s="328"/>
      <c r="V523" s="328"/>
      <c r="W523" s="328"/>
      <c r="X523" s="328"/>
      <c r="Y523" s="328"/>
      <c r="Z523" s="328"/>
      <c r="AA523" s="328"/>
      <c r="AB523" s="328"/>
      <c r="AC523" s="328"/>
      <c r="AD523" s="328"/>
      <c r="AE523" s="328"/>
      <c r="AF523" s="328"/>
      <c r="AG523" s="328"/>
      <c r="AH523" s="328"/>
      <c r="AI523" s="328"/>
      <c r="AJ523" s="328"/>
      <c r="AK523" s="328"/>
      <c r="AL523" s="328"/>
      <c r="AM523" s="328"/>
      <c r="AN523" s="328"/>
      <c r="AO523" s="328"/>
      <c r="AP523" s="328"/>
      <c r="AQ523" s="328"/>
      <c r="AR523" s="328"/>
      <c r="AS523" s="328"/>
      <c r="AT523" s="328"/>
      <c r="AU523" s="328"/>
    </row>
    <row r="524" ht="15.75" customHeight="1">
      <c r="A524" s="328"/>
      <c r="B524" s="328"/>
      <c r="C524" s="328"/>
      <c r="D524" s="328"/>
      <c r="E524" s="328"/>
      <c r="F524" s="328"/>
      <c r="G524" s="328"/>
      <c r="H524" s="328"/>
      <c r="I524" s="328"/>
      <c r="J524" s="328"/>
      <c r="K524" s="328"/>
      <c r="L524" s="328"/>
      <c r="M524" s="328"/>
      <c r="N524" s="328"/>
      <c r="O524" s="328"/>
      <c r="P524" s="328"/>
      <c r="Q524" s="328"/>
      <c r="R524" s="328"/>
      <c r="S524" s="328"/>
      <c r="T524" s="328"/>
      <c r="U524" s="328"/>
      <c r="V524" s="328"/>
      <c r="W524" s="328"/>
      <c r="X524" s="328"/>
      <c r="Y524" s="328"/>
      <c r="Z524" s="328"/>
      <c r="AA524" s="328"/>
      <c r="AB524" s="328"/>
      <c r="AC524" s="328"/>
      <c r="AD524" s="328"/>
      <c r="AE524" s="328"/>
      <c r="AF524" s="328"/>
      <c r="AG524" s="328"/>
      <c r="AH524" s="328"/>
      <c r="AI524" s="328"/>
      <c r="AJ524" s="328"/>
      <c r="AK524" s="328"/>
      <c r="AL524" s="328"/>
      <c r="AM524" s="328"/>
      <c r="AN524" s="328"/>
      <c r="AO524" s="328"/>
      <c r="AP524" s="328"/>
      <c r="AQ524" s="328"/>
      <c r="AR524" s="328"/>
      <c r="AS524" s="328"/>
      <c r="AT524" s="328"/>
      <c r="AU524" s="328"/>
    </row>
    <row r="525" ht="15.75" customHeight="1">
      <c r="A525" s="328"/>
      <c r="B525" s="328"/>
      <c r="C525" s="328"/>
      <c r="D525" s="328"/>
      <c r="E525" s="328"/>
      <c r="F525" s="328"/>
      <c r="G525" s="328"/>
      <c r="H525" s="328"/>
      <c r="I525" s="328"/>
      <c r="J525" s="328"/>
      <c r="K525" s="328"/>
      <c r="L525" s="328"/>
      <c r="M525" s="328"/>
      <c r="N525" s="328"/>
      <c r="O525" s="328"/>
      <c r="P525" s="328"/>
      <c r="Q525" s="328"/>
      <c r="R525" s="328"/>
      <c r="S525" s="328"/>
      <c r="T525" s="328"/>
      <c r="U525" s="328"/>
      <c r="V525" s="328"/>
      <c r="W525" s="328"/>
      <c r="X525" s="328"/>
      <c r="Y525" s="328"/>
      <c r="Z525" s="328"/>
      <c r="AA525" s="328"/>
      <c r="AB525" s="328"/>
      <c r="AC525" s="328"/>
      <c r="AD525" s="328"/>
      <c r="AE525" s="328"/>
      <c r="AF525" s="328"/>
      <c r="AG525" s="328"/>
      <c r="AH525" s="328"/>
      <c r="AI525" s="328"/>
      <c r="AJ525" s="328"/>
      <c r="AK525" s="328"/>
      <c r="AL525" s="328"/>
      <c r="AM525" s="328"/>
      <c r="AN525" s="328"/>
      <c r="AO525" s="328"/>
      <c r="AP525" s="328"/>
      <c r="AQ525" s="328"/>
      <c r="AR525" s="328"/>
      <c r="AS525" s="328"/>
      <c r="AT525" s="328"/>
      <c r="AU525" s="328"/>
    </row>
    <row r="526" ht="15.75" customHeight="1">
      <c r="A526" s="328"/>
      <c r="B526" s="328"/>
      <c r="C526" s="328"/>
      <c r="D526" s="328"/>
      <c r="E526" s="328"/>
      <c r="F526" s="328"/>
      <c r="G526" s="328"/>
      <c r="H526" s="328"/>
      <c r="I526" s="328"/>
      <c r="J526" s="328"/>
      <c r="K526" s="328"/>
      <c r="L526" s="328"/>
      <c r="M526" s="328"/>
      <c r="N526" s="328"/>
      <c r="O526" s="328"/>
      <c r="P526" s="328"/>
      <c r="Q526" s="328"/>
      <c r="R526" s="328"/>
      <c r="S526" s="328"/>
      <c r="T526" s="328"/>
      <c r="U526" s="328"/>
      <c r="V526" s="328"/>
      <c r="W526" s="328"/>
      <c r="X526" s="328"/>
      <c r="Y526" s="328"/>
      <c r="Z526" s="328"/>
      <c r="AA526" s="328"/>
      <c r="AB526" s="328"/>
      <c r="AC526" s="328"/>
      <c r="AD526" s="328"/>
      <c r="AE526" s="328"/>
      <c r="AF526" s="328"/>
      <c r="AG526" s="328"/>
      <c r="AH526" s="328"/>
      <c r="AI526" s="328"/>
      <c r="AJ526" s="328"/>
      <c r="AK526" s="328"/>
      <c r="AL526" s="328"/>
      <c r="AM526" s="328"/>
      <c r="AN526" s="328"/>
      <c r="AO526" s="328"/>
      <c r="AP526" s="328"/>
      <c r="AQ526" s="328"/>
      <c r="AR526" s="328"/>
      <c r="AS526" s="328"/>
      <c r="AT526" s="328"/>
      <c r="AU526" s="328"/>
    </row>
    <row r="527" ht="15.75" customHeight="1">
      <c r="A527" s="328"/>
      <c r="B527" s="328"/>
      <c r="C527" s="328"/>
      <c r="D527" s="328"/>
      <c r="E527" s="328"/>
      <c r="F527" s="328"/>
      <c r="G527" s="328"/>
      <c r="H527" s="328"/>
      <c r="I527" s="328"/>
      <c r="J527" s="328"/>
      <c r="K527" s="328"/>
      <c r="L527" s="328"/>
      <c r="M527" s="328"/>
      <c r="N527" s="328"/>
      <c r="O527" s="328"/>
      <c r="P527" s="328"/>
      <c r="Q527" s="328"/>
      <c r="R527" s="328"/>
      <c r="S527" s="328"/>
      <c r="T527" s="328"/>
      <c r="U527" s="328"/>
      <c r="V527" s="328"/>
      <c r="W527" s="328"/>
      <c r="X527" s="328"/>
      <c r="Y527" s="328"/>
      <c r="Z527" s="328"/>
      <c r="AA527" s="328"/>
      <c r="AB527" s="328"/>
      <c r="AC527" s="328"/>
      <c r="AD527" s="328"/>
      <c r="AE527" s="328"/>
      <c r="AF527" s="328"/>
      <c r="AG527" s="328"/>
      <c r="AH527" s="328"/>
      <c r="AI527" s="328"/>
      <c r="AJ527" s="328"/>
      <c r="AK527" s="328"/>
      <c r="AL527" s="328"/>
      <c r="AM527" s="328"/>
      <c r="AN527" s="328"/>
      <c r="AO527" s="328"/>
      <c r="AP527" s="328"/>
      <c r="AQ527" s="328"/>
      <c r="AR527" s="328"/>
      <c r="AS527" s="328"/>
      <c r="AT527" s="328"/>
      <c r="AU527" s="328"/>
    </row>
    <row r="528" ht="15.75" customHeight="1">
      <c r="A528" s="328"/>
      <c r="B528" s="328"/>
      <c r="C528" s="328"/>
      <c r="D528" s="328"/>
      <c r="E528" s="328"/>
      <c r="F528" s="328"/>
      <c r="G528" s="328"/>
      <c r="H528" s="328"/>
      <c r="I528" s="328"/>
      <c r="J528" s="328"/>
      <c r="K528" s="328"/>
      <c r="L528" s="328"/>
      <c r="M528" s="328"/>
      <c r="N528" s="328"/>
      <c r="O528" s="328"/>
      <c r="P528" s="328"/>
      <c r="Q528" s="328"/>
      <c r="R528" s="328"/>
      <c r="S528" s="328"/>
      <c r="T528" s="328"/>
      <c r="U528" s="328"/>
      <c r="V528" s="328"/>
      <c r="W528" s="328"/>
      <c r="X528" s="328"/>
      <c r="Y528" s="328"/>
      <c r="Z528" s="328"/>
      <c r="AA528" s="328"/>
      <c r="AB528" s="328"/>
      <c r="AC528" s="328"/>
      <c r="AD528" s="328"/>
      <c r="AE528" s="328"/>
      <c r="AF528" s="328"/>
      <c r="AG528" s="328"/>
      <c r="AH528" s="328"/>
      <c r="AI528" s="328"/>
      <c r="AJ528" s="328"/>
      <c r="AK528" s="328"/>
      <c r="AL528" s="328"/>
      <c r="AM528" s="328"/>
      <c r="AN528" s="328"/>
      <c r="AO528" s="328"/>
      <c r="AP528" s="328"/>
      <c r="AQ528" s="328"/>
      <c r="AR528" s="328"/>
      <c r="AS528" s="328"/>
      <c r="AT528" s="328"/>
      <c r="AU528" s="328"/>
    </row>
    <row r="529" ht="15.75" customHeight="1">
      <c r="A529" s="328"/>
      <c r="B529" s="328"/>
      <c r="C529" s="328"/>
      <c r="D529" s="328"/>
      <c r="E529" s="328"/>
      <c r="F529" s="328"/>
      <c r="G529" s="328"/>
      <c r="H529" s="328"/>
      <c r="I529" s="328"/>
      <c r="J529" s="328"/>
      <c r="K529" s="328"/>
      <c r="L529" s="328"/>
      <c r="M529" s="328"/>
      <c r="N529" s="328"/>
      <c r="O529" s="328"/>
      <c r="P529" s="328"/>
      <c r="Q529" s="328"/>
      <c r="R529" s="328"/>
      <c r="S529" s="328"/>
      <c r="T529" s="328"/>
      <c r="U529" s="328"/>
      <c r="V529" s="328"/>
      <c r="W529" s="328"/>
      <c r="X529" s="328"/>
      <c r="Y529" s="328"/>
      <c r="Z529" s="328"/>
      <c r="AA529" s="328"/>
      <c r="AB529" s="328"/>
      <c r="AC529" s="328"/>
      <c r="AD529" s="328"/>
      <c r="AE529" s="328"/>
      <c r="AF529" s="328"/>
      <c r="AG529" s="328"/>
      <c r="AH529" s="328"/>
      <c r="AI529" s="328"/>
      <c r="AJ529" s="328"/>
      <c r="AK529" s="328"/>
      <c r="AL529" s="328"/>
      <c r="AM529" s="328"/>
      <c r="AN529" s="328"/>
      <c r="AO529" s="328"/>
      <c r="AP529" s="328"/>
      <c r="AQ529" s="328"/>
      <c r="AR529" s="328"/>
      <c r="AS529" s="328"/>
      <c r="AT529" s="328"/>
      <c r="AU529" s="328"/>
    </row>
    <row r="530" ht="15.75" customHeight="1">
      <c r="A530" s="328"/>
      <c r="B530" s="328"/>
      <c r="C530" s="328"/>
      <c r="D530" s="328"/>
      <c r="E530" s="328"/>
      <c r="F530" s="328"/>
      <c r="G530" s="328"/>
      <c r="H530" s="328"/>
      <c r="I530" s="328"/>
      <c r="J530" s="328"/>
      <c r="K530" s="328"/>
      <c r="L530" s="328"/>
      <c r="M530" s="328"/>
      <c r="N530" s="328"/>
      <c r="O530" s="328"/>
      <c r="P530" s="328"/>
      <c r="Q530" s="328"/>
      <c r="R530" s="328"/>
      <c r="S530" s="328"/>
      <c r="T530" s="328"/>
      <c r="U530" s="328"/>
      <c r="V530" s="328"/>
      <c r="W530" s="328"/>
      <c r="X530" s="328"/>
      <c r="Y530" s="328"/>
      <c r="Z530" s="328"/>
      <c r="AA530" s="328"/>
      <c r="AB530" s="328"/>
      <c r="AC530" s="328"/>
      <c r="AD530" s="328"/>
      <c r="AE530" s="328"/>
      <c r="AF530" s="328"/>
      <c r="AG530" s="328"/>
      <c r="AH530" s="328"/>
      <c r="AI530" s="328"/>
      <c r="AJ530" s="328"/>
      <c r="AK530" s="328"/>
      <c r="AL530" s="328"/>
      <c r="AM530" s="328"/>
      <c r="AN530" s="328"/>
      <c r="AO530" s="328"/>
      <c r="AP530" s="328"/>
      <c r="AQ530" s="328"/>
      <c r="AR530" s="328"/>
      <c r="AS530" s="328"/>
      <c r="AT530" s="328"/>
      <c r="AU530" s="328"/>
    </row>
    <row r="531" ht="15.75" customHeight="1">
      <c r="A531" s="328"/>
      <c r="B531" s="328"/>
      <c r="C531" s="328"/>
      <c r="D531" s="328"/>
      <c r="E531" s="328"/>
      <c r="F531" s="328"/>
      <c r="G531" s="328"/>
      <c r="H531" s="328"/>
      <c r="I531" s="328"/>
      <c r="J531" s="328"/>
      <c r="K531" s="328"/>
      <c r="L531" s="328"/>
      <c r="M531" s="328"/>
      <c r="N531" s="328"/>
      <c r="O531" s="328"/>
      <c r="P531" s="328"/>
      <c r="Q531" s="328"/>
      <c r="R531" s="328"/>
      <c r="S531" s="328"/>
      <c r="T531" s="328"/>
      <c r="U531" s="328"/>
      <c r="V531" s="328"/>
      <c r="W531" s="328"/>
      <c r="X531" s="328"/>
      <c r="Y531" s="328"/>
      <c r="Z531" s="328"/>
      <c r="AA531" s="328"/>
      <c r="AB531" s="328"/>
      <c r="AC531" s="328"/>
      <c r="AD531" s="328"/>
      <c r="AE531" s="328"/>
      <c r="AF531" s="328"/>
      <c r="AG531" s="328"/>
      <c r="AH531" s="328"/>
      <c r="AI531" s="328"/>
      <c r="AJ531" s="328"/>
      <c r="AK531" s="328"/>
      <c r="AL531" s="328"/>
      <c r="AM531" s="328"/>
      <c r="AN531" s="328"/>
      <c r="AO531" s="328"/>
      <c r="AP531" s="328"/>
      <c r="AQ531" s="328"/>
      <c r="AR531" s="328"/>
      <c r="AS531" s="328"/>
      <c r="AT531" s="328"/>
      <c r="AU531" s="328"/>
    </row>
    <row r="532" ht="15.75" customHeight="1">
      <c r="A532" s="328"/>
      <c r="B532" s="328"/>
      <c r="C532" s="328"/>
      <c r="D532" s="328"/>
      <c r="E532" s="328"/>
      <c r="F532" s="328"/>
      <c r="G532" s="328"/>
      <c r="H532" s="328"/>
      <c r="I532" s="328"/>
      <c r="J532" s="328"/>
      <c r="K532" s="328"/>
      <c r="L532" s="328"/>
      <c r="M532" s="328"/>
      <c r="N532" s="328"/>
      <c r="O532" s="328"/>
      <c r="P532" s="328"/>
      <c r="Q532" s="328"/>
      <c r="R532" s="328"/>
      <c r="S532" s="328"/>
      <c r="T532" s="328"/>
      <c r="U532" s="328"/>
      <c r="V532" s="328"/>
      <c r="W532" s="328"/>
      <c r="X532" s="328"/>
      <c r="Y532" s="328"/>
      <c r="Z532" s="328"/>
      <c r="AA532" s="328"/>
      <c r="AB532" s="328"/>
      <c r="AC532" s="328"/>
      <c r="AD532" s="328"/>
      <c r="AE532" s="328"/>
      <c r="AF532" s="328"/>
      <c r="AG532" s="328"/>
      <c r="AH532" s="328"/>
      <c r="AI532" s="328"/>
      <c r="AJ532" s="328"/>
      <c r="AK532" s="328"/>
      <c r="AL532" s="328"/>
      <c r="AM532" s="328"/>
      <c r="AN532" s="328"/>
      <c r="AO532" s="328"/>
      <c r="AP532" s="328"/>
      <c r="AQ532" s="328"/>
      <c r="AR532" s="328"/>
      <c r="AS532" s="328"/>
      <c r="AT532" s="328"/>
      <c r="AU532" s="328"/>
    </row>
    <row r="533" ht="15.75" customHeight="1">
      <c r="A533" s="328"/>
      <c r="B533" s="328"/>
      <c r="C533" s="328"/>
      <c r="D533" s="328"/>
      <c r="E533" s="328"/>
      <c r="F533" s="328"/>
      <c r="G533" s="328"/>
      <c r="H533" s="328"/>
      <c r="I533" s="328"/>
      <c r="J533" s="328"/>
      <c r="K533" s="328"/>
      <c r="L533" s="328"/>
      <c r="M533" s="328"/>
      <c r="N533" s="328"/>
      <c r="O533" s="328"/>
      <c r="P533" s="328"/>
      <c r="Q533" s="328"/>
      <c r="R533" s="328"/>
      <c r="S533" s="328"/>
      <c r="T533" s="328"/>
      <c r="U533" s="328"/>
      <c r="V533" s="328"/>
      <c r="W533" s="328"/>
      <c r="X533" s="328"/>
      <c r="Y533" s="328"/>
      <c r="Z533" s="328"/>
      <c r="AA533" s="328"/>
      <c r="AB533" s="328"/>
      <c r="AC533" s="328"/>
      <c r="AD533" s="328"/>
      <c r="AE533" s="328"/>
      <c r="AF533" s="328"/>
      <c r="AG533" s="328"/>
      <c r="AH533" s="328"/>
      <c r="AI533" s="328"/>
      <c r="AJ533" s="328"/>
      <c r="AK533" s="328"/>
      <c r="AL533" s="328"/>
      <c r="AM533" s="328"/>
      <c r="AN533" s="328"/>
      <c r="AO533" s="328"/>
      <c r="AP533" s="328"/>
      <c r="AQ533" s="328"/>
      <c r="AR533" s="328"/>
      <c r="AS533" s="328"/>
      <c r="AT533" s="328"/>
      <c r="AU533" s="328"/>
    </row>
    <row r="534" ht="15.75" customHeight="1">
      <c r="A534" s="328"/>
      <c r="B534" s="328"/>
      <c r="C534" s="328"/>
      <c r="D534" s="328"/>
      <c r="E534" s="328"/>
      <c r="F534" s="328"/>
      <c r="G534" s="328"/>
      <c r="H534" s="328"/>
      <c r="I534" s="328"/>
      <c r="J534" s="328"/>
      <c r="K534" s="328"/>
      <c r="L534" s="328"/>
      <c r="M534" s="328"/>
      <c r="N534" s="328"/>
      <c r="O534" s="328"/>
      <c r="P534" s="328"/>
      <c r="Q534" s="328"/>
      <c r="R534" s="328"/>
      <c r="S534" s="328"/>
      <c r="T534" s="328"/>
      <c r="U534" s="328"/>
      <c r="V534" s="328"/>
      <c r="W534" s="328"/>
      <c r="X534" s="328"/>
      <c r="Y534" s="328"/>
      <c r="Z534" s="328"/>
      <c r="AA534" s="328"/>
      <c r="AB534" s="328"/>
      <c r="AC534" s="328"/>
      <c r="AD534" s="328"/>
      <c r="AE534" s="328"/>
      <c r="AF534" s="328"/>
      <c r="AG534" s="328"/>
      <c r="AH534" s="328"/>
      <c r="AI534" s="328"/>
      <c r="AJ534" s="328"/>
      <c r="AK534" s="328"/>
      <c r="AL534" s="328"/>
      <c r="AM534" s="328"/>
      <c r="AN534" s="328"/>
      <c r="AO534" s="328"/>
      <c r="AP534" s="328"/>
      <c r="AQ534" s="328"/>
      <c r="AR534" s="328"/>
      <c r="AS534" s="328"/>
      <c r="AT534" s="328"/>
      <c r="AU534" s="328"/>
    </row>
    <row r="535" ht="15.75" customHeight="1">
      <c r="A535" s="328"/>
      <c r="B535" s="328"/>
      <c r="C535" s="328"/>
      <c r="D535" s="328"/>
      <c r="E535" s="328"/>
      <c r="F535" s="328"/>
      <c r="G535" s="328"/>
      <c r="H535" s="328"/>
      <c r="I535" s="328"/>
      <c r="J535" s="328"/>
      <c r="K535" s="328"/>
      <c r="L535" s="328"/>
      <c r="M535" s="328"/>
      <c r="N535" s="328"/>
      <c r="O535" s="328"/>
      <c r="P535" s="328"/>
      <c r="Q535" s="328"/>
      <c r="R535" s="328"/>
      <c r="S535" s="328"/>
      <c r="T535" s="328"/>
      <c r="U535" s="328"/>
      <c r="V535" s="328"/>
      <c r="W535" s="328"/>
      <c r="X535" s="328"/>
      <c r="Y535" s="328"/>
      <c r="Z535" s="328"/>
      <c r="AA535" s="328"/>
      <c r="AB535" s="328"/>
      <c r="AC535" s="328"/>
      <c r="AD535" s="328"/>
      <c r="AE535" s="328"/>
      <c r="AF535" s="328"/>
      <c r="AG535" s="328"/>
      <c r="AH535" s="328"/>
      <c r="AI535" s="328"/>
      <c r="AJ535" s="328"/>
      <c r="AK535" s="328"/>
      <c r="AL535" s="328"/>
      <c r="AM535" s="328"/>
      <c r="AN535" s="328"/>
      <c r="AO535" s="328"/>
      <c r="AP535" s="328"/>
      <c r="AQ535" s="328"/>
      <c r="AR535" s="328"/>
      <c r="AS535" s="328"/>
      <c r="AT535" s="328"/>
      <c r="AU535" s="328"/>
    </row>
    <row r="536" ht="15.75" customHeight="1">
      <c r="A536" s="328"/>
      <c r="B536" s="328"/>
      <c r="C536" s="328"/>
      <c r="D536" s="328"/>
      <c r="E536" s="328"/>
      <c r="F536" s="328"/>
      <c r="G536" s="328"/>
      <c r="H536" s="328"/>
      <c r="I536" s="328"/>
      <c r="J536" s="328"/>
      <c r="K536" s="328"/>
      <c r="L536" s="328"/>
      <c r="M536" s="328"/>
      <c r="N536" s="328"/>
      <c r="O536" s="328"/>
      <c r="P536" s="328"/>
      <c r="Q536" s="328"/>
      <c r="R536" s="328"/>
      <c r="S536" s="328"/>
      <c r="T536" s="328"/>
      <c r="U536" s="328"/>
      <c r="V536" s="328"/>
      <c r="W536" s="328"/>
      <c r="X536" s="328"/>
      <c r="Y536" s="328"/>
      <c r="Z536" s="328"/>
      <c r="AA536" s="328"/>
      <c r="AB536" s="328"/>
      <c r="AC536" s="328"/>
      <c r="AD536" s="328"/>
      <c r="AE536" s="328"/>
      <c r="AF536" s="328"/>
      <c r="AG536" s="328"/>
      <c r="AH536" s="328"/>
      <c r="AI536" s="328"/>
      <c r="AJ536" s="328"/>
      <c r="AK536" s="328"/>
      <c r="AL536" s="328"/>
      <c r="AM536" s="328"/>
      <c r="AN536" s="328"/>
      <c r="AO536" s="328"/>
      <c r="AP536" s="328"/>
      <c r="AQ536" s="328"/>
      <c r="AR536" s="328"/>
      <c r="AS536" s="328"/>
      <c r="AT536" s="328"/>
      <c r="AU536" s="328"/>
    </row>
    <row r="537" ht="15.75" customHeight="1">
      <c r="A537" s="328"/>
      <c r="B537" s="328"/>
      <c r="C537" s="328"/>
      <c r="D537" s="328"/>
      <c r="E537" s="328"/>
      <c r="F537" s="328"/>
      <c r="G537" s="328"/>
      <c r="H537" s="328"/>
      <c r="I537" s="328"/>
      <c r="J537" s="328"/>
      <c r="K537" s="328"/>
      <c r="L537" s="328"/>
      <c r="M537" s="328"/>
      <c r="N537" s="328"/>
      <c r="O537" s="328"/>
      <c r="P537" s="328"/>
      <c r="Q537" s="328"/>
      <c r="R537" s="328"/>
      <c r="S537" s="328"/>
      <c r="T537" s="328"/>
      <c r="U537" s="328"/>
      <c r="V537" s="328"/>
      <c r="W537" s="328"/>
      <c r="X537" s="328"/>
      <c r="Y537" s="328"/>
      <c r="Z537" s="328"/>
      <c r="AA537" s="328"/>
      <c r="AB537" s="328"/>
      <c r="AC537" s="328"/>
      <c r="AD537" s="328"/>
      <c r="AE537" s="328"/>
      <c r="AF537" s="328"/>
      <c r="AG537" s="328"/>
      <c r="AH537" s="328"/>
      <c r="AI537" s="328"/>
      <c r="AJ537" s="328"/>
      <c r="AK537" s="328"/>
      <c r="AL537" s="328"/>
      <c r="AM537" s="328"/>
      <c r="AN537" s="328"/>
      <c r="AO537" s="328"/>
      <c r="AP537" s="328"/>
      <c r="AQ537" s="328"/>
      <c r="AR537" s="328"/>
      <c r="AS537" s="328"/>
      <c r="AT537" s="328"/>
      <c r="AU537" s="328"/>
    </row>
    <row r="538" ht="15.75" customHeight="1">
      <c r="A538" s="328"/>
      <c r="B538" s="328"/>
      <c r="C538" s="328"/>
      <c r="D538" s="328"/>
      <c r="E538" s="328"/>
      <c r="F538" s="328"/>
      <c r="G538" s="328"/>
      <c r="H538" s="328"/>
      <c r="I538" s="328"/>
      <c r="J538" s="328"/>
      <c r="K538" s="328"/>
      <c r="L538" s="328"/>
      <c r="M538" s="328"/>
      <c r="N538" s="328"/>
      <c r="O538" s="328"/>
      <c r="P538" s="328"/>
      <c r="Q538" s="328"/>
      <c r="R538" s="328"/>
      <c r="S538" s="328"/>
      <c r="T538" s="328"/>
      <c r="U538" s="328"/>
      <c r="V538" s="328"/>
      <c r="W538" s="328"/>
      <c r="X538" s="328"/>
      <c r="Y538" s="328"/>
      <c r="Z538" s="328"/>
      <c r="AA538" s="328"/>
      <c r="AB538" s="328"/>
      <c r="AC538" s="328"/>
      <c r="AD538" s="328"/>
      <c r="AE538" s="328"/>
      <c r="AF538" s="328"/>
      <c r="AG538" s="328"/>
      <c r="AH538" s="328"/>
      <c r="AI538" s="328"/>
      <c r="AJ538" s="328"/>
      <c r="AK538" s="328"/>
      <c r="AL538" s="328"/>
      <c r="AM538" s="328"/>
      <c r="AN538" s="328"/>
      <c r="AO538" s="328"/>
      <c r="AP538" s="328"/>
      <c r="AQ538" s="328"/>
      <c r="AR538" s="328"/>
      <c r="AS538" s="328"/>
      <c r="AT538" s="328"/>
      <c r="AU538" s="328"/>
    </row>
    <row r="539" ht="15.75" customHeight="1">
      <c r="A539" s="328"/>
      <c r="B539" s="328"/>
      <c r="C539" s="328"/>
      <c r="D539" s="328"/>
      <c r="E539" s="328"/>
      <c r="F539" s="328"/>
      <c r="G539" s="328"/>
      <c r="H539" s="328"/>
      <c r="I539" s="328"/>
      <c r="J539" s="328"/>
      <c r="K539" s="328"/>
      <c r="L539" s="328"/>
      <c r="M539" s="328"/>
      <c r="N539" s="328"/>
      <c r="O539" s="328"/>
      <c r="P539" s="328"/>
      <c r="Q539" s="328"/>
      <c r="R539" s="328"/>
      <c r="S539" s="328"/>
      <c r="T539" s="328"/>
      <c r="U539" s="328"/>
      <c r="V539" s="328"/>
      <c r="W539" s="328"/>
      <c r="X539" s="328"/>
      <c r="Y539" s="328"/>
      <c r="Z539" s="328"/>
      <c r="AA539" s="328"/>
      <c r="AB539" s="328"/>
      <c r="AC539" s="328"/>
      <c r="AD539" s="328"/>
      <c r="AE539" s="328"/>
      <c r="AF539" s="328"/>
      <c r="AG539" s="328"/>
      <c r="AH539" s="328"/>
      <c r="AI539" s="328"/>
      <c r="AJ539" s="328"/>
      <c r="AK539" s="328"/>
      <c r="AL539" s="328"/>
      <c r="AM539" s="328"/>
      <c r="AN539" s="328"/>
      <c r="AO539" s="328"/>
      <c r="AP539" s="328"/>
      <c r="AQ539" s="328"/>
      <c r="AR539" s="328"/>
      <c r="AS539" s="328"/>
      <c r="AT539" s="328"/>
      <c r="AU539" s="328"/>
    </row>
    <row r="540" ht="15.75" customHeight="1">
      <c r="A540" s="328"/>
      <c r="B540" s="328"/>
      <c r="C540" s="328"/>
      <c r="D540" s="328"/>
      <c r="E540" s="328"/>
      <c r="F540" s="328"/>
      <c r="G540" s="328"/>
      <c r="H540" s="328"/>
      <c r="I540" s="328"/>
      <c r="J540" s="328"/>
      <c r="K540" s="328"/>
      <c r="L540" s="328"/>
      <c r="M540" s="328"/>
      <c r="N540" s="328"/>
      <c r="O540" s="328"/>
      <c r="P540" s="328"/>
      <c r="Q540" s="328"/>
      <c r="R540" s="328"/>
      <c r="S540" s="328"/>
      <c r="T540" s="328"/>
      <c r="U540" s="328"/>
      <c r="V540" s="328"/>
      <c r="W540" s="328"/>
      <c r="X540" s="328"/>
      <c r="Y540" s="328"/>
      <c r="Z540" s="328"/>
      <c r="AA540" s="328"/>
      <c r="AB540" s="328"/>
      <c r="AC540" s="328"/>
      <c r="AD540" s="328"/>
      <c r="AE540" s="328"/>
      <c r="AF540" s="328"/>
      <c r="AG540" s="328"/>
      <c r="AH540" s="328"/>
      <c r="AI540" s="328"/>
      <c r="AJ540" s="328"/>
      <c r="AK540" s="328"/>
      <c r="AL540" s="328"/>
      <c r="AM540" s="328"/>
      <c r="AN540" s="328"/>
      <c r="AO540" s="328"/>
      <c r="AP540" s="328"/>
      <c r="AQ540" s="328"/>
      <c r="AR540" s="328"/>
      <c r="AS540" s="328"/>
      <c r="AT540" s="328"/>
      <c r="AU540" s="328"/>
    </row>
    <row r="541" ht="15.75" customHeight="1">
      <c r="A541" s="328"/>
      <c r="B541" s="328"/>
      <c r="C541" s="328"/>
      <c r="D541" s="328"/>
      <c r="E541" s="328"/>
      <c r="F541" s="328"/>
      <c r="G541" s="328"/>
      <c r="H541" s="328"/>
      <c r="I541" s="328"/>
      <c r="J541" s="328"/>
      <c r="K541" s="328"/>
      <c r="L541" s="328"/>
      <c r="M541" s="328"/>
      <c r="N541" s="328"/>
      <c r="O541" s="328"/>
      <c r="P541" s="328"/>
      <c r="Q541" s="328"/>
      <c r="R541" s="328"/>
      <c r="S541" s="328"/>
      <c r="T541" s="328"/>
      <c r="U541" s="328"/>
      <c r="V541" s="328"/>
      <c r="W541" s="328"/>
      <c r="X541" s="328"/>
      <c r="Y541" s="328"/>
      <c r="Z541" s="328"/>
      <c r="AA541" s="328"/>
      <c r="AB541" s="328"/>
      <c r="AC541" s="328"/>
      <c r="AD541" s="328"/>
      <c r="AE541" s="328"/>
      <c r="AF541" s="328"/>
      <c r="AG541" s="328"/>
      <c r="AH541" s="328"/>
      <c r="AI541" s="328"/>
      <c r="AJ541" s="328"/>
      <c r="AK541" s="328"/>
      <c r="AL541" s="328"/>
      <c r="AM541" s="328"/>
      <c r="AN541" s="328"/>
      <c r="AO541" s="328"/>
      <c r="AP541" s="328"/>
      <c r="AQ541" s="328"/>
      <c r="AR541" s="328"/>
      <c r="AS541" s="328"/>
      <c r="AT541" s="328"/>
      <c r="AU541" s="328"/>
    </row>
    <row r="542" ht="15.75" customHeight="1">
      <c r="A542" s="328"/>
      <c r="B542" s="328"/>
      <c r="C542" s="328"/>
      <c r="D542" s="328"/>
      <c r="E542" s="328"/>
      <c r="F542" s="328"/>
      <c r="G542" s="328"/>
      <c r="H542" s="328"/>
      <c r="I542" s="328"/>
      <c r="J542" s="328"/>
      <c r="K542" s="328"/>
      <c r="L542" s="328"/>
      <c r="M542" s="328"/>
      <c r="N542" s="328"/>
      <c r="O542" s="328"/>
      <c r="P542" s="328"/>
      <c r="Q542" s="328"/>
      <c r="R542" s="328"/>
      <c r="S542" s="328"/>
      <c r="T542" s="328"/>
      <c r="U542" s="328"/>
      <c r="V542" s="328"/>
      <c r="W542" s="328"/>
      <c r="X542" s="328"/>
      <c r="Y542" s="328"/>
      <c r="Z542" s="328"/>
      <c r="AA542" s="328"/>
      <c r="AB542" s="328"/>
      <c r="AC542" s="328"/>
      <c r="AD542" s="328"/>
      <c r="AE542" s="328"/>
      <c r="AF542" s="328"/>
      <c r="AG542" s="328"/>
      <c r="AH542" s="328"/>
      <c r="AI542" s="328"/>
      <c r="AJ542" s="328"/>
      <c r="AK542" s="328"/>
      <c r="AL542" s="328"/>
      <c r="AM542" s="328"/>
      <c r="AN542" s="328"/>
      <c r="AO542" s="328"/>
      <c r="AP542" s="328"/>
      <c r="AQ542" s="328"/>
      <c r="AR542" s="328"/>
      <c r="AS542" s="328"/>
      <c r="AT542" s="328"/>
      <c r="AU542" s="328"/>
    </row>
    <row r="543" ht="15.75" customHeight="1">
      <c r="A543" s="328"/>
      <c r="B543" s="328"/>
      <c r="C543" s="328"/>
      <c r="D543" s="328"/>
      <c r="E543" s="328"/>
      <c r="F543" s="328"/>
      <c r="G543" s="328"/>
      <c r="H543" s="328"/>
      <c r="I543" s="328"/>
      <c r="J543" s="328"/>
      <c r="K543" s="328"/>
      <c r="L543" s="328"/>
      <c r="M543" s="328"/>
      <c r="N543" s="328"/>
      <c r="O543" s="328"/>
      <c r="P543" s="328"/>
      <c r="Q543" s="328"/>
      <c r="R543" s="328"/>
      <c r="S543" s="328"/>
      <c r="T543" s="328"/>
      <c r="U543" s="328"/>
      <c r="V543" s="328"/>
      <c r="W543" s="328"/>
      <c r="X543" s="328"/>
      <c r="Y543" s="328"/>
      <c r="Z543" s="328"/>
      <c r="AA543" s="328"/>
      <c r="AB543" s="328"/>
      <c r="AC543" s="328"/>
      <c r="AD543" s="328"/>
      <c r="AE543" s="328"/>
      <c r="AF543" s="328"/>
      <c r="AG543" s="328"/>
      <c r="AH543" s="328"/>
      <c r="AI543" s="328"/>
      <c r="AJ543" s="328"/>
      <c r="AK543" s="328"/>
      <c r="AL543" s="328"/>
      <c r="AM543" s="328"/>
      <c r="AN543" s="328"/>
      <c r="AO543" s="328"/>
      <c r="AP543" s="328"/>
      <c r="AQ543" s="328"/>
      <c r="AR543" s="328"/>
      <c r="AS543" s="328"/>
      <c r="AT543" s="328"/>
      <c r="AU543" s="328"/>
    </row>
    <row r="544" ht="15.75" customHeight="1">
      <c r="A544" s="328"/>
      <c r="B544" s="328"/>
      <c r="C544" s="328"/>
      <c r="D544" s="328"/>
      <c r="E544" s="328"/>
      <c r="F544" s="328"/>
      <c r="G544" s="328"/>
      <c r="H544" s="328"/>
      <c r="I544" s="328"/>
      <c r="J544" s="328"/>
      <c r="K544" s="328"/>
      <c r="L544" s="328"/>
      <c r="M544" s="328"/>
      <c r="N544" s="328"/>
      <c r="O544" s="328"/>
      <c r="P544" s="328"/>
      <c r="Q544" s="328"/>
      <c r="R544" s="328"/>
      <c r="S544" s="328"/>
      <c r="T544" s="328"/>
      <c r="U544" s="328"/>
      <c r="V544" s="328"/>
      <c r="W544" s="328"/>
      <c r="X544" s="328"/>
      <c r="Y544" s="328"/>
      <c r="Z544" s="328"/>
      <c r="AA544" s="328"/>
      <c r="AB544" s="328"/>
      <c r="AC544" s="328"/>
      <c r="AD544" s="328"/>
      <c r="AE544" s="328"/>
      <c r="AF544" s="328"/>
      <c r="AG544" s="328"/>
      <c r="AH544" s="328"/>
      <c r="AI544" s="328"/>
      <c r="AJ544" s="328"/>
      <c r="AK544" s="328"/>
      <c r="AL544" s="328"/>
      <c r="AM544" s="328"/>
      <c r="AN544" s="328"/>
      <c r="AO544" s="328"/>
      <c r="AP544" s="328"/>
      <c r="AQ544" s="328"/>
      <c r="AR544" s="328"/>
      <c r="AS544" s="328"/>
      <c r="AT544" s="328"/>
      <c r="AU544" s="328"/>
    </row>
    <row r="545" ht="15.75" customHeight="1">
      <c r="A545" s="328"/>
      <c r="B545" s="328"/>
      <c r="C545" s="328"/>
      <c r="D545" s="328"/>
      <c r="E545" s="328"/>
      <c r="F545" s="328"/>
      <c r="G545" s="328"/>
      <c r="H545" s="328"/>
      <c r="I545" s="328"/>
      <c r="J545" s="328"/>
      <c r="K545" s="328"/>
      <c r="L545" s="328"/>
      <c r="M545" s="328"/>
      <c r="N545" s="328"/>
      <c r="O545" s="328"/>
      <c r="P545" s="328"/>
      <c r="Q545" s="328"/>
      <c r="R545" s="328"/>
      <c r="S545" s="328"/>
      <c r="T545" s="328"/>
      <c r="U545" s="328"/>
      <c r="V545" s="328"/>
      <c r="W545" s="328"/>
      <c r="X545" s="328"/>
      <c r="Y545" s="328"/>
      <c r="Z545" s="328"/>
      <c r="AA545" s="328"/>
      <c r="AB545" s="328"/>
      <c r="AC545" s="328"/>
      <c r="AD545" s="328"/>
      <c r="AE545" s="328"/>
      <c r="AF545" s="328"/>
      <c r="AG545" s="328"/>
      <c r="AH545" s="328"/>
      <c r="AI545" s="328"/>
      <c r="AJ545" s="328"/>
      <c r="AK545" s="328"/>
      <c r="AL545" s="328"/>
      <c r="AM545" s="328"/>
      <c r="AN545" s="328"/>
      <c r="AO545" s="328"/>
      <c r="AP545" s="328"/>
      <c r="AQ545" s="328"/>
      <c r="AR545" s="328"/>
      <c r="AS545" s="328"/>
      <c r="AT545" s="328"/>
      <c r="AU545" s="328"/>
    </row>
    <row r="546" ht="15.75" customHeight="1">
      <c r="A546" s="328"/>
      <c r="B546" s="328"/>
      <c r="C546" s="328"/>
      <c r="D546" s="328"/>
      <c r="E546" s="328"/>
      <c r="F546" s="328"/>
      <c r="G546" s="328"/>
      <c r="H546" s="328"/>
      <c r="I546" s="328"/>
      <c r="J546" s="328"/>
      <c r="K546" s="328"/>
      <c r="L546" s="328"/>
      <c r="M546" s="328"/>
      <c r="N546" s="328"/>
      <c r="O546" s="328"/>
      <c r="P546" s="328"/>
      <c r="Q546" s="328"/>
      <c r="R546" s="328"/>
      <c r="S546" s="328"/>
      <c r="T546" s="328"/>
      <c r="U546" s="328"/>
      <c r="V546" s="328"/>
      <c r="W546" s="328"/>
      <c r="X546" s="328"/>
      <c r="Y546" s="328"/>
      <c r="Z546" s="328"/>
      <c r="AA546" s="328"/>
      <c r="AB546" s="328"/>
      <c r="AC546" s="328"/>
      <c r="AD546" s="328"/>
      <c r="AE546" s="328"/>
      <c r="AF546" s="328"/>
      <c r="AG546" s="328"/>
      <c r="AH546" s="328"/>
      <c r="AI546" s="328"/>
      <c r="AJ546" s="328"/>
      <c r="AK546" s="328"/>
      <c r="AL546" s="328"/>
      <c r="AM546" s="328"/>
      <c r="AN546" s="328"/>
      <c r="AO546" s="328"/>
      <c r="AP546" s="328"/>
      <c r="AQ546" s="328"/>
      <c r="AR546" s="328"/>
      <c r="AS546" s="328"/>
      <c r="AT546" s="328"/>
      <c r="AU546" s="328"/>
    </row>
    <row r="547" ht="15.75" customHeight="1">
      <c r="A547" s="328"/>
      <c r="B547" s="328"/>
      <c r="C547" s="328"/>
      <c r="D547" s="328"/>
      <c r="E547" s="328"/>
      <c r="F547" s="328"/>
      <c r="G547" s="328"/>
      <c r="H547" s="328"/>
      <c r="I547" s="328"/>
      <c r="J547" s="328"/>
      <c r="K547" s="328"/>
      <c r="L547" s="328"/>
      <c r="M547" s="328"/>
      <c r="N547" s="328"/>
      <c r="O547" s="328"/>
      <c r="P547" s="328"/>
      <c r="Q547" s="328"/>
      <c r="R547" s="328"/>
      <c r="S547" s="328"/>
      <c r="T547" s="328"/>
      <c r="U547" s="328"/>
      <c r="V547" s="328"/>
      <c r="W547" s="328"/>
      <c r="X547" s="328"/>
      <c r="Y547" s="328"/>
      <c r="Z547" s="328"/>
      <c r="AA547" s="328"/>
      <c r="AB547" s="328"/>
      <c r="AC547" s="328"/>
      <c r="AD547" s="328"/>
      <c r="AE547" s="328"/>
      <c r="AF547" s="328"/>
      <c r="AG547" s="328"/>
      <c r="AH547" s="328"/>
      <c r="AI547" s="328"/>
      <c r="AJ547" s="328"/>
      <c r="AK547" s="328"/>
      <c r="AL547" s="328"/>
      <c r="AM547" s="328"/>
      <c r="AN547" s="328"/>
      <c r="AO547" s="328"/>
      <c r="AP547" s="328"/>
      <c r="AQ547" s="328"/>
      <c r="AR547" s="328"/>
      <c r="AS547" s="328"/>
      <c r="AT547" s="328"/>
      <c r="AU547" s="328"/>
    </row>
    <row r="548" ht="15.75" customHeight="1">
      <c r="A548" s="328"/>
      <c r="B548" s="328"/>
      <c r="C548" s="328"/>
      <c r="D548" s="328"/>
      <c r="E548" s="328"/>
      <c r="F548" s="328"/>
      <c r="G548" s="328"/>
      <c r="H548" s="328"/>
      <c r="I548" s="328"/>
      <c r="J548" s="328"/>
      <c r="K548" s="328"/>
      <c r="L548" s="328"/>
      <c r="M548" s="328"/>
      <c r="N548" s="328"/>
      <c r="O548" s="328"/>
      <c r="P548" s="328"/>
      <c r="Q548" s="328"/>
      <c r="R548" s="328"/>
      <c r="S548" s="328"/>
      <c r="T548" s="328"/>
      <c r="U548" s="328"/>
      <c r="V548" s="328"/>
      <c r="W548" s="328"/>
      <c r="X548" s="328"/>
      <c r="Y548" s="328"/>
      <c r="Z548" s="328"/>
      <c r="AA548" s="328"/>
      <c r="AB548" s="328"/>
      <c r="AC548" s="328"/>
      <c r="AD548" s="328"/>
      <c r="AE548" s="328"/>
      <c r="AF548" s="328"/>
      <c r="AG548" s="328"/>
      <c r="AH548" s="328"/>
      <c r="AI548" s="328"/>
      <c r="AJ548" s="328"/>
      <c r="AK548" s="328"/>
      <c r="AL548" s="328"/>
      <c r="AM548" s="328"/>
      <c r="AN548" s="328"/>
      <c r="AO548" s="328"/>
      <c r="AP548" s="328"/>
      <c r="AQ548" s="328"/>
      <c r="AR548" s="328"/>
      <c r="AS548" s="328"/>
      <c r="AT548" s="328"/>
      <c r="AU548" s="328"/>
    </row>
    <row r="549" ht="15.75" customHeight="1">
      <c r="A549" s="328"/>
      <c r="B549" s="328"/>
      <c r="C549" s="328"/>
      <c r="D549" s="328"/>
      <c r="E549" s="328"/>
      <c r="F549" s="328"/>
      <c r="G549" s="328"/>
      <c r="H549" s="328"/>
      <c r="I549" s="328"/>
      <c r="J549" s="328"/>
      <c r="K549" s="328"/>
      <c r="L549" s="328"/>
      <c r="M549" s="328"/>
      <c r="N549" s="328"/>
      <c r="O549" s="328"/>
      <c r="P549" s="328"/>
      <c r="Q549" s="328"/>
      <c r="R549" s="328"/>
      <c r="S549" s="328"/>
      <c r="T549" s="328"/>
      <c r="U549" s="328"/>
      <c r="V549" s="328"/>
      <c r="W549" s="328"/>
      <c r="X549" s="328"/>
      <c r="Y549" s="328"/>
      <c r="Z549" s="328"/>
      <c r="AA549" s="328"/>
      <c r="AB549" s="328"/>
      <c r="AC549" s="328"/>
      <c r="AD549" s="328"/>
      <c r="AE549" s="328"/>
      <c r="AF549" s="328"/>
      <c r="AG549" s="328"/>
      <c r="AH549" s="328"/>
      <c r="AI549" s="328"/>
      <c r="AJ549" s="328"/>
      <c r="AK549" s="328"/>
      <c r="AL549" s="328"/>
      <c r="AM549" s="328"/>
      <c r="AN549" s="328"/>
      <c r="AO549" s="328"/>
      <c r="AP549" s="328"/>
      <c r="AQ549" s="328"/>
      <c r="AR549" s="328"/>
      <c r="AS549" s="328"/>
      <c r="AT549" s="328"/>
      <c r="AU549" s="328"/>
    </row>
    <row r="550" ht="15.75" customHeight="1">
      <c r="A550" s="328"/>
      <c r="B550" s="328"/>
      <c r="C550" s="328"/>
      <c r="D550" s="328"/>
      <c r="E550" s="328"/>
      <c r="F550" s="328"/>
      <c r="G550" s="328"/>
      <c r="H550" s="328"/>
      <c r="I550" s="328"/>
      <c r="J550" s="328"/>
      <c r="K550" s="328"/>
      <c r="L550" s="328"/>
      <c r="M550" s="328"/>
      <c r="N550" s="328"/>
      <c r="O550" s="328"/>
      <c r="P550" s="328"/>
      <c r="Q550" s="328"/>
      <c r="R550" s="328"/>
      <c r="S550" s="328"/>
      <c r="T550" s="328"/>
      <c r="U550" s="328"/>
      <c r="V550" s="328"/>
      <c r="W550" s="328"/>
      <c r="X550" s="328"/>
      <c r="Y550" s="328"/>
      <c r="Z550" s="328"/>
      <c r="AA550" s="328"/>
      <c r="AB550" s="328"/>
      <c r="AC550" s="328"/>
      <c r="AD550" s="328"/>
      <c r="AE550" s="328"/>
      <c r="AF550" s="328"/>
      <c r="AG550" s="328"/>
      <c r="AH550" s="328"/>
      <c r="AI550" s="328"/>
      <c r="AJ550" s="328"/>
      <c r="AK550" s="328"/>
      <c r="AL550" s="328"/>
      <c r="AM550" s="328"/>
      <c r="AN550" s="328"/>
      <c r="AO550" s="328"/>
      <c r="AP550" s="328"/>
      <c r="AQ550" s="328"/>
      <c r="AR550" s="328"/>
      <c r="AS550" s="328"/>
      <c r="AT550" s="328"/>
      <c r="AU550" s="328"/>
    </row>
    <row r="551" ht="15.75" customHeight="1">
      <c r="A551" s="328"/>
      <c r="B551" s="328"/>
      <c r="C551" s="328"/>
      <c r="D551" s="328"/>
      <c r="E551" s="328"/>
      <c r="F551" s="328"/>
      <c r="G551" s="328"/>
      <c r="H551" s="328"/>
      <c r="I551" s="328"/>
      <c r="J551" s="328"/>
      <c r="K551" s="328"/>
      <c r="L551" s="328"/>
      <c r="M551" s="328"/>
      <c r="N551" s="328"/>
      <c r="O551" s="328"/>
      <c r="P551" s="328"/>
      <c r="Q551" s="328"/>
      <c r="R551" s="328"/>
      <c r="S551" s="328"/>
      <c r="T551" s="328"/>
      <c r="U551" s="328"/>
      <c r="V551" s="328"/>
      <c r="W551" s="328"/>
      <c r="X551" s="328"/>
      <c r="Y551" s="328"/>
      <c r="Z551" s="328"/>
      <c r="AA551" s="328"/>
      <c r="AB551" s="328"/>
      <c r="AC551" s="328"/>
      <c r="AD551" s="328"/>
      <c r="AE551" s="328"/>
      <c r="AF551" s="328"/>
      <c r="AG551" s="328"/>
      <c r="AH551" s="328"/>
      <c r="AI551" s="328"/>
      <c r="AJ551" s="328"/>
      <c r="AK551" s="328"/>
      <c r="AL551" s="328"/>
      <c r="AM551" s="328"/>
      <c r="AN551" s="328"/>
      <c r="AO551" s="328"/>
      <c r="AP551" s="328"/>
      <c r="AQ551" s="328"/>
      <c r="AR551" s="328"/>
      <c r="AS551" s="328"/>
      <c r="AT551" s="328"/>
      <c r="AU551" s="328"/>
    </row>
    <row r="552" ht="15.75" customHeight="1">
      <c r="A552" s="328"/>
      <c r="B552" s="328"/>
      <c r="C552" s="328"/>
      <c r="D552" s="328"/>
      <c r="E552" s="328"/>
      <c r="F552" s="328"/>
      <c r="G552" s="328"/>
      <c r="H552" s="328"/>
      <c r="I552" s="328"/>
      <c r="J552" s="328"/>
      <c r="K552" s="328"/>
      <c r="L552" s="328"/>
      <c r="M552" s="328"/>
      <c r="N552" s="328"/>
      <c r="O552" s="328"/>
      <c r="P552" s="328"/>
      <c r="Q552" s="328"/>
      <c r="R552" s="328"/>
      <c r="S552" s="328"/>
      <c r="T552" s="328"/>
      <c r="U552" s="328"/>
      <c r="V552" s="328"/>
      <c r="W552" s="328"/>
      <c r="X552" s="328"/>
      <c r="Y552" s="328"/>
      <c r="Z552" s="328"/>
      <c r="AA552" s="328"/>
      <c r="AB552" s="328"/>
      <c r="AC552" s="328"/>
      <c r="AD552" s="328"/>
      <c r="AE552" s="328"/>
      <c r="AF552" s="328"/>
      <c r="AG552" s="328"/>
      <c r="AH552" s="328"/>
      <c r="AI552" s="328"/>
      <c r="AJ552" s="328"/>
      <c r="AK552" s="328"/>
      <c r="AL552" s="328"/>
      <c r="AM552" s="328"/>
      <c r="AN552" s="328"/>
      <c r="AO552" s="328"/>
      <c r="AP552" s="328"/>
      <c r="AQ552" s="328"/>
      <c r="AR552" s="328"/>
      <c r="AS552" s="328"/>
      <c r="AT552" s="328"/>
      <c r="AU552" s="328"/>
    </row>
    <row r="553" ht="15.75" customHeight="1">
      <c r="A553" s="328"/>
      <c r="B553" s="328"/>
      <c r="C553" s="328"/>
      <c r="D553" s="328"/>
      <c r="E553" s="328"/>
      <c r="F553" s="328"/>
      <c r="G553" s="328"/>
      <c r="H553" s="328"/>
      <c r="I553" s="328"/>
      <c r="J553" s="328"/>
      <c r="K553" s="328"/>
      <c r="L553" s="328"/>
      <c r="M553" s="328"/>
      <c r="N553" s="328"/>
      <c r="O553" s="328"/>
      <c r="P553" s="328"/>
      <c r="Q553" s="328"/>
      <c r="R553" s="328"/>
      <c r="S553" s="328"/>
      <c r="T553" s="328"/>
      <c r="U553" s="328"/>
      <c r="V553" s="328"/>
      <c r="W553" s="328"/>
      <c r="X553" s="328"/>
      <c r="Y553" s="328"/>
      <c r="Z553" s="328"/>
      <c r="AA553" s="328"/>
      <c r="AB553" s="328"/>
      <c r="AC553" s="328"/>
      <c r="AD553" s="328"/>
      <c r="AE553" s="328"/>
      <c r="AF553" s="328"/>
      <c r="AG553" s="328"/>
      <c r="AH553" s="328"/>
      <c r="AI553" s="328"/>
      <c r="AJ553" s="328"/>
      <c r="AK553" s="328"/>
      <c r="AL553" s="328"/>
      <c r="AM553" s="328"/>
      <c r="AN553" s="328"/>
      <c r="AO553" s="328"/>
      <c r="AP553" s="328"/>
      <c r="AQ553" s="328"/>
      <c r="AR553" s="328"/>
      <c r="AS553" s="328"/>
      <c r="AT553" s="328"/>
      <c r="AU553" s="328"/>
    </row>
    <row r="554" ht="15.75" customHeight="1">
      <c r="A554" s="328"/>
      <c r="B554" s="328"/>
      <c r="C554" s="328"/>
      <c r="D554" s="328"/>
      <c r="E554" s="328"/>
      <c r="F554" s="328"/>
      <c r="G554" s="328"/>
      <c r="H554" s="328"/>
      <c r="I554" s="328"/>
      <c r="J554" s="328"/>
      <c r="K554" s="328"/>
      <c r="L554" s="328"/>
      <c r="M554" s="328"/>
      <c r="N554" s="328"/>
      <c r="O554" s="328"/>
      <c r="P554" s="328"/>
      <c r="Q554" s="328"/>
      <c r="R554" s="328"/>
      <c r="S554" s="328"/>
      <c r="T554" s="328"/>
      <c r="U554" s="328"/>
      <c r="V554" s="328"/>
      <c r="W554" s="328"/>
      <c r="X554" s="328"/>
      <c r="Y554" s="328"/>
      <c r="Z554" s="328"/>
      <c r="AA554" s="328"/>
      <c r="AB554" s="328"/>
      <c r="AC554" s="328"/>
      <c r="AD554" s="328"/>
      <c r="AE554" s="328"/>
      <c r="AF554" s="328"/>
      <c r="AG554" s="328"/>
      <c r="AH554" s="328"/>
      <c r="AI554" s="328"/>
      <c r="AJ554" s="328"/>
      <c r="AK554" s="328"/>
      <c r="AL554" s="328"/>
      <c r="AM554" s="328"/>
      <c r="AN554" s="328"/>
      <c r="AO554" s="328"/>
      <c r="AP554" s="328"/>
      <c r="AQ554" s="328"/>
      <c r="AR554" s="328"/>
      <c r="AS554" s="328"/>
      <c r="AT554" s="328"/>
      <c r="AU554" s="328"/>
    </row>
    <row r="555" ht="15.75" customHeight="1">
      <c r="A555" s="328"/>
      <c r="B555" s="328"/>
      <c r="C555" s="328"/>
      <c r="D555" s="328"/>
      <c r="E555" s="328"/>
      <c r="F555" s="328"/>
      <c r="G555" s="328"/>
      <c r="H555" s="328"/>
      <c r="I555" s="328"/>
      <c r="J555" s="328"/>
      <c r="K555" s="328"/>
      <c r="L555" s="328"/>
      <c r="M555" s="328"/>
      <c r="N555" s="328"/>
      <c r="O555" s="328"/>
      <c r="P555" s="328"/>
      <c r="Q555" s="328"/>
      <c r="R555" s="328"/>
      <c r="S555" s="328"/>
      <c r="T555" s="328"/>
      <c r="U555" s="328"/>
      <c r="V555" s="328"/>
      <c r="W555" s="328"/>
      <c r="X555" s="328"/>
      <c r="Y555" s="328"/>
      <c r="Z555" s="328"/>
      <c r="AA555" s="328"/>
      <c r="AB555" s="328"/>
      <c r="AC555" s="328"/>
      <c r="AD555" s="328"/>
      <c r="AE555" s="328"/>
      <c r="AF555" s="328"/>
      <c r="AG555" s="328"/>
      <c r="AH555" s="328"/>
      <c r="AI555" s="328"/>
      <c r="AJ555" s="328"/>
      <c r="AK555" s="328"/>
      <c r="AL555" s="328"/>
      <c r="AM555" s="328"/>
      <c r="AN555" s="328"/>
      <c r="AO555" s="328"/>
      <c r="AP555" s="328"/>
      <c r="AQ555" s="328"/>
      <c r="AR555" s="328"/>
      <c r="AS555" s="328"/>
      <c r="AT555" s="328"/>
      <c r="AU555" s="328"/>
    </row>
    <row r="556" ht="15.75" customHeight="1">
      <c r="A556" s="328"/>
      <c r="B556" s="328"/>
      <c r="C556" s="328"/>
      <c r="D556" s="328"/>
      <c r="E556" s="328"/>
      <c r="F556" s="328"/>
      <c r="G556" s="328"/>
      <c r="H556" s="328"/>
      <c r="I556" s="328"/>
      <c r="J556" s="328"/>
      <c r="K556" s="328"/>
      <c r="L556" s="328"/>
      <c r="M556" s="328"/>
      <c r="N556" s="328"/>
      <c r="O556" s="328"/>
      <c r="P556" s="328"/>
      <c r="Q556" s="328"/>
      <c r="R556" s="328"/>
      <c r="S556" s="328"/>
      <c r="T556" s="328"/>
      <c r="U556" s="328"/>
      <c r="V556" s="328"/>
      <c r="W556" s="328"/>
      <c r="X556" s="328"/>
      <c r="Y556" s="328"/>
      <c r="Z556" s="328"/>
      <c r="AA556" s="328"/>
      <c r="AB556" s="328"/>
      <c r="AC556" s="328"/>
      <c r="AD556" s="328"/>
      <c r="AE556" s="328"/>
      <c r="AF556" s="328"/>
      <c r="AG556" s="328"/>
      <c r="AH556" s="328"/>
      <c r="AI556" s="328"/>
      <c r="AJ556" s="328"/>
      <c r="AK556" s="328"/>
      <c r="AL556" s="328"/>
      <c r="AM556" s="328"/>
      <c r="AN556" s="328"/>
      <c r="AO556" s="328"/>
      <c r="AP556" s="328"/>
      <c r="AQ556" s="328"/>
      <c r="AR556" s="328"/>
      <c r="AS556" s="328"/>
      <c r="AT556" s="328"/>
      <c r="AU556" s="328"/>
    </row>
    <row r="557" ht="15.75" customHeight="1">
      <c r="A557" s="328"/>
      <c r="B557" s="328"/>
      <c r="C557" s="328"/>
      <c r="D557" s="328"/>
      <c r="E557" s="328"/>
      <c r="F557" s="328"/>
      <c r="G557" s="328"/>
      <c r="H557" s="328"/>
      <c r="I557" s="328"/>
      <c r="J557" s="328"/>
      <c r="K557" s="328"/>
      <c r="L557" s="328"/>
      <c r="M557" s="328"/>
      <c r="N557" s="328"/>
      <c r="O557" s="328"/>
      <c r="P557" s="328"/>
      <c r="Q557" s="328"/>
      <c r="R557" s="328"/>
      <c r="S557" s="328"/>
      <c r="T557" s="328"/>
      <c r="U557" s="328"/>
      <c r="V557" s="328"/>
      <c r="W557" s="328"/>
      <c r="X557" s="328"/>
      <c r="Y557" s="328"/>
      <c r="Z557" s="328"/>
      <c r="AA557" s="328"/>
      <c r="AB557" s="328"/>
      <c r="AC557" s="328"/>
      <c r="AD557" s="328"/>
      <c r="AE557" s="328"/>
      <c r="AF557" s="328"/>
      <c r="AG557" s="328"/>
      <c r="AH557" s="328"/>
      <c r="AI557" s="328"/>
      <c r="AJ557" s="328"/>
      <c r="AK557" s="328"/>
      <c r="AL557" s="328"/>
      <c r="AM557" s="328"/>
      <c r="AN557" s="328"/>
      <c r="AO557" s="328"/>
      <c r="AP557" s="328"/>
      <c r="AQ557" s="328"/>
      <c r="AR557" s="328"/>
      <c r="AS557" s="328"/>
      <c r="AT557" s="328"/>
      <c r="AU557" s="328"/>
    </row>
    <row r="558" ht="15.75" customHeight="1">
      <c r="A558" s="328"/>
      <c r="B558" s="328"/>
      <c r="C558" s="328"/>
      <c r="D558" s="328"/>
      <c r="E558" s="328"/>
      <c r="F558" s="328"/>
      <c r="G558" s="328"/>
      <c r="H558" s="328"/>
      <c r="I558" s="328"/>
      <c r="J558" s="328"/>
      <c r="K558" s="328"/>
      <c r="L558" s="328"/>
      <c r="M558" s="328"/>
      <c r="N558" s="328"/>
      <c r="O558" s="328"/>
      <c r="P558" s="328"/>
      <c r="Q558" s="328"/>
      <c r="R558" s="328"/>
      <c r="S558" s="328"/>
      <c r="T558" s="328"/>
      <c r="U558" s="328"/>
      <c r="V558" s="328"/>
      <c r="W558" s="328"/>
      <c r="X558" s="328"/>
      <c r="Y558" s="328"/>
      <c r="Z558" s="328"/>
      <c r="AA558" s="328"/>
      <c r="AB558" s="328"/>
      <c r="AC558" s="328"/>
      <c r="AD558" s="328"/>
      <c r="AE558" s="328"/>
      <c r="AF558" s="328"/>
      <c r="AG558" s="328"/>
      <c r="AH558" s="328"/>
      <c r="AI558" s="328"/>
      <c r="AJ558" s="328"/>
      <c r="AK558" s="328"/>
      <c r="AL558" s="328"/>
      <c r="AM558" s="328"/>
      <c r="AN558" s="328"/>
      <c r="AO558" s="328"/>
      <c r="AP558" s="328"/>
      <c r="AQ558" s="328"/>
      <c r="AR558" s="328"/>
      <c r="AS558" s="328"/>
      <c r="AT558" s="328"/>
      <c r="AU558" s="328"/>
    </row>
    <row r="559" ht="15.75" customHeight="1">
      <c r="A559" s="328"/>
      <c r="B559" s="328"/>
      <c r="C559" s="328"/>
      <c r="D559" s="328"/>
      <c r="E559" s="328"/>
      <c r="F559" s="328"/>
      <c r="G559" s="328"/>
      <c r="H559" s="328"/>
      <c r="I559" s="328"/>
      <c r="J559" s="328"/>
      <c r="K559" s="328"/>
      <c r="L559" s="328"/>
      <c r="M559" s="328"/>
      <c r="N559" s="328"/>
      <c r="O559" s="328"/>
      <c r="P559" s="328"/>
      <c r="Q559" s="328"/>
      <c r="R559" s="328"/>
      <c r="S559" s="328"/>
      <c r="T559" s="328"/>
      <c r="U559" s="328"/>
      <c r="V559" s="328"/>
      <c r="W559" s="328"/>
      <c r="X559" s="328"/>
      <c r="Y559" s="328"/>
      <c r="Z559" s="328"/>
      <c r="AA559" s="328"/>
      <c r="AB559" s="328"/>
      <c r="AC559" s="328"/>
      <c r="AD559" s="328"/>
      <c r="AE559" s="328"/>
      <c r="AF559" s="328"/>
      <c r="AG559" s="328"/>
      <c r="AH559" s="328"/>
      <c r="AI559" s="328"/>
      <c r="AJ559" s="328"/>
      <c r="AK559" s="328"/>
      <c r="AL559" s="328"/>
      <c r="AM559" s="328"/>
      <c r="AN559" s="328"/>
      <c r="AO559" s="328"/>
      <c r="AP559" s="328"/>
      <c r="AQ559" s="328"/>
      <c r="AR559" s="328"/>
      <c r="AS559" s="328"/>
      <c r="AT559" s="328"/>
      <c r="AU559" s="328"/>
    </row>
    <row r="560" ht="15.75" customHeight="1">
      <c r="A560" s="328"/>
      <c r="B560" s="328"/>
      <c r="C560" s="328"/>
      <c r="D560" s="328"/>
      <c r="E560" s="328"/>
      <c r="F560" s="328"/>
      <c r="G560" s="328"/>
      <c r="H560" s="328"/>
      <c r="I560" s="328"/>
      <c r="J560" s="328"/>
      <c r="K560" s="328"/>
      <c r="L560" s="328"/>
      <c r="M560" s="328"/>
      <c r="N560" s="328"/>
      <c r="O560" s="328"/>
      <c r="P560" s="328"/>
      <c r="Q560" s="328"/>
      <c r="R560" s="328"/>
      <c r="S560" s="328"/>
      <c r="T560" s="328"/>
      <c r="U560" s="328"/>
      <c r="V560" s="328"/>
      <c r="W560" s="328"/>
      <c r="X560" s="328"/>
      <c r="Y560" s="328"/>
      <c r="Z560" s="328"/>
      <c r="AA560" s="328"/>
      <c r="AB560" s="328"/>
      <c r="AC560" s="328"/>
      <c r="AD560" s="328"/>
      <c r="AE560" s="328"/>
      <c r="AF560" s="328"/>
      <c r="AG560" s="328"/>
      <c r="AH560" s="328"/>
      <c r="AI560" s="328"/>
      <c r="AJ560" s="328"/>
      <c r="AK560" s="328"/>
      <c r="AL560" s="328"/>
      <c r="AM560" s="328"/>
      <c r="AN560" s="328"/>
      <c r="AO560" s="328"/>
      <c r="AP560" s="328"/>
      <c r="AQ560" s="328"/>
      <c r="AR560" s="328"/>
      <c r="AS560" s="328"/>
      <c r="AT560" s="328"/>
      <c r="AU560" s="328"/>
    </row>
    <row r="561" ht="15.75" customHeight="1">
      <c r="A561" s="328"/>
      <c r="B561" s="328"/>
      <c r="C561" s="328"/>
      <c r="D561" s="328"/>
      <c r="E561" s="328"/>
      <c r="F561" s="328"/>
      <c r="G561" s="328"/>
      <c r="H561" s="328"/>
      <c r="I561" s="328"/>
      <c r="J561" s="328"/>
      <c r="K561" s="328"/>
      <c r="L561" s="328"/>
      <c r="M561" s="328"/>
      <c r="N561" s="328"/>
      <c r="O561" s="328"/>
      <c r="P561" s="328"/>
      <c r="Q561" s="328"/>
      <c r="R561" s="328"/>
      <c r="S561" s="328"/>
      <c r="T561" s="328"/>
      <c r="U561" s="328"/>
      <c r="V561" s="328"/>
      <c r="W561" s="328"/>
      <c r="X561" s="328"/>
      <c r="Y561" s="328"/>
      <c r="Z561" s="328"/>
      <c r="AA561" s="328"/>
      <c r="AB561" s="328"/>
      <c r="AC561" s="328"/>
      <c r="AD561" s="328"/>
      <c r="AE561" s="328"/>
      <c r="AF561" s="328"/>
      <c r="AG561" s="328"/>
      <c r="AH561" s="328"/>
      <c r="AI561" s="328"/>
      <c r="AJ561" s="328"/>
      <c r="AK561" s="328"/>
      <c r="AL561" s="328"/>
      <c r="AM561" s="328"/>
      <c r="AN561" s="328"/>
      <c r="AO561" s="328"/>
      <c r="AP561" s="328"/>
      <c r="AQ561" s="328"/>
      <c r="AR561" s="328"/>
      <c r="AS561" s="328"/>
      <c r="AT561" s="328"/>
      <c r="AU561" s="328"/>
    </row>
    <row r="562" ht="15.75" customHeight="1">
      <c r="A562" s="328"/>
      <c r="B562" s="328"/>
      <c r="C562" s="328"/>
      <c r="D562" s="328"/>
      <c r="E562" s="328"/>
      <c r="F562" s="328"/>
      <c r="G562" s="328"/>
      <c r="H562" s="328"/>
      <c r="I562" s="328"/>
      <c r="J562" s="328"/>
      <c r="K562" s="328"/>
      <c r="L562" s="328"/>
      <c r="M562" s="328"/>
      <c r="N562" s="328"/>
      <c r="O562" s="328"/>
      <c r="P562" s="328"/>
      <c r="Q562" s="328"/>
      <c r="R562" s="328"/>
      <c r="S562" s="328"/>
      <c r="T562" s="328"/>
      <c r="U562" s="328"/>
      <c r="V562" s="328"/>
      <c r="W562" s="328"/>
      <c r="X562" s="328"/>
      <c r="Y562" s="328"/>
      <c r="Z562" s="328"/>
      <c r="AA562" s="328"/>
      <c r="AB562" s="328"/>
      <c r="AC562" s="328"/>
      <c r="AD562" s="328"/>
      <c r="AE562" s="328"/>
      <c r="AF562" s="328"/>
      <c r="AG562" s="328"/>
      <c r="AH562" s="328"/>
      <c r="AI562" s="328"/>
      <c r="AJ562" s="328"/>
      <c r="AK562" s="328"/>
      <c r="AL562" s="328"/>
      <c r="AM562" s="328"/>
      <c r="AN562" s="328"/>
      <c r="AO562" s="328"/>
      <c r="AP562" s="328"/>
      <c r="AQ562" s="328"/>
      <c r="AR562" s="328"/>
      <c r="AS562" s="328"/>
      <c r="AT562" s="328"/>
      <c r="AU562" s="328"/>
    </row>
    <row r="563" ht="15.75" customHeight="1">
      <c r="A563" s="328"/>
      <c r="B563" s="328"/>
      <c r="C563" s="328"/>
      <c r="D563" s="328"/>
      <c r="E563" s="328"/>
      <c r="F563" s="328"/>
      <c r="G563" s="328"/>
      <c r="H563" s="328"/>
      <c r="I563" s="328"/>
      <c r="J563" s="328"/>
      <c r="K563" s="328"/>
      <c r="L563" s="328"/>
      <c r="M563" s="328"/>
      <c r="N563" s="328"/>
      <c r="O563" s="328"/>
      <c r="P563" s="328"/>
      <c r="Q563" s="328"/>
      <c r="R563" s="328"/>
      <c r="S563" s="328"/>
      <c r="T563" s="328"/>
      <c r="U563" s="328"/>
      <c r="V563" s="328"/>
      <c r="W563" s="328"/>
      <c r="X563" s="328"/>
      <c r="Y563" s="328"/>
      <c r="Z563" s="328"/>
      <c r="AA563" s="328"/>
      <c r="AB563" s="328"/>
      <c r="AC563" s="328"/>
      <c r="AD563" s="328"/>
      <c r="AE563" s="328"/>
      <c r="AF563" s="328"/>
      <c r="AG563" s="328"/>
      <c r="AH563" s="328"/>
      <c r="AI563" s="328"/>
      <c r="AJ563" s="328"/>
      <c r="AK563" s="328"/>
      <c r="AL563" s="328"/>
      <c r="AM563" s="328"/>
      <c r="AN563" s="328"/>
      <c r="AO563" s="328"/>
      <c r="AP563" s="328"/>
      <c r="AQ563" s="328"/>
      <c r="AR563" s="328"/>
      <c r="AS563" s="328"/>
      <c r="AT563" s="328"/>
      <c r="AU563" s="328"/>
    </row>
    <row r="564" ht="15.75" customHeight="1">
      <c r="A564" s="328"/>
      <c r="B564" s="328"/>
      <c r="C564" s="328"/>
      <c r="D564" s="328"/>
      <c r="E564" s="328"/>
      <c r="F564" s="328"/>
      <c r="G564" s="328"/>
      <c r="H564" s="328"/>
      <c r="I564" s="328"/>
      <c r="J564" s="328"/>
      <c r="K564" s="328"/>
      <c r="L564" s="328"/>
      <c r="M564" s="328"/>
      <c r="N564" s="328"/>
      <c r="O564" s="328"/>
      <c r="P564" s="328"/>
      <c r="Q564" s="328"/>
      <c r="R564" s="328"/>
      <c r="S564" s="328"/>
      <c r="T564" s="328"/>
      <c r="U564" s="328"/>
      <c r="V564" s="328"/>
      <c r="W564" s="328"/>
      <c r="X564" s="328"/>
      <c r="Y564" s="328"/>
      <c r="Z564" s="328"/>
      <c r="AA564" s="328"/>
      <c r="AB564" s="328"/>
      <c r="AC564" s="328"/>
      <c r="AD564" s="328"/>
      <c r="AE564" s="328"/>
      <c r="AF564" s="328"/>
      <c r="AG564" s="328"/>
      <c r="AH564" s="328"/>
      <c r="AI564" s="328"/>
      <c r="AJ564" s="328"/>
      <c r="AK564" s="328"/>
      <c r="AL564" s="328"/>
      <c r="AM564" s="328"/>
      <c r="AN564" s="328"/>
      <c r="AO564" s="328"/>
      <c r="AP564" s="328"/>
      <c r="AQ564" s="328"/>
      <c r="AR564" s="328"/>
      <c r="AS564" s="328"/>
      <c r="AT564" s="328"/>
      <c r="AU564" s="328"/>
    </row>
    <row r="565" ht="15.75" customHeight="1">
      <c r="A565" s="328"/>
      <c r="B565" s="328"/>
      <c r="C565" s="328"/>
      <c r="D565" s="328"/>
      <c r="E565" s="328"/>
      <c r="F565" s="328"/>
      <c r="G565" s="328"/>
      <c r="H565" s="328"/>
      <c r="I565" s="328"/>
      <c r="J565" s="328"/>
      <c r="K565" s="328"/>
      <c r="L565" s="328"/>
      <c r="M565" s="328"/>
      <c r="N565" s="328"/>
      <c r="O565" s="328"/>
      <c r="P565" s="328"/>
      <c r="Q565" s="328"/>
      <c r="R565" s="328"/>
      <c r="S565" s="328"/>
      <c r="T565" s="328"/>
      <c r="U565" s="328"/>
      <c r="V565" s="328"/>
      <c r="W565" s="328"/>
      <c r="X565" s="328"/>
      <c r="Y565" s="328"/>
      <c r="Z565" s="328"/>
      <c r="AA565" s="328"/>
      <c r="AB565" s="328"/>
      <c r="AC565" s="328"/>
      <c r="AD565" s="328"/>
      <c r="AE565" s="328"/>
      <c r="AF565" s="328"/>
      <c r="AG565" s="328"/>
      <c r="AH565" s="328"/>
      <c r="AI565" s="328"/>
      <c r="AJ565" s="328"/>
      <c r="AK565" s="328"/>
      <c r="AL565" s="328"/>
      <c r="AM565" s="328"/>
      <c r="AN565" s="328"/>
      <c r="AO565" s="328"/>
      <c r="AP565" s="328"/>
      <c r="AQ565" s="328"/>
      <c r="AR565" s="328"/>
      <c r="AS565" s="328"/>
      <c r="AT565" s="328"/>
      <c r="AU565" s="328"/>
    </row>
    <row r="566" ht="15.75" customHeight="1">
      <c r="A566" s="328"/>
      <c r="B566" s="328"/>
      <c r="C566" s="328"/>
      <c r="D566" s="328"/>
      <c r="E566" s="328"/>
      <c r="F566" s="328"/>
      <c r="G566" s="328"/>
      <c r="H566" s="328"/>
      <c r="I566" s="328"/>
      <c r="J566" s="328"/>
      <c r="K566" s="328"/>
      <c r="L566" s="328"/>
      <c r="M566" s="328"/>
      <c r="N566" s="328"/>
      <c r="O566" s="328"/>
      <c r="P566" s="328"/>
      <c r="Q566" s="328"/>
      <c r="R566" s="328"/>
      <c r="S566" s="328"/>
      <c r="T566" s="328"/>
      <c r="U566" s="328"/>
      <c r="V566" s="328"/>
      <c r="W566" s="328"/>
      <c r="X566" s="328"/>
      <c r="Y566" s="328"/>
      <c r="Z566" s="328"/>
      <c r="AA566" s="328"/>
      <c r="AB566" s="328"/>
      <c r="AC566" s="328"/>
      <c r="AD566" s="328"/>
      <c r="AE566" s="328"/>
      <c r="AF566" s="328"/>
      <c r="AG566" s="328"/>
      <c r="AH566" s="328"/>
      <c r="AI566" s="328"/>
      <c r="AJ566" s="328"/>
      <c r="AK566" s="328"/>
      <c r="AL566" s="328"/>
      <c r="AM566" s="328"/>
      <c r="AN566" s="328"/>
      <c r="AO566" s="328"/>
      <c r="AP566" s="328"/>
      <c r="AQ566" s="328"/>
      <c r="AR566" s="328"/>
      <c r="AS566" s="328"/>
      <c r="AT566" s="328"/>
      <c r="AU566" s="328"/>
    </row>
    <row r="567" ht="15.75" customHeight="1">
      <c r="A567" s="328"/>
      <c r="B567" s="328"/>
      <c r="C567" s="328"/>
      <c r="D567" s="328"/>
      <c r="E567" s="328"/>
      <c r="F567" s="328"/>
      <c r="G567" s="328"/>
      <c r="H567" s="328"/>
      <c r="I567" s="328"/>
      <c r="J567" s="328"/>
      <c r="K567" s="328"/>
      <c r="L567" s="328"/>
      <c r="M567" s="328"/>
      <c r="N567" s="328"/>
      <c r="O567" s="328"/>
      <c r="P567" s="328"/>
      <c r="Q567" s="328"/>
      <c r="R567" s="328"/>
      <c r="S567" s="328"/>
      <c r="T567" s="328"/>
      <c r="U567" s="328"/>
      <c r="V567" s="328"/>
      <c r="W567" s="328"/>
      <c r="X567" s="328"/>
      <c r="Y567" s="328"/>
      <c r="Z567" s="328"/>
      <c r="AA567" s="328"/>
      <c r="AB567" s="328"/>
      <c r="AC567" s="328"/>
      <c r="AD567" s="328"/>
      <c r="AE567" s="328"/>
      <c r="AF567" s="328"/>
      <c r="AG567" s="328"/>
      <c r="AH567" s="328"/>
      <c r="AI567" s="328"/>
      <c r="AJ567" s="328"/>
      <c r="AK567" s="328"/>
      <c r="AL567" s="328"/>
      <c r="AM567" s="328"/>
      <c r="AN567" s="328"/>
      <c r="AO567" s="328"/>
      <c r="AP567" s="328"/>
      <c r="AQ567" s="328"/>
      <c r="AR567" s="328"/>
      <c r="AS567" s="328"/>
      <c r="AT567" s="328"/>
      <c r="AU567" s="328"/>
    </row>
    <row r="568" ht="15.75" customHeight="1">
      <c r="A568" s="328"/>
      <c r="B568" s="328"/>
      <c r="C568" s="328"/>
      <c r="D568" s="328"/>
      <c r="E568" s="328"/>
      <c r="F568" s="328"/>
      <c r="G568" s="328"/>
      <c r="H568" s="328"/>
      <c r="I568" s="328"/>
      <c r="J568" s="328"/>
      <c r="K568" s="328"/>
      <c r="L568" s="328"/>
      <c r="M568" s="328"/>
      <c r="N568" s="328"/>
      <c r="O568" s="328"/>
      <c r="P568" s="328"/>
      <c r="Q568" s="328"/>
      <c r="R568" s="328"/>
      <c r="S568" s="328"/>
      <c r="T568" s="328"/>
      <c r="U568" s="328"/>
      <c r="V568" s="328"/>
      <c r="W568" s="328"/>
      <c r="X568" s="328"/>
      <c r="Y568" s="328"/>
      <c r="Z568" s="328"/>
      <c r="AA568" s="328"/>
      <c r="AB568" s="328"/>
      <c r="AC568" s="328"/>
      <c r="AD568" s="328"/>
      <c r="AE568" s="328"/>
      <c r="AF568" s="328"/>
      <c r="AG568" s="328"/>
      <c r="AH568" s="328"/>
      <c r="AI568" s="328"/>
      <c r="AJ568" s="328"/>
      <c r="AK568" s="328"/>
      <c r="AL568" s="328"/>
      <c r="AM568" s="328"/>
      <c r="AN568" s="328"/>
      <c r="AO568" s="328"/>
      <c r="AP568" s="328"/>
      <c r="AQ568" s="328"/>
      <c r="AR568" s="328"/>
      <c r="AS568" s="328"/>
      <c r="AT568" s="328"/>
      <c r="AU568" s="328"/>
    </row>
    <row r="569" ht="15.75" customHeight="1">
      <c r="A569" s="328"/>
      <c r="B569" s="328"/>
      <c r="C569" s="328"/>
      <c r="D569" s="328"/>
      <c r="E569" s="328"/>
      <c r="F569" s="328"/>
      <c r="G569" s="328"/>
      <c r="H569" s="328"/>
      <c r="I569" s="328"/>
      <c r="J569" s="328"/>
      <c r="K569" s="328"/>
      <c r="L569" s="328"/>
      <c r="M569" s="328"/>
      <c r="N569" s="328"/>
      <c r="O569" s="328"/>
      <c r="P569" s="328"/>
      <c r="Q569" s="328"/>
      <c r="R569" s="328"/>
      <c r="S569" s="328"/>
      <c r="T569" s="328"/>
      <c r="U569" s="328"/>
      <c r="V569" s="328"/>
      <c r="W569" s="328"/>
      <c r="X569" s="328"/>
      <c r="Y569" s="328"/>
      <c r="Z569" s="328"/>
      <c r="AA569" s="328"/>
      <c r="AB569" s="328"/>
      <c r="AC569" s="328"/>
      <c r="AD569" s="328"/>
      <c r="AE569" s="328"/>
      <c r="AF569" s="328"/>
      <c r="AG569" s="328"/>
      <c r="AH569" s="328"/>
      <c r="AI569" s="328"/>
      <c r="AJ569" s="328"/>
      <c r="AK569" s="328"/>
      <c r="AL569" s="328"/>
      <c r="AM569" s="328"/>
      <c r="AN569" s="328"/>
      <c r="AO569" s="328"/>
      <c r="AP569" s="328"/>
      <c r="AQ569" s="328"/>
      <c r="AR569" s="328"/>
      <c r="AS569" s="328"/>
      <c r="AT569" s="328"/>
      <c r="AU569" s="328"/>
    </row>
    <row r="570" ht="15.75" customHeight="1">
      <c r="A570" s="328"/>
      <c r="B570" s="328"/>
      <c r="C570" s="328"/>
      <c r="D570" s="328"/>
      <c r="E570" s="328"/>
      <c r="F570" s="328"/>
      <c r="G570" s="328"/>
      <c r="H570" s="328"/>
      <c r="I570" s="328"/>
      <c r="J570" s="328"/>
      <c r="K570" s="328"/>
      <c r="L570" s="328"/>
      <c r="M570" s="328"/>
      <c r="N570" s="328"/>
      <c r="O570" s="328"/>
      <c r="P570" s="328"/>
      <c r="Q570" s="328"/>
      <c r="R570" s="328"/>
      <c r="S570" s="328"/>
      <c r="T570" s="328"/>
      <c r="U570" s="328"/>
      <c r="V570" s="328"/>
      <c r="W570" s="328"/>
      <c r="X570" s="328"/>
      <c r="Y570" s="328"/>
      <c r="Z570" s="328"/>
      <c r="AA570" s="328"/>
      <c r="AB570" s="328"/>
      <c r="AC570" s="328"/>
      <c r="AD570" s="328"/>
      <c r="AE570" s="328"/>
      <c r="AF570" s="328"/>
      <c r="AG570" s="328"/>
      <c r="AH570" s="328"/>
      <c r="AI570" s="328"/>
      <c r="AJ570" s="328"/>
      <c r="AK570" s="328"/>
      <c r="AL570" s="328"/>
      <c r="AM570" s="328"/>
      <c r="AN570" s="328"/>
      <c r="AO570" s="328"/>
      <c r="AP570" s="328"/>
      <c r="AQ570" s="328"/>
      <c r="AR570" s="328"/>
      <c r="AS570" s="328"/>
      <c r="AT570" s="328"/>
      <c r="AU570" s="328"/>
    </row>
    <row r="571" ht="15.75" customHeight="1">
      <c r="A571" s="328"/>
      <c r="B571" s="328"/>
      <c r="C571" s="328"/>
      <c r="D571" s="328"/>
      <c r="E571" s="328"/>
      <c r="F571" s="328"/>
      <c r="G571" s="328"/>
      <c r="H571" s="328"/>
      <c r="I571" s="328"/>
      <c r="J571" s="328"/>
      <c r="K571" s="328"/>
      <c r="L571" s="328"/>
      <c r="M571" s="328"/>
      <c r="N571" s="328"/>
      <c r="O571" s="328"/>
      <c r="P571" s="328"/>
      <c r="Q571" s="328"/>
      <c r="R571" s="328"/>
      <c r="S571" s="328"/>
      <c r="T571" s="328"/>
      <c r="U571" s="328"/>
      <c r="V571" s="328"/>
      <c r="W571" s="328"/>
      <c r="X571" s="328"/>
      <c r="Y571" s="328"/>
      <c r="Z571" s="328"/>
      <c r="AA571" s="328"/>
      <c r="AB571" s="328"/>
      <c r="AC571" s="328"/>
      <c r="AD571" s="328"/>
      <c r="AE571" s="328"/>
      <c r="AF571" s="328"/>
      <c r="AG571" s="328"/>
      <c r="AH571" s="328"/>
      <c r="AI571" s="328"/>
      <c r="AJ571" s="328"/>
      <c r="AK571" s="328"/>
      <c r="AL571" s="328"/>
      <c r="AM571" s="328"/>
      <c r="AN571" s="328"/>
      <c r="AO571" s="328"/>
      <c r="AP571" s="328"/>
      <c r="AQ571" s="328"/>
      <c r="AR571" s="328"/>
      <c r="AS571" s="328"/>
      <c r="AT571" s="328"/>
      <c r="AU571" s="328"/>
    </row>
    <row r="572" ht="15.75" customHeight="1">
      <c r="A572" s="328"/>
      <c r="B572" s="328"/>
      <c r="C572" s="328"/>
      <c r="D572" s="328"/>
      <c r="E572" s="328"/>
      <c r="F572" s="328"/>
      <c r="G572" s="328"/>
      <c r="H572" s="328"/>
      <c r="I572" s="328"/>
      <c r="J572" s="328"/>
      <c r="K572" s="328"/>
      <c r="L572" s="328"/>
      <c r="M572" s="328"/>
      <c r="N572" s="328"/>
      <c r="O572" s="328"/>
      <c r="P572" s="328"/>
      <c r="Q572" s="328"/>
      <c r="R572" s="328"/>
      <c r="S572" s="328"/>
      <c r="T572" s="328"/>
      <c r="U572" s="328"/>
      <c r="V572" s="328"/>
      <c r="W572" s="328"/>
      <c r="X572" s="328"/>
      <c r="Y572" s="328"/>
      <c r="Z572" s="328"/>
      <c r="AA572" s="328"/>
      <c r="AB572" s="328"/>
      <c r="AC572" s="328"/>
      <c r="AD572" s="328"/>
      <c r="AE572" s="328"/>
      <c r="AF572" s="328"/>
      <c r="AG572" s="328"/>
      <c r="AH572" s="328"/>
      <c r="AI572" s="328"/>
      <c r="AJ572" s="328"/>
      <c r="AK572" s="328"/>
      <c r="AL572" s="328"/>
      <c r="AM572" s="328"/>
      <c r="AN572" s="328"/>
      <c r="AO572" s="328"/>
      <c r="AP572" s="328"/>
      <c r="AQ572" s="328"/>
      <c r="AR572" s="328"/>
      <c r="AS572" s="328"/>
      <c r="AT572" s="328"/>
      <c r="AU572" s="328"/>
    </row>
    <row r="573" ht="15.75" customHeight="1">
      <c r="A573" s="328"/>
      <c r="B573" s="328"/>
      <c r="C573" s="328"/>
      <c r="D573" s="328"/>
      <c r="E573" s="328"/>
      <c r="F573" s="328"/>
      <c r="G573" s="328"/>
      <c r="H573" s="328"/>
      <c r="I573" s="328"/>
      <c r="J573" s="328"/>
      <c r="K573" s="328"/>
      <c r="L573" s="328"/>
      <c r="M573" s="328"/>
      <c r="N573" s="328"/>
      <c r="O573" s="328"/>
      <c r="P573" s="328"/>
      <c r="Q573" s="328"/>
      <c r="R573" s="328"/>
      <c r="S573" s="328"/>
      <c r="T573" s="328"/>
      <c r="U573" s="328"/>
      <c r="V573" s="328"/>
      <c r="W573" s="328"/>
      <c r="X573" s="328"/>
      <c r="Y573" s="328"/>
      <c r="Z573" s="328"/>
      <c r="AA573" s="328"/>
      <c r="AB573" s="328"/>
      <c r="AC573" s="328"/>
      <c r="AD573" s="328"/>
      <c r="AE573" s="328"/>
      <c r="AF573" s="328"/>
      <c r="AG573" s="328"/>
      <c r="AH573" s="328"/>
      <c r="AI573" s="328"/>
      <c r="AJ573" s="328"/>
      <c r="AK573" s="328"/>
      <c r="AL573" s="328"/>
      <c r="AM573" s="328"/>
      <c r="AN573" s="328"/>
      <c r="AO573" s="328"/>
      <c r="AP573" s="328"/>
      <c r="AQ573" s="328"/>
      <c r="AR573" s="328"/>
      <c r="AS573" s="328"/>
      <c r="AT573" s="328"/>
      <c r="AU573" s="328"/>
    </row>
    <row r="574" ht="15.75" customHeight="1">
      <c r="A574" s="328"/>
      <c r="B574" s="328"/>
      <c r="C574" s="328"/>
      <c r="D574" s="328"/>
      <c r="E574" s="328"/>
      <c r="F574" s="328"/>
      <c r="G574" s="328"/>
      <c r="H574" s="328"/>
      <c r="I574" s="328"/>
      <c r="J574" s="328"/>
      <c r="K574" s="328"/>
      <c r="L574" s="328"/>
      <c r="M574" s="328"/>
      <c r="N574" s="328"/>
      <c r="O574" s="328"/>
      <c r="P574" s="328"/>
      <c r="Q574" s="328"/>
      <c r="R574" s="328"/>
      <c r="S574" s="328"/>
      <c r="T574" s="328"/>
      <c r="U574" s="328"/>
      <c r="V574" s="328"/>
      <c r="W574" s="328"/>
      <c r="X574" s="328"/>
      <c r="Y574" s="328"/>
      <c r="Z574" s="328"/>
      <c r="AA574" s="328"/>
      <c r="AB574" s="328"/>
      <c r="AC574" s="328"/>
      <c r="AD574" s="328"/>
      <c r="AE574" s="328"/>
      <c r="AF574" s="328"/>
      <c r="AG574" s="328"/>
      <c r="AH574" s="328"/>
      <c r="AI574" s="328"/>
      <c r="AJ574" s="328"/>
      <c r="AK574" s="328"/>
      <c r="AL574" s="328"/>
      <c r="AM574" s="328"/>
      <c r="AN574" s="328"/>
      <c r="AO574" s="328"/>
      <c r="AP574" s="328"/>
      <c r="AQ574" s="328"/>
      <c r="AR574" s="328"/>
      <c r="AS574" s="328"/>
      <c r="AT574" s="328"/>
      <c r="AU574" s="328"/>
    </row>
    <row r="575" ht="15.75" customHeight="1">
      <c r="A575" s="328"/>
      <c r="B575" s="328"/>
      <c r="C575" s="328"/>
      <c r="D575" s="328"/>
      <c r="E575" s="328"/>
      <c r="F575" s="328"/>
      <c r="G575" s="328"/>
      <c r="H575" s="328"/>
      <c r="I575" s="328"/>
      <c r="J575" s="328"/>
      <c r="K575" s="328"/>
      <c r="L575" s="328"/>
      <c r="M575" s="328"/>
      <c r="N575" s="328"/>
      <c r="O575" s="328"/>
      <c r="P575" s="328"/>
      <c r="Q575" s="328"/>
      <c r="R575" s="328"/>
      <c r="S575" s="328"/>
      <c r="T575" s="328"/>
      <c r="U575" s="328"/>
      <c r="V575" s="328"/>
      <c r="W575" s="328"/>
      <c r="X575" s="328"/>
      <c r="Y575" s="328"/>
      <c r="Z575" s="328"/>
      <c r="AA575" s="328"/>
      <c r="AB575" s="328"/>
      <c r="AC575" s="328"/>
      <c r="AD575" s="328"/>
      <c r="AE575" s="328"/>
      <c r="AF575" s="328"/>
      <c r="AG575" s="328"/>
      <c r="AH575" s="328"/>
      <c r="AI575" s="328"/>
      <c r="AJ575" s="328"/>
      <c r="AK575" s="328"/>
      <c r="AL575" s="328"/>
      <c r="AM575" s="328"/>
      <c r="AN575" s="328"/>
      <c r="AO575" s="328"/>
      <c r="AP575" s="328"/>
      <c r="AQ575" s="328"/>
      <c r="AR575" s="328"/>
      <c r="AS575" s="328"/>
      <c r="AT575" s="328"/>
      <c r="AU575" s="328"/>
    </row>
    <row r="576" ht="15.75" customHeight="1">
      <c r="A576" s="328"/>
      <c r="B576" s="328"/>
      <c r="C576" s="328"/>
      <c r="D576" s="328"/>
      <c r="E576" s="328"/>
      <c r="F576" s="328"/>
      <c r="G576" s="328"/>
      <c r="H576" s="328"/>
      <c r="I576" s="328"/>
      <c r="J576" s="328"/>
      <c r="K576" s="328"/>
      <c r="L576" s="328"/>
      <c r="M576" s="328"/>
      <c r="N576" s="328"/>
      <c r="O576" s="328"/>
      <c r="P576" s="328"/>
      <c r="Q576" s="328"/>
      <c r="R576" s="328"/>
      <c r="S576" s="328"/>
      <c r="T576" s="328"/>
      <c r="U576" s="328"/>
      <c r="V576" s="328"/>
      <c r="W576" s="328"/>
      <c r="X576" s="328"/>
      <c r="Y576" s="328"/>
      <c r="Z576" s="328"/>
      <c r="AA576" s="328"/>
      <c r="AB576" s="328"/>
      <c r="AC576" s="328"/>
      <c r="AD576" s="328"/>
      <c r="AE576" s="328"/>
      <c r="AF576" s="328"/>
      <c r="AG576" s="328"/>
      <c r="AH576" s="328"/>
      <c r="AI576" s="328"/>
      <c r="AJ576" s="328"/>
      <c r="AK576" s="328"/>
      <c r="AL576" s="328"/>
      <c r="AM576" s="328"/>
      <c r="AN576" s="328"/>
      <c r="AO576" s="328"/>
      <c r="AP576" s="328"/>
      <c r="AQ576" s="328"/>
      <c r="AR576" s="328"/>
      <c r="AS576" s="328"/>
      <c r="AT576" s="328"/>
      <c r="AU576" s="328"/>
    </row>
    <row r="577" ht="15.75" customHeight="1">
      <c r="A577" s="328"/>
      <c r="B577" s="328"/>
      <c r="C577" s="328"/>
      <c r="D577" s="328"/>
      <c r="E577" s="328"/>
      <c r="F577" s="328"/>
      <c r="G577" s="328"/>
      <c r="H577" s="328"/>
      <c r="I577" s="328"/>
      <c r="J577" s="328"/>
      <c r="K577" s="328"/>
      <c r="L577" s="328"/>
      <c r="M577" s="328"/>
      <c r="N577" s="328"/>
      <c r="O577" s="328"/>
      <c r="P577" s="328"/>
      <c r="Q577" s="328"/>
      <c r="R577" s="328"/>
      <c r="S577" s="328"/>
      <c r="T577" s="328"/>
      <c r="U577" s="328"/>
      <c r="V577" s="328"/>
      <c r="W577" s="328"/>
      <c r="X577" s="328"/>
      <c r="Y577" s="328"/>
      <c r="Z577" s="328"/>
      <c r="AA577" s="328"/>
      <c r="AB577" s="328"/>
      <c r="AC577" s="328"/>
      <c r="AD577" s="328"/>
      <c r="AE577" s="328"/>
      <c r="AF577" s="328"/>
      <c r="AG577" s="328"/>
      <c r="AH577" s="328"/>
      <c r="AI577" s="328"/>
      <c r="AJ577" s="328"/>
      <c r="AK577" s="328"/>
      <c r="AL577" s="328"/>
      <c r="AM577" s="328"/>
      <c r="AN577" s="328"/>
      <c r="AO577" s="328"/>
      <c r="AP577" s="328"/>
      <c r="AQ577" s="328"/>
      <c r="AR577" s="328"/>
      <c r="AS577" s="328"/>
      <c r="AT577" s="328"/>
      <c r="AU577" s="328"/>
    </row>
    <row r="578" ht="15.75" customHeight="1">
      <c r="A578" s="328"/>
      <c r="B578" s="328"/>
      <c r="C578" s="328"/>
      <c r="D578" s="328"/>
      <c r="E578" s="328"/>
      <c r="F578" s="328"/>
      <c r="G578" s="328"/>
      <c r="H578" s="328"/>
      <c r="I578" s="328"/>
      <c r="J578" s="328"/>
      <c r="K578" s="328"/>
      <c r="L578" s="328"/>
      <c r="M578" s="328"/>
      <c r="N578" s="328"/>
      <c r="O578" s="328"/>
      <c r="P578" s="328"/>
      <c r="Q578" s="328"/>
      <c r="R578" s="328"/>
      <c r="S578" s="328"/>
      <c r="T578" s="328"/>
      <c r="U578" s="328"/>
      <c r="V578" s="328"/>
      <c r="W578" s="328"/>
      <c r="X578" s="328"/>
      <c r="Y578" s="328"/>
      <c r="Z578" s="328"/>
      <c r="AA578" s="328"/>
      <c r="AB578" s="328"/>
      <c r="AC578" s="328"/>
      <c r="AD578" s="328"/>
      <c r="AE578" s="328"/>
      <c r="AF578" s="328"/>
      <c r="AG578" s="328"/>
      <c r="AH578" s="328"/>
      <c r="AI578" s="328"/>
      <c r="AJ578" s="328"/>
      <c r="AK578" s="328"/>
      <c r="AL578" s="328"/>
      <c r="AM578" s="328"/>
      <c r="AN578" s="328"/>
      <c r="AO578" s="328"/>
      <c r="AP578" s="328"/>
      <c r="AQ578" s="328"/>
      <c r="AR578" s="328"/>
      <c r="AS578" s="328"/>
      <c r="AT578" s="328"/>
      <c r="AU578" s="328"/>
    </row>
    <row r="579" ht="15.75" customHeight="1">
      <c r="A579" s="328"/>
      <c r="B579" s="328"/>
      <c r="C579" s="328"/>
      <c r="D579" s="328"/>
      <c r="E579" s="328"/>
      <c r="F579" s="328"/>
      <c r="G579" s="328"/>
      <c r="H579" s="328"/>
      <c r="I579" s="328"/>
      <c r="J579" s="328"/>
      <c r="K579" s="328"/>
      <c r="L579" s="328"/>
      <c r="M579" s="328"/>
      <c r="N579" s="328"/>
      <c r="O579" s="328"/>
      <c r="P579" s="328"/>
      <c r="Q579" s="328"/>
      <c r="R579" s="328"/>
      <c r="S579" s="328"/>
      <c r="T579" s="328"/>
      <c r="U579" s="328"/>
      <c r="V579" s="328"/>
      <c r="W579" s="328"/>
      <c r="X579" s="328"/>
      <c r="Y579" s="328"/>
      <c r="Z579" s="328"/>
      <c r="AA579" s="328"/>
      <c r="AB579" s="328"/>
      <c r="AC579" s="328"/>
      <c r="AD579" s="328"/>
      <c r="AE579" s="328"/>
      <c r="AF579" s="328"/>
      <c r="AG579" s="328"/>
      <c r="AH579" s="328"/>
      <c r="AI579" s="328"/>
      <c r="AJ579" s="328"/>
      <c r="AK579" s="328"/>
      <c r="AL579" s="328"/>
      <c r="AM579" s="328"/>
      <c r="AN579" s="328"/>
      <c r="AO579" s="328"/>
      <c r="AP579" s="328"/>
      <c r="AQ579" s="328"/>
      <c r="AR579" s="328"/>
      <c r="AS579" s="328"/>
      <c r="AT579" s="328"/>
      <c r="AU579" s="328"/>
    </row>
    <row r="580" ht="15.75" customHeight="1">
      <c r="A580" s="328"/>
      <c r="B580" s="328"/>
      <c r="C580" s="328"/>
      <c r="D580" s="328"/>
      <c r="E580" s="328"/>
      <c r="F580" s="328"/>
      <c r="G580" s="328"/>
      <c r="H580" s="328"/>
      <c r="I580" s="328"/>
      <c r="J580" s="328"/>
      <c r="K580" s="328"/>
      <c r="L580" s="328"/>
      <c r="M580" s="328"/>
      <c r="N580" s="328"/>
      <c r="O580" s="328"/>
      <c r="P580" s="328"/>
      <c r="Q580" s="328"/>
      <c r="R580" s="328"/>
      <c r="S580" s="328"/>
      <c r="T580" s="328"/>
      <c r="U580" s="328"/>
      <c r="V580" s="328"/>
      <c r="W580" s="328"/>
      <c r="X580" s="328"/>
      <c r="Y580" s="328"/>
      <c r="Z580" s="328"/>
      <c r="AA580" s="328"/>
      <c r="AB580" s="328"/>
      <c r="AC580" s="328"/>
      <c r="AD580" s="328"/>
      <c r="AE580" s="328"/>
      <c r="AF580" s="328"/>
      <c r="AG580" s="328"/>
      <c r="AH580" s="328"/>
      <c r="AI580" s="328"/>
      <c r="AJ580" s="328"/>
      <c r="AK580" s="328"/>
      <c r="AL580" s="328"/>
      <c r="AM580" s="328"/>
      <c r="AN580" s="328"/>
      <c r="AO580" s="328"/>
      <c r="AP580" s="328"/>
      <c r="AQ580" s="328"/>
      <c r="AR580" s="328"/>
      <c r="AS580" s="328"/>
      <c r="AT580" s="328"/>
      <c r="AU580" s="328"/>
    </row>
    <row r="581" ht="15.75" customHeight="1">
      <c r="A581" s="328"/>
      <c r="B581" s="328"/>
      <c r="C581" s="328"/>
      <c r="D581" s="328"/>
      <c r="E581" s="328"/>
      <c r="F581" s="328"/>
      <c r="G581" s="328"/>
      <c r="H581" s="328"/>
      <c r="I581" s="328"/>
      <c r="J581" s="328"/>
      <c r="K581" s="328"/>
      <c r="L581" s="328"/>
      <c r="M581" s="328"/>
      <c r="N581" s="328"/>
      <c r="O581" s="328"/>
      <c r="P581" s="328"/>
      <c r="Q581" s="328"/>
      <c r="R581" s="328"/>
      <c r="S581" s="328"/>
      <c r="T581" s="328"/>
      <c r="U581" s="328"/>
      <c r="V581" s="328"/>
      <c r="W581" s="328"/>
      <c r="X581" s="328"/>
      <c r="Y581" s="328"/>
      <c r="Z581" s="328"/>
      <c r="AA581" s="328"/>
      <c r="AB581" s="328"/>
      <c r="AC581" s="328"/>
      <c r="AD581" s="328"/>
      <c r="AE581" s="328"/>
      <c r="AF581" s="328"/>
      <c r="AG581" s="328"/>
      <c r="AH581" s="328"/>
      <c r="AI581" s="328"/>
      <c r="AJ581" s="328"/>
      <c r="AK581" s="328"/>
      <c r="AL581" s="328"/>
      <c r="AM581" s="328"/>
      <c r="AN581" s="328"/>
      <c r="AO581" s="328"/>
      <c r="AP581" s="328"/>
      <c r="AQ581" s="328"/>
      <c r="AR581" s="328"/>
      <c r="AS581" s="328"/>
      <c r="AT581" s="328"/>
      <c r="AU581" s="328"/>
    </row>
    <row r="582" ht="15.75" customHeight="1">
      <c r="A582" s="328"/>
      <c r="B582" s="328"/>
      <c r="C582" s="328"/>
      <c r="D582" s="328"/>
      <c r="E582" s="328"/>
      <c r="F582" s="328"/>
      <c r="G582" s="328"/>
      <c r="H582" s="328"/>
      <c r="I582" s="328"/>
      <c r="J582" s="328"/>
      <c r="K582" s="328"/>
      <c r="L582" s="328"/>
      <c r="M582" s="328"/>
      <c r="N582" s="328"/>
      <c r="O582" s="328"/>
      <c r="P582" s="328"/>
      <c r="Q582" s="328"/>
      <c r="R582" s="328"/>
      <c r="S582" s="328"/>
      <c r="T582" s="328"/>
      <c r="U582" s="328"/>
      <c r="V582" s="328"/>
      <c r="W582" s="328"/>
      <c r="X582" s="328"/>
      <c r="Y582" s="328"/>
      <c r="Z582" s="328"/>
      <c r="AA582" s="328"/>
      <c r="AB582" s="328"/>
      <c r="AC582" s="328"/>
      <c r="AD582" s="328"/>
      <c r="AE582" s="328"/>
      <c r="AF582" s="328"/>
      <c r="AG582" s="328"/>
      <c r="AH582" s="328"/>
      <c r="AI582" s="328"/>
      <c r="AJ582" s="328"/>
      <c r="AK582" s="328"/>
      <c r="AL582" s="328"/>
      <c r="AM582" s="328"/>
      <c r="AN582" s="328"/>
      <c r="AO582" s="328"/>
      <c r="AP582" s="328"/>
      <c r="AQ582" s="328"/>
      <c r="AR582" s="328"/>
      <c r="AS582" s="328"/>
      <c r="AT582" s="328"/>
      <c r="AU582" s="328"/>
    </row>
    <row r="583" ht="15.75" customHeight="1">
      <c r="A583" s="328"/>
      <c r="B583" s="328"/>
      <c r="C583" s="328"/>
      <c r="D583" s="328"/>
      <c r="E583" s="328"/>
      <c r="F583" s="328"/>
      <c r="G583" s="328"/>
      <c r="H583" s="328"/>
      <c r="I583" s="328"/>
      <c r="J583" s="328"/>
      <c r="K583" s="328"/>
      <c r="L583" s="328"/>
      <c r="M583" s="328"/>
      <c r="N583" s="328"/>
      <c r="O583" s="328"/>
      <c r="P583" s="328"/>
      <c r="Q583" s="328"/>
      <c r="R583" s="328"/>
      <c r="S583" s="328"/>
      <c r="T583" s="328"/>
      <c r="U583" s="328"/>
      <c r="V583" s="328"/>
      <c r="W583" s="328"/>
      <c r="X583" s="328"/>
      <c r="Y583" s="328"/>
      <c r="Z583" s="328"/>
      <c r="AA583" s="328"/>
      <c r="AB583" s="328"/>
      <c r="AC583" s="328"/>
      <c r="AD583" s="328"/>
      <c r="AE583" s="328"/>
      <c r="AF583" s="328"/>
      <c r="AG583" s="328"/>
      <c r="AH583" s="328"/>
      <c r="AI583" s="328"/>
      <c r="AJ583" s="328"/>
      <c r="AK583" s="328"/>
      <c r="AL583" s="328"/>
      <c r="AM583" s="328"/>
      <c r="AN583" s="328"/>
      <c r="AO583" s="328"/>
      <c r="AP583" s="328"/>
      <c r="AQ583" s="328"/>
      <c r="AR583" s="328"/>
      <c r="AS583" s="328"/>
      <c r="AT583" s="328"/>
      <c r="AU583" s="328"/>
    </row>
    <row r="584" ht="15.75" customHeight="1">
      <c r="A584" s="328"/>
      <c r="B584" s="328"/>
      <c r="C584" s="328"/>
      <c r="D584" s="328"/>
      <c r="E584" s="328"/>
      <c r="F584" s="328"/>
      <c r="G584" s="328"/>
      <c r="H584" s="328"/>
      <c r="I584" s="328"/>
      <c r="J584" s="328"/>
      <c r="K584" s="328"/>
      <c r="L584" s="328"/>
      <c r="M584" s="328"/>
      <c r="N584" s="328"/>
      <c r="O584" s="328"/>
      <c r="P584" s="328"/>
      <c r="Q584" s="328"/>
      <c r="R584" s="328"/>
      <c r="S584" s="328"/>
      <c r="T584" s="328"/>
      <c r="U584" s="328"/>
      <c r="V584" s="328"/>
      <c r="W584" s="328"/>
      <c r="X584" s="328"/>
      <c r="Y584" s="328"/>
      <c r="Z584" s="328"/>
      <c r="AA584" s="328"/>
      <c r="AB584" s="328"/>
      <c r="AC584" s="328"/>
      <c r="AD584" s="328"/>
      <c r="AE584" s="328"/>
      <c r="AF584" s="328"/>
      <c r="AG584" s="328"/>
      <c r="AH584" s="328"/>
      <c r="AI584" s="328"/>
      <c r="AJ584" s="328"/>
      <c r="AK584" s="328"/>
      <c r="AL584" s="328"/>
      <c r="AM584" s="328"/>
      <c r="AN584" s="328"/>
      <c r="AO584" s="328"/>
      <c r="AP584" s="328"/>
      <c r="AQ584" s="328"/>
      <c r="AR584" s="328"/>
      <c r="AS584" s="328"/>
      <c r="AT584" s="328"/>
      <c r="AU584" s="328"/>
    </row>
    <row r="585" ht="15.75" customHeight="1">
      <c r="A585" s="328"/>
      <c r="B585" s="328"/>
      <c r="C585" s="328"/>
      <c r="D585" s="328"/>
      <c r="E585" s="328"/>
      <c r="F585" s="328"/>
      <c r="G585" s="328"/>
      <c r="H585" s="328"/>
      <c r="I585" s="328"/>
      <c r="J585" s="328"/>
      <c r="K585" s="328"/>
      <c r="L585" s="328"/>
      <c r="M585" s="328"/>
      <c r="N585" s="328"/>
      <c r="O585" s="328"/>
      <c r="P585" s="328"/>
      <c r="Q585" s="328"/>
      <c r="R585" s="328"/>
      <c r="S585" s="328"/>
      <c r="T585" s="328"/>
      <c r="U585" s="328"/>
      <c r="V585" s="328"/>
      <c r="W585" s="328"/>
      <c r="X585" s="328"/>
      <c r="Y585" s="328"/>
      <c r="Z585" s="328"/>
      <c r="AA585" s="328"/>
      <c r="AB585" s="328"/>
      <c r="AC585" s="328"/>
      <c r="AD585" s="328"/>
      <c r="AE585" s="328"/>
      <c r="AF585" s="328"/>
      <c r="AG585" s="328"/>
      <c r="AH585" s="328"/>
      <c r="AI585" s="328"/>
      <c r="AJ585" s="328"/>
      <c r="AK585" s="328"/>
      <c r="AL585" s="328"/>
      <c r="AM585" s="328"/>
      <c r="AN585" s="328"/>
      <c r="AO585" s="328"/>
      <c r="AP585" s="328"/>
      <c r="AQ585" s="328"/>
      <c r="AR585" s="328"/>
      <c r="AS585" s="328"/>
      <c r="AT585" s="328"/>
      <c r="AU585" s="328"/>
    </row>
    <row r="586" ht="15.75" customHeight="1">
      <c r="A586" s="328"/>
      <c r="B586" s="328"/>
      <c r="C586" s="328"/>
      <c r="D586" s="328"/>
      <c r="E586" s="328"/>
      <c r="F586" s="328"/>
      <c r="G586" s="328"/>
      <c r="H586" s="328"/>
      <c r="I586" s="328"/>
      <c r="J586" s="328"/>
      <c r="K586" s="328"/>
      <c r="L586" s="328"/>
      <c r="M586" s="328"/>
      <c r="N586" s="328"/>
      <c r="O586" s="328"/>
      <c r="P586" s="328"/>
      <c r="Q586" s="328"/>
      <c r="R586" s="328"/>
      <c r="S586" s="328"/>
      <c r="T586" s="328"/>
      <c r="U586" s="328"/>
      <c r="V586" s="328"/>
      <c r="W586" s="328"/>
      <c r="X586" s="328"/>
      <c r="Y586" s="328"/>
      <c r="Z586" s="328"/>
      <c r="AA586" s="328"/>
      <c r="AB586" s="328"/>
      <c r="AC586" s="328"/>
      <c r="AD586" s="328"/>
      <c r="AE586" s="328"/>
      <c r="AF586" s="328"/>
      <c r="AG586" s="328"/>
      <c r="AH586" s="328"/>
      <c r="AI586" s="328"/>
      <c r="AJ586" s="328"/>
      <c r="AK586" s="328"/>
      <c r="AL586" s="328"/>
      <c r="AM586" s="328"/>
      <c r="AN586" s="328"/>
      <c r="AO586" s="328"/>
      <c r="AP586" s="328"/>
      <c r="AQ586" s="328"/>
      <c r="AR586" s="328"/>
      <c r="AS586" s="328"/>
      <c r="AT586" s="328"/>
      <c r="AU586" s="328"/>
    </row>
    <row r="587" ht="15.75" customHeight="1">
      <c r="A587" s="328"/>
      <c r="B587" s="328"/>
      <c r="C587" s="328"/>
      <c r="D587" s="328"/>
      <c r="E587" s="328"/>
      <c r="F587" s="328"/>
      <c r="G587" s="328"/>
      <c r="H587" s="328"/>
      <c r="I587" s="328"/>
      <c r="J587" s="328"/>
      <c r="K587" s="328"/>
      <c r="L587" s="328"/>
      <c r="M587" s="328"/>
      <c r="N587" s="328"/>
      <c r="O587" s="328"/>
      <c r="P587" s="328"/>
      <c r="Q587" s="328"/>
      <c r="R587" s="328"/>
      <c r="S587" s="328"/>
      <c r="T587" s="328"/>
      <c r="U587" s="328"/>
      <c r="V587" s="328"/>
      <c r="W587" s="328"/>
      <c r="X587" s="328"/>
      <c r="Y587" s="328"/>
      <c r="Z587" s="328"/>
      <c r="AA587" s="328"/>
      <c r="AB587" s="328"/>
      <c r="AC587" s="328"/>
      <c r="AD587" s="328"/>
      <c r="AE587" s="328"/>
      <c r="AF587" s="328"/>
      <c r="AG587" s="328"/>
      <c r="AH587" s="328"/>
      <c r="AI587" s="328"/>
      <c r="AJ587" s="328"/>
      <c r="AK587" s="328"/>
      <c r="AL587" s="328"/>
      <c r="AM587" s="328"/>
      <c r="AN587" s="328"/>
      <c r="AO587" s="328"/>
      <c r="AP587" s="328"/>
      <c r="AQ587" s="328"/>
      <c r="AR587" s="328"/>
      <c r="AS587" s="328"/>
      <c r="AT587" s="328"/>
      <c r="AU587" s="328"/>
    </row>
    <row r="588" ht="15.75" customHeight="1">
      <c r="A588" s="328"/>
      <c r="B588" s="328"/>
      <c r="C588" s="328"/>
      <c r="D588" s="328"/>
      <c r="E588" s="328"/>
      <c r="F588" s="328"/>
      <c r="G588" s="328"/>
      <c r="H588" s="328"/>
      <c r="I588" s="328"/>
      <c r="J588" s="328"/>
      <c r="K588" s="328"/>
      <c r="L588" s="328"/>
      <c r="M588" s="328"/>
      <c r="N588" s="328"/>
      <c r="O588" s="328"/>
      <c r="P588" s="328"/>
      <c r="Q588" s="328"/>
      <c r="R588" s="328"/>
      <c r="S588" s="328"/>
      <c r="T588" s="328"/>
      <c r="U588" s="328"/>
      <c r="V588" s="328"/>
      <c r="W588" s="328"/>
      <c r="X588" s="328"/>
      <c r="Y588" s="328"/>
      <c r="Z588" s="328"/>
      <c r="AA588" s="328"/>
      <c r="AB588" s="328"/>
      <c r="AC588" s="328"/>
      <c r="AD588" s="328"/>
      <c r="AE588" s="328"/>
      <c r="AF588" s="328"/>
      <c r="AG588" s="328"/>
      <c r="AH588" s="328"/>
      <c r="AI588" s="328"/>
      <c r="AJ588" s="328"/>
      <c r="AK588" s="328"/>
      <c r="AL588" s="328"/>
      <c r="AM588" s="328"/>
      <c r="AN588" s="328"/>
      <c r="AO588" s="328"/>
      <c r="AP588" s="328"/>
      <c r="AQ588" s="328"/>
      <c r="AR588" s="328"/>
      <c r="AS588" s="328"/>
      <c r="AT588" s="328"/>
      <c r="AU588" s="328"/>
    </row>
    <row r="589" ht="15.75" customHeight="1">
      <c r="A589" s="328"/>
      <c r="B589" s="328"/>
      <c r="C589" s="328"/>
      <c r="D589" s="328"/>
      <c r="E589" s="328"/>
      <c r="F589" s="328"/>
      <c r="G589" s="328"/>
      <c r="H589" s="328"/>
      <c r="I589" s="328"/>
      <c r="J589" s="328"/>
      <c r="K589" s="328"/>
      <c r="L589" s="328"/>
      <c r="M589" s="328"/>
      <c r="N589" s="328"/>
      <c r="O589" s="328"/>
      <c r="P589" s="328"/>
      <c r="Q589" s="328"/>
      <c r="R589" s="328"/>
      <c r="S589" s="328"/>
      <c r="T589" s="328"/>
      <c r="U589" s="328"/>
      <c r="V589" s="328"/>
      <c r="W589" s="328"/>
      <c r="X589" s="328"/>
      <c r="Y589" s="328"/>
      <c r="Z589" s="328"/>
      <c r="AA589" s="328"/>
      <c r="AB589" s="328"/>
      <c r="AC589" s="328"/>
      <c r="AD589" s="328"/>
      <c r="AE589" s="328"/>
      <c r="AF589" s="328"/>
      <c r="AG589" s="328"/>
      <c r="AH589" s="328"/>
      <c r="AI589" s="328"/>
      <c r="AJ589" s="328"/>
      <c r="AK589" s="328"/>
      <c r="AL589" s="328"/>
      <c r="AM589" s="328"/>
      <c r="AN589" s="328"/>
      <c r="AO589" s="328"/>
      <c r="AP589" s="328"/>
      <c r="AQ589" s="328"/>
      <c r="AR589" s="328"/>
      <c r="AS589" s="328"/>
      <c r="AT589" s="328"/>
      <c r="AU589" s="328"/>
    </row>
    <row r="590" ht="15.75" customHeight="1">
      <c r="A590" s="328"/>
      <c r="B590" s="328"/>
      <c r="C590" s="328"/>
      <c r="D590" s="328"/>
      <c r="E590" s="328"/>
      <c r="F590" s="328"/>
      <c r="G590" s="328"/>
      <c r="H590" s="328"/>
      <c r="I590" s="328"/>
      <c r="J590" s="328"/>
      <c r="K590" s="328"/>
      <c r="L590" s="328"/>
      <c r="M590" s="328"/>
      <c r="N590" s="328"/>
      <c r="O590" s="328"/>
      <c r="P590" s="328"/>
      <c r="Q590" s="328"/>
      <c r="R590" s="328"/>
      <c r="S590" s="328"/>
      <c r="T590" s="328"/>
      <c r="U590" s="328"/>
      <c r="V590" s="328"/>
      <c r="W590" s="328"/>
      <c r="X590" s="328"/>
      <c r="Y590" s="328"/>
      <c r="Z590" s="328"/>
      <c r="AA590" s="328"/>
      <c r="AB590" s="328"/>
      <c r="AC590" s="328"/>
      <c r="AD590" s="328"/>
      <c r="AE590" s="328"/>
      <c r="AF590" s="328"/>
      <c r="AG590" s="328"/>
      <c r="AH590" s="328"/>
      <c r="AI590" s="328"/>
      <c r="AJ590" s="328"/>
      <c r="AK590" s="328"/>
      <c r="AL590" s="328"/>
      <c r="AM590" s="328"/>
      <c r="AN590" s="328"/>
      <c r="AO590" s="328"/>
      <c r="AP590" s="328"/>
      <c r="AQ590" s="328"/>
      <c r="AR590" s="328"/>
      <c r="AS590" s="328"/>
      <c r="AT590" s="328"/>
      <c r="AU590" s="328"/>
    </row>
    <row r="591" ht="15.75" customHeight="1">
      <c r="A591" s="328"/>
      <c r="B591" s="328"/>
      <c r="C591" s="328"/>
      <c r="D591" s="328"/>
      <c r="E591" s="328"/>
      <c r="F591" s="328"/>
      <c r="G591" s="328"/>
      <c r="H591" s="328"/>
      <c r="I591" s="328"/>
      <c r="J591" s="328"/>
      <c r="K591" s="328"/>
      <c r="L591" s="328"/>
      <c r="M591" s="328"/>
      <c r="N591" s="328"/>
      <c r="O591" s="328"/>
      <c r="P591" s="328"/>
      <c r="Q591" s="328"/>
      <c r="R591" s="328"/>
      <c r="S591" s="328"/>
      <c r="T591" s="328"/>
      <c r="U591" s="328"/>
      <c r="V591" s="328"/>
      <c r="W591" s="328"/>
      <c r="X591" s="328"/>
      <c r="Y591" s="328"/>
      <c r="Z591" s="328"/>
      <c r="AA591" s="328"/>
      <c r="AB591" s="328"/>
      <c r="AC591" s="328"/>
      <c r="AD591" s="328"/>
      <c r="AE591" s="328"/>
      <c r="AF591" s="328"/>
      <c r="AG591" s="328"/>
      <c r="AH591" s="328"/>
      <c r="AI591" s="328"/>
      <c r="AJ591" s="328"/>
      <c r="AK591" s="328"/>
      <c r="AL591" s="328"/>
      <c r="AM591" s="328"/>
      <c r="AN591" s="328"/>
      <c r="AO591" s="328"/>
      <c r="AP591" s="328"/>
      <c r="AQ591" s="328"/>
      <c r="AR591" s="328"/>
      <c r="AS591" s="328"/>
      <c r="AT591" s="328"/>
      <c r="AU591" s="328"/>
    </row>
    <row r="592" ht="15.75" customHeight="1">
      <c r="A592" s="328"/>
      <c r="B592" s="328"/>
      <c r="C592" s="328"/>
      <c r="D592" s="328"/>
      <c r="E592" s="328"/>
      <c r="F592" s="328"/>
      <c r="G592" s="328"/>
      <c r="H592" s="328"/>
      <c r="I592" s="328"/>
      <c r="J592" s="328"/>
      <c r="K592" s="328"/>
      <c r="L592" s="328"/>
      <c r="M592" s="328"/>
      <c r="N592" s="328"/>
      <c r="O592" s="328"/>
      <c r="P592" s="328"/>
      <c r="Q592" s="328"/>
      <c r="R592" s="328"/>
      <c r="S592" s="328"/>
      <c r="T592" s="328"/>
      <c r="U592" s="328"/>
      <c r="V592" s="328"/>
      <c r="W592" s="328"/>
      <c r="X592" s="328"/>
      <c r="Y592" s="328"/>
      <c r="Z592" s="328"/>
      <c r="AA592" s="328"/>
      <c r="AB592" s="328"/>
      <c r="AC592" s="328"/>
      <c r="AD592" s="328"/>
      <c r="AE592" s="328"/>
      <c r="AF592" s="328"/>
      <c r="AG592" s="328"/>
      <c r="AH592" s="328"/>
      <c r="AI592" s="328"/>
      <c r="AJ592" s="328"/>
      <c r="AK592" s="328"/>
      <c r="AL592" s="328"/>
      <c r="AM592" s="328"/>
      <c r="AN592" s="328"/>
      <c r="AO592" s="328"/>
      <c r="AP592" s="328"/>
      <c r="AQ592" s="328"/>
      <c r="AR592" s="328"/>
      <c r="AS592" s="328"/>
      <c r="AT592" s="328"/>
      <c r="AU592" s="328"/>
    </row>
    <row r="593" ht="15.75" customHeight="1">
      <c r="A593" s="328"/>
      <c r="B593" s="328"/>
      <c r="C593" s="328"/>
      <c r="D593" s="328"/>
      <c r="E593" s="328"/>
      <c r="F593" s="328"/>
      <c r="G593" s="328"/>
      <c r="H593" s="328"/>
      <c r="I593" s="328"/>
      <c r="J593" s="328"/>
      <c r="K593" s="328"/>
      <c r="L593" s="328"/>
      <c r="M593" s="328"/>
      <c r="N593" s="328"/>
      <c r="O593" s="328"/>
      <c r="P593" s="328"/>
      <c r="Q593" s="328"/>
      <c r="R593" s="328"/>
      <c r="S593" s="328"/>
      <c r="T593" s="328"/>
      <c r="U593" s="328"/>
      <c r="V593" s="328"/>
      <c r="W593" s="328"/>
      <c r="X593" s="328"/>
      <c r="Y593" s="328"/>
      <c r="Z593" s="328"/>
      <c r="AA593" s="328"/>
      <c r="AB593" s="328"/>
      <c r="AC593" s="328"/>
      <c r="AD593" s="328"/>
      <c r="AE593" s="328"/>
      <c r="AF593" s="328"/>
      <c r="AG593" s="328"/>
      <c r="AH593" s="328"/>
      <c r="AI593" s="328"/>
      <c r="AJ593" s="328"/>
      <c r="AK593" s="328"/>
      <c r="AL593" s="328"/>
      <c r="AM593" s="328"/>
      <c r="AN593" s="328"/>
      <c r="AO593" s="328"/>
      <c r="AP593" s="328"/>
      <c r="AQ593" s="328"/>
      <c r="AR593" s="328"/>
      <c r="AS593" s="328"/>
      <c r="AT593" s="328"/>
      <c r="AU593" s="328"/>
    </row>
    <row r="594" ht="15.75" customHeight="1">
      <c r="A594" s="328"/>
      <c r="B594" s="328"/>
      <c r="C594" s="328"/>
      <c r="D594" s="328"/>
      <c r="E594" s="328"/>
      <c r="F594" s="328"/>
      <c r="G594" s="328"/>
      <c r="H594" s="328"/>
      <c r="I594" s="328"/>
      <c r="J594" s="328"/>
      <c r="K594" s="328"/>
      <c r="L594" s="328"/>
      <c r="M594" s="328"/>
      <c r="N594" s="328"/>
      <c r="O594" s="328"/>
      <c r="P594" s="328"/>
      <c r="Q594" s="328"/>
      <c r="R594" s="328"/>
      <c r="S594" s="328"/>
      <c r="T594" s="328"/>
      <c r="U594" s="328"/>
      <c r="V594" s="328"/>
      <c r="W594" s="328"/>
      <c r="X594" s="328"/>
      <c r="Y594" s="328"/>
      <c r="Z594" s="328"/>
      <c r="AA594" s="328"/>
      <c r="AB594" s="328"/>
      <c r="AC594" s="328"/>
      <c r="AD594" s="328"/>
      <c r="AE594" s="328"/>
      <c r="AF594" s="328"/>
      <c r="AG594" s="328"/>
      <c r="AH594" s="328"/>
      <c r="AI594" s="328"/>
      <c r="AJ594" s="328"/>
      <c r="AK594" s="328"/>
      <c r="AL594" s="328"/>
      <c r="AM594" s="328"/>
      <c r="AN594" s="328"/>
      <c r="AO594" s="328"/>
      <c r="AP594" s="328"/>
      <c r="AQ594" s="328"/>
      <c r="AR594" s="328"/>
      <c r="AS594" s="328"/>
      <c r="AT594" s="328"/>
      <c r="AU594" s="328"/>
    </row>
    <row r="595" ht="15.75" customHeight="1">
      <c r="A595" s="328"/>
      <c r="B595" s="328"/>
      <c r="C595" s="328"/>
      <c r="D595" s="328"/>
      <c r="E595" s="328"/>
      <c r="F595" s="328"/>
      <c r="G595" s="328"/>
      <c r="H595" s="328"/>
      <c r="I595" s="328"/>
      <c r="J595" s="328"/>
      <c r="K595" s="328"/>
      <c r="L595" s="328"/>
      <c r="M595" s="328"/>
      <c r="N595" s="328"/>
      <c r="O595" s="328"/>
      <c r="P595" s="328"/>
      <c r="Q595" s="328"/>
      <c r="R595" s="328"/>
      <c r="S595" s="328"/>
      <c r="T595" s="328"/>
      <c r="U595" s="328"/>
      <c r="V595" s="328"/>
      <c r="W595" s="328"/>
      <c r="X595" s="328"/>
      <c r="Y595" s="328"/>
      <c r="Z595" s="328"/>
      <c r="AA595" s="328"/>
      <c r="AB595" s="328"/>
      <c r="AC595" s="328"/>
      <c r="AD595" s="328"/>
      <c r="AE595" s="328"/>
      <c r="AF595" s="328"/>
      <c r="AG595" s="328"/>
      <c r="AH595" s="328"/>
      <c r="AI595" s="328"/>
      <c r="AJ595" s="328"/>
      <c r="AK595" s="328"/>
      <c r="AL595" s="328"/>
      <c r="AM595" s="328"/>
      <c r="AN595" s="328"/>
      <c r="AO595" s="328"/>
      <c r="AP595" s="328"/>
      <c r="AQ595" s="328"/>
      <c r="AR595" s="328"/>
      <c r="AS595" s="328"/>
      <c r="AT595" s="328"/>
      <c r="AU595" s="328"/>
    </row>
    <row r="596" ht="15.75" customHeight="1">
      <c r="A596" s="328"/>
      <c r="B596" s="328"/>
      <c r="C596" s="328"/>
      <c r="D596" s="328"/>
      <c r="E596" s="328"/>
      <c r="F596" s="328"/>
      <c r="G596" s="328"/>
      <c r="H596" s="328"/>
      <c r="I596" s="328"/>
      <c r="J596" s="328"/>
      <c r="K596" s="328"/>
      <c r="L596" s="328"/>
      <c r="M596" s="328"/>
      <c r="N596" s="328"/>
      <c r="O596" s="328"/>
      <c r="P596" s="328"/>
      <c r="Q596" s="328"/>
      <c r="R596" s="328"/>
      <c r="S596" s="328"/>
      <c r="T596" s="328"/>
      <c r="U596" s="328"/>
      <c r="V596" s="328"/>
      <c r="W596" s="328"/>
      <c r="X596" s="328"/>
      <c r="Y596" s="328"/>
      <c r="Z596" s="328"/>
      <c r="AA596" s="328"/>
      <c r="AB596" s="328"/>
      <c r="AC596" s="328"/>
      <c r="AD596" s="328"/>
      <c r="AE596" s="328"/>
      <c r="AF596" s="328"/>
      <c r="AG596" s="328"/>
      <c r="AH596" s="328"/>
      <c r="AI596" s="328"/>
      <c r="AJ596" s="328"/>
      <c r="AK596" s="328"/>
      <c r="AL596" s="328"/>
      <c r="AM596" s="328"/>
      <c r="AN596" s="328"/>
      <c r="AO596" s="328"/>
      <c r="AP596" s="328"/>
      <c r="AQ596" s="328"/>
      <c r="AR596" s="328"/>
      <c r="AS596" s="328"/>
      <c r="AT596" s="328"/>
      <c r="AU596" s="328"/>
    </row>
    <row r="597" ht="15.75" customHeight="1">
      <c r="A597" s="328"/>
      <c r="B597" s="328"/>
      <c r="C597" s="328"/>
      <c r="D597" s="328"/>
      <c r="E597" s="328"/>
      <c r="F597" s="328"/>
      <c r="G597" s="328"/>
      <c r="H597" s="328"/>
      <c r="I597" s="328"/>
      <c r="J597" s="328"/>
      <c r="K597" s="328"/>
      <c r="L597" s="328"/>
      <c r="M597" s="328"/>
      <c r="N597" s="328"/>
      <c r="O597" s="328"/>
      <c r="P597" s="328"/>
      <c r="Q597" s="328"/>
      <c r="R597" s="328"/>
      <c r="S597" s="328"/>
      <c r="T597" s="328"/>
      <c r="U597" s="328"/>
      <c r="V597" s="328"/>
      <c r="W597" s="328"/>
      <c r="X597" s="328"/>
      <c r="Y597" s="328"/>
      <c r="Z597" s="328"/>
      <c r="AA597" s="328"/>
      <c r="AB597" s="328"/>
      <c r="AC597" s="328"/>
      <c r="AD597" s="328"/>
      <c r="AE597" s="328"/>
      <c r="AF597" s="328"/>
      <c r="AG597" s="328"/>
      <c r="AH597" s="328"/>
      <c r="AI597" s="328"/>
      <c r="AJ597" s="328"/>
      <c r="AK597" s="328"/>
      <c r="AL597" s="328"/>
      <c r="AM597" s="328"/>
      <c r="AN597" s="328"/>
      <c r="AO597" s="328"/>
      <c r="AP597" s="328"/>
      <c r="AQ597" s="328"/>
      <c r="AR597" s="328"/>
      <c r="AS597" s="328"/>
      <c r="AT597" s="328"/>
      <c r="AU597" s="328"/>
    </row>
    <row r="598" ht="15.75" customHeight="1">
      <c r="A598" s="328"/>
      <c r="B598" s="328"/>
      <c r="C598" s="328"/>
      <c r="D598" s="328"/>
      <c r="E598" s="328"/>
      <c r="F598" s="328"/>
      <c r="G598" s="328"/>
      <c r="H598" s="328"/>
      <c r="I598" s="328"/>
      <c r="J598" s="328"/>
      <c r="K598" s="328"/>
      <c r="L598" s="328"/>
      <c r="M598" s="328"/>
      <c r="N598" s="328"/>
      <c r="O598" s="328"/>
      <c r="P598" s="328"/>
      <c r="Q598" s="328"/>
      <c r="R598" s="328"/>
      <c r="S598" s="328"/>
      <c r="T598" s="328"/>
      <c r="U598" s="328"/>
      <c r="V598" s="328"/>
      <c r="W598" s="328"/>
      <c r="X598" s="328"/>
      <c r="Y598" s="328"/>
      <c r="Z598" s="328"/>
      <c r="AA598" s="328"/>
      <c r="AB598" s="328"/>
      <c r="AC598" s="328"/>
      <c r="AD598" s="328"/>
      <c r="AE598" s="328"/>
      <c r="AF598" s="328"/>
      <c r="AG598" s="328"/>
      <c r="AH598" s="328"/>
      <c r="AI598" s="328"/>
      <c r="AJ598" s="328"/>
      <c r="AK598" s="328"/>
      <c r="AL598" s="328"/>
      <c r="AM598" s="328"/>
      <c r="AN598" s="328"/>
      <c r="AO598" s="328"/>
      <c r="AP598" s="328"/>
      <c r="AQ598" s="328"/>
      <c r="AR598" s="328"/>
      <c r="AS598" s="328"/>
      <c r="AT598" s="328"/>
      <c r="AU598" s="328"/>
    </row>
    <row r="599" ht="15.75" customHeight="1">
      <c r="A599" s="328"/>
      <c r="B599" s="328"/>
      <c r="C599" s="328"/>
      <c r="D599" s="328"/>
      <c r="E599" s="328"/>
      <c r="F599" s="328"/>
      <c r="G599" s="328"/>
      <c r="H599" s="328"/>
      <c r="I599" s="328"/>
      <c r="J599" s="328"/>
      <c r="K599" s="328"/>
      <c r="L599" s="328"/>
      <c r="M599" s="328"/>
      <c r="N599" s="328"/>
      <c r="O599" s="328"/>
      <c r="P599" s="328"/>
      <c r="Q599" s="328"/>
      <c r="R599" s="328"/>
      <c r="S599" s="328"/>
      <c r="T599" s="328"/>
      <c r="U599" s="328"/>
      <c r="V599" s="328"/>
      <c r="W599" s="328"/>
      <c r="X599" s="328"/>
      <c r="Y599" s="328"/>
      <c r="Z599" s="328"/>
      <c r="AA599" s="328"/>
      <c r="AB599" s="328"/>
      <c r="AC599" s="328"/>
      <c r="AD599" s="328"/>
      <c r="AE599" s="328"/>
      <c r="AF599" s="328"/>
      <c r="AG599" s="328"/>
      <c r="AH599" s="328"/>
      <c r="AI599" s="328"/>
      <c r="AJ599" s="328"/>
      <c r="AK599" s="328"/>
      <c r="AL599" s="328"/>
      <c r="AM599" s="328"/>
      <c r="AN599" s="328"/>
      <c r="AO599" s="328"/>
      <c r="AP599" s="328"/>
      <c r="AQ599" s="328"/>
      <c r="AR599" s="328"/>
      <c r="AS599" s="328"/>
      <c r="AT599" s="328"/>
      <c r="AU599" s="328"/>
    </row>
    <row r="600" ht="15.75" customHeight="1">
      <c r="A600" s="328"/>
      <c r="B600" s="328"/>
      <c r="C600" s="328"/>
      <c r="D600" s="328"/>
      <c r="E600" s="328"/>
      <c r="F600" s="328"/>
      <c r="G600" s="328"/>
      <c r="H600" s="328"/>
      <c r="I600" s="328"/>
      <c r="J600" s="328"/>
      <c r="K600" s="328"/>
      <c r="L600" s="328"/>
      <c r="M600" s="328"/>
      <c r="N600" s="328"/>
      <c r="O600" s="328"/>
      <c r="P600" s="328"/>
      <c r="Q600" s="328"/>
      <c r="R600" s="328"/>
      <c r="S600" s="328"/>
      <c r="T600" s="328"/>
      <c r="U600" s="328"/>
      <c r="V600" s="328"/>
      <c r="W600" s="328"/>
      <c r="X600" s="328"/>
      <c r="Y600" s="328"/>
      <c r="Z600" s="328"/>
      <c r="AA600" s="328"/>
      <c r="AB600" s="328"/>
      <c r="AC600" s="328"/>
      <c r="AD600" s="328"/>
      <c r="AE600" s="328"/>
      <c r="AF600" s="328"/>
      <c r="AG600" s="328"/>
      <c r="AH600" s="328"/>
      <c r="AI600" s="328"/>
      <c r="AJ600" s="328"/>
      <c r="AK600" s="328"/>
      <c r="AL600" s="328"/>
      <c r="AM600" s="328"/>
      <c r="AN600" s="328"/>
      <c r="AO600" s="328"/>
      <c r="AP600" s="328"/>
      <c r="AQ600" s="328"/>
      <c r="AR600" s="328"/>
      <c r="AS600" s="328"/>
      <c r="AT600" s="328"/>
      <c r="AU600" s="328"/>
    </row>
    <row r="601" ht="15.75" customHeight="1">
      <c r="A601" s="328"/>
      <c r="B601" s="328"/>
      <c r="C601" s="328"/>
      <c r="D601" s="328"/>
      <c r="E601" s="328"/>
      <c r="F601" s="328"/>
      <c r="G601" s="328"/>
      <c r="H601" s="328"/>
      <c r="I601" s="328"/>
      <c r="J601" s="328"/>
      <c r="K601" s="328"/>
      <c r="L601" s="328"/>
      <c r="M601" s="328"/>
      <c r="N601" s="328"/>
      <c r="O601" s="328"/>
      <c r="P601" s="328"/>
      <c r="Q601" s="328"/>
      <c r="R601" s="328"/>
      <c r="S601" s="328"/>
      <c r="T601" s="328"/>
      <c r="U601" s="328"/>
      <c r="V601" s="328"/>
      <c r="W601" s="328"/>
      <c r="X601" s="328"/>
      <c r="Y601" s="328"/>
      <c r="Z601" s="328"/>
      <c r="AA601" s="328"/>
      <c r="AB601" s="328"/>
      <c r="AC601" s="328"/>
      <c r="AD601" s="328"/>
      <c r="AE601" s="328"/>
      <c r="AF601" s="328"/>
      <c r="AG601" s="328"/>
      <c r="AH601" s="328"/>
      <c r="AI601" s="328"/>
      <c r="AJ601" s="328"/>
      <c r="AK601" s="328"/>
      <c r="AL601" s="328"/>
      <c r="AM601" s="328"/>
      <c r="AN601" s="328"/>
      <c r="AO601" s="328"/>
      <c r="AP601" s="328"/>
      <c r="AQ601" s="328"/>
      <c r="AR601" s="328"/>
      <c r="AS601" s="328"/>
      <c r="AT601" s="328"/>
      <c r="AU601" s="328"/>
    </row>
    <row r="602" ht="15.75" customHeight="1">
      <c r="A602" s="328"/>
      <c r="B602" s="328"/>
      <c r="C602" s="328"/>
      <c r="D602" s="328"/>
      <c r="E602" s="328"/>
      <c r="F602" s="328"/>
      <c r="G602" s="328"/>
      <c r="H602" s="328"/>
      <c r="I602" s="328"/>
      <c r="J602" s="328"/>
      <c r="K602" s="328"/>
      <c r="L602" s="328"/>
      <c r="M602" s="328"/>
      <c r="N602" s="328"/>
      <c r="O602" s="328"/>
      <c r="P602" s="328"/>
      <c r="Q602" s="328"/>
      <c r="R602" s="328"/>
      <c r="S602" s="328"/>
      <c r="T602" s="328"/>
      <c r="U602" s="328"/>
      <c r="V602" s="328"/>
      <c r="W602" s="328"/>
      <c r="X602" s="328"/>
      <c r="Y602" s="328"/>
      <c r="Z602" s="328"/>
      <c r="AA602" s="328"/>
      <c r="AB602" s="328"/>
      <c r="AC602" s="328"/>
      <c r="AD602" s="328"/>
      <c r="AE602" s="328"/>
      <c r="AF602" s="328"/>
      <c r="AG602" s="328"/>
      <c r="AH602" s="328"/>
      <c r="AI602" s="328"/>
      <c r="AJ602" s="328"/>
      <c r="AK602" s="328"/>
      <c r="AL602" s="328"/>
      <c r="AM602" s="328"/>
      <c r="AN602" s="328"/>
      <c r="AO602" s="328"/>
      <c r="AP602" s="328"/>
      <c r="AQ602" s="328"/>
      <c r="AR602" s="328"/>
      <c r="AS602" s="328"/>
      <c r="AT602" s="328"/>
      <c r="AU602" s="328"/>
    </row>
    <row r="603" ht="15.75" customHeight="1">
      <c r="A603" s="328"/>
      <c r="B603" s="328"/>
      <c r="C603" s="328"/>
      <c r="D603" s="328"/>
      <c r="E603" s="328"/>
      <c r="F603" s="328"/>
      <c r="G603" s="328"/>
      <c r="H603" s="328"/>
      <c r="I603" s="328"/>
      <c r="J603" s="328"/>
      <c r="K603" s="328"/>
      <c r="L603" s="328"/>
      <c r="M603" s="328"/>
      <c r="N603" s="328"/>
      <c r="O603" s="328"/>
      <c r="P603" s="328"/>
      <c r="Q603" s="328"/>
      <c r="R603" s="328"/>
      <c r="S603" s="328"/>
      <c r="T603" s="328"/>
      <c r="U603" s="328"/>
      <c r="V603" s="328"/>
      <c r="W603" s="328"/>
      <c r="X603" s="328"/>
      <c r="Y603" s="328"/>
      <c r="Z603" s="328"/>
      <c r="AA603" s="328"/>
      <c r="AB603" s="328"/>
      <c r="AC603" s="328"/>
      <c r="AD603" s="328"/>
      <c r="AE603" s="328"/>
      <c r="AF603" s="328"/>
      <c r="AG603" s="328"/>
      <c r="AH603" s="328"/>
      <c r="AI603" s="328"/>
      <c r="AJ603" s="328"/>
      <c r="AK603" s="328"/>
      <c r="AL603" s="328"/>
      <c r="AM603" s="328"/>
      <c r="AN603" s="328"/>
      <c r="AO603" s="328"/>
      <c r="AP603" s="328"/>
      <c r="AQ603" s="328"/>
      <c r="AR603" s="328"/>
      <c r="AS603" s="328"/>
      <c r="AT603" s="328"/>
      <c r="AU603" s="328"/>
    </row>
    <row r="604" ht="15.75" customHeight="1">
      <c r="A604" s="328"/>
      <c r="B604" s="328"/>
      <c r="C604" s="328"/>
      <c r="D604" s="328"/>
      <c r="E604" s="328"/>
      <c r="F604" s="328"/>
      <c r="G604" s="328"/>
      <c r="H604" s="328"/>
      <c r="I604" s="328"/>
      <c r="J604" s="328"/>
      <c r="K604" s="328"/>
      <c r="L604" s="328"/>
      <c r="M604" s="328"/>
      <c r="N604" s="328"/>
      <c r="O604" s="328"/>
      <c r="P604" s="328"/>
      <c r="Q604" s="328"/>
      <c r="R604" s="328"/>
      <c r="S604" s="328"/>
      <c r="T604" s="328"/>
      <c r="U604" s="328"/>
      <c r="V604" s="328"/>
      <c r="W604" s="328"/>
      <c r="X604" s="328"/>
      <c r="Y604" s="328"/>
      <c r="Z604" s="328"/>
      <c r="AA604" s="328"/>
      <c r="AB604" s="328"/>
      <c r="AC604" s="328"/>
      <c r="AD604" s="328"/>
      <c r="AE604" s="328"/>
      <c r="AF604" s="328"/>
      <c r="AG604" s="328"/>
      <c r="AH604" s="328"/>
      <c r="AI604" s="328"/>
      <c r="AJ604" s="328"/>
      <c r="AK604" s="328"/>
      <c r="AL604" s="328"/>
      <c r="AM604" s="328"/>
      <c r="AN604" s="328"/>
      <c r="AO604" s="328"/>
      <c r="AP604" s="328"/>
      <c r="AQ604" s="328"/>
      <c r="AR604" s="328"/>
      <c r="AS604" s="328"/>
      <c r="AT604" s="328"/>
      <c r="AU604" s="328"/>
    </row>
    <row r="605" ht="15.75" customHeight="1">
      <c r="A605" s="328"/>
      <c r="B605" s="328"/>
      <c r="C605" s="328"/>
      <c r="D605" s="328"/>
      <c r="E605" s="328"/>
      <c r="F605" s="328"/>
      <c r="G605" s="328"/>
      <c r="H605" s="328"/>
      <c r="I605" s="328"/>
      <c r="J605" s="328"/>
      <c r="K605" s="328"/>
      <c r="L605" s="328"/>
      <c r="M605" s="328"/>
      <c r="N605" s="328"/>
      <c r="O605" s="328"/>
      <c r="P605" s="328"/>
      <c r="Q605" s="328"/>
      <c r="R605" s="328"/>
      <c r="S605" s="328"/>
      <c r="T605" s="328"/>
      <c r="U605" s="328"/>
      <c r="V605" s="328"/>
      <c r="W605" s="328"/>
      <c r="X605" s="328"/>
      <c r="Y605" s="328"/>
      <c r="Z605" s="328"/>
      <c r="AA605" s="328"/>
      <c r="AB605" s="328"/>
      <c r="AC605" s="328"/>
      <c r="AD605" s="328"/>
      <c r="AE605" s="328"/>
      <c r="AF605" s="328"/>
      <c r="AG605" s="328"/>
      <c r="AH605" s="328"/>
      <c r="AI605" s="328"/>
      <c r="AJ605" s="328"/>
      <c r="AK605" s="328"/>
      <c r="AL605" s="328"/>
      <c r="AM605" s="328"/>
      <c r="AN605" s="328"/>
      <c r="AO605" s="328"/>
      <c r="AP605" s="328"/>
      <c r="AQ605" s="328"/>
      <c r="AR605" s="328"/>
      <c r="AS605" s="328"/>
      <c r="AT605" s="328"/>
      <c r="AU605" s="328"/>
    </row>
    <row r="606" ht="15.75" customHeight="1">
      <c r="A606" s="328"/>
      <c r="B606" s="328"/>
      <c r="C606" s="328"/>
      <c r="D606" s="328"/>
      <c r="E606" s="328"/>
      <c r="F606" s="328"/>
      <c r="G606" s="328"/>
      <c r="H606" s="328"/>
      <c r="I606" s="328"/>
      <c r="J606" s="328"/>
      <c r="K606" s="328"/>
      <c r="L606" s="328"/>
      <c r="M606" s="328"/>
      <c r="N606" s="328"/>
      <c r="O606" s="328"/>
      <c r="P606" s="328"/>
      <c r="Q606" s="328"/>
      <c r="R606" s="328"/>
      <c r="S606" s="328"/>
      <c r="T606" s="328"/>
      <c r="U606" s="328"/>
      <c r="V606" s="328"/>
      <c r="W606" s="328"/>
      <c r="X606" s="328"/>
      <c r="Y606" s="328"/>
      <c r="Z606" s="328"/>
      <c r="AA606" s="328"/>
      <c r="AB606" s="328"/>
      <c r="AC606" s="328"/>
      <c r="AD606" s="328"/>
      <c r="AE606" s="328"/>
      <c r="AF606" s="328"/>
      <c r="AG606" s="328"/>
      <c r="AH606" s="328"/>
      <c r="AI606" s="328"/>
      <c r="AJ606" s="328"/>
      <c r="AK606" s="328"/>
      <c r="AL606" s="328"/>
      <c r="AM606" s="328"/>
      <c r="AN606" s="328"/>
      <c r="AO606" s="328"/>
      <c r="AP606" s="328"/>
      <c r="AQ606" s="328"/>
      <c r="AR606" s="328"/>
      <c r="AS606" s="328"/>
      <c r="AT606" s="328"/>
      <c r="AU606" s="328"/>
    </row>
    <row r="607" ht="15.75" customHeight="1">
      <c r="A607" s="328"/>
      <c r="B607" s="328"/>
      <c r="C607" s="328"/>
      <c r="D607" s="328"/>
      <c r="E607" s="328"/>
      <c r="F607" s="328"/>
      <c r="G607" s="328"/>
      <c r="H607" s="328"/>
      <c r="I607" s="328"/>
      <c r="J607" s="328"/>
      <c r="K607" s="328"/>
      <c r="L607" s="328"/>
      <c r="M607" s="328"/>
      <c r="N607" s="328"/>
      <c r="O607" s="328"/>
      <c r="P607" s="328"/>
      <c r="Q607" s="328"/>
      <c r="R607" s="328"/>
      <c r="S607" s="328"/>
      <c r="T607" s="328"/>
      <c r="U607" s="328"/>
      <c r="V607" s="328"/>
      <c r="W607" s="328"/>
      <c r="X607" s="328"/>
      <c r="Y607" s="328"/>
      <c r="Z607" s="328"/>
      <c r="AA607" s="328"/>
      <c r="AB607" s="328"/>
      <c r="AC607" s="328"/>
      <c r="AD607" s="328"/>
      <c r="AE607" s="328"/>
      <c r="AF607" s="328"/>
      <c r="AG607" s="328"/>
      <c r="AH607" s="328"/>
      <c r="AI607" s="328"/>
      <c r="AJ607" s="328"/>
      <c r="AK607" s="328"/>
      <c r="AL607" s="328"/>
      <c r="AM607" s="328"/>
      <c r="AN607" s="328"/>
      <c r="AO607" s="328"/>
      <c r="AP607" s="328"/>
      <c r="AQ607" s="328"/>
      <c r="AR607" s="328"/>
      <c r="AS607" s="328"/>
      <c r="AT607" s="328"/>
      <c r="AU607" s="328"/>
    </row>
    <row r="608" ht="15.75" customHeight="1">
      <c r="A608" s="328"/>
      <c r="B608" s="328"/>
      <c r="C608" s="328"/>
      <c r="D608" s="328"/>
      <c r="E608" s="328"/>
      <c r="F608" s="328"/>
      <c r="G608" s="328"/>
      <c r="H608" s="328"/>
      <c r="I608" s="328"/>
      <c r="J608" s="328"/>
      <c r="K608" s="328"/>
      <c r="L608" s="328"/>
      <c r="M608" s="328"/>
      <c r="N608" s="328"/>
      <c r="O608" s="328"/>
      <c r="P608" s="328"/>
      <c r="Q608" s="328"/>
      <c r="R608" s="328"/>
      <c r="S608" s="328"/>
      <c r="T608" s="328"/>
      <c r="U608" s="328"/>
      <c r="V608" s="328"/>
      <c r="W608" s="328"/>
      <c r="X608" s="328"/>
      <c r="Y608" s="328"/>
      <c r="Z608" s="328"/>
      <c r="AA608" s="328"/>
      <c r="AB608" s="328"/>
      <c r="AC608" s="328"/>
      <c r="AD608" s="328"/>
      <c r="AE608" s="328"/>
      <c r="AF608" s="328"/>
      <c r="AG608" s="328"/>
      <c r="AH608" s="328"/>
      <c r="AI608" s="328"/>
      <c r="AJ608" s="328"/>
      <c r="AK608" s="328"/>
      <c r="AL608" s="328"/>
      <c r="AM608" s="328"/>
      <c r="AN608" s="328"/>
      <c r="AO608" s="328"/>
      <c r="AP608" s="328"/>
      <c r="AQ608" s="328"/>
      <c r="AR608" s="328"/>
      <c r="AS608" s="328"/>
      <c r="AT608" s="328"/>
      <c r="AU608" s="328"/>
    </row>
    <row r="609" ht="15.75" customHeight="1">
      <c r="A609" s="328"/>
      <c r="B609" s="328"/>
      <c r="C609" s="328"/>
      <c r="D609" s="328"/>
      <c r="E609" s="328"/>
      <c r="F609" s="328"/>
      <c r="G609" s="328"/>
      <c r="H609" s="328"/>
      <c r="I609" s="328"/>
      <c r="J609" s="328"/>
      <c r="K609" s="328"/>
      <c r="L609" s="328"/>
      <c r="M609" s="328"/>
      <c r="N609" s="328"/>
      <c r="O609" s="328"/>
      <c r="P609" s="328"/>
      <c r="Q609" s="328"/>
      <c r="R609" s="328"/>
      <c r="S609" s="328"/>
      <c r="T609" s="328"/>
      <c r="U609" s="328"/>
      <c r="V609" s="328"/>
      <c r="W609" s="328"/>
      <c r="X609" s="328"/>
      <c r="Y609" s="328"/>
      <c r="Z609" s="328"/>
      <c r="AA609" s="328"/>
      <c r="AB609" s="328"/>
      <c r="AC609" s="328"/>
      <c r="AD609" s="328"/>
      <c r="AE609" s="328"/>
      <c r="AF609" s="328"/>
      <c r="AG609" s="328"/>
      <c r="AH609" s="328"/>
      <c r="AI609" s="328"/>
      <c r="AJ609" s="328"/>
      <c r="AK609" s="328"/>
      <c r="AL609" s="328"/>
      <c r="AM609" s="328"/>
      <c r="AN609" s="328"/>
      <c r="AO609" s="328"/>
      <c r="AP609" s="328"/>
      <c r="AQ609" s="328"/>
      <c r="AR609" s="328"/>
      <c r="AS609" s="328"/>
      <c r="AT609" s="328"/>
      <c r="AU609" s="328"/>
    </row>
    <row r="610" ht="15.75" customHeight="1">
      <c r="A610" s="328"/>
      <c r="B610" s="328"/>
      <c r="C610" s="328"/>
      <c r="D610" s="328"/>
      <c r="E610" s="328"/>
      <c r="F610" s="328"/>
      <c r="G610" s="328"/>
      <c r="H610" s="328"/>
      <c r="I610" s="328"/>
      <c r="J610" s="328"/>
      <c r="K610" s="328"/>
      <c r="L610" s="328"/>
      <c r="M610" s="328"/>
      <c r="N610" s="328"/>
      <c r="O610" s="328"/>
      <c r="P610" s="328"/>
      <c r="Q610" s="328"/>
      <c r="R610" s="328"/>
      <c r="S610" s="328"/>
      <c r="T610" s="328"/>
      <c r="U610" s="328"/>
      <c r="V610" s="328"/>
      <c r="W610" s="328"/>
      <c r="X610" s="328"/>
      <c r="Y610" s="328"/>
      <c r="Z610" s="328"/>
      <c r="AA610" s="328"/>
      <c r="AB610" s="328"/>
      <c r="AC610" s="328"/>
      <c r="AD610" s="328"/>
      <c r="AE610" s="328"/>
      <c r="AF610" s="328"/>
      <c r="AG610" s="328"/>
      <c r="AH610" s="328"/>
      <c r="AI610" s="328"/>
      <c r="AJ610" s="328"/>
      <c r="AK610" s="328"/>
      <c r="AL610" s="328"/>
      <c r="AM610" s="328"/>
      <c r="AN610" s="328"/>
      <c r="AO610" s="328"/>
      <c r="AP610" s="328"/>
      <c r="AQ610" s="328"/>
      <c r="AR610" s="328"/>
      <c r="AS610" s="328"/>
      <c r="AT610" s="328"/>
      <c r="AU610" s="328"/>
    </row>
    <row r="611" ht="15.75" customHeight="1">
      <c r="A611" s="328"/>
      <c r="B611" s="328"/>
      <c r="C611" s="328"/>
      <c r="D611" s="328"/>
      <c r="E611" s="328"/>
      <c r="F611" s="328"/>
      <c r="G611" s="328"/>
      <c r="H611" s="328"/>
      <c r="I611" s="328"/>
      <c r="J611" s="328"/>
      <c r="K611" s="328"/>
      <c r="L611" s="328"/>
      <c r="M611" s="328"/>
      <c r="N611" s="328"/>
      <c r="O611" s="328"/>
      <c r="P611" s="328"/>
      <c r="Q611" s="328"/>
      <c r="R611" s="328"/>
      <c r="S611" s="328"/>
      <c r="T611" s="328"/>
      <c r="U611" s="328"/>
      <c r="V611" s="328"/>
      <c r="W611" s="328"/>
      <c r="X611" s="328"/>
      <c r="Y611" s="328"/>
      <c r="Z611" s="328"/>
      <c r="AA611" s="328"/>
      <c r="AB611" s="328"/>
      <c r="AC611" s="328"/>
      <c r="AD611" s="328"/>
      <c r="AE611" s="328"/>
      <c r="AF611" s="328"/>
      <c r="AG611" s="328"/>
      <c r="AH611" s="328"/>
      <c r="AI611" s="328"/>
      <c r="AJ611" s="328"/>
      <c r="AK611" s="328"/>
      <c r="AL611" s="328"/>
      <c r="AM611" s="328"/>
      <c r="AN611" s="328"/>
      <c r="AO611" s="328"/>
      <c r="AP611" s="328"/>
      <c r="AQ611" s="328"/>
      <c r="AR611" s="328"/>
      <c r="AS611" s="328"/>
      <c r="AT611" s="328"/>
      <c r="AU611" s="328"/>
    </row>
    <row r="612" ht="15.75" customHeight="1">
      <c r="A612" s="328"/>
      <c r="B612" s="328"/>
      <c r="C612" s="328"/>
      <c r="D612" s="328"/>
      <c r="E612" s="328"/>
      <c r="F612" s="328"/>
      <c r="G612" s="328"/>
      <c r="H612" s="328"/>
      <c r="I612" s="328"/>
      <c r="J612" s="328"/>
      <c r="K612" s="328"/>
      <c r="L612" s="328"/>
      <c r="M612" s="328"/>
      <c r="N612" s="328"/>
      <c r="O612" s="328"/>
      <c r="P612" s="328"/>
      <c r="Q612" s="328"/>
      <c r="R612" s="328"/>
      <c r="S612" s="328"/>
      <c r="T612" s="328"/>
      <c r="U612" s="328"/>
      <c r="V612" s="328"/>
      <c r="W612" s="328"/>
      <c r="X612" s="328"/>
      <c r="Y612" s="328"/>
      <c r="Z612" s="328"/>
      <c r="AA612" s="328"/>
      <c r="AB612" s="328"/>
      <c r="AC612" s="328"/>
      <c r="AD612" s="328"/>
      <c r="AE612" s="328"/>
      <c r="AF612" s="328"/>
      <c r="AG612" s="328"/>
      <c r="AH612" s="328"/>
      <c r="AI612" s="328"/>
      <c r="AJ612" s="328"/>
      <c r="AK612" s="328"/>
      <c r="AL612" s="328"/>
      <c r="AM612" s="328"/>
      <c r="AN612" s="328"/>
      <c r="AO612" s="328"/>
      <c r="AP612" s="328"/>
      <c r="AQ612" s="328"/>
      <c r="AR612" s="328"/>
      <c r="AS612" s="328"/>
      <c r="AT612" s="328"/>
      <c r="AU612" s="328"/>
    </row>
    <row r="613" ht="15.75" customHeight="1">
      <c r="A613" s="328"/>
      <c r="B613" s="328"/>
      <c r="C613" s="328"/>
      <c r="D613" s="328"/>
      <c r="E613" s="328"/>
      <c r="F613" s="328"/>
      <c r="G613" s="328"/>
      <c r="H613" s="328"/>
      <c r="I613" s="328"/>
      <c r="J613" s="328"/>
      <c r="K613" s="328"/>
      <c r="L613" s="328"/>
      <c r="M613" s="328"/>
      <c r="N613" s="328"/>
      <c r="O613" s="328"/>
      <c r="P613" s="328"/>
      <c r="Q613" s="328"/>
      <c r="R613" s="328"/>
      <c r="S613" s="328"/>
      <c r="T613" s="328"/>
      <c r="U613" s="328"/>
      <c r="V613" s="328"/>
      <c r="W613" s="328"/>
      <c r="X613" s="328"/>
      <c r="Y613" s="328"/>
      <c r="Z613" s="328"/>
      <c r="AA613" s="328"/>
      <c r="AB613" s="328"/>
      <c r="AC613" s="328"/>
      <c r="AD613" s="328"/>
      <c r="AE613" s="328"/>
      <c r="AF613" s="328"/>
      <c r="AG613" s="328"/>
      <c r="AH613" s="328"/>
      <c r="AI613" s="328"/>
      <c r="AJ613" s="328"/>
      <c r="AK613" s="328"/>
      <c r="AL613" s="328"/>
      <c r="AM613" s="328"/>
      <c r="AN613" s="328"/>
      <c r="AO613" s="328"/>
      <c r="AP613" s="328"/>
      <c r="AQ613" s="328"/>
      <c r="AR613" s="328"/>
      <c r="AS613" s="328"/>
      <c r="AT613" s="328"/>
      <c r="AU613" s="328"/>
    </row>
    <row r="614" ht="15.75" customHeight="1">
      <c r="A614" s="328"/>
      <c r="B614" s="328"/>
      <c r="C614" s="328"/>
      <c r="D614" s="328"/>
      <c r="E614" s="328"/>
      <c r="F614" s="328"/>
      <c r="G614" s="328"/>
      <c r="H614" s="328"/>
      <c r="I614" s="328"/>
      <c r="J614" s="328"/>
      <c r="K614" s="328"/>
      <c r="L614" s="328"/>
      <c r="M614" s="328"/>
      <c r="N614" s="328"/>
      <c r="O614" s="328"/>
      <c r="P614" s="328"/>
      <c r="Q614" s="328"/>
      <c r="R614" s="328"/>
      <c r="S614" s="328"/>
      <c r="T614" s="328"/>
      <c r="U614" s="328"/>
      <c r="V614" s="328"/>
      <c r="W614" s="328"/>
      <c r="X614" s="328"/>
      <c r="Y614" s="328"/>
      <c r="Z614" s="328"/>
      <c r="AA614" s="328"/>
      <c r="AB614" s="328"/>
      <c r="AC614" s="328"/>
      <c r="AD614" s="328"/>
      <c r="AE614" s="328"/>
      <c r="AF614" s="328"/>
      <c r="AG614" s="328"/>
      <c r="AH614" s="328"/>
      <c r="AI614" s="328"/>
      <c r="AJ614" s="328"/>
      <c r="AK614" s="328"/>
      <c r="AL614" s="328"/>
      <c r="AM614" s="328"/>
      <c r="AN614" s="328"/>
      <c r="AO614" s="328"/>
      <c r="AP614" s="328"/>
      <c r="AQ614" s="328"/>
      <c r="AR614" s="328"/>
      <c r="AS614" s="328"/>
      <c r="AT614" s="328"/>
      <c r="AU614" s="328"/>
    </row>
    <row r="615" ht="15.75" customHeight="1">
      <c r="A615" s="328"/>
      <c r="B615" s="328"/>
      <c r="C615" s="328"/>
      <c r="D615" s="328"/>
      <c r="E615" s="328"/>
      <c r="F615" s="328"/>
      <c r="G615" s="328"/>
      <c r="H615" s="328"/>
      <c r="I615" s="328"/>
      <c r="J615" s="328"/>
      <c r="K615" s="328"/>
      <c r="L615" s="328"/>
      <c r="M615" s="328"/>
      <c r="N615" s="328"/>
      <c r="O615" s="328"/>
      <c r="P615" s="328"/>
      <c r="Q615" s="328"/>
      <c r="R615" s="328"/>
      <c r="S615" s="328"/>
      <c r="T615" s="328"/>
      <c r="U615" s="328"/>
      <c r="V615" s="328"/>
      <c r="W615" s="328"/>
      <c r="X615" s="328"/>
      <c r="Y615" s="328"/>
      <c r="Z615" s="328"/>
      <c r="AA615" s="328"/>
      <c r="AB615" s="328"/>
      <c r="AC615" s="328"/>
      <c r="AD615" s="328"/>
      <c r="AE615" s="328"/>
      <c r="AF615" s="328"/>
      <c r="AG615" s="328"/>
      <c r="AH615" s="328"/>
      <c r="AI615" s="328"/>
      <c r="AJ615" s="328"/>
      <c r="AK615" s="328"/>
      <c r="AL615" s="328"/>
      <c r="AM615" s="328"/>
      <c r="AN615" s="328"/>
      <c r="AO615" s="328"/>
      <c r="AP615" s="328"/>
      <c r="AQ615" s="328"/>
      <c r="AR615" s="328"/>
      <c r="AS615" s="328"/>
      <c r="AT615" s="328"/>
      <c r="AU615" s="328"/>
    </row>
    <row r="616" ht="15.75" customHeight="1">
      <c r="A616" s="328"/>
      <c r="B616" s="328"/>
      <c r="C616" s="328"/>
      <c r="D616" s="328"/>
      <c r="E616" s="328"/>
      <c r="F616" s="328"/>
      <c r="G616" s="328"/>
      <c r="H616" s="328"/>
      <c r="I616" s="328"/>
      <c r="J616" s="328"/>
      <c r="K616" s="328"/>
      <c r="L616" s="328"/>
      <c r="M616" s="328"/>
      <c r="N616" s="328"/>
      <c r="O616" s="328"/>
      <c r="P616" s="328"/>
      <c r="Q616" s="328"/>
      <c r="R616" s="328"/>
      <c r="S616" s="328"/>
      <c r="T616" s="328"/>
      <c r="U616" s="328"/>
      <c r="V616" s="328"/>
      <c r="W616" s="328"/>
      <c r="X616" s="328"/>
      <c r="Y616" s="328"/>
      <c r="Z616" s="328"/>
      <c r="AA616" s="328"/>
      <c r="AB616" s="328"/>
      <c r="AC616" s="328"/>
      <c r="AD616" s="328"/>
      <c r="AE616" s="328"/>
      <c r="AF616" s="328"/>
      <c r="AG616" s="328"/>
      <c r="AH616" s="328"/>
      <c r="AI616" s="328"/>
      <c r="AJ616" s="328"/>
      <c r="AK616" s="328"/>
      <c r="AL616" s="328"/>
      <c r="AM616" s="328"/>
      <c r="AN616" s="328"/>
      <c r="AO616" s="328"/>
      <c r="AP616" s="328"/>
      <c r="AQ616" s="328"/>
      <c r="AR616" s="328"/>
      <c r="AS616" s="328"/>
      <c r="AT616" s="328"/>
      <c r="AU616" s="328"/>
    </row>
    <row r="617" ht="15.75" customHeight="1">
      <c r="A617" s="328"/>
      <c r="B617" s="328"/>
      <c r="C617" s="328"/>
      <c r="D617" s="328"/>
      <c r="E617" s="328"/>
      <c r="F617" s="328"/>
      <c r="G617" s="328"/>
      <c r="H617" s="328"/>
      <c r="I617" s="328"/>
      <c r="J617" s="328"/>
      <c r="K617" s="328"/>
      <c r="L617" s="328"/>
      <c r="M617" s="328"/>
      <c r="N617" s="328"/>
      <c r="O617" s="328"/>
      <c r="P617" s="328"/>
      <c r="Q617" s="328"/>
      <c r="R617" s="328"/>
      <c r="S617" s="328"/>
      <c r="T617" s="328"/>
      <c r="U617" s="328"/>
      <c r="V617" s="328"/>
      <c r="W617" s="328"/>
      <c r="X617" s="328"/>
      <c r="Y617" s="328"/>
      <c r="Z617" s="328"/>
      <c r="AA617" s="328"/>
      <c r="AB617" s="328"/>
      <c r="AC617" s="328"/>
      <c r="AD617" s="328"/>
      <c r="AE617" s="328"/>
      <c r="AF617" s="328"/>
      <c r="AG617" s="328"/>
      <c r="AH617" s="328"/>
      <c r="AI617" s="328"/>
      <c r="AJ617" s="328"/>
      <c r="AK617" s="328"/>
      <c r="AL617" s="328"/>
      <c r="AM617" s="328"/>
      <c r="AN617" s="328"/>
      <c r="AO617" s="328"/>
      <c r="AP617" s="328"/>
      <c r="AQ617" s="328"/>
      <c r="AR617" s="328"/>
      <c r="AS617" s="328"/>
      <c r="AT617" s="328"/>
      <c r="AU617" s="328"/>
    </row>
    <row r="618" ht="15.75" customHeight="1">
      <c r="A618" s="328"/>
      <c r="B618" s="328"/>
      <c r="C618" s="328"/>
      <c r="D618" s="328"/>
      <c r="E618" s="328"/>
      <c r="F618" s="328"/>
      <c r="G618" s="328"/>
      <c r="H618" s="328"/>
      <c r="I618" s="328"/>
      <c r="J618" s="328"/>
      <c r="K618" s="328"/>
      <c r="L618" s="328"/>
      <c r="M618" s="328"/>
      <c r="N618" s="328"/>
      <c r="O618" s="328"/>
      <c r="P618" s="328"/>
      <c r="Q618" s="328"/>
      <c r="R618" s="328"/>
      <c r="S618" s="328"/>
      <c r="T618" s="328"/>
      <c r="U618" s="328"/>
      <c r="V618" s="328"/>
      <c r="W618" s="328"/>
      <c r="X618" s="328"/>
      <c r="Y618" s="328"/>
      <c r="Z618" s="328"/>
      <c r="AA618" s="328"/>
      <c r="AB618" s="328"/>
      <c r="AC618" s="328"/>
      <c r="AD618" s="328"/>
      <c r="AE618" s="328"/>
      <c r="AF618" s="328"/>
      <c r="AG618" s="328"/>
      <c r="AH618" s="328"/>
      <c r="AI618" s="328"/>
      <c r="AJ618" s="328"/>
      <c r="AK618" s="328"/>
      <c r="AL618" s="328"/>
      <c r="AM618" s="328"/>
      <c r="AN618" s="328"/>
      <c r="AO618" s="328"/>
      <c r="AP618" s="328"/>
      <c r="AQ618" s="328"/>
      <c r="AR618" s="328"/>
      <c r="AS618" s="328"/>
      <c r="AT618" s="328"/>
      <c r="AU618" s="328"/>
    </row>
    <row r="619" ht="15.75" customHeight="1">
      <c r="A619" s="328"/>
      <c r="B619" s="328"/>
      <c r="C619" s="328"/>
      <c r="D619" s="328"/>
      <c r="E619" s="328"/>
      <c r="F619" s="328"/>
      <c r="G619" s="328"/>
      <c r="H619" s="328"/>
      <c r="I619" s="328"/>
      <c r="J619" s="328"/>
      <c r="K619" s="328"/>
      <c r="L619" s="328"/>
      <c r="M619" s="328"/>
      <c r="N619" s="328"/>
      <c r="O619" s="328"/>
      <c r="P619" s="328"/>
      <c r="Q619" s="328"/>
      <c r="R619" s="328"/>
      <c r="S619" s="328"/>
      <c r="T619" s="328"/>
      <c r="U619" s="328"/>
      <c r="V619" s="328"/>
      <c r="W619" s="328"/>
      <c r="X619" s="328"/>
      <c r="Y619" s="328"/>
      <c r="Z619" s="328"/>
      <c r="AA619" s="328"/>
      <c r="AB619" s="328"/>
      <c r="AC619" s="328"/>
      <c r="AD619" s="328"/>
      <c r="AE619" s="328"/>
      <c r="AF619" s="328"/>
      <c r="AG619" s="328"/>
      <c r="AH619" s="328"/>
      <c r="AI619" s="328"/>
      <c r="AJ619" s="328"/>
      <c r="AK619" s="328"/>
      <c r="AL619" s="328"/>
      <c r="AM619" s="328"/>
      <c r="AN619" s="328"/>
      <c r="AO619" s="328"/>
      <c r="AP619" s="328"/>
      <c r="AQ619" s="328"/>
      <c r="AR619" s="328"/>
      <c r="AS619" s="328"/>
      <c r="AT619" s="328"/>
      <c r="AU619" s="328"/>
    </row>
    <row r="620" ht="15.75" customHeight="1">
      <c r="A620" s="328"/>
      <c r="B620" s="328"/>
      <c r="C620" s="328"/>
      <c r="D620" s="328"/>
      <c r="E620" s="328"/>
      <c r="F620" s="328"/>
      <c r="G620" s="328"/>
      <c r="H620" s="328"/>
      <c r="I620" s="328"/>
      <c r="J620" s="328"/>
      <c r="K620" s="328"/>
      <c r="L620" s="328"/>
      <c r="M620" s="328"/>
      <c r="N620" s="328"/>
      <c r="O620" s="328"/>
      <c r="P620" s="328"/>
      <c r="Q620" s="328"/>
      <c r="R620" s="328"/>
      <c r="S620" s="328"/>
      <c r="T620" s="328"/>
      <c r="U620" s="328"/>
      <c r="V620" s="328"/>
      <c r="W620" s="328"/>
      <c r="X620" s="328"/>
      <c r="Y620" s="328"/>
      <c r="Z620" s="328"/>
      <c r="AA620" s="328"/>
      <c r="AB620" s="328"/>
      <c r="AC620" s="328"/>
      <c r="AD620" s="328"/>
      <c r="AE620" s="328"/>
      <c r="AF620" s="328"/>
      <c r="AG620" s="328"/>
      <c r="AH620" s="328"/>
      <c r="AI620" s="328"/>
      <c r="AJ620" s="328"/>
      <c r="AK620" s="328"/>
      <c r="AL620" s="328"/>
      <c r="AM620" s="328"/>
      <c r="AN620" s="328"/>
      <c r="AO620" s="328"/>
      <c r="AP620" s="328"/>
      <c r="AQ620" s="328"/>
      <c r="AR620" s="328"/>
      <c r="AS620" s="328"/>
      <c r="AT620" s="328"/>
      <c r="AU620" s="328"/>
    </row>
    <row r="621" ht="15.75" customHeight="1">
      <c r="A621" s="328"/>
      <c r="B621" s="328"/>
      <c r="C621" s="328"/>
      <c r="D621" s="328"/>
      <c r="E621" s="328"/>
      <c r="F621" s="328"/>
      <c r="G621" s="328"/>
      <c r="H621" s="328"/>
      <c r="I621" s="328"/>
      <c r="J621" s="328"/>
      <c r="K621" s="328"/>
      <c r="L621" s="328"/>
      <c r="M621" s="328"/>
      <c r="N621" s="328"/>
      <c r="O621" s="328"/>
      <c r="P621" s="328"/>
      <c r="Q621" s="328"/>
      <c r="R621" s="328"/>
      <c r="S621" s="328"/>
      <c r="T621" s="328"/>
      <c r="U621" s="328"/>
      <c r="V621" s="328"/>
      <c r="W621" s="328"/>
      <c r="X621" s="328"/>
      <c r="Y621" s="328"/>
      <c r="Z621" s="328"/>
      <c r="AA621" s="328"/>
      <c r="AB621" s="328"/>
      <c r="AC621" s="328"/>
      <c r="AD621" s="328"/>
      <c r="AE621" s="328"/>
      <c r="AF621" s="328"/>
      <c r="AG621" s="328"/>
      <c r="AH621" s="328"/>
      <c r="AI621" s="328"/>
      <c r="AJ621" s="328"/>
      <c r="AK621" s="328"/>
      <c r="AL621" s="328"/>
      <c r="AM621" s="328"/>
      <c r="AN621" s="328"/>
      <c r="AO621" s="328"/>
      <c r="AP621" s="328"/>
      <c r="AQ621" s="328"/>
      <c r="AR621" s="328"/>
      <c r="AS621" s="328"/>
      <c r="AT621" s="328"/>
      <c r="AU621" s="328"/>
    </row>
    <row r="622" ht="15.75" customHeight="1">
      <c r="A622" s="328"/>
      <c r="B622" s="328"/>
      <c r="C622" s="328"/>
      <c r="D622" s="328"/>
      <c r="E622" s="328"/>
      <c r="F622" s="328"/>
      <c r="G622" s="328"/>
      <c r="H622" s="328"/>
      <c r="I622" s="328"/>
      <c r="J622" s="328"/>
      <c r="K622" s="328"/>
      <c r="L622" s="328"/>
      <c r="M622" s="328"/>
      <c r="N622" s="328"/>
      <c r="O622" s="328"/>
      <c r="P622" s="328"/>
      <c r="Q622" s="328"/>
      <c r="R622" s="328"/>
      <c r="S622" s="328"/>
      <c r="T622" s="328"/>
      <c r="U622" s="328"/>
      <c r="V622" s="328"/>
      <c r="W622" s="328"/>
      <c r="X622" s="328"/>
      <c r="Y622" s="328"/>
      <c r="Z622" s="328"/>
      <c r="AA622" s="328"/>
      <c r="AB622" s="328"/>
      <c r="AC622" s="328"/>
      <c r="AD622" s="328"/>
      <c r="AE622" s="328"/>
      <c r="AF622" s="328"/>
      <c r="AG622" s="328"/>
      <c r="AH622" s="328"/>
      <c r="AI622" s="328"/>
      <c r="AJ622" s="328"/>
      <c r="AK622" s="328"/>
      <c r="AL622" s="328"/>
      <c r="AM622" s="328"/>
      <c r="AN622" s="328"/>
      <c r="AO622" s="328"/>
      <c r="AP622" s="328"/>
      <c r="AQ622" s="328"/>
      <c r="AR622" s="328"/>
      <c r="AS622" s="328"/>
      <c r="AT622" s="328"/>
      <c r="AU622" s="328"/>
    </row>
    <row r="623" ht="15.75" customHeight="1">
      <c r="A623" s="328"/>
      <c r="B623" s="328"/>
      <c r="C623" s="328"/>
      <c r="D623" s="328"/>
      <c r="E623" s="328"/>
      <c r="F623" s="328"/>
      <c r="G623" s="328"/>
      <c r="H623" s="328"/>
      <c r="I623" s="328"/>
      <c r="J623" s="328"/>
      <c r="K623" s="328"/>
      <c r="L623" s="328"/>
      <c r="M623" s="328"/>
      <c r="N623" s="328"/>
      <c r="O623" s="328"/>
      <c r="P623" s="328"/>
      <c r="Q623" s="328"/>
      <c r="R623" s="328"/>
      <c r="S623" s="328"/>
      <c r="T623" s="328"/>
      <c r="U623" s="328"/>
      <c r="V623" s="328"/>
      <c r="W623" s="328"/>
      <c r="X623" s="328"/>
      <c r="Y623" s="328"/>
      <c r="Z623" s="328"/>
      <c r="AA623" s="328"/>
      <c r="AB623" s="328"/>
      <c r="AC623" s="328"/>
      <c r="AD623" s="328"/>
      <c r="AE623" s="328"/>
      <c r="AF623" s="328"/>
      <c r="AG623" s="328"/>
      <c r="AH623" s="328"/>
      <c r="AI623" s="328"/>
      <c r="AJ623" s="328"/>
      <c r="AK623" s="328"/>
      <c r="AL623" s="328"/>
      <c r="AM623" s="328"/>
      <c r="AN623" s="328"/>
      <c r="AO623" s="328"/>
      <c r="AP623" s="328"/>
      <c r="AQ623" s="328"/>
      <c r="AR623" s="328"/>
      <c r="AS623" s="328"/>
      <c r="AT623" s="328"/>
      <c r="AU623" s="328"/>
    </row>
    <row r="624" ht="15.75" customHeight="1">
      <c r="A624" s="328"/>
      <c r="B624" s="328"/>
      <c r="C624" s="328"/>
      <c r="D624" s="328"/>
      <c r="E624" s="328"/>
      <c r="F624" s="328"/>
      <c r="G624" s="328"/>
      <c r="H624" s="328"/>
      <c r="I624" s="328"/>
      <c r="J624" s="328"/>
      <c r="K624" s="328"/>
      <c r="L624" s="328"/>
      <c r="M624" s="328"/>
      <c r="N624" s="328"/>
      <c r="O624" s="328"/>
      <c r="P624" s="328"/>
      <c r="Q624" s="328"/>
      <c r="R624" s="328"/>
      <c r="S624" s="328"/>
      <c r="T624" s="328"/>
      <c r="U624" s="328"/>
      <c r="V624" s="328"/>
      <c r="W624" s="328"/>
      <c r="X624" s="328"/>
      <c r="Y624" s="328"/>
      <c r="Z624" s="328"/>
      <c r="AA624" s="328"/>
      <c r="AB624" s="328"/>
      <c r="AC624" s="328"/>
      <c r="AD624" s="328"/>
      <c r="AE624" s="328"/>
      <c r="AF624" s="328"/>
      <c r="AG624" s="328"/>
      <c r="AH624" s="328"/>
      <c r="AI624" s="328"/>
      <c r="AJ624" s="328"/>
      <c r="AK624" s="328"/>
      <c r="AL624" s="328"/>
      <c r="AM624" s="328"/>
      <c r="AN624" s="328"/>
      <c r="AO624" s="328"/>
      <c r="AP624" s="328"/>
      <c r="AQ624" s="328"/>
      <c r="AR624" s="328"/>
      <c r="AS624" s="328"/>
      <c r="AT624" s="328"/>
      <c r="AU624" s="328"/>
    </row>
    <row r="625" ht="15.75" customHeight="1">
      <c r="A625" s="328"/>
      <c r="B625" s="328"/>
      <c r="C625" s="328"/>
      <c r="D625" s="328"/>
      <c r="E625" s="328"/>
      <c r="F625" s="328"/>
      <c r="G625" s="328"/>
      <c r="H625" s="328"/>
      <c r="I625" s="328"/>
      <c r="J625" s="328"/>
      <c r="K625" s="328"/>
      <c r="L625" s="328"/>
      <c r="M625" s="328"/>
      <c r="N625" s="328"/>
      <c r="O625" s="328"/>
      <c r="P625" s="328"/>
      <c r="Q625" s="328"/>
      <c r="R625" s="328"/>
      <c r="S625" s="328"/>
      <c r="T625" s="328"/>
      <c r="U625" s="328"/>
      <c r="V625" s="328"/>
      <c r="W625" s="328"/>
      <c r="X625" s="328"/>
      <c r="Y625" s="328"/>
      <c r="Z625" s="328"/>
      <c r="AA625" s="328"/>
      <c r="AB625" s="328"/>
      <c r="AC625" s="328"/>
      <c r="AD625" s="328"/>
      <c r="AE625" s="328"/>
      <c r="AF625" s="328"/>
      <c r="AG625" s="328"/>
      <c r="AH625" s="328"/>
      <c r="AI625" s="328"/>
      <c r="AJ625" s="328"/>
      <c r="AK625" s="328"/>
      <c r="AL625" s="328"/>
      <c r="AM625" s="328"/>
      <c r="AN625" s="328"/>
      <c r="AO625" s="328"/>
      <c r="AP625" s="328"/>
      <c r="AQ625" s="328"/>
      <c r="AR625" s="328"/>
      <c r="AS625" s="328"/>
      <c r="AT625" s="328"/>
      <c r="AU625" s="328"/>
    </row>
    <row r="626" ht="15.75" customHeight="1">
      <c r="A626" s="328"/>
      <c r="B626" s="328"/>
      <c r="C626" s="328"/>
      <c r="D626" s="328"/>
      <c r="E626" s="328"/>
      <c r="F626" s="328"/>
      <c r="G626" s="328"/>
      <c r="H626" s="328"/>
      <c r="I626" s="328"/>
      <c r="J626" s="328"/>
      <c r="K626" s="328"/>
      <c r="L626" s="328"/>
      <c r="M626" s="328"/>
      <c r="N626" s="328"/>
      <c r="O626" s="328"/>
      <c r="P626" s="328"/>
      <c r="Q626" s="328"/>
      <c r="R626" s="328"/>
      <c r="S626" s="328"/>
      <c r="T626" s="328"/>
      <c r="U626" s="328"/>
      <c r="V626" s="328"/>
      <c r="W626" s="328"/>
      <c r="X626" s="328"/>
      <c r="Y626" s="328"/>
      <c r="Z626" s="328"/>
      <c r="AA626" s="328"/>
      <c r="AB626" s="328"/>
      <c r="AC626" s="328"/>
      <c r="AD626" s="328"/>
      <c r="AE626" s="328"/>
      <c r="AF626" s="328"/>
      <c r="AG626" s="328"/>
      <c r="AH626" s="328"/>
      <c r="AI626" s="328"/>
      <c r="AJ626" s="328"/>
      <c r="AK626" s="328"/>
      <c r="AL626" s="328"/>
      <c r="AM626" s="328"/>
      <c r="AN626" s="328"/>
      <c r="AO626" s="328"/>
      <c r="AP626" s="328"/>
      <c r="AQ626" s="328"/>
      <c r="AR626" s="328"/>
      <c r="AS626" s="328"/>
      <c r="AT626" s="328"/>
      <c r="AU626" s="328"/>
    </row>
    <row r="627" ht="15.75" customHeight="1">
      <c r="A627" s="328"/>
      <c r="B627" s="328"/>
      <c r="C627" s="328"/>
      <c r="D627" s="328"/>
      <c r="E627" s="328"/>
      <c r="F627" s="328"/>
      <c r="G627" s="328"/>
      <c r="H627" s="328"/>
      <c r="I627" s="328"/>
      <c r="J627" s="328"/>
      <c r="K627" s="328"/>
      <c r="L627" s="328"/>
      <c r="M627" s="328"/>
      <c r="N627" s="328"/>
      <c r="O627" s="328"/>
      <c r="P627" s="328"/>
      <c r="Q627" s="328"/>
      <c r="R627" s="328"/>
      <c r="S627" s="328"/>
      <c r="T627" s="328"/>
      <c r="U627" s="328"/>
      <c r="V627" s="328"/>
      <c r="W627" s="328"/>
      <c r="X627" s="328"/>
      <c r="Y627" s="328"/>
      <c r="Z627" s="328"/>
      <c r="AA627" s="328"/>
      <c r="AB627" s="328"/>
      <c r="AC627" s="328"/>
      <c r="AD627" s="328"/>
      <c r="AE627" s="328"/>
      <c r="AF627" s="328"/>
      <c r="AG627" s="328"/>
      <c r="AH627" s="328"/>
      <c r="AI627" s="328"/>
      <c r="AJ627" s="328"/>
      <c r="AK627" s="328"/>
      <c r="AL627" s="328"/>
      <c r="AM627" s="328"/>
      <c r="AN627" s="328"/>
      <c r="AO627" s="328"/>
      <c r="AP627" s="328"/>
      <c r="AQ627" s="328"/>
      <c r="AR627" s="328"/>
      <c r="AS627" s="328"/>
      <c r="AT627" s="328"/>
      <c r="AU627" s="328"/>
    </row>
    <row r="628" ht="15.75" customHeight="1">
      <c r="A628" s="328"/>
      <c r="B628" s="328"/>
      <c r="C628" s="328"/>
      <c r="D628" s="328"/>
      <c r="E628" s="328"/>
      <c r="F628" s="328"/>
      <c r="G628" s="328"/>
      <c r="H628" s="328"/>
      <c r="I628" s="328"/>
      <c r="J628" s="328"/>
      <c r="K628" s="328"/>
      <c r="L628" s="328"/>
      <c r="M628" s="328"/>
      <c r="N628" s="328"/>
      <c r="O628" s="328"/>
      <c r="P628" s="328"/>
      <c r="Q628" s="328"/>
      <c r="R628" s="328"/>
      <c r="S628" s="328"/>
      <c r="T628" s="328"/>
      <c r="U628" s="328"/>
      <c r="V628" s="328"/>
      <c r="W628" s="328"/>
      <c r="X628" s="328"/>
      <c r="Y628" s="328"/>
      <c r="Z628" s="328"/>
      <c r="AA628" s="328"/>
      <c r="AB628" s="328"/>
      <c r="AC628" s="328"/>
      <c r="AD628" s="328"/>
      <c r="AE628" s="328"/>
      <c r="AF628" s="328"/>
      <c r="AG628" s="328"/>
      <c r="AH628" s="328"/>
      <c r="AI628" s="328"/>
      <c r="AJ628" s="328"/>
      <c r="AK628" s="328"/>
      <c r="AL628" s="328"/>
      <c r="AM628" s="328"/>
      <c r="AN628" s="328"/>
      <c r="AO628" s="328"/>
      <c r="AP628" s="328"/>
      <c r="AQ628" s="328"/>
      <c r="AR628" s="328"/>
      <c r="AS628" s="328"/>
      <c r="AT628" s="328"/>
      <c r="AU628" s="328"/>
    </row>
    <row r="629" ht="15.75" customHeight="1">
      <c r="A629" s="328"/>
      <c r="B629" s="328"/>
      <c r="C629" s="328"/>
      <c r="D629" s="328"/>
      <c r="E629" s="328"/>
      <c r="F629" s="328"/>
      <c r="G629" s="328"/>
      <c r="H629" s="328"/>
      <c r="I629" s="328"/>
      <c r="J629" s="328"/>
      <c r="K629" s="328"/>
      <c r="L629" s="328"/>
      <c r="M629" s="328"/>
      <c r="N629" s="328"/>
      <c r="O629" s="328"/>
      <c r="P629" s="328"/>
      <c r="Q629" s="328"/>
      <c r="R629" s="328"/>
      <c r="S629" s="328"/>
      <c r="T629" s="328"/>
      <c r="U629" s="328"/>
      <c r="V629" s="328"/>
      <c r="W629" s="328"/>
      <c r="X629" s="328"/>
      <c r="Y629" s="328"/>
      <c r="Z629" s="328"/>
      <c r="AA629" s="328"/>
      <c r="AB629" s="328"/>
      <c r="AC629" s="328"/>
      <c r="AD629" s="328"/>
      <c r="AE629" s="328"/>
      <c r="AF629" s="328"/>
      <c r="AG629" s="328"/>
      <c r="AH629" s="328"/>
      <c r="AI629" s="328"/>
      <c r="AJ629" s="328"/>
      <c r="AK629" s="328"/>
      <c r="AL629" s="328"/>
      <c r="AM629" s="328"/>
      <c r="AN629" s="328"/>
      <c r="AO629" s="328"/>
      <c r="AP629" s="328"/>
      <c r="AQ629" s="328"/>
      <c r="AR629" s="328"/>
      <c r="AS629" s="328"/>
      <c r="AT629" s="328"/>
      <c r="AU629" s="328"/>
    </row>
    <row r="630" ht="15.75" customHeight="1">
      <c r="A630" s="328"/>
      <c r="B630" s="328"/>
      <c r="C630" s="328"/>
      <c r="D630" s="328"/>
      <c r="E630" s="328"/>
      <c r="F630" s="328"/>
      <c r="G630" s="328"/>
      <c r="H630" s="328"/>
      <c r="I630" s="328"/>
      <c r="J630" s="328"/>
      <c r="K630" s="328"/>
      <c r="L630" s="328"/>
      <c r="M630" s="328"/>
      <c r="N630" s="328"/>
      <c r="O630" s="328"/>
      <c r="P630" s="328"/>
      <c r="Q630" s="328"/>
      <c r="R630" s="328"/>
      <c r="S630" s="328"/>
      <c r="T630" s="328"/>
      <c r="U630" s="328"/>
      <c r="V630" s="328"/>
      <c r="W630" s="328"/>
      <c r="X630" s="328"/>
      <c r="Y630" s="328"/>
      <c r="Z630" s="328"/>
      <c r="AA630" s="328"/>
      <c r="AB630" s="328"/>
      <c r="AC630" s="328"/>
      <c r="AD630" s="328"/>
      <c r="AE630" s="328"/>
      <c r="AF630" s="328"/>
      <c r="AG630" s="328"/>
      <c r="AH630" s="328"/>
      <c r="AI630" s="328"/>
      <c r="AJ630" s="328"/>
      <c r="AK630" s="328"/>
      <c r="AL630" s="328"/>
      <c r="AM630" s="328"/>
      <c r="AN630" s="328"/>
      <c r="AO630" s="328"/>
      <c r="AP630" s="328"/>
      <c r="AQ630" s="328"/>
      <c r="AR630" s="328"/>
      <c r="AS630" s="328"/>
      <c r="AT630" s="328"/>
      <c r="AU630" s="328"/>
    </row>
    <row r="631" ht="15.75" customHeight="1">
      <c r="A631" s="328"/>
      <c r="B631" s="328"/>
      <c r="C631" s="328"/>
      <c r="D631" s="328"/>
      <c r="E631" s="328"/>
      <c r="F631" s="328"/>
      <c r="G631" s="328"/>
      <c r="H631" s="328"/>
      <c r="I631" s="328"/>
      <c r="J631" s="328"/>
      <c r="K631" s="328"/>
      <c r="L631" s="328"/>
      <c r="M631" s="328"/>
      <c r="N631" s="328"/>
      <c r="O631" s="328"/>
      <c r="P631" s="328"/>
      <c r="Q631" s="328"/>
      <c r="R631" s="328"/>
      <c r="S631" s="328"/>
      <c r="T631" s="328"/>
      <c r="U631" s="328"/>
      <c r="V631" s="328"/>
      <c r="W631" s="328"/>
      <c r="X631" s="328"/>
      <c r="Y631" s="328"/>
      <c r="Z631" s="328"/>
      <c r="AA631" s="328"/>
      <c r="AB631" s="328"/>
      <c r="AC631" s="328"/>
      <c r="AD631" s="328"/>
      <c r="AE631" s="328"/>
      <c r="AF631" s="328"/>
      <c r="AG631" s="328"/>
      <c r="AH631" s="328"/>
      <c r="AI631" s="328"/>
      <c r="AJ631" s="328"/>
      <c r="AK631" s="328"/>
      <c r="AL631" s="328"/>
      <c r="AM631" s="328"/>
      <c r="AN631" s="328"/>
      <c r="AO631" s="328"/>
      <c r="AP631" s="328"/>
      <c r="AQ631" s="328"/>
      <c r="AR631" s="328"/>
      <c r="AS631" s="328"/>
      <c r="AT631" s="328"/>
      <c r="AU631" s="328"/>
    </row>
    <row r="632" ht="15.75" customHeight="1">
      <c r="A632" s="328"/>
      <c r="B632" s="328"/>
      <c r="C632" s="328"/>
      <c r="D632" s="328"/>
      <c r="E632" s="328"/>
      <c r="F632" s="328"/>
      <c r="G632" s="328"/>
      <c r="H632" s="328"/>
      <c r="I632" s="328"/>
      <c r="J632" s="328"/>
      <c r="K632" s="328"/>
      <c r="L632" s="328"/>
      <c r="M632" s="328"/>
      <c r="N632" s="328"/>
      <c r="O632" s="328"/>
      <c r="P632" s="328"/>
      <c r="Q632" s="328"/>
      <c r="R632" s="328"/>
      <c r="S632" s="328"/>
      <c r="T632" s="328"/>
      <c r="U632" s="328"/>
      <c r="V632" s="328"/>
      <c r="W632" s="328"/>
      <c r="X632" s="328"/>
      <c r="Y632" s="328"/>
      <c r="Z632" s="328"/>
      <c r="AA632" s="328"/>
      <c r="AB632" s="328"/>
      <c r="AC632" s="328"/>
      <c r="AD632" s="328"/>
      <c r="AE632" s="328"/>
      <c r="AF632" s="328"/>
      <c r="AG632" s="328"/>
      <c r="AH632" s="328"/>
      <c r="AI632" s="328"/>
      <c r="AJ632" s="328"/>
      <c r="AK632" s="328"/>
      <c r="AL632" s="328"/>
      <c r="AM632" s="328"/>
      <c r="AN632" s="328"/>
      <c r="AO632" s="328"/>
      <c r="AP632" s="328"/>
      <c r="AQ632" s="328"/>
      <c r="AR632" s="328"/>
      <c r="AS632" s="328"/>
      <c r="AT632" s="328"/>
      <c r="AU632" s="328"/>
    </row>
    <row r="633" ht="15.75" customHeight="1">
      <c r="A633" s="328"/>
      <c r="B633" s="328"/>
      <c r="C633" s="328"/>
      <c r="D633" s="328"/>
      <c r="E633" s="328"/>
      <c r="F633" s="328"/>
      <c r="G633" s="328"/>
      <c r="H633" s="328"/>
      <c r="I633" s="328"/>
      <c r="J633" s="328"/>
      <c r="K633" s="328"/>
      <c r="L633" s="328"/>
      <c r="M633" s="328"/>
      <c r="N633" s="328"/>
      <c r="O633" s="328"/>
      <c r="P633" s="328"/>
      <c r="Q633" s="328"/>
      <c r="R633" s="328"/>
      <c r="S633" s="328"/>
      <c r="T633" s="328"/>
      <c r="U633" s="328"/>
      <c r="V633" s="328"/>
      <c r="W633" s="328"/>
      <c r="X633" s="328"/>
      <c r="Y633" s="328"/>
      <c r="Z633" s="328"/>
      <c r="AA633" s="328"/>
      <c r="AB633" s="328"/>
      <c r="AC633" s="328"/>
      <c r="AD633" s="328"/>
      <c r="AE633" s="328"/>
      <c r="AF633" s="328"/>
      <c r="AG633" s="328"/>
      <c r="AH633" s="328"/>
      <c r="AI633" s="328"/>
      <c r="AJ633" s="328"/>
      <c r="AK633" s="328"/>
      <c r="AL633" s="328"/>
      <c r="AM633" s="328"/>
      <c r="AN633" s="328"/>
      <c r="AO633" s="328"/>
      <c r="AP633" s="328"/>
      <c r="AQ633" s="328"/>
      <c r="AR633" s="328"/>
      <c r="AS633" s="328"/>
      <c r="AT633" s="328"/>
      <c r="AU633" s="328"/>
    </row>
    <row r="634" ht="15.75" customHeight="1">
      <c r="A634" s="328"/>
      <c r="B634" s="328"/>
      <c r="C634" s="328"/>
      <c r="D634" s="328"/>
      <c r="E634" s="328"/>
      <c r="F634" s="328"/>
      <c r="G634" s="328"/>
      <c r="H634" s="328"/>
      <c r="I634" s="328"/>
      <c r="J634" s="328"/>
      <c r="K634" s="328"/>
      <c r="L634" s="328"/>
      <c r="M634" s="328"/>
      <c r="N634" s="328"/>
      <c r="O634" s="328"/>
      <c r="P634" s="328"/>
      <c r="Q634" s="328"/>
      <c r="R634" s="328"/>
      <c r="S634" s="328"/>
      <c r="T634" s="328"/>
      <c r="U634" s="328"/>
      <c r="V634" s="328"/>
      <c r="W634" s="328"/>
      <c r="X634" s="328"/>
      <c r="Y634" s="328"/>
      <c r="Z634" s="328"/>
      <c r="AA634" s="328"/>
      <c r="AB634" s="328"/>
      <c r="AC634" s="328"/>
      <c r="AD634" s="328"/>
      <c r="AE634" s="328"/>
      <c r="AF634" s="328"/>
      <c r="AG634" s="328"/>
      <c r="AH634" s="328"/>
      <c r="AI634" s="328"/>
      <c r="AJ634" s="328"/>
      <c r="AK634" s="328"/>
      <c r="AL634" s="328"/>
      <c r="AM634" s="328"/>
      <c r="AN634" s="328"/>
      <c r="AO634" s="328"/>
      <c r="AP634" s="328"/>
      <c r="AQ634" s="328"/>
      <c r="AR634" s="328"/>
      <c r="AS634" s="328"/>
      <c r="AT634" s="328"/>
      <c r="AU634" s="328"/>
    </row>
    <row r="635" ht="15.75" customHeight="1">
      <c r="A635" s="328"/>
      <c r="B635" s="328"/>
      <c r="C635" s="328"/>
      <c r="D635" s="328"/>
      <c r="E635" s="328"/>
      <c r="F635" s="328"/>
      <c r="G635" s="328"/>
      <c r="H635" s="328"/>
      <c r="I635" s="328"/>
      <c r="J635" s="328"/>
      <c r="K635" s="328"/>
      <c r="L635" s="328"/>
      <c r="M635" s="328"/>
      <c r="N635" s="328"/>
      <c r="O635" s="328"/>
      <c r="P635" s="328"/>
      <c r="Q635" s="328"/>
      <c r="R635" s="328"/>
      <c r="S635" s="328"/>
      <c r="T635" s="328"/>
      <c r="U635" s="328"/>
      <c r="V635" s="328"/>
      <c r="W635" s="328"/>
      <c r="X635" s="328"/>
      <c r="Y635" s="328"/>
      <c r="Z635" s="328"/>
      <c r="AA635" s="328"/>
      <c r="AB635" s="328"/>
      <c r="AC635" s="328"/>
      <c r="AD635" s="328"/>
      <c r="AE635" s="328"/>
      <c r="AF635" s="328"/>
      <c r="AG635" s="328"/>
      <c r="AH635" s="328"/>
      <c r="AI635" s="328"/>
      <c r="AJ635" s="328"/>
      <c r="AK635" s="328"/>
      <c r="AL635" s="328"/>
      <c r="AM635" s="328"/>
      <c r="AN635" s="328"/>
      <c r="AO635" s="328"/>
      <c r="AP635" s="328"/>
      <c r="AQ635" s="328"/>
      <c r="AR635" s="328"/>
      <c r="AS635" s="328"/>
      <c r="AT635" s="328"/>
      <c r="AU635" s="328"/>
    </row>
    <row r="636" ht="15.75" customHeight="1">
      <c r="A636" s="328"/>
      <c r="B636" s="328"/>
      <c r="C636" s="328"/>
      <c r="D636" s="328"/>
      <c r="E636" s="328"/>
      <c r="F636" s="328"/>
      <c r="G636" s="328"/>
      <c r="H636" s="328"/>
      <c r="I636" s="328"/>
      <c r="J636" s="328"/>
      <c r="K636" s="328"/>
      <c r="L636" s="328"/>
      <c r="M636" s="328"/>
      <c r="N636" s="328"/>
      <c r="O636" s="328"/>
      <c r="P636" s="328"/>
      <c r="Q636" s="328"/>
      <c r="R636" s="328"/>
      <c r="S636" s="328"/>
      <c r="T636" s="328"/>
      <c r="U636" s="328"/>
      <c r="V636" s="328"/>
      <c r="W636" s="328"/>
      <c r="X636" s="328"/>
      <c r="Y636" s="328"/>
      <c r="Z636" s="328"/>
      <c r="AA636" s="328"/>
      <c r="AB636" s="328"/>
      <c r="AC636" s="328"/>
      <c r="AD636" s="328"/>
      <c r="AE636" s="328"/>
      <c r="AF636" s="328"/>
      <c r="AG636" s="328"/>
      <c r="AH636" s="328"/>
      <c r="AI636" s="328"/>
      <c r="AJ636" s="328"/>
      <c r="AK636" s="328"/>
      <c r="AL636" s="328"/>
      <c r="AM636" s="328"/>
      <c r="AN636" s="328"/>
      <c r="AO636" s="328"/>
      <c r="AP636" s="328"/>
      <c r="AQ636" s="328"/>
      <c r="AR636" s="328"/>
      <c r="AS636" s="328"/>
      <c r="AT636" s="328"/>
      <c r="AU636" s="328"/>
    </row>
    <row r="637" ht="15.75" customHeight="1">
      <c r="A637" s="328"/>
      <c r="B637" s="328"/>
      <c r="C637" s="328"/>
      <c r="D637" s="328"/>
      <c r="E637" s="328"/>
      <c r="F637" s="328"/>
      <c r="G637" s="328"/>
      <c r="H637" s="328"/>
      <c r="I637" s="328"/>
      <c r="J637" s="328"/>
      <c r="K637" s="328"/>
      <c r="L637" s="328"/>
      <c r="M637" s="328"/>
      <c r="N637" s="328"/>
      <c r="O637" s="328"/>
      <c r="P637" s="328"/>
      <c r="Q637" s="328"/>
      <c r="R637" s="328"/>
      <c r="S637" s="328"/>
      <c r="T637" s="328"/>
      <c r="U637" s="328"/>
      <c r="V637" s="328"/>
      <c r="W637" s="328"/>
      <c r="X637" s="328"/>
      <c r="Y637" s="328"/>
      <c r="Z637" s="328"/>
      <c r="AA637" s="328"/>
      <c r="AB637" s="328"/>
      <c r="AC637" s="328"/>
      <c r="AD637" s="328"/>
      <c r="AE637" s="328"/>
      <c r="AF637" s="328"/>
      <c r="AG637" s="328"/>
      <c r="AH637" s="328"/>
      <c r="AI637" s="328"/>
      <c r="AJ637" s="328"/>
      <c r="AK637" s="328"/>
      <c r="AL637" s="328"/>
      <c r="AM637" s="328"/>
      <c r="AN637" s="328"/>
      <c r="AO637" s="328"/>
      <c r="AP637" s="328"/>
      <c r="AQ637" s="328"/>
      <c r="AR637" s="328"/>
      <c r="AS637" s="328"/>
      <c r="AT637" s="328"/>
      <c r="AU637" s="328"/>
    </row>
    <row r="638" ht="15.75" customHeight="1">
      <c r="A638" s="328"/>
      <c r="B638" s="328"/>
      <c r="C638" s="328"/>
      <c r="D638" s="328"/>
      <c r="E638" s="328"/>
      <c r="F638" s="328"/>
      <c r="G638" s="328"/>
      <c r="H638" s="328"/>
      <c r="I638" s="328"/>
      <c r="J638" s="328"/>
      <c r="K638" s="328"/>
      <c r="L638" s="328"/>
      <c r="M638" s="328"/>
      <c r="N638" s="328"/>
      <c r="O638" s="328"/>
      <c r="P638" s="328"/>
      <c r="Q638" s="328"/>
      <c r="R638" s="328"/>
      <c r="S638" s="328"/>
      <c r="T638" s="328"/>
      <c r="U638" s="328"/>
      <c r="V638" s="328"/>
      <c r="W638" s="328"/>
      <c r="X638" s="328"/>
      <c r="Y638" s="328"/>
      <c r="Z638" s="328"/>
      <c r="AA638" s="328"/>
      <c r="AB638" s="328"/>
      <c r="AC638" s="328"/>
      <c r="AD638" s="328"/>
      <c r="AE638" s="328"/>
      <c r="AF638" s="328"/>
      <c r="AG638" s="328"/>
      <c r="AH638" s="328"/>
      <c r="AI638" s="328"/>
      <c r="AJ638" s="328"/>
      <c r="AK638" s="328"/>
      <c r="AL638" s="328"/>
      <c r="AM638" s="328"/>
      <c r="AN638" s="328"/>
      <c r="AO638" s="328"/>
      <c r="AP638" s="328"/>
      <c r="AQ638" s="328"/>
      <c r="AR638" s="328"/>
      <c r="AS638" s="328"/>
      <c r="AT638" s="328"/>
      <c r="AU638" s="328"/>
    </row>
    <row r="639" ht="15.75" customHeight="1">
      <c r="A639" s="328"/>
      <c r="B639" s="328"/>
      <c r="C639" s="328"/>
      <c r="D639" s="328"/>
      <c r="E639" s="328"/>
      <c r="F639" s="328"/>
      <c r="G639" s="328"/>
      <c r="H639" s="328"/>
      <c r="I639" s="328"/>
      <c r="J639" s="328"/>
      <c r="K639" s="328"/>
      <c r="L639" s="328"/>
      <c r="M639" s="328"/>
      <c r="N639" s="328"/>
      <c r="O639" s="328"/>
      <c r="P639" s="328"/>
      <c r="Q639" s="328"/>
      <c r="R639" s="328"/>
      <c r="S639" s="328"/>
      <c r="T639" s="328"/>
      <c r="U639" s="328"/>
      <c r="V639" s="328"/>
      <c r="W639" s="328"/>
      <c r="X639" s="328"/>
      <c r="Y639" s="328"/>
      <c r="Z639" s="328"/>
      <c r="AA639" s="328"/>
      <c r="AB639" s="328"/>
      <c r="AC639" s="328"/>
      <c r="AD639" s="328"/>
      <c r="AE639" s="328"/>
      <c r="AF639" s="328"/>
      <c r="AG639" s="328"/>
      <c r="AH639" s="328"/>
      <c r="AI639" s="328"/>
      <c r="AJ639" s="328"/>
      <c r="AK639" s="328"/>
      <c r="AL639" s="328"/>
      <c r="AM639" s="328"/>
      <c r="AN639" s="328"/>
      <c r="AO639" s="328"/>
      <c r="AP639" s="328"/>
      <c r="AQ639" s="328"/>
      <c r="AR639" s="328"/>
      <c r="AS639" s="328"/>
      <c r="AT639" s="328"/>
      <c r="AU639" s="328"/>
    </row>
    <row r="640" ht="15.75" customHeight="1">
      <c r="A640" s="328"/>
      <c r="B640" s="328"/>
      <c r="C640" s="328"/>
      <c r="D640" s="328"/>
      <c r="E640" s="328"/>
      <c r="F640" s="328"/>
      <c r="G640" s="328"/>
      <c r="H640" s="328"/>
      <c r="I640" s="328"/>
      <c r="J640" s="328"/>
      <c r="K640" s="328"/>
      <c r="L640" s="328"/>
      <c r="M640" s="328"/>
      <c r="N640" s="328"/>
      <c r="O640" s="328"/>
      <c r="P640" s="328"/>
      <c r="Q640" s="328"/>
      <c r="R640" s="328"/>
      <c r="S640" s="328"/>
      <c r="T640" s="328"/>
      <c r="U640" s="328"/>
      <c r="V640" s="328"/>
      <c r="W640" s="328"/>
      <c r="X640" s="328"/>
      <c r="Y640" s="328"/>
      <c r="Z640" s="328"/>
      <c r="AA640" s="328"/>
      <c r="AB640" s="328"/>
      <c r="AC640" s="328"/>
      <c r="AD640" s="328"/>
      <c r="AE640" s="328"/>
      <c r="AF640" s="328"/>
      <c r="AG640" s="328"/>
      <c r="AH640" s="328"/>
      <c r="AI640" s="328"/>
      <c r="AJ640" s="328"/>
      <c r="AK640" s="328"/>
      <c r="AL640" s="328"/>
      <c r="AM640" s="328"/>
      <c r="AN640" s="328"/>
      <c r="AO640" s="328"/>
      <c r="AP640" s="328"/>
      <c r="AQ640" s="328"/>
      <c r="AR640" s="328"/>
      <c r="AS640" s="328"/>
      <c r="AT640" s="328"/>
      <c r="AU640" s="328"/>
    </row>
    <row r="641" ht="15.75" customHeight="1">
      <c r="A641" s="328"/>
      <c r="B641" s="328"/>
      <c r="C641" s="328"/>
      <c r="D641" s="328"/>
      <c r="E641" s="328"/>
      <c r="F641" s="328"/>
      <c r="G641" s="328"/>
      <c r="H641" s="328"/>
      <c r="I641" s="328"/>
      <c r="J641" s="328"/>
      <c r="K641" s="328"/>
      <c r="L641" s="328"/>
      <c r="M641" s="328"/>
      <c r="N641" s="328"/>
      <c r="O641" s="328"/>
      <c r="P641" s="328"/>
      <c r="Q641" s="328"/>
      <c r="R641" s="328"/>
      <c r="S641" s="328"/>
      <c r="T641" s="328"/>
      <c r="U641" s="328"/>
      <c r="V641" s="328"/>
      <c r="W641" s="328"/>
      <c r="X641" s="328"/>
      <c r="Y641" s="328"/>
      <c r="Z641" s="328"/>
      <c r="AA641" s="328"/>
      <c r="AB641" s="328"/>
      <c r="AC641" s="328"/>
      <c r="AD641" s="328"/>
      <c r="AE641" s="328"/>
      <c r="AF641" s="328"/>
      <c r="AG641" s="328"/>
      <c r="AH641" s="328"/>
      <c r="AI641" s="328"/>
      <c r="AJ641" s="328"/>
      <c r="AK641" s="328"/>
      <c r="AL641" s="328"/>
      <c r="AM641" s="328"/>
      <c r="AN641" s="328"/>
      <c r="AO641" s="328"/>
      <c r="AP641" s="328"/>
      <c r="AQ641" s="328"/>
      <c r="AR641" s="328"/>
      <c r="AS641" s="328"/>
      <c r="AT641" s="328"/>
      <c r="AU641" s="328"/>
    </row>
    <row r="642" ht="15.75" customHeight="1">
      <c r="A642" s="328"/>
      <c r="B642" s="328"/>
      <c r="C642" s="328"/>
      <c r="D642" s="328"/>
      <c r="E642" s="328"/>
      <c r="F642" s="328"/>
      <c r="G642" s="328"/>
      <c r="H642" s="328"/>
      <c r="I642" s="328"/>
      <c r="J642" s="328"/>
      <c r="K642" s="328"/>
      <c r="L642" s="328"/>
      <c r="M642" s="328"/>
      <c r="N642" s="328"/>
      <c r="O642" s="328"/>
      <c r="P642" s="328"/>
      <c r="Q642" s="328"/>
      <c r="R642" s="328"/>
      <c r="S642" s="328"/>
      <c r="T642" s="328"/>
      <c r="U642" s="328"/>
      <c r="V642" s="328"/>
      <c r="W642" s="328"/>
      <c r="X642" s="328"/>
      <c r="Y642" s="328"/>
      <c r="Z642" s="328"/>
      <c r="AA642" s="328"/>
      <c r="AB642" s="328"/>
      <c r="AC642" s="328"/>
      <c r="AD642" s="328"/>
      <c r="AE642" s="328"/>
      <c r="AF642" s="328"/>
      <c r="AG642" s="328"/>
      <c r="AH642" s="328"/>
      <c r="AI642" s="328"/>
      <c r="AJ642" s="328"/>
      <c r="AK642" s="328"/>
      <c r="AL642" s="328"/>
      <c r="AM642" s="328"/>
      <c r="AN642" s="328"/>
      <c r="AO642" s="328"/>
      <c r="AP642" s="328"/>
      <c r="AQ642" s="328"/>
      <c r="AR642" s="328"/>
      <c r="AS642" s="328"/>
      <c r="AT642" s="328"/>
      <c r="AU642" s="328"/>
    </row>
    <row r="643" ht="15.75" customHeight="1">
      <c r="A643" s="328"/>
      <c r="B643" s="328"/>
      <c r="C643" s="328"/>
      <c r="D643" s="328"/>
      <c r="E643" s="328"/>
      <c r="F643" s="328"/>
      <c r="G643" s="328"/>
      <c r="H643" s="328"/>
      <c r="I643" s="328"/>
      <c r="J643" s="328"/>
      <c r="K643" s="328"/>
      <c r="L643" s="328"/>
      <c r="M643" s="328"/>
      <c r="N643" s="328"/>
      <c r="O643" s="328"/>
      <c r="P643" s="328"/>
      <c r="Q643" s="328"/>
      <c r="R643" s="328"/>
      <c r="S643" s="328"/>
      <c r="T643" s="328"/>
      <c r="U643" s="328"/>
      <c r="V643" s="328"/>
      <c r="W643" s="328"/>
      <c r="X643" s="328"/>
      <c r="Y643" s="328"/>
      <c r="Z643" s="328"/>
      <c r="AA643" s="328"/>
      <c r="AB643" s="328"/>
      <c r="AC643" s="328"/>
      <c r="AD643" s="328"/>
      <c r="AE643" s="328"/>
      <c r="AF643" s="328"/>
      <c r="AG643" s="328"/>
      <c r="AH643" s="328"/>
      <c r="AI643" s="328"/>
      <c r="AJ643" s="328"/>
      <c r="AK643" s="328"/>
      <c r="AL643" s="328"/>
      <c r="AM643" s="328"/>
      <c r="AN643" s="328"/>
      <c r="AO643" s="328"/>
      <c r="AP643" s="328"/>
      <c r="AQ643" s="328"/>
      <c r="AR643" s="328"/>
      <c r="AS643" s="328"/>
      <c r="AT643" s="328"/>
      <c r="AU643" s="328"/>
    </row>
    <row r="644" ht="15.75" customHeight="1">
      <c r="A644" s="328"/>
      <c r="B644" s="328"/>
      <c r="C644" s="328"/>
      <c r="D644" s="328"/>
      <c r="E644" s="328"/>
      <c r="F644" s="328"/>
      <c r="G644" s="328"/>
      <c r="H644" s="328"/>
      <c r="I644" s="328"/>
      <c r="J644" s="328"/>
      <c r="K644" s="328"/>
      <c r="L644" s="328"/>
      <c r="M644" s="328"/>
      <c r="N644" s="328"/>
      <c r="O644" s="328"/>
      <c r="P644" s="328"/>
      <c r="Q644" s="328"/>
      <c r="R644" s="328"/>
      <c r="S644" s="328"/>
      <c r="T644" s="328"/>
      <c r="U644" s="328"/>
      <c r="V644" s="328"/>
      <c r="W644" s="328"/>
      <c r="X644" s="328"/>
      <c r="Y644" s="328"/>
      <c r="Z644" s="328"/>
      <c r="AA644" s="328"/>
      <c r="AB644" s="328"/>
      <c r="AC644" s="328"/>
      <c r="AD644" s="328"/>
      <c r="AE644" s="328"/>
      <c r="AF644" s="328"/>
      <c r="AG644" s="328"/>
      <c r="AH644" s="328"/>
      <c r="AI644" s="328"/>
      <c r="AJ644" s="328"/>
      <c r="AK644" s="328"/>
      <c r="AL644" s="328"/>
      <c r="AM644" s="328"/>
      <c r="AN644" s="328"/>
      <c r="AO644" s="328"/>
      <c r="AP644" s="328"/>
      <c r="AQ644" s="328"/>
      <c r="AR644" s="328"/>
      <c r="AS644" s="328"/>
      <c r="AT644" s="328"/>
      <c r="AU644" s="328"/>
    </row>
    <row r="645" ht="15.75" customHeight="1">
      <c r="A645" s="328"/>
      <c r="B645" s="328"/>
      <c r="C645" s="328"/>
      <c r="D645" s="328"/>
      <c r="E645" s="328"/>
      <c r="F645" s="328"/>
      <c r="G645" s="328"/>
      <c r="H645" s="328"/>
      <c r="I645" s="328"/>
      <c r="J645" s="328"/>
      <c r="K645" s="328"/>
      <c r="L645" s="328"/>
      <c r="M645" s="328"/>
      <c r="N645" s="328"/>
      <c r="O645" s="328"/>
      <c r="P645" s="328"/>
      <c r="Q645" s="328"/>
      <c r="R645" s="328"/>
      <c r="S645" s="328"/>
      <c r="T645" s="328"/>
      <c r="U645" s="328"/>
      <c r="V645" s="328"/>
      <c r="W645" s="328"/>
      <c r="X645" s="328"/>
      <c r="Y645" s="328"/>
      <c r="Z645" s="328"/>
      <c r="AA645" s="328"/>
      <c r="AB645" s="328"/>
      <c r="AC645" s="328"/>
      <c r="AD645" s="328"/>
      <c r="AE645" s="328"/>
      <c r="AF645" s="328"/>
      <c r="AG645" s="328"/>
      <c r="AH645" s="328"/>
      <c r="AI645" s="328"/>
      <c r="AJ645" s="328"/>
      <c r="AK645" s="328"/>
      <c r="AL645" s="328"/>
      <c r="AM645" s="328"/>
      <c r="AN645" s="328"/>
      <c r="AO645" s="328"/>
      <c r="AP645" s="328"/>
      <c r="AQ645" s="328"/>
      <c r="AR645" s="328"/>
      <c r="AS645" s="328"/>
      <c r="AT645" s="328"/>
      <c r="AU645" s="328"/>
    </row>
    <row r="646" ht="15.75" customHeight="1">
      <c r="A646" s="328"/>
      <c r="B646" s="328"/>
      <c r="C646" s="328"/>
      <c r="D646" s="328"/>
      <c r="E646" s="328"/>
      <c r="F646" s="328"/>
      <c r="G646" s="328"/>
      <c r="H646" s="328"/>
      <c r="I646" s="328"/>
      <c r="J646" s="328"/>
      <c r="K646" s="328"/>
      <c r="L646" s="328"/>
      <c r="M646" s="328"/>
      <c r="N646" s="328"/>
      <c r="O646" s="328"/>
      <c r="P646" s="328"/>
      <c r="Q646" s="328"/>
      <c r="R646" s="328"/>
      <c r="S646" s="328"/>
      <c r="T646" s="328"/>
      <c r="U646" s="328"/>
      <c r="V646" s="328"/>
      <c r="W646" s="328"/>
      <c r="X646" s="328"/>
      <c r="Y646" s="328"/>
      <c r="Z646" s="328"/>
      <c r="AA646" s="328"/>
      <c r="AB646" s="328"/>
      <c r="AC646" s="328"/>
      <c r="AD646" s="328"/>
      <c r="AE646" s="328"/>
      <c r="AF646" s="328"/>
      <c r="AG646" s="328"/>
      <c r="AH646" s="328"/>
      <c r="AI646" s="328"/>
      <c r="AJ646" s="328"/>
      <c r="AK646" s="328"/>
      <c r="AL646" s="328"/>
      <c r="AM646" s="328"/>
      <c r="AN646" s="328"/>
      <c r="AO646" s="328"/>
      <c r="AP646" s="328"/>
      <c r="AQ646" s="328"/>
      <c r="AR646" s="328"/>
      <c r="AS646" s="328"/>
      <c r="AT646" s="328"/>
      <c r="AU646" s="328"/>
    </row>
    <row r="647" ht="15.75" customHeight="1">
      <c r="A647" s="328"/>
      <c r="B647" s="328"/>
      <c r="C647" s="328"/>
      <c r="D647" s="328"/>
      <c r="E647" s="328"/>
      <c r="F647" s="328"/>
      <c r="G647" s="328"/>
      <c r="H647" s="328"/>
      <c r="I647" s="328"/>
      <c r="J647" s="328"/>
      <c r="K647" s="328"/>
      <c r="L647" s="328"/>
      <c r="M647" s="328"/>
      <c r="N647" s="328"/>
      <c r="O647" s="328"/>
      <c r="P647" s="328"/>
      <c r="Q647" s="328"/>
      <c r="R647" s="328"/>
      <c r="S647" s="328"/>
      <c r="T647" s="328"/>
      <c r="U647" s="328"/>
      <c r="V647" s="328"/>
      <c r="W647" s="328"/>
      <c r="X647" s="328"/>
      <c r="Y647" s="328"/>
      <c r="Z647" s="328"/>
      <c r="AA647" s="328"/>
      <c r="AB647" s="328"/>
      <c r="AC647" s="328"/>
      <c r="AD647" s="328"/>
      <c r="AE647" s="328"/>
      <c r="AF647" s="328"/>
      <c r="AG647" s="328"/>
      <c r="AH647" s="328"/>
      <c r="AI647" s="328"/>
      <c r="AJ647" s="328"/>
      <c r="AK647" s="328"/>
      <c r="AL647" s="328"/>
      <c r="AM647" s="328"/>
      <c r="AN647" s="328"/>
      <c r="AO647" s="328"/>
      <c r="AP647" s="328"/>
      <c r="AQ647" s="328"/>
      <c r="AR647" s="328"/>
      <c r="AS647" s="328"/>
      <c r="AT647" s="328"/>
      <c r="AU647" s="328"/>
    </row>
    <row r="648" ht="15.75" customHeight="1">
      <c r="A648" s="328"/>
      <c r="B648" s="328"/>
      <c r="C648" s="328"/>
      <c r="D648" s="328"/>
      <c r="E648" s="328"/>
      <c r="F648" s="328"/>
      <c r="G648" s="328"/>
      <c r="H648" s="328"/>
      <c r="I648" s="328"/>
      <c r="J648" s="328"/>
      <c r="K648" s="328"/>
      <c r="L648" s="328"/>
      <c r="M648" s="328"/>
      <c r="N648" s="328"/>
      <c r="O648" s="328"/>
      <c r="P648" s="328"/>
      <c r="Q648" s="328"/>
      <c r="R648" s="328"/>
      <c r="S648" s="328"/>
      <c r="T648" s="328"/>
      <c r="U648" s="328"/>
      <c r="V648" s="328"/>
      <c r="W648" s="328"/>
      <c r="X648" s="328"/>
      <c r="Y648" s="328"/>
      <c r="Z648" s="328"/>
      <c r="AA648" s="328"/>
      <c r="AB648" s="328"/>
      <c r="AC648" s="328"/>
      <c r="AD648" s="328"/>
      <c r="AE648" s="328"/>
      <c r="AF648" s="328"/>
      <c r="AG648" s="328"/>
      <c r="AH648" s="328"/>
      <c r="AI648" s="328"/>
      <c r="AJ648" s="328"/>
      <c r="AK648" s="328"/>
      <c r="AL648" s="328"/>
      <c r="AM648" s="328"/>
      <c r="AN648" s="328"/>
      <c r="AO648" s="328"/>
      <c r="AP648" s="328"/>
      <c r="AQ648" s="328"/>
      <c r="AR648" s="328"/>
      <c r="AS648" s="328"/>
      <c r="AT648" s="328"/>
      <c r="AU648" s="328"/>
    </row>
    <row r="649" ht="15.75" customHeight="1">
      <c r="A649" s="328"/>
      <c r="B649" s="328"/>
      <c r="C649" s="328"/>
      <c r="D649" s="328"/>
      <c r="E649" s="328"/>
      <c r="F649" s="328"/>
      <c r="G649" s="328"/>
      <c r="H649" s="328"/>
      <c r="I649" s="328"/>
      <c r="J649" s="328"/>
      <c r="K649" s="328"/>
      <c r="L649" s="328"/>
      <c r="M649" s="328"/>
      <c r="N649" s="328"/>
      <c r="O649" s="328"/>
      <c r="P649" s="328"/>
      <c r="Q649" s="328"/>
      <c r="R649" s="328"/>
      <c r="S649" s="328"/>
      <c r="T649" s="328"/>
      <c r="U649" s="328"/>
      <c r="V649" s="328"/>
      <c r="W649" s="328"/>
      <c r="X649" s="328"/>
      <c r="Y649" s="328"/>
      <c r="Z649" s="328"/>
      <c r="AA649" s="328"/>
      <c r="AB649" s="328"/>
      <c r="AC649" s="328"/>
      <c r="AD649" s="328"/>
      <c r="AE649" s="328"/>
      <c r="AF649" s="328"/>
      <c r="AG649" s="328"/>
      <c r="AH649" s="328"/>
      <c r="AI649" s="328"/>
      <c r="AJ649" s="328"/>
      <c r="AK649" s="328"/>
      <c r="AL649" s="328"/>
      <c r="AM649" s="328"/>
      <c r="AN649" s="328"/>
      <c r="AO649" s="328"/>
      <c r="AP649" s="328"/>
      <c r="AQ649" s="328"/>
      <c r="AR649" s="328"/>
      <c r="AS649" s="328"/>
      <c r="AT649" s="328"/>
      <c r="AU649" s="328"/>
    </row>
    <row r="650" ht="15.75" customHeight="1">
      <c r="A650" s="328"/>
      <c r="B650" s="328"/>
      <c r="C650" s="328"/>
      <c r="D650" s="328"/>
      <c r="E650" s="328"/>
      <c r="F650" s="328"/>
      <c r="G650" s="328"/>
      <c r="H650" s="328"/>
      <c r="I650" s="328"/>
      <c r="J650" s="328"/>
      <c r="K650" s="328"/>
      <c r="L650" s="328"/>
      <c r="M650" s="328"/>
      <c r="N650" s="328"/>
      <c r="O650" s="328"/>
      <c r="P650" s="328"/>
      <c r="Q650" s="328"/>
      <c r="R650" s="328"/>
      <c r="S650" s="328"/>
      <c r="T650" s="328"/>
      <c r="U650" s="328"/>
      <c r="V650" s="328"/>
      <c r="W650" s="328"/>
      <c r="X650" s="328"/>
      <c r="Y650" s="328"/>
      <c r="Z650" s="328"/>
      <c r="AA650" s="328"/>
      <c r="AB650" s="328"/>
      <c r="AC650" s="328"/>
      <c r="AD650" s="328"/>
      <c r="AE650" s="328"/>
      <c r="AF650" s="328"/>
      <c r="AG650" s="328"/>
      <c r="AH650" s="328"/>
      <c r="AI650" s="328"/>
      <c r="AJ650" s="328"/>
      <c r="AK650" s="328"/>
      <c r="AL650" s="328"/>
      <c r="AM650" s="328"/>
      <c r="AN650" s="328"/>
      <c r="AO650" s="328"/>
      <c r="AP650" s="328"/>
      <c r="AQ650" s="328"/>
      <c r="AR650" s="328"/>
      <c r="AS650" s="328"/>
      <c r="AT650" s="328"/>
      <c r="AU650" s="328"/>
    </row>
    <row r="651" ht="15.75" customHeight="1">
      <c r="A651" s="328"/>
      <c r="B651" s="328"/>
      <c r="C651" s="328"/>
      <c r="D651" s="328"/>
      <c r="E651" s="328"/>
      <c r="F651" s="328"/>
      <c r="G651" s="328"/>
      <c r="H651" s="328"/>
      <c r="I651" s="328"/>
      <c r="J651" s="328"/>
      <c r="K651" s="328"/>
      <c r="L651" s="328"/>
      <c r="M651" s="328"/>
      <c r="N651" s="328"/>
      <c r="O651" s="328"/>
      <c r="P651" s="328"/>
      <c r="Q651" s="328"/>
      <c r="R651" s="328"/>
      <c r="S651" s="328"/>
      <c r="T651" s="328"/>
      <c r="U651" s="328"/>
      <c r="V651" s="328"/>
      <c r="W651" s="328"/>
      <c r="X651" s="328"/>
      <c r="Y651" s="328"/>
      <c r="Z651" s="328"/>
      <c r="AA651" s="328"/>
      <c r="AB651" s="328"/>
      <c r="AC651" s="328"/>
      <c r="AD651" s="328"/>
      <c r="AE651" s="328"/>
      <c r="AF651" s="328"/>
      <c r="AG651" s="328"/>
      <c r="AH651" s="328"/>
      <c r="AI651" s="328"/>
      <c r="AJ651" s="328"/>
      <c r="AK651" s="328"/>
      <c r="AL651" s="328"/>
      <c r="AM651" s="328"/>
      <c r="AN651" s="328"/>
      <c r="AO651" s="328"/>
      <c r="AP651" s="328"/>
      <c r="AQ651" s="328"/>
      <c r="AR651" s="328"/>
      <c r="AS651" s="328"/>
      <c r="AT651" s="328"/>
      <c r="AU651" s="328"/>
    </row>
    <row r="652" ht="15.75" customHeight="1">
      <c r="A652" s="328"/>
      <c r="B652" s="328"/>
      <c r="C652" s="328"/>
      <c r="D652" s="328"/>
      <c r="E652" s="328"/>
      <c r="F652" s="328"/>
      <c r="G652" s="328"/>
      <c r="H652" s="328"/>
      <c r="I652" s="328"/>
      <c r="J652" s="328"/>
      <c r="K652" s="328"/>
      <c r="L652" s="328"/>
      <c r="M652" s="328"/>
      <c r="N652" s="328"/>
      <c r="O652" s="328"/>
      <c r="P652" s="328"/>
      <c r="Q652" s="328"/>
      <c r="R652" s="328"/>
      <c r="S652" s="328"/>
      <c r="T652" s="328"/>
      <c r="U652" s="328"/>
      <c r="V652" s="328"/>
      <c r="W652" s="328"/>
      <c r="X652" s="328"/>
      <c r="Y652" s="328"/>
      <c r="Z652" s="328"/>
      <c r="AA652" s="328"/>
      <c r="AB652" s="328"/>
      <c r="AC652" s="328"/>
      <c r="AD652" s="328"/>
      <c r="AE652" s="328"/>
      <c r="AF652" s="328"/>
      <c r="AG652" s="328"/>
      <c r="AH652" s="328"/>
      <c r="AI652" s="328"/>
      <c r="AJ652" s="328"/>
      <c r="AK652" s="328"/>
      <c r="AL652" s="328"/>
      <c r="AM652" s="328"/>
      <c r="AN652" s="328"/>
      <c r="AO652" s="328"/>
      <c r="AP652" s="328"/>
      <c r="AQ652" s="328"/>
      <c r="AR652" s="328"/>
      <c r="AS652" s="328"/>
      <c r="AT652" s="328"/>
      <c r="AU652" s="328"/>
    </row>
    <row r="653" ht="15.75" customHeight="1">
      <c r="A653" s="328"/>
      <c r="B653" s="328"/>
      <c r="C653" s="328"/>
      <c r="D653" s="328"/>
      <c r="E653" s="328"/>
      <c r="F653" s="328"/>
      <c r="G653" s="328"/>
      <c r="H653" s="328"/>
      <c r="I653" s="328"/>
      <c r="J653" s="328"/>
      <c r="K653" s="328"/>
      <c r="L653" s="328"/>
      <c r="M653" s="328"/>
      <c r="N653" s="328"/>
      <c r="O653" s="328"/>
      <c r="P653" s="328"/>
      <c r="Q653" s="328"/>
      <c r="R653" s="328"/>
      <c r="S653" s="328"/>
      <c r="T653" s="328"/>
      <c r="U653" s="328"/>
      <c r="V653" s="328"/>
      <c r="W653" s="328"/>
      <c r="X653" s="328"/>
      <c r="Y653" s="328"/>
      <c r="Z653" s="328"/>
      <c r="AA653" s="328"/>
      <c r="AB653" s="328"/>
      <c r="AC653" s="328"/>
      <c r="AD653" s="328"/>
      <c r="AE653" s="328"/>
      <c r="AF653" s="328"/>
      <c r="AG653" s="328"/>
      <c r="AH653" s="328"/>
      <c r="AI653" s="328"/>
      <c r="AJ653" s="328"/>
      <c r="AK653" s="328"/>
      <c r="AL653" s="328"/>
      <c r="AM653" s="328"/>
      <c r="AN653" s="328"/>
      <c r="AO653" s="328"/>
      <c r="AP653" s="328"/>
      <c r="AQ653" s="328"/>
      <c r="AR653" s="328"/>
      <c r="AS653" s="328"/>
      <c r="AT653" s="328"/>
      <c r="AU653" s="328"/>
    </row>
    <row r="654" ht="15.75" customHeight="1">
      <c r="A654" s="328"/>
      <c r="B654" s="328"/>
      <c r="C654" s="328"/>
      <c r="D654" s="328"/>
      <c r="E654" s="328"/>
      <c r="F654" s="328"/>
      <c r="G654" s="328"/>
      <c r="H654" s="328"/>
      <c r="I654" s="328"/>
      <c r="J654" s="328"/>
      <c r="K654" s="328"/>
      <c r="L654" s="328"/>
      <c r="M654" s="328"/>
      <c r="N654" s="328"/>
      <c r="O654" s="328"/>
      <c r="P654" s="328"/>
      <c r="Q654" s="328"/>
      <c r="R654" s="328"/>
      <c r="S654" s="328"/>
      <c r="T654" s="328"/>
      <c r="U654" s="328"/>
      <c r="V654" s="328"/>
      <c r="W654" s="328"/>
      <c r="X654" s="328"/>
      <c r="Y654" s="328"/>
      <c r="Z654" s="328"/>
      <c r="AA654" s="328"/>
      <c r="AB654" s="328"/>
      <c r="AC654" s="328"/>
      <c r="AD654" s="328"/>
      <c r="AE654" s="328"/>
      <c r="AF654" s="328"/>
      <c r="AG654" s="328"/>
      <c r="AH654" s="328"/>
      <c r="AI654" s="328"/>
      <c r="AJ654" s="328"/>
      <c r="AK654" s="328"/>
      <c r="AL654" s="328"/>
      <c r="AM654" s="328"/>
      <c r="AN654" s="328"/>
      <c r="AO654" s="328"/>
      <c r="AP654" s="328"/>
      <c r="AQ654" s="328"/>
      <c r="AR654" s="328"/>
      <c r="AS654" s="328"/>
      <c r="AT654" s="328"/>
      <c r="AU654" s="328"/>
    </row>
    <row r="655" ht="15.75" customHeight="1">
      <c r="A655" s="328"/>
      <c r="B655" s="328"/>
      <c r="C655" s="328"/>
      <c r="D655" s="328"/>
      <c r="E655" s="328"/>
      <c r="F655" s="328"/>
      <c r="G655" s="328"/>
      <c r="H655" s="328"/>
      <c r="I655" s="328"/>
      <c r="J655" s="328"/>
      <c r="K655" s="328"/>
      <c r="L655" s="328"/>
      <c r="M655" s="328"/>
      <c r="N655" s="328"/>
      <c r="O655" s="328"/>
      <c r="P655" s="328"/>
      <c r="Q655" s="328"/>
      <c r="R655" s="328"/>
      <c r="S655" s="328"/>
      <c r="T655" s="328"/>
      <c r="U655" s="328"/>
      <c r="V655" s="328"/>
      <c r="W655" s="328"/>
      <c r="X655" s="328"/>
      <c r="Y655" s="328"/>
      <c r="Z655" s="328"/>
      <c r="AA655" s="328"/>
      <c r="AB655" s="328"/>
      <c r="AC655" s="328"/>
      <c r="AD655" s="328"/>
      <c r="AE655" s="328"/>
      <c r="AF655" s="328"/>
      <c r="AG655" s="328"/>
      <c r="AH655" s="328"/>
      <c r="AI655" s="328"/>
      <c r="AJ655" s="328"/>
      <c r="AK655" s="328"/>
      <c r="AL655" s="328"/>
      <c r="AM655" s="328"/>
      <c r="AN655" s="328"/>
      <c r="AO655" s="328"/>
      <c r="AP655" s="328"/>
      <c r="AQ655" s="328"/>
      <c r="AR655" s="328"/>
      <c r="AS655" s="328"/>
      <c r="AT655" s="328"/>
      <c r="AU655" s="328"/>
    </row>
    <row r="656" ht="15.75" customHeight="1">
      <c r="A656" s="328"/>
      <c r="B656" s="328"/>
      <c r="C656" s="328"/>
      <c r="D656" s="328"/>
      <c r="E656" s="328"/>
      <c r="F656" s="328"/>
      <c r="G656" s="328"/>
      <c r="H656" s="328"/>
      <c r="I656" s="328"/>
      <c r="J656" s="328"/>
      <c r="K656" s="328"/>
      <c r="L656" s="328"/>
      <c r="M656" s="328"/>
      <c r="N656" s="328"/>
      <c r="O656" s="328"/>
      <c r="P656" s="328"/>
      <c r="Q656" s="328"/>
      <c r="R656" s="328"/>
      <c r="S656" s="328"/>
      <c r="T656" s="328"/>
      <c r="U656" s="328"/>
      <c r="V656" s="328"/>
      <c r="W656" s="328"/>
      <c r="X656" s="328"/>
      <c r="Y656" s="328"/>
      <c r="Z656" s="328"/>
      <c r="AA656" s="328"/>
      <c r="AB656" s="328"/>
      <c r="AC656" s="328"/>
      <c r="AD656" s="328"/>
      <c r="AE656" s="328"/>
      <c r="AF656" s="328"/>
      <c r="AG656" s="328"/>
      <c r="AH656" s="328"/>
      <c r="AI656" s="328"/>
      <c r="AJ656" s="328"/>
      <c r="AK656" s="328"/>
      <c r="AL656" s="328"/>
      <c r="AM656" s="328"/>
      <c r="AN656" s="328"/>
      <c r="AO656" s="328"/>
      <c r="AP656" s="328"/>
      <c r="AQ656" s="328"/>
      <c r="AR656" s="328"/>
      <c r="AS656" s="328"/>
      <c r="AT656" s="328"/>
      <c r="AU656" s="328"/>
    </row>
    <row r="657" ht="15.75" customHeight="1">
      <c r="A657" s="328"/>
      <c r="B657" s="328"/>
      <c r="C657" s="328"/>
      <c r="D657" s="328"/>
      <c r="E657" s="328"/>
      <c r="F657" s="328"/>
      <c r="G657" s="328"/>
      <c r="H657" s="328"/>
      <c r="I657" s="328"/>
      <c r="J657" s="328"/>
      <c r="K657" s="328"/>
      <c r="L657" s="328"/>
      <c r="M657" s="328"/>
      <c r="N657" s="328"/>
      <c r="O657" s="328"/>
      <c r="P657" s="328"/>
      <c r="Q657" s="328"/>
      <c r="R657" s="328"/>
      <c r="S657" s="328"/>
      <c r="T657" s="328"/>
      <c r="U657" s="328"/>
      <c r="V657" s="328"/>
      <c r="W657" s="328"/>
      <c r="X657" s="328"/>
      <c r="Y657" s="328"/>
      <c r="Z657" s="328"/>
      <c r="AA657" s="328"/>
      <c r="AB657" s="328"/>
      <c r="AC657" s="328"/>
      <c r="AD657" s="328"/>
      <c r="AE657" s="328"/>
      <c r="AF657" s="328"/>
      <c r="AG657" s="328"/>
      <c r="AH657" s="328"/>
      <c r="AI657" s="328"/>
      <c r="AJ657" s="328"/>
      <c r="AK657" s="328"/>
      <c r="AL657" s="328"/>
      <c r="AM657" s="328"/>
      <c r="AN657" s="328"/>
      <c r="AO657" s="328"/>
      <c r="AP657" s="328"/>
      <c r="AQ657" s="328"/>
      <c r="AR657" s="328"/>
      <c r="AS657" s="328"/>
      <c r="AT657" s="328"/>
      <c r="AU657" s="328"/>
    </row>
    <row r="658" ht="15.75" customHeight="1">
      <c r="A658" s="328"/>
      <c r="B658" s="328"/>
      <c r="C658" s="328"/>
      <c r="D658" s="328"/>
      <c r="E658" s="328"/>
      <c r="F658" s="328"/>
      <c r="G658" s="328"/>
      <c r="H658" s="328"/>
      <c r="I658" s="328"/>
      <c r="J658" s="328"/>
      <c r="K658" s="328"/>
      <c r="L658" s="328"/>
      <c r="M658" s="328"/>
      <c r="N658" s="328"/>
      <c r="O658" s="328"/>
      <c r="P658" s="328"/>
      <c r="Q658" s="328"/>
      <c r="R658" s="328"/>
      <c r="S658" s="328"/>
      <c r="T658" s="328"/>
      <c r="U658" s="328"/>
      <c r="V658" s="328"/>
      <c r="W658" s="328"/>
      <c r="X658" s="328"/>
      <c r="Y658" s="328"/>
      <c r="Z658" s="328"/>
      <c r="AA658" s="328"/>
      <c r="AB658" s="328"/>
      <c r="AC658" s="328"/>
      <c r="AD658" s="328"/>
      <c r="AE658" s="328"/>
      <c r="AF658" s="328"/>
      <c r="AG658" s="328"/>
      <c r="AH658" s="328"/>
      <c r="AI658" s="328"/>
      <c r="AJ658" s="328"/>
      <c r="AK658" s="328"/>
      <c r="AL658" s="328"/>
      <c r="AM658" s="328"/>
      <c r="AN658" s="328"/>
      <c r="AO658" s="328"/>
      <c r="AP658" s="328"/>
      <c r="AQ658" s="328"/>
      <c r="AR658" s="328"/>
      <c r="AS658" s="328"/>
      <c r="AT658" s="328"/>
      <c r="AU658" s="328"/>
    </row>
    <row r="659" ht="15.75" customHeight="1">
      <c r="A659" s="328"/>
      <c r="B659" s="328"/>
      <c r="C659" s="328"/>
      <c r="D659" s="328"/>
      <c r="E659" s="328"/>
      <c r="F659" s="328"/>
      <c r="G659" s="328"/>
      <c r="H659" s="328"/>
      <c r="I659" s="328"/>
      <c r="J659" s="328"/>
      <c r="K659" s="328"/>
      <c r="L659" s="328"/>
      <c r="M659" s="328"/>
      <c r="N659" s="328"/>
      <c r="O659" s="328"/>
      <c r="P659" s="328"/>
      <c r="Q659" s="328"/>
      <c r="R659" s="328"/>
      <c r="S659" s="328"/>
      <c r="T659" s="328"/>
      <c r="U659" s="328"/>
      <c r="V659" s="328"/>
      <c r="W659" s="328"/>
      <c r="X659" s="328"/>
      <c r="Y659" s="328"/>
      <c r="Z659" s="328"/>
      <c r="AA659" s="328"/>
      <c r="AB659" s="328"/>
      <c r="AC659" s="328"/>
      <c r="AD659" s="328"/>
      <c r="AE659" s="328"/>
      <c r="AF659" s="328"/>
      <c r="AG659" s="328"/>
      <c r="AH659" s="328"/>
      <c r="AI659" s="328"/>
      <c r="AJ659" s="328"/>
      <c r="AK659" s="328"/>
      <c r="AL659" s="328"/>
      <c r="AM659" s="328"/>
      <c r="AN659" s="328"/>
      <c r="AO659" s="328"/>
      <c r="AP659" s="328"/>
      <c r="AQ659" s="328"/>
      <c r="AR659" s="328"/>
      <c r="AS659" s="328"/>
      <c r="AT659" s="328"/>
      <c r="AU659" s="328"/>
    </row>
    <row r="660" ht="15.75" customHeight="1">
      <c r="A660" s="328"/>
      <c r="B660" s="328"/>
      <c r="C660" s="328"/>
      <c r="D660" s="328"/>
      <c r="E660" s="328"/>
      <c r="F660" s="328"/>
      <c r="G660" s="328"/>
      <c r="H660" s="328"/>
      <c r="I660" s="328"/>
      <c r="J660" s="328"/>
      <c r="K660" s="328"/>
      <c r="L660" s="328"/>
      <c r="M660" s="328"/>
      <c r="N660" s="328"/>
      <c r="O660" s="328"/>
      <c r="P660" s="328"/>
      <c r="Q660" s="328"/>
      <c r="R660" s="328"/>
      <c r="S660" s="328"/>
      <c r="T660" s="328"/>
      <c r="U660" s="328"/>
      <c r="V660" s="328"/>
      <c r="W660" s="328"/>
      <c r="X660" s="328"/>
      <c r="Y660" s="328"/>
      <c r="Z660" s="328"/>
      <c r="AA660" s="328"/>
      <c r="AB660" s="328"/>
      <c r="AC660" s="328"/>
      <c r="AD660" s="328"/>
      <c r="AE660" s="328"/>
      <c r="AF660" s="328"/>
      <c r="AG660" s="328"/>
      <c r="AH660" s="328"/>
      <c r="AI660" s="328"/>
      <c r="AJ660" s="328"/>
      <c r="AK660" s="328"/>
      <c r="AL660" s="328"/>
      <c r="AM660" s="328"/>
      <c r="AN660" s="328"/>
      <c r="AO660" s="328"/>
      <c r="AP660" s="328"/>
      <c r="AQ660" s="328"/>
      <c r="AR660" s="328"/>
      <c r="AS660" s="328"/>
      <c r="AT660" s="328"/>
      <c r="AU660" s="328"/>
    </row>
    <row r="661" ht="15.75" customHeight="1">
      <c r="A661" s="328"/>
      <c r="B661" s="328"/>
      <c r="C661" s="328"/>
      <c r="D661" s="328"/>
      <c r="E661" s="328"/>
      <c r="F661" s="328"/>
      <c r="G661" s="328"/>
      <c r="H661" s="328"/>
      <c r="I661" s="328"/>
      <c r="J661" s="328"/>
      <c r="K661" s="328"/>
      <c r="L661" s="328"/>
      <c r="M661" s="328"/>
      <c r="N661" s="328"/>
      <c r="O661" s="328"/>
      <c r="P661" s="328"/>
      <c r="Q661" s="328"/>
      <c r="R661" s="328"/>
      <c r="S661" s="328"/>
      <c r="T661" s="328"/>
      <c r="U661" s="328"/>
      <c r="V661" s="328"/>
      <c r="W661" s="328"/>
      <c r="X661" s="328"/>
      <c r="Y661" s="328"/>
      <c r="Z661" s="328"/>
      <c r="AA661" s="328"/>
      <c r="AB661" s="328"/>
      <c r="AC661" s="328"/>
      <c r="AD661" s="328"/>
      <c r="AE661" s="328"/>
      <c r="AF661" s="328"/>
      <c r="AG661" s="328"/>
      <c r="AH661" s="328"/>
      <c r="AI661" s="328"/>
      <c r="AJ661" s="328"/>
      <c r="AK661" s="328"/>
      <c r="AL661" s="328"/>
      <c r="AM661" s="328"/>
      <c r="AN661" s="328"/>
      <c r="AO661" s="328"/>
      <c r="AP661" s="328"/>
      <c r="AQ661" s="328"/>
      <c r="AR661" s="328"/>
      <c r="AS661" s="328"/>
      <c r="AT661" s="328"/>
      <c r="AU661" s="328"/>
    </row>
    <row r="662" ht="15.75" customHeight="1">
      <c r="A662" s="328"/>
      <c r="B662" s="328"/>
      <c r="C662" s="328"/>
      <c r="D662" s="328"/>
      <c r="E662" s="328"/>
      <c r="F662" s="328"/>
      <c r="G662" s="328"/>
      <c r="H662" s="328"/>
      <c r="I662" s="328"/>
      <c r="J662" s="328"/>
      <c r="K662" s="328"/>
      <c r="L662" s="328"/>
      <c r="M662" s="328"/>
      <c r="N662" s="328"/>
      <c r="O662" s="328"/>
      <c r="P662" s="328"/>
      <c r="Q662" s="328"/>
      <c r="R662" s="328"/>
      <c r="S662" s="328"/>
      <c r="T662" s="328"/>
      <c r="U662" s="328"/>
      <c r="V662" s="328"/>
      <c r="W662" s="328"/>
      <c r="X662" s="328"/>
      <c r="Y662" s="328"/>
      <c r="Z662" s="328"/>
      <c r="AA662" s="328"/>
      <c r="AB662" s="328"/>
      <c r="AC662" s="328"/>
      <c r="AD662" s="328"/>
      <c r="AE662" s="328"/>
      <c r="AF662" s="328"/>
      <c r="AG662" s="328"/>
      <c r="AH662" s="328"/>
      <c r="AI662" s="328"/>
      <c r="AJ662" s="328"/>
      <c r="AK662" s="328"/>
      <c r="AL662" s="328"/>
      <c r="AM662" s="328"/>
      <c r="AN662" s="328"/>
      <c r="AO662" s="328"/>
      <c r="AP662" s="328"/>
      <c r="AQ662" s="328"/>
      <c r="AR662" s="328"/>
      <c r="AS662" s="328"/>
      <c r="AT662" s="328"/>
      <c r="AU662" s="328"/>
    </row>
    <row r="663" ht="15.75" customHeight="1">
      <c r="A663" s="328"/>
      <c r="B663" s="328"/>
      <c r="C663" s="328"/>
      <c r="D663" s="328"/>
      <c r="E663" s="328"/>
      <c r="F663" s="328"/>
      <c r="G663" s="328"/>
      <c r="H663" s="328"/>
      <c r="I663" s="328"/>
      <c r="J663" s="328"/>
      <c r="K663" s="328"/>
      <c r="L663" s="328"/>
      <c r="M663" s="328"/>
      <c r="N663" s="328"/>
      <c r="O663" s="328"/>
      <c r="P663" s="328"/>
      <c r="Q663" s="328"/>
      <c r="R663" s="328"/>
      <c r="S663" s="328"/>
      <c r="T663" s="328"/>
      <c r="U663" s="328"/>
      <c r="V663" s="328"/>
      <c r="W663" s="328"/>
      <c r="X663" s="328"/>
      <c r="Y663" s="328"/>
      <c r="Z663" s="328"/>
      <c r="AA663" s="328"/>
      <c r="AB663" s="328"/>
      <c r="AC663" s="328"/>
      <c r="AD663" s="328"/>
      <c r="AE663" s="328"/>
      <c r="AF663" s="328"/>
      <c r="AG663" s="328"/>
      <c r="AH663" s="328"/>
      <c r="AI663" s="328"/>
      <c r="AJ663" s="328"/>
      <c r="AK663" s="328"/>
      <c r="AL663" s="328"/>
      <c r="AM663" s="328"/>
      <c r="AN663" s="328"/>
      <c r="AO663" s="328"/>
      <c r="AP663" s="328"/>
      <c r="AQ663" s="328"/>
      <c r="AR663" s="328"/>
      <c r="AS663" s="328"/>
      <c r="AT663" s="328"/>
      <c r="AU663" s="328"/>
    </row>
    <row r="664" ht="15.75" customHeight="1">
      <c r="A664" s="328"/>
      <c r="B664" s="328"/>
      <c r="C664" s="328"/>
      <c r="D664" s="328"/>
      <c r="E664" s="328"/>
      <c r="F664" s="328"/>
      <c r="G664" s="328"/>
      <c r="H664" s="328"/>
      <c r="I664" s="328"/>
      <c r="J664" s="328"/>
      <c r="K664" s="328"/>
      <c r="L664" s="328"/>
      <c r="M664" s="328"/>
      <c r="N664" s="328"/>
      <c r="O664" s="328"/>
      <c r="P664" s="328"/>
      <c r="Q664" s="328"/>
      <c r="R664" s="328"/>
      <c r="S664" s="328"/>
      <c r="T664" s="328"/>
      <c r="U664" s="328"/>
      <c r="V664" s="328"/>
      <c r="W664" s="328"/>
      <c r="X664" s="328"/>
      <c r="Y664" s="328"/>
      <c r="Z664" s="328"/>
      <c r="AA664" s="328"/>
      <c r="AB664" s="328"/>
      <c r="AC664" s="328"/>
      <c r="AD664" s="328"/>
      <c r="AE664" s="328"/>
      <c r="AF664" s="328"/>
      <c r="AG664" s="328"/>
      <c r="AH664" s="328"/>
      <c r="AI664" s="328"/>
      <c r="AJ664" s="328"/>
      <c r="AK664" s="328"/>
      <c r="AL664" s="328"/>
      <c r="AM664" s="328"/>
      <c r="AN664" s="328"/>
      <c r="AO664" s="328"/>
      <c r="AP664" s="328"/>
      <c r="AQ664" s="328"/>
      <c r="AR664" s="328"/>
      <c r="AS664" s="328"/>
      <c r="AT664" s="328"/>
      <c r="AU664" s="328"/>
    </row>
    <row r="665" ht="15.75" customHeight="1">
      <c r="A665" s="328"/>
      <c r="B665" s="328"/>
      <c r="C665" s="328"/>
      <c r="D665" s="328"/>
      <c r="E665" s="328"/>
      <c r="F665" s="328"/>
      <c r="G665" s="328"/>
      <c r="H665" s="328"/>
      <c r="I665" s="328"/>
      <c r="J665" s="328"/>
      <c r="K665" s="328"/>
      <c r="L665" s="328"/>
      <c r="M665" s="328"/>
      <c r="N665" s="328"/>
      <c r="O665" s="328"/>
      <c r="P665" s="328"/>
      <c r="Q665" s="328"/>
      <c r="R665" s="328"/>
      <c r="S665" s="328"/>
      <c r="T665" s="328"/>
      <c r="U665" s="328"/>
      <c r="V665" s="328"/>
      <c r="W665" s="328"/>
      <c r="X665" s="328"/>
      <c r="Y665" s="328"/>
      <c r="Z665" s="328"/>
      <c r="AA665" s="328"/>
      <c r="AB665" s="328"/>
      <c r="AC665" s="328"/>
      <c r="AD665" s="328"/>
      <c r="AE665" s="328"/>
      <c r="AF665" s="328"/>
      <c r="AG665" s="328"/>
      <c r="AH665" s="328"/>
      <c r="AI665" s="328"/>
      <c r="AJ665" s="328"/>
      <c r="AK665" s="328"/>
      <c r="AL665" s="328"/>
      <c r="AM665" s="328"/>
      <c r="AN665" s="328"/>
      <c r="AO665" s="328"/>
      <c r="AP665" s="328"/>
      <c r="AQ665" s="328"/>
      <c r="AR665" s="328"/>
      <c r="AS665" s="328"/>
      <c r="AT665" s="328"/>
      <c r="AU665" s="328"/>
    </row>
    <row r="666" ht="15.75" customHeight="1">
      <c r="A666" s="328"/>
      <c r="B666" s="328"/>
      <c r="C666" s="328"/>
      <c r="D666" s="328"/>
      <c r="E666" s="328"/>
      <c r="F666" s="328"/>
      <c r="G666" s="328"/>
      <c r="H666" s="328"/>
      <c r="I666" s="328"/>
      <c r="J666" s="328"/>
      <c r="K666" s="328"/>
      <c r="L666" s="328"/>
      <c r="M666" s="328"/>
      <c r="N666" s="328"/>
      <c r="O666" s="328"/>
      <c r="P666" s="328"/>
      <c r="Q666" s="328"/>
      <c r="R666" s="328"/>
      <c r="S666" s="328"/>
      <c r="T666" s="328"/>
      <c r="U666" s="328"/>
      <c r="V666" s="328"/>
      <c r="W666" s="328"/>
      <c r="X666" s="328"/>
      <c r="Y666" s="328"/>
      <c r="Z666" s="328"/>
      <c r="AA666" s="328"/>
      <c r="AB666" s="328"/>
      <c r="AC666" s="328"/>
      <c r="AD666" s="328"/>
      <c r="AE666" s="328"/>
      <c r="AF666" s="328"/>
      <c r="AG666" s="328"/>
      <c r="AH666" s="328"/>
      <c r="AI666" s="328"/>
      <c r="AJ666" s="328"/>
      <c r="AK666" s="328"/>
      <c r="AL666" s="328"/>
      <c r="AM666" s="328"/>
      <c r="AN666" s="328"/>
      <c r="AO666" s="328"/>
      <c r="AP666" s="328"/>
      <c r="AQ666" s="328"/>
      <c r="AR666" s="328"/>
      <c r="AS666" s="328"/>
      <c r="AT666" s="328"/>
      <c r="AU666" s="328"/>
    </row>
    <row r="667" ht="15.75" customHeight="1">
      <c r="A667" s="328"/>
      <c r="B667" s="328"/>
      <c r="C667" s="328"/>
      <c r="D667" s="328"/>
      <c r="E667" s="328"/>
      <c r="F667" s="328"/>
      <c r="G667" s="328"/>
      <c r="H667" s="328"/>
      <c r="I667" s="328"/>
      <c r="J667" s="328"/>
      <c r="K667" s="328"/>
      <c r="L667" s="328"/>
      <c r="M667" s="328"/>
      <c r="N667" s="328"/>
      <c r="O667" s="328"/>
      <c r="P667" s="328"/>
      <c r="Q667" s="328"/>
      <c r="R667" s="328"/>
      <c r="S667" s="328"/>
      <c r="T667" s="328"/>
      <c r="U667" s="328"/>
      <c r="V667" s="328"/>
      <c r="W667" s="328"/>
      <c r="X667" s="328"/>
      <c r="Y667" s="328"/>
      <c r="Z667" s="328"/>
      <c r="AA667" s="328"/>
      <c r="AB667" s="328"/>
      <c r="AC667" s="328"/>
      <c r="AD667" s="328"/>
      <c r="AE667" s="328"/>
      <c r="AF667" s="328"/>
      <c r="AG667" s="328"/>
      <c r="AH667" s="328"/>
      <c r="AI667" s="328"/>
      <c r="AJ667" s="328"/>
      <c r="AK667" s="328"/>
      <c r="AL667" s="328"/>
      <c r="AM667" s="328"/>
      <c r="AN667" s="328"/>
      <c r="AO667" s="328"/>
      <c r="AP667" s="328"/>
      <c r="AQ667" s="328"/>
      <c r="AR667" s="328"/>
      <c r="AS667" s="328"/>
      <c r="AT667" s="328"/>
      <c r="AU667" s="328"/>
    </row>
    <row r="668" ht="15.75" customHeight="1">
      <c r="A668" s="328"/>
      <c r="B668" s="328"/>
      <c r="C668" s="328"/>
      <c r="D668" s="328"/>
      <c r="E668" s="328"/>
      <c r="F668" s="328"/>
      <c r="G668" s="328"/>
      <c r="H668" s="328"/>
      <c r="I668" s="328"/>
      <c r="J668" s="328"/>
      <c r="K668" s="328"/>
      <c r="L668" s="328"/>
      <c r="M668" s="328"/>
      <c r="N668" s="328"/>
      <c r="O668" s="328"/>
      <c r="P668" s="328"/>
      <c r="Q668" s="328"/>
      <c r="R668" s="328"/>
      <c r="S668" s="328"/>
      <c r="T668" s="328"/>
      <c r="U668" s="328"/>
      <c r="V668" s="328"/>
      <c r="W668" s="328"/>
      <c r="X668" s="328"/>
      <c r="Y668" s="328"/>
      <c r="Z668" s="328"/>
      <c r="AA668" s="328"/>
      <c r="AB668" s="328"/>
      <c r="AC668" s="328"/>
      <c r="AD668" s="328"/>
      <c r="AE668" s="328"/>
      <c r="AF668" s="328"/>
      <c r="AG668" s="328"/>
      <c r="AH668" s="328"/>
      <c r="AI668" s="328"/>
      <c r="AJ668" s="328"/>
      <c r="AK668" s="328"/>
      <c r="AL668" s="328"/>
      <c r="AM668" s="328"/>
      <c r="AN668" s="328"/>
      <c r="AO668" s="328"/>
      <c r="AP668" s="328"/>
      <c r="AQ668" s="328"/>
      <c r="AR668" s="328"/>
      <c r="AS668" s="328"/>
      <c r="AT668" s="328"/>
      <c r="AU668" s="328"/>
    </row>
    <row r="669" ht="15.75" customHeight="1">
      <c r="A669" s="328"/>
      <c r="B669" s="328"/>
      <c r="C669" s="328"/>
      <c r="D669" s="328"/>
      <c r="E669" s="328"/>
      <c r="F669" s="328"/>
      <c r="G669" s="328"/>
      <c r="H669" s="328"/>
      <c r="I669" s="328"/>
      <c r="J669" s="328"/>
      <c r="K669" s="328"/>
      <c r="L669" s="328"/>
      <c r="M669" s="328"/>
      <c r="N669" s="328"/>
      <c r="O669" s="328"/>
      <c r="P669" s="328"/>
      <c r="Q669" s="328"/>
      <c r="R669" s="328"/>
      <c r="S669" s="328"/>
      <c r="T669" s="328"/>
      <c r="U669" s="328"/>
      <c r="V669" s="328"/>
      <c r="W669" s="328"/>
      <c r="X669" s="328"/>
      <c r="Y669" s="328"/>
      <c r="Z669" s="328"/>
      <c r="AA669" s="328"/>
      <c r="AB669" s="328"/>
      <c r="AC669" s="328"/>
      <c r="AD669" s="328"/>
      <c r="AE669" s="328"/>
      <c r="AF669" s="328"/>
      <c r="AG669" s="328"/>
      <c r="AH669" s="328"/>
      <c r="AI669" s="328"/>
      <c r="AJ669" s="328"/>
      <c r="AK669" s="328"/>
      <c r="AL669" s="328"/>
      <c r="AM669" s="328"/>
      <c r="AN669" s="328"/>
      <c r="AO669" s="328"/>
      <c r="AP669" s="328"/>
      <c r="AQ669" s="328"/>
      <c r="AR669" s="328"/>
      <c r="AS669" s="328"/>
      <c r="AT669" s="328"/>
      <c r="AU669" s="328"/>
    </row>
    <row r="670" ht="15.75" customHeight="1">
      <c r="A670" s="328"/>
      <c r="B670" s="328"/>
      <c r="C670" s="328"/>
      <c r="D670" s="328"/>
      <c r="E670" s="328"/>
      <c r="F670" s="328"/>
      <c r="G670" s="328"/>
      <c r="H670" s="328"/>
      <c r="I670" s="328"/>
      <c r="J670" s="328"/>
      <c r="K670" s="328"/>
      <c r="L670" s="328"/>
      <c r="M670" s="328"/>
      <c r="N670" s="328"/>
      <c r="O670" s="328"/>
      <c r="P670" s="328"/>
      <c r="Q670" s="328"/>
      <c r="R670" s="328"/>
      <c r="S670" s="328"/>
      <c r="T670" s="328"/>
      <c r="U670" s="328"/>
      <c r="V670" s="328"/>
      <c r="W670" s="328"/>
      <c r="X670" s="328"/>
      <c r="Y670" s="328"/>
      <c r="Z670" s="328"/>
      <c r="AA670" s="328"/>
      <c r="AB670" s="328"/>
      <c r="AC670" s="328"/>
      <c r="AD670" s="328"/>
      <c r="AE670" s="328"/>
      <c r="AF670" s="328"/>
      <c r="AG670" s="328"/>
      <c r="AH670" s="328"/>
      <c r="AI670" s="328"/>
      <c r="AJ670" s="328"/>
      <c r="AK670" s="328"/>
      <c r="AL670" s="328"/>
      <c r="AM670" s="328"/>
      <c r="AN670" s="328"/>
      <c r="AO670" s="328"/>
      <c r="AP670" s="328"/>
      <c r="AQ670" s="328"/>
      <c r="AR670" s="328"/>
      <c r="AS670" s="328"/>
      <c r="AT670" s="328"/>
      <c r="AU670" s="328"/>
    </row>
    <row r="671" ht="15.75" customHeight="1">
      <c r="A671" s="328"/>
      <c r="B671" s="328"/>
      <c r="C671" s="328"/>
      <c r="D671" s="328"/>
      <c r="E671" s="328"/>
      <c r="F671" s="328"/>
      <c r="G671" s="328"/>
      <c r="H671" s="328"/>
      <c r="I671" s="328"/>
      <c r="J671" s="328"/>
      <c r="K671" s="328"/>
      <c r="L671" s="328"/>
      <c r="M671" s="328"/>
      <c r="N671" s="328"/>
      <c r="O671" s="328"/>
      <c r="P671" s="328"/>
      <c r="Q671" s="328"/>
      <c r="R671" s="328"/>
      <c r="S671" s="328"/>
      <c r="T671" s="328"/>
      <c r="U671" s="328"/>
      <c r="V671" s="328"/>
      <c r="W671" s="328"/>
      <c r="X671" s="328"/>
      <c r="Y671" s="328"/>
      <c r="Z671" s="328"/>
      <c r="AA671" s="328"/>
      <c r="AB671" s="328"/>
      <c r="AC671" s="328"/>
      <c r="AD671" s="328"/>
      <c r="AE671" s="328"/>
      <c r="AF671" s="328"/>
      <c r="AG671" s="328"/>
      <c r="AH671" s="328"/>
      <c r="AI671" s="328"/>
      <c r="AJ671" s="328"/>
      <c r="AK671" s="328"/>
      <c r="AL671" s="328"/>
      <c r="AM671" s="328"/>
      <c r="AN671" s="328"/>
      <c r="AO671" s="328"/>
      <c r="AP671" s="328"/>
      <c r="AQ671" s="328"/>
      <c r="AR671" s="328"/>
      <c r="AS671" s="328"/>
      <c r="AT671" s="328"/>
      <c r="AU671" s="328"/>
    </row>
    <row r="672" ht="15.75" customHeight="1">
      <c r="A672" s="328"/>
      <c r="B672" s="328"/>
      <c r="C672" s="328"/>
      <c r="D672" s="328"/>
      <c r="E672" s="328"/>
      <c r="F672" s="328"/>
      <c r="G672" s="328"/>
      <c r="H672" s="328"/>
      <c r="I672" s="328"/>
      <c r="J672" s="328"/>
      <c r="K672" s="328"/>
      <c r="L672" s="328"/>
      <c r="M672" s="328"/>
      <c r="N672" s="328"/>
      <c r="O672" s="328"/>
      <c r="P672" s="328"/>
      <c r="Q672" s="328"/>
      <c r="R672" s="328"/>
      <c r="S672" s="328"/>
      <c r="T672" s="328"/>
      <c r="U672" s="328"/>
      <c r="V672" s="328"/>
      <c r="W672" s="328"/>
      <c r="X672" s="328"/>
      <c r="Y672" s="328"/>
      <c r="Z672" s="328"/>
      <c r="AA672" s="328"/>
      <c r="AB672" s="328"/>
      <c r="AC672" s="328"/>
      <c r="AD672" s="328"/>
      <c r="AE672" s="328"/>
      <c r="AF672" s="328"/>
      <c r="AG672" s="328"/>
      <c r="AH672" s="328"/>
      <c r="AI672" s="328"/>
      <c r="AJ672" s="328"/>
      <c r="AK672" s="328"/>
      <c r="AL672" s="328"/>
      <c r="AM672" s="328"/>
      <c r="AN672" s="328"/>
      <c r="AO672" s="328"/>
      <c r="AP672" s="328"/>
      <c r="AQ672" s="328"/>
      <c r="AR672" s="328"/>
      <c r="AS672" s="328"/>
      <c r="AT672" s="328"/>
      <c r="AU672" s="328"/>
    </row>
    <row r="673" ht="15.75" customHeight="1">
      <c r="A673" s="328"/>
      <c r="B673" s="328"/>
      <c r="C673" s="328"/>
      <c r="D673" s="328"/>
      <c r="E673" s="328"/>
      <c r="F673" s="328"/>
      <c r="G673" s="328"/>
      <c r="H673" s="328"/>
      <c r="I673" s="328"/>
      <c r="J673" s="328"/>
      <c r="K673" s="328"/>
      <c r="L673" s="328"/>
      <c r="M673" s="328"/>
      <c r="N673" s="328"/>
      <c r="O673" s="328"/>
      <c r="P673" s="328"/>
      <c r="Q673" s="328"/>
      <c r="R673" s="328"/>
      <c r="S673" s="328"/>
      <c r="T673" s="328"/>
      <c r="U673" s="328"/>
      <c r="V673" s="328"/>
      <c r="W673" s="328"/>
      <c r="X673" s="328"/>
      <c r="Y673" s="328"/>
      <c r="Z673" s="328"/>
      <c r="AA673" s="328"/>
      <c r="AB673" s="328"/>
      <c r="AC673" s="328"/>
      <c r="AD673" s="328"/>
      <c r="AE673" s="328"/>
      <c r="AF673" s="328"/>
      <c r="AG673" s="328"/>
      <c r="AH673" s="328"/>
      <c r="AI673" s="328"/>
      <c r="AJ673" s="328"/>
      <c r="AK673" s="328"/>
      <c r="AL673" s="328"/>
      <c r="AM673" s="328"/>
      <c r="AN673" s="328"/>
      <c r="AO673" s="328"/>
      <c r="AP673" s="328"/>
      <c r="AQ673" s="328"/>
      <c r="AR673" s="328"/>
      <c r="AS673" s="328"/>
      <c r="AT673" s="328"/>
      <c r="AU673" s="328"/>
    </row>
    <row r="674" ht="15.75" customHeight="1">
      <c r="A674" s="328"/>
      <c r="B674" s="328"/>
      <c r="C674" s="328"/>
      <c r="D674" s="328"/>
      <c r="E674" s="328"/>
      <c r="F674" s="328"/>
      <c r="G674" s="328"/>
      <c r="H674" s="328"/>
      <c r="I674" s="328"/>
      <c r="J674" s="328"/>
      <c r="K674" s="328"/>
      <c r="L674" s="328"/>
      <c r="M674" s="328"/>
      <c r="N674" s="328"/>
      <c r="O674" s="328"/>
      <c r="P674" s="328"/>
      <c r="Q674" s="328"/>
      <c r="R674" s="328"/>
      <c r="S674" s="328"/>
      <c r="T674" s="328"/>
      <c r="U674" s="328"/>
      <c r="V674" s="328"/>
      <c r="W674" s="328"/>
      <c r="X674" s="328"/>
      <c r="Y674" s="328"/>
      <c r="Z674" s="328"/>
      <c r="AA674" s="328"/>
      <c r="AB674" s="328"/>
      <c r="AC674" s="328"/>
      <c r="AD674" s="328"/>
      <c r="AE674" s="328"/>
      <c r="AF674" s="328"/>
      <c r="AG674" s="328"/>
      <c r="AH674" s="328"/>
      <c r="AI674" s="328"/>
      <c r="AJ674" s="328"/>
      <c r="AK674" s="328"/>
      <c r="AL674" s="328"/>
      <c r="AM674" s="328"/>
      <c r="AN674" s="328"/>
      <c r="AO674" s="328"/>
      <c r="AP674" s="328"/>
      <c r="AQ674" s="328"/>
      <c r="AR674" s="328"/>
      <c r="AS674" s="328"/>
      <c r="AT674" s="328"/>
      <c r="AU674" s="328"/>
    </row>
    <row r="675" ht="15.75" customHeight="1">
      <c r="A675" s="328"/>
      <c r="B675" s="328"/>
      <c r="C675" s="328"/>
      <c r="D675" s="328"/>
      <c r="E675" s="328"/>
      <c r="F675" s="328"/>
      <c r="G675" s="328"/>
      <c r="H675" s="328"/>
      <c r="I675" s="328"/>
      <c r="J675" s="328"/>
      <c r="K675" s="328"/>
      <c r="L675" s="328"/>
      <c r="M675" s="328"/>
      <c r="N675" s="328"/>
      <c r="O675" s="328"/>
      <c r="P675" s="328"/>
      <c r="Q675" s="328"/>
      <c r="R675" s="328"/>
      <c r="S675" s="328"/>
      <c r="T675" s="328"/>
      <c r="U675" s="328"/>
      <c r="V675" s="328"/>
      <c r="W675" s="328"/>
      <c r="X675" s="328"/>
      <c r="Y675" s="328"/>
      <c r="Z675" s="328"/>
      <c r="AA675" s="328"/>
      <c r="AB675" s="328"/>
      <c r="AC675" s="328"/>
      <c r="AD675" s="328"/>
      <c r="AE675" s="328"/>
      <c r="AF675" s="328"/>
      <c r="AG675" s="328"/>
      <c r="AH675" s="328"/>
      <c r="AI675" s="328"/>
      <c r="AJ675" s="328"/>
      <c r="AK675" s="328"/>
      <c r="AL675" s="328"/>
      <c r="AM675" s="328"/>
      <c r="AN675" s="328"/>
      <c r="AO675" s="328"/>
      <c r="AP675" s="328"/>
      <c r="AQ675" s="328"/>
      <c r="AR675" s="328"/>
      <c r="AS675" s="328"/>
      <c r="AT675" s="328"/>
      <c r="AU675" s="328"/>
    </row>
    <row r="676" ht="15.75" customHeight="1">
      <c r="A676" s="328"/>
      <c r="B676" s="328"/>
      <c r="C676" s="328"/>
      <c r="D676" s="328"/>
      <c r="E676" s="328"/>
      <c r="F676" s="328"/>
      <c r="G676" s="328"/>
      <c r="H676" s="328"/>
      <c r="I676" s="328"/>
      <c r="J676" s="328"/>
      <c r="K676" s="328"/>
      <c r="L676" s="328"/>
      <c r="M676" s="328"/>
      <c r="N676" s="328"/>
      <c r="O676" s="328"/>
      <c r="P676" s="328"/>
      <c r="Q676" s="328"/>
      <c r="R676" s="328"/>
      <c r="S676" s="328"/>
      <c r="T676" s="328"/>
      <c r="U676" s="328"/>
      <c r="V676" s="328"/>
      <c r="W676" s="328"/>
      <c r="X676" s="328"/>
      <c r="Y676" s="328"/>
      <c r="Z676" s="328"/>
      <c r="AA676" s="328"/>
      <c r="AB676" s="328"/>
      <c r="AC676" s="328"/>
      <c r="AD676" s="328"/>
      <c r="AE676" s="328"/>
      <c r="AF676" s="328"/>
      <c r="AG676" s="328"/>
      <c r="AH676" s="328"/>
      <c r="AI676" s="328"/>
      <c r="AJ676" s="328"/>
      <c r="AK676" s="328"/>
      <c r="AL676" s="328"/>
      <c r="AM676" s="328"/>
      <c r="AN676" s="328"/>
      <c r="AO676" s="328"/>
      <c r="AP676" s="328"/>
      <c r="AQ676" s="328"/>
      <c r="AR676" s="328"/>
      <c r="AS676" s="328"/>
      <c r="AT676" s="328"/>
      <c r="AU676" s="328"/>
    </row>
    <row r="677" ht="15.75" customHeight="1">
      <c r="A677" s="328"/>
      <c r="B677" s="328"/>
      <c r="C677" s="328"/>
      <c r="D677" s="328"/>
      <c r="E677" s="328"/>
      <c r="F677" s="328"/>
      <c r="G677" s="328"/>
      <c r="H677" s="328"/>
      <c r="I677" s="328"/>
      <c r="J677" s="328"/>
      <c r="K677" s="328"/>
      <c r="L677" s="328"/>
      <c r="M677" s="328"/>
      <c r="N677" s="328"/>
      <c r="O677" s="328"/>
      <c r="P677" s="328"/>
      <c r="Q677" s="328"/>
      <c r="R677" s="328"/>
      <c r="S677" s="328"/>
      <c r="T677" s="328"/>
      <c r="U677" s="328"/>
      <c r="V677" s="328"/>
      <c r="W677" s="328"/>
      <c r="X677" s="328"/>
      <c r="Y677" s="328"/>
      <c r="Z677" s="328"/>
      <c r="AA677" s="328"/>
      <c r="AB677" s="328"/>
      <c r="AC677" s="328"/>
      <c r="AD677" s="328"/>
      <c r="AE677" s="328"/>
      <c r="AF677" s="328"/>
      <c r="AG677" s="328"/>
      <c r="AH677" s="328"/>
      <c r="AI677" s="328"/>
      <c r="AJ677" s="328"/>
      <c r="AK677" s="328"/>
      <c r="AL677" s="328"/>
      <c r="AM677" s="328"/>
      <c r="AN677" s="328"/>
      <c r="AO677" s="328"/>
      <c r="AP677" s="328"/>
      <c r="AQ677" s="328"/>
      <c r="AR677" s="328"/>
      <c r="AS677" s="328"/>
      <c r="AT677" s="328"/>
      <c r="AU677" s="328"/>
    </row>
    <row r="678" ht="15.75" customHeight="1">
      <c r="A678" s="328"/>
      <c r="B678" s="328"/>
      <c r="C678" s="328"/>
      <c r="D678" s="328"/>
      <c r="E678" s="328"/>
      <c r="F678" s="328"/>
      <c r="G678" s="328"/>
      <c r="H678" s="328"/>
      <c r="I678" s="328"/>
      <c r="J678" s="328"/>
      <c r="K678" s="328"/>
      <c r="L678" s="328"/>
      <c r="M678" s="328"/>
      <c r="N678" s="328"/>
      <c r="O678" s="328"/>
      <c r="P678" s="328"/>
      <c r="Q678" s="328"/>
      <c r="R678" s="328"/>
      <c r="S678" s="328"/>
      <c r="T678" s="328"/>
      <c r="U678" s="328"/>
      <c r="V678" s="328"/>
      <c r="W678" s="328"/>
      <c r="X678" s="328"/>
      <c r="Y678" s="328"/>
      <c r="Z678" s="328"/>
      <c r="AA678" s="328"/>
      <c r="AB678" s="328"/>
      <c r="AC678" s="328"/>
      <c r="AD678" s="328"/>
      <c r="AE678" s="328"/>
      <c r="AF678" s="328"/>
      <c r="AG678" s="328"/>
      <c r="AH678" s="328"/>
      <c r="AI678" s="328"/>
      <c r="AJ678" s="328"/>
      <c r="AK678" s="328"/>
      <c r="AL678" s="328"/>
      <c r="AM678" s="328"/>
      <c r="AN678" s="328"/>
      <c r="AO678" s="328"/>
      <c r="AP678" s="328"/>
      <c r="AQ678" s="328"/>
      <c r="AR678" s="328"/>
      <c r="AS678" s="328"/>
      <c r="AT678" s="328"/>
      <c r="AU678" s="328"/>
    </row>
    <row r="679" ht="15.75" customHeight="1">
      <c r="A679" s="328"/>
      <c r="B679" s="328"/>
      <c r="C679" s="328"/>
      <c r="D679" s="328"/>
      <c r="E679" s="328"/>
      <c r="F679" s="328"/>
      <c r="G679" s="328"/>
      <c r="H679" s="328"/>
      <c r="I679" s="328"/>
      <c r="J679" s="328"/>
      <c r="K679" s="328"/>
      <c r="L679" s="328"/>
      <c r="M679" s="328"/>
      <c r="N679" s="328"/>
      <c r="O679" s="328"/>
      <c r="P679" s="328"/>
      <c r="Q679" s="328"/>
      <c r="R679" s="328"/>
      <c r="S679" s="328"/>
      <c r="T679" s="328"/>
      <c r="U679" s="328"/>
      <c r="V679" s="328"/>
      <c r="W679" s="328"/>
      <c r="X679" s="328"/>
      <c r="Y679" s="328"/>
      <c r="Z679" s="328"/>
      <c r="AA679" s="328"/>
      <c r="AB679" s="328"/>
      <c r="AC679" s="328"/>
      <c r="AD679" s="328"/>
      <c r="AE679" s="328"/>
      <c r="AF679" s="328"/>
      <c r="AG679" s="328"/>
      <c r="AH679" s="328"/>
      <c r="AI679" s="328"/>
      <c r="AJ679" s="328"/>
      <c r="AK679" s="328"/>
      <c r="AL679" s="328"/>
      <c r="AM679" s="328"/>
      <c r="AN679" s="328"/>
      <c r="AO679" s="328"/>
      <c r="AP679" s="328"/>
      <c r="AQ679" s="328"/>
      <c r="AR679" s="328"/>
      <c r="AS679" s="328"/>
      <c r="AT679" s="328"/>
      <c r="AU679" s="328"/>
    </row>
    <row r="680" ht="15.75" customHeight="1">
      <c r="A680" s="328"/>
      <c r="B680" s="328"/>
      <c r="C680" s="328"/>
      <c r="D680" s="328"/>
      <c r="E680" s="328"/>
      <c r="F680" s="328"/>
      <c r="G680" s="328"/>
      <c r="H680" s="328"/>
      <c r="I680" s="328"/>
      <c r="J680" s="328"/>
      <c r="K680" s="328"/>
      <c r="L680" s="328"/>
      <c r="M680" s="328"/>
      <c r="N680" s="328"/>
      <c r="O680" s="328"/>
      <c r="P680" s="328"/>
      <c r="Q680" s="328"/>
      <c r="R680" s="328"/>
      <c r="S680" s="328"/>
      <c r="T680" s="328"/>
      <c r="U680" s="328"/>
      <c r="V680" s="328"/>
      <c r="W680" s="328"/>
      <c r="X680" s="328"/>
      <c r="Y680" s="328"/>
      <c r="Z680" s="328"/>
      <c r="AA680" s="328"/>
      <c r="AB680" s="328"/>
      <c r="AC680" s="328"/>
      <c r="AD680" s="328"/>
      <c r="AE680" s="328"/>
      <c r="AF680" s="328"/>
      <c r="AG680" s="328"/>
      <c r="AH680" s="328"/>
      <c r="AI680" s="328"/>
      <c r="AJ680" s="328"/>
      <c r="AK680" s="328"/>
      <c r="AL680" s="328"/>
      <c r="AM680" s="328"/>
      <c r="AN680" s="328"/>
      <c r="AO680" s="328"/>
      <c r="AP680" s="328"/>
      <c r="AQ680" s="328"/>
      <c r="AR680" s="328"/>
      <c r="AS680" s="328"/>
      <c r="AT680" s="328"/>
      <c r="AU680" s="328"/>
    </row>
    <row r="681" ht="15.75" customHeight="1">
      <c r="A681" s="328"/>
      <c r="B681" s="328"/>
      <c r="C681" s="328"/>
      <c r="D681" s="328"/>
      <c r="E681" s="328"/>
      <c r="F681" s="328"/>
      <c r="G681" s="328"/>
      <c r="H681" s="328"/>
      <c r="I681" s="328"/>
      <c r="J681" s="328"/>
      <c r="K681" s="328"/>
      <c r="L681" s="328"/>
      <c r="M681" s="328"/>
      <c r="N681" s="328"/>
      <c r="O681" s="328"/>
      <c r="P681" s="328"/>
      <c r="Q681" s="328"/>
      <c r="R681" s="328"/>
      <c r="S681" s="328"/>
      <c r="T681" s="328"/>
      <c r="U681" s="328"/>
      <c r="V681" s="328"/>
      <c r="W681" s="328"/>
      <c r="X681" s="328"/>
      <c r="Y681" s="328"/>
      <c r="Z681" s="328"/>
      <c r="AA681" s="328"/>
      <c r="AB681" s="328"/>
      <c r="AC681" s="328"/>
      <c r="AD681" s="328"/>
      <c r="AE681" s="328"/>
      <c r="AF681" s="328"/>
      <c r="AG681" s="328"/>
      <c r="AH681" s="328"/>
      <c r="AI681" s="328"/>
      <c r="AJ681" s="328"/>
      <c r="AK681" s="328"/>
      <c r="AL681" s="328"/>
      <c r="AM681" s="328"/>
      <c r="AN681" s="328"/>
      <c r="AO681" s="328"/>
      <c r="AP681" s="328"/>
      <c r="AQ681" s="328"/>
      <c r="AR681" s="328"/>
      <c r="AS681" s="328"/>
      <c r="AT681" s="328"/>
      <c r="AU681" s="328"/>
    </row>
    <row r="682" ht="15.75" customHeight="1">
      <c r="A682" s="328"/>
      <c r="B682" s="328"/>
      <c r="C682" s="328"/>
      <c r="D682" s="328"/>
      <c r="E682" s="328"/>
      <c r="F682" s="328"/>
      <c r="G682" s="328"/>
      <c r="H682" s="328"/>
      <c r="I682" s="328"/>
      <c r="J682" s="328"/>
      <c r="K682" s="328"/>
      <c r="L682" s="328"/>
      <c r="M682" s="328"/>
      <c r="N682" s="328"/>
      <c r="O682" s="328"/>
      <c r="P682" s="328"/>
      <c r="Q682" s="328"/>
      <c r="R682" s="328"/>
      <c r="S682" s="328"/>
      <c r="T682" s="328"/>
      <c r="U682" s="328"/>
      <c r="V682" s="328"/>
      <c r="W682" s="328"/>
      <c r="X682" s="328"/>
      <c r="Y682" s="328"/>
      <c r="Z682" s="328"/>
      <c r="AA682" s="328"/>
      <c r="AB682" s="328"/>
      <c r="AC682" s="328"/>
      <c r="AD682" s="328"/>
      <c r="AE682" s="328"/>
      <c r="AF682" s="328"/>
      <c r="AG682" s="328"/>
      <c r="AH682" s="328"/>
      <c r="AI682" s="328"/>
      <c r="AJ682" s="328"/>
      <c r="AK682" s="328"/>
      <c r="AL682" s="328"/>
      <c r="AM682" s="328"/>
      <c r="AN682" s="328"/>
      <c r="AO682" s="328"/>
      <c r="AP682" s="328"/>
      <c r="AQ682" s="328"/>
      <c r="AR682" s="328"/>
      <c r="AS682" s="328"/>
      <c r="AT682" s="328"/>
      <c r="AU682" s="328"/>
    </row>
    <row r="683" ht="15.75" customHeight="1">
      <c r="A683" s="328"/>
      <c r="B683" s="328"/>
      <c r="C683" s="328"/>
      <c r="D683" s="328"/>
      <c r="E683" s="328"/>
      <c r="F683" s="328"/>
      <c r="G683" s="328"/>
      <c r="H683" s="328"/>
      <c r="I683" s="328"/>
      <c r="J683" s="328"/>
      <c r="K683" s="328"/>
      <c r="L683" s="328"/>
      <c r="M683" s="328"/>
      <c r="N683" s="328"/>
      <c r="O683" s="328"/>
      <c r="P683" s="328"/>
      <c r="Q683" s="328"/>
      <c r="R683" s="328"/>
      <c r="S683" s="328"/>
      <c r="T683" s="328"/>
      <c r="U683" s="328"/>
      <c r="V683" s="328"/>
      <c r="W683" s="328"/>
      <c r="X683" s="328"/>
      <c r="Y683" s="328"/>
      <c r="Z683" s="328"/>
      <c r="AA683" s="328"/>
      <c r="AB683" s="328"/>
      <c r="AC683" s="328"/>
      <c r="AD683" s="328"/>
      <c r="AE683" s="328"/>
      <c r="AF683" s="328"/>
      <c r="AG683" s="328"/>
      <c r="AH683" s="328"/>
      <c r="AI683" s="328"/>
      <c r="AJ683" s="328"/>
      <c r="AK683" s="328"/>
      <c r="AL683" s="328"/>
      <c r="AM683" s="328"/>
      <c r="AN683" s="328"/>
      <c r="AO683" s="328"/>
      <c r="AP683" s="328"/>
      <c r="AQ683" s="328"/>
      <c r="AR683" s="328"/>
      <c r="AS683" s="328"/>
      <c r="AT683" s="328"/>
      <c r="AU683" s="328"/>
    </row>
    <row r="684" ht="15.75" customHeight="1">
      <c r="A684" s="328"/>
      <c r="B684" s="328"/>
      <c r="C684" s="328"/>
      <c r="D684" s="328"/>
      <c r="E684" s="328"/>
      <c r="F684" s="328"/>
      <c r="G684" s="328"/>
      <c r="H684" s="328"/>
      <c r="I684" s="328"/>
      <c r="J684" s="328"/>
      <c r="K684" s="328"/>
      <c r="L684" s="328"/>
      <c r="M684" s="328"/>
      <c r="N684" s="328"/>
      <c r="O684" s="328"/>
      <c r="P684" s="328"/>
      <c r="Q684" s="328"/>
      <c r="R684" s="328"/>
      <c r="S684" s="328"/>
      <c r="T684" s="328"/>
      <c r="U684" s="328"/>
      <c r="V684" s="328"/>
      <c r="W684" s="328"/>
      <c r="X684" s="328"/>
      <c r="Y684" s="328"/>
      <c r="Z684" s="328"/>
      <c r="AA684" s="328"/>
      <c r="AB684" s="328"/>
      <c r="AC684" s="328"/>
      <c r="AD684" s="328"/>
      <c r="AE684" s="328"/>
      <c r="AF684" s="328"/>
      <c r="AG684" s="328"/>
      <c r="AH684" s="328"/>
      <c r="AI684" s="328"/>
      <c r="AJ684" s="328"/>
      <c r="AK684" s="328"/>
      <c r="AL684" s="328"/>
      <c r="AM684" s="328"/>
      <c r="AN684" s="328"/>
      <c r="AO684" s="328"/>
      <c r="AP684" s="328"/>
      <c r="AQ684" s="328"/>
      <c r="AR684" s="328"/>
      <c r="AS684" s="328"/>
      <c r="AT684" s="328"/>
      <c r="AU684" s="328"/>
    </row>
    <row r="685" ht="15.75" customHeight="1">
      <c r="A685" s="328"/>
      <c r="B685" s="328"/>
      <c r="C685" s="328"/>
      <c r="D685" s="328"/>
      <c r="E685" s="328"/>
      <c r="F685" s="328"/>
      <c r="G685" s="328"/>
      <c r="H685" s="328"/>
      <c r="I685" s="328"/>
      <c r="J685" s="328"/>
      <c r="K685" s="328"/>
      <c r="L685" s="328"/>
      <c r="M685" s="328"/>
      <c r="N685" s="328"/>
      <c r="O685" s="328"/>
      <c r="P685" s="328"/>
      <c r="Q685" s="328"/>
      <c r="R685" s="328"/>
      <c r="S685" s="328"/>
      <c r="T685" s="328"/>
      <c r="U685" s="328"/>
      <c r="V685" s="328"/>
      <c r="W685" s="328"/>
      <c r="X685" s="328"/>
      <c r="Y685" s="328"/>
      <c r="Z685" s="328"/>
      <c r="AA685" s="328"/>
      <c r="AB685" s="328"/>
      <c r="AC685" s="328"/>
      <c r="AD685" s="328"/>
      <c r="AE685" s="328"/>
      <c r="AF685" s="328"/>
      <c r="AG685" s="328"/>
      <c r="AH685" s="328"/>
      <c r="AI685" s="328"/>
      <c r="AJ685" s="328"/>
      <c r="AK685" s="328"/>
      <c r="AL685" s="328"/>
      <c r="AM685" s="328"/>
      <c r="AN685" s="328"/>
      <c r="AO685" s="328"/>
      <c r="AP685" s="328"/>
      <c r="AQ685" s="328"/>
      <c r="AR685" s="328"/>
      <c r="AS685" s="328"/>
      <c r="AT685" s="328"/>
      <c r="AU685" s="328"/>
    </row>
    <row r="686" ht="15.75" customHeight="1">
      <c r="A686" s="328"/>
      <c r="B686" s="328"/>
      <c r="C686" s="328"/>
      <c r="D686" s="328"/>
      <c r="E686" s="328"/>
      <c r="F686" s="328"/>
      <c r="G686" s="328"/>
      <c r="H686" s="328"/>
      <c r="I686" s="328"/>
      <c r="J686" s="328"/>
      <c r="K686" s="328"/>
      <c r="L686" s="328"/>
      <c r="M686" s="328"/>
      <c r="N686" s="328"/>
      <c r="O686" s="328"/>
      <c r="P686" s="328"/>
      <c r="Q686" s="328"/>
      <c r="R686" s="328"/>
      <c r="S686" s="328"/>
      <c r="T686" s="328"/>
      <c r="U686" s="328"/>
      <c r="V686" s="328"/>
      <c r="W686" s="328"/>
      <c r="X686" s="328"/>
      <c r="Y686" s="328"/>
      <c r="Z686" s="328"/>
      <c r="AA686" s="328"/>
      <c r="AB686" s="328"/>
      <c r="AC686" s="328"/>
      <c r="AD686" s="328"/>
      <c r="AE686" s="328"/>
      <c r="AF686" s="328"/>
      <c r="AG686" s="328"/>
      <c r="AH686" s="328"/>
      <c r="AI686" s="328"/>
      <c r="AJ686" s="328"/>
      <c r="AK686" s="328"/>
      <c r="AL686" s="328"/>
      <c r="AM686" s="328"/>
      <c r="AN686" s="328"/>
      <c r="AO686" s="328"/>
      <c r="AP686" s="328"/>
      <c r="AQ686" s="328"/>
      <c r="AR686" s="328"/>
      <c r="AS686" s="328"/>
      <c r="AT686" s="328"/>
      <c r="AU686" s="328"/>
    </row>
    <row r="687" ht="15.75" customHeight="1">
      <c r="A687" s="328"/>
      <c r="B687" s="328"/>
      <c r="C687" s="328"/>
      <c r="D687" s="328"/>
      <c r="E687" s="328"/>
      <c r="F687" s="328"/>
      <c r="G687" s="328"/>
      <c r="H687" s="328"/>
      <c r="I687" s="328"/>
      <c r="J687" s="328"/>
      <c r="K687" s="328"/>
      <c r="L687" s="328"/>
      <c r="M687" s="328"/>
      <c r="N687" s="328"/>
      <c r="O687" s="328"/>
      <c r="P687" s="328"/>
      <c r="Q687" s="328"/>
      <c r="R687" s="328"/>
      <c r="S687" s="328"/>
      <c r="T687" s="328"/>
      <c r="U687" s="328"/>
      <c r="V687" s="328"/>
      <c r="W687" s="328"/>
      <c r="X687" s="328"/>
      <c r="Y687" s="328"/>
      <c r="Z687" s="328"/>
      <c r="AA687" s="328"/>
      <c r="AB687" s="328"/>
      <c r="AC687" s="328"/>
      <c r="AD687" s="328"/>
      <c r="AE687" s="328"/>
      <c r="AF687" s="328"/>
      <c r="AG687" s="328"/>
      <c r="AH687" s="328"/>
      <c r="AI687" s="328"/>
      <c r="AJ687" s="328"/>
      <c r="AK687" s="328"/>
      <c r="AL687" s="328"/>
      <c r="AM687" s="328"/>
      <c r="AN687" s="328"/>
      <c r="AO687" s="328"/>
      <c r="AP687" s="328"/>
      <c r="AQ687" s="328"/>
      <c r="AR687" s="328"/>
      <c r="AS687" s="328"/>
      <c r="AT687" s="328"/>
      <c r="AU687" s="328"/>
    </row>
    <row r="688" ht="15.75" customHeight="1">
      <c r="A688" s="328"/>
      <c r="B688" s="328"/>
      <c r="C688" s="328"/>
      <c r="D688" s="328"/>
      <c r="E688" s="328"/>
      <c r="F688" s="328"/>
      <c r="G688" s="328"/>
      <c r="H688" s="328"/>
      <c r="I688" s="328"/>
      <c r="J688" s="328"/>
      <c r="K688" s="328"/>
      <c r="L688" s="328"/>
      <c r="M688" s="328"/>
      <c r="N688" s="328"/>
      <c r="O688" s="328"/>
      <c r="P688" s="328"/>
      <c r="Q688" s="328"/>
      <c r="R688" s="328"/>
      <c r="S688" s="328"/>
      <c r="T688" s="328"/>
      <c r="U688" s="328"/>
      <c r="V688" s="328"/>
      <c r="W688" s="328"/>
      <c r="X688" s="328"/>
      <c r="Y688" s="328"/>
      <c r="Z688" s="328"/>
      <c r="AA688" s="328"/>
      <c r="AB688" s="328"/>
      <c r="AC688" s="328"/>
      <c r="AD688" s="328"/>
      <c r="AE688" s="328"/>
      <c r="AF688" s="328"/>
      <c r="AG688" s="328"/>
      <c r="AH688" s="328"/>
      <c r="AI688" s="328"/>
      <c r="AJ688" s="328"/>
      <c r="AK688" s="328"/>
      <c r="AL688" s="328"/>
      <c r="AM688" s="328"/>
      <c r="AN688" s="328"/>
      <c r="AO688" s="328"/>
      <c r="AP688" s="328"/>
      <c r="AQ688" s="328"/>
      <c r="AR688" s="328"/>
      <c r="AS688" s="328"/>
      <c r="AT688" s="328"/>
      <c r="AU688" s="328"/>
    </row>
    <row r="689" ht="15.75" customHeight="1">
      <c r="A689" s="328"/>
      <c r="B689" s="328"/>
      <c r="C689" s="328"/>
      <c r="D689" s="328"/>
      <c r="E689" s="328"/>
      <c r="F689" s="328"/>
      <c r="G689" s="328"/>
      <c r="H689" s="328"/>
      <c r="I689" s="328"/>
      <c r="J689" s="328"/>
      <c r="K689" s="328"/>
      <c r="L689" s="328"/>
      <c r="M689" s="328"/>
      <c r="N689" s="328"/>
      <c r="O689" s="328"/>
      <c r="P689" s="328"/>
      <c r="Q689" s="328"/>
      <c r="R689" s="328"/>
      <c r="S689" s="328"/>
      <c r="T689" s="328"/>
      <c r="U689" s="328"/>
      <c r="V689" s="328"/>
      <c r="W689" s="328"/>
      <c r="X689" s="328"/>
      <c r="Y689" s="328"/>
      <c r="Z689" s="328"/>
      <c r="AA689" s="328"/>
      <c r="AB689" s="328"/>
      <c r="AC689" s="328"/>
      <c r="AD689" s="328"/>
      <c r="AE689" s="328"/>
      <c r="AF689" s="328"/>
      <c r="AG689" s="328"/>
      <c r="AH689" s="328"/>
      <c r="AI689" s="328"/>
      <c r="AJ689" s="328"/>
      <c r="AK689" s="328"/>
      <c r="AL689" s="328"/>
      <c r="AM689" s="328"/>
      <c r="AN689" s="328"/>
      <c r="AO689" s="328"/>
      <c r="AP689" s="328"/>
      <c r="AQ689" s="328"/>
      <c r="AR689" s="328"/>
      <c r="AS689" s="328"/>
      <c r="AT689" s="328"/>
      <c r="AU689" s="328"/>
    </row>
    <row r="690" ht="15.75" customHeight="1">
      <c r="A690" s="328"/>
      <c r="B690" s="328"/>
      <c r="C690" s="328"/>
      <c r="D690" s="328"/>
      <c r="E690" s="328"/>
      <c r="F690" s="328"/>
      <c r="G690" s="328"/>
      <c r="H690" s="328"/>
      <c r="I690" s="328"/>
      <c r="J690" s="328"/>
      <c r="K690" s="328"/>
      <c r="L690" s="328"/>
      <c r="M690" s="328"/>
      <c r="N690" s="328"/>
      <c r="O690" s="328"/>
      <c r="P690" s="328"/>
      <c r="Q690" s="328"/>
      <c r="R690" s="328"/>
      <c r="S690" s="328"/>
      <c r="T690" s="328"/>
      <c r="U690" s="328"/>
      <c r="V690" s="328"/>
      <c r="W690" s="328"/>
      <c r="X690" s="328"/>
      <c r="Y690" s="328"/>
      <c r="Z690" s="328"/>
      <c r="AA690" s="328"/>
      <c r="AB690" s="328"/>
      <c r="AC690" s="328"/>
      <c r="AD690" s="328"/>
      <c r="AE690" s="328"/>
      <c r="AF690" s="328"/>
      <c r="AG690" s="328"/>
      <c r="AH690" s="328"/>
      <c r="AI690" s="328"/>
      <c r="AJ690" s="328"/>
      <c r="AK690" s="328"/>
      <c r="AL690" s="328"/>
      <c r="AM690" s="328"/>
      <c r="AN690" s="328"/>
      <c r="AO690" s="328"/>
      <c r="AP690" s="328"/>
      <c r="AQ690" s="328"/>
      <c r="AR690" s="328"/>
      <c r="AS690" s="328"/>
      <c r="AT690" s="328"/>
      <c r="AU690" s="328"/>
    </row>
    <row r="691" ht="15.75" customHeight="1">
      <c r="A691" s="328"/>
      <c r="B691" s="328"/>
      <c r="C691" s="328"/>
      <c r="D691" s="328"/>
      <c r="E691" s="328"/>
      <c r="F691" s="328"/>
      <c r="G691" s="328"/>
      <c r="H691" s="328"/>
      <c r="I691" s="328"/>
      <c r="J691" s="328"/>
      <c r="K691" s="328"/>
      <c r="L691" s="328"/>
      <c r="M691" s="328"/>
      <c r="N691" s="328"/>
      <c r="O691" s="328"/>
      <c r="P691" s="328"/>
      <c r="Q691" s="328"/>
      <c r="R691" s="328"/>
      <c r="S691" s="328"/>
      <c r="T691" s="328"/>
      <c r="U691" s="328"/>
      <c r="V691" s="328"/>
      <c r="W691" s="328"/>
      <c r="X691" s="328"/>
      <c r="Y691" s="328"/>
      <c r="Z691" s="328"/>
      <c r="AA691" s="328"/>
      <c r="AB691" s="328"/>
      <c r="AC691" s="328"/>
      <c r="AD691" s="328"/>
      <c r="AE691" s="328"/>
      <c r="AF691" s="328"/>
      <c r="AG691" s="328"/>
      <c r="AH691" s="328"/>
      <c r="AI691" s="328"/>
      <c r="AJ691" s="328"/>
      <c r="AK691" s="328"/>
      <c r="AL691" s="328"/>
      <c r="AM691" s="328"/>
      <c r="AN691" s="328"/>
      <c r="AO691" s="328"/>
      <c r="AP691" s="328"/>
      <c r="AQ691" s="328"/>
      <c r="AR691" s="328"/>
      <c r="AS691" s="328"/>
      <c r="AT691" s="328"/>
      <c r="AU691" s="328"/>
    </row>
    <row r="692" ht="15.75" customHeight="1">
      <c r="A692" s="328"/>
      <c r="B692" s="328"/>
      <c r="C692" s="328"/>
      <c r="D692" s="328"/>
      <c r="E692" s="328"/>
      <c r="F692" s="328"/>
      <c r="G692" s="328"/>
      <c r="H692" s="328"/>
      <c r="I692" s="328"/>
      <c r="J692" s="328"/>
      <c r="K692" s="328"/>
      <c r="L692" s="328"/>
      <c r="M692" s="328"/>
      <c r="N692" s="328"/>
      <c r="O692" s="328"/>
      <c r="P692" s="328"/>
      <c r="Q692" s="328"/>
      <c r="R692" s="328"/>
      <c r="S692" s="328"/>
      <c r="T692" s="328"/>
      <c r="U692" s="328"/>
      <c r="V692" s="328"/>
      <c r="W692" s="328"/>
      <c r="X692" s="328"/>
      <c r="Y692" s="328"/>
      <c r="Z692" s="328"/>
      <c r="AA692" s="328"/>
      <c r="AB692" s="328"/>
      <c r="AC692" s="328"/>
      <c r="AD692" s="328"/>
      <c r="AE692" s="328"/>
      <c r="AF692" s="328"/>
      <c r="AG692" s="328"/>
      <c r="AH692" s="328"/>
      <c r="AI692" s="328"/>
      <c r="AJ692" s="328"/>
      <c r="AK692" s="328"/>
      <c r="AL692" s="328"/>
      <c r="AM692" s="328"/>
      <c r="AN692" s="328"/>
      <c r="AO692" s="328"/>
      <c r="AP692" s="328"/>
      <c r="AQ692" s="328"/>
      <c r="AR692" s="328"/>
      <c r="AS692" s="328"/>
      <c r="AT692" s="328"/>
      <c r="AU692" s="328"/>
    </row>
    <row r="693" ht="15.75" customHeight="1">
      <c r="A693" s="328"/>
      <c r="B693" s="328"/>
      <c r="C693" s="328"/>
      <c r="D693" s="328"/>
      <c r="E693" s="328"/>
      <c r="F693" s="328"/>
      <c r="G693" s="328"/>
      <c r="H693" s="328"/>
      <c r="I693" s="328"/>
      <c r="J693" s="328"/>
      <c r="K693" s="328"/>
      <c r="L693" s="328"/>
      <c r="M693" s="328"/>
      <c r="N693" s="328"/>
      <c r="O693" s="328"/>
      <c r="P693" s="328"/>
      <c r="Q693" s="328"/>
      <c r="R693" s="328"/>
      <c r="S693" s="328"/>
      <c r="T693" s="328"/>
      <c r="U693" s="328"/>
      <c r="V693" s="328"/>
      <c r="W693" s="328"/>
      <c r="X693" s="328"/>
      <c r="Y693" s="328"/>
      <c r="Z693" s="328"/>
      <c r="AA693" s="328"/>
      <c r="AB693" s="328"/>
      <c r="AC693" s="328"/>
      <c r="AD693" s="328"/>
      <c r="AE693" s="328"/>
      <c r="AF693" s="328"/>
      <c r="AG693" s="328"/>
      <c r="AH693" s="328"/>
      <c r="AI693" s="328"/>
      <c r="AJ693" s="328"/>
      <c r="AK693" s="328"/>
      <c r="AL693" s="328"/>
      <c r="AM693" s="328"/>
      <c r="AN693" s="328"/>
      <c r="AO693" s="328"/>
      <c r="AP693" s="328"/>
      <c r="AQ693" s="328"/>
      <c r="AR693" s="328"/>
      <c r="AS693" s="328"/>
      <c r="AT693" s="328"/>
      <c r="AU693" s="328"/>
    </row>
    <row r="694" ht="15.75" customHeight="1">
      <c r="A694" s="328"/>
      <c r="B694" s="328"/>
      <c r="C694" s="328"/>
      <c r="D694" s="328"/>
      <c r="E694" s="328"/>
      <c r="F694" s="328"/>
      <c r="G694" s="328"/>
      <c r="H694" s="328"/>
      <c r="I694" s="328"/>
      <c r="J694" s="328"/>
      <c r="K694" s="328"/>
      <c r="L694" s="328"/>
      <c r="M694" s="328"/>
      <c r="N694" s="328"/>
      <c r="O694" s="328"/>
      <c r="P694" s="328"/>
      <c r="Q694" s="328"/>
      <c r="R694" s="328"/>
      <c r="S694" s="328"/>
      <c r="T694" s="328"/>
      <c r="U694" s="328"/>
      <c r="V694" s="328"/>
      <c r="W694" s="328"/>
      <c r="X694" s="328"/>
      <c r="Y694" s="328"/>
      <c r="Z694" s="328"/>
      <c r="AA694" s="328"/>
      <c r="AB694" s="328"/>
      <c r="AC694" s="328"/>
      <c r="AD694" s="328"/>
      <c r="AE694" s="328"/>
      <c r="AF694" s="328"/>
      <c r="AG694" s="328"/>
      <c r="AH694" s="328"/>
      <c r="AI694" s="328"/>
      <c r="AJ694" s="328"/>
      <c r="AK694" s="328"/>
      <c r="AL694" s="328"/>
      <c r="AM694" s="328"/>
      <c r="AN694" s="328"/>
      <c r="AO694" s="328"/>
      <c r="AP694" s="328"/>
      <c r="AQ694" s="328"/>
      <c r="AR694" s="328"/>
      <c r="AS694" s="328"/>
      <c r="AT694" s="328"/>
      <c r="AU694" s="328"/>
    </row>
    <row r="695" ht="15.75" customHeight="1">
      <c r="A695" s="328"/>
      <c r="B695" s="328"/>
      <c r="C695" s="328"/>
      <c r="D695" s="328"/>
      <c r="E695" s="328"/>
      <c r="F695" s="328"/>
      <c r="G695" s="328"/>
      <c r="H695" s="328"/>
      <c r="I695" s="328"/>
      <c r="J695" s="328"/>
      <c r="K695" s="328"/>
      <c r="L695" s="328"/>
      <c r="M695" s="328"/>
      <c r="N695" s="328"/>
      <c r="O695" s="328"/>
      <c r="P695" s="328"/>
      <c r="Q695" s="328"/>
      <c r="R695" s="328"/>
      <c r="S695" s="328"/>
      <c r="T695" s="328"/>
      <c r="U695" s="328"/>
      <c r="V695" s="328"/>
      <c r="W695" s="328"/>
      <c r="X695" s="328"/>
      <c r="Y695" s="328"/>
      <c r="Z695" s="328"/>
      <c r="AA695" s="328"/>
      <c r="AB695" s="328"/>
      <c r="AC695" s="328"/>
      <c r="AD695" s="328"/>
      <c r="AE695" s="328"/>
      <c r="AF695" s="328"/>
      <c r="AG695" s="328"/>
      <c r="AH695" s="328"/>
      <c r="AI695" s="328"/>
      <c r="AJ695" s="328"/>
      <c r="AK695" s="328"/>
      <c r="AL695" s="328"/>
      <c r="AM695" s="328"/>
      <c r="AN695" s="328"/>
      <c r="AO695" s="328"/>
      <c r="AP695" s="328"/>
      <c r="AQ695" s="328"/>
      <c r="AR695" s="328"/>
      <c r="AS695" s="328"/>
      <c r="AT695" s="328"/>
      <c r="AU695" s="328"/>
    </row>
    <row r="696" ht="15.75" customHeight="1">
      <c r="A696" s="328"/>
      <c r="B696" s="328"/>
      <c r="C696" s="328"/>
      <c r="D696" s="328"/>
      <c r="E696" s="328"/>
      <c r="F696" s="328"/>
      <c r="G696" s="328"/>
      <c r="H696" s="328"/>
      <c r="I696" s="328"/>
      <c r="J696" s="328"/>
      <c r="K696" s="328"/>
      <c r="L696" s="328"/>
      <c r="M696" s="328"/>
      <c r="N696" s="328"/>
      <c r="O696" s="328"/>
      <c r="P696" s="328"/>
      <c r="Q696" s="328"/>
      <c r="R696" s="328"/>
      <c r="S696" s="328"/>
      <c r="T696" s="328"/>
      <c r="U696" s="328"/>
      <c r="V696" s="328"/>
      <c r="W696" s="328"/>
      <c r="X696" s="328"/>
      <c r="Y696" s="328"/>
      <c r="Z696" s="328"/>
      <c r="AA696" s="328"/>
      <c r="AB696" s="328"/>
      <c r="AC696" s="328"/>
      <c r="AD696" s="328"/>
      <c r="AE696" s="328"/>
      <c r="AF696" s="328"/>
      <c r="AG696" s="328"/>
      <c r="AH696" s="328"/>
      <c r="AI696" s="328"/>
      <c r="AJ696" s="328"/>
      <c r="AK696" s="328"/>
      <c r="AL696" s="328"/>
      <c r="AM696" s="328"/>
      <c r="AN696" s="328"/>
      <c r="AO696" s="328"/>
      <c r="AP696" s="328"/>
      <c r="AQ696" s="328"/>
      <c r="AR696" s="328"/>
      <c r="AS696" s="328"/>
      <c r="AT696" s="328"/>
      <c r="AU696" s="328"/>
    </row>
    <row r="697" ht="15.75" customHeight="1">
      <c r="A697" s="328"/>
      <c r="B697" s="328"/>
      <c r="C697" s="328"/>
      <c r="D697" s="328"/>
      <c r="E697" s="328"/>
      <c r="F697" s="328"/>
      <c r="G697" s="328"/>
      <c r="H697" s="328"/>
      <c r="I697" s="328"/>
      <c r="J697" s="328"/>
      <c r="K697" s="328"/>
      <c r="L697" s="328"/>
      <c r="M697" s="328"/>
      <c r="N697" s="328"/>
      <c r="O697" s="328"/>
      <c r="P697" s="328"/>
      <c r="Q697" s="328"/>
      <c r="R697" s="328"/>
      <c r="S697" s="328"/>
      <c r="T697" s="328"/>
      <c r="U697" s="328"/>
      <c r="V697" s="328"/>
      <c r="W697" s="328"/>
      <c r="X697" s="328"/>
      <c r="Y697" s="328"/>
      <c r="Z697" s="328"/>
      <c r="AA697" s="328"/>
      <c r="AB697" s="328"/>
      <c r="AC697" s="328"/>
      <c r="AD697" s="328"/>
      <c r="AE697" s="328"/>
      <c r="AF697" s="328"/>
      <c r="AG697" s="328"/>
      <c r="AH697" s="328"/>
      <c r="AI697" s="328"/>
      <c r="AJ697" s="328"/>
      <c r="AK697" s="328"/>
      <c r="AL697" s="328"/>
      <c r="AM697" s="328"/>
      <c r="AN697" s="328"/>
      <c r="AO697" s="328"/>
      <c r="AP697" s="328"/>
      <c r="AQ697" s="328"/>
      <c r="AR697" s="328"/>
      <c r="AS697" s="328"/>
      <c r="AT697" s="328"/>
      <c r="AU697" s="328"/>
    </row>
    <row r="698" ht="15.75" customHeight="1">
      <c r="A698" s="328"/>
      <c r="B698" s="328"/>
      <c r="C698" s="328"/>
      <c r="D698" s="328"/>
      <c r="E698" s="328"/>
      <c r="F698" s="328"/>
      <c r="G698" s="328"/>
      <c r="H698" s="328"/>
      <c r="I698" s="328"/>
      <c r="J698" s="328"/>
      <c r="K698" s="328"/>
      <c r="L698" s="328"/>
      <c r="M698" s="328"/>
      <c r="N698" s="328"/>
      <c r="O698" s="328"/>
      <c r="P698" s="328"/>
      <c r="Q698" s="328"/>
      <c r="R698" s="328"/>
      <c r="S698" s="328"/>
      <c r="T698" s="328"/>
      <c r="U698" s="328"/>
      <c r="V698" s="328"/>
      <c r="W698" s="328"/>
      <c r="X698" s="328"/>
      <c r="Y698" s="328"/>
      <c r="Z698" s="328"/>
      <c r="AA698" s="328"/>
      <c r="AB698" s="328"/>
      <c r="AC698" s="328"/>
      <c r="AD698" s="328"/>
      <c r="AE698" s="328"/>
      <c r="AF698" s="328"/>
      <c r="AG698" s="328"/>
      <c r="AH698" s="328"/>
      <c r="AI698" s="328"/>
      <c r="AJ698" s="328"/>
      <c r="AK698" s="328"/>
      <c r="AL698" s="328"/>
      <c r="AM698" s="328"/>
      <c r="AN698" s="328"/>
      <c r="AO698" s="328"/>
      <c r="AP698" s="328"/>
      <c r="AQ698" s="328"/>
      <c r="AR698" s="328"/>
      <c r="AS698" s="328"/>
      <c r="AT698" s="328"/>
      <c r="AU698" s="328"/>
    </row>
    <row r="699" ht="15.75" customHeight="1">
      <c r="A699" s="328"/>
      <c r="B699" s="328"/>
      <c r="C699" s="328"/>
      <c r="D699" s="328"/>
      <c r="E699" s="328"/>
      <c r="F699" s="328"/>
      <c r="G699" s="328"/>
      <c r="H699" s="328"/>
      <c r="I699" s="328"/>
      <c r="J699" s="328"/>
      <c r="K699" s="328"/>
      <c r="L699" s="328"/>
      <c r="M699" s="328"/>
      <c r="N699" s="328"/>
      <c r="O699" s="328"/>
      <c r="P699" s="328"/>
      <c r="Q699" s="328"/>
      <c r="R699" s="328"/>
      <c r="S699" s="328"/>
      <c r="T699" s="328"/>
      <c r="U699" s="328"/>
      <c r="V699" s="328"/>
      <c r="W699" s="328"/>
      <c r="X699" s="328"/>
      <c r="Y699" s="328"/>
      <c r="Z699" s="328"/>
      <c r="AA699" s="328"/>
      <c r="AB699" s="328"/>
      <c r="AC699" s="328"/>
      <c r="AD699" s="328"/>
      <c r="AE699" s="328"/>
      <c r="AF699" s="328"/>
      <c r="AG699" s="328"/>
      <c r="AH699" s="328"/>
      <c r="AI699" s="328"/>
      <c r="AJ699" s="328"/>
      <c r="AK699" s="328"/>
      <c r="AL699" s="328"/>
      <c r="AM699" s="328"/>
      <c r="AN699" s="328"/>
      <c r="AO699" s="328"/>
      <c r="AP699" s="328"/>
      <c r="AQ699" s="328"/>
      <c r="AR699" s="328"/>
      <c r="AS699" s="328"/>
      <c r="AT699" s="328"/>
      <c r="AU699" s="328"/>
    </row>
    <row r="700" ht="15.75" customHeight="1">
      <c r="A700" s="328"/>
      <c r="B700" s="328"/>
      <c r="C700" s="328"/>
      <c r="D700" s="328"/>
      <c r="E700" s="328"/>
      <c r="F700" s="328"/>
      <c r="G700" s="328"/>
      <c r="H700" s="328"/>
      <c r="I700" s="328"/>
      <c r="J700" s="328"/>
      <c r="K700" s="328"/>
      <c r="L700" s="328"/>
      <c r="M700" s="328"/>
      <c r="N700" s="328"/>
      <c r="O700" s="328"/>
      <c r="P700" s="328"/>
      <c r="Q700" s="328"/>
      <c r="R700" s="328"/>
      <c r="S700" s="328"/>
      <c r="T700" s="328"/>
      <c r="U700" s="328"/>
      <c r="V700" s="328"/>
      <c r="W700" s="328"/>
      <c r="X700" s="328"/>
      <c r="Y700" s="328"/>
      <c r="Z700" s="328"/>
      <c r="AA700" s="328"/>
      <c r="AB700" s="328"/>
      <c r="AC700" s="328"/>
      <c r="AD700" s="328"/>
      <c r="AE700" s="328"/>
      <c r="AF700" s="328"/>
      <c r="AG700" s="328"/>
      <c r="AH700" s="328"/>
      <c r="AI700" s="328"/>
      <c r="AJ700" s="328"/>
      <c r="AK700" s="328"/>
      <c r="AL700" s="328"/>
      <c r="AM700" s="328"/>
      <c r="AN700" s="328"/>
      <c r="AO700" s="328"/>
      <c r="AP700" s="328"/>
      <c r="AQ700" s="328"/>
      <c r="AR700" s="328"/>
      <c r="AS700" s="328"/>
      <c r="AT700" s="328"/>
      <c r="AU700" s="328"/>
    </row>
    <row r="701" ht="15.75" customHeight="1">
      <c r="A701" s="328"/>
      <c r="B701" s="328"/>
      <c r="C701" s="328"/>
      <c r="D701" s="328"/>
      <c r="E701" s="328"/>
      <c r="F701" s="328"/>
      <c r="G701" s="328"/>
      <c r="H701" s="328"/>
      <c r="I701" s="328"/>
      <c r="J701" s="328"/>
      <c r="K701" s="328"/>
      <c r="L701" s="328"/>
      <c r="M701" s="328"/>
      <c r="N701" s="328"/>
      <c r="O701" s="328"/>
      <c r="P701" s="328"/>
      <c r="Q701" s="328"/>
      <c r="R701" s="328"/>
      <c r="S701" s="328"/>
      <c r="T701" s="328"/>
      <c r="U701" s="328"/>
      <c r="V701" s="328"/>
      <c r="W701" s="328"/>
      <c r="X701" s="328"/>
      <c r="Y701" s="328"/>
      <c r="Z701" s="328"/>
      <c r="AA701" s="328"/>
      <c r="AB701" s="328"/>
      <c r="AC701" s="328"/>
      <c r="AD701" s="328"/>
      <c r="AE701" s="328"/>
      <c r="AF701" s="328"/>
      <c r="AG701" s="328"/>
      <c r="AH701" s="328"/>
      <c r="AI701" s="328"/>
      <c r="AJ701" s="328"/>
      <c r="AK701" s="328"/>
      <c r="AL701" s="328"/>
      <c r="AM701" s="328"/>
      <c r="AN701" s="328"/>
      <c r="AO701" s="328"/>
      <c r="AP701" s="328"/>
      <c r="AQ701" s="328"/>
      <c r="AR701" s="328"/>
      <c r="AS701" s="328"/>
      <c r="AT701" s="328"/>
      <c r="AU701" s="328"/>
    </row>
    <row r="702" ht="15.75" customHeight="1">
      <c r="A702" s="328"/>
      <c r="B702" s="328"/>
      <c r="C702" s="328"/>
      <c r="D702" s="328"/>
      <c r="E702" s="328"/>
      <c r="F702" s="328"/>
      <c r="G702" s="328"/>
      <c r="H702" s="328"/>
      <c r="I702" s="328"/>
      <c r="J702" s="328"/>
      <c r="K702" s="328"/>
      <c r="L702" s="328"/>
      <c r="M702" s="328"/>
      <c r="N702" s="328"/>
      <c r="O702" s="328"/>
      <c r="P702" s="328"/>
      <c r="Q702" s="328"/>
      <c r="R702" s="328"/>
      <c r="S702" s="328"/>
      <c r="T702" s="328"/>
      <c r="U702" s="328"/>
      <c r="V702" s="328"/>
      <c r="W702" s="328"/>
      <c r="X702" s="328"/>
      <c r="Y702" s="328"/>
      <c r="Z702" s="328"/>
      <c r="AA702" s="328"/>
      <c r="AB702" s="328"/>
      <c r="AC702" s="328"/>
      <c r="AD702" s="328"/>
      <c r="AE702" s="328"/>
      <c r="AF702" s="328"/>
      <c r="AG702" s="328"/>
      <c r="AH702" s="328"/>
      <c r="AI702" s="328"/>
      <c r="AJ702" s="328"/>
      <c r="AK702" s="328"/>
      <c r="AL702" s="328"/>
      <c r="AM702" s="328"/>
      <c r="AN702" s="328"/>
      <c r="AO702" s="328"/>
      <c r="AP702" s="328"/>
      <c r="AQ702" s="328"/>
      <c r="AR702" s="328"/>
      <c r="AS702" s="328"/>
      <c r="AT702" s="328"/>
      <c r="AU702" s="328"/>
    </row>
    <row r="703" ht="15.75" customHeight="1">
      <c r="A703" s="328"/>
      <c r="B703" s="328"/>
      <c r="C703" s="328"/>
      <c r="D703" s="328"/>
      <c r="E703" s="328"/>
      <c r="F703" s="328"/>
      <c r="G703" s="328"/>
      <c r="H703" s="328"/>
      <c r="I703" s="328"/>
      <c r="J703" s="328"/>
      <c r="K703" s="328"/>
      <c r="L703" s="328"/>
      <c r="M703" s="328"/>
      <c r="N703" s="328"/>
      <c r="O703" s="328"/>
      <c r="P703" s="328"/>
      <c r="Q703" s="328"/>
      <c r="R703" s="328"/>
      <c r="S703" s="328"/>
      <c r="T703" s="328"/>
      <c r="U703" s="328"/>
      <c r="V703" s="328"/>
      <c r="W703" s="328"/>
      <c r="X703" s="328"/>
      <c r="Y703" s="328"/>
      <c r="Z703" s="328"/>
      <c r="AA703" s="328"/>
      <c r="AB703" s="328"/>
      <c r="AC703" s="328"/>
      <c r="AD703" s="328"/>
      <c r="AE703" s="328"/>
      <c r="AF703" s="328"/>
      <c r="AG703" s="328"/>
      <c r="AH703" s="328"/>
      <c r="AI703" s="328"/>
      <c r="AJ703" s="328"/>
      <c r="AK703" s="328"/>
      <c r="AL703" s="328"/>
      <c r="AM703" s="328"/>
      <c r="AN703" s="328"/>
      <c r="AO703" s="328"/>
      <c r="AP703" s="328"/>
      <c r="AQ703" s="328"/>
      <c r="AR703" s="328"/>
      <c r="AS703" s="328"/>
      <c r="AT703" s="328"/>
      <c r="AU703" s="328"/>
    </row>
    <row r="704" ht="15.75" customHeight="1">
      <c r="A704" s="328"/>
      <c r="B704" s="328"/>
      <c r="C704" s="328"/>
      <c r="D704" s="328"/>
      <c r="E704" s="328"/>
      <c r="F704" s="328"/>
      <c r="G704" s="328"/>
      <c r="H704" s="328"/>
      <c r="I704" s="328"/>
      <c r="J704" s="328"/>
      <c r="K704" s="328"/>
      <c r="L704" s="328"/>
      <c r="M704" s="328"/>
      <c r="N704" s="328"/>
      <c r="O704" s="328"/>
      <c r="P704" s="328"/>
      <c r="Q704" s="328"/>
      <c r="R704" s="328"/>
      <c r="S704" s="328"/>
      <c r="T704" s="328"/>
      <c r="U704" s="328"/>
      <c r="V704" s="328"/>
      <c r="W704" s="328"/>
      <c r="X704" s="328"/>
      <c r="Y704" s="328"/>
      <c r="Z704" s="328"/>
      <c r="AA704" s="328"/>
      <c r="AB704" s="328"/>
      <c r="AC704" s="328"/>
      <c r="AD704" s="328"/>
      <c r="AE704" s="328"/>
      <c r="AF704" s="328"/>
      <c r="AG704" s="328"/>
      <c r="AH704" s="328"/>
      <c r="AI704" s="328"/>
      <c r="AJ704" s="328"/>
      <c r="AK704" s="328"/>
      <c r="AL704" s="328"/>
      <c r="AM704" s="328"/>
      <c r="AN704" s="328"/>
      <c r="AO704" s="328"/>
      <c r="AP704" s="328"/>
      <c r="AQ704" s="328"/>
      <c r="AR704" s="328"/>
      <c r="AS704" s="328"/>
      <c r="AT704" s="328"/>
      <c r="AU704" s="328"/>
    </row>
    <row r="705" ht="15.75" customHeight="1">
      <c r="A705" s="328"/>
      <c r="B705" s="328"/>
      <c r="C705" s="328"/>
      <c r="D705" s="328"/>
      <c r="E705" s="328"/>
      <c r="F705" s="328"/>
      <c r="G705" s="328"/>
      <c r="H705" s="328"/>
      <c r="I705" s="328"/>
      <c r="J705" s="328"/>
      <c r="K705" s="328"/>
      <c r="L705" s="328"/>
      <c r="M705" s="328"/>
      <c r="N705" s="328"/>
      <c r="O705" s="328"/>
      <c r="P705" s="328"/>
      <c r="Q705" s="328"/>
      <c r="R705" s="328"/>
      <c r="S705" s="328"/>
      <c r="T705" s="328"/>
      <c r="U705" s="328"/>
      <c r="V705" s="328"/>
      <c r="W705" s="328"/>
      <c r="X705" s="328"/>
      <c r="Y705" s="328"/>
      <c r="Z705" s="328"/>
      <c r="AA705" s="328"/>
      <c r="AB705" s="328"/>
      <c r="AC705" s="328"/>
      <c r="AD705" s="328"/>
      <c r="AE705" s="328"/>
      <c r="AF705" s="328"/>
      <c r="AG705" s="328"/>
      <c r="AH705" s="328"/>
      <c r="AI705" s="328"/>
      <c r="AJ705" s="328"/>
      <c r="AK705" s="328"/>
      <c r="AL705" s="328"/>
      <c r="AM705" s="328"/>
      <c r="AN705" s="328"/>
      <c r="AO705" s="328"/>
      <c r="AP705" s="328"/>
      <c r="AQ705" s="328"/>
      <c r="AR705" s="328"/>
      <c r="AS705" s="328"/>
      <c r="AT705" s="328"/>
      <c r="AU705" s="328"/>
    </row>
    <row r="706" ht="15.75" customHeight="1">
      <c r="A706" s="328"/>
      <c r="B706" s="328"/>
      <c r="C706" s="328"/>
      <c r="D706" s="328"/>
      <c r="E706" s="328"/>
      <c r="F706" s="328"/>
      <c r="G706" s="328"/>
      <c r="H706" s="328"/>
      <c r="I706" s="328"/>
      <c r="J706" s="328"/>
      <c r="K706" s="328"/>
      <c r="L706" s="328"/>
      <c r="M706" s="328"/>
      <c r="N706" s="328"/>
      <c r="O706" s="328"/>
      <c r="P706" s="328"/>
      <c r="Q706" s="328"/>
      <c r="R706" s="328"/>
      <c r="S706" s="328"/>
      <c r="T706" s="328"/>
      <c r="U706" s="328"/>
      <c r="V706" s="328"/>
      <c r="W706" s="328"/>
      <c r="X706" s="328"/>
      <c r="Y706" s="328"/>
      <c r="Z706" s="328"/>
      <c r="AA706" s="328"/>
      <c r="AB706" s="328"/>
      <c r="AC706" s="328"/>
      <c r="AD706" s="328"/>
      <c r="AE706" s="328"/>
      <c r="AF706" s="328"/>
      <c r="AG706" s="328"/>
      <c r="AH706" s="328"/>
      <c r="AI706" s="328"/>
      <c r="AJ706" s="328"/>
      <c r="AK706" s="328"/>
      <c r="AL706" s="328"/>
      <c r="AM706" s="328"/>
      <c r="AN706" s="328"/>
      <c r="AO706" s="328"/>
      <c r="AP706" s="328"/>
      <c r="AQ706" s="328"/>
      <c r="AR706" s="328"/>
      <c r="AS706" s="328"/>
      <c r="AT706" s="328"/>
      <c r="AU706" s="328"/>
    </row>
    <row r="707" ht="15.75" customHeight="1">
      <c r="A707" s="328"/>
      <c r="B707" s="328"/>
      <c r="C707" s="328"/>
      <c r="D707" s="328"/>
      <c r="E707" s="328"/>
      <c r="F707" s="328"/>
      <c r="G707" s="328"/>
      <c r="H707" s="328"/>
      <c r="I707" s="328"/>
      <c r="J707" s="328"/>
      <c r="K707" s="328"/>
      <c r="L707" s="328"/>
      <c r="M707" s="328"/>
      <c r="N707" s="328"/>
      <c r="O707" s="328"/>
      <c r="P707" s="328"/>
      <c r="Q707" s="328"/>
      <c r="R707" s="328"/>
      <c r="S707" s="328"/>
      <c r="T707" s="328"/>
      <c r="U707" s="328"/>
      <c r="V707" s="328"/>
      <c r="W707" s="328"/>
      <c r="X707" s="328"/>
      <c r="Y707" s="328"/>
      <c r="Z707" s="328"/>
      <c r="AA707" s="328"/>
      <c r="AB707" s="328"/>
      <c r="AC707" s="328"/>
      <c r="AD707" s="328"/>
      <c r="AE707" s="328"/>
      <c r="AF707" s="328"/>
      <c r="AG707" s="328"/>
      <c r="AH707" s="328"/>
      <c r="AI707" s="328"/>
      <c r="AJ707" s="328"/>
      <c r="AK707" s="328"/>
      <c r="AL707" s="328"/>
      <c r="AM707" s="328"/>
      <c r="AN707" s="328"/>
      <c r="AO707" s="328"/>
      <c r="AP707" s="328"/>
      <c r="AQ707" s="328"/>
      <c r="AR707" s="328"/>
      <c r="AS707" s="328"/>
      <c r="AT707" s="328"/>
      <c r="AU707" s="328"/>
    </row>
    <row r="708" ht="15.75" customHeight="1">
      <c r="A708" s="328"/>
      <c r="B708" s="328"/>
      <c r="C708" s="328"/>
      <c r="D708" s="328"/>
      <c r="E708" s="328"/>
      <c r="F708" s="328"/>
      <c r="G708" s="328"/>
      <c r="H708" s="328"/>
      <c r="I708" s="328"/>
      <c r="J708" s="328"/>
      <c r="K708" s="328"/>
      <c r="L708" s="328"/>
      <c r="M708" s="328"/>
      <c r="N708" s="328"/>
      <c r="O708" s="328"/>
      <c r="P708" s="328"/>
      <c r="Q708" s="328"/>
      <c r="R708" s="328"/>
      <c r="S708" s="328"/>
      <c r="T708" s="328"/>
      <c r="U708" s="328"/>
      <c r="V708" s="328"/>
      <c r="W708" s="328"/>
      <c r="X708" s="328"/>
      <c r="Y708" s="328"/>
      <c r="Z708" s="328"/>
      <c r="AA708" s="328"/>
      <c r="AB708" s="328"/>
      <c r="AC708" s="328"/>
      <c r="AD708" s="328"/>
      <c r="AE708" s="328"/>
      <c r="AF708" s="328"/>
      <c r="AG708" s="328"/>
      <c r="AH708" s="328"/>
      <c r="AI708" s="328"/>
      <c r="AJ708" s="328"/>
      <c r="AK708" s="328"/>
      <c r="AL708" s="328"/>
      <c r="AM708" s="328"/>
      <c r="AN708" s="328"/>
      <c r="AO708" s="328"/>
      <c r="AP708" s="328"/>
      <c r="AQ708" s="328"/>
      <c r="AR708" s="328"/>
      <c r="AS708" s="328"/>
      <c r="AT708" s="328"/>
      <c r="AU708" s="328"/>
    </row>
    <row r="709" ht="15.75" customHeight="1">
      <c r="A709" s="328"/>
      <c r="B709" s="328"/>
      <c r="C709" s="328"/>
      <c r="D709" s="328"/>
      <c r="E709" s="328"/>
      <c r="F709" s="328"/>
      <c r="G709" s="328"/>
      <c r="H709" s="328"/>
      <c r="I709" s="328"/>
      <c r="J709" s="328"/>
      <c r="K709" s="328"/>
      <c r="L709" s="328"/>
      <c r="M709" s="328"/>
      <c r="N709" s="328"/>
      <c r="O709" s="328"/>
      <c r="P709" s="328"/>
      <c r="Q709" s="328"/>
      <c r="R709" s="328"/>
      <c r="S709" s="328"/>
      <c r="T709" s="328"/>
      <c r="U709" s="328"/>
      <c r="V709" s="328"/>
      <c r="W709" s="328"/>
      <c r="X709" s="328"/>
      <c r="Y709" s="328"/>
      <c r="Z709" s="328"/>
      <c r="AA709" s="328"/>
      <c r="AB709" s="328"/>
      <c r="AC709" s="328"/>
      <c r="AD709" s="328"/>
      <c r="AE709" s="328"/>
      <c r="AF709" s="328"/>
      <c r="AG709" s="328"/>
      <c r="AH709" s="328"/>
      <c r="AI709" s="328"/>
      <c r="AJ709" s="328"/>
      <c r="AK709" s="328"/>
      <c r="AL709" s="328"/>
      <c r="AM709" s="328"/>
      <c r="AN709" s="328"/>
      <c r="AO709" s="328"/>
      <c r="AP709" s="328"/>
      <c r="AQ709" s="328"/>
      <c r="AR709" s="328"/>
      <c r="AS709" s="328"/>
      <c r="AT709" s="328"/>
      <c r="AU709" s="328"/>
    </row>
    <row r="710" ht="15.75" customHeight="1">
      <c r="A710" s="328"/>
      <c r="B710" s="328"/>
      <c r="C710" s="328"/>
      <c r="D710" s="328"/>
      <c r="E710" s="328"/>
      <c r="F710" s="328"/>
      <c r="G710" s="328"/>
      <c r="H710" s="328"/>
      <c r="I710" s="328"/>
      <c r="J710" s="328"/>
      <c r="K710" s="328"/>
      <c r="L710" s="328"/>
      <c r="M710" s="328"/>
      <c r="N710" s="328"/>
      <c r="O710" s="328"/>
      <c r="P710" s="328"/>
      <c r="Q710" s="328"/>
      <c r="R710" s="328"/>
      <c r="S710" s="328"/>
      <c r="T710" s="328"/>
      <c r="U710" s="328"/>
      <c r="V710" s="328"/>
      <c r="W710" s="328"/>
      <c r="X710" s="328"/>
      <c r="Y710" s="328"/>
      <c r="Z710" s="328"/>
      <c r="AA710" s="328"/>
      <c r="AB710" s="328"/>
      <c r="AC710" s="328"/>
      <c r="AD710" s="328"/>
      <c r="AE710" s="328"/>
      <c r="AF710" s="328"/>
      <c r="AG710" s="328"/>
      <c r="AH710" s="328"/>
      <c r="AI710" s="328"/>
      <c r="AJ710" s="328"/>
      <c r="AK710" s="328"/>
      <c r="AL710" s="328"/>
      <c r="AM710" s="328"/>
      <c r="AN710" s="328"/>
      <c r="AO710" s="328"/>
      <c r="AP710" s="328"/>
      <c r="AQ710" s="328"/>
      <c r="AR710" s="328"/>
      <c r="AS710" s="328"/>
      <c r="AT710" s="328"/>
      <c r="AU710" s="328"/>
    </row>
    <row r="711" ht="15.75" customHeight="1">
      <c r="A711" s="328"/>
      <c r="B711" s="328"/>
      <c r="C711" s="328"/>
      <c r="D711" s="328"/>
      <c r="E711" s="328"/>
      <c r="F711" s="328"/>
      <c r="G711" s="328"/>
      <c r="H711" s="328"/>
      <c r="I711" s="328"/>
      <c r="J711" s="328"/>
      <c r="K711" s="328"/>
      <c r="L711" s="328"/>
      <c r="M711" s="328"/>
      <c r="N711" s="328"/>
      <c r="O711" s="328"/>
      <c r="P711" s="328"/>
      <c r="Q711" s="328"/>
      <c r="R711" s="328"/>
      <c r="S711" s="328"/>
      <c r="T711" s="328"/>
      <c r="U711" s="328"/>
      <c r="V711" s="328"/>
      <c r="W711" s="328"/>
      <c r="X711" s="328"/>
      <c r="Y711" s="328"/>
      <c r="Z711" s="328"/>
      <c r="AA711" s="328"/>
      <c r="AB711" s="328"/>
      <c r="AC711" s="328"/>
      <c r="AD711" s="328"/>
      <c r="AE711" s="328"/>
      <c r="AF711" s="328"/>
      <c r="AG711" s="328"/>
      <c r="AH711" s="328"/>
      <c r="AI711" s="328"/>
      <c r="AJ711" s="328"/>
      <c r="AK711" s="328"/>
      <c r="AL711" s="328"/>
      <c r="AM711" s="328"/>
      <c r="AN711" s="328"/>
      <c r="AO711" s="328"/>
      <c r="AP711" s="328"/>
      <c r="AQ711" s="328"/>
      <c r="AR711" s="328"/>
      <c r="AS711" s="328"/>
      <c r="AT711" s="328"/>
      <c r="AU711" s="328"/>
    </row>
    <row r="712" ht="15.75" customHeight="1">
      <c r="A712" s="328"/>
      <c r="B712" s="328"/>
      <c r="C712" s="328"/>
      <c r="D712" s="328"/>
      <c r="E712" s="328"/>
      <c r="F712" s="328"/>
      <c r="G712" s="328"/>
      <c r="H712" s="328"/>
      <c r="I712" s="328"/>
      <c r="J712" s="328"/>
      <c r="K712" s="328"/>
      <c r="L712" s="328"/>
      <c r="M712" s="328"/>
      <c r="N712" s="328"/>
      <c r="O712" s="328"/>
      <c r="P712" s="328"/>
      <c r="Q712" s="328"/>
      <c r="R712" s="328"/>
      <c r="S712" s="328"/>
      <c r="T712" s="328"/>
      <c r="U712" s="328"/>
      <c r="V712" s="328"/>
      <c r="W712" s="328"/>
      <c r="X712" s="328"/>
      <c r="Y712" s="328"/>
      <c r="Z712" s="328"/>
      <c r="AA712" s="328"/>
      <c r="AB712" s="328"/>
      <c r="AC712" s="328"/>
      <c r="AD712" s="328"/>
      <c r="AE712" s="328"/>
      <c r="AF712" s="328"/>
      <c r="AG712" s="328"/>
      <c r="AH712" s="328"/>
      <c r="AI712" s="328"/>
      <c r="AJ712" s="328"/>
      <c r="AK712" s="328"/>
      <c r="AL712" s="328"/>
      <c r="AM712" s="328"/>
      <c r="AN712" s="328"/>
      <c r="AO712" s="328"/>
      <c r="AP712" s="328"/>
      <c r="AQ712" s="328"/>
      <c r="AR712" s="328"/>
      <c r="AS712" s="328"/>
      <c r="AT712" s="328"/>
      <c r="AU712" s="328"/>
    </row>
    <row r="713" ht="15.75" customHeight="1">
      <c r="A713" s="328"/>
      <c r="B713" s="328"/>
      <c r="C713" s="328"/>
      <c r="D713" s="328"/>
      <c r="E713" s="328"/>
      <c r="F713" s="328"/>
      <c r="G713" s="328"/>
      <c r="H713" s="328"/>
      <c r="I713" s="328"/>
      <c r="J713" s="328"/>
      <c r="K713" s="328"/>
      <c r="L713" s="328"/>
      <c r="M713" s="328"/>
      <c r="N713" s="328"/>
      <c r="O713" s="328"/>
      <c r="P713" s="328"/>
      <c r="Q713" s="328"/>
      <c r="R713" s="328"/>
      <c r="S713" s="328"/>
      <c r="T713" s="328"/>
      <c r="U713" s="328"/>
      <c r="V713" s="328"/>
      <c r="W713" s="328"/>
      <c r="X713" s="328"/>
      <c r="Y713" s="328"/>
      <c r="Z713" s="328"/>
      <c r="AA713" s="328"/>
      <c r="AB713" s="328"/>
      <c r="AC713" s="328"/>
      <c r="AD713" s="328"/>
      <c r="AE713" s="328"/>
      <c r="AF713" s="328"/>
      <c r="AG713" s="328"/>
      <c r="AH713" s="328"/>
      <c r="AI713" s="328"/>
      <c r="AJ713" s="328"/>
      <c r="AK713" s="328"/>
      <c r="AL713" s="328"/>
      <c r="AM713" s="328"/>
      <c r="AN713" s="328"/>
      <c r="AO713" s="328"/>
      <c r="AP713" s="328"/>
      <c r="AQ713" s="328"/>
      <c r="AR713" s="328"/>
      <c r="AS713" s="328"/>
      <c r="AT713" s="328"/>
      <c r="AU713" s="328"/>
    </row>
    <row r="714" ht="15.75" customHeight="1">
      <c r="A714" s="328"/>
      <c r="B714" s="328"/>
      <c r="C714" s="328"/>
      <c r="D714" s="328"/>
      <c r="E714" s="328"/>
      <c r="F714" s="328"/>
      <c r="G714" s="328"/>
      <c r="H714" s="328"/>
      <c r="I714" s="328"/>
      <c r="J714" s="328"/>
      <c r="K714" s="328"/>
      <c r="L714" s="328"/>
      <c r="M714" s="328"/>
      <c r="N714" s="328"/>
      <c r="O714" s="328"/>
      <c r="P714" s="328"/>
      <c r="Q714" s="328"/>
      <c r="R714" s="328"/>
      <c r="S714" s="328"/>
      <c r="T714" s="328"/>
      <c r="U714" s="328"/>
      <c r="V714" s="328"/>
      <c r="W714" s="328"/>
      <c r="X714" s="328"/>
      <c r="Y714" s="328"/>
      <c r="Z714" s="328"/>
      <c r="AA714" s="328"/>
      <c r="AB714" s="328"/>
      <c r="AC714" s="328"/>
      <c r="AD714" s="328"/>
      <c r="AE714" s="328"/>
      <c r="AF714" s="328"/>
      <c r="AG714" s="328"/>
      <c r="AH714" s="328"/>
      <c r="AI714" s="328"/>
      <c r="AJ714" s="328"/>
      <c r="AK714" s="328"/>
      <c r="AL714" s="328"/>
      <c r="AM714" s="328"/>
      <c r="AN714" s="328"/>
      <c r="AO714" s="328"/>
      <c r="AP714" s="328"/>
      <c r="AQ714" s="328"/>
      <c r="AR714" s="328"/>
      <c r="AS714" s="328"/>
      <c r="AT714" s="328"/>
      <c r="AU714" s="328"/>
    </row>
    <row r="715" ht="15.75" customHeight="1">
      <c r="A715" s="328"/>
      <c r="B715" s="328"/>
      <c r="C715" s="328"/>
      <c r="D715" s="328"/>
      <c r="E715" s="328"/>
      <c r="F715" s="328"/>
      <c r="G715" s="328"/>
      <c r="H715" s="328"/>
      <c r="I715" s="328"/>
      <c r="J715" s="328"/>
      <c r="K715" s="328"/>
      <c r="L715" s="328"/>
      <c r="M715" s="328"/>
      <c r="N715" s="328"/>
      <c r="O715" s="328"/>
      <c r="P715" s="328"/>
      <c r="Q715" s="328"/>
      <c r="R715" s="328"/>
      <c r="S715" s="328"/>
      <c r="T715" s="328"/>
      <c r="U715" s="328"/>
      <c r="V715" s="328"/>
      <c r="W715" s="328"/>
      <c r="X715" s="328"/>
      <c r="Y715" s="328"/>
      <c r="Z715" s="328"/>
      <c r="AA715" s="328"/>
      <c r="AB715" s="328"/>
      <c r="AC715" s="328"/>
      <c r="AD715" s="328"/>
      <c r="AE715" s="328"/>
      <c r="AF715" s="328"/>
      <c r="AG715" s="328"/>
      <c r="AH715" s="328"/>
      <c r="AI715" s="328"/>
      <c r="AJ715" s="328"/>
      <c r="AK715" s="328"/>
      <c r="AL715" s="328"/>
      <c r="AM715" s="328"/>
      <c r="AN715" s="328"/>
      <c r="AO715" s="328"/>
      <c r="AP715" s="328"/>
      <c r="AQ715" s="328"/>
      <c r="AR715" s="328"/>
      <c r="AS715" s="328"/>
      <c r="AT715" s="328"/>
      <c r="AU715" s="328"/>
    </row>
    <row r="716" ht="15.75" customHeight="1">
      <c r="A716" s="328"/>
      <c r="B716" s="328"/>
      <c r="C716" s="328"/>
      <c r="D716" s="328"/>
      <c r="E716" s="328"/>
      <c r="F716" s="328"/>
      <c r="G716" s="328"/>
      <c r="H716" s="328"/>
      <c r="I716" s="328"/>
      <c r="J716" s="328"/>
      <c r="K716" s="328"/>
      <c r="L716" s="328"/>
      <c r="M716" s="328"/>
      <c r="N716" s="328"/>
      <c r="O716" s="328"/>
      <c r="P716" s="328"/>
      <c r="Q716" s="328"/>
      <c r="R716" s="328"/>
      <c r="S716" s="328"/>
      <c r="T716" s="328"/>
      <c r="U716" s="328"/>
      <c r="V716" s="328"/>
      <c r="W716" s="328"/>
      <c r="X716" s="328"/>
      <c r="Y716" s="328"/>
      <c r="Z716" s="328"/>
      <c r="AA716" s="328"/>
      <c r="AB716" s="328"/>
      <c r="AC716" s="328"/>
      <c r="AD716" s="328"/>
      <c r="AE716" s="328"/>
      <c r="AF716" s="328"/>
      <c r="AG716" s="328"/>
      <c r="AH716" s="328"/>
      <c r="AI716" s="328"/>
      <c r="AJ716" s="328"/>
      <c r="AK716" s="328"/>
      <c r="AL716" s="328"/>
      <c r="AM716" s="328"/>
      <c r="AN716" s="328"/>
      <c r="AO716" s="328"/>
      <c r="AP716" s="328"/>
      <c r="AQ716" s="328"/>
      <c r="AR716" s="328"/>
      <c r="AS716" s="328"/>
      <c r="AT716" s="328"/>
      <c r="AU716" s="328"/>
    </row>
    <row r="717" ht="15.75" customHeight="1">
      <c r="A717" s="328"/>
      <c r="B717" s="328"/>
      <c r="C717" s="328"/>
      <c r="D717" s="328"/>
      <c r="E717" s="328"/>
      <c r="F717" s="328"/>
      <c r="G717" s="328"/>
      <c r="H717" s="328"/>
      <c r="I717" s="328"/>
      <c r="J717" s="328"/>
      <c r="K717" s="328"/>
      <c r="L717" s="328"/>
      <c r="M717" s="328"/>
      <c r="N717" s="328"/>
      <c r="O717" s="328"/>
      <c r="P717" s="328"/>
      <c r="Q717" s="328"/>
      <c r="R717" s="328"/>
      <c r="S717" s="328"/>
      <c r="T717" s="328"/>
      <c r="U717" s="328"/>
      <c r="V717" s="328"/>
      <c r="W717" s="328"/>
      <c r="X717" s="328"/>
      <c r="Y717" s="328"/>
      <c r="Z717" s="328"/>
      <c r="AA717" s="328"/>
      <c r="AB717" s="328"/>
      <c r="AC717" s="328"/>
      <c r="AD717" s="328"/>
      <c r="AE717" s="328"/>
      <c r="AF717" s="328"/>
      <c r="AG717" s="328"/>
      <c r="AH717" s="328"/>
      <c r="AI717" s="328"/>
      <c r="AJ717" s="328"/>
      <c r="AK717" s="328"/>
      <c r="AL717" s="328"/>
      <c r="AM717" s="328"/>
      <c r="AN717" s="328"/>
      <c r="AO717" s="328"/>
      <c r="AP717" s="328"/>
      <c r="AQ717" s="328"/>
      <c r="AR717" s="328"/>
      <c r="AS717" s="328"/>
      <c r="AT717" s="328"/>
      <c r="AU717" s="328"/>
    </row>
    <row r="718" ht="15.75" customHeight="1">
      <c r="A718" s="328"/>
      <c r="B718" s="328"/>
      <c r="C718" s="328"/>
      <c r="D718" s="328"/>
      <c r="E718" s="328"/>
      <c r="F718" s="328"/>
      <c r="G718" s="328"/>
      <c r="H718" s="328"/>
      <c r="I718" s="328"/>
      <c r="J718" s="328"/>
      <c r="K718" s="328"/>
      <c r="L718" s="328"/>
      <c r="M718" s="328"/>
      <c r="N718" s="328"/>
      <c r="O718" s="328"/>
      <c r="P718" s="328"/>
      <c r="Q718" s="328"/>
      <c r="R718" s="328"/>
      <c r="S718" s="328"/>
      <c r="T718" s="328"/>
      <c r="U718" s="328"/>
      <c r="V718" s="328"/>
      <c r="W718" s="328"/>
      <c r="X718" s="328"/>
      <c r="Y718" s="328"/>
      <c r="Z718" s="328"/>
      <c r="AA718" s="328"/>
      <c r="AB718" s="328"/>
      <c r="AC718" s="328"/>
      <c r="AD718" s="328"/>
      <c r="AE718" s="328"/>
      <c r="AF718" s="328"/>
      <c r="AG718" s="328"/>
      <c r="AH718" s="328"/>
      <c r="AI718" s="328"/>
      <c r="AJ718" s="328"/>
      <c r="AK718" s="328"/>
      <c r="AL718" s="328"/>
      <c r="AM718" s="328"/>
      <c r="AN718" s="328"/>
      <c r="AO718" s="328"/>
      <c r="AP718" s="328"/>
      <c r="AQ718" s="328"/>
      <c r="AR718" s="328"/>
      <c r="AS718" s="328"/>
      <c r="AT718" s="328"/>
      <c r="AU718" s="328"/>
    </row>
    <row r="719" ht="15.75" customHeight="1">
      <c r="A719" s="328"/>
      <c r="B719" s="328"/>
      <c r="C719" s="328"/>
      <c r="D719" s="328"/>
      <c r="E719" s="328"/>
      <c r="F719" s="328"/>
      <c r="G719" s="328"/>
      <c r="H719" s="328"/>
      <c r="I719" s="328"/>
      <c r="J719" s="328"/>
      <c r="K719" s="328"/>
      <c r="L719" s="328"/>
      <c r="M719" s="328"/>
      <c r="N719" s="328"/>
      <c r="O719" s="328"/>
      <c r="P719" s="328"/>
      <c r="Q719" s="328"/>
      <c r="R719" s="328"/>
      <c r="S719" s="328"/>
      <c r="T719" s="328"/>
      <c r="U719" s="328"/>
      <c r="V719" s="328"/>
      <c r="W719" s="328"/>
      <c r="X719" s="328"/>
      <c r="Y719" s="328"/>
      <c r="Z719" s="328"/>
      <c r="AA719" s="328"/>
      <c r="AB719" s="328"/>
      <c r="AC719" s="328"/>
      <c r="AD719" s="328"/>
      <c r="AE719" s="328"/>
      <c r="AF719" s="328"/>
      <c r="AG719" s="328"/>
      <c r="AH719" s="328"/>
      <c r="AI719" s="328"/>
      <c r="AJ719" s="328"/>
      <c r="AK719" s="328"/>
      <c r="AL719" s="328"/>
      <c r="AM719" s="328"/>
      <c r="AN719" s="328"/>
      <c r="AO719" s="328"/>
      <c r="AP719" s="328"/>
      <c r="AQ719" s="328"/>
      <c r="AR719" s="328"/>
      <c r="AS719" s="328"/>
      <c r="AT719" s="328"/>
      <c r="AU719" s="328"/>
    </row>
    <row r="720" ht="15.75" customHeight="1">
      <c r="A720" s="328"/>
      <c r="B720" s="328"/>
      <c r="C720" s="328"/>
      <c r="D720" s="328"/>
      <c r="E720" s="328"/>
      <c r="F720" s="328"/>
      <c r="G720" s="328"/>
      <c r="H720" s="328"/>
      <c r="I720" s="328"/>
      <c r="J720" s="328"/>
      <c r="K720" s="328"/>
      <c r="L720" s="328"/>
      <c r="M720" s="328"/>
      <c r="N720" s="328"/>
      <c r="O720" s="328"/>
      <c r="P720" s="328"/>
      <c r="Q720" s="328"/>
      <c r="R720" s="328"/>
      <c r="S720" s="328"/>
      <c r="T720" s="328"/>
      <c r="U720" s="328"/>
      <c r="V720" s="328"/>
      <c r="W720" s="328"/>
      <c r="X720" s="328"/>
      <c r="Y720" s="328"/>
      <c r="Z720" s="328"/>
      <c r="AA720" s="328"/>
      <c r="AB720" s="328"/>
      <c r="AC720" s="328"/>
      <c r="AD720" s="328"/>
      <c r="AE720" s="328"/>
      <c r="AF720" s="328"/>
      <c r="AG720" s="328"/>
      <c r="AH720" s="328"/>
      <c r="AI720" s="328"/>
      <c r="AJ720" s="328"/>
      <c r="AK720" s="328"/>
      <c r="AL720" s="328"/>
      <c r="AM720" s="328"/>
      <c r="AN720" s="328"/>
      <c r="AO720" s="328"/>
      <c r="AP720" s="328"/>
      <c r="AQ720" s="328"/>
      <c r="AR720" s="328"/>
      <c r="AS720" s="328"/>
      <c r="AT720" s="328"/>
      <c r="AU720" s="328"/>
    </row>
    <row r="721" ht="15.75" customHeight="1">
      <c r="A721" s="328"/>
      <c r="B721" s="328"/>
      <c r="C721" s="328"/>
      <c r="D721" s="328"/>
      <c r="E721" s="328"/>
      <c r="F721" s="328"/>
      <c r="G721" s="328"/>
      <c r="H721" s="328"/>
      <c r="I721" s="328"/>
      <c r="J721" s="328"/>
      <c r="K721" s="328"/>
      <c r="L721" s="328"/>
      <c r="M721" s="328"/>
      <c r="N721" s="328"/>
      <c r="O721" s="328"/>
      <c r="P721" s="328"/>
      <c r="Q721" s="328"/>
      <c r="R721" s="328"/>
      <c r="S721" s="328"/>
      <c r="T721" s="328"/>
      <c r="U721" s="328"/>
      <c r="V721" s="328"/>
      <c r="W721" s="328"/>
      <c r="X721" s="328"/>
      <c r="Y721" s="328"/>
      <c r="Z721" s="328"/>
      <c r="AA721" s="328"/>
      <c r="AB721" s="328"/>
      <c r="AC721" s="328"/>
      <c r="AD721" s="328"/>
      <c r="AE721" s="328"/>
      <c r="AF721" s="328"/>
      <c r="AG721" s="328"/>
      <c r="AH721" s="328"/>
      <c r="AI721" s="328"/>
      <c r="AJ721" s="328"/>
      <c r="AK721" s="328"/>
      <c r="AL721" s="328"/>
      <c r="AM721" s="328"/>
      <c r="AN721" s="328"/>
      <c r="AO721" s="328"/>
      <c r="AP721" s="328"/>
      <c r="AQ721" s="328"/>
      <c r="AR721" s="328"/>
      <c r="AS721" s="328"/>
      <c r="AT721" s="328"/>
      <c r="AU721" s="328"/>
    </row>
    <row r="722" ht="15.75" customHeight="1">
      <c r="A722" s="328"/>
      <c r="B722" s="328"/>
      <c r="C722" s="328"/>
      <c r="D722" s="328"/>
      <c r="E722" s="328"/>
      <c r="F722" s="328"/>
      <c r="G722" s="328"/>
      <c r="H722" s="328"/>
      <c r="I722" s="328"/>
      <c r="J722" s="328"/>
      <c r="K722" s="328"/>
      <c r="L722" s="328"/>
      <c r="M722" s="328"/>
      <c r="N722" s="328"/>
      <c r="O722" s="328"/>
      <c r="P722" s="328"/>
      <c r="Q722" s="328"/>
      <c r="R722" s="328"/>
      <c r="S722" s="328"/>
      <c r="T722" s="328"/>
      <c r="U722" s="328"/>
      <c r="V722" s="328"/>
      <c r="W722" s="328"/>
      <c r="X722" s="328"/>
      <c r="Y722" s="328"/>
      <c r="Z722" s="328"/>
      <c r="AA722" s="328"/>
      <c r="AB722" s="328"/>
      <c r="AC722" s="328"/>
      <c r="AD722" s="328"/>
      <c r="AE722" s="328"/>
      <c r="AF722" s="328"/>
      <c r="AG722" s="328"/>
      <c r="AH722" s="328"/>
      <c r="AI722" s="328"/>
      <c r="AJ722" s="328"/>
      <c r="AK722" s="328"/>
      <c r="AL722" s="328"/>
      <c r="AM722" s="328"/>
      <c r="AN722" s="328"/>
      <c r="AO722" s="328"/>
      <c r="AP722" s="328"/>
      <c r="AQ722" s="328"/>
      <c r="AR722" s="328"/>
      <c r="AS722" s="328"/>
      <c r="AT722" s="328"/>
      <c r="AU722" s="328"/>
    </row>
    <row r="723" ht="15.75" customHeight="1">
      <c r="A723" s="328"/>
      <c r="B723" s="328"/>
      <c r="C723" s="328"/>
      <c r="D723" s="328"/>
      <c r="E723" s="328"/>
      <c r="F723" s="328"/>
      <c r="G723" s="328"/>
      <c r="H723" s="328"/>
      <c r="I723" s="328"/>
      <c r="J723" s="328"/>
      <c r="K723" s="328"/>
      <c r="L723" s="328"/>
      <c r="M723" s="328"/>
      <c r="N723" s="328"/>
      <c r="O723" s="328"/>
      <c r="P723" s="328"/>
      <c r="Q723" s="328"/>
      <c r="R723" s="328"/>
      <c r="S723" s="328"/>
      <c r="T723" s="328"/>
      <c r="U723" s="328"/>
      <c r="V723" s="328"/>
      <c r="W723" s="328"/>
      <c r="X723" s="328"/>
      <c r="Y723" s="328"/>
      <c r="Z723" s="328"/>
      <c r="AA723" s="328"/>
      <c r="AB723" s="328"/>
      <c r="AC723" s="328"/>
      <c r="AD723" s="328"/>
      <c r="AE723" s="328"/>
      <c r="AF723" s="328"/>
      <c r="AG723" s="328"/>
      <c r="AH723" s="328"/>
      <c r="AI723" s="328"/>
      <c r="AJ723" s="328"/>
      <c r="AK723" s="328"/>
      <c r="AL723" s="328"/>
      <c r="AM723" s="328"/>
      <c r="AN723" s="328"/>
      <c r="AO723" s="328"/>
      <c r="AP723" s="328"/>
      <c r="AQ723" s="328"/>
      <c r="AR723" s="328"/>
      <c r="AS723" s="328"/>
      <c r="AT723" s="328"/>
      <c r="AU723" s="328"/>
    </row>
    <row r="724" ht="15.75" customHeight="1">
      <c r="A724" s="328"/>
      <c r="B724" s="328"/>
      <c r="C724" s="328"/>
      <c r="D724" s="328"/>
      <c r="E724" s="328"/>
      <c r="F724" s="328"/>
      <c r="G724" s="328"/>
      <c r="H724" s="328"/>
      <c r="I724" s="328"/>
      <c r="J724" s="328"/>
      <c r="K724" s="328"/>
      <c r="L724" s="328"/>
      <c r="M724" s="328"/>
      <c r="N724" s="328"/>
      <c r="O724" s="328"/>
      <c r="P724" s="328"/>
      <c r="Q724" s="328"/>
      <c r="R724" s="328"/>
      <c r="S724" s="328"/>
      <c r="T724" s="328"/>
      <c r="U724" s="328"/>
      <c r="V724" s="328"/>
      <c r="W724" s="328"/>
      <c r="X724" s="328"/>
      <c r="Y724" s="328"/>
      <c r="Z724" s="328"/>
      <c r="AA724" s="328"/>
      <c r="AB724" s="328"/>
      <c r="AC724" s="328"/>
      <c r="AD724" s="328"/>
      <c r="AE724" s="328"/>
      <c r="AF724" s="328"/>
      <c r="AG724" s="328"/>
      <c r="AH724" s="328"/>
      <c r="AI724" s="328"/>
      <c r="AJ724" s="328"/>
      <c r="AK724" s="328"/>
      <c r="AL724" s="328"/>
      <c r="AM724" s="328"/>
      <c r="AN724" s="328"/>
      <c r="AO724" s="328"/>
      <c r="AP724" s="328"/>
      <c r="AQ724" s="328"/>
      <c r="AR724" s="328"/>
      <c r="AS724" s="328"/>
      <c r="AT724" s="328"/>
      <c r="AU724" s="328"/>
    </row>
    <row r="725" ht="15.75" customHeight="1">
      <c r="A725" s="328"/>
      <c r="B725" s="328"/>
      <c r="C725" s="328"/>
      <c r="D725" s="328"/>
      <c r="E725" s="328"/>
      <c r="F725" s="328"/>
      <c r="G725" s="328"/>
      <c r="H725" s="328"/>
      <c r="I725" s="328"/>
      <c r="J725" s="328"/>
      <c r="K725" s="328"/>
      <c r="L725" s="328"/>
      <c r="M725" s="328"/>
      <c r="N725" s="328"/>
      <c r="O725" s="328"/>
      <c r="P725" s="328"/>
      <c r="Q725" s="328"/>
      <c r="R725" s="328"/>
      <c r="S725" s="328"/>
      <c r="T725" s="328"/>
      <c r="U725" s="328"/>
      <c r="V725" s="328"/>
      <c r="W725" s="328"/>
      <c r="X725" s="328"/>
      <c r="Y725" s="328"/>
      <c r="Z725" s="328"/>
      <c r="AA725" s="328"/>
      <c r="AB725" s="328"/>
      <c r="AC725" s="328"/>
      <c r="AD725" s="328"/>
      <c r="AE725" s="328"/>
      <c r="AF725" s="328"/>
      <c r="AG725" s="328"/>
      <c r="AH725" s="328"/>
      <c r="AI725" s="328"/>
      <c r="AJ725" s="328"/>
      <c r="AK725" s="328"/>
      <c r="AL725" s="328"/>
      <c r="AM725" s="328"/>
      <c r="AN725" s="328"/>
      <c r="AO725" s="328"/>
      <c r="AP725" s="328"/>
      <c r="AQ725" s="328"/>
      <c r="AR725" s="328"/>
      <c r="AS725" s="328"/>
      <c r="AT725" s="328"/>
      <c r="AU725" s="328"/>
    </row>
    <row r="726" ht="15.75" customHeight="1">
      <c r="A726" s="328"/>
      <c r="B726" s="328"/>
      <c r="C726" s="328"/>
      <c r="D726" s="328"/>
      <c r="E726" s="328"/>
      <c r="F726" s="328"/>
      <c r="G726" s="328"/>
      <c r="H726" s="328"/>
      <c r="I726" s="328"/>
      <c r="J726" s="328"/>
      <c r="K726" s="328"/>
      <c r="L726" s="328"/>
      <c r="M726" s="328"/>
      <c r="N726" s="328"/>
      <c r="O726" s="328"/>
      <c r="P726" s="328"/>
      <c r="Q726" s="328"/>
      <c r="R726" s="328"/>
      <c r="S726" s="328"/>
      <c r="T726" s="328"/>
      <c r="U726" s="328"/>
      <c r="V726" s="328"/>
      <c r="W726" s="328"/>
      <c r="X726" s="328"/>
      <c r="Y726" s="328"/>
      <c r="Z726" s="328"/>
      <c r="AA726" s="328"/>
      <c r="AB726" s="328"/>
      <c r="AC726" s="328"/>
      <c r="AD726" s="328"/>
      <c r="AE726" s="328"/>
      <c r="AF726" s="328"/>
      <c r="AG726" s="328"/>
      <c r="AH726" s="328"/>
      <c r="AI726" s="328"/>
      <c r="AJ726" s="328"/>
      <c r="AK726" s="328"/>
      <c r="AL726" s="328"/>
      <c r="AM726" s="328"/>
      <c r="AN726" s="328"/>
      <c r="AO726" s="328"/>
      <c r="AP726" s="328"/>
      <c r="AQ726" s="328"/>
      <c r="AR726" s="328"/>
      <c r="AS726" s="328"/>
      <c r="AT726" s="328"/>
      <c r="AU726" s="328"/>
    </row>
    <row r="727" ht="15.75" customHeight="1">
      <c r="A727" s="328"/>
      <c r="B727" s="328"/>
      <c r="C727" s="328"/>
      <c r="D727" s="328"/>
      <c r="E727" s="328"/>
      <c r="F727" s="328"/>
      <c r="G727" s="328"/>
      <c r="H727" s="328"/>
      <c r="I727" s="328"/>
      <c r="J727" s="328"/>
      <c r="K727" s="328"/>
      <c r="L727" s="328"/>
      <c r="M727" s="328"/>
      <c r="N727" s="328"/>
      <c r="O727" s="328"/>
      <c r="P727" s="328"/>
      <c r="Q727" s="328"/>
      <c r="R727" s="328"/>
      <c r="S727" s="328"/>
      <c r="T727" s="328"/>
      <c r="U727" s="328"/>
      <c r="V727" s="328"/>
      <c r="W727" s="328"/>
      <c r="X727" s="328"/>
      <c r="Y727" s="328"/>
      <c r="Z727" s="328"/>
      <c r="AA727" s="328"/>
      <c r="AB727" s="328"/>
      <c r="AC727" s="328"/>
      <c r="AD727" s="328"/>
      <c r="AE727" s="328"/>
      <c r="AF727" s="328"/>
      <c r="AG727" s="328"/>
      <c r="AH727" s="328"/>
      <c r="AI727" s="328"/>
      <c r="AJ727" s="328"/>
      <c r="AK727" s="328"/>
      <c r="AL727" s="328"/>
      <c r="AM727" s="328"/>
      <c r="AN727" s="328"/>
      <c r="AO727" s="328"/>
      <c r="AP727" s="328"/>
      <c r="AQ727" s="328"/>
      <c r="AR727" s="328"/>
      <c r="AS727" s="328"/>
      <c r="AT727" s="328"/>
      <c r="AU727" s="328"/>
    </row>
    <row r="728" ht="15.75" customHeight="1">
      <c r="A728" s="328"/>
      <c r="B728" s="328"/>
      <c r="C728" s="328"/>
      <c r="D728" s="328"/>
      <c r="E728" s="328"/>
      <c r="F728" s="328"/>
      <c r="G728" s="328"/>
      <c r="H728" s="328"/>
      <c r="I728" s="328"/>
      <c r="J728" s="328"/>
      <c r="K728" s="328"/>
      <c r="L728" s="328"/>
      <c r="M728" s="328"/>
      <c r="N728" s="328"/>
      <c r="O728" s="328"/>
      <c r="P728" s="328"/>
      <c r="Q728" s="328"/>
      <c r="R728" s="328"/>
      <c r="S728" s="328"/>
      <c r="T728" s="328"/>
      <c r="U728" s="328"/>
      <c r="V728" s="328"/>
      <c r="W728" s="328"/>
      <c r="X728" s="328"/>
      <c r="Y728" s="328"/>
      <c r="Z728" s="328"/>
      <c r="AA728" s="328"/>
      <c r="AB728" s="328"/>
      <c r="AC728" s="328"/>
      <c r="AD728" s="328"/>
      <c r="AE728" s="328"/>
      <c r="AF728" s="328"/>
      <c r="AG728" s="328"/>
      <c r="AH728" s="328"/>
      <c r="AI728" s="328"/>
      <c r="AJ728" s="328"/>
      <c r="AK728" s="328"/>
      <c r="AL728" s="328"/>
      <c r="AM728" s="328"/>
      <c r="AN728" s="328"/>
      <c r="AO728" s="328"/>
      <c r="AP728" s="328"/>
      <c r="AQ728" s="328"/>
      <c r="AR728" s="328"/>
      <c r="AS728" s="328"/>
      <c r="AT728" s="328"/>
      <c r="AU728" s="328"/>
    </row>
    <row r="729" ht="15.75" customHeight="1">
      <c r="A729" s="328"/>
      <c r="B729" s="328"/>
      <c r="C729" s="328"/>
      <c r="D729" s="328"/>
      <c r="E729" s="328"/>
      <c r="F729" s="328"/>
      <c r="G729" s="328"/>
      <c r="H729" s="328"/>
      <c r="I729" s="328"/>
      <c r="J729" s="328"/>
      <c r="K729" s="328"/>
      <c r="L729" s="328"/>
      <c r="M729" s="328"/>
      <c r="N729" s="328"/>
      <c r="O729" s="328"/>
      <c r="P729" s="328"/>
      <c r="Q729" s="328"/>
      <c r="R729" s="328"/>
      <c r="S729" s="328"/>
      <c r="T729" s="328"/>
      <c r="U729" s="328"/>
      <c r="V729" s="328"/>
      <c r="W729" s="328"/>
      <c r="X729" s="328"/>
      <c r="Y729" s="328"/>
      <c r="Z729" s="328"/>
      <c r="AA729" s="328"/>
      <c r="AB729" s="328"/>
      <c r="AC729" s="328"/>
      <c r="AD729" s="328"/>
      <c r="AE729" s="328"/>
      <c r="AF729" s="328"/>
      <c r="AG729" s="328"/>
      <c r="AH729" s="328"/>
      <c r="AI729" s="328"/>
      <c r="AJ729" s="328"/>
      <c r="AK729" s="328"/>
      <c r="AL729" s="328"/>
      <c r="AM729" s="328"/>
      <c r="AN729" s="328"/>
      <c r="AO729" s="328"/>
      <c r="AP729" s="328"/>
      <c r="AQ729" s="328"/>
      <c r="AR729" s="328"/>
      <c r="AS729" s="328"/>
      <c r="AT729" s="328"/>
      <c r="AU729" s="328"/>
    </row>
    <row r="730" ht="15.75" customHeight="1">
      <c r="A730" s="328"/>
      <c r="B730" s="328"/>
      <c r="C730" s="328"/>
      <c r="D730" s="328"/>
      <c r="E730" s="328"/>
      <c r="F730" s="328"/>
      <c r="G730" s="328"/>
      <c r="H730" s="328"/>
      <c r="I730" s="328"/>
      <c r="J730" s="328"/>
      <c r="K730" s="328"/>
      <c r="L730" s="328"/>
      <c r="M730" s="328"/>
      <c r="N730" s="328"/>
      <c r="O730" s="328"/>
      <c r="P730" s="328"/>
      <c r="Q730" s="328"/>
      <c r="R730" s="328"/>
      <c r="S730" s="328"/>
      <c r="T730" s="328"/>
      <c r="U730" s="328"/>
      <c r="V730" s="328"/>
      <c r="W730" s="328"/>
      <c r="X730" s="328"/>
      <c r="Y730" s="328"/>
      <c r="Z730" s="328"/>
      <c r="AA730" s="328"/>
      <c r="AB730" s="328"/>
      <c r="AC730" s="328"/>
      <c r="AD730" s="328"/>
      <c r="AE730" s="328"/>
      <c r="AF730" s="328"/>
      <c r="AG730" s="328"/>
      <c r="AH730" s="328"/>
      <c r="AI730" s="328"/>
      <c r="AJ730" s="328"/>
      <c r="AK730" s="328"/>
      <c r="AL730" s="328"/>
      <c r="AM730" s="328"/>
      <c r="AN730" s="328"/>
      <c r="AO730" s="328"/>
      <c r="AP730" s="328"/>
      <c r="AQ730" s="328"/>
      <c r="AR730" s="328"/>
      <c r="AS730" s="328"/>
      <c r="AT730" s="328"/>
      <c r="AU730" s="328"/>
    </row>
    <row r="731" ht="15.75" customHeight="1">
      <c r="A731" s="328"/>
      <c r="B731" s="328"/>
      <c r="C731" s="328"/>
      <c r="D731" s="328"/>
      <c r="E731" s="328"/>
      <c r="F731" s="328"/>
      <c r="G731" s="328"/>
      <c r="H731" s="328"/>
      <c r="I731" s="328"/>
      <c r="J731" s="328"/>
      <c r="K731" s="328"/>
      <c r="L731" s="328"/>
      <c r="M731" s="328"/>
      <c r="N731" s="328"/>
      <c r="O731" s="328"/>
      <c r="P731" s="328"/>
      <c r="Q731" s="328"/>
      <c r="R731" s="328"/>
      <c r="S731" s="328"/>
      <c r="T731" s="328"/>
      <c r="U731" s="328"/>
      <c r="V731" s="328"/>
      <c r="W731" s="328"/>
      <c r="X731" s="328"/>
      <c r="Y731" s="328"/>
      <c r="Z731" s="328"/>
      <c r="AA731" s="328"/>
      <c r="AB731" s="328"/>
      <c r="AC731" s="328"/>
      <c r="AD731" s="328"/>
      <c r="AE731" s="328"/>
      <c r="AF731" s="328"/>
      <c r="AG731" s="328"/>
      <c r="AH731" s="328"/>
      <c r="AI731" s="328"/>
      <c r="AJ731" s="328"/>
      <c r="AK731" s="328"/>
      <c r="AL731" s="328"/>
      <c r="AM731" s="328"/>
      <c r="AN731" s="328"/>
      <c r="AO731" s="328"/>
      <c r="AP731" s="328"/>
      <c r="AQ731" s="328"/>
      <c r="AR731" s="328"/>
      <c r="AS731" s="328"/>
      <c r="AT731" s="328"/>
      <c r="AU731" s="328"/>
    </row>
    <row r="732" ht="15.75" customHeight="1">
      <c r="A732" s="328"/>
      <c r="B732" s="328"/>
      <c r="C732" s="328"/>
      <c r="D732" s="328"/>
      <c r="E732" s="328"/>
      <c r="F732" s="328"/>
      <c r="G732" s="328"/>
      <c r="H732" s="328"/>
      <c r="I732" s="328"/>
      <c r="J732" s="328"/>
      <c r="K732" s="328"/>
      <c r="L732" s="328"/>
      <c r="M732" s="328"/>
      <c r="N732" s="328"/>
      <c r="O732" s="328"/>
      <c r="P732" s="328"/>
      <c r="Q732" s="328"/>
      <c r="R732" s="328"/>
      <c r="S732" s="328"/>
      <c r="T732" s="328"/>
      <c r="U732" s="328"/>
      <c r="V732" s="328"/>
      <c r="W732" s="328"/>
      <c r="X732" s="328"/>
      <c r="Y732" s="328"/>
      <c r="Z732" s="328"/>
      <c r="AA732" s="328"/>
      <c r="AB732" s="328"/>
      <c r="AC732" s="328"/>
      <c r="AD732" s="328"/>
      <c r="AE732" s="328"/>
      <c r="AF732" s="328"/>
      <c r="AG732" s="328"/>
      <c r="AH732" s="328"/>
      <c r="AI732" s="328"/>
      <c r="AJ732" s="328"/>
      <c r="AK732" s="328"/>
      <c r="AL732" s="328"/>
      <c r="AM732" s="328"/>
      <c r="AN732" s="328"/>
      <c r="AO732" s="328"/>
      <c r="AP732" s="328"/>
      <c r="AQ732" s="328"/>
      <c r="AR732" s="328"/>
      <c r="AS732" s="328"/>
      <c r="AT732" s="328"/>
      <c r="AU732" s="328"/>
    </row>
    <row r="733" ht="15.75" customHeight="1">
      <c r="A733" s="328"/>
      <c r="B733" s="328"/>
      <c r="C733" s="328"/>
      <c r="D733" s="328"/>
      <c r="E733" s="328"/>
      <c r="F733" s="328"/>
      <c r="G733" s="328"/>
      <c r="H733" s="328"/>
      <c r="I733" s="328"/>
      <c r="J733" s="328"/>
      <c r="K733" s="328"/>
      <c r="L733" s="328"/>
      <c r="M733" s="328"/>
      <c r="N733" s="328"/>
      <c r="O733" s="328"/>
      <c r="P733" s="328"/>
      <c r="Q733" s="328"/>
      <c r="R733" s="328"/>
      <c r="S733" s="328"/>
      <c r="T733" s="328"/>
      <c r="U733" s="328"/>
      <c r="V733" s="328"/>
      <c r="W733" s="328"/>
      <c r="X733" s="328"/>
      <c r="Y733" s="328"/>
      <c r="Z733" s="328"/>
      <c r="AA733" s="328"/>
      <c r="AB733" s="328"/>
      <c r="AC733" s="328"/>
      <c r="AD733" s="328"/>
      <c r="AE733" s="328"/>
      <c r="AF733" s="328"/>
      <c r="AG733" s="328"/>
      <c r="AH733" s="328"/>
      <c r="AI733" s="328"/>
      <c r="AJ733" s="328"/>
      <c r="AK733" s="328"/>
      <c r="AL733" s="328"/>
      <c r="AM733" s="328"/>
      <c r="AN733" s="328"/>
      <c r="AO733" s="328"/>
      <c r="AP733" s="328"/>
      <c r="AQ733" s="328"/>
      <c r="AR733" s="328"/>
      <c r="AS733" s="328"/>
      <c r="AT733" s="328"/>
      <c r="AU733" s="328"/>
    </row>
    <row r="734" ht="15.75" customHeight="1">
      <c r="A734" s="328"/>
      <c r="B734" s="328"/>
      <c r="C734" s="328"/>
      <c r="D734" s="328"/>
      <c r="E734" s="328"/>
      <c r="F734" s="328"/>
      <c r="G734" s="328"/>
      <c r="H734" s="328"/>
      <c r="I734" s="328"/>
      <c r="J734" s="328"/>
      <c r="K734" s="328"/>
      <c r="L734" s="328"/>
      <c r="M734" s="328"/>
      <c r="N734" s="328"/>
      <c r="O734" s="328"/>
      <c r="P734" s="328"/>
      <c r="Q734" s="328"/>
      <c r="R734" s="328"/>
      <c r="S734" s="328"/>
      <c r="T734" s="328"/>
      <c r="U734" s="328"/>
      <c r="V734" s="328"/>
      <c r="W734" s="328"/>
      <c r="X734" s="328"/>
      <c r="Y734" s="328"/>
      <c r="Z734" s="328"/>
      <c r="AA734" s="328"/>
      <c r="AB734" s="328"/>
      <c r="AC734" s="328"/>
      <c r="AD734" s="328"/>
      <c r="AE734" s="328"/>
      <c r="AF734" s="328"/>
      <c r="AG734" s="328"/>
      <c r="AH734" s="328"/>
      <c r="AI734" s="328"/>
      <c r="AJ734" s="328"/>
      <c r="AK734" s="328"/>
      <c r="AL734" s="328"/>
      <c r="AM734" s="328"/>
      <c r="AN734" s="328"/>
      <c r="AO734" s="328"/>
      <c r="AP734" s="328"/>
      <c r="AQ734" s="328"/>
      <c r="AR734" s="328"/>
      <c r="AS734" s="328"/>
      <c r="AT734" s="328"/>
      <c r="AU734" s="328"/>
    </row>
    <row r="735" ht="15.75" customHeight="1">
      <c r="A735" s="328"/>
      <c r="B735" s="328"/>
      <c r="C735" s="328"/>
      <c r="D735" s="328"/>
      <c r="E735" s="328"/>
      <c r="F735" s="328"/>
      <c r="G735" s="328"/>
      <c r="H735" s="328"/>
      <c r="I735" s="328"/>
      <c r="J735" s="328"/>
      <c r="K735" s="328"/>
      <c r="L735" s="328"/>
      <c r="M735" s="328"/>
      <c r="N735" s="328"/>
      <c r="O735" s="328"/>
      <c r="P735" s="328"/>
      <c r="Q735" s="328"/>
      <c r="R735" s="328"/>
      <c r="S735" s="328"/>
      <c r="T735" s="328"/>
      <c r="U735" s="328"/>
      <c r="V735" s="328"/>
      <c r="W735" s="328"/>
      <c r="X735" s="328"/>
      <c r="Y735" s="328"/>
      <c r="Z735" s="328"/>
      <c r="AA735" s="328"/>
      <c r="AB735" s="328"/>
      <c r="AC735" s="328"/>
      <c r="AD735" s="328"/>
      <c r="AE735" s="328"/>
      <c r="AF735" s="328"/>
      <c r="AG735" s="328"/>
      <c r="AH735" s="328"/>
      <c r="AI735" s="328"/>
      <c r="AJ735" s="328"/>
      <c r="AK735" s="328"/>
      <c r="AL735" s="328"/>
      <c r="AM735" s="328"/>
      <c r="AN735" s="328"/>
      <c r="AO735" s="328"/>
      <c r="AP735" s="328"/>
      <c r="AQ735" s="328"/>
      <c r="AR735" s="328"/>
      <c r="AS735" s="328"/>
      <c r="AT735" s="328"/>
      <c r="AU735" s="328"/>
    </row>
    <row r="736" ht="15.75" customHeight="1">
      <c r="A736" s="328"/>
      <c r="B736" s="328"/>
      <c r="C736" s="328"/>
      <c r="D736" s="328"/>
      <c r="E736" s="328"/>
      <c r="F736" s="328"/>
      <c r="G736" s="328"/>
      <c r="H736" s="328"/>
      <c r="I736" s="328"/>
      <c r="J736" s="328"/>
      <c r="K736" s="328"/>
      <c r="L736" s="328"/>
      <c r="M736" s="328"/>
      <c r="N736" s="328"/>
      <c r="O736" s="328"/>
      <c r="P736" s="328"/>
      <c r="Q736" s="328"/>
      <c r="R736" s="328"/>
      <c r="S736" s="328"/>
      <c r="T736" s="328"/>
      <c r="U736" s="328"/>
      <c r="V736" s="328"/>
      <c r="W736" s="328"/>
      <c r="X736" s="328"/>
      <c r="Y736" s="328"/>
      <c r="Z736" s="328"/>
      <c r="AA736" s="328"/>
      <c r="AB736" s="328"/>
      <c r="AC736" s="328"/>
      <c r="AD736" s="328"/>
      <c r="AE736" s="328"/>
      <c r="AF736" s="328"/>
      <c r="AG736" s="328"/>
      <c r="AH736" s="328"/>
      <c r="AI736" s="328"/>
      <c r="AJ736" s="328"/>
      <c r="AK736" s="328"/>
      <c r="AL736" s="328"/>
      <c r="AM736" s="328"/>
      <c r="AN736" s="328"/>
      <c r="AO736" s="328"/>
      <c r="AP736" s="328"/>
      <c r="AQ736" s="328"/>
      <c r="AR736" s="328"/>
      <c r="AS736" s="328"/>
      <c r="AT736" s="328"/>
      <c r="AU736" s="328"/>
    </row>
    <row r="737" ht="15.75" customHeight="1">
      <c r="A737" s="328"/>
      <c r="B737" s="328"/>
      <c r="C737" s="328"/>
      <c r="D737" s="328"/>
      <c r="E737" s="328"/>
      <c r="F737" s="328"/>
      <c r="G737" s="328"/>
      <c r="H737" s="328"/>
      <c r="I737" s="328"/>
      <c r="J737" s="328"/>
      <c r="K737" s="328"/>
      <c r="L737" s="328"/>
      <c r="M737" s="328"/>
      <c r="N737" s="328"/>
      <c r="O737" s="328"/>
      <c r="P737" s="328"/>
      <c r="Q737" s="328"/>
      <c r="R737" s="328"/>
      <c r="S737" s="328"/>
      <c r="T737" s="328"/>
      <c r="U737" s="328"/>
      <c r="V737" s="328"/>
      <c r="W737" s="328"/>
      <c r="X737" s="328"/>
      <c r="Y737" s="328"/>
      <c r="Z737" s="328"/>
      <c r="AA737" s="328"/>
      <c r="AB737" s="328"/>
      <c r="AC737" s="328"/>
      <c r="AD737" s="328"/>
      <c r="AE737" s="328"/>
      <c r="AF737" s="328"/>
      <c r="AG737" s="328"/>
      <c r="AH737" s="328"/>
      <c r="AI737" s="328"/>
      <c r="AJ737" s="328"/>
      <c r="AK737" s="328"/>
      <c r="AL737" s="328"/>
      <c r="AM737" s="328"/>
      <c r="AN737" s="328"/>
      <c r="AO737" s="328"/>
      <c r="AP737" s="328"/>
      <c r="AQ737" s="328"/>
      <c r="AR737" s="328"/>
      <c r="AS737" s="328"/>
      <c r="AT737" s="328"/>
      <c r="AU737" s="328"/>
    </row>
    <row r="738" ht="15.75" customHeight="1">
      <c r="A738" s="328"/>
      <c r="B738" s="328"/>
      <c r="C738" s="328"/>
      <c r="D738" s="328"/>
      <c r="E738" s="328"/>
      <c r="F738" s="328"/>
      <c r="G738" s="328"/>
      <c r="H738" s="328"/>
      <c r="I738" s="328"/>
      <c r="J738" s="328"/>
      <c r="K738" s="328"/>
      <c r="L738" s="328"/>
      <c r="M738" s="328"/>
      <c r="N738" s="328"/>
      <c r="O738" s="328"/>
      <c r="P738" s="328"/>
      <c r="Q738" s="328"/>
      <c r="R738" s="328"/>
      <c r="S738" s="328"/>
      <c r="T738" s="328"/>
      <c r="U738" s="328"/>
      <c r="V738" s="328"/>
      <c r="W738" s="328"/>
      <c r="X738" s="328"/>
      <c r="Y738" s="328"/>
      <c r="Z738" s="328"/>
      <c r="AA738" s="328"/>
      <c r="AB738" s="328"/>
      <c r="AC738" s="328"/>
      <c r="AD738" s="328"/>
      <c r="AE738" s="328"/>
      <c r="AF738" s="328"/>
      <c r="AG738" s="328"/>
      <c r="AH738" s="328"/>
      <c r="AI738" s="328"/>
      <c r="AJ738" s="328"/>
      <c r="AK738" s="328"/>
      <c r="AL738" s="328"/>
      <c r="AM738" s="328"/>
      <c r="AN738" s="328"/>
      <c r="AO738" s="328"/>
      <c r="AP738" s="328"/>
      <c r="AQ738" s="328"/>
      <c r="AR738" s="328"/>
      <c r="AS738" s="328"/>
      <c r="AT738" s="328"/>
      <c r="AU738" s="328"/>
    </row>
    <row r="739" ht="15.75" customHeight="1">
      <c r="A739" s="328"/>
      <c r="B739" s="328"/>
      <c r="C739" s="328"/>
      <c r="D739" s="328"/>
      <c r="E739" s="328"/>
      <c r="F739" s="328"/>
      <c r="G739" s="328"/>
      <c r="H739" s="328"/>
      <c r="I739" s="328"/>
      <c r="J739" s="328"/>
      <c r="K739" s="328"/>
      <c r="L739" s="328"/>
      <c r="M739" s="328"/>
      <c r="N739" s="328"/>
      <c r="O739" s="328"/>
      <c r="P739" s="328"/>
      <c r="Q739" s="328"/>
      <c r="R739" s="328"/>
      <c r="S739" s="328"/>
      <c r="T739" s="328"/>
      <c r="U739" s="328"/>
      <c r="V739" s="328"/>
      <c r="W739" s="328"/>
      <c r="X739" s="328"/>
      <c r="Y739" s="328"/>
      <c r="Z739" s="328"/>
      <c r="AA739" s="328"/>
      <c r="AB739" s="328"/>
      <c r="AC739" s="328"/>
      <c r="AD739" s="328"/>
      <c r="AE739" s="328"/>
      <c r="AF739" s="328"/>
      <c r="AG739" s="328"/>
      <c r="AH739" s="328"/>
      <c r="AI739" s="328"/>
      <c r="AJ739" s="328"/>
      <c r="AK739" s="328"/>
      <c r="AL739" s="328"/>
      <c r="AM739" s="328"/>
      <c r="AN739" s="328"/>
      <c r="AO739" s="328"/>
      <c r="AP739" s="328"/>
      <c r="AQ739" s="328"/>
      <c r="AR739" s="328"/>
      <c r="AS739" s="328"/>
      <c r="AT739" s="328"/>
      <c r="AU739" s="328"/>
    </row>
    <row r="740" ht="15.75" customHeight="1">
      <c r="A740" s="328"/>
      <c r="B740" s="328"/>
      <c r="C740" s="328"/>
      <c r="D740" s="328"/>
      <c r="E740" s="328"/>
      <c r="F740" s="328"/>
      <c r="G740" s="328"/>
      <c r="H740" s="328"/>
      <c r="I740" s="328"/>
      <c r="J740" s="328"/>
      <c r="K740" s="328"/>
      <c r="L740" s="328"/>
      <c r="M740" s="328"/>
      <c r="N740" s="328"/>
      <c r="O740" s="328"/>
      <c r="P740" s="328"/>
      <c r="Q740" s="328"/>
      <c r="R740" s="328"/>
      <c r="S740" s="328"/>
      <c r="T740" s="328"/>
      <c r="U740" s="328"/>
      <c r="V740" s="328"/>
      <c r="W740" s="328"/>
      <c r="X740" s="328"/>
      <c r="Y740" s="328"/>
      <c r="Z740" s="328"/>
      <c r="AA740" s="328"/>
      <c r="AB740" s="328"/>
      <c r="AC740" s="328"/>
      <c r="AD740" s="328"/>
      <c r="AE740" s="328"/>
      <c r="AF740" s="328"/>
      <c r="AG740" s="328"/>
      <c r="AH740" s="328"/>
      <c r="AI740" s="328"/>
      <c r="AJ740" s="328"/>
      <c r="AK740" s="328"/>
      <c r="AL740" s="328"/>
      <c r="AM740" s="328"/>
      <c r="AN740" s="328"/>
      <c r="AO740" s="328"/>
      <c r="AP740" s="328"/>
      <c r="AQ740" s="328"/>
      <c r="AR740" s="328"/>
      <c r="AS740" s="328"/>
      <c r="AT740" s="328"/>
      <c r="AU740" s="328"/>
    </row>
    <row r="741" ht="15.75" customHeight="1">
      <c r="A741" s="328"/>
      <c r="B741" s="328"/>
      <c r="C741" s="328"/>
      <c r="D741" s="328"/>
      <c r="E741" s="328"/>
      <c r="F741" s="328"/>
      <c r="G741" s="328"/>
      <c r="H741" s="328"/>
      <c r="I741" s="328"/>
      <c r="J741" s="328"/>
      <c r="K741" s="328"/>
      <c r="L741" s="328"/>
      <c r="M741" s="328"/>
      <c r="N741" s="328"/>
      <c r="O741" s="328"/>
      <c r="P741" s="328"/>
      <c r="Q741" s="328"/>
      <c r="R741" s="328"/>
      <c r="S741" s="328"/>
      <c r="T741" s="328"/>
      <c r="U741" s="328"/>
      <c r="V741" s="328"/>
      <c r="W741" s="328"/>
      <c r="X741" s="328"/>
      <c r="Y741" s="328"/>
      <c r="Z741" s="328"/>
      <c r="AA741" s="328"/>
      <c r="AB741" s="328"/>
      <c r="AC741" s="328"/>
      <c r="AD741" s="328"/>
      <c r="AE741" s="328"/>
      <c r="AF741" s="328"/>
      <c r="AG741" s="328"/>
      <c r="AH741" s="328"/>
      <c r="AI741" s="328"/>
      <c r="AJ741" s="328"/>
      <c r="AK741" s="328"/>
      <c r="AL741" s="328"/>
      <c r="AM741" s="328"/>
      <c r="AN741" s="328"/>
      <c r="AO741" s="328"/>
      <c r="AP741" s="328"/>
      <c r="AQ741" s="328"/>
      <c r="AR741" s="328"/>
      <c r="AS741" s="328"/>
      <c r="AT741" s="328"/>
      <c r="AU741" s="328"/>
    </row>
    <row r="742" ht="15.75" customHeight="1">
      <c r="A742" s="328"/>
      <c r="B742" s="328"/>
      <c r="C742" s="328"/>
      <c r="D742" s="328"/>
      <c r="E742" s="328"/>
      <c r="F742" s="328"/>
      <c r="G742" s="328"/>
      <c r="H742" s="328"/>
      <c r="I742" s="328"/>
      <c r="J742" s="328"/>
      <c r="K742" s="328"/>
      <c r="L742" s="328"/>
      <c r="M742" s="328"/>
      <c r="N742" s="328"/>
      <c r="O742" s="328"/>
      <c r="P742" s="328"/>
      <c r="Q742" s="328"/>
      <c r="R742" s="328"/>
      <c r="S742" s="328"/>
      <c r="T742" s="328"/>
      <c r="U742" s="328"/>
      <c r="V742" s="328"/>
      <c r="W742" s="328"/>
      <c r="X742" s="328"/>
      <c r="Y742" s="328"/>
      <c r="Z742" s="328"/>
      <c r="AA742" s="328"/>
      <c r="AB742" s="328"/>
      <c r="AC742" s="328"/>
      <c r="AD742" s="328"/>
      <c r="AE742" s="328"/>
      <c r="AF742" s="328"/>
      <c r="AG742" s="328"/>
      <c r="AH742" s="328"/>
      <c r="AI742" s="328"/>
      <c r="AJ742" s="328"/>
      <c r="AK742" s="328"/>
      <c r="AL742" s="328"/>
      <c r="AM742" s="328"/>
      <c r="AN742" s="328"/>
      <c r="AO742" s="328"/>
      <c r="AP742" s="328"/>
      <c r="AQ742" s="328"/>
      <c r="AR742" s="328"/>
      <c r="AS742" s="328"/>
      <c r="AT742" s="328"/>
      <c r="AU742" s="328"/>
    </row>
    <row r="743" ht="15.75" customHeight="1">
      <c r="A743" s="328"/>
      <c r="B743" s="328"/>
      <c r="C743" s="328"/>
      <c r="D743" s="328"/>
      <c r="E743" s="328"/>
      <c r="F743" s="328"/>
      <c r="G743" s="328"/>
      <c r="H743" s="328"/>
      <c r="I743" s="328"/>
      <c r="J743" s="328"/>
      <c r="K743" s="328"/>
      <c r="L743" s="328"/>
      <c r="M743" s="328"/>
      <c r="N743" s="328"/>
      <c r="O743" s="328"/>
      <c r="P743" s="328"/>
      <c r="Q743" s="328"/>
      <c r="R743" s="328"/>
      <c r="S743" s="328"/>
      <c r="T743" s="328"/>
      <c r="U743" s="328"/>
      <c r="V743" s="328"/>
      <c r="W743" s="328"/>
      <c r="X743" s="328"/>
      <c r="Y743" s="328"/>
      <c r="Z743" s="328"/>
      <c r="AA743" s="328"/>
      <c r="AB743" s="328"/>
      <c r="AC743" s="328"/>
      <c r="AD743" s="328"/>
      <c r="AE743" s="328"/>
      <c r="AF743" s="328"/>
      <c r="AG743" s="328"/>
      <c r="AH743" s="328"/>
      <c r="AI743" s="328"/>
      <c r="AJ743" s="328"/>
      <c r="AK743" s="328"/>
      <c r="AL743" s="328"/>
      <c r="AM743" s="328"/>
      <c r="AN743" s="328"/>
      <c r="AO743" s="328"/>
      <c r="AP743" s="328"/>
      <c r="AQ743" s="328"/>
      <c r="AR743" s="328"/>
      <c r="AS743" s="328"/>
      <c r="AT743" s="328"/>
      <c r="AU743" s="328"/>
    </row>
    <row r="744" ht="15.75" customHeight="1">
      <c r="A744" s="328"/>
      <c r="B744" s="328"/>
      <c r="C744" s="328"/>
      <c r="D744" s="328"/>
      <c r="E744" s="328"/>
      <c r="F744" s="328"/>
      <c r="G744" s="328"/>
      <c r="H744" s="328"/>
      <c r="I744" s="328"/>
      <c r="J744" s="328"/>
      <c r="K744" s="328"/>
      <c r="L744" s="328"/>
      <c r="M744" s="328"/>
      <c r="N744" s="328"/>
      <c r="O744" s="328"/>
      <c r="P744" s="328"/>
      <c r="Q744" s="328"/>
      <c r="R744" s="328"/>
      <c r="S744" s="328"/>
      <c r="T744" s="328"/>
      <c r="U744" s="328"/>
      <c r="V744" s="328"/>
      <c r="W744" s="328"/>
      <c r="X744" s="328"/>
      <c r="Y744" s="328"/>
      <c r="Z744" s="328"/>
      <c r="AA744" s="328"/>
      <c r="AB744" s="328"/>
      <c r="AC744" s="328"/>
      <c r="AD744" s="328"/>
      <c r="AE744" s="328"/>
      <c r="AF744" s="328"/>
      <c r="AG744" s="328"/>
      <c r="AH744" s="328"/>
      <c r="AI744" s="328"/>
      <c r="AJ744" s="328"/>
      <c r="AK744" s="328"/>
      <c r="AL744" s="328"/>
      <c r="AM744" s="328"/>
      <c r="AN744" s="328"/>
      <c r="AO744" s="328"/>
      <c r="AP744" s="328"/>
      <c r="AQ744" s="328"/>
      <c r="AR744" s="328"/>
      <c r="AS744" s="328"/>
      <c r="AT744" s="328"/>
      <c r="AU744" s="328"/>
    </row>
    <row r="745" ht="15.75" customHeight="1">
      <c r="A745" s="328"/>
      <c r="B745" s="328"/>
      <c r="C745" s="328"/>
      <c r="D745" s="328"/>
      <c r="E745" s="328"/>
      <c r="F745" s="328"/>
      <c r="G745" s="328"/>
      <c r="H745" s="328"/>
      <c r="I745" s="328"/>
      <c r="J745" s="328"/>
      <c r="K745" s="328"/>
      <c r="L745" s="328"/>
      <c r="M745" s="328"/>
      <c r="N745" s="328"/>
      <c r="O745" s="328"/>
      <c r="P745" s="328"/>
      <c r="Q745" s="328"/>
      <c r="R745" s="328"/>
      <c r="S745" s="328"/>
      <c r="T745" s="328"/>
      <c r="U745" s="328"/>
      <c r="V745" s="328"/>
      <c r="W745" s="328"/>
      <c r="X745" s="328"/>
      <c r="Y745" s="328"/>
      <c r="Z745" s="328"/>
      <c r="AA745" s="328"/>
      <c r="AB745" s="328"/>
      <c r="AC745" s="328"/>
      <c r="AD745" s="328"/>
      <c r="AE745" s="328"/>
      <c r="AF745" s="328"/>
      <c r="AG745" s="328"/>
      <c r="AH745" s="328"/>
      <c r="AI745" s="328"/>
      <c r="AJ745" s="328"/>
      <c r="AK745" s="328"/>
      <c r="AL745" s="328"/>
      <c r="AM745" s="328"/>
      <c r="AN745" s="328"/>
      <c r="AO745" s="328"/>
      <c r="AP745" s="328"/>
      <c r="AQ745" s="328"/>
      <c r="AR745" s="328"/>
      <c r="AS745" s="328"/>
      <c r="AT745" s="328"/>
      <c r="AU745" s="328"/>
    </row>
    <row r="746" ht="15.75" customHeight="1">
      <c r="A746" s="328"/>
      <c r="B746" s="328"/>
      <c r="C746" s="328"/>
      <c r="D746" s="328"/>
      <c r="E746" s="328"/>
      <c r="F746" s="328"/>
      <c r="G746" s="328"/>
      <c r="H746" s="328"/>
      <c r="I746" s="328"/>
      <c r="J746" s="328"/>
      <c r="K746" s="328"/>
      <c r="L746" s="328"/>
      <c r="M746" s="328"/>
      <c r="N746" s="328"/>
      <c r="O746" s="328"/>
      <c r="P746" s="328"/>
      <c r="Q746" s="328"/>
      <c r="R746" s="328"/>
      <c r="S746" s="328"/>
      <c r="T746" s="328"/>
      <c r="U746" s="328"/>
      <c r="V746" s="328"/>
      <c r="W746" s="328"/>
      <c r="X746" s="328"/>
      <c r="Y746" s="328"/>
      <c r="Z746" s="328"/>
      <c r="AA746" s="328"/>
      <c r="AB746" s="328"/>
      <c r="AC746" s="328"/>
      <c r="AD746" s="328"/>
      <c r="AE746" s="328"/>
      <c r="AF746" s="328"/>
      <c r="AG746" s="328"/>
      <c r="AH746" s="328"/>
      <c r="AI746" s="328"/>
      <c r="AJ746" s="328"/>
      <c r="AK746" s="328"/>
      <c r="AL746" s="328"/>
      <c r="AM746" s="328"/>
      <c r="AN746" s="328"/>
      <c r="AO746" s="328"/>
      <c r="AP746" s="328"/>
      <c r="AQ746" s="328"/>
      <c r="AR746" s="328"/>
      <c r="AS746" s="328"/>
      <c r="AT746" s="328"/>
      <c r="AU746" s="328"/>
    </row>
    <row r="747" ht="15.75" customHeight="1">
      <c r="A747" s="328"/>
      <c r="B747" s="328"/>
      <c r="C747" s="328"/>
      <c r="D747" s="328"/>
      <c r="E747" s="328"/>
      <c r="F747" s="328"/>
      <c r="G747" s="328"/>
      <c r="H747" s="328"/>
      <c r="I747" s="328"/>
      <c r="J747" s="328"/>
      <c r="K747" s="328"/>
      <c r="L747" s="328"/>
      <c r="M747" s="328"/>
      <c r="N747" s="328"/>
      <c r="O747" s="328"/>
      <c r="P747" s="328"/>
      <c r="Q747" s="328"/>
      <c r="R747" s="328"/>
      <c r="S747" s="328"/>
      <c r="T747" s="328"/>
      <c r="U747" s="328"/>
      <c r="V747" s="328"/>
      <c r="W747" s="328"/>
      <c r="X747" s="328"/>
      <c r="Y747" s="328"/>
      <c r="Z747" s="328"/>
      <c r="AA747" s="328"/>
      <c r="AB747" s="328"/>
      <c r="AC747" s="328"/>
      <c r="AD747" s="328"/>
      <c r="AE747" s="328"/>
      <c r="AF747" s="328"/>
      <c r="AG747" s="328"/>
      <c r="AH747" s="328"/>
      <c r="AI747" s="328"/>
      <c r="AJ747" s="328"/>
      <c r="AK747" s="328"/>
      <c r="AL747" s="328"/>
      <c r="AM747" s="328"/>
      <c r="AN747" s="328"/>
      <c r="AO747" s="328"/>
      <c r="AP747" s="328"/>
      <c r="AQ747" s="328"/>
      <c r="AR747" s="328"/>
      <c r="AS747" s="328"/>
      <c r="AT747" s="328"/>
      <c r="AU747" s="328"/>
    </row>
    <row r="748" ht="15.75" customHeight="1">
      <c r="A748" s="328"/>
      <c r="B748" s="328"/>
      <c r="C748" s="328"/>
      <c r="D748" s="328"/>
      <c r="E748" s="328"/>
      <c r="F748" s="328"/>
      <c r="G748" s="328"/>
      <c r="H748" s="328"/>
      <c r="I748" s="328"/>
      <c r="J748" s="328"/>
      <c r="K748" s="328"/>
      <c r="L748" s="328"/>
      <c r="M748" s="328"/>
      <c r="N748" s="328"/>
      <c r="O748" s="328"/>
      <c r="P748" s="328"/>
      <c r="Q748" s="328"/>
      <c r="R748" s="328"/>
      <c r="S748" s="328"/>
      <c r="T748" s="328"/>
      <c r="U748" s="328"/>
      <c r="V748" s="328"/>
      <c r="W748" s="328"/>
      <c r="X748" s="328"/>
      <c r="Y748" s="328"/>
      <c r="Z748" s="328"/>
      <c r="AA748" s="328"/>
      <c r="AB748" s="328"/>
      <c r="AC748" s="328"/>
      <c r="AD748" s="328"/>
      <c r="AE748" s="328"/>
      <c r="AF748" s="328"/>
      <c r="AG748" s="328"/>
      <c r="AH748" s="328"/>
      <c r="AI748" s="328"/>
      <c r="AJ748" s="328"/>
      <c r="AK748" s="328"/>
      <c r="AL748" s="328"/>
      <c r="AM748" s="328"/>
      <c r="AN748" s="328"/>
      <c r="AO748" s="328"/>
      <c r="AP748" s="328"/>
      <c r="AQ748" s="328"/>
      <c r="AR748" s="328"/>
      <c r="AS748" s="328"/>
      <c r="AT748" s="328"/>
      <c r="AU748" s="328"/>
    </row>
    <row r="749" ht="15.75" customHeight="1">
      <c r="A749" s="328"/>
      <c r="B749" s="328"/>
      <c r="C749" s="328"/>
      <c r="D749" s="328"/>
      <c r="E749" s="328"/>
      <c r="F749" s="328"/>
      <c r="G749" s="328"/>
      <c r="H749" s="328"/>
      <c r="I749" s="328"/>
      <c r="J749" s="328"/>
      <c r="K749" s="328"/>
      <c r="L749" s="328"/>
      <c r="M749" s="328"/>
      <c r="N749" s="328"/>
      <c r="O749" s="328"/>
      <c r="P749" s="328"/>
      <c r="Q749" s="328"/>
      <c r="R749" s="328"/>
      <c r="S749" s="328"/>
      <c r="T749" s="328"/>
      <c r="U749" s="328"/>
      <c r="V749" s="328"/>
      <c r="W749" s="328"/>
      <c r="X749" s="328"/>
      <c r="Y749" s="328"/>
      <c r="Z749" s="328"/>
      <c r="AA749" s="328"/>
      <c r="AB749" s="328"/>
      <c r="AC749" s="328"/>
      <c r="AD749" s="328"/>
      <c r="AE749" s="328"/>
      <c r="AF749" s="328"/>
      <c r="AG749" s="328"/>
      <c r="AH749" s="328"/>
      <c r="AI749" s="328"/>
      <c r="AJ749" s="328"/>
      <c r="AK749" s="328"/>
      <c r="AL749" s="328"/>
      <c r="AM749" s="328"/>
      <c r="AN749" s="328"/>
      <c r="AO749" s="328"/>
      <c r="AP749" s="328"/>
      <c r="AQ749" s="328"/>
      <c r="AR749" s="328"/>
      <c r="AS749" s="328"/>
      <c r="AT749" s="328"/>
      <c r="AU749" s="328"/>
    </row>
    <row r="750" ht="15.75" customHeight="1">
      <c r="A750" s="328"/>
      <c r="B750" s="328"/>
      <c r="C750" s="328"/>
      <c r="D750" s="328"/>
      <c r="E750" s="328"/>
      <c r="F750" s="328"/>
      <c r="G750" s="328"/>
      <c r="H750" s="328"/>
      <c r="I750" s="328"/>
      <c r="J750" s="328"/>
      <c r="K750" s="328"/>
      <c r="L750" s="328"/>
      <c r="M750" s="328"/>
      <c r="N750" s="328"/>
      <c r="O750" s="328"/>
      <c r="P750" s="328"/>
      <c r="Q750" s="328"/>
      <c r="R750" s="328"/>
      <c r="S750" s="328"/>
      <c r="T750" s="328"/>
      <c r="U750" s="328"/>
      <c r="V750" s="328"/>
      <c r="W750" s="328"/>
      <c r="X750" s="328"/>
      <c r="Y750" s="328"/>
      <c r="Z750" s="328"/>
      <c r="AA750" s="328"/>
      <c r="AB750" s="328"/>
      <c r="AC750" s="328"/>
      <c r="AD750" s="328"/>
      <c r="AE750" s="328"/>
      <c r="AF750" s="328"/>
      <c r="AG750" s="328"/>
      <c r="AH750" s="328"/>
      <c r="AI750" s="328"/>
      <c r="AJ750" s="328"/>
      <c r="AK750" s="328"/>
      <c r="AL750" s="328"/>
      <c r="AM750" s="328"/>
      <c r="AN750" s="328"/>
      <c r="AO750" s="328"/>
      <c r="AP750" s="328"/>
      <c r="AQ750" s="328"/>
      <c r="AR750" s="328"/>
      <c r="AS750" s="328"/>
      <c r="AT750" s="328"/>
      <c r="AU750" s="328"/>
    </row>
    <row r="751" ht="15.75" customHeight="1">
      <c r="A751" s="328"/>
      <c r="B751" s="328"/>
      <c r="C751" s="328"/>
      <c r="D751" s="328"/>
      <c r="E751" s="328"/>
      <c r="F751" s="328"/>
      <c r="G751" s="328"/>
      <c r="H751" s="328"/>
      <c r="I751" s="328"/>
      <c r="J751" s="328"/>
      <c r="K751" s="328"/>
      <c r="L751" s="328"/>
      <c r="M751" s="328"/>
      <c r="N751" s="328"/>
      <c r="O751" s="328"/>
      <c r="P751" s="328"/>
      <c r="Q751" s="328"/>
      <c r="R751" s="328"/>
      <c r="S751" s="328"/>
      <c r="T751" s="328"/>
      <c r="U751" s="328"/>
      <c r="V751" s="328"/>
      <c r="W751" s="328"/>
      <c r="X751" s="328"/>
      <c r="Y751" s="328"/>
      <c r="Z751" s="328"/>
      <c r="AA751" s="328"/>
      <c r="AB751" s="328"/>
      <c r="AC751" s="328"/>
      <c r="AD751" s="328"/>
      <c r="AE751" s="328"/>
      <c r="AF751" s="328"/>
      <c r="AG751" s="328"/>
      <c r="AH751" s="328"/>
      <c r="AI751" s="328"/>
      <c r="AJ751" s="328"/>
      <c r="AK751" s="328"/>
      <c r="AL751" s="328"/>
      <c r="AM751" s="328"/>
      <c r="AN751" s="328"/>
      <c r="AO751" s="328"/>
      <c r="AP751" s="328"/>
      <c r="AQ751" s="328"/>
      <c r="AR751" s="328"/>
      <c r="AS751" s="328"/>
      <c r="AT751" s="328"/>
      <c r="AU751" s="328"/>
    </row>
    <row r="752" ht="15.75" customHeight="1">
      <c r="A752" s="328"/>
      <c r="B752" s="328"/>
      <c r="C752" s="328"/>
      <c r="D752" s="328"/>
      <c r="E752" s="328"/>
      <c r="F752" s="328"/>
      <c r="G752" s="328"/>
      <c r="H752" s="328"/>
      <c r="I752" s="328"/>
      <c r="J752" s="328"/>
      <c r="K752" s="328"/>
      <c r="L752" s="328"/>
      <c r="M752" s="328"/>
      <c r="N752" s="328"/>
      <c r="O752" s="328"/>
      <c r="P752" s="328"/>
      <c r="Q752" s="328"/>
      <c r="R752" s="328"/>
      <c r="S752" s="328"/>
      <c r="T752" s="328"/>
      <c r="U752" s="328"/>
      <c r="V752" s="328"/>
      <c r="W752" s="328"/>
      <c r="X752" s="328"/>
      <c r="Y752" s="328"/>
      <c r="Z752" s="328"/>
      <c r="AA752" s="328"/>
      <c r="AB752" s="328"/>
      <c r="AC752" s="328"/>
      <c r="AD752" s="328"/>
      <c r="AE752" s="328"/>
      <c r="AF752" s="328"/>
      <c r="AG752" s="328"/>
      <c r="AH752" s="328"/>
      <c r="AI752" s="328"/>
      <c r="AJ752" s="328"/>
      <c r="AK752" s="328"/>
      <c r="AL752" s="328"/>
      <c r="AM752" s="328"/>
      <c r="AN752" s="328"/>
      <c r="AO752" s="328"/>
      <c r="AP752" s="328"/>
      <c r="AQ752" s="328"/>
      <c r="AR752" s="328"/>
      <c r="AS752" s="328"/>
      <c r="AT752" s="328"/>
      <c r="AU752" s="328"/>
    </row>
    <row r="753" ht="15.75" customHeight="1">
      <c r="A753" s="328"/>
      <c r="B753" s="328"/>
      <c r="C753" s="328"/>
      <c r="D753" s="328"/>
      <c r="E753" s="328"/>
      <c r="F753" s="328"/>
      <c r="G753" s="328"/>
      <c r="H753" s="328"/>
      <c r="I753" s="328"/>
      <c r="J753" s="328"/>
      <c r="K753" s="328"/>
      <c r="L753" s="328"/>
      <c r="M753" s="328"/>
      <c r="N753" s="328"/>
      <c r="O753" s="328"/>
      <c r="P753" s="328"/>
      <c r="Q753" s="328"/>
      <c r="R753" s="328"/>
      <c r="S753" s="328"/>
      <c r="T753" s="328"/>
      <c r="U753" s="328"/>
      <c r="V753" s="328"/>
      <c r="W753" s="328"/>
      <c r="X753" s="328"/>
      <c r="Y753" s="328"/>
      <c r="Z753" s="328"/>
      <c r="AA753" s="328"/>
      <c r="AB753" s="328"/>
      <c r="AC753" s="328"/>
      <c r="AD753" s="328"/>
      <c r="AE753" s="328"/>
      <c r="AF753" s="328"/>
      <c r="AG753" s="328"/>
      <c r="AH753" s="328"/>
      <c r="AI753" s="328"/>
      <c r="AJ753" s="328"/>
      <c r="AK753" s="328"/>
      <c r="AL753" s="328"/>
      <c r="AM753" s="328"/>
      <c r="AN753" s="328"/>
      <c r="AO753" s="328"/>
      <c r="AP753" s="328"/>
      <c r="AQ753" s="328"/>
      <c r="AR753" s="328"/>
      <c r="AS753" s="328"/>
      <c r="AT753" s="328"/>
      <c r="AU753" s="328"/>
    </row>
    <row r="754" ht="15.75" customHeight="1">
      <c r="A754" s="328"/>
      <c r="B754" s="328"/>
      <c r="C754" s="328"/>
      <c r="D754" s="328"/>
      <c r="E754" s="328"/>
      <c r="F754" s="328"/>
      <c r="G754" s="328"/>
      <c r="H754" s="328"/>
      <c r="I754" s="328"/>
      <c r="J754" s="328"/>
      <c r="K754" s="328"/>
      <c r="L754" s="328"/>
      <c r="M754" s="328"/>
      <c r="N754" s="328"/>
      <c r="O754" s="328"/>
      <c r="P754" s="328"/>
      <c r="Q754" s="328"/>
      <c r="R754" s="328"/>
      <c r="S754" s="328"/>
      <c r="T754" s="328"/>
      <c r="U754" s="328"/>
      <c r="V754" s="328"/>
      <c r="W754" s="328"/>
      <c r="X754" s="328"/>
      <c r="Y754" s="328"/>
      <c r="Z754" s="328"/>
      <c r="AA754" s="328"/>
      <c r="AB754" s="328"/>
      <c r="AC754" s="328"/>
      <c r="AD754" s="328"/>
      <c r="AE754" s="328"/>
      <c r="AF754" s="328"/>
      <c r="AG754" s="328"/>
      <c r="AH754" s="328"/>
      <c r="AI754" s="328"/>
      <c r="AJ754" s="328"/>
      <c r="AK754" s="328"/>
      <c r="AL754" s="328"/>
      <c r="AM754" s="328"/>
      <c r="AN754" s="328"/>
      <c r="AO754" s="328"/>
      <c r="AP754" s="328"/>
      <c r="AQ754" s="328"/>
      <c r="AR754" s="328"/>
      <c r="AS754" s="328"/>
      <c r="AT754" s="328"/>
      <c r="AU754" s="328"/>
    </row>
    <row r="755" ht="15.75" customHeight="1">
      <c r="A755" s="328"/>
      <c r="B755" s="328"/>
      <c r="C755" s="328"/>
      <c r="D755" s="328"/>
      <c r="E755" s="328"/>
      <c r="F755" s="328"/>
      <c r="G755" s="328"/>
      <c r="H755" s="328"/>
      <c r="I755" s="328"/>
      <c r="J755" s="328"/>
      <c r="K755" s="328"/>
      <c r="L755" s="328"/>
      <c r="M755" s="328"/>
      <c r="N755" s="328"/>
      <c r="O755" s="328"/>
      <c r="P755" s="328"/>
      <c r="Q755" s="328"/>
      <c r="R755" s="328"/>
      <c r="S755" s="328"/>
      <c r="T755" s="328"/>
      <c r="U755" s="328"/>
      <c r="V755" s="328"/>
      <c r="W755" s="328"/>
      <c r="X755" s="328"/>
      <c r="Y755" s="328"/>
      <c r="Z755" s="328"/>
      <c r="AA755" s="328"/>
      <c r="AB755" s="328"/>
      <c r="AC755" s="328"/>
      <c r="AD755" s="328"/>
      <c r="AE755" s="328"/>
      <c r="AF755" s="328"/>
      <c r="AG755" s="328"/>
      <c r="AH755" s="328"/>
      <c r="AI755" s="328"/>
      <c r="AJ755" s="328"/>
      <c r="AK755" s="328"/>
      <c r="AL755" s="328"/>
      <c r="AM755" s="328"/>
      <c r="AN755" s="328"/>
      <c r="AO755" s="328"/>
      <c r="AP755" s="328"/>
      <c r="AQ755" s="328"/>
      <c r="AR755" s="328"/>
      <c r="AS755" s="328"/>
      <c r="AT755" s="328"/>
      <c r="AU755" s="328"/>
    </row>
    <row r="756" ht="15.75" customHeight="1">
      <c r="A756" s="328"/>
      <c r="B756" s="328"/>
      <c r="C756" s="328"/>
      <c r="D756" s="328"/>
      <c r="E756" s="328"/>
      <c r="F756" s="328"/>
      <c r="G756" s="328"/>
      <c r="H756" s="328"/>
      <c r="I756" s="328"/>
      <c r="J756" s="328"/>
      <c r="K756" s="328"/>
      <c r="L756" s="328"/>
      <c r="M756" s="328"/>
      <c r="N756" s="328"/>
      <c r="O756" s="328"/>
      <c r="P756" s="328"/>
      <c r="Q756" s="328"/>
      <c r="R756" s="328"/>
      <c r="S756" s="328"/>
      <c r="T756" s="328"/>
      <c r="U756" s="328"/>
      <c r="V756" s="328"/>
      <c r="W756" s="328"/>
      <c r="X756" s="328"/>
      <c r="Y756" s="328"/>
      <c r="Z756" s="328"/>
      <c r="AA756" s="328"/>
      <c r="AB756" s="328"/>
      <c r="AC756" s="328"/>
      <c r="AD756" s="328"/>
      <c r="AE756" s="328"/>
      <c r="AF756" s="328"/>
      <c r="AG756" s="328"/>
      <c r="AH756" s="328"/>
      <c r="AI756" s="328"/>
      <c r="AJ756" s="328"/>
      <c r="AK756" s="328"/>
      <c r="AL756" s="328"/>
      <c r="AM756" s="328"/>
      <c r="AN756" s="328"/>
      <c r="AO756" s="328"/>
      <c r="AP756" s="328"/>
      <c r="AQ756" s="328"/>
      <c r="AR756" s="328"/>
      <c r="AS756" s="328"/>
      <c r="AT756" s="328"/>
      <c r="AU756" s="328"/>
    </row>
    <row r="757" ht="15.75" customHeight="1">
      <c r="A757" s="328"/>
      <c r="B757" s="328"/>
      <c r="C757" s="328"/>
      <c r="D757" s="328"/>
      <c r="E757" s="328"/>
      <c r="F757" s="328"/>
      <c r="G757" s="328"/>
      <c r="H757" s="328"/>
      <c r="I757" s="328"/>
      <c r="J757" s="328"/>
      <c r="K757" s="328"/>
      <c r="L757" s="328"/>
      <c r="M757" s="328"/>
      <c r="N757" s="328"/>
      <c r="O757" s="328"/>
      <c r="P757" s="328"/>
      <c r="Q757" s="328"/>
      <c r="R757" s="328"/>
      <c r="S757" s="328"/>
      <c r="T757" s="328"/>
      <c r="U757" s="328"/>
      <c r="V757" s="328"/>
      <c r="W757" s="328"/>
      <c r="X757" s="328"/>
      <c r="Y757" s="328"/>
      <c r="Z757" s="328"/>
      <c r="AA757" s="328"/>
      <c r="AB757" s="328"/>
      <c r="AC757" s="328"/>
      <c r="AD757" s="328"/>
      <c r="AE757" s="328"/>
      <c r="AF757" s="328"/>
      <c r="AG757" s="328"/>
      <c r="AH757" s="328"/>
      <c r="AI757" s="328"/>
      <c r="AJ757" s="328"/>
      <c r="AK757" s="328"/>
      <c r="AL757" s="328"/>
      <c r="AM757" s="328"/>
      <c r="AN757" s="328"/>
      <c r="AO757" s="328"/>
      <c r="AP757" s="328"/>
      <c r="AQ757" s="328"/>
      <c r="AR757" s="328"/>
      <c r="AS757" s="328"/>
      <c r="AT757" s="328"/>
      <c r="AU757" s="328"/>
    </row>
    <row r="758" ht="15.75" customHeight="1">
      <c r="A758" s="328"/>
      <c r="B758" s="328"/>
      <c r="C758" s="328"/>
      <c r="D758" s="328"/>
      <c r="E758" s="328"/>
      <c r="F758" s="328"/>
      <c r="G758" s="328"/>
      <c r="H758" s="328"/>
      <c r="I758" s="328"/>
      <c r="J758" s="328"/>
      <c r="K758" s="328"/>
      <c r="L758" s="328"/>
      <c r="M758" s="328"/>
      <c r="N758" s="328"/>
      <c r="O758" s="328"/>
      <c r="P758" s="328"/>
      <c r="Q758" s="328"/>
      <c r="R758" s="328"/>
      <c r="S758" s="328"/>
      <c r="T758" s="328"/>
      <c r="U758" s="328"/>
      <c r="V758" s="328"/>
      <c r="W758" s="328"/>
      <c r="X758" s="328"/>
      <c r="Y758" s="328"/>
      <c r="Z758" s="328"/>
      <c r="AA758" s="328"/>
      <c r="AB758" s="328"/>
      <c r="AC758" s="328"/>
      <c r="AD758" s="328"/>
      <c r="AE758" s="328"/>
      <c r="AF758" s="328"/>
      <c r="AG758" s="328"/>
      <c r="AH758" s="328"/>
      <c r="AI758" s="328"/>
      <c r="AJ758" s="328"/>
      <c r="AK758" s="328"/>
      <c r="AL758" s="328"/>
      <c r="AM758" s="328"/>
      <c r="AN758" s="328"/>
      <c r="AO758" s="328"/>
      <c r="AP758" s="328"/>
      <c r="AQ758" s="328"/>
      <c r="AR758" s="328"/>
      <c r="AS758" s="328"/>
      <c r="AT758" s="328"/>
      <c r="AU758" s="328"/>
    </row>
    <row r="759" ht="15.75" customHeight="1">
      <c r="A759" s="328"/>
      <c r="B759" s="328"/>
      <c r="C759" s="328"/>
      <c r="D759" s="328"/>
      <c r="E759" s="328"/>
      <c r="F759" s="328"/>
      <c r="G759" s="328"/>
      <c r="H759" s="328"/>
      <c r="I759" s="328"/>
      <c r="J759" s="328"/>
      <c r="K759" s="328"/>
      <c r="L759" s="328"/>
      <c r="M759" s="328"/>
      <c r="N759" s="328"/>
      <c r="O759" s="328"/>
      <c r="P759" s="328"/>
      <c r="Q759" s="328"/>
      <c r="R759" s="328"/>
      <c r="S759" s="328"/>
      <c r="T759" s="328"/>
      <c r="U759" s="328"/>
      <c r="V759" s="328"/>
      <c r="W759" s="328"/>
      <c r="X759" s="328"/>
      <c r="Y759" s="328"/>
      <c r="Z759" s="328"/>
      <c r="AA759" s="328"/>
      <c r="AB759" s="328"/>
      <c r="AC759" s="328"/>
      <c r="AD759" s="328"/>
      <c r="AE759" s="328"/>
      <c r="AF759" s="328"/>
      <c r="AG759" s="328"/>
      <c r="AH759" s="328"/>
      <c r="AI759" s="328"/>
      <c r="AJ759" s="328"/>
      <c r="AK759" s="328"/>
      <c r="AL759" s="328"/>
      <c r="AM759" s="328"/>
      <c r="AN759" s="328"/>
      <c r="AO759" s="328"/>
      <c r="AP759" s="328"/>
      <c r="AQ759" s="328"/>
      <c r="AR759" s="328"/>
      <c r="AS759" s="328"/>
      <c r="AT759" s="328"/>
      <c r="AU759" s="328"/>
    </row>
    <row r="760" ht="15.75" customHeight="1">
      <c r="A760" s="328"/>
      <c r="B760" s="328"/>
      <c r="C760" s="328"/>
      <c r="D760" s="328"/>
      <c r="E760" s="328"/>
      <c r="F760" s="328"/>
      <c r="G760" s="328"/>
      <c r="H760" s="328"/>
      <c r="I760" s="328"/>
      <c r="J760" s="328"/>
      <c r="K760" s="328"/>
      <c r="L760" s="328"/>
      <c r="M760" s="328"/>
      <c r="N760" s="328"/>
      <c r="O760" s="328"/>
      <c r="P760" s="328"/>
      <c r="Q760" s="328"/>
      <c r="R760" s="328"/>
      <c r="S760" s="328"/>
      <c r="T760" s="328"/>
      <c r="U760" s="328"/>
      <c r="V760" s="328"/>
      <c r="W760" s="328"/>
      <c r="X760" s="328"/>
      <c r="Y760" s="328"/>
      <c r="Z760" s="328"/>
      <c r="AA760" s="328"/>
      <c r="AB760" s="328"/>
      <c r="AC760" s="328"/>
      <c r="AD760" s="328"/>
      <c r="AE760" s="328"/>
      <c r="AF760" s="328"/>
      <c r="AG760" s="328"/>
      <c r="AH760" s="328"/>
      <c r="AI760" s="328"/>
      <c r="AJ760" s="328"/>
      <c r="AK760" s="328"/>
      <c r="AL760" s="328"/>
      <c r="AM760" s="328"/>
      <c r="AN760" s="328"/>
      <c r="AO760" s="328"/>
      <c r="AP760" s="328"/>
      <c r="AQ760" s="328"/>
      <c r="AR760" s="328"/>
      <c r="AS760" s="328"/>
      <c r="AT760" s="328"/>
      <c r="AU760" s="328"/>
    </row>
    <row r="761" ht="15.75" customHeight="1">
      <c r="A761" s="328"/>
      <c r="B761" s="328"/>
      <c r="C761" s="328"/>
      <c r="D761" s="328"/>
      <c r="E761" s="328"/>
      <c r="F761" s="328"/>
      <c r="G761" s="328"/>
      <c r="H761" s="328"/>
      <c r="I761" s="328"/>
      <c r="J761" s="328"/>
      <c r="K761" s="328"/>
      <c r="L761" s="328"/>
      <c r="M761" s="328"/>
      <c r="N761" s="328"/>
      <c r="O761" s="328"/>
      <c r="P761" s="328"/>
      <c r="Q761" s="328"/>
      <c r="R761" s="328"/>
      <c r="S761" s="328"/>
      <c r="T761" s="328"/>
      <c r="U761" s="328"/>
      <c r="V761" s="328"/>
      <c r="W761" s="328"/>
      <c r="X761" s="328"/>
      <c r="Y761" s="328"/>
      <c r="Z761" s="328"/>
      <c r="AA761" s="328"/>
      <c r="AB761" s="328"/>
      <c r="AC761" s="328"/>
      <c r="AD761" s="328"/>
      <c r="AE761" s="328"/>
      <c r="AF761" s="328"/>
      <c r="AG761" s="328"/>
      <c r="AH761" s="328"/>
      <c r="AI761" s="328"/>
      <c r="AJ761" s="328"/>
      <c r="AK761" s="328"/>
      <c r="AL761" s="328"/>
      <c r="AM761" s="328"/>
      <c r="AN761" s="328"/>
      <c r="AO761" s="328"/>
      <c r="AP761" s="328"/>
      <c r="AQ761" s="328"/>
      <c r="AR761" s="328"/>
      <c r="AS761" s="328"/>
      <c r="AT761" s="328"/>
      <c r="AU761" s="328"/>
    </row>
    <row r="762" ht="15.75" customHeight="1">
      <c r="A762" s="328"/>
      <c r="B762" s="328"/>
      <c r="C762" s="328"/>
      <c r="D762" s="328"/>
      <c r="E762" s="328"/>
      <c r="F762" s="328"/>
      <c r="G762" s="328"/>
      <c r="H762" s="328"/>
      <c r="I762" s="328"/>
      <c r="J762" s="328"/>
      <c r="K762" s="328"/>
      <c r="L762" s="328"/>
      <c r="M762" s="328"/>
      <c r="N762" s="328"/>
      <c r="O762" s="328"/>
      <c r="P762" s="328"/>
      <c r="Q762" s="328"/>
      <c r="R762" s="328"/>
      <c r="S762" s="328"/>
      <c r="T762" s="328"/>
      <c r="U762" s="328"/>
      <c r="V762" s="328"/>
      <c r="W762" s="328"/>
      <c r="X762" s="328"/>
      <c r="Y762" s="328"/>
      <c r="Z762" s="328"/>
      <c r="AA762" s="328"/>
      <c r="AB762" s="328"/>
      <c r="AC762" s="328"/>
      <c r="AD762" s="328"/>
      <c r="AE762" s="328"/>
      <c r="AF762" s="328"/>
      <c r="AG762" s="328"/>
      <c r="AH762" s="328"/>
      <c r="AI762" s="328"/>
      <c r="AJ762" s="328"/>
      <c r="AK762" s="328"/>
      <c r="AL762" s="328"/>
      <c r="AM762" s="328"/>
      <c r="AN762" s="328"/>
      <c r="AO762" s="328"/>
      <c r="AP762" s="328"/>
      <c r="AQ762" s="328"/>
      <c r="AR762" s="328"/>
      <c r="AS762" s="328"/>
      <c r="AT762" s="328"/>
      <c r="AU762" s="328"/>
    </row>
    <row r="763" ht="15.75" customHeight="1">
      <c r="A763" s="328"/>
      <c r="B763" s="328"/>
      <c r="C763" s="328"/>
      <c r="D763" s="328"/>
      <c r="E763" s="328"/>
      <c r="F763" s="328"/>
      <c r="G763" s="328"/>
      <c r="H763" s="328"/>
      <c r="I763" s="328"/>
      <c r="J763" s="328"/>
      <c r="K763" s="328"/>
      <c r="L763" s="328"/>
      <c r="M763" s="328"/>
      <c r="N763" s="328"/>
      <c r="O763" s="328"/>
      <c r="P763" s="328"/>
      <c r="Q763" s="328"/>
      <c r="R763" s="328"/>
      <c r="S763" s="328"/>
      <c r="T763" s="328"/>
      <c r="U763" s="328"/>
      <c r="V763" s="328"/>
      <c r="W763" s="328"/>
      <c r="X763" s="328"/>
      <c r="Y763" s="328"/>
      <c r="Z763" s="328"/>
      <c r="AA763" s="328"/>
      <c r="AB763" s="328"/>
      <c r="AC763" s="328"/>
      <c r="AD763" s="328"/>
      <c r="AE763" s="328"/>
      <c r="AF763" s="328"/>
      <c r="AG763" s="328"/>
      <c r="AH763" s="328"/>
      <c r="AI763" s="328"/>
      <c r="AJ763" s="328"/>
      <c r="AK763" s="328"/>
      <c r="AL763" s="328"/>
      <c r="AM763" s="328"/>
      <c r="AN763" s="328"/>
      <c r="AO763" s="328"/>
      <c r="AP763" s="328"/>
      <c r="AQ763" s="328"/>
      <c r="AR763" s="328"/>
      <c r="AS763" s="328"/>
      <c r="AT763" s="328"/>
      <c r="AU763" s="328"/>
    </row>
    <row r="764" ht="15.75" customHeight="1">
      <c r="A764" s="328"/>
      <c r="B764" s="328"/>
      <c r="C764" s="328"/>
      <c r="D764" s="328"/>
      <c r="E764" s="328"/>
      <c r="F764" s="328"/>
      <c r="G764" s="328"/>
      <c r="H764" s="328"/>
      <c r="I764" s="328"/>
      <c r="J764" s="328"/>
      <c r="K764" s="328"/>
      <c r="L764" s="328"/>
      <c r="M764" s="328"/>
      <c r="N764" s="328"/>
      <c r="O764" s="328"/>
      <c r="P764" s="328"/>
      <c r="Q764" s="328"/>
      <c r="R764" s="328"/>
      <c r="S764" s="328"/>
      <c r="T764" s="328"/>
      <c r="U764" s="328"/>
      <c r="V764" s="328"/>
      <c r="W764" s="328"/>
      <c r="X764" s="328"/>
      <c r="Y764" s="328"/>
      <c r="Z764" s="328"/>
      <c r="AA764" s="328"/>
      <c r="AB764" s="328"/>
      <c r="AC764" s="328"/>
      <c r="AD764" s="328"/>
      <c r="AE764" s="328"/>
      <c r="AF764" s="328"/>
      <c r="AG764" s="328"/>
      <c r="AH764" s="328"/>
      <c r="AI764" s="328"/>
      <c r="AJ764" s="328"/>
      <c r="AK764" s="328"/>
      <c r="AL764" s="328"/>
      <c r="AM764" s="328"/>
      <c r="AN764" s="328"/>
      <c r="AO764" s="328"/>
      <c r="AP764" s="328"/>
      <c r="AQ764" s="328"/>
      <c r="AR764" s="328"/>
      <c r="AS764" s="328"/>
      <c r="AT764" s="328"/>
      <c r="AU764" s="328"/>
    </row>
    <row r="765" ht="15.75" customHeight="1">
      <c r="A765" s="328"/>
      <c r="B765" s="328"/>
      <c r="C765" s="328"/>
      <c r="D765" s="328"/>
      <c r="E765" s="328"/>
      <c r="F765" s="328"/>
      <c r="G765" s="328"/>
      <c r="H765" s="328"/>
      <c r="I765" s="328"/>
      <c r="J765" s="328"/>
      <c r="K765" s="328"/>
      <c r="L765" s="328"/>
      <c r="M765" s="328"/>
      <c r="N765" s="328"/>
      <c r="O765" s="328"/>
      <c r="P765" s="328"/>
      <c r="Q765" s="328"/>
      <c r="R765" s="328"/>
      <c r="S765" s="328"/>
      <c r="T765" s="328"/>
      <c r="U765" s="328"/>
      <c r="V765" s="328"/>
      <c r="W765" s="328"/>
      <c r="X765" s="328"/>
      <c r="Y765" s="328"/>
      <c r="Z765" s="328"/>
      <c r="AA765" s="328"/>
      <c r="AB765" s="328"/>
      <c r="AC765" s="328"/>
      <c r="AD765" s="328"/>
      <c r="AE765" s="328"/>
      <c r="AF765" s="328"/>
      <c r="AG765" s="328"/>
      <c r="AH765" s="328"/>
      <c r="AI765" s="328"/>
      <c r="AJ765" s="328"/>
      <c r="AK765" s="328"/>
      <c r="AL765" s="328"/>
      <c r="AM765" s="328"/>
      <c r="AN765" s="328"/>
      <c r="AO765" s="328"/>
      <c r="AP765" s="328"/>
      <c r="AQ765" s="328"/>
      <c r="AR765" s="328"/>
      <c r="AS765" s="328"/>
      <c r="AT765" s="328"/>
      <c r="AU765" s="328"/>
    </row>
    <row r="766" ht="15.75" customHeight="1">
      <c r="A766" s="328"/>
      <c r="B766" s="328"/>
      <c r="C766" s="328"/>
      <c r="D766" s="328"/>
      <c r="E766" s="328"/>
      <c r="F766" s="328"/>
      <c r="G766" s="328"/>
      <c r="H766" s="328"/>
      <c r="I766" s="328"/>
      <c r="J766" s="328"/>
      <c r="K766" s="328"/>
      <c r="L766" s="328"/>
      <c r="M766" s="328"/>
      <c r="N766" s="328"/>
      <c r="O766" s="328"/>
      <c r="P766" s="328"/>
      <c r="Q766" s="328"/>
      <c r="R766" s="328"/>
      <c r="S766" s="328"/>
      <c r="T766" s="328"/>
      <c r="U766" s="328"/>
      <c r="V766" s="328"/>
      <c r="W766" s="328"/>
      <c r="X766" s="328"/>
      <c r="Y766" s="328"/>
      <c r="Z766" s="328"/>
      <c r="AA766" s="328"/>
      <c r="AB766" s="328"/>
      <c r="AC766" s="328"/>
      <c r="AD766" s="328"/>
      <c r="AE766" s="328"/>
      <c r="AF766" s="328"/>
      <c r="AG766" s="328"/>
      <c r="AH766" s="328"/>
      <c r="AI766" s="328"/>
      <c r="AJ766" s="328"/>
      <c r="AK766" s="328"/>
      <c r="AL766" s="328"/>
      <c r="AM766" s="328"/>
      <c r="AN766" s="328"/>
      <c r="AO766" s="328"/>
      <c r="AP766" s="328"/>
      <c r="AQ766" s="328"/>
      <c r="AR766" s="328"/>
      <c r="AS766" s="328"/>
      <c r="AT766" s="328"/>
      <c r="AU766" s="328"/>
    </row>
    <row r="767" ht="15.75" customHeight="1">
      <c r="A767" s="328"/>
      <c r="B767" s="328"/>
      <c r="C767" s="328"/>
      <c r="D767" s="328"/>
      <c r="E767" s="328"/>
      <c r="F767" s="328"/>
      <c r="G767" s="328"/>
      <c r="H767" s="328"/>
      <c r="I767" s="328"/>
      <c r="J767" s="328"/>
      <c r="K767" s="328"/>
      <c r="L767" s="328"/>
      <c r="M767" s="328"/>
      <c r="N767" s="328"/>
      <c r="O767" s="328"/>
      <c r="P767" s="328"/>
      <c r="Q767" s="328"/>
      <c r="R767" s="328"/>
      <c r="S767" s="328"/>
      <c r="T767" s="328"/>
      <c r="U767" s="328"/>
      <c r="V767" s="328"/>
      <c r="W767" s="328"/>
      <c r="X767" s="328"/>
      <c r="Y767" s="328"/>
      <c r="Z767" s="328"/>
      <c r="AA767" s="328"/>
      <c r="AB767" s="328"/>
      <c r="AC767" s="328"/>
      <c r="AD767" s="328"/>
      <c r="AE767" s="328"/>
      <c r="AF767" s="328"/>
      <c r="AG767" s="328"/>
      <c r="AH767" s="328"/>
      <c r="AI767" s="328"/>
      <c r="AJ767" s="328"/>
      <c r="AK767" s="328"/>
      <c r="AL767" s="328"/>
      <c r="AM767" s="328"/>
      <c r="AN767" s="328"/>
      <c r="AO767" s="328"/>
      <c r="AP767" s="328"/>
      <c r="AQ767" s="328"/>
      <c r="AR767" s="328"/>
      <c r="AS767" s="328"/>
      <c r="AT767" s="328"/>
      <c r="AU767" s="328"/>
    </row>
    <row r="768" ht="15.75" customHeight="1">
      <c r="A768" s="328"/>
      <c r="B768" s="328"/>
      <c r="C768" s="328"/>
      <c r="D768" s="328"/>
      <c r="E768" s="328"/>
      <c r="F768" s="328"/>
      <c r="G768" s="328"/>
      <c r="H768" s="328"/>
      <c r="I768" s="328"/>
      <c r="J768" s="328"/>
      <c r="K768" s="328"/>
      <c r="L768" s="328"/>
      <c r="M768" s="328"/>
      <c r="N768" s="328"/>
      <c r="O768" s="328"/>
      <c r="P768" s="328"/>
      <c r="Q768" s="328"/>
      <c r="R768" s="328"/>
      <c r="S768" s="328"/>
      <c r="T768" s="328"/>
      <c r="U768" s="328"/>
      <c r="V768" s="328"/>
      <c r="W768" s="328"/>
      <c r="X768" s="328"/>
      <c r="Y768" s="328"/>
      <c r="Z768" s="328"/>
      <c r="AA768" s="328"/>
      <c r="AB768" s="328"/>
      <c r="AC768" s="328"/>
      <c r="AD768" s="328"/>
      <c r="AE768" s="328"/>
      <c r="AF768" s="328"/>
      <c r="AG768" s="328"/>
      <c r="AH768" s="328"/>
      <c r="AI768" s="328"/>
      <c r="AJ768" s="328"/>
      <c r="AK768" s="328"/>
      <c r="AL768" s="328"/>
      <c r="AM768" s="328"/>
      <c r="AN768" s="328"/>
      <c r="AO768" s="328"/>
      <c r="AP768" s="328"/>
      <c r="AQ768" s="328"/>
      <c r="AR768" s="328"/>
      <c r="AS768" s="328"/>
      <c r="AT768" s="328"/>
      <c r="AU768" s="328"/>
    </row>
    <row r="769" ht="15.75" customHeight="1">
      <c r="A769" s="328"/>
      <c r="B769" s="328"/>
      <c r="C769" s="328"/>
      <c r="D769" s="328"/>
      <c r="E769" s="328"/>
      <c r="F769" s="328"/>
      <c r="G769" s="328"/>
      <c r="H769" s="328"/>
      <c r="I769" s="328"/>
      <c r="J769" s="328"/>
      <c r="K769" s="328"/>
      <c r="L769" s="328"/>
      <c r="M769" s="328"/>
      <c r="N769" s="328"/>
      <c r="O769" s="328"/>
      <c r="P769" s="328"/>
      <c r="Q769" s="328"/>
      <c r="R769" s="328"/>
      <c r="S769" s="328"/>
      <c r="T769" s="328"/>
      <c r="U769" s="328"/>
      <c r="V769" s="328"/>
      <c r="W769" s="328"/>
      <c r="X769" s="328"/>
      <c r="Y769" s="328"/>
      <c r="Z769" s="328"/>
      <c r="AA769" s="328"/>
      <c r="AB769" s="328"/>
      <c r="AC769" s="328"/>
      <c r="AD769" s="328"/>
      <c r="AE769" s="328"/>
      <c r="AF769" s="328"/>
      <c r="AG769" s="328"/>
      <c r="AH769" s="328"/>
      <c r="AI769" s="328"/>
      <c r="AJ769" s="328"/>
      <c r="AK769" s="328"/>
      <c r="AL769" s="328"/>
      <c r="AM769" s="328"/>
      <c r="AN769" s="328"/>
      <c r="AO769" s="328"/>
      <c r="AP769" s="328"/>
      <c r="AQ769" s="328"/>
      <c r="AR769" s="328"/>
      <c r="AS769" s="328"/>
      <c r="AT769" s="328"/>
      <c r="AU769" s="328"/>
    </row>
    <row r="770" ht="15.75" customHeight="1">
      <c r="A770" s="328"/>
      <c r="B770" s="328"/>
      <c r="C770" s="328"/>
      <c r="D770" s="328"/>
      <c r="E770" s="328"/>
      <c r="F770" s="328"/>
      <c r="G770" s="328"/>
      <c r="H770" s="328"/>
      <c r="I770" s="328"/>
      <c r="J770" s="328"/>
      <c r="K770" s="328"/>
      <c r="L770" s="328"/>
      <c r="M770" s="328"/>
      <c r="N770" s="328"/>
      <c r="O770" s="328"/>
      <c r="P770" s="328"/>
      <c r="Q770" s="328"/>
      <c r="R770" s="328"/>
      <c r="S770" s="328"/>
      <c r="T770" s="328"/>
      <c r="U770" s="328"/>
      <c r="V770" s="328"/>
      <c r="W770" s="328"/>
      <c r="X770" s="328"/>
      <c r="Y770" s="328"/>
      <c r="Z770" s="328"/>
      <c r="AA770" s="328"/>
      <c r="AB770" s="328"/>
      <c r="AC770" s="328"/>
      <c r="AD770" s="328"/>
      <c r="AE770" s="328"/>
      <c r="AF770" s="328"/>
      <c r="AG770" s="328"/>
      <c r="AH770" s="328"/>
      <c r="AI770" s="328"/>
      <c r="AJ770" s="328"/>
      <c r="AK770" s="328"/>
      <c r="AL770" s="328"/>
      <c r="AM770" s="328"/>
      <c r="AN770" s="328"/>
      <c r="AO770" s="328"/>
      <c r="AP770" s="328"/>
      <c r="AQ770" s="328"/>
      <c r="AR770" s="328"/>
      <c r="AS770" s="328"/>
      <c r="AT770" s="328"/>
      <c r="AU770" s="328"/>
    </row>
    <row r="771" ht="15.75" customHeight="1">
      <c r="A771" s="328"/>
      <c r="B771" s="328"/>
      <c r="C771" s="328"/>
      <c r="D771" s="328"/>
      <c r="E771" s="328"/>
      <c r="F771" s="328"/>
      <c r="G771" s="328"/>
      <c r="H771" s="328"/>
      <c r="I771" s="328"/>
      <c r="J771" s="328"/>
      <c r="K771" s="328"/>
      <c r="L771" s="328"/>
      <c r="M771" s="328"/>
      <c r="N771" s="328"/>
      <c r="O771" s="328"/>
      <c r="P771" s="328"/>
      <c r="Q771" s="328"/>
      <c r="R771" s="328"/>
      <c r="S771" s="328"/>
      <c r="T771" s="328"/>
      <c r="U771" s="328"/>
      <c r="V771" s="328"/>
      <c r="W771" s="328"/>
      <c r="X771" s="328"/>
      <c r="Y771" s="328"/>
      <c r="Z771" s="328"/>
      <c r="AA771" s="328"/>
      <c r="AB771" s="328"/>
      <c r="AC771" s="328"/>
      <c r="AD771" s="328"/>
      <c r="AE771" s="328"/>
      <c r="AF771" s="328"/>
      <c r="AG771" s="328"/>
      <c r="AH771" s="328"/>
      <c r="AI771" s="328"/>
      <c r="AJ771" s="328"/>
      <c r="AK771" s="328"/>
      <c r="AL771" s="328"/>
      <c r="AM771" s="328"/>
      <c r="AN771" s="328"/>
      <c r="AO771" s="328"/>
      <c r="AP771" s="328"/>
      <c r="AQ771" s="328"/>
      <c r="AR771" s="328"/>
      <c r="AS771" s="328"/>
      <c r="AT771" s="328"/>
      <c r="AU771" s="328"/>
    </row>
    <row r="772" ht="15.75" customHeight="1">
      <c r="A772" s="328"/>
      <c r="B772" s="328"/>
      <c r="C772" s="328"/>
      <c r="D772" s="328"/>
      <c r="E772" s="328"/>
      <c r="F772" s="328"/>
      <c r="G772" s="328"/>
      <c r="H772" s="328"/>
      <c r="I772" s="328"/>
      <c r="J772" s="328"/>
      <c r="K772" s="328"/>
      <c r="L772" s="328"/>
      <c r="M772" s="328"/>
      <c r="N772" s="328"/>
      <c r="O772" s="328"/>
      <c r="P772" s="328"/>
      <c r="Q772" s="328"/>
      <c r="R772" s="328"/>
      <c r="S772" s="328"/>
      <c r="T772" s="328"/>
      <c r="U772" s="328"/>
      <c r="V772" s="328"/>
      <c r="W772" s="328"/>
      <c r="X772" s="328"/>
      <c r="Y772" s="328"/>
      <c r="Z772" s="328"/>
      <c r="AA772" s="328"/>
      <c r="AB772" s="328"/>
      <c r="AC772" s="328"/>
      <c r="AD772" s="328"/>
      <c r="AE772" s="328"/>
      <c r="AF772" s="328"/>
      <c r="AG772" s="328"/>
      <c r="AH772" s="328"/>
      <c r="AI772" s="328"/>
      <c r="AJ772" s="328"/>
      <c r="AK772" s="328"/>
      <c r="AL772" s="328"/>
      <c r="AM772" s="328"/>
      <c r="AN772" s="328"/>
      <c r="AO772" s="328"/>
      <c r="AP772" s="328"/>
      <c r="AQ772" s="328"/>
      <c r="AR772" s="328"/>
      <c r="AS772" s="328"/>
      <c r="AT772" s="328"/>
      <c r="AU772" s="328"/>
    </row>
    <row r="773" ht="15.75" customHeight="1">
      <c r="A773" s="328"/>
      <c r="B773" s="328"/>
      <c r="C773" s="328"/>
      <c r="D773" s="328"/>
      <c r="E773" s="328"/>
      <c r="F773" s="328"/>
      <c r="G773" s="328"/>
      <c r="H773" s="328"/>
      <c r="I773" s="328"/>
      <c r="J773" s="328"/>
      <c r="K773" s="328"/>
      <c r="L773" s="328"/>
      <c r="M773" s="328"/>
      <c r="N773" s="328"/>
      <c r="O773" s="328"/>
      <c r="P773" s="328"/>
      <c r="Q773" s="328"/>
      <c r="R773" s="328"/>
      <c r="S773" s="328"/>
      <c r="T773" s="328"/>
      <c r="U773" s="328"/>
      <c r="V773" s="328"/>
      <c r="W773" s="328"/>
      <c r="X773" s="328"/>
      <c r="Y773" s="328"/>
      <c r="Z773" s="328"/>
      <c r="AA773" s="328"/>
      <c r="AB773" s="328"/>
      <c r="AC773" s="328"/>
      <c r="AD773" s="328"/>
      <c r="AE773" s="328"/>
      <c r="AF773" s="328"/>
      <c r="AG773" s="328"/>
      <c r="AH773" s="328"/>
      <c r="AI773" s="328"/>
      <c r="AJ773" s="328"/>
      <c r="AK773" s="328"/>
      <c r="AL773" s="328"/>
      <c r="AM773" s="328"/>
      <c r="AN773" s="328"/>
      <c r="AO773" s="328"/>
      <c r="AP773" s="328"/>
      <c r="AQ773" s="328"/>
      <c r="AR773" s="328"/>
      <c r="AS773" s="328"/>
      <c r="AT773" s="328"/>
      <c r="AU773" s="328"/>
    </row>
    <row r="774" ht="15.75" customHeight="1">
      <c r="A774" s="328"/>
      <c r="B774" s="328"/>
      <c r="C774" s="328"/>
      <c r="D774" s="328"/>
      <c r="E774" s="328"/>
      <c r="F774" s="328"/>
      <c r="G774" s="328"/>
      <c r="H774" s="328"/>
      <c r="I774" s="328"/>
      <c r="J774" s="328"/>
      <c r="K774" s="328"/>
      <c r="L774" s="328"/>
      <c r="M774" s="328"/>
      <c r="N774" s="328"/>
      <c r="O774" s="328"/>
      <c r="P774" s="328"/>
      <c r="Q774" s="328"/>
      <c r="R774" s="328"/>
      <c r="S774" s="328"/>
      <c r="T774" s="328"/>
      <c r="U774" s="328"/>
      <c r="V774" s="328"/>
      <c r="W774" s="328"/>
      <c r="X774" s="328"/>
      <c r="Y774" s="328"/>
      <c r="Z774" s="328"/>
      <c r="AA774" s="328"/>
      <c r="AB774" s="328"/>
      <c r="AC774" s="328"/>
      <c r="AD774" s="328"/>
      <c r="AE774" s="328"/>
      <c r="AF774" s="328"/>
      <c r="AG774" s="328"/>
      <c r="AH774" s="328"/>
      <c r="AI774" s="328"/>
      <c r="AJ774" s="328"/>
      <c r="AK774" s="328"/>
      <c r="AL774" s="328"/>
      <c r="AM774" s="328"/>
      <c r="AN774" s="328"/>
      <c r="AO774" s="328"/>
      <c r="AP774" s="328"/>
      <c r="AQ774" s="328"/>
      <c r="AR774" s="328"/>
      <c r="AS774" s="328"/>
      <c r="AT774" s="328"/>
      <c r="AU774" s="328"/>
    </row>
    <row r="775" ht="15.75" customHeight="1">
      <c r="A775" s="328"/>
      <c r="B775" s="328"/>
      <c r="C775" s="328"/>
      <c r="D775" s="328"/>
      <c r="E775" s="328"/>
      <c r="F775" s="328"/>
      <c r="G775" s="328"/>
      <c r="H775" s="328"/>
      <c r="I775" s="328"/>
      <c r="J775" s="328"/>
      <c r="K775" s="328"/>
      <c r="L775" s="328"/>
      <c r="M775" s="328"/>
      <c r="N775" s="328"/>
      <c r="O775" s="328"/>
      <c r="P775" s="328"/>
      <c r="Q775" s="328"/>
      <c r="R775" s="328"/>
      <c r="S775" s="328"/>
      <c r="T775" s="328"/>
      <c r="U775" s="328"/>
      <c r="V775" s="328"/>
      <c r="W775" s="328"/>
      <c r="X775" s="328"/>
      <c r="Y775" s="328"/>
      <c r="Z775" s="328"/>
      <c r="AA775" s="328"/>
      <c r="AB775" s="328"/>
      <c r="AC775" s="328"/>
      <c r="AD775" s="328"/>
      <c r="AE775" s="328"/>
      <c r="AF775" s="328"/>
      <c r="AG775" s="328"/>
      <c r="AH775" s="328"/>
      <c r="AI775" s="328"/>
      <c r="AJ775" s="328"/>
      <c r="AK775" s="328"/>
      <c r="AL775" s="328"/>
      <c r="AM775" s="328"/>
      <c r="AN775" s="328"/>
      <c r="AO775" s="328"/>
      <c r="AP775" s="328"/>
      <c r="AQ775" s="328"/>
      <c r="AR775" s="328"/>
      <c r="AS775" s="328"/>
      <c r="AT775" s="328"/>
      <c r="AU775" s="328"/>
    </row>
    <row r="776" ht="15.75" customHeight="1">
      <c r="A776" s="328"/>
      <c r="B776" s="328"/>
      <c r="C776" s="328"/>
      <c r="D776" s="328"/>
      <c r="E776" s="328"/>
      <c r="F776" s="328"/>
      <c r="G776" s="328"/>
      <c r="H776" s="328"/>
      <c r="I776" s="328"/>
      <c r="J776" s="328"/>
      <c r="K776" s="328"/>
      <c r="L776" s="328"/>
      <c r="M776" s="328"/>
      <c r="N776" s="328"/>
      <c r="O776" s="328"/>
      <c r="P776" s="328"/>
      <c r="Q776" s="328"/>
      <c r="R776" s="328"/>
      <c r="S776" s="328"/>
      <c r="T776" s="328"/>
      <c r="U776" s="328"/>
      <c r="V776" s="328"/>
      <c r="W776" s="328"/>
      <c r="X776" s="328"/>
      <c r="Y776" s="328"/>
      <c r="Z776" s="328"/>
      <c r="AA776" s="328"/>
      <c r="AB776" s="328"/>
      <c r="AC776" s="328"/>
      <c r="AD776" s="328"/>
      <c r="AE776" s="328"/>
      <c r="AF776" s="328"/>
      <c r="AG776" s="328"/>
      <c r="AH776" s="328"/>
      <c r="AI776" s="328"/>
      <c r="AJ776" s="328"/>
      <c r="AK776" s="328"/>
      <c r="AL776" s="328"/>
      <c r="AM776" s="328"/>
      <c r="AN776" s="328"/>
      <c r="AO776" s="328"/>
      <c r="AP776" s="328"/>
      <c r="AQ776" s="328"/>
      <c r="AR776" s="328"/>
      <c r="AS776" s="328"/>
      <c r="AT776" s="328"/>
      <c r="AU776" s="328"/>
    </row>
    <row r="777" ht="15.75" customHeight="1">
      <c r="A777" s="328"/>
      <c r="B777" s="328"/>
      <c r="C777" s="328"/>
      <c r="D777" s="328"/>
      <c r="E777" s="328"/>
      <c r="F777" s="328"/>
      <c r="G777" s="328"/>
      <c r="H777" s="328"/>
      <c r="I777" s="328"/>
      <c r="J777" s="328"/>
      <c r="K777" s="328"/>
      <c r="L777" s="328"/>
      <c r="M777" s="328"/>
      <c r="N777" s="328"/>
      <c r="O777" s="328"/>
      <c r="P777" s="328"/>
      <c r="Q777" s="328"/>
      <c r="R777" s="328"/>
      <c r="S777" s="328"/>
      <c r="T777" s="328"/>
      <c r="U777" s="328"/>
      <c r="V777" s="328"/>
      <c r="W777" s="328"/>
      <c r="X777" s="328"/>
      <c r="Y777" s="328"/>
      <c r="Z777" s="328"/>
      <c r="AA777" s="328"/>
      <c r="AB777" s="328"/>
      <c r="AC777" s="328"/>
      <c r="AD777" s="328"/>
      <c r="AE777" s="328"/>
      <c r="AF777" s="328"/>
      <c r="AG777" s="328"/>
      <c r="AH777" s="328"/>
      <c r="AI777" s="328"/>
      <c r="AJ777" s="328"/>
      <c r="AK777" s="328"/>
      <c r="AL777" s="328"/>
      <c r="AM777" s="328"/>
      <c r="AN777" s="328"/>
      <c r="AO777" s="328"/>
      <c r="AP777" s="328"/>
      <c r="AQ777" s="328"/>
      <c r="AR777" s="328"/>
      <c r="AS777" s="328"/>
      <c r="AT777" s="328"/>
      <c r="AU777" s="328"/>
    </row>
    <row r="778" ht="15.75" customHeight="1">
      <c r="A778" s="328"/>
      <c r="B778" s="328"/>
      <c r="C778" s="328"/>
      <c r="D778" s="328"/>
      <c r="E778" s="328"/>
      <c r="F778" s="328"/>
      <c r="G778" s="328"/>
      <c r="H778" s="328"/>
      <c r="I778" s="328"/>
      <c r="J778" s="328"/>
      <c r="K778" s="328"/>
      <c r="L778" s="328"/>
      <c r="M778" s="328"/>
      <c r="N778" s="328"/>
      <c r="O778" s="328"/>
      <c r="P778" s="328"/>
      <c r="Q778" s="328"/>
      <c r="R778" s="328"/>
      <c r="S778" s="328"/>
      <c r="T778" s="328"/>
      <c r="U778" s="328"/>
      <c r="V778" s="328"/>
      <c r="W778" s="328"/>
      <c r="X778" s="328"/>
      <c r="Y778" s="328"/>
      <c r="Z778" s="328"/>
      <c r="AA778" s="328"/>
      <c r="AB778" s="328"/>
      <c r="AC778" s="328"/>
      <c r="AD778" s="328"/>
      <c r="AE778" s="328"/>
      <c r="AF778" s="328"/>
      <c r="AG778" s="328"/>
      <c r="AH778" s="328"/>
      <c r="AI778" s="328"/>
      <c r="AJ778" s="328"/>
      <c r="AK778" s="328"/>
      <c r="AL778" s="328"/>
      <c r="AM778" s="328"/>
      <c r="AN778" s="328"/>
      <c r="AO778" s="328"/>
      <c r="AP778" s="328"/>
      <c r="AQ778" s="328"/>
      <c r="AR778" s="328"/>
      <c r="AS778" s="328"/>
      <c r="AT778" s="328"/>
      <c r="AU778" s="328"/>
    </row>
    <row r="779" ht="15.75" customHeight="1">
      <c r="A779" s="328"/>
      <c r="B779" s="328"/>
      <c r="C779" s="328"/>
      <c r="D779" s="328"/>
      <c r="E779" s="328"/>
      <c r="F779" s="328"/>
      <c r="G779" s="328"/>
      <c r="H779" s="328"/>
      <c r="I779" s="328"/>
      <c r="J779" s="328"/>
      <c r="K779" s="328"/>
      <c r="L779" s="328"/>
      <c r="M779" s="328"/>
      <c r="N779" s="328"/>
      <c r="O779" s="328"/>
      <c r="P779" s="328"/>
      <c r="Q779" s="328"/>
      <c r="R779" s="328"/>
      <c r="S779" s="328"/>
      <c r="T779" s="328"/>
      <c r="U779" s="328"/>
      <c r="V779" s="328"/>
      <c r="W779" s="328"/>
      <c r="X779" s="328"/>
      <c r="Y779" s="328"/>
      <c r="Z779" s="328"/>
      <c r="AA779" s="328"/>
      <c r="AB779" s="328"/>
      <c r="AC779" s="328"/>
      <c r="AD779" s="328"/>
      <c r="AE779" s="328"/>
      <c r="AF779" s="328"/>
      <c r="AG779" s="328"/>
      <c r="AH779" s="328"/>
      <c r="AI779" s="328"/>
      <c r="AJ779" s="328"/>
      <c r="AK779" s="328"/>
      <c r="AL779" s="328"/>
      <c r="AM779" s="328"/>
      <c r="AN779" s="328"/>
      <c r="AO779" s="328"/>
      <c r="AP779" s="328"/>
      <c r="AQ779" s="328"/>
      <c r="AR779" s="328"/>
      <c r="AS779" s="328"/>
      <c r="AT779" s="328"/>
      <c r="AU779" s="328"/>
    </row>
    <row r="780" ht="15.75" customHeight="1">
      <c r="A780" s="328"/>
      <c r="B780" s="328"/>
      <c r="C780" s="328"/>
      <c r="D780" s="328"/>
      <c r="E780" s="328"/>
      <c r="F780" s="328"/>
      <c r="G780" s="328"/>
      <c r="H780" s="328"/>
      <c r="I780" s="328"/>
      <c r="J780" s="328"/>
      <c r="K780" s="328"/>
      <c r="L780" s="328"/>
      <c r="M780" s="328"/>
      <c r="N780" s="328"/>
      <c r="O780" s="328"/>
      <c r="P780" s="328"/>
      <c r="Q780" s="328"/>
      <c r="R780" s="328"/>
      <c r="S780" s="328"/>
      <c r="T780" s="328"/>
      <c r="U780" s="328"/>
      <c r="V780" s="328"/>
      <c r="W780" s="328"/>
      <c r="X780" s="328"/>
      <c r="Y780" s="328"/>
      <c r="Z780" s="328"/>
      <c r="AA780" s="328"/>
      <c r="AB780" s="328"/>
      <c r="AC780" s="328"/>
      <c r="AD780" s="328"/>
      <c r="AE780" s="328"/>
      <c r="AF780" s="328"/>
      <c r="AG780" s="328"/>
      <c r="AH780" s="328"/>
      <c r="AI780" s="328"/>
      <c r="AJ780" s="328"/>
      <c r="AK780" s="328"/>
      <c r="AL780" s="328"/>
      <c r="AM780" s="328"/>
      <c r="AN780" s="328"/>
      <c r="AO780" s="328"/>
      <c r="AP780" s="328"/>
      <c r="AQ780" s="328"/>
      <c r="AR780" s="328"/>
      <c r="AS780" s="328"/>
      <c r="AT780" s="328"/>
      <c r="AU780" s="328"/>
    </row>
    <row r="781" ht="15.75" customHeight="1">
      <c r="A781" s="328"/>
      <c r="B781" s="328"/>
      <c r="C781" s="328"/>
      <c r="D781" s="328"/>
      <c r="E781" s="328"/>
      <c r="F781" s="328"/>
      <c r="G781" s="328"/>
      <c r="H781" s="328"/>
      <c r="I781" s="328"/>
      <c r="J781" s="328"/>
      <c r="K781" s="328"/>
      <c r="L781" s="328"/>
      <c r="M781" s="328"/>
      <c r="N781" s="328"/>
      <c r="O781" s="328"/>
      <c r="P781" s="328"/>
      <c r="Q781" s="328"/>
      <c r="R781" s="328"/>
      <c r="S781" s="328"/>
      <c r="T781" s="328"/>
      <c r="U781" s="328"/>
      <c r="V781" s="328"/>
      <c r="W781" s="328"/>
      <c r="X781" s="328"/>
      <c r="Y781" s="328"/>
      <c r="Z781" s="328"/>
      <c r="AA781" s="328"/>
      <c r="AB781" s="328"/>
      <c r="AC781" s="328"/>
      <c r="AD781" s="328"/>
      <c r="AE781" s="328"/>
      <c r="AF781" s="328"/>
      <c r="AG781" s="328"/>
      <c r="AH781" s="328"/>
      <c r="AI781" s="328"/>
      <c r="AJ781" s="328"/>
      <c r="AK781" s="328"/>
      <c r="AL781" s="328"/>
      <c r="AM781" s="328"/>
      <c r="AN781" s="328"/>
      <c r="AO781" s="328"/>
      <c r="AP781" s="328"/>
      <c r="AQ781" s="328"/>
      <c r="AR781" s="328"/>
      <c r="AS781" s="328"/>
      <c r="AT781" s="328"/>
      <c r="AU781" s="328"/>
    </row>
    <row r="782" ht="15.75" customHeight="1">
      <c r="A782" s="328"/>
      <c r="B782" s="328"/>
      <c r="C782" s="328"/>
      <c r="D782" s="328"/>
      <c r="E782" s="328"/>
      <c r="F782" s="328"/>
      <c r="G782" s="328"/>
      <c r="H782" s="328"/>
      <c r="I782" s="328"/>
      <c r="J782" s="328"/>
      <c r="K782" s="328"/>
      <c r="L782" s="328"/>
      <c r="M782" s="328"/>
      <c r="N782" s="328"/>
      <c r="O782" s="328"/>
      <c r="P782" s="328"/>
      <c r="Q782" s="328"/>
      <c r="R782" s="328"/>
      <c r="S782" s="328"/>
      <c r="T782" s="328"/>
      <c r="U782" s="328"/>
      <c r="V782" s="328"/>
      <c r="W782" s="328"/>
      <c r="X782" s="328"/>
      <c r="Y782" s="328"/>
      <c r="Z782" s="328"/>
      <c r="AA782" s="328"/>
      <c r="AB782" s="328"/>
      <c r="AC782" s="328"/>
      <c r="AD782" s="328"/>
      <c r="AE782" s="328"/>
      <c r="AF782" s="328"/>
      <c r="AG782" s="328"/>
      <c r="AH782" s="328"/>
      <c r="AI782" s="328"/>
      <c r="AJ782" s="328"/>
      <c r="AK782" s="328"/>
      <c r="AL782" s="328"/>
      <c r="AM782" s="328"/>
      <c r="AN782" s="328"/>
      <c r="AO782" s="328"/>
      <c r="AP782" s="328"/>
      <c r="AQ782" s="328"/>
      <c r="AR782" s="328"/>
      <c r="AS782" s="328"/>
      <c r="AT782" s="328"/>
      <c r="AU782" s="328"/>
    </row>
    <row r="783" ht="15.75" customHeight="1">
      <c r="A783" s="328"/>
      <c r="B783" s="328"/>
      <c r="C783" s="328"/>
      <c r="D783" s="328"/>
      <c r="E783" s="328"/>
      <c r="F783" s="328"/>
      <c r="G783" s="328"/>
      <c r="H783" s="328"/>
      <c r="I783" s="328"/>
      <c r="J783" s="328"/>
      <c r="K783" s="328"/>
      <c r="L783" s="328"/>
      <c r="M783" s="328"/>
      <c r="N783" s="328"/>
      <c r="O783" s="328"/>
      <c r="P783" s="328"/>
      <c r="Q783" s="328"/>
      <c r="R783" s="328"/>
      <c r="S783" s="328"/>
      <c r="T783" s="328"/>
      <c r="U783" s="328"/>
      <c r="V783" s="328"/>
      <c r="W783" s="328"/>
      <c r="X783" s="328"/>
      <c r="Y783" s="328"/>
      <c r="Z783" s="328"/>
      <c r="AA783" s="328"/>
      <c r="AB783" s="328"/>
      <c r="AC783" s="328"/>
      <c r="AD783" s="328"/>
      <c r="AE783" s="328"/>
      <c r="AF783" s="328"/>
      <c r="AG783" s="328"/>
      <c r="AH783" s="328"/>
      <c r="AI783" s="328"/>
      <c r="AJ783" s="328"/>
      <c r="AK783" s="328"/>
      <c r="AL783" s="328"/>
      <c r="AM783" s="328"/>
      <c r="AN783" s="328"/>
      <c r="AO783" s="328"/>
      <c r="AP783" s="328"/>
      <c r="AQ783" s="328"/>
      <c r="AR783" s="328"/>
      <c r="AS783" s="328"/>
      <c r="AT783" s="328"/>
      <c r="AU783" s="328"/>
    </row>
    <row r="784" ht="15.75" customHeight="1">
      <c r="A784" s="328"/>
      <c r="B784" s="328"/>
      <c r="C784" s="328"/>
      <c r="D784" s="328"/>
      <c r="E784" s="328"/>
      <c r="F784" s="328"/>
      <c r="G784" s="328"/>
      <c r="H784" s="328"/>
      <c r="I784" s="328"/>
      <c r="J784" s="328"/>
      <c r="K784" s="328"/>
      <c r="L784" s="328"/>
      <c r="M784" s="328"/>
      <c r="N784" s="328"/>
      <c r="O784" s="328"/>
      <c r="P784" s="328"/>
      <c r="Q784" s="328"/>
      <c r="R784" s="328"/>
      <c r="S784" s="328"/>
      <c r="T784" s="328"/>
      <c r="U784" s="328"/>
      <c r="V784" s="328"/>
      <c r="W784" s="328"/>
      <c r="X784" s="328"/>
      <c r="Y784" s="328"/>
      <c r="Z784" s="328"/>
      <c r="AA784" s="328"/>
      <c r="AB784" s="328"/>
      <c r="AC784" s="328"/>
      <c r="AD784" s="328"/>
      <c r="AE784" s="328"/>
      <c r="AF784" s="328"/>
      <c r="AG784" s="328"/>
      <c r="AH784" s="328"/>
      <c r="AI784" s="328"/>
      <c r="AJ784" s="328"/>
      <c r="AK784" s="328"/>
      <c r="AL784" s="328"/>
      <c r="AM784" s="328"/>
      <c r="AN784" s="328"/>
      <c r="AO784" s="328"/>
      <c r="AP784" s="328"/>
      <c r="AQ784" s="328"/>
      <c r="AR784" s="328"/>
      <c r="AS784" s="328"/>
      <c r="AT784" s="328"/>
      <c r="AU784" s="328"/>
    </row>
    <row r="785" ht="15.75" customHeight="1">
      <c r="A785" s="328"/>
      <c r="B785" s="328"/>
      <c r="C785" s="328"/>
      <c r="D785" s="328"/>
      <c r="E785" s="328"/>
      <c r="F785" s="328"/>
      <c r="G785" s="328"/>
      <c r="H785" s="328"/>
      <c r="I785" s="328"/>
      <c r="J785" s="328"/>
      <c r="K785" s="328"/>
      <c r="L785" s="328"/>
      <c r="M785" s="328"/>
      <c r="N785" s="328"/>
      <c r="O785" s="328"/>
      <c r="P785" s="328"/>
      <c r="Q785" s="328"/>
      <c r="R785" s="328"/>
      <c r="S785" s="328"/>
      <c r="T785" s="328"/>
      <c r="U785" s="328"/>
      <c r="V785" s="328"/>
      <c r="W785" s="328"/>
      <c r="X785" s="328"/>
      <c r="Y785" s="328"/>
      <c r="Z785" s="328"/>
      <c r="AA785" s="328"/>
      <c r="AB785" s="328"/>
      <c r="AC785" s="328"/>
      <c r="AD785" s="328"/>
      <c r="AE785" s="328"/>
      <c r="AF785" s="328"/>
      <c r="AG785" s="328"/>
      <c r="AH785" s="328"/>
      <c r="AI785" s="328"/>
      <c r="AJ785" s="328"/>
      <c r="AK785" s="328"/>
      <c r="AL785" s="328"/>
      <c r="AM785" s="328"/>
      <c r="AN785" s="328"/>
      <c r="AO785" s="328"/>
      <c r="AP785" s="328"/>
      <c r="AQ785" s="328"/>
      <c r="AR785" s="328"/>
      <c r="AS785" s="328"/>
      <c r="AT785" s="328"/>
      <c r="AU785" s="328"/>
    </row>
    <row r="786" ht="15.75" customHeight="1">
      <c r="A786" s="328"/>
      <c r="B786" s="328"/>
      <c r="C786" s="328"/>
      <c r="D786" s="328"/>
      <c r="E786" s="328"/>
      <c r="F786" s="328"/>
      <c r="G786" s="328"/>
      <c r="H786" s="328"/>
      <c r="I786" s="328"/>
      <c r="J786" s="328"/>
      <c r="K786" s="328"/>
      <c r="L786" s="328"/>
      <c r="M786" s="328"/>
      <c r="N786" s="328"/>
      <c r="O786" s="328"/>
      <c r="P786" s="328"/>
      <c r="Q786" s="328"/>
      <c r="R786" s="328"/>
      <c r="S786" s="328"/>
      <c r="T786" s="328"/>
      <c r="U786" s="328"/>
      <c r="V786" s="328"/>
      <c r="W786" s="328"/>
      <c r="X786" s="328"/>
      <c r="Y786" s="328"/>
      <c r="Z786" s="328"/>
      <c r="AA786" s="328"/>
      <c r="AB786" s="328"/>
      <c r="AC786" s="328"/>
      <c r="AD786" s="328"/>
      <c r="AE786" s="328"/>
      <c r="AF786" s="328"/>
      <c r="AG786" s="328"/>
      <c r="AH786" s="328"/>
      <c r="AI786" s="328"/>
      <c r="AJ786" s="328"/>
      <c r="AK786" s="328"/>
      <c r="AL786" s="328"/>
      <c r="AM786" s="328"/>
      <c r="AN786" s="328"/>
      <c r="AO786" s="328"/>
      <c r="AP786" s="328"/>
      <c r="AQ786" s="328"/>
      <c r="AR786" s="328"/>
      <c r="AS786" s="328"/>
      <c r="AT786" s="328"/>
      <c r="AU786" s="328"/>
    </row>
    <row r="787" ht="15.75" customHeight="1">
      <c r="A787" s="328"/>
      <c r="B787" s="328"/>
      <c r="C787" s="328"/>
      <c r="D787" s="328"/>
      <c r="E787" s="328"/>
      <c r="F787" s="328"/>
      <c r="G787" s="328"/>
      <c r="H787" s="328"/>
      <c r="I787" s="328"/>
      <c r="J787" s="328"/>
      <c r="K787" s="328"/>
      <c r="L787" s="328"/>
      <c r="M787" s="328"/>
      <c r="N787" s="328"/>
      <c r="O787" s="328"/>
      <c r="P787" s="328"/>
      <c r="Q787" s="328"/>
      <c r="R787" s="328"/>
      <c r="S787" s="328"/>
      <c r="T787" s="328"/>
      <c r="U787" s="328"/>
      <c r="V787" s="328"/>
      <c r="W787" s="328"/>
      <c r="X787" s="328"/>
      <c r="Y787" s="328"/>
      <c r="Z787" s="328"/>
      <c r="AA787" s="328"/>
      <c r="AB787" s="328"/>
      <c r="AC787" s="328"/>
      <c r="AD787" s="328"/>
      <c r="AE787" s="328"/>
      <c r="AF787" s="328"/>
      <c r="AG787" s="328"/>
      <c r="AH787" s="328"/>
      <c r="AI787" s="328"/>
      <c r="AJ787" s="328"/>
      <c r="AK787" s="328"/>
      <c r="AL787" s="328"/>
      <c r="AM787" s="328"/>
      <c r="AN787" s="328"/>
      <c r="AO787" s="328"/>
      <c r="AP787" s="328"/>
      <c r="AQ787" s="328"/>
      <c r="AR787" s="328"/>
      <c r="AS787" s="328"/>
      <c r="AT787" s="328"/>
      <c r="AU787" s="328"/>
    </row>
    <row r="788" ht="15.75" customHeight="1">
      <c r="A788" s="328"/>
      <c r="B788" s="328"/>
      <c r="C788" s="328"/>
      <c r="D788" s="328"/>
      <c r="E788" s="328"/>
      <c r="F788" s="328"/>
      <c r="G788" s="328"/>
      <c r="H788" s="328"/>
      <c r="I788" s="328"/>
      <c r="J788" s="328"/>
      <c r="K788" s="328"/>
      <c r="L788" s="328"/>
      <c r="M788" s="328"/>
      <c r="N788" s="328"/>
      <c r="O788" s="328"/>
      <c r="P788" s="328"/>
      <c r="Q788" s="328"/>
      <c r="R788" s="328"/>
      <c r="S788" s="328"/>
      <c r="T788" s="328"/>
      <c r="U788" s="328"/>
      <c r="V788" s="328"/>
      <c r="W788" s="328"/>
      <c r="X788" s="328"/>
      <c r="Y788" s="328"/>
      <c r="Z788" s="328"/>
      <c r="AA788" s="328"/>
      <c r="AB788" s="328"/>
      <c r="AC788" s="328"/>
      <c r="AD788" s="328"/>
      <c r="AE788" s="328"/>
      <c r="AF788" s="328"/>
      <c r="AG788" s="328"/>
      <c r="AH788" s="328"/>
      <c r="AI788" s="328"/>
      <c r="AJ788" s="328"/>
      <c r="AK788" s="328"/>
      <c r="AL788" s="328"/>
      <c r="AM788" s="328"/>
      <c r="AN788" s="328"/>
      <c r="AO788" s="328"/>
      <c r="AP788" s="328"/>
      <c r="AQ788" s="328"/>
      <c r="AR788" s="328"/>
      <c r="AS788" s="328"/>
      <c r="AT788" s="328"/>
      <c r="AU788" s="328"/>
    </row>
    <row r="789" ht="15.75" customHeight="1">
      <c r="A789" s="328"/>
      <c r="B789" s="328"/>
      <c r="C789" s="328"/>
      <c r="D789" s="328"/>
      <c r="E789" s="328"/>
      <c r="F789" s="328"/>
      <c r="G789" s="328"/>
      <c r="H789" s="328"/>
      <c r="I789" s="328"/>
      <c r="J789" s="328"/>
      <c r="K789" s="328"/>
      <c r="L789" s="328"/>
      <c r="M789" s="328"/>
      <c r="N789" s="328"/>
      <c r="O789" s="328"/>
      <c r="P789" s="328"/>
      <c r="Q789" s="328"/>
      <c r="R789" s="328"/>
      <c r="S789" s="328"/>
      <c r="T789" s="328"/>
      <c r="U789" s="328"/>
      <c r="V789" s="328"/>
      <c r="W789" s="328"/>
      <c r="X789" s="328"/>
      <c r="Y789" s="328"/>
      <c r="Z789" s="328"/>
      <c r="AA789" s="328"/>
      <c r="AB789" s="328"/>
      <c r="AC789" s="328"/>
      <c r="AD789" s="328"/>
      <c r="AE789" s="328"/>
      <c r="AF789" s="328"/>
      <c r="AG789" s="328"/>
      <c r="AH789" s="328"/>
      <c r="AI789" s="328"/>
      <c r="AJ789" s="328"/>
      <c r="AK789" s="328"/>
      <c r="AL789" s="328"/>
      <c r="AM789" s="328"/>
      <c r="AN789" s="328"/>
      <c r="AO789" s="328"/>
      <c r="AP789" s="328"/>
      <c r="AQ789" s="328"/>
      <c r="AR789" s="328"/>
      <c r="AS789" s="328"/>
      <c r="AT789" s="328"/>
      <c r="AU789" s="328"/>
    </row>
    <row r="790" ht="15.75" customHeight="1">
      <c r="A790" s="328"/>
      <c r="B790" s="328"/>
      <c r="C790" s="328"/>
      <c r="D790" s="328"/>
      <c r="E790" s="328"/>
      <c r="F790" s="328"/>
      <c r="G790" s="328"/>
      <c r="H790" s="328"/>
      <c r="I790" s="328"/>
      <c r="J790" s="328"/>
      <c r="K790" s="328"/>
      <c r="L790" s="328"/>
      <c r="M790" s="328"/>
      <c r="N790" s="328"/>
      <c r="O790" s="328"/>
      <c r="P790" s="328"/>
      <c r="Q790" s="328"/>
      <c r="R790" s="328"/>
      <c r="S790" s="328"/>
      <c r="T790" s="328"/>
      <c r="U790" s="328"/>
      <c r="V790" s="328"/>
      <c r="W790" s="328"/>
      <c r="X790" s="328"/>
      <c r="Y790" s="328"/>
      <c r="Z790" s="328"/>
      <c r="AA790" s="328"/>
      <c r="AB790" s="328"/>
      <c r="AC790" s="328"/>
      <c r="AD790" s="328"/>
      <c r="AE790" s="328"/>
      <c r="AF790" s="328"/>
      <c r="AG790" s="328"/>
      <c r="AH790" s="328"/>
      <c r="AI790" s="328"/>
      <c r="AJ790" s="328"/>
      <c r="AK790" s="328"/>
      <c r="AL790" s="328"/>
      <c r="AM790" s="328"/>
      <c r="AN790" s="328"/>
      <c r="AO790" s="328"/>
      <c r="AP790" s="328"/>
      <c r="AQ790" s="328"/>
      <c r="AR790" s="328"/>
      <c r="AS790" s="328"/>
      <c r="AT790" s="328"/>
      <c r="AU790" s="328"/>
    </row>
    <row r="791" ht="15.75" customHeight="1">
      <c r="A791" s="328"/>
      <c r="B791" s="328"/>
      <c r="C791" s="328"/>
      <c r="D791" s="328"/>
      <c r="E791" s="328"/>
      <c r="F791" s="328"/>
      <c r="G791" s="328"/>
      <c r="H791" s="328"/>
      <c r="I791" s="328"/>
      <c r="J791" s="328"/>
      <c r="K791" s="328"/>
      <c r="L791" s="328"/>
      <c r="M791" s="328"/>
      <c r="N791" s="328"/>
      <c r="O791" s="328"/>
      <c r="P791" s="328"/>
      <c r="Q791" s="328"/>
      <c r="R791" s="328"/>
      <c r="S791" s="328"/>
      <c r="T791" s="328"/>
      <c r="U791" s="328"/>
      <c r="V791" s="328"/>
      <c r="W791" s="328"/>
      <c r="X791" s="328"/>
      <c r="Y791" s="328"/>
      <c r="Z791" s="328"/>
      <c r="AA791" s="328"/>
      <c r="AB791" s="328"/>
      <c r="AC791" s="328"/>
      <c r="AD791" s="328"/>
      <c r="AE791" s="328"/>
      <c r="AF791" s="328"/>
      <c r="AG791" s="328"/>
      <c r="AH791" s="328"/>
      <c r="AI791" s="328"/>
      <c r="AJ791" s="328"/>
      <c r="AK791" s="328"/>
      <c r="AL791" s="328"/>
      <c r="AM791" s="328"/>
      <c r="AN791" s="328"/>
      <c r="AO791" s="328"/>
      <c r="AP791" s="328"/>
      <c r="AQ791" s="328"/>
      <c r="AR791" s="328"/>
      <c r="AS791" s="328"/>
      <c r="AT791" s="328"/>
      <c r="AU791" s="328"/>
    </row>
    <row r="792" ht="15.75" customHeight="1">
      <c r="A792" s="328"/>
      <c r="B792" s="328"/>
      <c r="C792" s="328"/>
      <c r="D792" s="328"/>
      <c r="E792" s="328"/>
      <c r="F792" s="328"/>
      <c r="G792" s="328"/>
      <c r="H792" s="328"/>
      <c r="I792" s="328"/>
      <c r="J792" s="328"/>
      <c r="K792" s="328"/>
      <c r="L792" s="328"/>
      <c r="M792" s="328"/>
      <c r="N792" s="328"/>
      <c r="O792" s="328"/>
      <c r="P792" s="328"/>
      <c r="Q792" s="328"/>
      <c r="R792" s="328"/>
      <c r="S792" s="328"/>
      <c r="T792" s="328"/>
      <c r="U792" s="328"/>
      <c r="V792" s="328"/>
      <c r="W792" s="328"/>
      <c r="X792" s="328"/>
      <c r="Y792" s="328"/>
      <c r="Z792" s="328"/>
      <c r="AA792" s="328"/>
      <c r="AB792" s="328"/>
      <c r="AC792" s="328"/>
      <c r="AD792" s="328"/>
      <c r="AE792" s="328"/>
      <c r="AF792" s="328"/>
      <c r="AG792" s="328"/>
      <c r="AH792" s="328"/>
      <c r="AI792" s="328"/>
      <c r="AJ792" s="328"/>
      <c r="AK792" s="328"/>
      <c r="AL792" s="328"/>
      <c r="AM792" s="328"/>
      <c r="AN792" s="328"/>
      <c r="AO792" s="328"/>
      <c r="AP792" s="328"/>
      <c r="AQ792" s="328"/>
      <c r="AR792" s="328"/>
      <c r="AS792" s="328"/>
      <c r="AT792" s="328"/>
      <c r="AU792" s="328"/>
    </row>
    <row r="793" ht="15.75" customHeight="1">
      <c r="A793" s="328"/>
      <c r="B793" s="328"/>
      <c r="C793" s="328"/>
      <c r="D793" s="328"/>
      <c r="E793" s="328"/>
      <c r="F793" s="328"/>
      <c r="G793" s="328"/>
      <c r="H793" s="328"/>
      <c r="I793" s="328"/>
      <c r="J793" s="328"/>
      <c r="K793" s="328"/>
      <c r="L793" s="328"/>
      <c r="M793" s="328"/>
      <c r="N793" s="328"/>
      <c r="O793" s="328"/>
      <c r="P793" s="328"/>
      <c r="Q793" s="328"/>
      <c r="R793" s="328"/>
      <c r="S793" s="328"/>
      <c r="T793" s="328"/>
      <c r="U793" s="328"/>
      <c r="V793" s="328"/>
      <c r="W793" s="328"/>
      <c r="X793" s="328"/>
      <c r="Y793" s="328"/>
      <c r="Z793" s="328"/>
      <c r="AA793" s="328"/>
      <c r="AB793" s="328"/>
      <c r="AC793" s="328"/>
      <c r="AD793" s="328"/>
      <c r="AE793" s="328"/>
      <c r="AF793" s="328"/>
      <c r="AG793" s="328"/>
      <c r="AH793" s="328"/>
      <c r="AI793" s="328"/>
      <c r="AJ793" s="328"/>
      <c r="AK793" s="328"/>
      <c r="AL793" s="328"/>
      <c r="AM793" s="328"/>
      <c r="AN793" s="328"/>
      <c r="AO793" s="328"/>
      <c r="AP793" s="328"/>
      <c r="AQ793" s="328"/>
      <c r="AR793" s="328"/>
      <c r="AS793" s="328"/>
      <c r="AT793" s="328"/>
      <c r="AU793" s="328"/>
    </row>
    <row r="794" ht="15.75" customHeight="1">
      <c r="A794" s="328"/>
      <c r="B794" s="328"/>
      <c r="C794" s="328"/>
      <c r="D794" s="328"/>
      <c r="E794" s="328"/>
      <c r="F794" s="328"/>
      <c r="G794" s="328"/>
      <c r="H794" s="328"/>
      <c r="I794" s="328"/>
      <c r="J794" s="328"/>
      <c r="K794" s="328"/>
      <c r="L794" s="328"/>
      <c r="M794" s="328"/>
      <c r="N794" s="328"/>
      <c r="O794" s="328"/>
      <c r="P794" s="328"/>
      <c r="Q794" s="328"/>
      <c r="R794" s="328"/>
      <c r="S794" s="328"/>
      <c r="T794" s="328"/>
      <c r="U794" s="328"/>
      <c r="V794" s="328"/>
      <c r="W794" s="328"/>
      <c r="X794" s="328"/>
      <c r="Y794" s="328"/>
      <c r="Z794" s="328"/>
      <c r="AA794" s="328"/>
      <c r="AB794" s="328"/>
      <c r="AC794" s="328"/>
      <c r="AD794" s="328"/>
      <c r="AE794" s="328"/>
      <c r="AF794" s="328"/>
      <c r="AG794" s="328"/>
      <c r="AH794" s="328"/>
      <c r="AI794" s="328"/>
      <c r="AJ794" s="328"/>
      <c r="AK794" s="328"/>
      <c r="AL794" s="328"/>
      <c r="AM794" s="328"/>
      <c r="AN794" s="328"/>
      <c r="AO794" s="328"/>
      <c r="AP794" s="328"/>
      <c r="AQ794" s="328"/>
      <c r="AR794" s="328"/>
      <c r="AS794" s="328"/>
      <c r="AT794" s="328"/>
      <c r="AU794" s="328"/>
    </row>
    <row r="795" ht="15.75" customHeight="1">
      <c r="A795" s="328"/>
      <c r="B795" s="328"/>
      <c r="C795" s="328"/>
      <c r="D795" s="328"/>
      <c r="E795" s="328"/>
      <c r="F795" s="328"/>
      <c r="G795" s="328"/>
      <c r="H795" s="328"/>
      <c r="I795" s="328"/>
      <c r="J795" s="328"/>
      <c r="K795" s="328"/>
      <c r="L795" s="328"/>
      <c r="M795" s="328"/>
      <c r="N795" s="328"/>
      <c r="O795" s="328"/>
      <c r="P795" s="328"/>
      <c r="Q795" s="328"/>
      <c r="R795" s="328"/>
      <c r="S795" s="328"/>
      <c r="T795" s="328"/>
      <c r="U795" s="328"/>
      <c r="V795" s="328"/>
      <c r="W795" s="328"/>
      <c r="X795" s="328"/>
      <c r="Y795" s="328"/>
      <c r="Z795" s="328"/>
      <c r="AA795" s="328"/>
      <c r="AB795" s="328"/>
      <c r="AC795" s="328"/>
      <c r="AD795" s="328"/>
      <c r="AE795" s="328"/>
      <c r="AF795" s="328"/>
      <c r="AG795" s="328"/>
      <c r="AH795" s="328"/>
      <c r="AI795" s="328"/>
      <c r="AJ795" s="328"/>
      <c r="AK795" s="328"/>
      <c r="AL795" s="328"/>
      <c r="AM795" s="328"/>
      <c r="AN795" s="328"/>
      <c r="AO795" s="328"/>
      <c r="AP795" s="328"/>
      <c r="AQ795" s="328"/>
      <c r="AR795" s="328"/>
      <c r="AS795" s="328"/>
      <c r="AT795" s="328"/>
      <c r="AU795" s="328"/>
    </row>
    <row r="796" ht="15.75" customHeight="1">
      <c r="A796" s="328"/>
      <c r="B796" s="328"/>
      <c r="C796" s="328"/>
      <c r="D796" s="328"/>
      <c r="E796" s="328"/>
      <c r="F796" s="328"/>
      <c r="G796" s="328"/>
      <c r="H796" s="328"/>
      <c r="I796" s="328"/>
      <c r="J796" s="328"/>
      <c r="K796" s="328"/>
      <c r="L796" s="328"/>
      <c r="M796" s="328"/>
      <c r="N796" s="328"/>
      <c r="O796" s="328"/>
      <c r="P796" s="328"/>
      <c r="Q796" s="328"/>
      <c r="R796" s="328"/>
      <c r="S796" s="328"/>
      <c r="T796" s="328"/>
      <c r="U796" s="328"/>
      <c r="V796" s="328"/>
      <c r="W796" s="328"/>
      <c r="X796" s="328"/>
      <c r="Y796" s="328"/>
      <c r="Z796" s="328"/>
      <c r="AA796" s="328"/>
      <c r="AB796" s="328"/>
      <c r="AC796" s="328"/>
      <c r="AD796" s="328"/>
      <c r="AE796" s="328"/>
      <c r="AF796" s="328"/>
      <c r="AG796" s="328"/>
      <c r="AH796" s="328"/>
      <c r="AI796" s="328"/>
      <c r="AJ796" s="328"/>
      <c r="AK796" s="328"/>
      <c r="AL796" s="328"/>
      <c r="AM796" s="328"/>
      <c r="AN796" s="328"/>
      <c r="AO796" s="328"/>
      <c r="AP796" s="328"/>
      <c r="AQ796" s="328"/>
      <c r="AR796" s="328"/>
      <c r="AS796" s="328"/>
      <c r="AT796" s="328"/>
      <c r="AU796" s="328"/>
    </row>
    <row r="797" ht="15.75" customHeight="1">
      <c r="A797" s="328"/>
      <c r="B797" s="328"/>
      <c r="C797" s="328"/>
      <c r="D797" s="328"/>
      <c r="E797" s="328"/>
      <c r="F797" s="328"/>
      <c r="G797" s="328"/>
      <c r="H797" s="328"/>
      <c r="I797" s="328"/>
      <c r="J797" s="328"/>
      <c r="K797" s="328"/>
      <c r="L797" s="328"/>
      <c r="M797" s="328"/>
      <c r="N797" s="328"/>
      <c r="O797" s="328"/>
      <c r="P797" s="328"/>
      <c r="Q797" s="328"/>
      <c r="R797" s="328"/>
      <c r="S797" s="328"/>
      <c r="T797" s="328"/>
      <c r="U797" s="328"/>
      <c r="V797" s="328"/>
      <c r="W797" s="328"/>
      <c r="X797" s="328"/>
      <c r="Y797" s="328"/>
      <c r="Z797" s="328"/>
      <c r="AA797" s="328"/>
      <c r="AB797" s="328"/>
      <c r="AC797" s="328"/>
      <c r="AD797" s="328"/>
      <c r="AE797" s="328"/>
      <c r="AF797" s="328"/>
      <c r="AG797" s="328"/>
      <c r="AH797" s="328"/>
      <c r="AI797" s="328"/>
      <c r="AJ797" s="328"/>
      <c r="AK797" s="328"/>
      <c r="AL797" s="328"/>
      <c r="AM797" s="328"/>
      <c r="AN797" s="328"/>
      <c r="AO797" s="328"/>
      <c r="AP797" s="328"/>
      <c r="AQ797" s="328"/>
      <c r="AR797" s="328"/>
      <c r="AS797" s="328"/>
      <c r="AT797" s="328"/>
      <c r="AU797" s="328"/>
    </row>
    <row r="798" ht="15.75" customHeight="1">
      <c r="A798" s="328"/>
      <c r="B798" s="328"/>
      <c r="C798" s="328"/>
      <c r="D798" s="328"/>
      <c r="E798" s="328"/>
      <c r="F798" s="328"/>
      <c r="G798" s="328"/>
      <c r="H798" s="328"/>
      <c r="I798" s="328"/>
      <c r="J798" s="328"/>
      <c r="K798" s="328"/>
      <c r="L798" s="328"/>
      <c r="M798" s="328"/>
      <c r="N798" s="328"/>
      <c r="O798" s="328"/>
      <c r="P798" s="328"/>
      <c r="Q798" s="328"/>
      <c r="R798" s="328"/>
      <c r="S798" s="328"/>
      <c r="T798" s="328"/>
      <c r="U798" s="328"/>
      <c r="V798" s="328"/>
      <c r="W798" s="328"/>
      <c r="X798" s="328"/>
      <c r="Y798" s="328"/>
      <c r="Z798" s="328"/>
      <c r="AA798" s="328"/>
      <c r="AB798" s="328"/>
      <c r="AC798" s="328"/>
      <c r="AD798" s="328"/>
      <c r="AE798" s="328"/>
      <c r="AF798" s="328"/>
      <c r="AG798" s="328"/>
      <c r="AH798" s="328"/>
      <c r="AI798" s="328"/>
      <c r="AJ798" s="328"/>
      <c r="AK798" s="328"/>
      <c r="AL798" s="328"/>
      <c r="AM798" s="328"/>
      <c r="AN798" s="328"/>
      <c r="AO798" s="328"/>
      <c r="AP798" s="328"/>
      <c r="AQ798" s="328"/>
      <c r="AR798" s="328"/>
      <c r="AS798" s="328"/>
      <c r="AT798" s="328"/>
      <c r="AU798" s="328"/>
    </row>
    <row r="799" ht="15.75" customHeight="1">
      <c r="A799" s="328"/>
      <c r="B799" s="328"/>
      <c r="C799" s="328"/>
      <c r="D799" s="328"/>
      <c r="E799" s="328"/>
      <c r="F799" s="328"/>
      <c r="G799" s="328"/>
      <c r="H799" s="328"/>
      <c r="I799" s="328"/>
      <c r="J799" s="328"/>
      <c r="K799" s="328"/>
      <c r="L799" s="328"/>
      <c r="M799" s="328"/>
      <c r="N799" s="328"/>
      <c r="O799" s="328"/>
      <c r="P799" s="328"/>
      <c r="Q799" s="328"/>
      <c r="R799" s="328"/>
      <c r="S799" s="328"/>
      <c r="T799" s="328"/>
      <c r="U799" s="328"/>
      <c r="V799" s="328"/>
      <c r="W799" s="328"/>
      <c r="X799" s="328"/>
      <c r="Y799" s="328"/>
      <c r="Z799" s="328"/>
      <c r="AA799" s="328"/>
      <c r="AB799" s="328"/>
      <c r="AC799" s="328"/>
      <c r="AD799" s="328"/>
      <c r="AE799" s="328"/>
      <c r="AF799" s="328"/>
      <c r="AG799" s="328"/>
      <c r="AH799" s="328"/>
      <c r="AI799" s="328"/>
      <c r="AJ799" s="328"/>
      <c r="AK799" s="328"/>
      <c r="AL799" s="328"/>
      <c r="AM799" s="328"/>
      <c r="AN799" s="328"/>
      <c r="AO799" s="328"/>
      <c r="AP799" s="328"/>
      <c r="AQ799" s="328"/>
      <c r="AR799" s="328"/>
      <c r="AS799" s="328"/>
      <c r="AT799" s="328"/>
      <c r="AU799" s="328"/>
    </row>
    <row r="800" ht="15.75" customHeight="1">
      <c r="A800" s="328"/>
      <c r="B800" s="328"/>
      <c r="C800" s="328"/>
      <c r="D800" s="328"/>
      <c r="E800" s="328"/>
      <c r="F800" s="328"/>
      <c r="G800" s="328"/>
      <c r="H800" s="328"/>
      <c r="I800" s="328"/>
      <c r="J800" s="328"/>
      <c r="K800" s="328"/>
      <c r="L800" s="328"/>
      <c r="M800" s="328"/>
      <c r="N800" s="328"/>
      <c r="O800" s="328"/>
      <c r="P800" s="328"/>
      <c r="Q800" s="328"/>
      <c r="R800" s="328"/>
      <c r="S800" s="328"/>
      <c r="T800" s="328"/>
      <c r="U800" s="328"/>
      <c r="V800" s="328"/>
      <c r="W800" s="328"/>
      <c r="X800" s="328"/>
      <c r="Y800" s="328"/>
      <c r="Z800" s="328"/>
      <c r="AA800" s="328"/>
      <c r="AB800" s="328"/>
      <c r="AC800" s="328"/>
      <c r="AD800" s="328"/>
      <c r="AE800" s="328"/>
      <c r="AF800" s="328"/>
      <c r="AG800" s="328"/>
      <c r="AH800" s="328"/>
      <c r="AI800" s="328"/>
      <c r="AJ800" s="328"/>
      <c r="AK800" s="328"/>
      <c r="AL800" s="328"/>
      <c r="AM800" s="328"/>
      <c r="AN800" s="328"/>
      <c r="AO800" s="328"/>
      <c r="AP800" s="328"/>
      <c r="AQ800" s="328"/>
      <c r="AR800" s="328"/>
      <c r="AS800" s="328"/>
      <c r="AT800" s="328"/>
      <c r="AU800" s="328"/>
    </row>
    <row r="801" ht="15.75" customHeight="1">
      <c r="A801" s="328"/>
      <c r="B801" s="328"/>
      <c r="C801" s="328"/>
      <c r="D801" s="328"/>
      <c r="E801" s="328"/>
      <c r="F801" s="328"/>
      <c r="G801" s="328"/>
      <c r="H801" s="328"/>
      <c r="I801" s="328"/>
      <c r="J801" s="328"/>
      <c r="K801" s="328"/>
      <c r="L801" s="328"/>
      <c r="M801" s="328"/>
      <c r="N801" s="328"/>
      <c r="O801" s="328"/>
      <c r="P801" s="328"/>
      <c r="Q801" s="328"/>
      <c r="R801" s="328"/>
      <c r="S801" s="328"/>
      <c r="T801" s="328"/>
      <c r="U801" s="328"/>
      <c r="V801" s="328"/>
      <c r="W801" s="328"/>
      <c r="X801" s="328"/>
      <c r="Y801" s="328"/>
      <c r="Z801" s="328"/>
      <c r="AA801" s="328"/>
      <c r="AB801" s="328"/>
      <c r="AC801" s="328"/>
      <c r="AD801" s="328"/>
      <c r="AE801" s="328"/>
      <c r="AF801" s="328"/>
      <c r="AG801" s="328"/>
      <c r="AH801" s="328"/>
      <c r="AI801" s="328"/>
      <c r="AJ801" s="328"/>
      <c r="AK801" s="328"/>
      <c r="AL801" s="328"/>
      <c r="AM801" s="328"/>
      <c r="AN801" s="328"/>
      <c r="AO801" s="328"/>
      <c r="AP801" s="328"/>
      <c r="AQ801" s="328"/>
      <c r="AR801" s="328"/>
      <c r="AS801" s="328"/>
      <c r="AT801" s="328"/>
      <c r="AU801" s="328"/>
    </row>
    <row r="802" ht="15.75" customHeight="1">
      <c r="A802" s="328"/>
      <c r="B802" s="328"/>
      <c r="C802" s="328"/>
      <c r="D802" s="328"/>
      <c r="E802" s="328"/>
      <c r="F802" s="328"/>
      <c r="G802" s="328"/>
      <c r="H802" s="328"/>
      <c r="I802" s="328"/>
      <c r="J802" s="328"/>
      <c r="K802" s="328"/>
      <c r="L802" s="328"/>
      <c r="M802" s="328"/>
      <c r="N802" s="328"/>
      <c r="O802" s="328"/>
      <c r="P802" s="328"/>
      <c r="Q802" s="328"/>
      <c r="R802" s="328"/>
      <c r="S802" s="328"/>
      <c r="T802" s="328"/>
      <c r="U802" s="328"/>
      <c r="V802" s="328"/>
      <c r="W802" s="328"/>
      <c r="X802" s="328"/>
      <c r="Y802" s="328"/>
      <c r="Z802" s="328"/>
      <c r="AA802" s="328"/>
      <c r="AB802" s="328"/>
      <c r="AC802" s="328"/>
      <c r="AD802" s="328"/>
      <c r="AE802" s="328"/>
      <c r="AF802" s="328"/>
      <c r="AG802" s="328"/>
      <c r="AH802" s="328"/>
      <c r="AI802" s="328"/>
      <c r="AJ802" s="328"/>
      <c r="AK802" s="328"/>
      <c r="AL802" s="328"/>
      <c r="AM802" s="328"/>
      <c r="AN802" s="328"/>
      <c r="AO802" s="328"/>
      <c r="AP802" s="328"/>
      <c r="AQ802" s="328"/>
      <c r="AR802" s="328"/>
      <c r="AS802" s="328"/>
      <c r="AT802" s="328"/>
      <c r="AU802" s="328"/>
    </row>
    <row r="803" ht="15.75" customHeight="1">
      <c r="A803" s="328"/>
      <c r="B803" s="328"/>
      <c r="C803" s="328"/>
      <c r="D803" s="328"/>
      <c r="E803" s="328"/>
      <c r="F803" s="328"/>
      <c r="G803" s="328"/>
      <c r="H803" s="328"/>
      <c r="I803" s="328"/>
      <c r="J803" s="328"/>
      <c r="K803" s="328"/>
      <c r="L803" s="328"/>
      <c r="M803" s="328"/>
      <c r="N803" s="328"/>
      <c r="O803" s="328"/>
      <c r="P803" s="328"/>
      <c r="Q803" s="328"/>
      <c r="R803" s="328"/>
      <c r="S803" s="328"/>
      <c r="T803" s="328"/>
      <c r="U803" s="328"/>
      <c r="V803" s="328"/>
      <c r="W803" s="328"/>
      <c r="X803" s="328"/>
      <c r="Y803" s="328"/>
      <c r="Z803" s="328"/>
      <c r="AA803" s="328"/>
      <c r="AB803" s="328"/>
      <c r="AC803" s="328"/>
      <c r="AD803" s="328"/>
      <c r="AE803" s="328"/>
      <c r="AF803" s="328"/>
      <c r="AG803" s="328"/>
      <c r="AH803" s="328"/>
      <c r="AI803" s="328"/>
      <c r="AJ803" s="328"/>
      <c r="AK803" s="328"/>
      <c r="AL803" s="328"/>
      <c r="AM803" s="328"/>
      <c r="AN803" s="328"/>
      <c r="AO803" s="328"/>
      <c r="AP803" s="328"/>
      <c r="AQ803" s="328"/>
      <c r="AR803" s="328"/>
      <c r="AS803" s="328"/>
      <c r="AT803" s="328"/>
      <c r="AU803" s="328"/>
    </row>
    <row r="804" ht="15.75" customHeight="1">
      <c r="A804" s="328"/>
      <c r="B804" s="328"/>
      <c r="C804" s="328"/>
      <c r="D804" s="328"/>
      <c r="E804" s="328"/>
      <c r="F804" s="328"/>
      <c r="G804" s="328"/>
      <c r="H804" s="328"/>
      <c r="I804" s="328"/>
      <c r="J804" s="328"/>
      <c r="K804" s="328"/>
      <c r="L804" s="328"/>
      <c r="M804" s="328"/>
      <c r="N804" s="328"/>
      <c r="O804" s="328"/>
      <c r="P804" s="328"/>
      <c r="Q804" s="328"/>
      <c r="R804" s="328"/>
      <c r="S804" s="328"/>
      <c r="T804" s="328"/>
      <c r="U804" s="328"/>
      <c r="V804" s="328"/>
      <c r="W804" s="328"/>
      <c r="X804" s="328"/>
      <c r="Y804" s="328"/>
      <c r="Z804" s="328"/>
      <c r="AA804" s="328"/>
      <c r="AB804" s="328"/>
      <c r="AC804" s="328"/>
      <c r="AD804" s="328"/>
      <c r="AE804" s="328"/>
      <c r="AF804" s="328"/>
      <c r="AG804" s="328"/>
      <c r="AH804" s="328"/>
      <c r="AI804" s="328"/>
      <c r="AJ804" s="328"/>
      <c r="AK804" s="328"/>
      <c r="AL804" s="328"/>
      <c r="AM804" s="328"/>
      <c r="AN804" s="328"/>
      <c r="AO804" s="328"/>
      <c r="AP804" s="328"/>
      <c r="AQ804" s="328"/>
      <c r="AR804" s="328"/>
      <c r="AS804" s="328"/>
      <c r="AT804" s="328"/>
      <c r="AU804" s="328"/>
    </row>
    <row r="805" ht="15.75" customHeight="1">
      <c r="A805" s="328"/>
      <c r="B805" s="328"/>
      <c r="C805" s="328"/>
      <c r="D805" s="328"/>
      <c r="E805" s="328"/>
      <c r="F805" s="328"/>
      <c r="G805" s="328"/>
      <c r="H805" s="328"/>
      <c r="I805" s="328"/>
      <c r="J805" s="328"/>
      <c r="K805" s="328"/>
      <c r="L805" s="328"/>
      <c r="M805" s="328"/>
      <c r="N805" s="328"/>
      <c r="O805" s="328"/>
      <c r="P805" s="328"/>
      <c r="Q805" s="328"/>
      <c r="R805" s="328"/>
      <c r="S805" s="328"/>
      <c r="T805" s="328"/>
      <c r="U805" s="328"/>
      <c r="V805" s="328"/>
      <c r="W805" s="328"/>
      <c r="X805" s="328"/>
      <c r="Y805" s="328"/>
      <c r="Z805" s="328"/>
      <c r="AA805" s="328"/>
      <c r="AB805" s="328"/>
      <c r="AC805" s="328"/>
      <c r="AD805" s="328"/>
      <c r="AE805" s="328"/>
      <c r="AF805" s="328"/>
      <c r="AG805" s="328"/>
      <c r="AH805" s="328"/>
      <c r="AI805" s="328"/>
      <c r="AJ805" s="328"/>
      <c r="AK805" s="328"/>
      <c r="AL805" s="328"/>
      <c r="AM805" s="328"/>
      <c r="AN805" s="328"/>
      <c r="AO805" s="328"/>
      <c r="AP805" s="328"/>
      <c r="AQ805" s="328"/>
      <c r="AR805" s="328"/>
      <c r="AS805" s="328"/>
      <c r="AT805" s="328"/>
      <c r="AU805" s="328"/>
    </row>
    <row r="806" ht="15.75" customHeight="1">
      <c r="A806" s="328"/>
      <c r="B806" s="328"/>
      <c r="C806" s="328"/>
      <c r="D806" s="328"/>
      <c r="E806" s="328"/>
      <c r="F806" s="328"/>
      <c r="G806" s="328"/>
      <c r="H806" s="328"/>
      <c r="I806" s="328"/>
      <c r="J806" s="328"/>
      <c r="K806" s="328"/>
      <c r="L806" s="328"/>
      <c r="M806" s="328"/>
      <c r="N806" s="328"/>
      <c r="O806" s="328"/>
      <c r="P806" s="328"/>
      <c r="Q806" s="328"/>
      <c r="R806" s="328"/>
      <c r="S806" s="328"/>
      <c r="T806" s="328"/>
      <c r="U806" s="328"/>
      <c r="V806" s="328"/>
      <c r="W806" s="328"/>
      <c r="X806" s="328"/>
      <c r="Y806" s="328"/>
      <c r="Z806" s="328"/>
      <c r="AA806" s="328"/>
      <c r="AB806" s="328"/>
      <c r="AC806" s="328"/>
      <c r="AD806" s="328"/>
      <c r="AE806" s="328"/>
      <c r="AF806" s="328"/>
      <c r="AG806" s="328"/>
      <c r="AH806" s="328"/>
      <c r="AI806" s="328"/>
      <c r="AJ806" s="328"/>
      <c r="AK806" s="328"/>
      <c r="AL806" s="328"/>
      <c r="AM806" s="328"/>
      <c r="AN806" s="328"/>
      <c r="AO806" s="328"/>
      <c r="AP806" s="328"/>
      <c r="AQ806" s="328"/>
      <c r="AR806" s="328"/>
      <c r="AS806" s="328"/>
      <c r="AT806" s="328"/>
      <c r="AU806" s="328"/>
    </row>
    <row r="807" ht="15.75" customHeight="1">
      <c r="A807" s="328"/>
      <c r="B807" s="328"/>
      <c r="C807" s="328"/>
      <c r="D807" s="328"/>
      <c r="E807" s="328"/>
      <c r="F807" s="328"/>
      <c r="G807" s="328"/>
      <c r="H807" s="328"/>
      <c r="I807" s="328"/>
      <c r="J807" s="328"/>
      <c r="K807" s="328"/>
      <c r="L807" s="328"/>
      <c r="M807" s="328"/>
      <c r="N807" s="328"/>
      <c r="O807" s="328"/>
      <c r="P807" s="328"/>
      <c r="Q807" s="328"/>
      <c r="R807" s="328"/>
      <c r="S807" s="328"/>
      <c r="T807" s="328"/>
      <c r="U807" s="328"/>
      <c r="V807" s="328"/>
      <c r="W807" s="328"/>
      <c r="X807" s="328"/>
      <c r="Y807" s="328"/>
      <c r="Z807" s="328"/>
      <c r="AA807" s="328"/>
      <c r="AB807" s="328"/>
      <c r="AC807" s="328"/>
      <c r="AD807" s="328"/>
      <c r="AE807" s="328"/>
      <c r="AF807" s="328"/>
      <c r="AG807" s="328"/>
      <c r="AH807" s="328"/>
      <c r="AI807" s="328"/>
      <c r="AJ807" s="328"/>
      <c r="AK807" s="328"/>
      <c r="AL807" s="328"/>
      <c r="AM807" s="328"/>
      <c r="AN807" s="328"/>
      <c r="AO807" s="328"/>
      <c r="AP807" s="328"/>
      <c r="AQ807" s="328"/>
      <c r="AR807" s="328"/>
      <c r="AS807" s="328"/>
      <c r="AT807" s="328"/>
      <c r="AU807" s="328"/>
    </row>
    <row r="808" ht="15.75" customHeight="1">
      <c r="A808" s="328"/>
      <c r="B808" s="328"/>
      <c r="C808" s="328"/>
      <c r="D808" s="328"/>
      <c r="E808" s="328"/>
      <c r="F808" s="328"/>
      <c r="G808" s="328"/>
      <c r="H808" s="328"/>
      <c r="I808" s="328"/>
      <c r="J808" s="328"/>
      <c r="K808" s="328"/>
      <c r="L808" s="328"/>
      <c r="M808" s="328"/>
      <c r="N808" s="328"/>
      <c r="O808" s="328"/>
      <c r="P808" s="328"/>
      <c r="Q808" s="328"/>
      <c r="R808" s="328"/>
      <c r="S808" s="328"/>
      <c r="T808" s="328"/>
      <c r="U808" s="328"/>
      <c r="V808" s="328"/>
      <c r="W808" s="328"/>
      <c r="X808" s="328"/>
      <c r="Y808" s="328"/>
      <c r="Z808" s="328"/>
      <c r="AA808" s="328"/>
      <c r="AB808" s="328"/>
      <c r="AC808" s="328"/>
      <c r="AD808" s="328"/>
      <c r="AE808" s="328"/>
      <c r="AF808" s="328"/>
      <c r="AG808" s="328"/>
      <c r="AH808" s="328"/>
      <c r="AI808" s="328"/>
      <c r="AJ808" s="328"/>
      <c r="AK808" s="328"/>
      <c r="AL808" s="328"/>
      <c r="AM808" s="328"/>
      <c r="AN808" s="328"/>
      <c r="AO808" s="328"/>
      <c r="AP808" s="328"/>
      <c r="AQ808" s="328"/>
      <c r="AR808" s="328"/>
      <c r="AS808" s="328"/>
      <c r="AT808" s="328"/>
      <c r="AU808" s="328"/>
    </row>
    <row r="809" ht="15.75" customHeight="1">
      <c r="A809" s="328"/>
      <c r="B809" s="328"/>
      <c r="C809" s="328"/>
      <c r="D809" s="328"/>
      <c r="E809" s="328"/>
      <c r="F809" s="328"/>
      <c r="G809" s="328"/>
      <c r="H809" s="328"/>
      <c r="I809" s="328"/>
      <c r="J809" s="328"/>
      <c r="K809" s="328"/>
      <c r="L809" s="328"/>
      <c r="M809" s="328"/>
      <c r="N809" s="328"/>
      <c r="O809" s="328"/>
      <c r="P809" s="328"/>
      <c r="Q809" s="328"/>
      <c r="R809" s="328"/>
      <c r="S809" s="328"/>
      <c r="T809" s="328"/>
      <c r="U809" s="328"/>
      <c r="V809" s="328"/>
      <c r="W809" s="328"/>
      <c r="X809" s="328"/>
      <c r="Y809" s="328"/>
      <c r="Z809" s="328"/>
      <c r="AA809" s="328"/>
      <c r="AB809" s="328"/>
      <c r="AC809" s="328"/>
      <c r="AD809" s="328"/>
      <c r="AE809" s="328"/>
      <c r="AF809" s="328"/>
      <c r="AG809" s="328"/>
      <c r="AH809" s="328"/>
      <c r="AI809" s="328"/>
      <c r="AJ809" s="328"/>
      <c r="AK809" s="328"/>
      <c r="AL809" s="328"/>
      <c r="AM809" s="328"/>
      <c r="AN809" s="328"/>
      <c r="AO809" s="328"/>
      <c r="AP809" s="328"/>
      <c r="AQ809" s="328"/>
      <c r="AR809" s="328"/>
      <c r="AS809" s="328"/>
      <c r="AT809" s="328"/>
      <c r="AU809" s="328"/>
    </row>
    <row r="810" ht="15.75" customHeight="1">
      <c r="A810" s="328"/>
      <c r="B810" s="328"/>
      <c r="C810" s="328"/>
      <c r="D810" s="328"/>
      <c r="E810" s="328"/>
      <c r="F810" s="328"/>
      <c r="G810" s="328"/>
      <c r="H810" s="328"/>
      <c r="I810" s="328"/>
      <c r="J810" s="328"/>
      <c r="K810" s="328"/>
      <c r="L810" s="328"/>
      <c r="M810" s="328"/>
      <c r="N810" s="328"/>
      <c r="O810" s="328"/>
      <c r="P810" s="328"/>
      <c r="Q810" s="328"/>
      <c r="R810" s="328"/>
      <c r="S810" s="328"/>
      <c r="T810" s="328"/>
      <c r="U810" s="328"/>
      <c r="V810" s="328"/>
      <c r="W810" s="328"/>
      <c r="X810" s="328"/>
      <c r="Y810" s="328"/>
      <c r="Z810" s="328"/>
      <c r="AA810" s="328"/>
      <c r="AB810" s="328"/>
      <c r="AC810" s="328"/>
      <c r="AD810" s="328"/>
      <c r="AE810" s="328"/>
      <c r="AF810" s="328"/>
      <c r="AG810" s="328"/>
      <c r="AH810" s="328"/>
      <c r="AI810" s="328"/>
      <c r="AJ810" s="328"/>
      <c r="AK810" s="328"/>
      <c r="AL810" s="328"/>
      <c r="AM810" s="328"/>
      <c r="AN810" s="328"/>
      <c r="AO810" s="328"/>
      <c r="AP810" s="328"/>
      <c r="AQ810" s="328"/>
      <c r="AR810" s="328"/>
      <c r="AS810" s="328"/>
      <c r="AT810" s="328"/>
      <c r="AU810" s="328"/>
    </row>
    <row r="811" ht="15.75" customHeight="1">
      <c r="A811" s="328"/>
      <c r="B811" s="328"/>
      <c r="C811" s="328"/>
      <c r="D811" s="328"/>
      <c r="E811" s="328"/>
      <c r="F811" s="328"/>
      <c r="G811" s="328"/>
      <c r="H811" s="328"/>
      <c r="I811" s="328"/>
      <c r="J811" s="328"/>
      <c r="K811" s="328"/>
      <c r="L811" s="328"/>
      <c r="M811" s="328"/>
      <c r="N811" s="328"/>
      <c r="O811" s="328"/>
      <c r="P811" s="328"/>
      <c r="Q811" s="328"/>
      <c r="R811" s="328"/>
      <c r="S811" s="328"/>
      <c r="T811" s="328"/>
      <c r="U811" s="328"/>
      <c r="V811" s="328"/>
      <c r="W811" s="328"/>
      <c r="X811" s="328"/>
      <c r="Y811" s="328"/>
      <c r="Z811" s="328"/>
      <c r="AA811" s="328"/>
      <c r="AB811" s="328"/>
      <c r="AC811" s="328"/>
      <c r="AD811" s="328"/>
      <c r="AE811" s="328"/>
      <c r="AF811" s="328"/>
      <c r="AG811" s="328"/>
      <c r="AH811" s="328"/>
      <c r="AI811" s="328"/>
      <c r="AJ811" s="328"/>
      <c r="AK811" s="328"/>
      <c r="AL811" s="328"/>
      <c r="AM811" s="328"/>
      <c r="AN811" s="328"/>
      <c r="AO811" s="328"/>
      <c r="AP811" s="328"/>
      <c r="AQ811" s="328"/>
      <c r="AR811" s="328"/>
      <c r="AS811" s="328"/>
      <c r="AT811" s="328"/>
      <c r="AU811" s="328"/>
    </row>
    <row r="812" ht="15.75" customHeight="1">
      <c r="A812" s="328"/>
      <c r="B812" s="328"/>
      <c r="C812" s="328"/>
      <c r="D812" s="328"/>
      <c r="E812" s="328"/>
      <c r="F812" s="328"/>
      <c r="G812" s="328"/>
      <c r="H812" s="328"/>
      <c r="I812" s="328"/>
      <c r="J812" s="328"/>
      <c r="K812" s="328"/>
      <c r="L812" s="328"/>
      <c r="M812" s="328"/>
      <c r="N812" s="328"/>
      <c r="O812" s="328"/>
      <c r="P812" s="328"/>
      <c r="Q812" s="328"/>
      <c r="R812" s="328"/>
      <c r="S812" s="328"/>
      <c r="T812" s="328"/>
      <c r="U812" s="328"/>
      <c r="V812" s="328"/>
      <c r="W812" s="328"/>
      <c r="X812" s="328"/>
      <c r="Y812" s="328"/>
      <c r="Z812" s="328"/>
      <c r="AA812" s="328"/>
      <c r="AB812" s="328"/>
      <c r="AC812" s="328"/>
      <c r="AD812" s="328"/>
      <c r="AE812" s="328"/>
      <c r="AF812" s="328"/>
      <c r="AG812" s="328"/>
      <c r="AH812" s="328"/>
      <c r="AI812" s="328"/>
      <c r="AJ812" s="328"/>
      <c r="AK812" s="328"/>
      <c r="AL812" s="328"/>
      <c r="AM812" s="328"/>
      <c r="AN812" s="328"/>
      <c r="AO812" s="328"/>
      <c r="AP812" s="328"/>
      <c r="AQ812" s="328"/>
      <c r="AR812" s="328"/>
      <c r="AS812" s="328"/>
      <c r="AT812" s="328"/>
      <c r="AU812" s="328"/>
    </row>
    <row r="813" ht="15.75" customHeight="1">
      <c r="A813" s="328"/>
      <c r="B813" s="328"/>
      <c r="C813" s="328"/>
      <c r="D813" s="328"/>
      <c r="E813" s="328"/>
      <c r="F813" s="328"/>
      <c r="G813" s="328"/>
      <c r="H813" s="328"/>
      <c r="I813" s="328"/>
      <c r="J813" s="328"/>
      <c r="K813" s="328"/>
      <c r="L813" s="328"/>
      <c r="M813" s="328"/>
      <c r="N813" s="328"/>
      <c r="O813" s="328"/>
      <c r="P813" s="328"/>
      <c r="Q813" s="328"/>
      <c r="R813" s="328"/>
      <c r="S813" s="328"/>
      <c r="T813" s="328"/>
      <c r="U813" s="328"/>
      <c r="V813" s="328"/>
      <c r="W813" s="328"/>
      <c r="X813" s="328"/>
      <c r="Y813" s="328"/>
      <c r="Z813" s="328"/>
      <c r="AA813" s="328"/>
      <c r="AB813" s="328"/>
      <c r="AC813" s="328"/>
      <c r="AD813" s="328"/>
      <c r="AE813" s="328"/>
      <c r="AF813" s="328"/>
      <c r="AG813" s="328"/>
      <c r="AH813" s="328"/>
      <c r="AI813" s="328"/>
      <c r="AJ813" s="328"/>
      <c r="AK813" s="328"/>
      <c r="AL813" s="328"/>
      <c r="AM813" s="328"/>
      <c r="AN813" s="328"/>
      <c r="AO813" s="328"/>
      <c r="AP813" s="328"/>
      <c r="AQ813" s="328"/>
      <c r="AR813" s="328"/>
      <c r="AS813" s="328"/>
      <c r="AT813" s="328"/>
      <c r="AU813" s="328"/>
    </row>
    <row r="814" ht="15.75" customHeight="1">
      <c r="A814" s="328"/>
      <c r="B814" s="328"/>
      <c r="C814" s="328"/>
      <c r="D814" s="328"/>
      <c r="E814" s="328"/>
      <c r="F814" s="328"/>
      <c r="G814" s="328"/>
      <c r="H814" s="328"/>
      <c r="I814" s="328"/>
      <c r="J814" s="328"/>
      <c r="K814" s="328"/>
      <c r="L814" s="328"/>
      <c r="M814" s="328"/>
      <c r="N814" s="328"/>
      <c r="O814" s="328"/>
      <c r="P814" s="328"/>
      <c r="Q814" s="328"/>
      <c r="R814" s="328"/>
      <c r="S814" s="328"/>
      <c r="T814" s="328"/>
      <c r="U814" s="328"/>
      <c r="V814" s="328"/>
      <c r="W814" s="328"/>
      <c r="X814" s="328"/>
      <c r="Y814" s="328"/>
      <c r="Z814" s="328"/>
      <c r="AA814" s="328"/>
      <c r="AB814" s="328"/>
      <c r="AC814" s="328"/>
      <c r="AD814" s="328"/>
      <c r="AE814" s="328"/>
      <c r="AF814" s="328"/>
      <c r="AG814" s="328"/>
      <c r="AH814" s="328"/>
      <c r="AI814" s="328"/>
      <c r="AJ814" s="328"/>
      <c r="AK814" s="328"/>
      <c r="AL814" s="328"/>
      <c r="AM814" s="328"/>
      <c r="AN814" s="328"/>
      <c r="AO814" s="328"/>
      <c r="AP814" s="328"/>
      <c r="AQ814" s="328"/>
      <c r="AR814" s="328"/>
      <c r="AS814" s="328"/>
      <c r="AT814" s="328"/>
      <c r="AU814" s="328"/>
    </row>
    <row r="815" ht="15.75" customHeight="1">
      <c r="A815" s="328"/>
      <c r="B815" s="328"/>
      <c r="C815" s="328"/>
      <c r="D815" s="328"/>
      <c r="E815" s="328"/>
      <c r="F815" s="328"/>
      <c r="G815" s="328"/>
      <c r="H815" s="328"/>
      <c r="I815" s="328"/>
      <c r="J815" s="328"/>
      <c r="K815" s="328"/>
      <c r="L815" s="328"/>
      <c r="M815" s="328"/>
      <c r="N815" s="328"/>
      <c r="O815" s="328"/>
      <c r="P815" s="328"/>
      <c r="Q815" s="328"/>
      <c r="R815" s="328"/>
      <c r="S815" s="328"/>
      <c r="T815" s="328"/>
      <c r="U815" s="328"/>
      <c r="V815" s="328"/>
      <c r="W815" s="328"/>
      <c r="X815" s="328"/>
      <c r="Y815" s="328"/>
      <c r="Z815" s="328"/>
      <c r="AA815" s="328"/>
      <c r="AB815" s="328"/>
      <c r="AC815" s="328"/>
      <c r="AD815" s="328"/>
      <c r="AE815" s="328"/>
      <c r="AF815" s="328"/>
      <c r="AG815" s="328"/>
      <c r="AH815" s="328"/>
      <c r="AI815" s="328"/>
      <c r="AJ815" s="328"/>
      <c r="AK815" s="328"/>
      <c r="AL815" s="328"/>
      <c r="AM815" s="328"/>
      <c r="AN815" s="328"/>
      <c r="AO815" s="328"/>
      <c r="AP815" s="328"/>
      <c r="AQ815" s="328"/>
      <c r="AR815" s="328"/>
      <c r="AS815" s="328"/>
      <c r="AT815" s="328"/>
      <c r="AU815" s="328"/>
    </row>
    <row r="816" ht="15.75" customHeight="1">
      <c r="A816" s="328"/>
      <c r="B816" s="328"/>
      <c r="C816" s="328"/>
      <c r="D816" s="328"/>
      <c r="E816" s="328"/>
      <c r="F816" s="328"/>
      <c r="G816" s="328"/>
      <c r="H816" s="328"/>
      <c r="I816" s="328"/>
      <c r="J816" s="328"/>
      <c r="K816" s="328"/>
      <c r="L816" s="328"/>
      <c r="M816" s="328"/>
      <c r="N816" s="328"/>
      <c r="O816" s="328"/>
      <c r="P816" s="328"/>
      <c r="Q816" s="328"/>
      <c r="R816" s="328"/>
      <c r="S816" s="328"/>
      <c r="T816" s="328"/>
      <c r="U816" s="328"/>
      <c r="V816" s="328"/>
      <c r="W816" s="328"/>
      <c r="X816" s="328"/>
      <c r="Y816" s="328"/>
      <c r="Z816" s="328"/>
      <c r="AA816" s="328"/>
      <c r="AB816" s="328"/>
      <c r="AC816" s="328"/>
      <c r="AD816" s="328"/>
      <c r="AE816" s="328"/>
      <c r="AF816" s="328"/>
      <c r="AG816" s="328"/>
      <c r="AH816" s="328"/>
      <c r="AI816" s="328"/>
      <c r="AJ816" s="328"/>
      <c r="AK816" s="328"/>
      <c r="AL816" s="328"/>
      <c r="AM816" s="328"/>
      <c r="AN816" s="328"/>
      <c r="AO816" s="328"/>
      <c r="AP816" s="328"/>
      <c r="AQ816" s="328"/>
      <c r="AR816" s="328"/>
      <c r="AS816" s="328"/>
      <c r="AT816" s="328"/>
      <c r="AU816" s="328"/>
    </row>
    <row r="817" ht="15.75" customHeight="1">
      <c r="A817" s="328"/>
      <c r="B817" s="328"/>
      <c r="C817" s="328"/>
      <c r="D817" s="328"/>
      <c r="E817" s="328"/>
      <c r="F817" s="328"/>
      <c r="G817" s="328"/>
      <c r="H817" s="328"/>
      <c r="I817" s="328"/>
      <c r="J817" s="328"/>
      <c r="K817" s="328"/>
      <c r="L817" s="328"/>
      <c r="M817" s="328"/>
      <c r="N817" s="328"/>
      <c r="O817" s="328"/>
      <c r="P817" s="328"/>
      <c r="Q817" s="328"/>
      <c r="R817" s="328"/>
      <c r="S817" s="328"/>
      <c r="T817" s="328"/>
      <c r="U817" s="328"/>
      <c r="V817" s="328"/>
      <c r="W817" s="328"/>
      <c r="X817" s="328"/>
      <c r="Y817" s="328"/>
      <c r="Z817" s="328"/>
      <c r="AA817" s="328"/>
      <c r="AB817" s="328"/>
      <c r="AC817" s="328"/>
      <c r="AD817" s="328"/>
      <c r="AE817" s="328"/>
      <c r="AF817" s="328"/>
      <c r="AG817" s="328"/>
      <c r="AH817" s="328"/>
      <c r="AI817" s="328"/>
      <c r="AJ817" s="328"/>
      <c r="AK817" s="328"/>
      <c r="AL817" s="328"/>
      <c r="AM817" s="328"/>
      <c r="AN817" s="328"/>
      <c r="AO817" s="328"/>
      <c r="AP817" s="328"/>
      <c r="AQ817" s="328"/>
      <c r="AR817" s="328"/>
      <c r="AS817" s="328"/>
      <c r="AT817" s="328"/>
      <c r="AU817" s="328"/>
    </row>
    <row r="818" ht="15.75" customHeight="1">
      <c r="A818" s="328"/>
      <c r="B818" s="328"/>
      <c r="C818" s="328"/>
      <c r="D818" s="328"/>
      <c r="E818" s="328"/>
      <c r="F818" s="328"/>
      <c r="G818" s="328"/>
      <c r="H818" s="328"/>
      <c r="I818" s="328"/>
      <c r="J818" s="328"/>
      <c r="K818" s="328"/>
      <c r="L818" s="328"/>
      <c r="M818" s="328"/>
      <c r="N818" s="328"/>
      <c r="O818" s="328"/>
      <c r="P818" s="328"/>
      <c r="Q818" s="328"/>
      <c r="R818" s="328"/>
      <c r="S818" s="328"/>
      <c r="T818" s="328"/>
      <c r="U818" s="328"/>
      <c r="V818" s="328"/>
      <c r="W818" s="328"/>
      <c r="X818" s="328"/>
      <c r="Y818" s="328"/>
      <c r="Z818" s="328"/>
      <c r="AA818" s="328"/>
      <c r="AB818" s="328"/>
      <c r="AC818" s="328"/>
      <c r="AD818" s="328"/>
      <c r="AE818" s="328"/>
      <c r="AF818" s="328"/>
      <c r="AG818" s="328"/>
      <c r="AH818" s="328"/>
      <c r="AI818" s="328"/>
      <c r="AJ818" s="328"/>
      <c r="AK818" s="328"/>
      <c r="AL818" s="328"/>
      <c r="AM818" s="328"/>
      <c r="AN818" s="328"/>
      <c r="AO818" s="328"/>
      <c r="AP818" s="328"/>
      <c r="AQ818" s="328"/>
      <c r="AR818" s="328"/>
      <c r="AS818" s="328"/>
      <c r="AT818" s="328"/>
      <c r="AU818" s="328"/>
    </row>
    <row r="819" ht="15.75" customHeight="1">
      <c r="A819" s="328"/>
      <c r="B819" s="328"/>
      <c r="C819" s="328"/>
      <c r="D819" s="328"/>
      <c r="E819" s="328"/>
      <c r="F819" s="328"/>
      <c r="G819" s="328"/>
      <c r="H819" s="328"/>
      <c r="I819" s="328"/>
      <c r="J819" s="328"/>
      <c r="K819" s="328"/>
      <c r="L819" s="328"/>
      <c r="M819" s="328"/>
      <c r="N819" s="328"/>
      <c r="O819" s="328"/>
      <c r="P819" s="328"/>
      <c r="Q819" s="328"/>
      <c r="R819" s="328"/>
      <c r="S819" s="328"/>
      <c r="T819" s="328"/>
      <c r="U819" s="328"/>
      <c r="V819" s="328"/>
      <c r="W819" s="328"/>
      <c r="X819" s="328"/>
      <c r="Y819" s="328"/>
      <c r="Z819" s="328"/>
      <c r="AA819" s="328"/>
      <c r="AB819" s="328"/>
      <c r="AC819" s="328"/>
      <c r="AD819" s="328"/>
      <c r="AE819" s="328"/>
      <c r="AF819" s="328"/>
      <c r="AG819" s="328"/>
      <c r="AH819" s="328"/>
      <c r="AI819" s="328"/>
      <c r="AJ819" s="328"/>
      <c r="AK819" s="328"/>
      <c r="AL819" s="328"/>
      <c r="AM819" s="328"/>
      <c r="AN819" s="328"/>
      <c r="AO819" s="328"/>
      <c r="AP819" s="328"/>
      <c r="AQ819" s="328"/>
      <c r="AR819" s="328"/>
      <c r="AS819" s="328"/>
      <c r="AT819" s="328"/>
      <c r="AU819" s="328"/>
    </row>
    <row r="820" ht="15.75" customHeight="1">
      <c r="A820" s="328"/>
      <c r="B820" s="328"/>
      <c r="C820" s="328"/>
      <c r="D820" s="328"/>
      <c r="E820" s="328"/>
      <c r="F820" s="328"/>
      <c r="G820" s="328"/>
      <c r="H820" s="328"/>
      <c r="I820" s="328"/>
      <c r="J820" s="328"/>
      <c r="K820" s="328"/>
      <c r="L820" s="328"/>
      <c r="M820" s="328"/>
      <c r="N820" s="328"/>
      <c r="O820" s="328"/>
      <c r="P820" s="328"/>
      <c r="Q820" s="328"/>
      <c r="R820" s="328"/>
      <c r="S820" s="328"/>
      <c r="T820" s="328"/>
      <c r="U820" s="328"/>
      <c r="V820" s="328"/>
      <c r="W820" s="328"/>
      <c r="X820" s="328"/>
      <c r="Y820" s="328"/>
      <c r="Z820" s="328"/>
      <c r="AA820" s="328"/>
      <c r="AB820" s="328"/>
      <c r="AC820" s="328"/>
      <c r="AD820" s="328"/>
      <c r="AE820" s="328"/>
      <c r="AF820" s="328"/>
      <c r="AG820" s="328"/>
      <c r="AH820" s="328"/>
      <c r="AI820" s="328"/>
      <c r="AJ820" s="328"/>
      <c r="AK820" s="328"/>
      <c r="AL820" s="328"/>
      <c r="AM820" s="328"/>
      <c r="AN820" s="328"/>
      <c r="AO820" s="328"/>
      <c r="AP820" s="328"/>
      <c r="AQ820" s="328"/>
      <c r="AR820" s="328"/>
      <c r="AS820" s="328"/>
      <c r="AT820" s="328"/>
      <c r="AU820" s="328"/>
    </row>
    <row r="821" ht="15.75" customHeight="1">
      <c r="A821" s="328"/>
      <c r="B821" s="328"/>
      <c r="C821" s="328"/>
      <c r="D821" s="328"/>
      <c r="E821" s="328"/>
      <c r="F821" s="328"/>
      <c r="G821" s="328"/>
      <c r="H821" s="328"/>
      <c r="I821" s="328"/>
      <c r="J821" s="328"/>
      <c r="K821" s="328"/>
      <c r="L821" s="328"/>
      <c r="M821" s="328"/>
      <c r="N821" s="328"/>
      <c r="O821" s="328"/>
      <c r="P821" s="328"/>
      <c r="Q821" s="328"/>
      <c r="R821" s="328"/>
      <c r="S821" s="328"/>
      <c r="T821" s="328"/>
      <c r="U821" s="328"/>
      <c r="V821" s="328"/>
      <c r="W821" s="328"/>
      <c r="X821" s="328"/>
      <c r="Y821" s="328"/>
      <c r="Z821" s="328"/>
      <c r="AA821" s="328"/>
      <c r="AB821" s="328"/>
      <c r="AC821" s="328"/>
      <c r="AD821" s="328"/>
      <c r="AE821" s="328"/>
      <c r="AF821" s="328"/>
      <c r="AG821" s="328"/>
      <c r="AH821" s="328"/>
      <c r="AI821" s="328"/>
      <c r="AJ821" s="328"/>
      <c r="AK821" s="328"/>
      <c r="AL821" s="328"/>
      <c r="AM821" s="328"/>
      <c r="AN821" s="328"/>
      <c r="AO821" s="328"/>
      <c r="AP821" s="328"/>
      <c r="AQ821" s="328"/>
      <c r="AR821" s="328"/>
      <c r="AS821" s="328"/>
      <c r="AT821" s="328"/>
      <c r="AU821" s="328"/>
    </row>
    <row r="822" ht="15.75" customHeight="1">
      <c r="A822" s="328"/>
      <c r="B822" s="328"/>
      <c r="C822" s="328"/>
      <c r="D822" s="328"/>
      <c r="E822" s="328"/>
      <c r="F822" s="328"/>
      <c r="G822" s="328"/>
      <c r="H822" s="328"/>
      <c r="I822" s="328"/>
      <c r="J822" s="328"/>
      <c r="K822" s="328"/>
      <c r="L822" s="328"/>
      <c r="M822" s="328"/>
      <c r="N822" s="328"/>
      <c r="O822" s="328"/>
      <c r="P822" s="328"/>
      <c r="Q822" s="328"/>
      <c r="R822" s="328"/>
      <c r="S822" s="328"/>
      <c r="T822" s="328"/>
      <c r="U822" s="328"/>
      <c r="V822" s="328"/>
      <c r="W822" s="328"/>
      <c r="X822" s="328"/>
      <c r="Y822" s="328"/>
      <c r="Z822" s="328"/>
      <c r="AA822" s="328"/>
      <c r="AB822" s="328"/>
      <c r="AC822" s="328"/>
      <c r="AD822" s="328"/>
      <c r="AE822" s="328"/>
      <c r="AF822" s="328"/>
      <c r="AG822" s="328"/>
      <c r="AH822" s="328"/>
      <c r="AI822" s="328"/>
      <c r="AJ822" s="328"/>
      <c r="AK822" s="328"/>
      <c r="AL822" s="328"/>
      <c r="AM822" s="328"/>
      <c r="AN822" s="328"/>
      <c r="AO822" s="328"/>
      <c r="AP822" s="328"/>
      <c r="AQ822" s="328"/>
      <c r="AR822" s="328"/>
      <c r="AS822" s="328"/>
      <c r="AT822" s="328"/>
      <c r="AU822" s="328"/>
    </row>
    <row r="823" ht="15.75" customHeight="1">
      <c r="A823" s="328"/>
      <c r="B823" s="328"/>
      <c r="C823" s="328"/>
      <c r="D823" s="328"/>
      <c r="E823" s="328"/>
      <c r="F823" s="328"/>
      <c r="G823" s="328"/>
      <c r="H823" s="328"/>
      <c r="I823" s="328"/>
      <c r="J823" s="328"/>
      <c r="K823" s="328"/>
      <c r="L823" s="328"/>
      <c r="M823" s="328"/>
      <c r="N823" s="328"/>
      <c r="O823" s="328"/>
      <c r="P823" s="328"/>
      <c r="Q823" s="328"/>
      <c r="R823" s="328"/>
      <c r="S823" s="328"/>
      <c r="T823" s="328"/>
      <c r="U823" s="328"/>
      <c r="V823" s="328"/>
      <c r="W823" s="328"/>
      <c r="X823" s="328"/>
      <c r="Y823" s="328"/>
      <c r="Z823" s="328"/>
      <c r="AA823" s="328"/>
      <c r="AB823" s="328"/>
      <c r="AC823" s="328"/>
      <c r="AD823" s="328"/>
      <c r="AE823" s="328"/>
      <c r="AF823" s="328"/>
      <c r="AG823" s="328"/>
      <c r="AH823" s="328"/>
      <c r="AI823" s="328"/>
      <c r="AJ823" s="328"/>
      <c r="AK823" s="328"/>
      <c r="AL823" s="328"/>
      <c r="AM823" s="328"/>
      <c r="AN823" s="328"/>
      <c r="AO823" s="328"/>
      <c r="AP823" s="328"/>
      <c r="AQ823" s="328"/>
      <c r="AR823" s="328"/>
      <c r="AS823" s="328"/>
      <c r="AT823" s="328"/>
      <c r="AU823" s="328"/>
    </row>
    <row r="824" ht="15.75" customHeight="1">
      <c r="A824" s="328"/>
      <c r="B824" s="328"/>
      <c r="C824" s="328"/>
      <c r="D824" s="328"/>
      <c r="E824" s="328"/>
      <c r="F824" s="328"/>
      <c r="G824" s="328"/>
      <c r="H824" s="328"/>
      <c r="I824" s="328"/>
      <c r="J824" s="328"/>
      <c r="K824" s="328"/>
      <c r="L824" s="328"/>
      <c r="M824" s="328"/>
      <c r="N824" s="328"/>
      <c r="O824" s="328"/>
      <c r="P824" s="328"/>
      <c r="Q824" s="328"/>
      <c r="R824" s="328"/>
      <c r="S824" s="328"/>
      <c r="T824" s="328"/>
      <c r="U824" s="328"/>
      <c r="V824" s="328"/>
      <c r="W824" s="328"/>
      <c r="X824" s="328"/>
      <c r="Y824" s="328"/>
      <c r="Z824" s="328"/>
      <c r="AA824" s="328"/>
      <c r="AB824" s="328"/>
      <c r="AC824" s="328"/>
      <c r="AD824" s="328"/>
      <c r="AE824" s="328"/>
      <c r="AF824" s="328"/>
      <c r="AG824" s="328"/>
      <c r="AH824" s="328"/>
      <c r="AI824" s="328"/>
      <c r="AJ824" s="328"/>
      <c r="AK824" s="328"/>
      <c r="AL824" s="328"/>
      <c r="AM824" s="328"/>
      <c r="AN824" s="328"/>
      <c r="AO824" s="328"/>
      <c r="AP824" s="328"/>
      <c r="AQ824" s="328"/>
      <c r="AR824" s="328"/>
      <c r="AS824" s="328"/>
      <c r="AT824" s="328"/>
      <c r="AU824" s="328"/>
    </row>
    <row r="825" ht="15.75" customHeight="1">
      <c r="A825" s="328"/>
      <c r="B825" s="328"/>
      <c r="C825" s="328"/>
      <c r="D825" s="328"/>
      <c r="E825" s="328"/>
      <c r="F825" s="328"/>
      <c r="G825" s="328"/>
      <c r="H825" s="328"/>
      <c r="I825" s="328"/>
      <c r="J825" s="328"/>
      <c r="K825" s="328"/>
      <c r="L825" s="328"/>
      <c r="M825" s="328"/>
      <c r="N825" s="328"/>
      <c r="O825" s="328"/>
      <c r="P825" s="328"/>
      <c r="Q825" s="328"/>
      <c r="R825" s="328"/>
      <c r="S825" s="328"/>
      <c r="T825" s="328"/>
      <c r="U825" s="328"/>
      <c r="V825" s="328"/>
      <c r="W825" s="328"/>
      <c r="X825" s="328"/>
      <c r="Y825" s="328"/>
      <c r="Z825" s="328"/>
      <c r="AA825" s="328"/>
      <c r="AB825" s="328"/>
      <c r="AC825" s="328"/>
      <c r="AD825" s="328"/>
      <c r="AE825" s="328"/>
      <c r="AF825" s="328"/>
      <c r="AG825" s="328"/>
      <c r="AH825" s="328"/>
      <c r="AI825" s="328"/>
      <c r="AJ825" s="328"/>
      <c r="AK825" s="328"/>
      <c r="AL825" s="328"/>
      <c r="AM825" s="328"/>
      <c r="AN825" s="328"/>
      <c r="AO825" s="328"/>
      <c r="AP825" s="328"/>
      <c r="AQ825" s="328"/>
      <c r="AR825" s="328"/>
      <c r="AS825" s="328"/>
      <c r="AT825" s="328"/>
      <c r="AU825" s="328"/>
    </row>
    <row r="826" ht="15.75" customHeight="1">
      <c r="A826" s="328"/>
      <c r="B826" s="328"/>
      <c r="C826" s="328"/>
      <c r="D826" s="328"/>
      <c r="E826" s="328"/>
      <c r="F826" s="328"/>
      <c r="G826" s="328"/>
      <c r="H826" s="328"/>
      <c r="I826" s="328"/>
      <c r="J826" s="328"/>
      <c r="K826" s="328"/>
      <c r="L826" s="328"/>
      <c r="M826" s="328"/>
      <c r="N826" s="328"/>
      <c r="O826" s="328"/>
      <c r="P826" s="328"/>
      <c r="Q826" s="328"/>
      <c r="R826" s="328"/>
      <c r="S826" s="328"/>
      <c r="T826" s="328"/>
      <c r="U826" s="328"/>
      <c r="V826" s="328"/>
      <c r="W826" s="328"/>
      <c r="X826" s="328"/>
      <c r="Y826" s="328"/>
      <c r="Z826" s="328"/>
      <c r="AA826" s="328"/>
      <c r="AB826" s="328"/>
      <c r="AC826" s="328"/>
      <c r="AD826" s="328"/>
      <c r="AE826" s="328"/>
      <c r="AF826" s="328"/>
      <c r="AG826" s="328"/>
      <c r="AH826" s="328"/>
      <c r="AI826" s="328"/>
      <c r="AJ826" s="328"/>
      <c r="AK826" s="328"/>
      <c r="AL826" s="328"/>
      <c r="AM826" s="328"/>
      <c r="AN826" s="328"/>
      <c r="AO826" s="328"/>
      <c r="AP826" s="328"/>
      <c r="AQ826" s="328"/>
      <c r="AR826" s="328"/>
      <c r="AS826" s="328"/>
      <c r="AT826" s="328"/>
      <c r="AU826" s="328"/>
    </row>
    <row r="827" ht="15.75" customHeight="1">
      <c r="A827" s="328"/>
      <c r="B827" s="328"/>
      <c r="C827" s="328"/>
      <c r="D827" s="328"/>
      <c r="E827" s="328"/>
      <c r="F827" s="328"/>
      <c r="G827" s="328"/>
      <c r="H827" s="328"/>
      <c r="I827" s="328"/>
      <c r="J827" s="328"/>
      <c r="K827" s="328"/>
      <c r="L827" s="328"/>
      <c r="M827" s="328"/>
      <c r="N827" s="328"/>
      <c r="O827" s="328"/>
      <c r="P827" s="328"/>
      <c r="Q827" s="328"/>
      <c r="R827" s="328"/>
      <c r="S827" s="328"/>
      <c r="T827" s="328"/>
      <c r="U827" s="328"/>
      <c r="V827" s="328"/>
      <c r="W827" s="328"/>
      <c r="X827" s="328"/>
      <c r="Y827" s="328"/>
      <c r="Z827" s="328"/>
      <c r="AA827" s="328"/>
      <c r="AB827" s="328"/>
      <c r="AC827" s="328"/>
      <c r="AD827" s="328"/>
      <c r="AE827" s="328"/>
      <c r="AF827" s="328"/>
      <c r="AG827" s="328"/>
      <c r="AH827" s="328"/>
      <c r="AI827" s="328"/>
      <c r="AJ827" s="328"/>
      <c r="AK827" s="328"/>
      <c r="AL827" s="328"/>
      <c r="AM827" s="328"/>
      <c r="AN827" s="328"/>
      <c r="AO827" s="328"/>
      <c r="AP827" s="328"/>
      <c r="AQ827" s="328"/>
      <c r="AR827" s="328"/>
      <c r="AS827" s="328"/>
      <c r="AT827" s="328"/>
      <c r="AU827" s="328"/>
    </row>
    <row r="828" ht="15.75" customHeight="1">
      <c r="A828" s="328"/>
      <c r="B828" s="328"/>
      <c r="C828" s="328"/>
      <c r="D828" s="328"/>
      <c r="E828" s="328"/>
      <c r="F828" s="328"/>
      <c r="G828" s="328"/>
      <c r="H828" s="328"/>
      <c r="I828" s="328"/>
      <c r="J828" s="328"/>
      <c r="K828" s="328"/>
      <c r="L828" s="328"/>
      <c r="M828" s="328"/>
      <c r="N828" s="328"/>
      <c r="O828" s="328"/>
      <c r="P828" s="328"/>
      <c r="Q828" s="328"/>
      <c r="R828" s="328"/>
      <c r="S828" s="328"/>
      <c r="T828" s="328"/>
      <c r="U828" s="328"/>
      <c r="V828" s="328"/>
      <c r="W828" s="328"/>
      <c r="X828" s="328"/>
      <c r="Y828" s="328"/>
      <c r="Z828" s="328"/>
      <c r="AA828" s="328"/>
      <c r="AB828" s="328"/>
      <c r="AC828" s="328"/>
      <c r="AD828" s="328"/>
      <c r="AE828" s="328"/>
      <c r="AF828" s="328"/>
      <c r="AG828" s="328"/>
      <c r="AH828" s="328"/>
      <c r="AI828" s="328"/>
      <c r="AJ828" s="328"/>
      <c r="AK828" s="328"/>
      <c r="AL828" s="328"/>
      <c r="AM828" s="328"/>
      <c r="AN828" s="328"/>
      <c r="AO828" s="328"/>
      <c r="AP828" s="328"/>
      <c r="AQ828" s="328"/>
      <c r="AR828" s="328"/>
      <c r="AS828" s="328"/>
      <c r="AT828" s="328"/>
      <c r="AU828" s="328"/>
    </row>
    <row r="829" ht="15.75" customHeight="1">
      <c r="A829" s="328"/>
      <c r="B829" s="328"/>
      <c r="C829" s="328"/>
      <c r="D829" s="328"/>
      <c r="E829" s="328"/>
      <c r="F829" s="328"/>
      <c r="G829" s="328"/>
      <c r="H829" s="328"/>
      <c r="I829" s="328"/>
      <c r="J829" s="328"/>
      <c r="K829" s="328"/>
      <c r="L829" s="328"/>
      <c r="M829" s="328"/>
      <c r="N829" s="328"/>
      <c r="O829" s="328"/>
      <c r="P829" s="328"/>
      <c r="Q829" s="328"/>
      <c r="R829" s="328"/>
      <c r="S829" s="328"/>
      <c r="T829" s="328"/>
      <c r="U829" s="328"/>
      <c r="V829" s="328"/>
      <c r="W829" s="328"/>
      <c r="X829" s="328"/>
      <c r="Y829" s="328"/>
      <c r="Z829" s="328"/>
      <c r="AA829" s="328"/>
      <c r="AB829" s="328"/>
      <c r="AC829" s="328"/>
      <c r="AD829" s="328"/>
      <c r="AE829" s="328"/>
      <c r="AF829" s="328"/>
      <c r="AG829" s="328"/>
      <c r="AH829" s="328"/>
      <c r="AI829" s="328"/>
      <c r="AJ829" s="328"/>
      <c r="AK829" s="328"/>
      <c r="AL829" s="328"/>
      <c r="AM829" s="328"/>
      <c r="AN829" s="328"/>
      <c r="AO829" s="328"/>
      <c r="AP829" s="328"/>
      <c r="AQ829" s="328"/>
      <c r="AR829" s="328"/>
      <c r="AS829" s="328"/>
      <c r="AT829" s="328"/>
      <c r="AU829" s="328"/>
    </row>
    <row r="830" ht="15.75" customHeight="1">
      <c r="A830" s="328"/>
      <c r="B830" s="328"/>
      <c r="C830" s="328"/>
      <c r="D830" s="328"/>
      <c r="E830" s="328"/>
      <c r="F830" s="328"/>
      <c r="G830" s="328"/>
      <c r="H830" s="328"/>
      <c r="I830" s="328"/>
      <c r="J830" s="328"/>
      <c r="K830" s="328"/>
      <c r="L830" s="328"/>
      <c r="M830" s="328"/>
      <c r="N830" s="328"/>
      <c r="O830" s="328"/>
      <c r="P830" s="328"/>
      <c r="Q830" s="328"/>
      <c r="R830" s="328"/>
      <c r="S830" s="328"/>
      <c r="T830" s="328"/>
      <c r="U830" s="328"/>
      <c r="V830" s="328"/>
      <c r="W830" s="328"/>
      <c r="X830" s="328"/>
      <c r="Y830" s="328"/>
      <c r="Z830" s="328"/>
      <c r="AA830" s="328"/>
      <c r="AB830" s="328"/>
      <c r="AC830" s="328"/>
      <c r="AD830" s="328"/>
      <c r="AE830" s="328"/>
      <c r="AF830" s="328"/>
      <c r="AG830" s="328"/>
      <c r="AH830" s="328"/>
      <c r="AI830" s="328"/>
      <c r="AJ830" s="328"/>
      <c r="AK830" s="328"/>
      <c r="AL830" s="328"/>
      <c r="AM830" s="328"/>
      <c r="AN830" s="328"/>
      <c r="AO830" s="328"/>
      <c r="AP830" s="328"/>
      <c r="AQ830" s="328"/>
      <c r="AR830" s="328"/>
      <c r="AS830" s="328"/>
      <c r="AT830" s="328"/>
      <c r="AU830" s="328"/>
    </row>
    <row r="831" ht="15.75" customHeight="1">
      <c r="A831" s="328"/>
      <c r="B831" s="328"/>
      <c r="C831" s="328"/>
      <c r="D831" s="328"/>
      <c r="E831" s="328"/>
      <c r="F831" s="328"/>
      <c r="G831" s="328"/>
      <c r="H831" s="328"/>
      <c r="I831" s="328"/>
      <c r="J831" s="328"/>
      <c r="K831" s="328"/>
      <c r="L831" s="328"/>
      <c r="M831" s="328"/>
      <c r="N831" s="328"/>
      <c r="O831" s="328"/>
      <c r="P831" s="328"/>
      <c r="Q831" s="328"/>
      <c r="R831" s="328"/>
      <c r="S831" s="328"/>
      <c r="T831" s="328"/>
      <c r="U831" s="328"/>
      <c r="V831" s="328"/>
      <c r="W831" s="328"/>
      <c r="X831" s="328"/>
      <c r="Y831" s="328"/>
      <c r="Z831" s="328"/>
      <c r="AA831" s="328"/>
      <c r="AB831" s="328"/>
      <c r="AC831" s="328"/>
      <c r="AD831" s="328"/>
      <c r="AE831" s="328"/>
      <c r="AF831" s="328"/>
      <c r="AG831" s="328"/>
      <c r="AH831" s="328"/>
      <c r="AI831" s="328"/>
      <c r="AJ831" s="328"/>
      <c r="AK831" s="328"/>
      <c r="AL831" s="328"/>
      <c r="AM831" s="328"/>
      <c r="AN831" s="328"/>
      <c r="AO831" s="328"/>
      <c r="AP831" s="328"/>
      <c r="AQ831" s="328"/>
      <c r="AR831" s="328"/>
      <c r="AS831" s="328"/>
      <c r="AT831" s="328"/>
      <c r="AU831" s="328"/>
    </row>
    <row r="832" ht="15.75" customHeight="1">
      <c r="A832" s="328"/>
      <c r="B832" s="328"/>
      <c r="C832" s="328"/>
      <c r="D832" s="328"/>
      <c r="E832" s="328"/>
      <c r="F832" s="328"/>
      <c r="G832" s="328"/>
      <c r="H832" s="328"/>
      <c r="I832" s="328"/>
      <c r="J832" s="328"/>
      <c r="K832" s="328"/>
      <c r="L832" s="328"/>
      <c r="M832" s="328"/>
      <c r="N832" s="328"/>
      <c r="O832" s="328"/>
      <c r="P832" s="328"/>
      <c r="Q832" s="328"/>
      <c r="R832" s="328"/>
      <c r="S832" s="328"/>
      <c r="T832" s="328"/>
      <c r="U832" s="328"/>
      <c r="V832" s="328"/>
      <c r="W832" s="328"/>
      <c r="X832" s="328"/>
      <c r="Y832" s="328"/>
      <c r="Z832" s="328"/>
      <c r="AA832" s="328"/>
      <c r="AB832" s="328"/>
      <c r="AC832" s="328"/>
      <c r="AD832" s="328"/>
      <c r="AE832" s="328"/>
      <c r="AF832" s="328"/>
      <c r="AG832" s="328"/>
      <c r="AH832" s="328"/>
      <c r="AI832" s="328"/>
      <c r="AJ832" s="328"/>
      <c r="AK832" s="328"/>
      <c r="AL832" s="328"/>
      <c r="AM832" s="328"/>
      <c r="AN832" s="328"/>
      <c r="AO832" s="328"/>
      <c r="AP832" s="328"/>
      <c r="AQ832" s="328"/>
      <c r="AR832" s="328"/>
      <c r="AS832" s="328"/>
      <c r="AT832" s="328"/>
      <c r="AU832" s="328"/>
    </row>
    <row r="833" ht="15.75" customHeight="1">
      <c r="A833" s="328"/>
      <c r="B833" s="328"/>
      <c r="C833" s="328"/>
      <c r="D833" s="328"/>
      <c r="E833" s="328"/>
      <c r="F833" s="328"/>
      <c r="G833" s="328"/>
      <c r="H833" s="328"/>
      <c r="I833" s="328"/>
      <c r="J833" s="328"/>
      <c r="K833" s="328"/>
      <c r="L833" s="328"/>
      <c r="M833" s="328"/>
      <c r="N833" s="328"/>
      <c r="O833" s="328"/>
      <c r="P833" s="328"/>
      <c r="Q833" s="328"/>
      <c r="R833" s="328"/>
      <c r="S833" s="328"/>
      <c r="T833" s="328"/>
      <c r="U833" s="328"/>
      <c r="V833" s="328"/>
      <c r="W833" s="328"/>
      <c r="X833" s="328"/>
      <c r="Y833" s="328"/>
      <c r="Z833" s="328"/>
      <c r="AA833" s="328"/>
      <c r="AB833" s="328"/>
      <c r="AC833" s="328"/>
      <c r="AD833" s="328"/>
      <c r="AE833" s="328"/>
      <c r="AF833" s="328"/>
      <c r="AG833" s="328"/>
      <c r="AH833" s="328"/>
      <c r="AI833" s="328"/>
      <c r="AJ833" s="328"/>
      <c r="AK833" s="328"/>
      <c r="AL833" s="328"/>
      <c r="AM833" s="328"/>
      <c r="AN833" s="328"/>
      <c r="AO833" s="328"/>
      <c r="AP833" s="328"/>
      <c r="AQ833" s="328"/>
      <c r="AR833" s="328"/>
      <c r="AS833" s="328"/>
      <c r="AT833" s="328"/>
      <c r="AU833" s="328"/>
    </row>
    <row r="834" ht="15.75" customHeight="1">
      <c r="A834" s="328"/>
      <c r="B834" s="328"/>
      <c r="C834" s="328"/>
      <c r="D834" s="328"/>
      <c r="E834" s="328"/>
      <c r="F834" s="328"/>
      <c r="G834" s="328"/>
      <c r="H834" s="328"/>
      <c r="I834" s="328"/>
      <c r="J834" s="328"/>
      <c r="K834" s="328"/>
      <c r="L834" s="328"/>
      <c r="M834" s="328"/>
      <c r="N834" s="328"/>
      <c r="O834" s="328"/>
      <c r="P834" s="328"/>
      <c r="Q834" s="328"/>
      <c r="R834" s="328"/>
      <c r="S834" s="328"/>
      <c r="T834" s="328"/>
      <c r="U834" s="328"/>
      <c r="V834" s="328"/>
      <c r="W834" s="328"/>
      <c r="X834" s="328"/>
      <c r="Y834" s="328"/>
      <c r="Z834" s="328"/>
      <c r="AA834" s="328"/>
      <c r="AB834" s="328"/>
      <c r="AC834" s="328"/>
      <c r="AD834" s="328"/>
      <c r="AE834" s="328"/>
      <c r="AF834" s="328"/>
      <c r="AG834" s="328"/>
      <c r="AH834" s="328"/>
      <c r="AI834" s="328"/>
      <c r="AJ834" s="328"/>
      <c r="AK834" s="328"/>
      <c r="AL834" s="328"/>
      <c r="AM834" s="328"/>
      <c r="AN834" s="328"/>
      <c r="AO834" s="328"/>
      <c r="AP834" s="328"/>
      <c r="AQ834" s="328"/>
      <c r="AR834" s="328"/>
      <c r="AS834" s="328"/>
      <c r="AT834" s="328"/>
      <c r="AU834" s="328"/>
    </row>
    <row r="835" ht="15.75" customHeight="1">
      <c r="A835" s="328"/>
      <c r="B835" s="328"/>
      <c r="C835" s="328"/>
      <c r="D835" s="328"/>
      <c r="E835" s="328"/>
      <c r="F835" s="328"/>
      <c r="G835" s="328"/>
      <c r="H835" s="328"/>
      <c r="I835" s="328"/>
      <c r="J835" s="328"/>
      <c r="K835" s="328"/>
      <c r="L835" s="328"/>
      <c r="M835" s="328"/>
      <c r="N835" s="328"/>
      <c r="O835" s="328"/>
      <c r="P835" s="328"/>
      <c r="Q835" s="328"/>
      <c r="R835" s="328"/>
      <c r="S835" s="328"/>
      <c r="T835" s="328"/>
      <c r="U835" s="328"/>
      <c r="V835" s="328"/>
      <c r="W835" s="328"/>
      <c r="X835" s="328"/>
      <c r="Y835" s="328"/>
      <c r="Z835" s="328"/>
      <c r="AA835" s="328"/>
      <c r="AB835" s="328"/>
      <c r="AC835" s="328"/>
      <c r="AD835" s="328"/>
      <c r="AE835" s="328"/>
      <c r="AF835" s="328"/>
      <c r="AG835" s="328"/>
      <c r="AH835" s="328"/>
      <c r="AI835" s="328"/>
      <c r="AJ835" s="328"/>
      <c r="AK835" s="328"/>
      <c r="AL835" s="328"/>
      <c r="AM835" s="328"/>
      <c r="AN835" s="328"/>
      <c r="AO835" s="328"/>
      <c r="AP835" s="328"/>
      <c r="AQ835" s="328"/>
      <c r="AR835" s="328"/>
      <c r="AS835" s="328"/>
      <c r="AT835" s="328"/>
      <c r="AU835" s="328"/>
    </row>
    <row r="836" ht="15.75" customHeight="1">
      <c r="A836" s="328"/>
      <c r="B836" s="328"/>
      <c r="C836" s="328"/>
      <c r="D836" s="328"/>
      <c r="E836" s="328"/>
      <c r="F836" s="328"/>
      <c r="G836" s="328"/>
      <c r="H836" s="328"/>
      <c r="I836" s="328"/>
      <c r="J836" s="328"/>
      <c r="K836" s="328"/>
      <c r="L836" s="328"/>
      <c r="M836" s="328"/>
      <c r="N836" s="328"/>
      <c r="O836" s="328"/>
      <c r="P836" s="328"/>
      <c r="Q836" s="328"/>
      <c r="R836" s="328"/>
      <c r="S836" s="328"/>
      <c r="T836" s="328"/>
      <c r="U836" s="328"/>
      <c r="V836" s="328"/>
      <c r="W836" s="328"/>
      <c r="X836" s="328"/>
      <c r="Y836" s="328"/>
      <c r="Z836" s="328"/>
      <c r="AA836" s="328"/>
      <c r="AB836" s="328"/>
      <c r="AC836" s="328"/>
      <c r="AD836" s="328"/>
      <c r="AE836" s="328"/>
      <c r="AF836" s="328"/>
      <c r="AG836" s="328"/>
      <c r="AH836" s="328"/>
      <c r="AI836" s="328"/>
      <c r="AJ836" s="328"/>
      <c r="AK836" s="328"/>
      <c r="AL836" s="328"/>
      <c r="AM836" s="328"/>
      <c r="AN836" s="328"/>
      <c r="AO836" s="328"/>
      <c r="AP836" s="328"/>
      <c r="AQ836" s="328"/>
      <c r="AR836" s="328"/>
      <c r="AS836" s="328"/>
      <c r="AT836" s="328"/>
      <c r="AU836" s="328"/>
    </row>
    <row r="837" ht="15.75" customHeight="1">
      <c r="A837" s="328"/>
      <c r="B837" s="328"/>
      <c r="C837" s="328"/>
      <c r="D837" s="328"/>
      <c r="E837" s="328"/>
      <c r="F837" s="328"/>
      <c r="G837" s="328"/>
      <c r="H837" s="328"/>
      <c r="I837" s="328"/>
      <c r="J837" s="328"/>
      <c r="K837" s="328"/>
      <c r="L837" s="328"/>
      <c r="M837" s="328"/>
      <c r="N837" s="328"/>
      <c r="O837" s="328"/>
      <c r="P837" s="328"/>
      <c r="Q837" s="328"/>
      <c r="R837" s="328"/>
      <c r="S837" s="328"/>
      <c r="T837" s="328"/>
      <c r="U837" s="328"/>
      <c r="V837" s="328"/>
      <c r="W837" s="328"/>
      <c r="X837" s="328"/>
      <c r="Y837" s="328"/>
      <c r="Z837" s="328"/>
      <c r="AA837" s="328"/>
      <c r="AB837" s="328"/>
      <c r="AC837" s="328"/>
      <c r="AD837" s="328"/>
      <c r="AE837" s="328"/>
      <c r="AF837" s="328"/>
      <c r="AG837" s="328"/>
      <c r="AH837" s="328"/>
      <c r="AI837" s="328"/>
      <c r="AJ837" s="328"/>
      <c r="AK837" s="328"/>
      <c r="AL837" s="328"/>
      <c r="AM837" s="328"/>
      <c r="AN837" s="328"/>
      <c r="AO837" s="328"/>
      <c r="AP837" s="328"/>
      <c r="AQ837" s="328"/>
      <c r="AR837" s="328"/>
      <c r="AS837" s="328"/>
      <c r="AT837" s="328"/>
      <c r="AU837" s="328"/>
    </row>
    <row r="838" ht="15.75" customHeight="1">
      <c r="A838" s="328"/>
      <c r="B838" s="328"/>
      <c r="C838" s="328"/>
      <c r="D838" s="328"/>
      <c r="E838" s="328"/>
      <c r="F838" s="328"/>
      <c r="G838" s="328"/>
      <c r="H838" s="328"/>
      <c r="I838" s="328"/>
      <c r="J838" s="328"/>
      <c r="K838" s="328"/>
      <c r="L838" s="328"/>
      <c r="M838" s="328"/>
      <c r="N838" s="328"/>
      <c r="O838" s="328"/>
      <c r="P838" s="328"/>
      <c r="Q838" s="328"/>
      <c r="R838" s="328"/>
      <c r="S838" s="328"/>
      <c r="T838" s="328"/>
      <c r="U838" s="328"/>
      <c r="V838" s="328"/>
      <c r="W838" s="328"/>
      <c r="X838" s="328"/>
      <c r="Y838" s="328"/>
      <c r="Z838" s="328"/>
      <c r="AA838" s="328"/>
      <c r="AB838" s="328"/>
      <c r="AC838" s="328"/>
      <c r="AD838" s="328"/>
      <c r="AE838" s="328"/>
      <c r="AF838" s="328"/>
      <c r="AG838" s="328"/>
      <c r="AH838" s="328"/>
      <c r="AI838" s="328"/>
      <c r="AJ838" s="328"/>
      <c r="AK838" s="328"/>
      <c r="AL838" s="328"/>
      <c r="AM838" s="328"/>
      <c r="AN838" s="328"/>
      <c r="AO838" s="328"/>
      <c r="AP838" s="328"/>
      <c r="AQ838" s="328"/>
      <c r="AR838" s="328"/>
      <c r="AS838" s="328"/>
      <c r="AT838" s="328"/>
      <c r="AU838" s="328"/>
    </row>
    <row r="839" ht="15.75" customHeight="1">
      <c r="A839" s="328"/>
      <c r="B839" s="328"/>
      <c r="C839" s="328"/>
      <c r="D839" s="328"/>
      <c r="E839" s="328"/>
      <c r="F839" s="328"/>
      <c r="G839" s="328"/>
      <c r="H839" s="328"/>
      <c r="I839" s="328"/>
      <c r="J839" s="328"/>
      <c r="K839" s="328"/>
      <c r="L839" s="328"/>
      <c r="M839" s="328"/>
      <c r="N839" s="328"/>
      <c r="O839" s="328"/>
      <c r="P839" s="328"/>
      <c r="Q839" s="328"/>
      <c r="R839" s="328"/>
      <c r="S839" s="328"/>
      <c r="T839" s="328"/>
      <c r="U839" s="328"/>
      <c r="V839" s="328"/>
      <c r="W839" s="328"/>
      <c r="X839" s="328"/>
      <c r="Y839" s="328"/>
      <c r="Z839" s="328"/>
      <c r="AA839" s="328"/>
      <c r="AB839" s="328"/>
      <c r="AC839" s="328"/>
      <c r="AD839" s="328"/>
      <c r="AE839" s="328"/>
      <c r="AF839" s="328"/>
      <c r="AG839" s="328"/>
      <c r="AH839" s="328"/>
      <c r="AI839" s="328"/>
      <c r="AJ839" s="328"/>
      <c r="AK839" s="328"/>
      <c r="AL839" s="328"/>
      <c r="AM839" s="328"/>
      <c r="AN839" s="328"/>
      <c r="AO839" s="328"/>
      <c r="AP839" s="328"/>
      <c r="AQ839" s="328"/>
      <c r="AR839" s="328"/>
      <c r="AS839" s="328"/>
      <c r="AT839" s="328"/>
      <c r="AU839" s="328"/>
    </row>
    <row r="840" ht="15.75" customHeight="1">
      <c r="A840" s="328"/>
      <c r="B840" s="328"/>
      <c r="C840" s="328"/>
      <c r="D840" s="328"/>
      <c r="E840" s="328"/>
      <c r="F840" s="328"/>
      <c r="G840" s="328"/>
      <c r="H840" s="328"/>
      <c r="I840" s="328"/>
      <c r="J840" s="328"/>
      <c r="K840" s="328"/>
      <c r="L840" s="328"/>
      <c r="M840" s="328"/>
      <c r="N840" s="328"/>
      <c r="O840" s="328"/>
      <c r="P840" s="328"/>
      <c r="Q840" s="328"/>
      <c r="R840" s="328"/>
      <c r="S840" s="328"/>
      <c r="T840" s="328"/>
      <c r="U840" s="328"/>
      <c r="V840" s="328"/>
      <c r="W840" s="328"/>
      <c r="X840" s="328"/>
      <c r="Y840" s="328"/>
      <c r="Z840" s="328"/>
      <c r="AA840" s="328"/>
      <c r="AB840" s="328"/>
      <c r="AC840" s="328"/>
      <c r="AD840" s="328"/>
      <c r="AE840" s="328"/>
      <c r="AF840" s="328"/>
      <c r="AG840" s="328"/>
      <c r="AH840" s="328"/>
      <c r="AI840" s="328"/>
      <c r="AJ840" s="328"/>
      <c r="AK840" s="328"/>
      <c r="AL840" s="328"/>
      <c r="AM840" s="328"/>
      <c r="AN840" s="328"/>
      <c r="AO840" s="328"/>
      <c r="AP840" s="328"/>
      <c r="AQ840" s="328"/>
      <c r="AR840" s="328"/>
      <c r="AS840" s="328"/>
      <c r="AT840" s="328"/>
      <c r="AU840" s="328"/>
    </row>
    <row r="841" ht="15.75" customHeight="1">
      <c r="A841" s="328"/>
      <c r="B841" s="328"/>
      <c r="C841" s="328"/>
      <c r="D841" s="328"/>
      <c r="E841" s="328"/>
      <c r="F841" s="328"/>
      <c r="G841" s="328"/>
      <c r="H841" s="328"/>
      <c r="I841" s="328"/>
      <c r="J841" s="328"/>
      <c r="K841" s="328"/>
      <c r="L841" s="328"/>
      <c r="M841" s="328"/>
      <c r="N841" s="328"/>
      <c r="O841" s="328"/>
      <c r="P841" s="328"/>
      <c r="Q841" s="328"/>
      <c r="R841" s="328"/>
      <c r="S841" s="328"/>
      <c r="T841" s="328"/>
      <c r="U841" s="328"/>
      <c r="V841" s="328"/>
      <c r="W841" s="328"/>
      <c r="X841" s="328"/>
      <c r="Y841" s="328"/>
      <c r="Z841" s="328"/>
      <c r="AA841" s="328"/>
      <c r="AB841" s="328"/>
      <c r="AC841" s="328"/>
      <c r="AD841" s="328"/>
      <c r="AE841" s="328"/>
      <c r="AF841" s="328"/>
      <c r="AG841" s="328"/>
      <c r="AH841" s="328"/>
      <c r="AI841" s="328"/>
      <c r="AJ841" s="328"/>
      <c r="AK841" s="328"/>
      <c r="AL841" s="328"/>
      <c r="AM841" s="328"/>
      <c r="AN841" s="328"/>
      <c r="AO841" s="328"/>
      <c r="AP841" s="328"/>
      <c r="AQ841" s="328"/>
      <c r="AR841" s="328"/>
      <c r="AS841" s="328"/>
      <c r="AT841" s="328"/>
      <c r="AU841" s="328"/>
    </row>
    <row r="842" ht="15.75" customHeight="1">
      <c r="A842" s="328"/>
      <c r="B842" s="328"/>
      <c r="C842" s="328"/>
      <c r="D842" s="328"/>
      <c r="E842" s="328"/>
      <c r="F842" s="328"/>
      <c r="G842" s="328"/>
      <c r="H842" s="328"/>
      <c r="I842" s="328"/>
      <c r="J842" s="328"/>
      <c r="K842" s="328"/>
      <c r="L842" s="328"/>
      <c r="M842" s="328"/>
      <c r="N842" s="328"/>
      <c r="O842" s="328"/>
      <c r="P842" s="328"/>
      <c r="Q842" s="328"/>
      <c r="R842" s="328"/>
      <c r="S842" s="328"/>
      <c r="T842" s="328"/>
      <c r="U842" s="328"/>
      <c r="V842" s="328"/>
      <c r="W842" s="328"/>
      <c r="X842" s="328"/>
      <c r="Y842" s="328"/>
      <c r="Z842" s="328"/>
      <c r="AA842" s="328"/>
      <c r="AB842" s="328"/>
      <c r="AC842" s="328"/>
      <c r="AD842" s="328"/>
      <c r="AE842" s="328"/>
      <c r="AF842" s="328"/>
      <c r="AG842" s="328"/>
      <c r="AH842" s="328"/>
      <c r="AI842" s="328"/>
      <c r="AJ842" s="328"/>
      <c r="AK842" s="328"/>
      <c r="AL842" s="328"/>
      <c r="AM842" s="328"/>
      <c r="AN842" s="328"/>
      <c r="AO842" s="328"/>
      <c r="AP842" s="328"/>
      <c r="AQ842" s="328"/>
      <c r="AR842" s="328"/>
      <c r="AS842" s="328"/>
      <c r="AT842" s="328"/>
      <c r="AU842" s="328"/>
    </row>
    <row r="843" ht="15.75" customHeight="1">
      <c r="A843" s="328"/>
      <c r="B843" s="328"/>
      <c r="C843" s="328"/>
      <c r="D843" s="328"/>
      <c r="E843" s="328"/>
      <c r="F843" s="328"/>
      <c r="G843" s="328"/>
      <c r="H843" s="328"/>
      <c r="I843" s="328"/>
      <c r="J843" s="328"/>
      <c r="K843" s="328"/>
      <c r="L843" s="328"/>
      <c r="M843" s="328"/>
      <c r="N843" s="328"/>
      <c r="O843" s="328"/>
      <c r="P843" s="328"/>
      <c r="Q843" s="328"/>
      <c r="R843" s="328"/>
      <c r="S843" s="328"/>
      <c r="T843" s="328"/>
      <c r="U843" s="328"/>
      <c r="V843" s="328"/>
      <c r="W843" s="328"/>
      <c r="X843" s="328"/>
      <c r="Y843" s="328"/>
      <c r="Z843" s="328"/>
      <c r="AA843" s="328"/>
      <c r="AB843" s="328"/>
      <c r="AC843" s="328"/>
      <c r="AD843" s="328"/>
      <c r="AE843" s="328"/>
      <c r="AF843" s="328"/>
      <c r="AG843" s="328"/>
      <c r="AH843" s="328"/>
      <c r="AI843" s="328"/>
      <c r="AJ843" s="328"/>
      <c r="AK843" s="328"/>
      <c r="AL843" s="328"/>
      <c r="AM843" s="328"/>
      <c r="AN843" s="328"/>
      <c r="AO843" s="328"/>
      <c r="AP843" s="328"/>
      <c r="AQ843" s="328"/>
      <c r="AR843" s="328"/>
      <c r="AS843" s="328"/>
      <c r="AT843" s="328"/>
      <c r="AU843" s="328"/>
    </row>
    <row r="844" ht="15.75" customHeight="1">
      <c r="A844" s="328"/>
      <c r="B844" s="328"/>
      <c r="C844" s="328"/>
      <c r="D844" s="328"/>
      <c r="E844" s="328"/>
      <c r="F844" s="328"/>
      <c r="G844" s="328"/>
      <c r="H844" s="328"/>
      <c r="I844" s="328"/>
      <c r="J844" s="328"/>
      <c r="K844" s="328"/>
      <c r="L844" s="328"/>
      <c r="M844" s="328"/>
      <c r="N844" s="328"/>
      <c r="O844" s="328"/>
      <c r="P844" s="328"/>
      <c r="Q844" s="328"/>
      <c r="R844" s="328"/>
      <c r="S844" s="328"/>
      <c r="T844" s="328"/>
      <c r="U844" s="328"/>
      <c r="V844" s="328"/>
      <c r="W844" s="328"/>
      <c r="X844" s="328"/>
      <c r="Y844" s="328"/>
      <c r="Z844" s="328"/>
      <c r="AA844" s="328"/>
      <c r="AB844" s="328"/>
      <c r="AC844" s="328"/>
      <c r="AD844" s="328"/>
      <c r="AE844" s="328"/>
      <c r="AF844" s="328"/>
      <c r="AG844" s="328"/>
      <c r="AH844" s="328"/>
      <c r="AI844" s="328"/>
      <c r="AJ844" s="328"/>
      <c r="AK844" s="328"/>
      <c r="AL844" s="328"/>
      <c r="AM844" s="328"/>
      <c r="AN844" s="328"/>
      <c r="AO844" s="328"/>
      <c r="AP844" s="328"/>
      <c r="AQ844" s="328"/>
      <c r="AR844" s="328"/>
      <c r="AS844" s="328"/>
      <c r="AT844" s="328"/>
      <c r="AU844" s="328"/>
    </row>
    <row r="845" ht="15.75" customHeight="1">
      <c r="A845" s="328"/>
      <c r="B845" s="328"/>
      <c r="C845" s="328"/>
      <c r="D845" s="328"/>
      <c r="E845" s="328"/>
      <c r="F845" s="328"/>
      <c r="G845" s="328"/>
      <c r="H845" s="328"/>
      <c r="I845" s="328"/>
      <c r="J845" s="328"/>
      <c r="K845" s="328"/>
      <c r="L845" s="328"/>
      <c r="M845" s="328"/>
      <c r="N845" s="328"/>
      <c r="O845" s="328"/>
      <c r="P845" s="328"/>
      <c r="Q845" s="328"/>
      <c r="R845" s="328"/>
      <c r="S845" s="328"/>
      <c r="T845" s="328"/>
      <c r="U845" s="328"/>
      <c r="V845" s="328"/>
      <c r="W845" s="328"/>
      <c r="X845" s="328"/>
      <c r="Y845" s="328"/>
      <c r="Z845" s="328"/>
      <c r="AA845" s="328"/>
      <c r="AB845" s="328"/>
      <c r="AC845" s="328"/>
      <c r="AD845" s="328"/>
      <c r="AE845" s="328"/>
      <c r="AF845" s="328"/>
      <c r="AG845" s="328"/>
      <c r="AH845" s="328"/>
      <c r="AI845" s="328"/>
      <c r="AJ845" s="328"/>
      <c r="AK845" s="328"/>
      <c r="AL845" s="328"/>
      <c r="AM845" s="328"/>
      <c r="AN845" s="328"/>
      <c r="AO845" s="328"/>
      <c r="AP845" s="328"/>
      <c r="AQ845" s="328"/>
      <c r="AR845" s="328"/>
      <c r="AS845" s="328"/>
      <c r="AT845" s="328"/>
      <c r="AU845" s="328"/>
    </row>
    <row r="846" ht="15.75" customHeight="1">
      <c r="A846" s="328"/>
      <c r="B846" s="328"/>
      <c r="C846" s="328"/>
      <c r="D846" s="328"/>
      <c r="E846" s="328"/>
      <c r="F846" s="328"/>
      <c r="G846" s="328"/>
      <c r="H846" s="328"/>
      <c r="I846" s="328"/>
      <c r="J846" s="328"/>
      <c r="K846" s="328"/>
      <c r="L846" s="328"/>
      <c r="M846" s="328"/>
      <c r="N846" s="328"/>
      <c r="O846" s="328"/>
      <c r="P846" s="328"/>
      <c r="Q846" s="328"/>
      <c r="R846" s="328"/>
      <c r="S846" s="328"/>
      <c r="T846" s="328"/>
      <c r="U846" s="328"/>
      <c r="V846" s="328"/>
      <c r="W846" s="328"/>
      <c r="X846" s="328"/>
      <c r="Y846" s="328"/>
      <c r="Z846" s="328"/>
      <c r="AA846" s="328"/>
      <c r="AB846" s="328"/>
      <c r="AC846" s="328"/>
      <c r="AD846" s="328"/>
      <c r="AE846" s="328"/>
      <c r="AF846" s="328"/>
      <c r="AG846" s="328"/>
      <c r="AH846" s="328"/>
      <c r="AI846" s="328"/>
      <c r="AJ846" s="328"/>
      <c r="AK846" s="328"/>
      <c r="AL846" s="328"/>
      <c r="AM846" s="328"/>
      <c r="AN846" s="328"/>
      <c r="AO846" s="328"/>
      <c r="AP846" s="328"/>
      <c r="AQ846" s="328"/>
      <c r="AR846" s="328"/>
      <c r="AS846" s="328"/>
      <c r="AT846" s="328"/>
      <c r="AU846" s="328"/>
    </row>
    <row r="847" ht="15.75" customHeight="1">
      <c r="A847" s="328"/>
      <c r="B847" s="328"/>
      <c r="C847" s="328"/>
      <c r="D847" s="328"/>
      <c r="E847" s="328"/>
      <c r="F847" s="328"/>
      <c r="G847" s="328"/>
      <c r="H847" s="328"/>
      <c r="I847" s="328"/>
      <c r="J847" s="328"/>
      <c r="K847" s="328"/>
      <c r="L847" s="328"/>
      <c r="M847" s="328"/>
      <c r="N847" s="328"/>
      <c r="O847" s="328"/>
      <c r="P847" s="328"/>
      <c r="Q847" s="328"/>
      <c r="R847" s="328"/>
      <c r="S847" s="328"/>
      <c r="T847" s="328"/>
      <c r="U847" s="328"/>
      <c r="V847" s="328"/>
      <c r="W847" s="328"/>
      <c r="X847" s="328"/>
      <c r="Y847" s="328"/>
      <c r="Z847" s="328"/>
      <c r="AA847" s="328"/>
      <c r="AB847" s="328"/>
      <c r="AC847" s="328"/>
      <c r="AD847" s="328"/>
      <c r="AE847" s="328"/>
      <c r="AF847" s="328"/>
      <c r="AG847" s="328"/>
      <c r="AH847" s="328"/>
      <c r="AI847" s="328"/>
      <c r="AJ847" s="328"/>
      <c r="AK847" s="328"/>
      <c r="AL847" s="328"/>
      <c r="AM847" s="328"/>
      <c r="AN847" s="328"/>
      <c r="AO847" s="328"/>
      <c r="AP847" s="328"/>
      <c r="AQ847" s="328"/>
      <c r="AR847" s="328"/>
      <c r="AS847" s="328"/>
      <c r="AT847" s="328"/>
      <c r="AU847" s="328"/>
    </row>
    <row r="848" ht="15.75" customHeight="1">
      <c r="A848" s="328"/>
      <c r="B848" s="328"/>
      <c r="C848" s="328"/>
      <c r="D848" s="328"/>
      <c r="E848" s="328"/>
      <c r="F848" s="328"/>
      <c r="G848" s="328"/>
      <c r="H848" s="328"/>
      <c r="I848" s="328"/>
      <c r="J848" s="328"/>
      <c r="K848" s="328"/>
      <c r="L848" s="328"/>
      <c r="M848" s="328"/>
      <c r="N848" s="328"/>
      <c r="O848" s="328"/>
      <c r="P848" s="328"/>
      <c r="Q848" s="328"/>
      <c r="R848" s="328"/>
      <c r="S848" s="328"/>
      <c r="T848" s="328"/>
      <c r="U848" s="328"/>
      <c r="V848" s="328"/>
      <c r="W848" s="328"/>
      <c r="X848" s="328"/>
      <c r="Y848" s="328"/>
      <c r="Z848" s="328"/>
      <c r="AA848" s="328"/>
      <c r="AB848" s="328"/>
      <c r="AC848" s="328"/>
      <c r="AD848" s="328"/>
      <c r="AE848" s="328"/>
      <c r="AF848" s="328"/>
      <c r="AG848" s="328"/>
      <c r="AH848" s="328"/>
      <c r="AI848" s="328"/>
      <c r="AJ848" s="328"/>
      <c r="AK848" s="328"/>
      <c r="AL848" s="328"/>
      <c r="AM848" s="328"/>
      <c r="AN848" s="328"/>
      <c r="AO848" s="328"/>
      <c r="AP848" s="328"/>
      <c r="AQ848" s="328"/>
      <c r="AR848" s="328"/>
      <c r="AS848" s="328"/>
      <c r="AT848" s="328"/>
      <c r="AU848" s="328"/>
    </row>
    <row r="849" ht="15.75" customHeight="1">
      <c r="A849" s="328"/>
      <c r="B849" s="328"/>
      <c r="C849" s="328"/>
      <c r="D849" s="328"/>
      <c r="E849" s="328"/>
      <c r="F849" s="328"/>
      <c r="G849" s="328"/>
      <c r="H849" s="328"/>
      <c r="I849" s="328"/>
      <c r="J849" s="328"/>
      <c r="K849" s="328"/>
      <c r="L849" s="328"/>
      <c r="M849" s="328"/>
      <c r="N849" s="328"/>
      <c r="O849" s="328"/>
      <c r="P849" s="328"/>
      <c r="Q849" s="328"/>
      <c r="R849" s="328"/>
      <c r="S849" s="328"/>
      <c r="T849" s="328"/>
      <c r="U849" s="328"/>
      <c r="V849" s="328"/>
      <c r="W849" s="328"/>
      <c r="X849" s="328"/>
      <c r="Y849" s="328"/>
      <c r="Z849" s="328"/>
      <c r="AA849" s="328"/>
      <c r="AB849" s="328"/>
      <c r="AC849" s="328"/>
      <c r="AD849" s="328"/>
      <c r="AE849" s="328"/>
      <c r="AF849" s="328"/>
      <c r="AG849" s="328"/>
      <c r="AH849" s="328"/>
      <c r="AI849" s="328"/>
      <c r="AJ849" s="328"/>
      <c r="AK849" s="328"/>
      <c r="AL849" s="328"/>
      <c r="AM849" s="328"/>
      <c r="AN849" s="328"/>
      <c r="AO849" s="328"/>
      <c r="AP849" s="328"/>
      <c r="AQ849" s="328"/>
      <c r="AR849" s="328"/>
      <c r="AS849" s="328"/>
      <c r="AT849" s="328"/>
      <c r="AU849" s="328"/>
    </row>
    <row r="850" ht="15.75" customHeight="1">
      <c r="A850" s="328"/>
      <c r="B850" s="328"/>
      <c r="C850" s="328"/>
      <c r="D850" s="328"/>
      <c r="E850" s="328"/>
      <c r="F850" s="328"/>
      <c r="G850" s="328"/>
      <c r="H850" s="328"/>
      <c r="I850" s="328"/>
      <c r="J850" s="328"/>
      <c r="K850" s="328"/>
      <c r="L850" s="328"/>
      <c r="M850" s="328"/>
      <c r="N850" s="328"/>
      <c r="O850" s="328"/>
      <c r="P850" s="328"/>
      <c r="Q850" s="328"/>
      <c r="R850" s="328"/>
      <c r="S850" s="328"/>
      <c r="T850" s="328"/>
      <c r="U850" s="328"/>
      <c r="V850" s="328"/>
      <c r="W850" s="328"/>
      <c r="X850" s="328"/>
      <c r="Y850" s="328"/>
      <c r="Z850" s="328"/>
      <c r="AA850" s="328"/>
      <c r="AB850" s="328"/>
      <c r="AC850" s="328"/>
      <c r="AD850" s="328"/>
      <c r="AE850" s="328"/>
      <c r="AF850" s="328"/>
      <c r="AG850" s="328"/>
      <c r="AH850" s="328"/>
      <c r="AI850" s="328"/>
      <c r="AJ850" s="328"/>
      <c r="AK850" s="328"/>
      <c r="AL850" s="328"/>
      <c r="AM850" s="328"/>
      <c r="AN850" s="328"/>
      <c r="AO850" s="328"/>
      <c r="AP850" s="328"/>
      <c r="AQ850" s="328"/>
      <c r="AR850" s="328"/>
      <c r="AS850" s="328"/>
      <c r="AT850" s="328"/>
      <c r="AU850" s="328"/>
    </row>
    <row r="851" ht="15.75" customHeight="1">
      <c r="A851" s="328"/>
      <c r="B851" s="328"/>
      <c r="C851" s="328"/>
      <c r="D851" s="328"/>
      <c r="E851" s="328"/>
      <c r="F851" s="328"/>
      <c r="G851" s="328"/>
      <c r="H851" s="328"/>
      <c r="I851" s="328"/>
      <c r="J851" s="328"/>
      <c r="K851" s="328"/>
      <c r="L851" s="328"/>
      <c r="M851" s="328"/>
      <c r="N851" s="328"/>
      <c r="O851" s="328"/>
      <c r="P851" s="328"/>
      <c r="Q851" s="328"/>
      <c r="R851" s="328"/>
      <c r="S851" s="328"/>
      <c r="T851" s="328"/>
      <c r="U851" s="328"/>
      <c r="V851" s="328"/>
      <c r="W851" s="328"/>
      <c r="X851" s="328"/>
      <c r="Y851" s="328"/>
      <c r="Z851" s="328"/>
      <c r="AA851" s="328"/>
      <c r="AB851" s="328"/>
      <c r="AC851" s="328"/>
      <c r="AD851" s="328"/>
      <c r="AE851" s="328"/>
      <c r="AF851" s="328"/>
      <c r="AG851" s="328"/>
      <c r="AH851" s="328"/>
      <c r="AI851" s="328"/>
      <c r="AJ851" s="328"/>
      <c r="AK851" s="328"/>
      <c r="AL851" s="328"/>
      <c r="AM851" s="328"/>
      <c r="AN851" s="328"/>
      <c r="AO851" s="328"/>
      <c r="AP851" s="328"/>
      <c r="AQ851" s="328"/>
      <c r="AR851" s="328"/>
      <c r="AS851" s="328"/>
      <c r="AT851" s="328"/>
      <c r="AU851" s="328"/>
    </row>
    <row r="852" ht="15.75" customHeight="1">
      <c r="A852" s="328"/>
      <c r="B852" s="328"/>
      <c r="C852" s="328"/>
      <c r="D852" s="328"/>
      <c r="E852" s="328"/>
      <c r="F852" s="328"/>
      <c r="G852" s="328"/>
      <c r="H852" s="328"/>
      <c r="I852" s="328"/>
      <c r="J852" s="328"/>
      <c r="K852" s="328"/>
      <c r="L852" s="328"/>
      <c r="M852" s="328"/>
      <c r="N852" s="328"/>
      <c r="O852" s="328"/>
      <c r="P852" s="328"/>
      <c r="Q852" s="328"/>
      <c r="R852" s="328"/>
      <c r="S852" s="328"/>
      <c r="T852" s="328"/>
      <c r="U852" s="328"/>
      <c r="V852" s="328"/>
      <c r="W852" s="328"/>
      <c r="X852" s="328"/>
      <c r="Y852" s="328"/>
      <c r="Z852" s="328"/>
      <c r="AA852" s="328"/>
      <c r="AB852" s="328"/>
      <c r="AC852" s="328"/>
      <c r="AD852" s="328"/>
      <c r="AE852" s="328"/>
      <c r="AF852" s="328"/>
      <c r="AG852" s="328"/>
      <c r="AH852" s="328"/>
      <c r="AI852" s="328"/>
      <c r="AJ852" s="328"/>
      <c r="AK852" s="328"/>
      <c r="AL852" s="328"/>
      <c r="AM852" s="328"/>
      <c r="AN852" s="328"/>
      <c r="AO852" s="328"/>
      <c r="AP852" s="328"/>
      <c r="AQ852" s="328"/>
      <c r="AR852" s="328"/>
      <c r="AS852" s="328"/>
      <c r="AT852" s="328"/>
      <c r="AU852" s="328"/>
    </row>
    <row r="853" ht="15.75" customHeight="1">
      <c r="A853" s="328"/>
      <c r="B853" s="328"/>
      <c r="C853" s="328"/>
      <c r="D853" s="328"/>
      <c r="E853" s="328"/>
      <c r="F853" s="328"/>
      <c r="G853" s="328"/>
      <c r="H853" s="328"/>
      <c r="I853" s="328"/>
      <c r="J853" s="328"/>
      <c r="K853" s="328"/>
      <c r="L853" s="328"/>
      <c r="M853" s="328"/>
      <c r="N853" s="328"/>
      <c r="O853" s="328"/>
      <c r="P853" s="328"/>
      <c r="Q853" s="328"/>
      <c r="R853" s="328"/>
      <c r="S853" s="328"/>
      <c r="T853" s="328"/>
      <c r="U853" s="328"/>
      <c r="V853" s="328"/>
      <c r="W853" s="328"/>
      <c r="X853" s="328"/>
      <c r="Y853" s="328"/>
      <c r="Z853" s="328"/>
      <c r="AA853" s="328"/>
      <c r="AB853" s="328"/>
      <c r="AC853" s="328"/>
      <c r="AD853" s="328"/>
      <c r="AE853" s="328"/>
      <c r="AF853" s="328"/>
      <c r="AG853" s="328"/>
      <c r="AH853" s="328"/>
      <c r="AI853" s="328"/>
      <c r="AJ853" s="328"/>
      <c r="AK853" s="328"/>
      <c r="AL853" s="328"/>
      <c r="AM853" s="328"/>
      <c r="AN853" s="328"/>
      <c r="AO853" s="328"/>
      <c r="AP853" s="328"/>
      <c r="AQ853" s="328"/>
      <c r="AR853" s="328"/>
      <c r="AS853" s="328"/>
      <c r="AT853" s="328"/>
      <c r="AU853" s="328"/>
    </row>
    <row r="854" ht="15.75" customHeight="1">
      <c r="A854" s="328"/>
      <c r="B854" s="328"/>
      <c r="C854" s="328"/>
      <c r="D854" s="328"/>
      <c r="E854" s="328"/>
      <c r="F854" s="328"/>
      <c r="G854" s="328"/>
      <c r="H854" s="328"/>
      <c r="I854" s="328"/>
      <c r="J854" s="328"/>
      <c r="K854" s="328"/>
      <c r="L854" s="328"/>
      <c r="M854" s="328"/>
      <c r="N854" s="328"/>
      <c r="O854" s="328"/>
      <c r="P854" s="328"/>
      <c r="Q854" s="328"/>
      <c r="R854" s="328"/>
      <c r="S854" s="328"/>
      <c r="T854" s="328"/>
      <c r="U854" s="328"/>
      <c r="V854" s="328"/>
      <c r="W854" s="328"/>
      <c r="X854" s="328"/>
      <c r="Y854" s="328"/>
      <c r="Z854" s="328"/>
      <c r="AA854" s="328"/>
      <c r="AB854" s="328"/>
      <c r="AC854" s="328"/>
      <c r="AD854" s="328"/>
      <c r="AE854" s="328"/>
      <c r="AF854" s="328"/>
      <c r="AG854" s="328"/>
      <c r="AH854" s="328"/>
      <c r="AI854" s="328"/>
      <c r="AJ854" s="328"/>
      <c r="AK854" s="328"/>
      <c r="AL854" s="328"/>
      <c r="AM854" s="328"/>
      <c r="AN854" s="328"/>
      <c r="AO854" s="328"/>
      <c r="AP854" s="328"/>
      <c r="AQ854" s="328"/>
      <c r="AR854" s="328"/>
      <c r="AS854" s="328"/>
      <c r="AT854" s="328"/>
      <c r="AU854" s="328"/>
    </row>
    <row r="855" ht="15.75" customHeight="1">
      <c r="A855" s="328"/>
      <c r="B855" s="328"/>
      <c r="C855" s="328"/>
      <c r="D855" s="328"/>
      <c r="E855" s="328"/>
      <c r="F855" s="328"/>
      <c r="G855" s="328"/>
      <c r="H855" s="328"/>
      <c r="I855" s="328"/>
      <c r="J855" s="328"/>
      <c r="K855" s="328"/>
      <c r="L855" s="328"/>
      <c r="M855" s="328"/>
      <c r="N855" s="328"/>
      <c r="O855" s="328"/>
      <c r="P855" s="328"/>
      <c r="Q855" s="328"/>
      <c r="R855" s="328"/>
      <c r="S855" s="328"/>
      <c r="T855" s="328"/>
      <c r="U855" s="328"/>
      <c r="V855" s="328"/>
      <c r="W855" s="328"/>
      <c r="X855" s="328"/>
      <c r="Y855" s="328"/>
      <c r="Z855" s="328"/>
      <c r="AA855" s="328"/>
      <c r="AB855" s="328"/>
      <c r="AC855" s="328"/>
      <c r="AD855" s="328"/>
      <c r="AE855" s="328"/>
      <c r="AF855" s="328"/>
      <c r="AG855" s="328"/>
      <c r="AH855" s="328"/>
      <c r="AI855" s="328"/>
      <c r="AJ855" s="328"/>
      <c r="AK855" s="328"/>
      <c r="AL855" s="328"/>
      <c r="AM855" s="328"/>
      <c r="AN855" s="328"/>
      <c r="AO855" s="328"/>
      <c r="AP855" s="328"/>
      <c r="AQ855" s="328"/>
      <c r="AR855" s="328"/>
      <c r="AS855" s="328"/>
      <c r="AT855" s="328"/>
      <c r="AU855" s="328"/>
    </row>
    <row r="856" ht="15.75" customHeight="1">
      <c r="A856" s="328"/>
      <c r="B856" s="328"/>
      <c r="C856" s="328"/>
      <c r="D856" s="328"/>
      <c r="E856" s="328"/>
      <c r="F856" s="328"/>
      <c r="G856" s="328"/>
      <c r="H856" s="328"/>
      <c r="I856" s="328"/>
      <c r="J856" s="328"/>
      <c r="K856" s="328"/>
      <c r="L856" s="328"/>
      <c r="M856" s="328"/>
      <c r="N856" s="328"/>
      <c r="O856" s="328"/>
      <c r="P856" s="328"/>
      <c r="Q856" s="328"/>
      <c r="R856" s="328"/>
      <c r="S856" s="328"/>
      <c r="T856" s="328"/>
      <c r="U856" s="328"/>
      <c r="V856" s="328"/>
      <c r="W856" s="328"/>
      <c r="X856" s="328"/>
      <c r="Y856" s="328"/>
      <c r="Z856" s="328"/>
      <c r="AA856" s="328"/>
      <c r="AB856" s="328"/>
      <c r="AC856" s="328"/>
      <c r="AD856" s="328"/>
      <c r="AE856" s="328"/>
      <c r="AF856" s="328"/>
      <c r="AG856" s="328"/>
      <c r="AH856" s="328"/>
      <c r="AI856" s="328"/>
      <c r="AJ856" s="328"/>
      <c r="AK856" s="328"/>
      <c r="AL856" s="328"/>
      <c r="AM856" s="328"/>
      <c r="AN856" s="328"/>
      <c r="AO856" s="328"/>
      <c r="AP856" s="328"/>
      <c r="AQ856" s="328"/>
      <c r="AR856" s="328"/>
      <c r="AS856" s="328"/>
      <c r="AT856" s="328"/>
      <c r="AU856" s="328"/>
    </row>
    <row r="857" ht="15.75" customHeight="1">
      <c r="A857" s="328"/>
      <c r="B857" s="328"/>
      <c r="C857" s="328"/>
      <c r="D857" s="328"/>
      <c r="E857" s="328"/>
      <c r="F857" s="328"/>
      <c r="G857" s="328"/>
      <c r="H857" s="328"/>
      <c r="I857" s="328"/>
      <c r="J857" s="328"/>
      <c r="K857" s="328"/>
      <c r="L857" s="328"/>
      <c r="M857" s="328"/>
      <c r="N857" s="328"/>
      <c r="O857" s="328"/>
      <c r="P857" s="328"/>
      <c r="Q857" s="328"/>
      <c r="R857" s="328"/>
      <c r="S857" s="328"/>
      <c r="T857" s="328"/>
      <c r="U857" s="328"/>
      <c r="V857" s="328"/>
      <c r="W857" s="328"/>
      <c r="X857" s="328"/>
      <c r="Y857" s="328"/>
      <c r="Z857" s="328"/>
      <c r="AA857" s="328"/>
      <c r="AB857" s="328"/>
      <c r="AC857" s="328"/>
      <c r="AD857" s="328"/>
      <c r="AE857" s="328"/>
      <c r="AF857" s="328"/>
      <c r="AG857" s="328"/>
      <c r="AH857" s="328"/>
      <c r="AI857" s="328"/>
      <c r="AJ857" s="328"/>
      <c r="AK857" s="328"/>
      <c r="AL857" s="328"/>
      <c r="AM857" s="328"/>
      <c r="AN857" s="328"/>
      <c r="AO857" s="328"/>
      <c r="AP857" s="328"/>
      <c r="AQ857" s="328"/>
      <c r="AR857" s="328"/>
      <c r="AS857" s="328"/>
      <c r="AT857" s="328"/>
      <c r="AU857" s="328"/>
    </row>
    <row r="858" ht="15.75" customHeight="1">
      <c r="A858" s="328"/>
      <c r="B858" s="328"/>
      <c r="C858" s="328"/>
      <c r="D858" s="328"/>
      <c r="E858" s="328"/>
      <c r="F858" s="328"/>
      <c r="G858" s="328"/>
      <c r="H858" s="328"/>
      <c r="I858" s="328"/>
      <c r="J858" s="328"/>
      <c r="K858" s="328"/>
      <c r="L858" s="328"/>
      <c r="M858" s="328"/>
      <c r="N858" s="328"/>
      <c r="O858" s="328"/>
      <c r="P858" s="328"/>
      <c r="Q858" s="328"/>
      <c r="R858" s="328"/>
      <c r="S858" s="328"/>
      <c r="T858" s="328"/>
      <c r="U858" s="328"/>
      <c r="V858" s="328"/>
      <c r="W858" s="328"/>
      <c r="X858" s="328"/>
      <c r="Y858" s="328"/>
      <c r="Z858" s="328"/>
      <c r="AA858" s="328"/>
      <c r="AB858" s="328"/>
      <c r="AC858" s="328"/>
      <c r="AD858" s="328"/>
      <c r="AE858" s="328"/>
      <c r="AF858" s="328"/>
      <c r="AG858" s="328"/>
      <c r="AH858" s="328"/>
      <c r="AI858" s="328"/>
      <c r="AJ858" s="328"/>
      <c r="AK858" s="328"/>
      <c r="AL858" s="328"/>
      <c r="AM858" s="328"/>
      <c r="AN858" s="328"/>
      <c r="AO858" s="328"/>
      <c r="AP858" s="328"/>
      <c r="AQ858" s="328"/>
      <c r="AR858" s="328"/>
      <c r="AS858" s="328"/>
      <c r="AT858" s="328"/>
      <c r="AU858" s="328"/>
    </row>
    <row r="859" ht="15.75" customHeight="1">
      <c r="A859" s="328"/>
      <c r="B859" s="328"/>
      <c r="C859" s="328"/>
      <c r="D859" s="328"/>
      <c r="E859" s="328"/>
      <c r="F859" s="328"/>
      <c r="G859" s="328"/>
      <c r="H859" s="328"/>
      <c r="I859" s="328"/>
      <c r="J859" s="328"/>
      <c r="K859" s="328"/>
      <c r="L859" s="328"/>
      <c r="M859" s="328"/>
      <c r="N859" s="328"/>
      <c r="O859" s="328"/>
      <c r="P859" s="328"/>
      <c r="Q859" s="328"/>
      <c r="R859" s="328"/>
      <c r="S859" s="328"/>
      <c r="T859" s="328"/>
      <c r="U859" s="328"/>
      <c r="V859" s="328"/>
      <c r="W859" s="328"/>
      <c r="X859" s="328"/>
      <c r="Y859" s="328"/>
      <c r="Z859" s="328"/>
      <c r="AA859" s="328"/>
      <c r="AB859" s="328"/>
      <c r="AC859" s="328"/>
      <c r="AD859" s="328"/>
      <c r="AE859" s="328"/>
      <c r="AF859" s="328"/>
      <c r="AG859" s="328"/>
      <c r="AH859" s="328"/>
      <c r="AI859" s="328"/>
      <c r="AJ859" s="328"/>
      <c r="AK859" s="328"/>
      <c r="AL859" s="328"/>
      <c r="AM859" s="328"/>
      <c r="AN859" s="328"/>
      <c r="AO859" s="328"/>
      <c r="AP859" s="328"/>
      <c r="AQ859" s="328"/>
      <c r="AR859" s="328"/>
      <c r="AS859" s="328"/>
      <c r="AT859" s="328"/>
      <c r="AU859" s="328"/>
    </row>
    <row r="860" ht="15.75" customHeight="1">
      <c r="A860" s="328"/>
      <c r="B860" s="328"/>
      <c r="C860" s="328"/>
      <c r="D860" s="328"/>
      <c r="E860" s="328"/>
      <c r="F860" s="328"/>
      <c r="G860" s="328"/>
      <c r="H860" s="328"/>
      <c r="I860" s="328"/>
      <c r="J860" s="328"/>
      <c r="K860" s="328"/>
      <c r="L860" s="328"/>
      <c r="M860" s="328"/>
      <c r="N860" s="328"/>
      <c r="O860" s="328"/>
      <c r="P860" s="328"/>
      <c r="Q860" s="328"/>
      <c r="R860" s="328"/>
      <c r="S860" s="328"/>
      <c r="T860" s="328"/>
      <c r="U860" s="328"/>
      <c r="V860" s="328"/>
      <c r="W860" s="328"/>
      <c r="X860" s="328"/>
      <c r="Y860" s="328"/>
      <c r="Z860" s="328"/>
      <c r="AA860" s="328"/>
      <c r="AB860" s="328"/>
      <c r="AC860" s="328"/>
      <c r="AD860" s="328"/>
      <c r="AE860" s="328"/>
      <c r="AF860" s="328"/>
      <c r="AG860" s="328"/>
      <c r="AH860" s="328"/>
      <c r="AI860" s="328"/>
      <c r="AJ860" s="328"/>
      <c r="AK860" s="328"/>
      <c r="AL860" s="328"/>
      <c r="AM860" s="328"/>
      <c r="AN860" s="328"/>
      <c r="AO860" s="328"/>
      <c r="AP860" s="328"/>
      <c r="AQ860" s="328"/>
      <c r="AR860" s="328"/>
      <c r="AS860" s="328"/>
      <c r="AT860" s="328"/>
      <c r="AU860" s="328"/>
    </row>
    <row r="861" ht="15.75" customHeight="1">
      <c r="A861" s="328"/>
      <c r="B861" s="328"/>
      <c r="C861" s="328"/>
      <c r="D861" s="328"/>
      <c r="E861" s="328"/>
      <c r="F861" s="328"/>
      <c r="G861" s="328"/>
      <c r="H861" s="328"/>
      <c r="I861" s="328"/>
      <c r="J861" s="328"/>
      <c r="K861" s="328"/>
      <c r="L861" s="328"/>
      <c r="M861" s="328"/>
      <c r="N861" s="328"/>
      <c r="O861" s="328"/>
      <c r="P861" s="328"/>
      <c r="Q861" s="328"/>
      <c r="R861" s="328"/>
      <c r="S861" s="328"/>
      <c r="T861" s="328"/>
      <c r="U861" s="328"/>
      <c r="V861" s="328"/>
      <c r="W861" s="328"/>
      <c r="X861" s="328"/>
      <c r="Y861" s="328"/>
      <c r="Z861" s="328"/>
      <c r="AA861" s="328"/>
      <c r="AB861" s="328"/>
      <c r="AC861" s="328"/>
      <c r="AD861" s="328"/>
      <c r="AE861" s="328"/>
      <c r="AF861" s="328"/>
      <c r="AG861" s="328"/>
      <c r="AH861" s="328"/>
      <c r="AI861" s="328"/>
      <c r="AJ861" s="328"/>
      <c r="AK861" s="328"/>
      <c r="AL861" s="328"/>
      <c r="AM861" s="328"/>
      <c r="AN861" s="328"/>
      <c r="AO861" s="328"/>
      <c r="AP861" s="328"/>
      <c r="AQ861" s="328"/>
      <c r="AR861" s="328"/>
      <c r="AS861" s="328"/>
      <c r="AT861" s="328"/>
      <c r="AU861" s="328"/>
    </row>
    <row r="862" ht="15.75" customHeight="1">
      <c r="A862" s="328"/>
      <c r="B862" s="328"/>
      <c r="C862" s="328"/>
      <c r="D862" s="328"/>
      <c r="E862" s="328"/>
      <c r="F862" s="328"/>
      <c r="G862" s="328"/>
      <c r="H862" s="328"/>
      <c r="I862" s="328"/>
      <c r="J862" s="328"/>
      <c r="K862" s="328"/>
      <c r="L862" s="328"/>
      <c r="M862" s="328"/>
      <c r="N862" s="328"/>
      <c r="O862" s="328"/>
      <c r="P862" s="328"/>
      <c r="Q862" s="328"/>
      <c r="R862" s="328"/>
      <c r="S862" s="328"/>
      <c r="T862" s="328"/>
      <c r="U862" s="328"/>
      <c r="V862" s="328"/>
      <c r="W862" s="328"/>
      <c r="X862" s="328"/>
      <c r="Y862" s="328"/>
      <c r="Z862" s="328"/>
      <c r="AA862" s="328"/>
      <c r="AB862" s="328"/>
      <c r="AC862" s="328"/>
      <c r="AD862" s="328"/>
      <c r="AE862" s="328"/>
      <c r="AF862" s="328"/>
      <c r="AG862" s="328"/>
      <c r="AH862" s="328"/>
      <c r="AI862" s="328"/>
      <c r="AJ862" s="328"/>
      <c r="AK862" s="328"/>
      <c r="AL862" s="328"/>
      <c r="AM862" s="328"/>
      <c r="AN862" s="328"/>
      <c r="AO862" s="328"/>
      <c r="AP862" s="328"/>
      <c r="AQ862" s="328"/>
      <c r="AR862" s="328"/>
      <c r="AS862" s="328"/>
      <c r="AT862" s="328"/>
      <c r="AU862" s="328"/>
    </row>
    <row r="863" ht="15.75" customHeight="1">
      <c r="A863" s="328"/>
      <c r="B863" s="328"/>
      <c r="C863" s="328"/>
      <c r="D863" s="328"/>
      <c r="E863" s="328"/>
      <c r="F863" s="328"/>
      <c r="G863" s="328"/>
      <c r="H863" s="328"/>
      <c r="I863" s="328"/>
      <c r="J863" s="328"/>
      <c r="K863" s="328"/>
      <c r="L863" s="328"/>
      <c r="M863" s="328"/>
      <c r="N863" s="328"/>
      <c r="O863" s="328"/>
      <c r="P863" s="328"/>
      <c r="Q863" s="328"/>
      <c r="R863" s="328"/>
      <c r="S863" s="328"/>
      <c r="T863" s="328"/>
      <c r="U863" s="328"/>
      <c r="V863" s="328"/>
      <c r="W863" s="328"/>
      <c r="X863" s="328"/>
      <c r="Y863" s="328"/>
      <c r="Z863" s="328"/>
      <c r="AA863" s="328"/>
      <c r="AB863" s="328"/>
      <c r="AC863" s="328"/>
      <c r="AD863" s="328"/>
      <c r="AE863" s="328"/>
      <c r="AF863" s="328"/>
      <c r="AG863" s="328"/>
      <c r="AH863" s="328"/>
      <c r="AI863" s="328"/>
      <c r="AJ863" s="328"/>
      <c r="AK863" s="328"/>
      <c r="AL863" s="328"/>
      <c r="AM863" s="328"/>
      <c r="AN863" s="328"/>
      <c r="AO863" s="328"/>
      <c r="AP863" s="328"/>
      <c r="AQ863" s="328"/>
      <c r="AR863" s="328"/>
      <c r="AS863" s="328"/>
      <c r="AT863" s="328"/>
      <c r="AU863" s="328"/>
    </row>
    <row r="864" ht="15.75" customHeight="1">
      <c r="A864" s="328"/>
      <c r="B864" s="328"/>
      <c r="C864" s="328"/>
      <c r="D864" s="328"/>
      <c r="E864" s="328"/>
      <c r="F864" s="328"/>
      <c r="G864" s="328"/>
      <c r="H864" s="328"/>
      <c r="I864" s="328"/>
      <c r="J864" s="328"/>
      <c r="K864" s="328"/>
      <c r="L864" s="328"/>
      <c r="M864" s="328"/>
      <c r="N864" s="328"/>
      <c r="O864" s="328"/>
      <c r="P864" s="328"/>
      <c r="Q864" s="328"/>
      <c r="R864" s="328"/>
      <c r="S864" s="328"/>
      <c r="T864" s="328"/>
      <c r="U864" s="328"/>
      <c r="V864" s="328"/>
      <c r="W864" s="328"/>
      <c r="X864" s="328"/>
      <c r="Y864" s="328"/>
      <c r="Z864" s="328"/>
      <c r="AA864" s="328"/>
      <c r="AB864" s="328"/>
      <c r="AC864" s="328"/>
      <c r="AD864" s="328"/>
      <c r="AE864" s="328"/>
      <c r="AF864" s="328"/>
      <c r="AG864" s="328"/>
      <c r="AH864" s="328"/>
      <c r="AI864" s="328"/>
      <c r="AJ864" s="328"/>
      <c r="AK864" s="328"/>
      <c r="AL864" s="328"/>
      <c r="AM864" s="328"/>
      <c r="AN864" s="328"/>
      <c r="AO864" s="328"/>
      <c r="AP864" s="328"/>
      <c r="AQ864" s="328"/>
      <c r="AR864" s="328"/>
      <c r="AS864" s="328"/>
      <c r="AT864" s="328"/>
      <c r="AU864" s="328"/>
    </row>
    <row r="865" ht="15.75" customHeight="1">
      <c r="A865" s="328"/>
      <c r="B865" s="328"/>
      <c r="C865" s="328"/>
      <c r="D865" s="328"/>
      <c r="E865" s="328"/>
      <c r="F865" s="328"/>
      <c r="G865" s="328"/>
      <c r="H865" s="328"/>
      <c r="I865" s="328"/>
      <c r="J865" s="328"/>
      <c r="K865" s="328"/>
      <c r="L865" s="328"/>
      <c r="M865" s="328"/>
      <c r="N865" s="328"/>
      <c r="O865" s="328"/>
      <c r="P865" s="328"/>
      <c r="Q865" s="328"/>
      <c r="R865" s="328"/>
      <c r="S865" s="328"/>
      <c r="T865" s="328"/>
      <c r="U865" s="328"/>
      <c r="V865" s="328"/>
      <c r="W865" s="328"/>
      <c r="X865" s="328"/>
      <c r="Y865" s="328"/>
      <c r="Z865" s="328"/>
      <c r="AA865" s="328"/>
      <c r="AB865" s="328"/>
      <c r="AC865" s="328"/>
      <c r="AD865" s="328"/>
      <c r="AE865" s="328"/>
      <c r="AF865" s="328"/>
      <c r="AG865" s="328"/>
      <c r="AH865" s="328"/>
      <c r="AI865" s="328"/>
      <c r="AJ865" s="328"/>
      <c r="AK865" s="328"/>
      <c r="AL865" s="328"/>
      <c r="AM865" s="328"/>
      <c r="AN865" s="328"/>
      <c r="AO865" s="328"/>
      <c r="AP865" s="328"/>
      <c r="AQ865" s="328"/>
      <c r="AR865" s="328"/>
      <c r="AS865" s="328"/>
      <c r="AT865" s="328"/>
      <c r="AU865" s="328"/>
    </row>
    <row r="866" ht="15.75" customHeight="1">
      <c r="A866" s="328"/>
      <c r="B866" s="328"/>
      <c r="C866" s="328"/>
      <c r="D866" s="328"/>
      <c r="E866" s="328"/>
      <c r="F866" s="328"/>
      <c r="G866" s="328"/>
      <c r="H866" s="328"/>
      <c r="I866" s="328"/>
      <c r="J866" s="328"/>
      <c r="K866" s="328"/>
      <c r="L866" s="328"/>
      <c r="M866" s="328"/>
      <c r="N866" s="328"/>
      <c r="O866" s="328"/>
      <c r="P866" s="328"/>
      <c r="Q866" s="328"/>
      <c r="R866" s="328"/>
      <c r="S866" s="328"/>
      <c r="T866" s="328"/>
      <c r="U866" s="328"/>
      <c r="V866" s="328"/>
      <c r="W866" s="328"/>
      <c r="X866" s="328"/>
      <c r="Y866" s="328"/>
      <c r="Z866" s="328"/>
      <c r="AA866" s="328"/>
      <c r="AB866" s="328"/>
      <c r="AC866" s="328"/>
      <c r="AD866" s="328"/>
      <c r="AE866" s="328"/>
      <c r="AF866" s="328"/>
      <c r="AG866" s="328"/>
      <c r="AH866" s="328"/>
      <c r="AI866" s="328"/>
      <c r="AJ866" s="328"/>
      <c r="AK866" s="328"/>
      <c r="AL866" s="328"/>
      <c r="AM866" s="328"/>
      <c r="AN866" s="328"/>
      <c r="AO866" s="328"/>
      <c r="AP866" s="328"/>
      <c r="AQ866" s="328"/>
      <c r="AR866" s="328"/>
      <c r="AS866" s="328"/>
      <c r="AT866" s="328"/>
      <c r="AU866" s="328"/>
    </row>
    <row r="867" ht="15.75" customHeight="1">
      <c r="A867" s="328"/>
      <c r="B867" s="328"/>
      <c r="C867" s="328"/>
      <c r="D867" s="328"/>
      <c r="E867" s="328"/>
      <c r="F867" s="328"/>
      <c r="G867" s="328"/>
      <c r="H867" s="328"/>
      <c r="I867" s="328"/>
      <c r="J867" s="328"/>
      <c r="K867" s="328"/>
      <c r="L867" s="328"/>
      <c r="M867" s="328"/>
      <c r="N867" s="328"/>
      <c r="O867" s="328"/>
      <c r="P867" s="328"/>
      <c r="Q867" s="328"/>
      <c r="R867" s="328"/>
      <c r="S867" s="328"/>
      <c r="T867" s="328"/>
      <c r="U867" s="328"/>
      <c r="V867" s="328"/>
      <c r="W867" s="328"/>
      <c r="X867" s="328"/>
      <c r="Y867" s="328"/>
      <c r="Z867" s="328"/>
      <c r="AA867" s="328"/>
      <c r="AB867" s="328"/>
      <c r="AC867" s="328"/>
      <c r="AD867" s="328"/>
      <c r="AE867" s="328"/>
      <c r="AF867" s="328"/>
      <c r="AG867" s="328"/>
      <c r="AH867" s="328"/>
      <c r="AI867" s="328"/>
      <c r="AJ867" s="328"/>
      <c r="AK867" s="328"/>
      <c r="AL867" s="328"/>
      <c r="AM867" s="328"/>
      <c r="AN867" s="328"/>
      <c r="AO867" s="328"/>
      <c r="AP867" s="328"/>
      <c r="AQ867" s="328"/>
      <c r="AR867" s="328"/>
      <c r="AS867" s="328"/>
      <c r="AT867" s="328"/>
      <c r="AU867" s="328"/>
    </row>
    <row r="868" ht="15.75" customHeight="1">
      <c r="A868" s="328"/>
      <c r="B868" s="328"/>
      <c r="C868" s="328"/>
      <c r="D868" s="328"/>
      <c r="E868" s="328"/>
      <c r="F868" s="328"/>
      <c r="G868" s="328"/>
      <c r="H868" s="328"/>
      <c r="I868" s="328"/>
      <c r="J868" s="328"/>
      <c r="K868" s="328"/>
      <c r="L868" s="328"/>
      <c r="M868" s="328"/>
      <c r="N868" s="328"/>
      <c r="O868" s="328"/>
      <c r="P868" s="328"/>
      <c r="Q868" s="328"/>
      <c r="R868" s="328"/>
      <c r="S868" s="328"/>
      <c r="T868" s="328"/>
      <c r="U868" s="328"/>
      <c r="V868" s="328"/>
      <c r="W868" s="328"/>
      <c r="X868" s="328"/>
      <c r="Y868" s="328"/>
      <c r="Z868" s="328"/>
      <c r="AA868" s="328"/>
      <c r="AB868" s="328"/>
      <c r="AC868" s="328"/>
      <c r="AD868" s="328"/>
      <c r="AE868" s="328"/>
      <c r="AF868" s="328"/>
      <c r="AG868" s="328"/>
      <c r="AH868" s="328"/>
      <c r="AI868" s="328"/>
      <c r="AJ868" s="328"/>
      <c r="AK868" s="328"/>
      <c r="AL868" s="328"/>
      <c r="AM868" s="328"/>
      <c r="AN868" s="328"/>
      <c r="AO868" s="328"/>
      <c r="AP868" s="328"/>
      <c r="AQ868" s="328"/>
      <c r="AR868" s="328"/>
      <c r="AS868" s="328"/>
      <c r="AT868" s="328"/>
      <c r="AU868" s="328"/>
    </row>
    <row r="869" ht="15.75" customHeight="1">
      <c r="A869" s="328"/>
      <c r="B869" s="328"/>
      <c r="C869" s="328"/>
      <c r="D869" s="328"/>
      <c r="E869" s="328"/>
      <c r="F869" s="328"/>
      <c r="G869" s="328"/>
      <c r="H869" s="328"/>
      <c r="I869" s="328"/>
      <c r="J869" s="328"/>
      <c r="K869" s="328"/>
      <c r="L869" s="328"/>
      <c r="M869" s="328"/>
      <c r="N869" s="328"/>
      <c r="O869" s="328"/>
      <c r="P869" s="328"/>
      <c r="Q869" s="328"/>
      <c r="R869" s="328"/>
      <c r="S869" s="328"/>
      <c r="T869" s="328"/>
      <c r="U869" s="328"/>
      <c r="V869" s="328"/>
      <c r="W869" s="328"/>
      <c r="X869" s="328"/>
      <c r="Y869" s="328"/>
      <c r="Z869" s="328"/>
      <c r="AA869" s="328"/>
      <c r="AB869" s="328"/>
      <c r="AC869" s="328"/>
      <c r="AD869" s="328"/>
      <c r="AE869" s="328"/>
      <c r="AF869" s="328"/>
      <c r="AG869" s="328"/>
      <c r="AH869" s="328"/>
      <c r="AI869" s="328"/>
      <c r="AJ869" s="328"/>
      <c r="AK869" s="328"/>
      <c r="AL869" s="328"/>
      <c r="AM869" s="328"/>
      <c r="AN869" s="328"/>
      <c r="AO869" s="328"/>
      <c r="AP869" s="328"/>
      <c r="AQ869" s="328"/>
      <c r="AR869" s="328"/>
      <c r="AS869" s="328"/>
      <c r="AT869" s="328"/>
      <c r="AU869" s="328"/>
    </row>
    <row r="870" ht="15.75" customHeight="1">
      <c r="A870" s="328"/>
      <c r="B870" s="328"/>
      <c r="C870" s="328"/>
      <c r="D870" s="328"/>
      <c r="E870" s="328"/>
      <c r="F870" s="328"/>
      <c r="G870" s="328"/>
      <c r="H870" s="328"/>
      <c r="I870" s="328"/>
      <c r="J870" s="328"/>
      <c r="K870" s="328"/>
      <c r="L870" s="328"/>
      <c r="M870" s="328"/>
      <c r="N870" s="328"/>
      <c r="O870" s="328"/>
      <c r="P870" s="328"/>
      <c r="Q870" s="328"/>
      <c r="R870" s="328"/>
      <c r="S870" s="328"/>
      <c r="T870" s="328"/>
      <c r="U870" s="328"/>
      <c r="V870" s="328"/>
      <c r="W870" s="328"/>
      <c r="X870" s="328"/>
      <c r="Y870" s="328"/>
      <c r="Z870" s="328"/>
      <c r="AA870" s="328"/>
      <c r="AB870" s="328"/>
      <c r="AC870" s="328"/>
      <c r="AD870" s="328"/>
      <c r="AE870" s="328"/>
      <c r="AF870" s="328"/>
      <c r="AG870" s="328"/>
      <c r="AH870" s="328"/>
      <c r="AI870" s="328"/>
      <c r="AJ870" s="328"/>
      <c r="AK870" s="328"/>
      <c r="AL870" s="328"/>
      <c r="AM870" s="328"/>
      <c r="AN870" s="328"/>
      <c r="AO870" s="328"/>
      <c r="AP870" s="328"/>
      <c r="AQ870" s="328"/>
      <c r="AR870" s="328"/>
      <c r="AS870" s="328"/>
      <c r="AT870" s="328"/>
      <c r="AU870" s="328"/>
    </row>
    <row r="871" ht="15.75" customHeight="1">
      <c r="A871" s="328"/>
      <c r="B871" s="328"/>
      <c r="C871" s="328"/>
      <c r="D871" s="328"/>
      <c r="E871" s="328"/>
      <c r="F871" s="328"/>
      <c r="G871" s="328"/>
      <c r="H871" s="328"/>
      <c r="I871" s="328"/>
      <c r="J871" s="328"/>
      <c r="K871" s="328"/>
      <c r="L871" s="328"/>
      <c r="M871" s="328"/>
      <c r="N871" s="328"/>
      <c r="O871" s="328"/>
      <c r="P871" s="328"/>
      <c r="Q871" s="328"/>
      <c r="R871" s="328"/>
      <c r="S871" s="328"/>
      <c r="T871" s="328"/>
      <c r="U871" s="328"/>
      <c r="V871" s="328"/>
      <c r="W871" s="328"/>
      <c r="X871" s="328"/>
      <c r="Y871" s="328"/>
      <c r="Z871" s="328"/>
      <c r="AA871" s="328"/>
      <c r="AB871" s="328"/>
      <c r="AC871" s="328"/>
      <c r="AD871" s="328"/>
      <c r="AE871" s="328"/>
      <c r="AF871" s="328"/>
      <c r="AG871" s="328"/>
      <c r="AH871" s="328"/>
      <c r="AI871" s="328"/>
      <c r="AJ871" s="328"/>
      <c r="AK871" s="328"/>
      <c r="AL871" s="328"/>
      <c r="AM871" s="328"/>
      <c r="AN871" s="328"/>
      <c r="AO871" s="328"/>
      <c r="AP871" s="328"/>
      <c r="AQ871" s="328"/>
      <c r="AR871" s="328"/>
      <c r="AS871" s="328"/>
      <c r="AT871" s="328"/>
      <c r="AU871" s="328"/>
    </row>
    <row r="872" ht="15.75" customHeight="1">
      <c r="A872" s="328"/>
      <c r="B872" s="328"/>
      <c r="C872" s="328"/>
      <c r="D872" s="328"/>
      <c r="E872" s="328"/>
      <c r="F872" s="328"/>
      <c r="G872" s="328"/>
      <c r="H872" s="328"/>
      <c r="I872" s="328"/>
      <c r="J872" s="328"/>
      <c r="K872" s="328"/>
      <c r="L872" s="328"/>
      <c r="M872" s="328"/>
      <c r="N872" s="328"/>
      <c r="O872" s="328"/>
      <c r="P872" s="328"/>
      <c r="Q872" s="328"/>
      <c r="R872" s="328"/>
      <c r="S872" s="328"/>
      <c r="T872" s="328"/>
      <c r="U872" s="328"/>
      <c r="V872" s="328"/>
      <c r="W872" s="328"/>
      <c r="X872" s="328"/>
      <c r="Y872" s="328"/>
      <c r="Z872" s="328"/>
      <c r="AA872" s="328"/>
      <c r="AB872" s="328"/>
      <c r="AC872" s="328"/>
      <c r="AD872" s="328"/>
      <c r="AE872" s="328"/>
      <c r="AF872" s="328"/>
      <c r="AG872" s="328"/>
      <c r="AH872" s="328"/>
      <c r="AI872" s="328"/>
      <c r="AJ872" s="328"/>
      <c r="AK872" s="328"/>
      <c r="AL872" s="328"/>
      <c r="AM872" s="328"/>
      <c r="AN872" s="328"/>
      <c r="AO872" s="328"/>
      <c r="AP872" s="328"/>
      <c r="AQ872" s="328"/>
      <c r="AR872" s="328"/>
      <c r="AS872" s="328"/>
      <c r="AT872" s="328"/>
      <c r="AU872" s="328"/>
    </row>
    <row r="873" ht="15.75" customHeight="1">
      <c r="A873" s="328"/>
      <c r="B873" s="328"/>
      <c r="C873" s="328"/>
      <c r="D873" s="328"/>
      <c r="E873" s="328"/>
      <c r="F873" s="328"/>
      <c r="G873" s="328"/>
      <c r="H873" s="328"/>
      <c r="I873" s="328"/>
      <c r="J873" s="328"/>
      <c r="K873" s="328"/>
      <c r="L873" s="328"/>
      <c r="M873" s="328"/>
      <c r="N873" s="328"/>
      <c r="O873" s="328"/>
      <c r="P873" s="328"/>
      <c r="Q873" s="328"/>
      <c r="R873" s="328"/>
      <c r="S873" s="328"/>
      <c r="T873" s="328"/>
      <c r="U873" s="328"/>
      <c r="V873" s="328"/>
      <c r="W873" s="328"/>
      <c r="X873" s="328"/>
      <c r="Y873" s="328"/>
      <c r="Z873" s="328"/>
      <c r="AA873" s="328"/>
      <c r="AB873" s="328"/>
      <c r="AC873" s="328"/>
      <c r="AD873" s="328"/>
      <c r="AE873" s="328"/>
      <c r="AF873" s="328"/>
      <c r="AG873" s="328"/>
      <c r="AH873" s="328"/>
      <c r="AI873" s="328"/>
      <c r="AJ873" s="328"/>
      <c r="AK873" s="328"/>
      <c r="AL873" s="328"/>
      <c r="AM873" s="328"/>
      <c r="AN873" s="328"/>
      <c r="AO873" s="328"/>
      <c r="AP873" s="328"/>
      <c r="AQ873" s="328"/>
      <c r="AR873" s="328"/>
      <c r="AS873" s="328"/>
      <c r="AT873" s="328"/>
      <c r="AU873" s="328"/>
    </row>
    <row r="874" ht="15.75" customHeight="1">
      <c r="A874" s="328"/>
      <c r="B874" s="328"/>
      <c r="C874" s="328"/>
      <c r="D874" s="328"/>
      <c r="E874" s="328"/>
      <c r="F874" s="328"/>
      <c r="G874" s="328"/>
      <c r="H874" s="328"/>
      <c r="I874" s="328"/>
      <c r="J874" s="328"/>
      <c r="K874" s="328"/>
      <c r="L874" s="328"/>
      <c r="M874" s="328"/>
      <c r="N874" s="328"/>
      <c r="O874" s="328"/>
      <c r="P874" s="328"/>
      <c r="Q874" s="328"/>
      <c r="R874" s="328"/>
      <c r="S874" s="328"/>
      <c r="T874" s="328"/>
      <c r="U874" s="328"/>
      <c r="V874" s="328"/>
      <c r="W874" s="328"/>
      <c r="X874" s="328"/>
      <c r="Y874" s="328"/>
      <c r="Z874" s="328"/>
      <c r="AA874" s="328"/>
      <c r="AB874" s="328"/>
      <c r="AC874" s="328"/>
      <c r="AD874" s="328"/>
      <c r="AE874" s="328"/>
      <c r="AF874" s="328"/>
      <c r="AG874" s="328"/>
      <c r="AH874" s="328"/>
      <c r="AI874" s="328"/>
      <c r="AJ874" s="328"/>
      <c r="AK874" s="328"/>
      <c r="AL874" s="328"/>
      <c r="AM874" s="328"/>
      <c r="AN874" s="328"/>
      <c r="AO874" s="328"/>
      <c r="AP874" s="328"/>
      <c r="AQ874" s="328"/>
      <c r="AR874" s="328"/>
      <c r="AS874" s="328"/>
      <c r="AT874" s="328"/>
      <c r="AU874" s="328"/>
    </row>
    <row r="875" ht="15.75" customHeight="1">
      <c r="A875" s="328"/>
      <c r="B875" s="328"/>
      <c r="C875" s="328"/>
      <c r="D875" s="328"/>
      <c r="E875" s="328"/>
      <c r="F875" s="328"/>
      <c r="G875" s="328"/>
      <c r="H875" s="328"/>
      <c r="I875" s="328"/>
      <c r="J875" s="328"/>
      <c r="K875" s="328"/>
      <c r="L875" s="328"/>
      <c r="M875" s="328"/>
      <c r="N875" s="328"/>
      <c r="O875" s="328"/>
      <c r="P875" s="328"/>
      <c r="Q875" s="328"/>
      <c r="R875" s="328"/>
      <c r="S875" s="328"/>
      <c r="T875" s="328"/>
      <c r="U875" s="328"/>
      <c r="V875" s="328"/>
      <c r="W875" s="328"/>
      <c r="X875" s="328"/>
      <c r="Y875" s="328"/>
      <c r="Z875" s="328"/>
      <c r="AA875" s="328"/>
      <c r="AB875" s="328"/>
      <c r="AC875" s="328"/>
      <c r="AD875" s="328"/>
      <c r="AE875" s="328"/>
      <c r="AF875" s="328"/>
      <c r="AG875" s="328"/>
      <c r="AH875" s="328"/>
      <c r="AI875" s="328"/>
      <c r="AJ875" s="328"/>
      <c r="AK875" s="328"/>
      <c r="AL875" s="328"/>
      <c r="AM875" s="328"/>
      <c r="AN875" s="328"/>
      <c r="AO875" s="328"/>
      <c r="AP875" s="328"/>
      <c r="AQ875" s="328"/>
      <c r="AR875" s="328"/>
      <c r="AS875" s="328"/>
      <c r="AT875" s="328"/>
      <c r="AU875" s="328"/>
    </row>
    <row r="876" ht="15.75" customHeight="1">
      <c r="A876" s="328"/>
      <c r="B876" s="328"/>
      <c r="C876" s="328"/>
      <c r="D876" s="328"/>
      <c r="E876" s="328"/>
      <c r="F876" s="328"/>
      <c r="G876" s="328"/>
      <c r="H876" s="328"/>
      <c r="I876" s="328"/>
      <c r="J876" s="328"/>
      <c r="K876" s="328"/>
      <c r="L876" s="328"/>
      <c r="M876" s="328"/>
      <c r="N876" s="328"/>
      <c r="O876" s="328"/>
      <c r="P876" s="328"/>
      <c r="Q876" s="328"/>
      <c r="R876" s="328"/>
      <c r="S876" s="328"/>
      <c r="T876" s="328"/>
      <c r="U876" s="328"/>
      <c r="V876" s="328"/>
      <c r="W876" s="328"/>
      <c r="X876" s="328"/>
      <c r="Y876" s="328"/>
      <c r="Z876" s="328"/>
      <c r="AA876" s="328"/>
      <c r="AB876" s="328"/>
      <c r="AC876" s="328"/>
      <c r="AD876" s="328"/>
      <c r="AE876" s="328"/>
      <c r="AF876" s="328"/>
      <c r="AG876" s="328"/>
      <c r="AH876" s="328"/>
      <c r="AI876" s="328"/>
      <c r="AJ876" s="328"/>
      <c r="AK876" s="328"/>
      <c r="AL876" s="328"/>
      <c r="AM876" s="328"/>
      <c r="AN876" s="328"/>
      <c r="AO876" s="328"/>
      <c r="AP876" s="328"/>
      <c r="AQ876" s="328"/>
      <c r="AR876" s="328"/>
      <c r="AS876" s="328"/>
      <c r="AT876" s="328"/>
      <c r="AU876" s="328"/>
    </row>
    <row r="877" ht="15.75" customHeight="1">
      <c r="A877" s="328"/>
      <c r="B877" s="328"/>
      <c r="C877" s="328"/>
      <c r="D877" s="328"/>
      <c r="E877" s="328"/>
      <c r="F877" s="328"/>
      <c r="G877" s="328"/>
      <c r="H877" s="328"/>
      <c r="I877" s="328"/>
      <c r="J877" s="328"/>
      <c r="K877" s="328"/>
      <c r="L877" s="328"/>
      <c r="M877" s="328"/>
      <c r="N877" s="328"/>
      <c r="O877" s="328"/>
      <c r="P877" s="328"/>
      <c r="Q877" s="328"/>
      <c r="R877" s="328"/>
      <c r="S877" s="328"/>
      <c r="T877" s="328"/>
      <c r="U877" s="328"/>
      <c r="V877" s="328"/>
      <c r="W877" s="328"/>
      <c r="X877" s="328"/>
      <c r="Y877" s="328"/>
      <c r="Z877" s="328"/>
      <c r="AA877" s="328"/>
      <c r="AB877" s="328"/>
      <c r="AC877" s="328"/>
      <c r="AD877" s="328"/>
      <c r="AE877" s="328"/>
      <c r="AF877" s="328"/>
      <c r="AG877" s="328"/>
      <c r="AH877" s="328"/>
      <c r="AI877" s="328"/>
      <c r="AJ877" s="328"/>
      <c r="AK877" s="328"/>
      <c r="AL877" s="328"/>
      <c r="AM877" s="328"/>
      <c r="AN877" s="328"/>
      <c r="AO877" s="328"/>
      <c r="AP877" s="328"/>
      <c r="AQ877" s="328"/>
      <c r="AR877" s="328"/>
      <c r="AS877" s="328"/>
      <c r="AT877" s="328"/>
      <c r="AU877" s="328"/>
    </row>
    <row r="878" ht="15.75" customHeight="1">
      <c r="A878" s="328"/>
      <c r="B878" s="328"/>
      <c r="C878" s="328"/>
      <c r="D878" s="328"/>
      <c r="E878" s="328"/>
      <c r="F878" s="328"/>
      <c r="G878" s="328"/>
      <c r="H878" s="328"/>
      <c r="I878" s="328"/>
      <c r="J878" s="328"/>
      <c r="K878" s="328"/>
      <c r="L878" s="328"/>
      <c r="M878" s="328"/>
      <c r="N878" s="328"/>
      <c r="O878" s="328"/>
      <c r="P878" s="328"/>
      <c r="Q878" s="328"/>
      <c r="R878" s="328"/>
      <c r="S878" s="328"/>
      <c r="T878" s="328"/>
      <c r="U878" s="328"/>
      <c r="V878" s="328"/>
      <c r="W878" s="328"/>
      <c r="X878" s="328"/>
      <c r="Y878" s="328"/>
      <c r="Z878" s="328"/>
      <c r="AA878" s="328"/>
      <c r="AB878" s="328"/>
      <c r="AC878" s="328"/>
      <c r="AD878" s="328"/>
      <c r="AE878" s="328"/>
      <c r="AF878" s="328"/>
      <c r="AG878" s="328"/>
      <c r="AH878" s="328"/>
      <c r="AI878" s="328"/>
      <c r="AJ878" s="328"/>
      <c r="AK878" s="328"/>
      <c r="AL878" s="328"/>
      <c r="AM878" s="328"/>
      <c r="AN878" s="328"/>
      <c r="AO878" s="328"/>
      <c r="AP878" s="328"/>
      <c r="AQ878" s="328"/>
      <c r="AR878" s="328"/>
      <c r="AS878" s="328"/>
      <c r="AT878" s="328"/>
      <c r="AU878" s="328"/>
    </row>
    <row r="879" ht="15.75" customHeight="1">
      <c r="A879" s="328"/>
      <c r="B879" s="328"/>
      <c r="C879" s="328"/>
      <c r="D879" s="328"/>
      <c r="E879" s="328"/>
      <c r="F879" s="328"/>
      <c r="G879" s="328"/>
      <c r="H879" s="328"/>
      <c r="I879" s="328"/>
      <c r="J879" s="328"/>
      <c r="K879" s="328"/>
      <c r="L879" s="328"/>
      <c r="M879" s="328"/>
      <c r="N879" s="328"/>
      <c r="O879" s="328"/>
      <c r="P879" s="328"/>
      <c r="Q879" s="328"/>
      <c r="R879" s="328"/>
      <c r="S879" s="328"/>
      <c r="T879" s="328"/>
      <c r="U879" s="328"/>
      <c r="V879" s="328"/>
      <c r="W879" s="328"/>
      <c r="X879" s="328"/>
      <c r="Y879" s="328"/>
      <c r="Z879" s="328"/>
      <c r="AA879" s="328"/>
      <c r="AB879" s="328"/>
      <c r="AC879" s="328"/>
      <c r="AD879" s="328"/>
      <c r="AE879" s="328"/>
      <c r="AF879" s="328"/>
      <c r="AG879" s="328"/>
      <c r="AH879" s="328"/>
      <c r="AI879" s="328"/>
      <c r="AJ879" s="328"/>
      <c r="AK879" s="328"/>
      <c r="AL879" s="328"/>
      <c r="AM879" s="328"/>
      <c r="AN879" s="328"/>
      <c r="AO879" s="328"/>
      <c r="AP879" s="328"/>
      <c r="AQ879" s="328"/>
      <c r="AR879" s="328"/>
      <c r="AS879" s="328"/>
      <c r="AT879" s="328"/>
      <c r="AU879" s="328"/>
    </row>
    <row r="880" ht="15.75" customHeight="1">
      <c r="A880" s="328"/>
      <c r="B880" s="328"/>
      <c r="C880" s="328"/>
      <c r="D880" s="328"/>
      <c r="E880" s="328"/>
      <c r="F880" s="328"/>
      <c r="G880" s="328"/>
      <c r="H880" s="328"/>
      <c r="I880" s="328"/>
      <c r="J880" s="328"/>
      <c r="K880" s="328"/>
      <c r="L880" s="328"/>
      <c r="M880" s="328"/>
      <c r="N880" s="328"/>
      <c r="O880" s="328"/>
      <c r="P880" s="328"/>
      <c r="Q880" s="328"/>
      <c r="R880" s="328"/>
      <c r="S880" s="328"/>
      <c r="T880" s="328"/>
      <c r="U880" s="328"/>
      <c r="V880" s="328"/>
      <c r="W880" s="328"/>
      <c r="X880" s="328"/>
      <c r="Y880" s="328"/>
      <c r="Z880" s="328"/>
      <c r="AA880" s="328"/>
      <c r="AB880" s="328"/>
      <c r="AC880" s="328"/>
      <c r="AD880" s="328"/>
      <c r="AE880" s="328"/>
      <c r="AF880" s="328"/>
      <c r="AG880" s="328"/>
      <c r="AH880" s="328"/>
      <c r="AI880" s="328"/>
      <c r="AJ880" s="328"/>
      <c r="AK880" s="328"/>
      <c r="AL880" s="328"/>
      <c r="AM880" s="328"/>
      <c r="AN880" s="328"/>
      <c r="AO880" s="328"/>
      <c r="AP880" s="328"/>
      <c r="AQ880" s="328"/>
      <c r="AR880" s="328"/>
      <c r="AS880" s="328"/>
      <c r="AT880" s="328"/>
      <c r="AU880" s="328"/>
    </row>
    <row r="881" ht="15.75" customHeight="1">
      <c r="A881" s="328"/>
      <c r="B881" s="328"/>
      <c r="C881" s="328"/>
      <c r="D881" s="328"/>
      <c r="E881" s="328"/>
      <c r="F881" s="328"/>
      <c r="G881" s="328"/>
      <c r="H881" s="328"/>
      <c r="I881" s="328"/>
      <c r="J881" s="328"/>
      <c r="K881" s="328"/>
      <c r="L881" s="328"/>
      <c r="M881" s="328"/>
      <c r="N881" s="328"/>
      <c r="O881" s="328"/>
      <c r="P881" s="328"/>
      <c r="Q881" s="328"/>
      <c r="R881" s="328"/>
      <c r="S881" s="328"/>
      <c r="T881" s="328"/>
      <c r="U881" s="328"/>
      <c r="V881" s="328"/>
      <c r="W881" s="328"/>
      <c r="X881" s="328"/>
      <c r="Y881" s="328"/>
      <c r="Z881" s="328"/>
      <c r="AA881" s="328"/>
      <c r="AB881" s="328"/>
      <c r="AC881" s="328"/>
      <c r="AD881" s="328"/>
      <c r="AE881" s="328"/>
      <c r="AF881" s="328"/>
      <c r="AG881" s="328"/>
      <c r="AH881" s="328"/>
      <c r="AI881" s="328"/>
      <c r="AJ881" s="328"/>
      <c r="AK881" s="328"/>
      <c r="AL881" s="328"/>
      <c r="AM881" s="328"/>
      <c r="AN881" s="328"/>
      <c r="AO881" s="328"/>
      <c r="AP881" s="328"/>
      <c r="AQ881" s="328"/>
      <c r="AR881" s="328"/>
      <c r="AS881" s="328"/>
      <c r="AT881" s="328"/>
      <c r="AU881" s="328"/>
    </row>
    <row r="882" ht="15.75" customHeight="1">
      <c r="A882" s="328"/>
      <c r="B882" s="328"/>
      <c r="C882" s="328"/>
      <c r="D882" s="328"/>
      <c r="E882" s="328"/>
      <c r="F882" s="328"/>
      <c r="G882" s="328"/>
      <c r="H882" s="328"/>
      <c r="I882" s="328"/>
      <c r="J882" s="328"/>
      <c r="K882" s="328"/>
      <c r="L882" s="328"/>
      <c r="M882" s="328"/>
      <c r="N882" s="328"/>
      <c r="O882" s="328"/>
      <c r="P882" s="328"/>
      <c r="Q882" s="328"/>
      <c r="R882" s="328"/>
      <c r="S882" s="328"/>
      <c r="T882" s="328"/>
      <c r="U882" s="328"/>
      <c r="V882" s="328"/>
      <c r="W882" s="328"/>
      <c r="X882" s="328"/>
      <c r="Y882" s="328"/>
      <c r="Z882" s="328"/>
      <c r="AA882" s="328"/>
      <c r="AB882" s="328"/>
      <c r="AC882" s="328"/>
      <c r="AD882" s="328"/>
      <c r="AE882" s="328"/>
      <c r="AF882" s="328"/>
      <c r="AG882" s="328"/>
      <c r="AH882" s="328"/>
      <c r="AI882" s="328"/>
      <c r="AJ882" s="328"/>
      <c r="AK882" s="328"/>
      <c r="AL882" s="328"/>
      <c r="AM882" s="328"/>
      <c r="AN882" s="328"/>
      <c r="AO882" s="328"/>
      <c r="AP882" s="328"/>
      <c r="AQ882" s="328"/>
      <c r="AR882" s="328"/>
      <c r="AS882" s="328"/>
      <c r="AT882" s="328"/>
      <c r="AU882" s="328"/>
    </row>
    <row r="883" ht="15.75" customHeight="1">
      <c r="A883" s="328"/>
      <c r="B883" s="328"/>
      <c r="C883" s="328"/>
      <c r="D883" s="328"/>
      <c r="E883" s="328"/>
      <c r="F883" s="328"/>
      <c r="G883" s="328"/>
      <c r="H883" s="328"/>
      <c r="I883" s="328"/>
      <c r="J883" s="328"/>
      <c r="K883" s="328"/>
      <c r="L883" s="328"/>
      <c r="M883" s="328"/>
      <c r="N883" s="328"/>
      <c r="O883" s="328"/>
      <c r="P883" s="328"/>
      <c r="Q883" s="328"/>
      <c r="R883" s="328"/>
      <c r="S883" s="328"/>
      <c r="T883" s="328"/>
      <c r="U883" s="328"/>
      <c r="V883" s="328"/>
      <c r="W883" s="328"/>
      <c r="X883" s="328"/>
      <c r="Y883" s="328"/>
      <c r="Z883" s="328"/>
      <c r="AA883" s="328"/>
      <c r="AB883" s="328"/>
      <c r="AC883" s="328"/>
      <c r="AD883" s="328"/>
      <c r="AE883" s="328"/>
      <c r="AF883" s="328"/>
      <c r="AG883" s="328"/>
      <c r="AH883" s="328"/>
      <c r="AI883" s="328"/>
      <c r="AJ883" s="328"/>
      <c r="AK883" s="328"/>
      <c r="AL883" s="328"/>
      <c r="AM883" s="328"/>
      <c r="AN883" s="328"/>
      <c r="AO883" s="328"/>
      <c r="AP883" s="328"/>
      <c r="AQ883" s="328"/>
      <c r="AR883" s="328"/>
      <c r="AS883" s="328"/>
      <c r="AT883" s="328"/>
      <c r="AU883" s="328"/>
    </row>
    <row r="884" ht="15.75" customHeight="1">
      <c r="A884" s="328"/>
      <c r="B884" s="328"/>
      <c r="C884" s="328"/>
      <c r="D884" s="328"/>
      <c r="E884" s="328"/>
      <c r="F884" s="328"/>
      <c r="G884" s="328"/>
      <c r="H884" s="328"/>
      <c r="I884" s="328"/>
      <c r="J884" s="328"/>
      <c r="K884" s="328"/>
      <c r="L884" s="328"/>
      <c r="M884" s="328"/>
      <c r="N884" s="328"/>
      <c r="O884" s="328"/>
      <c r="P884" s="328"/>
      <c r="Q884" s="328"/>
      <c r="R884" s="328"/>
      <c r="S884" s="328"/>
      <c r="T884" s="328"/>
      <c r="U884" s="328"/>
      <c r="V884" s="328"/>
      <c r="W884" s="328"/>
      <c r="X884" s="328"/>
      <c r="Y884" s="328"/>
      <c r="Z884" s="328"/>
      <c r="AA884" s="328"/>
      <c r="AB884" s="328"/>
      <c r="AC884" s="328"/>
      <c r="AD884" s="328"/>
      <c r="AE884" s="328"/>
      <c r="AF884" s="328"/>
      <c r="AG884" s="328"/>
      <c r="AH884" s="328"/>
      <c r="AI884" s="328"/>
      <c r="AJ884" s="328"/>
      <c r="AK884" s="328"/>
      <c r="AL884" s="328"/>
      <c r="AM884" s="328"/>
      <c r="AN884" s="328"/>
      <c r="AO884" s="328"/>
      <c r="AP884" s="328"/>
      <c r="AQ884" s="328"/>
      <c r="AR884" s="328"/>
      <c r="AS884" s="328"/>
      <c r="AT884" s="328"/>
      <c r="AU884" s="328"/>
    </row>
    <row r="885" ht="15.75" customHeight="1">
      <c r="A885" s="328"/>
      <c r="B885" s="328"/>
      <c r="C885" s="328"/>
      <c r="D885" s="328"/>
      <c r="E885" s="328"/>
      <c r="F885" s="328"/>
      <c r="G885" s="328"/>
      <c r="H885" s="328"/>
      <c r="I885" s="328"/>
      <c r="J885" s="328"/>
      <c r="K885" s="328"/>
      <c r="L885" s="328"/>
      <c r="M885" s="328"/>
      <c r="N885" s="328"/>
      <c r="O885" s="328"/>
      <c r="P885" s="328"/>
      <c r="Q885" s="328"/>
      <c r="R885" s="328"/>
      <c r="S885" s="328"/>
      <c r="T885" s="328"/>
      <c r="U885" s="328"/>
      <c r="V885" s="328"/>
      <c r="W885" s="328"/>
      <c r="X885" s="328"/>
      <c r="Y885" s="328"/>
      <c r="Z885" s="328"/>
      <c r="AA885" s="328"/>
      <c r="AB885" s="328"/>
      <c r="AC885" s="328"/>
      <c r="AD885" s="328"/>
      <c r="AE885" s="328"/>
      <c r="AF885" s="328"/>
      <c r="AG885" s="328"/>
      <c r="AH885" s="328"/>
      <c r="AI885" s="328"/>
      <c r="AJ885" s="328"/>
      <c r="AK885" s="328"/>
      <c r="AL885" s="328"/>
      <c r="AM885" s="328"/>
      <c r="AN885" s="328"/>
      <c r="AO885" s="328"/>
      <c r="AP885" s="328"/>
      <c r="AQ885" s="328"/>
      <c r="AR885" s="328"/>
      <c r="AS885" s="328"/>
      <c r="AT885" s="328"/>
      <c r="AU885" s="328"/>
    </row>
    <row r="886" ht="15.75" customHeight="1">
      <c r="A886" s="328"/>
      <c r="B886" s="328"/>
      <c r="C886" s="328"/>
      <c r="D886" s="328"/>
      <c r="E886" s="328"/>
      <c r="F886" s="328"/>
      <c r="G886" s="328"/>
      <c r="H886" s="328"/>
      <c r="I886" s="328"/>
      <c r="J886" s="328"/>
      <c r="K886" s="328"/>
      <c r="L886" s="328"/>
      <c r="M886" s="328"/>
      <c r="N886" s="328"/>
      <c r="O886" s="328"/>
      <c r="P886" s="328"/>
      <c r="Q886" s="328"/>
      <c r="R886" s="328"/>
      <c r="S886" s="328"/>
      <c r="T886" s="328"/>
      <c r="U886" s="328"/>
      <c r="V886" s="328"/>
      <c r="W886" s="328"/>
      <c r="X886" s="328"/>
      <c r="Y886" s="328"/>
      <c r="Z886" s="328"/>
      <c r="AA886" s="328"/>
      <c r="AB886" s="328"/>
      <c r="AC886" s="328"/>
      <c r="AD886" s="328"/>
      <c r="AE886" s="328"/>
      <c r="AF886" s="328"/>
      <c r="AG886" s="328"/>
      <c r="AH886" s="328"/>
      <c r="AI886" s="328"/>
      <c r="AJ886" s="328"/>
      <c r="AK886" s="328"/>
      <c r="AL886" s="328"/>
      <c r="AM886" s="328"/>
      <c r="AN886" s="328"/>
      <c r="AO886" s="328"/>
      <c r="AP886" s="328"/>
      <c r="AQ886" s="328"/>
      <c r="AR886" s="328"/>
      <c r="AS886" s="328"/>
      <c r="AT886" s="328"/>
      <c r="AU886" s="328"/>
    </row>
    <row r="887" ht="15.75" customHeight="1">
      <c r="A887" s="328"/>
      <c r="B887" s="328"/>
      <c r="C887" s="328"/>
      <c r="D887" s="328"/>
      <c r="E887" s="328"/>
      <c r="F887" s="328"/>
      <c r="G887" s="328"/>
      <c r="H887" s="328"/>
      <c r="I887" s="328"/>
      <c r="J887" s="328"/>
      <c r="K887" s="328"/>
      <c r="L887" s="328"/>
      <c r="M887" s="328"/>
      <c r="N887" s="328"/>
      <c r="O887" s="328"/>
      <c r="P887" s="328"/>
      <c r="Q887" s="328"/>
      <c r="R887" s="328"/>
      <c r="S887" s="328"/>
      <c r="T887" s="328"/>
      <c r="U887" s="328"/>
      <c r="V887" s="328"/>
      <c r="W887" s="328"/>
      <c r="X887" s="328"/>
      <c r="Y887" s="328"/>
      <c r="Z887" s="328"/>
      <c r="AA887" s="328"/>
      <c r="AB887" s="328"/>
      <c r="AC887" s="328"/>
      <c r="AD887" s="328"/>
      <c r="AE887" s="328"/>
      <c r="AF887" s="328"/>
      <c r="AG887" s="328"/>
      <c r="AH887" s="328"/>
      <c r="AI887" s="328"/>
      <c r="AJ887" s="328"/>
      <c r="AK887" s="328"/>
      <c r="AL887" s="328"/>
      <c r="AM887" s="328"/>
      <c r="AN887" s="328"/>
      <c r="AO887" s="328"/>
      <c r="AP887" s="328"/>
      <c r="AQ887" s="328"/>
      <c r="AR887" s="328"/>
      <c r="AS887" s="328"/>
      <c r="AT887" s="328"/>
      <c r="AU887" s="328"/>
    </row>
    <row r="888" ht="15.75" customHeight="1">
      <c r="A888" s="328"/>
      <c r="B888" s="328"/>
      <c r="C888" s="328"/>
      <c r="D888" s="328"/>
      <c r="E888" s="328"/>
      <c r="F888" s="328"/>
      <c r="G888" s="328"/>
      <c r="H888" s="328"/>
      <c r="I888" s="328"/>
      <c r="J888" s="328"/>
      <c r="K888" s="328"/>
      <c r="L888" s="328"/>
      <c r="M888" s="328"/>
      <c r="N888" s="328"/>
      <c r="O888" s="328"/>
      <c r="P888" s="328"/>
      <c r="Q888" s="328"/>
      <c r="R888" s="328"/>
      <c r="S888" s="328"/>
      <c r="T888" s="328"/>
      <c r="U888" s="328"/>
      <c r="V888" s="328"/>
      <c r="W888" s="328"/>
      <c r="X888" s="328"/>
      <c r="Y888" s="328"/>
      <c r="Z888" s="328"/>
      <c r="AA888" s="328"/>
      <c r="AB888" s="328"/>
      <c r="AC888" s="328"/>
      <c r="AD888" s="328"/>
      <c r="AE888" s="328"/>
      <c r="AF888" s="328"/>
      <c r="AG888" s="328"/>
      <c r="AH888" s="328"/>
      <c r="AI888" s="328"/>
      <c r="AJ888" s="328"/>
      <c r="AK888" s="328"/>
      <c r="AL888" s="328"/>
      <c r="AM888" s="328"/>
      <c r="AN888" s="328"/>
      <c r="AO888" s="328"/>
      <c r="AP888" s="328"/>
      <c r="AQ888" s="328"/>
      <c r="AR888" s="328"/>
      <c r="AS888" s="328"/>
      <c r="AT888" s="328"/>
      <c r="AU888" s="328"/>
    </row>
    <row r="889" ht="15.75" customHeight="1">
      <c r="A889" s="328"/>
      <c r="B889" s="328"/>
      <c r="C889" s="328"/>
      <c r="D889" s="328"/>
      <c r="E889" s="328"/>
      <c r="F889" s="328"/>
      <c r="G889" s="328"/>
      <c r="H889" s="328"/>
      <c r="I889" s="328"/>
      <c r="J889" s="328"/>
      <c r="K889" s="328"/>
      <c r="L889" s="328"/>
      <c r="M889" s="328"/>
      <c r="N889" s="328"/>
      <c r="O889" s="328"/>
      <c r="P889" s="328"/>
      <c r="Q889" s="328"/>
      <c r="R889" s="328"/>
      <c r="S889" s="328"/>
      <c r="T889" s="328"/>
      <c r="U889" s="328"/>
      <c r="V889" s="328"/>
      <c r="W889" s="328"/>
      <c r="X889" s="328"/>
      <c r="Y889" s="328"/>
      <c r="Z889" s="328"/>
      <c r="AA889" s="328"/>
      <c r="AB889" s="328"/>
      <c r="AC889" s="328"/>
      <c r="AD889" s="328"/>
      <c r="AE889" s="328"/>
      <c r="AF889" s="328"/>
      <c r="AG889" s="328"/>
      <c r="AH889" s="328"/>
      <c r="AI889" s="328"/>
      <c r="AJ889" s="328"/>
      <c r="AK889" s="328"/>
      <c r="AL889" s="328"/>
      <c r="AM889" s="328"/>
      <c r="AN889" s="328"/>
      <c r="AO889" s="328"/>
      <c r="AP889" s="328"/>
      <c r="AQ889" s="328"/>
      <c r="AR889" s="328"/>
      <c r="AS889" s="328"/>
      <c r="AT889" s="328"/>
      <c r="AU889" s="328"/>
    </row>
    <row r="890" ht="15.75" customHeight="1">
      <c r="A890" s="328"/>
      <c r="B890" s="328"/>
      <c r="C890" s="328"/>
      <c r="D890" s="328"/>
      <c r="E890" s="328"/>
      <c r="F890" s="328"/>
      <c r="G890" s="328"/>
      <c r="H890" s="328"/>
      <c r="I890" s="328"/>
      <c r="J890" s="328"/>
      <c r="K890" s="328"/>
      <c r="L890" s="328"/>
      <c r="M890" s="328"/>
      <c r="N890" s="328"/>
      <c r="O890" s="328"/>
      <c r="P890" s="328"/>
      <c r="Q890" s="328"/>
      <c r="R890" s="328"/>
      <c r="S890" s="328"/>
      <c r="T890" s="328"/>
      <c r="U890" s="328"/>
      <c r="V890" s="328"/>
      <c r="W890" s="328"/>
      <c r="X890" s="328"/>
      <c r="Y890" s="328"/>
      <c r="Z890" s="328"/>
      <c r="AA890" s="328"/>
      <c r="AB890" s="328"/>
      <c r="AC890" s="328"/>
      <c r="AD890" s="328"/>
      <c r="AE890" s="328"/>
      <c r="AF890" s="328"/>
      <c r="AG890" s="328"/>
      <c r="AH890" s="328"/>
      <c r="AI890" s="328"/>
      <c r="AJ890" s="328"/>
      <c r="AK890" s="328"/>
      <c r="AL890" s="328"/>
      <c r="AM890" s="328"/>
      <c r="AN890" s="328"/>
      <c r="AO890" s="328"/>
      <c r="AP890" s="328"/>
      <c r="AQ890" s="328"/>
      <c r="AR890" s="328"/>
      <c r="AS890" s="328"/>
      <c r="AT890" s="328"/>
      <c r="AU890" s="328"/>
    </row>
    <row r="891" ht="15.75" customHeight="1">
      <c r="A891" s="328"/>
      <c r="B891" s="328"/>
      <c r="C891" s="328"/>
      <c r="D891" s="328"/>
      <c r="E891" s="328"/>
      <c r="F891" s="328"/>
      <c r="G891" s="328"/>
      <c r="H891" s="328"/>
      <c r="I891" s="328"/>
      <c r="J891" s="328"/>
      <c r="K891" s="328"/>
      <c r="L891" s="328"/>
      <c r="M891" s="328"/>
      <c r="N891" s="328"/>
      <c r="O891" s="328"/>
      <c r="P891" s="328"/>
      <c r="Q891" s="328"/>
      <c r="R891" s="328"/>
      <c r="S891" s="328"/>
      <c r="T891" s="328"/>
      <c r="U891" s="328"/>
      <c r="V891" s="328"/>
      <c r="W891" s="328"/>
      <c r="X891" s="328"/>
      <c r="Y891" s="328"/>
      <c r="Z891" s="328"/>
      <c r="AA891" s="328"/>
      <c r="AB891" s="328"/>
      <c r="AC891" s="328"/>
      <c r="AD891" s="328"/>
      <c r="AE891" s="328"/>
      <c r="AF891" s="328"/>
      <c r="AG891" s="328"/>
      <c r="AH891" s="328"/>
      <c r="AI891" s="328"/>
      <c r="AJ891" s="328"/>
      <c r="AK891" s="328"/>
      <c r="AL891" s="328"/>
      <c r="AM891" s="328"/>
      <c r="AN891" s="328"/>
      <c r="AO891" s="328"/>
      <c r="AP891" s="328"/>
      <c r="AQ891" s="328"/>
      <c r="AR891" s="328"/>
      <c r="AS891" s="328"/>
      <c r="AT891" s="328"/>
      <c r="AU891" s="328"/>
    </row>
    <row r="892" ht="15.75" customHeight="1">
      <c r="A892" s="328"/>
      <c r="B892" s="328"/>
      <c r="C892" s="328"/>
      <c r="D892" s="328"/>
      <c r="E892" s="328"/>
      <c r="F892" s="328"/>
      <c r="G892" s="328"/>
      <c r="H892" s="328"/>
      <c r="I892" s="328"/>
      <c r="J892" s="328"/>
      <c r="K892" s="328"/>
      <c r="L892" s="328"/>
      <c r="M892" s="328"/>
      <c r="N892" s="328"/>
      <c r="O892" s="328"/>
      <c r="P892" s="328"/>
      <c r="Q892" s="328"/>
      <c r="R892" s="328"/>
      <c r="S892" s="328"/>
      <c r="T892" s="328"/>
      <c r="U892" s="328"/>
      <c r="V892" s="328"/>
      <c r="W892" s="328"/>
      <c r="X892" s="328"/>
      <c r="Y892" s="328"/>
      <c r="Z892" s="328"/>
      <c r="AA892" s="328"/>
      <c r="AB892" s="328"/>
      <c r="AC892" s="328"/>
      <c r="AD892" s="328"/>
      <c r="AE892" s="328"/>
      <c r="AF892" s="328"/>
      <c r="AG892" s="328"/>
      <c r="AH892" s="328"/>
      <c r="AI892" s="328"/>
      <c r="AJ892" s="328"/>
      <c r="AK892" s="328"/>
      <c r="AL892" s="328"/>
      <c r="AM892" s="328"/>
      <c r="AN892" s="328"/>
      <c r="AO892" s="328"/>
      <c r="AP892" s="328"/>
      <c r="AQ892" s="328"/>
      <c r="AR892" s="328"/>
      <c r="AS892" s="328"/>
      <c r="AT892" s="328"/>
      <c r="AU892" s="328"/>
    </row>
    <row r="893" ht="15.75" customHeight="1">
      <c r="A893" s="328"/>
      <c r="B893" s="328"/>
      <c r="C893" s="328"/>
      <c r="D893" s="328"/>
      <c r="E893" s="328"/>
      <c r="F893" s="328"/>
      <c r="G893" s="328"/>
      <c r="H893" s="328"/>
      <c r="I893" s="328"/>
      <c r="J893" s="328"/>
      <c r="K893" s="328"/>
      <c r="L893" s="328"/>
      <c r="M893" s="328"/>
      <c r="N893" s="328"/>
      <c r="O893" s="328"/>
      <c r="P893" s="328"/>
      <c r="Q893" s="328"/>
      <c r="R893" s="328"/>
      <c r="S893" s="328"/>
      <c r="T893" s="328"/>
      <c r="U893" s="328"/>
      <c r="V893" s="328"/>
      <c r="W893" s="328"/>
      <c r="X893" s="328"/>
      <c r="Y893" s="328"/>
      <c r="Z893" s="328"/>
      <c r="AA893" s="328"/>
      <c r="AB893" s="328"/>
      <c r="AC893" s="328"/>
      <c r="AD893" s="328"/>
      <c r="AE893" s="328"/>
      <c r="AF893" s="328"/>
      <c r="AG893" s="328"/>
      <c r="AH893" s="328"/>
      <c r="AI893" s="328"/>
      <c r="AJ893" s="328"/>
      <c r="AK893" s="328"/>
      <c r="AL893" s="328"/>
      <c r="AM893" s="328"/>
      <c r="AN893" s="328"/>
      <c r="AO893" s="328"/>
      <c r="AP893" s="328"/>
      <c r="AQ893" s="328"/>
      <c r="AR893" s="328"/>
      <c r="AS893" s="328"/>
      <c r="AT893" s="328"/>
      <c r="AU893" s="328"/>
    </row>
    <row r="894" ht="15.75" customHeight="1">
      <c r="A894" s="328"/>
      <c r="B894" s="328"/>
      <c r="C894" s="328"/>
      <c r="D894" s="328"/>
      <c r="E894" s="328"/>
      <c r="F894" s="328"/>
      <c r="G894" s="328"/>
      <c r="H894" s="328"/>
      <c r="I894" s="328"/>
      <c r="J894" s="328"/>
      <c r="K894" s="328"/>
      <c r="L894" s="328"/>
      <c r="M894" s="328"/>
      <c r="N894" s="328"/>
      <c r="O894" s="328"/>
      <c r="P894" s="328"/>
      <c r="Q894" s="328"/>
      <c r="R894" s="328"/>
      <c r="S894" s="328"/>
      <c r="T894" s="328"/>
      <c r="U894" s="328"/>
      <c r="V894" s="328"/>
      <c r="W894" s="328"/>
      <c r="X894" s="328"/>
      <c r="Y894" s="328"/>
      <c r="Z894" s="328"/>
      <c r="AA894" s="328"/>
      <c r="AB894" s="328"/>
      <c r="AC894" s="328"/>
      <c r="AD894" s="328"/>
      <c r="AE894" s="328"/>
      <c r="AF894" s="328"/>
      <c r="AG894" s="328"/>
      <c r="AH894" s="328"/>
      <c r="AI894" s="328"/>
      <c r="AJ894" s="328"/>
      <c r="AK894" s="328"/>
      <c r="AL894" s="328"/>
      <c r="AM894" s="328"/>
      <c r="AN894" s="328"/>
      <c r="AO894" s="328"/>
      <c r="AP894" s="328"/>
      <c r="AQ894" s="328"/>
      <c r="AR894" s="328"/>
      <c r="AS894" s="328"/>
      <c r="AT894" s="328"/>
      <c r="AU894" s="328"/>
    </row>
    <row r="895" ht="15.75" customHeight="1">
      <c r="A895" s="328"/>
      <c r="B895" s="328"/>
      <c r="C895" s="328"/>
      <c r="D895" s="328"/>
      <c r="E895" s="328"/>
      <c r="F895" s="328"/>
      <c r="G895" s="328"/>
      <c r="H895" s="328"/>
      <c r="I895" s="328"/>
      <c r="J895" s="328"/>
      <c r="K895" s="328"/>
      <c r="L895" s="328"/>
      <c r="M895" s="328"/>
      <c r="N895" s="328"/>
      <c r="O895" s="328"/>
      <c r="P895" s="328"/>
      <c r="Q895" s="328"/>
      <c r="R895" s="328"/>
      <c r="S895" s="328"/>
      <c r="T895" s="328"/>
      <c r="U895" s="328"/>
      <c r="V895" s="328"/>
      <c r="W895" s="328"/>
      <c r="X895" s="328"/>
      <c r="Y895" s="328"/>
      <c r="Z895" s="328"/>
      <c r="AA895" s="328"/>
      <c r="AB895" s="328"/>
      <c r="AC895" s="328"/>
      <c r="AD895" s="328"/>
      <c r="AE895" s="328"/>
      <c r="AF895" s="328"/>
      <c r="AG895" s="328"/>
      <c r="AH895" s="328"/>
      <c r="AI895" s="328"/>
      <c r="AJ895" s="328"/>
      <c r="AK895" s="328"/>
      <c r="AL895" s="328"/>
      <c r="AM895" s="328"/>
      <c r="AN895" s="328"/>
      <c r="AO895" s="328"/>
      <c r="AP895" s="328"/>
      <c r="AQ895" s="328"/>
      <c r="AR895" s="328"/>
      <c r="AS895" s="328"/>
      <c r="AT895" s="328"/>
      <c r="AU895" s="328"/>
    </row>
    <row r="896" ht="15.75" customHeight="1">
      <c r="A896" s="328"/>
      <c r="B896" s="328"/>
      <c r="C896" s="328"/>
      <c r="D896" s="328"/>
      <c r="E896" s="328"/>
      <c r="F896" s="328"/>
      <c r="G896" s="328"/>
      <c r="H896" s="328"/>
      <c r="I896" s="328"/>
      <c r="J896" s="328"/>
      <c r="K896" s="328"/>
      <c r="L896" s="328"/>
      <c r="M896" s="328"/>
      <c r="N896" s="328"/>
      <c r="O896" s="328"/>
      <c r="P896" s="328"/>
      <c r="Q896" s="328"/>
      <c r="R896" s="328"/>
      <c r="S896" s="328"/>
      <c r="T896" s="328"/>
      <c r="U896" s="328"/>
      <c r="V896" s="328"/>
      <c r="W896" s="328"/>
      <c r="X896" s="328"/>
      <c r="Y896" s="328"/>
      <c r="Z896" s="328"/>
      <c r="AA896" s="328"/>
      <c r="AB896" s="328"/>
      <c r="AC896" s="328"/>
      <c r="AD896" s="328"/>
      <c r="AE896" s="328"/>
      <c r="AF896" s="328"/>
      <c r="AG896" s="328"/>
      <c r="AH896" s="328"/>
      <c r="AI896" s="328"/>
      <c r="AJ896" s="328"/>
      <c r="AK896" s="328"/>
      <c r="AL896" s="328"/>
      <c r="AM896" s="328"/>
      <c r="AN896" s="328"/>
      <c r="AO896" s="328"/>
      <c r="AP896" s="328"/>
      <c r="AQ896" s="328"/>
      <c r="AR896" s="328"/>
      <c r="AS896" s="328"/>
      <c r="AT896" s="328"/>
      <c r="AU896" s="328"/>
    </row>
    <row r="897" ht="15.75" customHeight="1">
      <c r="A897" s="328"/>
      <c r="B897" s="328"/>
      <c r="C897" s="328"/>
      <c r="D897" s="328"/>
      <c r="E897" s="328"/>
      <c r="F897" s="328"/>
      <c r="G897" s="328"/>
      <c r="H897" s="328"/>
      <c r="I897" s="328"/>
      <c r="J897" s="328"/>
      <c r="K897" s="328"/>
      <c r="L897" s="328"/>
      <c r="M897" s="328"/>
      <c r="N897" s="328"/>
      <c r="O897" s="328"/>
      <c r="P897" s="328"/>
      <c r="Q897" s="328"/>
      <c r="R897" s="328"/>
      <c r="S897" s="328"/>
      <c r="T897" s="328"/>
      <c r="U897" s="328"/>
      <c r="V897" s="328"/>
      <c r="W897" s="328"/>
      <c r="X897" s="328"/>
      <c r="Y897" s="328"/>
      <c r="Z897" s="328"/>
      <c r="AA897" s="328"/>
      <c r="AB897" s="328"/>
      <c r="AC897" s="328"/>
      <c r="AD897" s="328"/>
      <c r="AE897" s="328"/>
      <c r="AF897" s="328"/>
      <c r="AG897" s="328"/>
      <c r="AH897" s="328"/>
      <c r="AI897" s="328"/>
      <c r="AJ897" s="328"/>
      <c r="AK897" s="328"/>
      <c r="AL897" s="328"/>
      <c r="AM897" s="328"/>
      <c r="AN897" s="328"/>
      <c r="AO897" s="328"/>
      <c r="AP897" s="328"/>
      <c r="AQ897" s="328"/>
      <c r="AR897" s="328"/>
      <c r="AS897" s="328"/>
      <c r="AT897" s="328"/>
      <c r="AU897" s="328"/>
    </row>
    <row r="898" ht="15.75" customHeight="1">
      <c r="A898" s="328"/>
      <c r="B898" s="328"/>
      <c r="C898" s="328"/>
      <c r="D898" s="328"/>
      <c r="E898" s="328"/>
      <c r="F898" s="328"/>
      <c r="G898" s="328"/>
      <c r="H898" s="328"/>
      <c r="I898" s="328"/>
      <c r="J898" s="328"/>
      <c r="K898" s="328"/>
      <c r="L898" s="328"/>
      <c r="M898" s="328"/>
      <c r="N898" s="328"/>
      <c r="O898" s="328"/>
      <c r="P898" s="328"/>
      <c r="Q898" s="328"/>
      <c r="R898" s="328"/>
      <c r="S898" s="328"/>
      <c r="T898" s="328"/>
      <c r="U898" s="328"/>
      <c r="V898" s="328"/>
      <c r="W898" s="328"/>
      <c r="X898" s="328"/>
      <c r="Y898" s="328"/>
      <c r="Z898" s="328"/>
      <c r="AA898" s="328"/>
      <c r="AB898" s="328"/>
      <c r="AC898" s="328"/>
      <c r="AD898" s="328"/>
      <c r="AE898" s="328"/>
      <c r="AF898" s="328"/>
      <c r="AG898" s="328"/>
      <c r="AH898" s="328"/>
      <c r="AI898" s="328"/>
      <c r="AJ898" s="328"/>
      <c r="AK898" s="328"/>
      <c r="AL898" s="328"/>
      <c r="AM898" s="328"/>
      <c r="AN898" s="328"/>
      <c r="AO898" s="328"/>
      <c r="AP898" s="328"/>
      <c r="AQ898" s="328"/>
      <c r="AR898" s="328"/>
      <c r="AS898" s="328"/>
      <c r="AT898" s="328"/>
      <c r="AU898" s="328"/>
    </row>
    <row r="899" ht="15.75" customHeight="1">
      <c r="A899" s="328"/>
      <c r="B899" s="328"/>
      <c r="C899" s="328"/>
      <c r="D899" s="328"/>
      <c r="E899" s="328"/>
      <c r="F899" s="328"/>
      <c r="G899" s="328"/>
      <c r="H899" s="328"/>
      <c r="I899" s="328"/>
      <c r="J899" s="328"/>
      <c r="K899" s="328"/>
      <c r="L899" s="328"/>
      <c r="M899" s="328"/>
      <c r="N899" s="328"/>
      <c r="O899" s="328"/>
      <c r="P899" s="328"/>
      <c r="Q899" s="328"/>
      <c r="R899" s="328"/>
      <c r="S899" s="328"/>
      <c r="T899" s="328"/>
      <c r="U899" s="328"/>
      <c r="V899" s="328"/>
      <c r="W899" s="328"/>
      <c r="X899" s="328"/>
      <c r="Y899" s="328"/>
      <c r="Z899" s="328"/>
      <c r="AA899" s="328"/>
      <c r="AB899" s="328"/>
      <c r="AC899" s="328"/>
      <c r="AD899" s="328"/>
      <c r="AE899" s="328"/>
      <c r="AF899" s="328"/>
      <c r="AG899" s="328"/>
      <c r="AH899" s="328"/>
      <c r="AI899" s="328"/>
      <c r="AJ899" s="328"/>
      <c r="AK899" s="328"/>
      <c r="AL899" s="328"/>
      <c r="AM899" s="328"/>
      <c r="AN899" s="328"/>
      <c r="AO899" s="328"/>
      <c r="AP899" s="328"/>
      <c r="AQ899" s="328"/>
      <c r="AR899" s="328"/>
      <c r="AS899" s="328"/>
      <c r="AT899" s="328"/>
      <c r="AU899" s="328"/>
    </row>
    <row r="900" ht="15.75" customHeight="1">
      <c r="A900" s="328"/>
      <c r="B900" s="328"/>
      <c r="C900" s="328"/>
      <c r="D900" s="328"/>
      <c r="E900" s="328"/>
      <c r="F900" s="328"/>
      <c r="G900" s="328"/>
      <c r="H900" s="328"/>
      <c r="I900" s="328"/>
      <c r="J900" s="328"/>
      <c r="K900" s="328"/>
      <c r="L900" s="328"/>
      <c r="M900" s="328"/>
      <c r="N900" s="328"/>
      <c r="O900" s="328"/>
      <c r="P900" s="328"/>
      <c r="Q900" s="328"/>
      <c r="R900" s="328"/>
      <c r="S900" s="328"/>
      <c r="T900" s="328"/>
      <c r="U900" s="328"/>
      <c r="V900" s="328"/>
      <c r="W900" s="328"/>
      <c r="X900" s="328"/>
      <c r="Y900" s="328"/>
      <c r="Z900" s="328"/>
      <c r="AA900" s="328"/>
      <c r="AB900" s="328"/>
      <c r="AC900" s="328"/>
      <c r="AD900" s="328"/>
      <c r="AE900" s="328"/>
      <c r="AF900" s="328"/>
      <c r="AG900" s="328"/>
      <c r="AH900" s="328"/>
      <c r="AI900" s="328"/>
      <c r="AJ900" s="328"/>
      <c r="AK900" s="328"/>
      <c r="AL900" s="328"/>
      <c r="AM900" s="328"/>
      <c r="AN900" s="328"/>
      <c r="AO900" s="328"/>
      <c r="AP900" s="328"/>
      <c r="AQ900" s="328"/>
      <c r="AR900" s="328"/>
      <c r="AS900" s="328"/>
      <c r="AT900" s="328"/>
      <c r="AU900" s="328"/>
    </row>
    <row r="901" ht="15.75" customHeight="1">
      <c r="A901" s="328"/>
      <c r="B901" s="328"/>
      <c r="C901" s="328"/>
      <c r="D901" s="328"/>
      <c r="E901" s="328"/>
      <c r="F901" s="328"/>
      <c r="G901" s="328"/>
      <c r="H901" s="328"/>
      <c r="I901" s="328"/>
      <c r="J901" s="328"/>
      <c r="K901" s="328"/>
      <c r="L901" s="328"/>
      <c r="M901" s="328"/>
      <c r="N901" s="328"/>
      <c r="O901" s="328"/>
      <c r="P901" s="328"/>
      <c r="Q901" s="328"/>
      <c r="R901" s="328"/>
      <c r="S901" s="328"/>
      <c r="T901" s="328"/>
      <c r="U901" s="328"/>
      <c r="V901" s="328"/>
      <c r="W901" s="328"/>
      <c r="X901" s="328"/>
      <c r="Y901" s="328"/>
      <c r="Z901" s="328"/>
      <c r="AA901" s="328"/>
      <c r="AB901" s="328"/>
      <c r="AC901" s="328"/>
      <c r="AD901" s="328"/>
      <c r="AE901" s="328"/>
      <c r="AF901" s="328"/>
      <c r="AG901" s="328"/>
      <c r="AH901" s="328"/>
      <c r="AI901" s="328"/>
      <c r="AJ901" s="328"/>
      <c r="AK901" s="328"/>
      <c r="AL901" s="328"/>
      <c r="AM901" s="328"/>
      <c r="AN901" s="328"/>
      <c r="AO901" s="328"/>
      <c r="AP901" s="328"/>
      <c r="AQ901" s="328"/>
      <c r="AR901" s="328"/>
      <c r="AS901" s="328"/>
      <c r="AT901" s="328"/>
      <c r="AU901" s="328"/>
    </row>
    <row r="902" ht="15.75" customHeight="1">
      <c r="A902" s="328"/>
      <c r="B902" s="328"/>
      <c r="C902" s="328"/>
      <c r="D902" s="328"/>
      <c r="E902" s="328"/>
      <c r="F902" s="328"/>
      <c r="G902" s="328"/>
      <c r="H902" s="328"/>
      <c r="I902" s="328"/>
      <c r="J902" s="328"/>
      <c r="K902" s="328"/>
      <c r="L902" s="328"/>
      <c r="M902" s="328"/>
      <c r="N902" s="328"/>
      <c r="O902" s="328"/>
      <c r="P902" s="328"/>
      <c r="Q902" s="328"/>
      <c r="R902" s="328"/>
      <c r="S902" s="328"/>
      <c r="T902" s="328"/>
      <c r="U902" s="328"/>
      <c r="V902" s="328"/>
      <c r="W902" s="328"/>
      <c r="X902" s="328"/>
      <c r="Y902" s="328"/>
      <c r="Z902" s="328"/>
      <c r="AA902" s="328"/>
      <c r="AB902" s="328"/>
      <c r="AC902" s="328"/>
      <c r="AD902" s="328"/>
      <c r="AE902" s="328"/>
      <c r="AF902" s="328"/>
      <c r="AG902" s="328"/>
      <c r="AH902" s="328"/>
      <c r="AI902" s="328"/>
      <c r="AJ902" s="328"/>
      <c r="AK902" s="328"/>
      <c r="AL902" s="328"/>
      <c r="AM902" s="328"/>
      <c r="AN902" s="328"/>
      <c r="AO902" s="328"/>
      <c r="AP902" s="328"/>
      <c r="AQ902" s="328"/>
      <c r="AR902" s="328"/>
      <c r="AS902" s="328"/>
      <c r="AT902" s="328"/>
      <c r="AU902" s="328"/>
    </row>
    <row r="903" ht="15.75" customHeight="1">
      <c r="A903" s="328"/>
      <c r="B903" s="328"/>
      <c r="C903" s="328"/>
      <c r="D903" s="328"/>
      <c r="E903" s="328"/>
      <c r="F903" s="328"/>
      <c r="G903" s="328"/>
      <c r="H903" s="328"/>
      <c r="I903" s="328"/>
      <c r="J903" s="328"/>
      <c r="K903" s="328"/>
      <c r="L903" s="328"/>
      <c r="M903" s="328"/>
      <c r="N903" s="328"/>
      <c r="O903" s="328"/>
      <c r="P903" s="328"/>
      <c r="Q903" s="328"/>
      <c r="R903" s="328"/>
      <c r="S903" s="328"/>
      <c r="T903" s="328"/>
      <c r="U903" s="328"/>
      <c r="V903" s="328"/>
      <c r="W903" s="328"/>
      <c r="X903" s="328"/>
      <c r="Y903" s="328"/>
      <c r="Z903" s="328"/>
      <c r="AA903" s="328"/>
      <c r="AB903" s="328"/>
      <c r="AC903" s="328"/>
      <c r="AD903" s="328"/>
      <c r="AE903" s="328"/>
      <c r="AF903" s="328"/>
      <c r="AG903" s="328"/>
      <c r="AH903" s="328"/>
      <c r="AI903" s="328"/>
      <c r="AJ903" s="328"/>
      <c r="AK903" s="328"/>
      <c r="AL903" s="328"/>
      <c r="AM903" s="328"/>
      <c r="AN903" s="328"/>
      <c r="AO903" s="328"/>
      <c r="AP903" s="328"/>
      <c r="AQ903" s="328"/>
      <c r="AR903" s="328"/>
      <c r="AS903" s="328"/>
      <c r="AT903" s="328"/>
      <c r="AU903" s="328"/>
    </row>
    <row r="904" ht="15.75" customHeight="1">
      <c r="A904" s="328"/>
      <c r="B904" s="328"/>
      <c r="C904" s="328"/>
      <c r="D904" s="328"/>
      <c r="E904" s="328"/>
      <c r="F904" s="328"/>
      <c r="G904" s="328"/>
      <c r="H904" s="328"/>
      <c r="I904" s="328"/>
      <c r="J904" s="328"/>
      <c r="K904" s="328"/>
      <c r="L904" s="328"/>
      <c r="M904" s="328"/>
      <c r="N904" s="328"/>
      <c r="O904" s="328"/>
      <c r="P904" s="328"/>
      <c r="Q904" s="328"/>
      <c r="R904" s="328"/>
      <c r="S904" s="328"/>
      <c r="T904" s="328"/>
      <c r="U904" s="328"/>
      <c r="V904" s="328"/>
      <c r="W904" s="328"/>
      <c r="X904" s="328"/>
      <c r="Y904" s="328"/>
      <c r="Z904" s="328"/>
      <c r="AA904" s="328"/>
      <c r="AB904" s="328"/>
      <c r="AC904" s="328"/>
      <c r="AD904" s="328"/>
      <c r="AE904" s="328"/>
      <c r="AF904" s="328"/>
      <c r="AG904" s="328"/>
      <c r="AH904" s="328"/>
      <c r="AI904" s="328"/>
      <c r="AJ904" s="328"/>
      <c r="AK904" s="328"/>
      <c r="AL904" s="328"/>
      <c r="AM904" s="328"/>
      <c r="AN904" s="328"/>
      <c r="AO904" s="328"/>
      <c r="AP904" s="328"/>
      <c r="AQ904" s="328"/>
      <c r="AR904" s="328"/>
      <c r="AS904" s="328"/>
      <c r="AT904" s="328"/>
      <c r="AU904" s="328"/>
    </row>
    <row r="905" ht="15.75" customHeight="1">
      <c r="A905" s="328"/>
      <c r="B905" s="328"/>
      <c r="C905" s="328"/>
      <c r="D905" s="328"/>
      <c r="E905" s="328"/>
      <c r="F905" s="328"/>
      <c r="G905" s="328"/>
      <c r="H905" s="328"/>
      <c r="I905" s="328"/>
      <c r="J905" s="328"/>
      <c r="K905" s="328"/>
      <c r="L905" s="328"/>
      <c r="M905" s="328"/>
      <c r="N905" s="328"/>
      <c r="O905" s="328"/>
      <c r="P905" s="328"/>
      <c r="Q905" s="328"/>
      <c r="R905" s="328"/>
      <c r="S905" s="328"/>
      <c r="T905" s="328"/>
      <c r="U905" s="328"/>
      <c r="V905" s="328"/>
      <c r="W905" s="328"/>
      <c r="X905" s="328"/>
      <c r="Y905" s="328"/>
      <c r="Z905" s="328"/>
      <c r="AA905" s="328"/>
      <c r="AB905" s="328"/>
      <c r="AC905" s="328"/>
      <c r="AD905" s="328"/>
      <c r="AE905" s="328"/>
      <c r="AF905" s="328"/>
      <c r="AG905" s="328"/>
      <c r="AH905" s="328"/>
      <c r="AI905" s="328"/>
      <c r="AJ905" s="328"/>
      <c r="AK905" s="328"/>
      <c r="AL905" s="328"/>
      <c r="AM905" s="328"/>
      <c r="AN905" s="328"/>
      <c r="AO905" s="328"/>
      <c r="AP905" s="328"/>
      <c r="AQ905" s="328"/>
      <c r="AR905" s="328"/>
      <c r="AS905" s="328"/>
      <c r="AT905" s="328"/>
      <c r="AU905" s="328"/>
    </row>
    <row r="906" ht="15.75" customHeight="1">
      <c r="A906" s="328"/>
      <c r="B906" s="328"/>
      <c r="C906" s="328"/>
      <c r="D906" s="328"/>
      <c r="E906" s="328"/>
      <c r="F906" s="328"/>
      <c r="G906" s="328"/>
      <c r="H906" s="328"/>
      <c r="I906" s="328"/>
      <c r="J906" s="328"/>
      <c r="K906" s="328"/>
      <c r="L906" s="328"/>
      <c r="M906" s="328"/>
      <c r="N906" s="328"/>
      <c r="O906" s="328"/>
      <c r="P906" s="328"/>
      <c r="Q906" s="328"/>
      <c r="R906" s="328"/>
      <c r="S906" s="328"/>
      <c r="T906" s="328"/>
      <c r="U906" s="328"/>
      <c r="V906" s="328"/>
      <c r="W906" s="328"/>
      <c r="X906" s="328"/>
      <c r="Y906" s="328"/>
      <c r="Z906" s="328"/>
      <c r="AA906" s="328"/>
      <c r="AB906" s="328"/>
      <c r="AC906" s="328"/>
      <c r="AD906" s="328"/>
      <c r="AE906" s="328"/>
      <c r="AF906" s="328"/>
      <c r="AG906" s="328"/>
      <c r="AH906" s="328"/>
      <c r="AI906" s="328"/>
      <c r="AJ906" s="328"/>
      <c r="AK906" s="328"/>
      <c r="AL906" s="328"/>
      <c r="AM906" s="328"/>
      <c r="AN906" s="328"/>
      <c r="AO906" s="328"/>
      <c r="AP906" s="328"/>
      <c r="AQ906" s="328"/>
      <c r="AR906" s="328"/>
      <c r="AS906" s="328"/>
      <c r="AT906" s="328"/>
      <c r="AU906" s="328"/>
    </row>
    <row r="907" ht="15.75" customHeight="1">
      <c r="A907" s="328"/>
      <c r="B907" s="328"/>
      <c r="C907" s="328"/>
      <c r="D907" s="328"/>
      <c r="E907" s="328"/>
      <c r="F907" s="328"/>
      <c r="G907" s="328"/>
      <c r="H907" s="328"/>
      <c r="I907" s="328"/>
      <c r="J907" s="328"/>
      <c r="K907" s="328"/>
      <c r="L907" s="328"/>
      <c r="M907" s="328"/>
      <c r="N907" s="328"/>
      <c r="O907" s="328"/>
      <c r="P907" s="328"/>
      <c r="Q907" s="328"/>
      <c r="R907" s="328"/>
      <c r="S907" s="328"/>
      <c r="T907" s="328"/>
      <c r="U907" s="328"/>
      <c r="V907" s="328"/>
      <c r="W907" s="328"/>
      <c r="X907" s="328"/>
      <c r="Y907" s="328"/>
      <c r="Z907" s="328"/>
      <c r="AA907" s="328"/>
      <c r="AB907" s="328"/>
      <c r="AC907" s="328"/>
      <c r="AD907" s="328"/>
      <c r="AE907" s="328"/>
      <c r="AF907" s="328"/>
      <c r="AG907" s="328"/>
      <c r="AH907" s="328"/>
      <c r="AI907" s="328"/>
      <c r="AJ907" s="328"/>
      <c r="AK907" s="328"/>
      <c r="AL907" s="328"/>
      <c r="AM907" s="328"/>
      <c r="AN907" s="328"/>
      <c r="AO907" s="328"/>
      <c r="AP907" s="328"/>
      <c r="AQ907" s="328"/>
      <c r="AR907" s="328"/>
      <c r="AS907" s="328"/>
      <c r="AT907" s="328"/>
      <c r="AU907" s="328"/>
    </row>
    <row r="908" ht="15.75" customHeight="1">
      <c r="A908" s="328"/>
      <c r="B908" s="328"/>
      <c r="C908" s="328"/>
      <c r="D908" s="328"/>
      <c r="E908" s="328"/>
      <c r="F908" s="328"/>
      <c r="G908" s="328"/>
      <c r="H908" s="328"/>
      <c r="I908" s="328"/>
      <c r="J908" s="328"/>
      <c r="K908" s="328"/>
      <c r="L908" s="328"/>
      <c r="M908" s="328"/>
      <c r="N908" s="328"/>
      <c r="O908" s="328"/>
      <c r="P908" s="328"/>
      <c r="Q908" s="328"/>
      <c r="R908" s="328"/>
      <c r="S908" s="328"/>
      <c r="T908" s="328"/>
      <c r="U908" s="328"/>
      <c r="V908" s="328"/>
      <c r="W908" s="328"/>
      <c r="X908" s="328"/>
      <c r="Y908" s="328"/>
      <c r="Z908" s="328"/>
      <c r="AA908" s="328"/>
      <c r="AB908" s="328"/>
      <c r="AC908" s="328"/>
      <c r="AD908" s="328"/>
      <c r="AE908" s="328"/>
      <c r="AF908" s="328"/>
      <c r="AG908" s="328"/>
      <c r="AH908" s="328"/>
      <c r="AI908" s="328"/>
      <c r="AJ908" s="328"/>
      <c r="AK908" s="328"/>
      <c r="AL908" s="328"/>
      <c r="AM908" s="328"/>
      <c r="AN908" s="328"/>
      <c r="AO908" s="328"/>
      <c r="AP908" s="328"/>
      <c r="AQ908" s="328"/>
      <c r="AR908" s="328"/>
      <c r="AS908" s="328"/>
      <c r="AT908" s="328"/>
      <c r="AU908" s="328"/>
    </row>
    <row r="909" ht="15.75" customHeight="1">
      <c r="A909" s="328"/>
      <c r="B909" s="328"/>
      <c r="C909" s="328"/>
      <c r="D909" s="328"/>
      <c r="E909" s="328"/>
      <c r="F909" s="328"/>
      <c r="G909" s="328"/>
      <c r="H909" s="328"/>
      <c r="I909" s="328"/>
      <c r="J909" s="328"/>
      <c r="K909" s="328"/>
      <c r="L909" s="328"/>
      <c r="M909" s="328"/>
      <c r="N909" s="328"/>
      <c r="O909" s="328"/>
      <c r="P909" s="328"/>
      <c r="Q909" s="328"/>
      <c r="R909" s="328"/>
      <c r="S909" s="328"/>
      <c r="T909" s="328"/>
      <c r="U909" s="328"/>
      <c r="V909" s="328"/>
      <c r="W909" s="328"/>
      <c r="X909" s="328"/>
      <c r="Y909" s="328"/>
      <c r="Z909" s="328"/>
      <c r="AA909" s="328"/>
      <c r="AB909" s="328"/>
      <c r="AC909" s="328"/>
      <c r="AD909" s="328"/>
      <c r="AE909" s="328"/>
      <c r="AF909" s="328"/>
      <c r="AG909" s="328"/>
      <c r="AH909" s="328"/>
      <c r="AI909" s="328"/>
      <c r="AJ909" s="328"/>
      <c r="AK909" s="328"/>
      <c r="AL909" s="328"/>
      <c r="AM909" s="328"/>
      <c r="AN909" s="328"/>
      <c r="AO909" s="328"/>
      <c r="AP909" s="328"/>
      <c r="AQ909" s="328"/>
      <c r="AR909" s="328"/>
      <c r="AS909" s="328"/>
      <c r="AT909" s="328"/>
      <c r="AU909" s="328"/>
    </row>
    <row r="910" ht="15.75" customHeight="1">
      <c r="A910" s="328"/>
      <c r="B910" s="328"/>
      <c r="C910" s="328"/>
      <c r="D910" s="328"/>
      <c r="E910" s="328"/>
      <c r="F910" s="328"/>
      <c r="G910" s="328"/>
      <c r="H910" s="328"/>
      <c r="I910" s="328"/>
      <c r="J910" s="328"/>
      <c r="K910" s="328"/>
      <c r="L910" s="328"/>
      <c r="M910" s="328"/>
      <c r="N910" s="328"/>
      <c r="O910" s="328"/>
      <c r="P910" s="328"/>
      <c r="Q910" s="328"/>
      <c r="R910" s="328"/>
      <c r="S910" s="328"/>
      <c r="T910" s="328"/>
      <c r="U910" s="328"/>
      <c r="V910" s="328"/>
      <c r="W910" s="328"/>
      <c r="X910" s="328"/>
      <c r="Y910" s="328"/>
      <c r="Z910" s="328"/>
      <c r="AA910" s="328"/>
      <c r="AB910" s="328"/>
      <c r="AC910" s="328"/>
      <c r="AD910" s="328"/>
      <c r="AE910" s="328"/>
      <c r="AF910" s="328"/>
      <c r="AG910" s="328"/>
      <c r="AH910" s="328"/>
      <c r="AI910" s="328"/>
      <c r="AJ910" s="328"/>
      <c r="AK910" s="328"/>
      <c r="AL910" s="328"/>
      <c r="AM910" s="328"/>
      <c r="AN910" s="328"/>
      <c r="AO910" s="328"/>
      <c r="AP910" s="328"/>
      <c r="AQ910" s="328"/>
      <c r="AR910" s="328"/>
      <c r="AS910" s="328"/>
      <c r="AT910" s="328"/>
      <c r="AU910" s="328"/>
    </row>
    <row r="911" ht="15.75" customHeight="1">
      <c r="A911" s="328"/>
      <c r="B911" s="328"/>
      <c r="C911" s="328"/>
      <c r="D911" s="328"/>
      <c r="E911" s="328"/>
      <c r="F911" s="328"/>
      <c r="G911" s="328"/>
      <c r="H911" s="328"/>
      <c r="I911" s="328"/>
      <c r="J911" s="328"/>
      <c r="K911" s="328"/>
      <c r="L911" s="328"/>
      <c r="M911" s="328"/>
      <c r="N911" s="328"/>
      <c r="O911" s="328"/>
      <c r="P911" s="328"/>
      <c r="Q911" s="328"/>
      <c r="R911" s="328"/>
      <c r="S911" s="328"/>
      <c r="T911" s="328"/>
      <c r="U911" s="328"/>
      <c r="V911" s="328"/>
      <c r="W911" s="328"/>
      <c r="X911" s="328"/>
      <c r="Y911" s="328"/>
      <c r="Z911" s="328"/>
      <c r="AA911" s="328"/>
      <c r="AB911" s="328"/>
      <c r="AC911" s="328"/>
      <c r="AD911" s="328"/>
      <c r="AE911" s="328"/>
      <c r="AF911" s="328"/>
      <c r="AG911" s="328"/>
      <c r="AH911" s="328"/>
      <c r="AI911" s="328"/>
      <c r="AJ911" s="328"/>
      <c r="AK911" s="328"/>
      <c r="AL911" s="328"/>
      <c r="AM911" s="328"/>
      <c r="AN911" s="328"/>
      <c r="AO911" s="328"/>
      <c r="AP911" s="328"/>
      <c r="AQ911" s="328"/>
      <c r="AR911" s="328"/>
      <c r="AS911" s="328"/>
      <c r="AT911" s="328"/>
      <c r="AU911" s="328"/>
    </row>
    <row r="912" ht="15.75" customHeight="1">
      <c r="A912" s="328"/>
      <c r="B912" s="328"/>
      <c r="C912" s="328"/>
      <c r="D912" s="328"/>
      <c r="E912" s="328"/>
      <c r="F912" s="328"/>
      <c r="G912" s="328"/>
      <c r="H912" s="328"/>
      <c r="I912" s="328"/>
      <c r="J912" s="328"/>
      <c r="K912" s="328"/>
      <c r="L912" s="328"/>
      <c r="M912" s="328"/>
      <c r="N912" s="328"/>
      <c r="O912" s="328"/>
      <c r="P912" s="328"/>
      <c r="Q912" s="328"/>
      <c r="R912" s="328"/>
      <c r="S912" s="328"/>
      <c r="T912" s="328"/>
      <c r="U912" s="328"/>
      <c r="V912" s="328"/>
      <c r="W912" s="328"/>
      <c r="X912" s="328"/>
      <c r="Y912" s="328"/>
      <c r="Z912" s="328"/>
      <c r="AA912" s="328"/>
      <c r="AB912" s="328"/>
      <c r="AC912" s="328"/>
      <c r="AD912" s="328"/>
      <c r="AE912" s="328"/>
      <c r="AF912" s="328"/>
      <c r="AG912" s="328"/>
      <c r="AH912" s="328"/>
      <c r="AI912" s="328"/>
      <c r="AJ912" s="328"/>
      <c r="AK912" s="328"/>
      <c r="AL912" s="328"/>
      <c r="AM912" s="328"/>
      <c r="AN912" s="328"/>
      <c r="AO912" s="328"/>
      <c r="AP912" s="328"/>
      <c r="AQ912" s="328"/>
      <c r="AR912" s="328"/>
      <c r="AS912" s="328"/>
      <c r="AT912" s="328"/>
      <c r="AU912" s="328"/>
    </row>
    <row r="913" ht="15.75" customHeight="1">
      <c r="A913" s="328"/>
      <c r="B913" s="328"/>
      <c r="C913" s="328"/>
      <c r="D913" s="328"/>
      <c r="E913" s="328"/>
      <c r="F913" s="328"/>
      <c r="G913" s="328"/>
      <c r="H913" s="328"/>
      <c r="I913" s="328"/>
      <c r="J913" s="328"/>
      <c r="K913" s="328"/>
      <c r="L913" s="328"/>
      <c r="M913" s="328"/>
      <c r="N913" s="328"/>
      <c r="O913" s="328"/>
      <c r="P913" s="328"/>
      <c r="Q913" s="328"/>
      <c r="R913" s="328"/>
      <c r="S913" s="328"/>
      <c r="T913" s="328"/>
      <c r="U913" s="328"/>
      <c r="V913" s="328"/>
      <c r="W913" s="328"/>
      <c r="X913" s="328"/>
      <c r="Y913" s="328"/>
      <c r="Z913" s="328"/>
      <c r="AA913" s="328"/>
      <c r="AB913" s="328"/>
      <c r="AC913" s="328"/>
      <c r="AD913" s="328"/>
      <c r="AE913" s="328"/>
      <c r="AF913" s="328"/>
      <c r="AG913" s="328"/>
      <c r="AH913" s="328"/>
      <c r="AI913" s="328"/>
      <c r="AJ913" s="328"/>
      <c r="AK913" s="328"/>
      <c r="AL913" s="328"/>
      <c r="AM913" s="328"/>
      <c r="AN913" s="328"/>
      <c r="AO913" s="328"/>
      <c r="AP913" s="328"/>
      <c r="AQ913" s="328"/>
      <c r="AR913" s="328"/>
      <c r="AS913" s="328"/>
      <c r="AT913" s="328"/>
      <c r="AU913" s="328"/>
    </row>
    <row r="914" ht="15.75" customHeight="1">
      <c r="A914" s="328"/>
      <c r="B914" s="328"/>
      <c r="C914" s="328"/>
      <c r="D914" s="328"/>
      <c r="E914" s="328"/>
      <c r="F914" s="328"/>
      <c r="G914" s="328"/>
      <c r="H914" s="328"/>
      <c r="I914" s="328"/>
      <c r="J914" s="328"/>
      <c r="K914" s="328"/>
      <c r="L914" s="328"/>
      <c r="M914" s="328"/>
      <c r="N914" s="328"/>
      <c r="O914" s="328"/>
      <c r="P914" s="328"/>
      <c r="Q914" s="328"/>
      <c r="R914" s="328"/>
      <c r="S914" s="328"/>
      <c r="T914" s="328"/>
      <c r="U914" s="328"/>
      <c r="V914" s="328"/>
      <c r="W914" s="328"/>
      <c r="X914" s="328"/>
      <c r="Y914" s="328"/>
      <c r="Z914" s="328"/>
      <c r="AA914" s="328"/>
      <c r="AB914" s="328"/>
      <c r="AC914" s="328"/>
      <c r="AD914" s="328"/>
      <c r="AE914" s="328"/>
      <c r="AF914" s="328"/>
      <c r="AG914" s="328"/>
      <c r="AH914" s="328"/>
      <c r="AI914" s="328"/>
      <c r="AJ914" s="328"/>
      <c r="AK914" s="328"/>
      <c r="AL914" s="328"/>
      <c r="AM914" s="328"/>
      <c r="AN914" s="328"/>
      <c r="AO914" s="328"/>
      <c r="AP914" s="328"/>
      <c r="AQ914" s="328"/>
      <c r="AR914" s="328"/>
      <c r="AS914" s="328"/>
      <c r="AT914" s="328"/>
      <c r="AU914" s="328"/>
    </row>
    <row r="915" ht="15.75" customHeight="1">
      <c r="A915" s="328"/>
      <c r="B915" s="328"/>
      <c r="C915" s="328"/>
      <c r="D915" s="328"/>
      <c r="E915" s="328"/>
      <c r="F915" s="328"/>
      <c r="G915" s="328"/>
      <c r="H915" s="328"/>
      <c r="I915" s="328"/>
      <c r="J915" s="328"/>
      <c r="K915" s="328"/>
      <c r="L915" s="328"/>
      <c r="M915" s="328"/>
      <c r="N915" s="328"/>
      <c r="O915" s="328"/>
      <c r="P915" s="328"/>
      <c r="Q915" s="328"/>
      <c r="R915" s="328"/>
      <c r="S915" s="328"/>
      <c r="T915" s="328"/>
      <c r="U915" s="328"/>
      <c r="V915" s="328"/>
      <c r="W915" s="328"/>
      <c r="X915" s="328"/>
      <c r="Y915" s="328"/>
      <c r="Z915" s="328"/>
      <c r="AA915" s="328"/>
      <c r="AB915" s="328"/>
      <c r="AC915" s="328"/>
      <c r="AD915" s="328"/>
      <c r="AE915" s="328"/>
      <c r="AF915" s="328"/>
      <c r="AG915" s="328"/>
      <c r="AH915" s="328"/>
      <c r="AI915" s="328"/>
      <c r="AJ915" s="328"/>
      <c r="AK915" s="328"/>
      <c r="AL915" s="328"/>
      <c r="AM915" s="328"/>
      <c r="AN915" s="328"/>
      <c r="AO915" s="328"/>
      <c r="AP915" s="328"/>
      <c r="AQ915" s="328"/>
      <c r="AR915" s="328"/>
      <c r="AS915" s="328"/>
      <c r="AT915" s="328"/>
      <c r="AU915" s="328"/>
    </row>
    <row r="916" ht="15.75" customHeight="1">
      <c r="A916" s="328"/>
      <c r="B916" s="328"/>
      <c r="C916" s="328"/>
      <c r="D916" s="328"/>
      <c r="E916" s="328"/>
      <c r="F916" s="328"/>
      <c r="G916" s="328"/>
      <c r="H916" s="328"/>
      <c r="I916" s="328"/>
      <c r="J916" s="328"/>
      <c r="K916" s="328"/>
      <c r="L916" s="328"/>
      <c r="M916" s="328"/>
      <c r="N916" s="328"/>
      <c r="O916" s="328"/>
      <c r="P916" s="328"/>
      <c r="Q916" s="328"/>
      <c r="R916" s="328"/>
      <c r="S916" s="328"/>
      <c r="T916" s="328"/>
      <c r="U916" s="328"/>
      <c r="V916" s="328"/>
      <c r="W916" s="328"/>
      <c r="X916" s="328"/>
      <c r="Y916" s="328"/>
      <c r="Z916" s="328"/>
      <c r="AA916" s="328"/>
      <c r="AB916" s="328"/>
      <c r="AC916" s="328"/>
      <c r="AD916" s="328"/>
      <c r="AE916" s="328"/>
      <c r="AF916" s="328"/>
      <c r="AG916" s="328"/>
      <c r="AH916" s="328"/>
      <c r="AI916" s="328"/>
      <c r="AJ916" s="328"/>
      <c r="AK916" s="328"/>
      <c r="AL916" s="328"/>
      <c r="AM916" s="328"/>
      <c r="AN916" s="328"/>
      <c r="AO916" s="328"/>
      <c r="AP916" s="328"/>
      <c r="AQ916" s="328"/>
      <c r="AR916" s="328"/>
      <c r="AS916" s="328"/>
      <c r="AT916" s="328"/>
      <c r="AU916" s="328"/>
    </row>
    <row r="917" ht="15.75" customHeight="1">
      <c r="A917" s="328"/>
      <c r="B917" s="328"/>
      <c r="C917" s="328"/>
      <c r="D917" s="328"/>
      <c r="E917" s="328"/>
      <c r="F917" s="328"/>
      <c r="G917" s="328"/>
      <c r="H917" s="328"/>
      <c r="I917" s="328"/>
      <c r="J917" s="328"/>
      <c r="K917" s="328"/>
      <c r="L917" s="328"/>
      <c r="M917" s="328"/>
      <c r="N917" s="328"/>
      <c r="O917" s="328"/>
      <c r="P917" s="328"/>
      <c r="Q917" s="328"/>
      <c r="R917" s="328"/>
      <c r="S917" s="328"/>
      <c r="T917" s="328"/>
      <c r="U917" s="328"/>
      <c r="V917" s="328"/>
      <c r="W917" s="328"/>
      <c r="X917" s="328"/>
      <c r="Y917" s="328"/>
      <c r="Z917" s="328"/>
      <c r="AA917" s="328"/>
      <c r="AB917" s="328"/>
      <c r="AC917" s="328"/>
      <c r="AD917" s="328"/>
      <c r="AE917" s="328"/>
      <c r="AF917" s="328"/>
      <c r="AG917" s="328"/>
      <c r="AH917" s="328"/>
      <c r="AI917" s="328"/>
      <c r="AJ917" s="328"/>
      <c r="AK917" s="328"/>
      <c r="AL917" s="328"/>
      <c r="AM917" s="328"/>
      <c r="AN917" s="328"/>
      <c r="AO917" s="328"/>
      <c r="AP917" s="328"/>
      <c r="AQ917" s="328"/>
      <c r="AR917" s="328"/>
      <c r="AS917" s="328"/>
      <c r="AT917" s="328"/>
      <c r="AU917" s="328"/>
    </row>
    <row r="918" ht="15.75" customHeight="1">
      <c r="A918" s="328"/>
      <c r="B918" s="328"/>
      <c r="C918" s="328"/>
      <c r="D918" s="328"/>
      <c r="E918" s="328"/>
      <c r="F918" s="328"/>
      <c r="G918" s="328"/>
      <c r="H918" s="328"/>
      <c r="I918" s="328"/>
      <c r="J918" s="328"/>
      <c r="K918" s="328"/>
      <c r="L918" s="328"/>
      <c r="M918" s="328"/>
      <c r="N918" s="328"/>
      <c r="O918" s="328"/>
      <c r="P918" s="328"/>
      <c r="Q918" s="328"/>
      <c r="R918" s="328"/>
      <c r="S918" s="328"/>
      <c r="T918" s="328"/>
      <c r="U918" s="328"/>
      <c r="V918" s="328"/>
      <c r="W918" s="328"/>
      <c r="X918" s="328"/>
      <c r="Y918" s="328"/>
      <c r="Z918" s="328"/>
      <c r="AA918" s="328"/>
      <c r="AB918" s="328"/>
      <c r="AC918" s="328"/>
      <c r="AD918" s="328"/>
      <c r="AE918" s="328"/>
      <c r="AF918" s="328"/>
      <c r="AG918" s="328"/>
      <c r="AH918" s="328"/>
      <c r="AI918" s="328"/>
      <c r="AJ918" s="328"/>
      <c r="AK918" s="328"/>
      <c r="AL918" s="328"/>
      <c r="AM918" s="328"/>
      <c r="AN918" s="328"/>
      <c r="AO918" s="328"/>
      <c r="AP918" s="328"/>
      <c r="AQ918" s="328"/>
      <c r="AR918" s="328"/>
      <c r="AS918" s="328"/>
      <c r="AT918" s="328"/>
      <c r="AU918" s="328"/>
    </row>
    <row r="919" ht="15.75" customHeight="1">
      <c r="A919" s="328"/>
      <c r="B919" s="328"/>
      <c r="C919" s="328"/>
      <c r="D919" s="328"/>
      <c r="E919" s="328"/>
      <c r="F919" s="328"/>
      <c r="G919" s="328"/>
      <c r="H919" s="328"/>
      <c r="I919" s="328"/>
      <c r="J919" s="328"/>
      <c r="K919" s="328"/>
      <c r="L919" s="328"/>
      <c r="M919" s="328"/>
      <c r="N919" s="328"/>
      <c r="O919" s="328"/>
      <c r="P919" s="328"/>
      <c r="Q919" s="328"/>
      <c r="R919" s="328"/>
      <c r="S919" s="328"/>
      <c r="T919" s="328"/>
      <c r="U919" s="328"/>
      <c r="V919" s="328"/>
      <c r="W919" s="328"/>
      <c r="X919" s="328"/>
      <c r="Y919" s="328"/>
      <c r="Z919" s="328"/>
      <c r="AA919" s="328"/>
      <c r="AB919" s="328"/>
      <c r="AC919" s="328"/>
      <c r="AD919" s="328"/>
      <c r="AE919" s="328"/>
      <c r="AF919" s="328"/>
      <c r="AG919" s="328"/>
      <c r="AH919" s="328"/>
      <c r="AI919" s="328"/>
      <c r="AJ919" s="328"/>
      <c r="AK919" s="328"/>
      <c r="AL919" s="328"/>
      <c r="AM919" s="328"/>
      <c r="AN919" s="328"/>
      <c r="AO919" s="328"/>
      <c r="AP919" s="328"/>
      <c r="AQ919" s="328"/>
      <c r="AR919" s="328"/>
      <c r="AS919" s="328"/>
      <c r="AT919" s="328"/>
      <c r="AU919" s="328"/>
    </row>
    <row r="920" ht="15.75" customHeight="1">
      <c r="A920" s="328"/>
      <c r="B920" s="328"/>
      <c r="C920" s="328"/>
      <c r="D920" s="328"/>
      <c r="E920" s="328"/>
      <c r="F920" s="328"/>
      <c r="G920" s="328"/>
      <c r="H920" s="328"/>
      <c r="I920" s="328"/>
      <c r="J920" s="328"/>
      <c r="K920" s="328"/>
      <c r="L920" s="328"/>
      <c r="M920" s="328"/>
      <c r="N920" s="328"/>
      <c r="O920" s="328"/>
      <c r="P920" s="328"/>
      <c r="Q920" s="328"/>
      <c r="R920" s="328"/>
      <c r="S920" s="328"/>
      <c r="T920" s="328"/>
      <c r="U920" s="328"/>
      <c r="V920" s="328"/>
      <c r="W920" s="328"/>
      <c r="X920" s="328"/>
      <c r="Y920" s="328"/>
      <c r="Z920" s="328"/>
      <c r="AA920" s="328"/>
      <c r="AB920" s="328"/>
      <c r="AC920" s="328"/>
      <c r="AD920" s="328"/>
      <c r="AE920" s="328"/>
      <c r="AF920" s="328"/>
      <c r="AG920" s="328"/>
      <c r="AH920" s="328"/>
      <c r="AI920" s="328"/>
      <c r="AJ920" s="328"/>
      <c r="AK920" s="328"/>
      <c r="AL920" s="328"/>
      <c r="AM920" s="328"/>
      <c r="AN920" s="328"/>
      <c r="AO920" s="328"/>
      <c r="AP920" s="328"/>
      <c r="AQ920" s="328"/>
      <c r="AR920" s="328"/>
      <c r="AS920" s="328"/>
      <c r="AT920" s="328"/>
      <c r="AU920" s="328"/>
    </row>
    <row r="921" ht="15.75" customHeight="1">
      <c r="A921" s="328"/>
      <c r="B921" s="328"/>
      <c r="C921" s="328"/>
      <c r="D921" s="328"/>
      <c r="E921" s="328"/>
      <c r="F921" s="328"/>
      <c r="G921" s="328"/>
      <c r="H921" s="328"/>
      <c r="I921" s="328"/>
      <c r="J921" s="328"/>
      <c r="K921" s="328"/>
      <c r="L921" s="328"/>
      <c r="M921" s="328"/>
      <c r="N921" s="328"/>
      <c r="O921" s="328"/>
      <c r="P921" s="328"/>
      <c r="Q921" s="328"/>
      <c r="R921" s="328"/>
      <c r="S921" s="328"/>
      <c r="T921" s="328"/>
      <c r="U921" s="328"/>
      <c r="V921" s="328"/>
      <c r="W921" s="328"/>
      <c r="X921" s="328"/>
      <c r="Y921" s="328"/>
      <c r="Z921" s="328"/>
      <c r="AA921" s="328"/>
      <c r="AB921" s="328"/>
      <c r="AC921" s="328"/>
      <c r="AD921" s="328"/>
      <c r="AE921" s="328"/>
      <c r="AF921" s="328"/>
      <c r="AG921" s="328"/>
      <c r="AH921" s="328"/>
      <c r="AI921" s="328"/>
      <c r="AJ921" s="328"/>
      <c r="AK921" s="328"/>
      <c r="AL921" s="328"/>
      <c r="AM921" s="328"/>
      <c r="AN921" s="328"/>
      <c r="AO921" s="328"/>
      <c r="AP921" s="328"/>
      <c r="AQ921" s="328"/>
      <c r="AR921" s="328"/>
      <c r="AS921" s="328"/>
      <c r="AT921" s="328"/>
      <c r="AU921" s="328"/>
    </row>
    <row r="922" ht="15.75" customHeight="1">
      <c r="A922" s="328"/>
      <c r="B922" s="328"/>
      <c r="C922" s="328"/>
      <c r="D922" s="328"/>
      <c r="E922" s="328"/>
      <c r="F922" s="328"/>
      <c r="G922" s="328"/>
      <c r="H922" s="328"/>
      <c r="I922" s="328"/>
      <c r="J922" s="328"/>
      <c r="K922" s="328"/>
      <c r="L922" s="328"/>
      <c r="M922" s="328"/>
      <c r="N922" s="328"/>
      <c r="O922" s="328"/>
      <c r="P922" s="328"/>
      <c r="Q922" s="328"/>
      <c r="R922" s="328"/>
      <c r="S922" s="328"/>
      <c r="T922" s="328"/>
      <c r="U922" s="328"/>
      <c r="V922" s="328"/>
      <c r="W922" s="328"/>
      <c r="X922" s="328"/>
      <c r="Y922" s="328"/>
      <c r="Z922" s="328"/>
      <c r="AA922" s="328"/>
      <c r="AB922" s="328"/>
      <c r="AC922" s="328"/>
      <c r="AD922" s="328"/>
      <c r="AE922" s="328"/>
      <c r="AF922" s="328"/>
      <c r="AG922" s="328"/>
      <c r="AH922" s="328"/>
      <c r="AI922" s="328"/>
      <c r="AJ922" s="328"/>
      <c r="AK922" s="328"/>
      <c r="AL922" s="328"/>
      <c r="AM922" s="328"/>
      <c r="AN922" s="328"/>
      <c r="AO922" s="328"/>
      <c r="AP922" s="328"/>
      <c r="AQ922" s="328"/>
      <c r="AR922" s="328"/>
      <c r="AS922" s="328"/>
      <c r="AT922" s="328"/>
      <c r="AU922" s="328"/>
    </row>
    <row r="923" ht="15.75" customHeight="1">
      <c r="A923" s="328"/>
      <c r="B923" s="328"/>
      <c r="C923" s="328"/>
      <c r="D923" s="328"/>
      <c r="E923" s="328"/>
      <c r="F923" s="328"/>
      <c r="G923" s="328"/>
      <c r="H923" s="328"/>
      <c r="I923" s="328"/>
      <c r="J923" s="328"/>
      <c r="K923" s="328"/>
      <c r="L923" s="328"/>
      <c r="M923" s="328"/>
      <c r="N923" s="328"/>
      <c r="O923" s="328"/>
      <c r="P923" s="328"/>
      <c r="Q923" s="328"/>
      <c r="R923" s="328"/>
      <c r="S923" s="328"/>
      <c r="T923" s="328"/>
      <c r="U923" s="328"/>
      <c r="V923" s="328"/>
      <c r="W923" s="328"/>
      <c r="X923" s="328"/>
      <c r="Y923" s="328"/>
      <c r="Z923" s="328"/>
      <c r="AA923" s="328"/>
      <c r="AB923" s="328"/>
      <c r="AC923" s="328"/>
      <c r="AD923" s="328"/>
      <c r="AE923" s="328"/>
      <c r="AF923" s="328"/>
      <c r="AG923" s="328"/>
      <c r="AH923" s="328"/>
      <c r="AI923" s="328"/>
      <c r="AJ923" s="328"/>
      <c r="AK923" s="328"/>
      <c r="AL923" s="328"/>
      <c r="AM923" s="328"/>
      <c r="AN923" s="328"/>
      <c r="AO923" s="328"/>
      <c r="AP923" s="328"/>
      <c r="AQ923" s="328"/>
      <c r="AR923" s="328"/>
      <c r="AS923" s="328"/>
      <c r="AT923" s="328"/>
      <c r="AU923" s="328"/>
    </row>
    <row r="924" ht="15.75" customHeight="1">
      <c r="A924" s="328"/>
      <c r="B924" s="328"/>
      <c r="C924" s="328"/>
      <c r="D924" s="328"/>
      <c r="E924" s="328"/>
      <c r="F924" s="328"/>
      <c r="G924" s="328"/>
      <c r="H924" s="328"/>
      <c r="I924" s="328"/>
      <c r="J924" s="328"/>
      <c r="K924" s="328"/>
      <c r="L924" s="328"/>
      <c r="M924" s="328"/>
      <c r="N924" s="328"/>
      <c r="O924" s="328"/>
      <c r="P924" s="328"/>
      <c r="Q924" s="328"/>
      <c r="R924" s="328"/>
      <c r="S924" s="328"/>
      <c r="T924" s="328"/>
      <c r="U924" s="328"/>
      <c r="V924" s="328"/>
      <c r="W924" s="328"/>
      <c r="X924" s="328"/>
      <c r="Y924" s="328"/>
      <c r="Z924" s="328"/>
      <c r="AA924" s="328"/>
      <c r="AB924" s="328"/>
      <c r="AC924" s="328"/>
      <c r="AD924" s="328"/>
      <c r="AE924" s="328"/>
      <c r="AF924" s="328"/>
      <c r="AG924" s="328"/>
      <c r="AH924" s="328"/>
      <c r="AI924" s="328"/>
      <c r="AJ924" s="328"/>
      <c r="AK924" s="328"/>
      <c r="AL924" s="328"/>
      <c r="AM924" s="328"/>
      <c r="AN924" s="328"/>
      <c r="AO924" s="328"/>
      <c r="AP924" s="328"/>
      <c r="AQ924" s="328"/>
      <c r="AR924" s="328"/>
      <c r="AS924" s="328"/>
      <c r="AT924" s="328"/>
      <c r="AU924" s="328"/>
    </row>
    <row r="925" ht="15.75" customHeight="1">
      <c r="A925" s="328"/>
      <c r="B925" s="328"/>
      <c r="C925" s="328"/>
      <c r="D925" s="328"/>
      <c r="E925" s="328"/>
      <c r="F925" s="328"/>
      <c r="G925" s="328"/>
      <c r="H925" s="328"/>
      <c r="I925" s="328"/>
      <c r="J925" s="328"/>
      <c r="K925" s="328"/>
      <c r="L925" s="328"/>
      <c r="M925" s="328"/>
      <c r="N925" s="328"/>
      <c r="O925" s="328"/>
      <c r="P925" s="328"/>
      <c r="Q925" s="328"/>
      <c r="R925" s="328"/>
      <c r="S925" s="328"/>
      <c r="T925" s="328"/>
      <c r="U925" s="328"/>
      <c r="V925" s="328"/>
      <c r="W925" s="328"/>
      <c r="X925" s="328"/>
      <c r="Y925" s="328"/>
      <c r="Z925" s="328"/>
      <c r="AA925" s="328"/>
      <c r="AB925" s="328"/>
      <c r="AC925" s="328"/>
      <c r="AD925" s="328"/>
      <c r="AE925" s="328"/>
      <c r="AF925" s="328"/>
      <c r="AG925" s="328"/>
      <c r="AH925" s="328"/>
      <c r="AI925" s="328"/>
      <c r="AJ925" s="328"/>
      <c r="AK925" s="328"/>
      <c r="AL925" s="328"/>
      <c r="AM925" s="328"/>
      <c r="AN925" s="328"/>
      <c r="AO925" s="328"/>
      <c r="AP925" s="328"/>
      <c r="AQ925" s="328"/>
      <c r="AR925" s="328"/>
      <c r="AS925" s="328"/>
      <c r="AT925" s="328"/>
      <c r="AU925" s="328"/>
    </row>
    <row r="926" ht="15.75" customHeight="1">
      <c r="A926" s="328"/>
      <c r="B926" s="328"/>
      <c r="C926" s="328"/>
      <c r="D926" s="328"/>
      <c r="E926" s="328"/>
      <c r="F926" s="328"/>
      <c r="G926" s="328"/>
      <c r="H926" s="328"/>
      <c r="I926" s="328"/>
      <c r="J926" s="328"/>
      <c r="K926" s="328"/>
      <c r="L926" s="328"/>
      <c r="M926" s="328"/>
      <c r="N926" s="328"/>
      <c r="O926" s="328"/>
      <c r="P926" s="328"/>
      <c r="Q926" s="328"/>
      <c r="R926" s="328"/>
      <c r="S926" s="328"/>
      <c r="T926" s="328"/>
      <c r="U926" s="328"/>
      <c r="V926" s="328"/>
      <c r="W926" s="328"/>
      <c r="X926" s="328"/>
      <c r="Y926" s="328"/>
      <c r="Z926" s="328"/>
      <c r="AA926" s="328"/>
      <c r="AB926" s="328"/>
      <c r="AC926" s="328"/>
      <c r="AD926" s="328"/>
      <c r="AE926" s="328"/>
      <c r="AF926" s="328"/>
      <c r="AG926" s="328"/>
      <c r="AH926" s="328"/>
      <c r="AI926" s="328"/>
      <c r="AJ926" s="328"/>
      <c r="AK926" s="328"/>
      <c r="AL926" s="328"/>
      <c r="AM926" s="328"/>
      <c r="AN926" s="328"/>
      <c r="AO926" s="328"/>
      <c r="AP926" s="328"/>
      <c r="AQ926" s="328"/>
      <c r="AR926" s="328"/>
      <c r="AS926" s="328"/>
      <c r="AT926" s="328"/>
      <c r="AU926" s="328"/>
    </row>
    <row r="927" ht="15.75" customHeight="1">
      <c r="A927" s="328"/>
      <c r="B927" s="328"/>
      <c r="C927" s="328"/>
      <c r="D927" s="328"/>
      <c r="E927" s="328"/>
      <c r="F927" s="328"/>
      <c r="G927" s="328"/>
      <c r="H927" s="328"/>
      <c r="I927" s="328"/>
      <c r="J927" s="328"/>
      <c r="K927" s="328"/>
      <c r="L927" s="328"/>
      <c r="M927" s="328"/>
      <c r="N927" s="328"/>
      <c r="O927" s="328"/>
      <c r="P927" s="328"/>
      <c r="Q927" s="328"/>
      <c r="R927" s="328"/>
      <c r="S927" s="328"/>
      <c r="T927" s="328"/>
      <c r="U927" s="328"/>
      <c r="V927" s="328"/>
      <c r="W927" s="328"/>
      <c r="X927" s="328"/>
      <c r="Y927" s="328"/>
      <c r="Z927" s="328"/>
      <c r="AA927" s="328"/>
      <c r="AB927" s="328"/>
      <c r="AC927" s="328"/>
      <c r="AD927" s="328"/>
      <c r="AE927" s="328"/>
      <c r="AF927" s="328"/>
      <c r="AG927" s="328"/>
      <c r="AH927" s="328"/>
      <c r="AI927" s="328"/>
      <c r="AJ927" s="328"/>
      <c r="AK927" s="328"/>
      <c r="AL927" s="328"/>
      <c r="AM927" s="328"/>
      <c r="AN927" s="328"/>
      <c r="AO927" s="328"/>
      <c r="AP927" s="328"/>
      <c r="AQ927" s="328"/>
      <c r="AR927" s="328"/>
      <c r="AS927" s="328"/>
      <c r="AT927" s="328"/>
      <c r="AU927" s="328"/>
    </row>
    <row r="928" ht="15.75" customHeight="1">
      <c r="A928" s="328"/>
      <c r="B928" s="328"/>
      <c r="C928" s="328"/>
      <c r="D928" s="328"/>
      <c r="E928" s="328"/>
      <c r="F928" s="328"/>
      <c r="G928" s="328"/>
      <c r="H928" s="328"/>
      <c r="I928" s="328"/>
      <c r="J928" s="328"/>
      <c r="K928" s="328"/>
      <c r="L928" s="328"/>
      <c r="M928" s="328"/>
      <c r="N928" s="328"/>
      <c r="O928" s="328"/>
      <c r="P928" s="328"/>
      <c r="Q928" s="328"/>
      <c r="R928" s="328"/>
      <c r="S928" s="328"/>
      <c r="T928" s="328"/>
      <c r="U928" s="328"/>
      <c r="V928" s="328"/>
      <c r="W928" s="328"/>
      <c r="X928" s="328"/>
      <c r="Y928" s="328"/>
      <c r="Z928" s="328"/>
      <c r="AA928" s="328"/>
      <c r="AB928" s="328"/>
      <c r="AC928" s="328"/>
      <c r="AD928" s="328"/>
      <c r="AE928" s="328"/>
      <c r="AF928" s="328"/>
      <c r="AG928" s="328"/>
      <c r="AH928" s="328"/>
      <c r="AI928" s="328"/>
      <c r="AJ928" s="328"/>
      <c r="AK928" s="328"/>
      <c r="AL928" s="328"/>
      <c r="AM928" s="328"/>
      <c r="AN928" s="328"/>
      <c r="AO928" s="328"/>
      <c r="AP928" s="328"/>
      <c r="AQ928" s="328"/>
      <c r="AR928" s="328"/>
      <c r="AS928" s="328"/>
      <c r="AT928" s="328"/>
      <c r="AU928" s="328"/>
    </row>
    <row r="929" ht="15.75" customHeight="1">
      <c r="A929" s="328"/>
      <c r="B929" s="328"/>
      <c r="C929" s="328"/>
      <c r="D929" s="328"/>
      <c r="E929" s="328"/>
      <c r="F929" s="328"/>
      <c r="G929" s="328"/>
      <c r="H929" s="328"/>
      <c r="I929" s="328"/>
      <c r="J929" s="328"/>
      <c r="K929" s="328"/>
      <c r="L929" s="328"/>
      <c r="M929" s="328"/>
      <c r="N929" s="328"/>
      <c r="O929" s="328"/>
      <c r="P929" s="328"/>
      <c r="Q929" s="328"/>
      <c r="R929" s="328"/>
      <c r="S929" s="328"/>
      <c r="T929" s="328"/>
      <c r="U929" s="328"/>
      <c r="V929" s="328"/>
      <c r="W929" s="328"/>
      <c r="X929" s="328"/>
      <c r="Y929" s="328"/>
      <c r="Z929" s="328"/>
      <c r="AA929" s="328"/>
      <c r="AB929" s="328"/>
      <c r="AC929" s="328"/>
      <c r="AD929" s="328"/>
      <c r="AE929" s="328"/>
      <c r="AF929" s="328"/>
      <c r="AG929" s="328"/>
      <c r="AH929" s="328"/>
      <c r="AI929" s="328"/>
      <c r="AJ929" s="328"/>
      <c r="AK929" s="328"/>
      <c r="AL929" s="328"/>
      <c r="AM929" s="328"/>
      <c r="AN929" s="328"/>
      <c r="AO929" s="328"/>
      <c r="AP929" s="328"/>
      <c r="AQ929" s="328"/>
      <c r="AR929" s="328"/>
      <c r="AS929" s="328"/>
      <c r="AT929" s="328"/>
      <c r="AU929" s="328"/>
    </row>
    <row r="930" ht="15.75" customHeight="1">
      <c r="A930" s="328"/>
      <c r="B930" s="328"/>
      <c r="C930" s="328"/>
      <c r="D930" s="328"/>
      <c r="E930" s="328"/>
      <c r="F930" s="328"/>
      <c r="G930" s="328"/>
      <c r="H930" s="328"/>
      <c r="I930" s="328"/>
      <c r="J930" s="328"/>
      <c r="K930" s="328"/>
      <c r="L930" s="328"/>
      <c r="M930" s="328"/>
      <c r="N930" s="328"/>
      <c r="O930" s="328"/>
      <c r="P930" s="328"/>
      <c r="Q930" s="328"/>
      <c r="R930" s="328"/>
      <c r="S930" s="328"/>
      <c r="T930" s="328"/>
      <c r="U930" s="328"/>
      <c r="V930" s="328"/>
      <c r="W930" s="328"/>
      <c r="X930" s="328"/>
      <c r="Y930" s="328"/>
      <c r="Z930" s="328"/>
      <c r="AA930" s="328"/>
      <c r="AB930" s="328"/>
      <c r="AC930" s="328"/>
      <c r="AD930" s="328"/>
      <c r="AE930" s="328"/>
      <c r="AF930" s="328"/>
      <c r="AG930" s="328"/>
      <c r="AH930" s="328"/>
      <c r="AI930" s="328"/>
      <c r="AJ930" s="328"/>
      <c r="AK930" s="328"/>
      <c r="AL930" s="328"/>
      <c r="AM930" s="328"/>
      <c r="AN930" s="328"/>
      <c r="AO930" s="328"/>
      <c r="AP930" s="328"/>
      <c r="AQ930" s="328"/>
      <c r="AR930" s="328"/>
      <c r="AS930" s="328"/>
      <c r="AT930" s="328"/>
      <c r="AU930" s="328"/>
    </row>
    <row r="931" ht="15.75" customHeight="1">
      <c r="A931" s="328"/>
      <c r="B931" s="328"/>
      <c r="C931" s="328"/>
      <c r="D931" s="328"/>
      <c r="E931" s="328"/>
      <c r="F931" s="328"/>
      <c r="G931" s="328"/>
      <c r="H931" s="328"/>
      <c r="I931" s="328"/>
      <c r="J931" s="328"/>
      <c r="K931" s="328"/>
      <c r="L931" s="328"/>
      <c r="M931" s="328"/>
      <c r="N931" s="328"/>
      <c r="O931" s="328"/>
      <c r="P931" s="328"/>
      <c r="Q931" s="328"/>
      <c r="R931" s="328"/>
      <c r="S931" s="328"/>
      <c r="T931" s="328"/>
      <c r="U931" s="328"/>
      <c r="V931" s="328"/>
      <c r="W931" s="328"/>
      <c r="X931" s="328"/>
      <c r="Y931" s="328"/>
      <c r="Z931" s="328"/>
      <c r="AA931" s="328"/>
      <c r="AB931" s="328"/>
      <c r="AC931" s="328"/>
      <c r="AD931" s="328"/>
      <c r="AE931" s="328"/>
      <c r="AF931" s="328"/>
      <c r="AG931" s="328"/>
      <c r="AH931" s="328"/>
      <c r="AI931" s="328"/>
      <c r="AJ931" s="328"/>
      <c r="AK931" s="328"/>
      <c r="AL931" s="328"/>
      <c r="AM931" s="328"/>
      <c r="AN931" s="328"/>
      <c r="AO931" s="328"/>
      <c r="AP931" s="328"/>
      <c r="AQ931" s="328"/>
      <c r="AR931" s="328"/>
      <c r="AS931" s="328"/>
      <c r="AT931" s="328"/>
      <c r="AU931" s="328"/>
    </row>
    <row r="932" ht="15.75" customHeight="1">
      <c r="A932" s="328"/>
      <c r="B932" s="328"/>
      <c r="C932" s="328"/>
      <c r="D932" s="328"/>
      <c r="E932" s="328"/>
      <c r="F932" s="328"/>
      <c r="G932" s="328"/>
      <c r="H932" s="328"/>
      <c r="I932" s="328"/>
      <c r="J932" s="328"/>
      <c r="K932" s="328"/>
      <c r="L932" s="328"/>
      <c r="M932" s="328"/>
      <c r="N932" s="328"/>
      <c r="O932" s="328"/>
      <c r="P932" s="328"/>
      <c r="Q932" s="328"/>
      <c r="R932" s="328"/>
      <c r="S932" s="328"/>
      <c r="T932" s="328"/>
      <c r="U932" s="328"/>
      <c r="V932" s="328"/>
      <c r="W932" s="328"/>
      <c r="X932" s="328"/>
      <c r="Y932" s="328"/>
      <c r="Z932" s="328"/>
      <c r="AA932" s="328"/>
      <c r="AB932" s="328"/>
      <c r="AC932" s="328"/>
      <c r="AD932" s="328"/>
      <c r="AE932" s="328"/>
      <c r="AF932" s="328"/>
      <c r="AG932" s="328"/>
      <c r="AH932" s="328"/>
      <c r="AI932" s="328"/>
      <c r="AJ932" s="328"/>
      <c r="AK932" s="328"/>
      <c r="AL932" s="328"/>
      <c r="AM932" s="328"/>
      <c r="AN932" s="328"/>
      <c r="AO932" s="328"/>
      <c r="AP932" s="328"/>
      <c r="AQ932" s="328"/>
      <c r="AR932" s="328"/>
      <c r="AS932" s="328"/>
      <c r="AT932" s="328"/>
      <c r="AU932" s="328"/>
    </row>
    <row r="933" ht="15.75" customHeight="1">
      <c r="A933" s="328"/>
      <c r="B933" s="328"/>
      <c r="C933" s="328"/>
      <c r="D933" s="328"/>
      <c r="E933" s="328"/>
      <c r="F933" s="328"/>
      <c r="G933" s="328"/>
      <c r="H933" s="328"/>
      <c r="I933" s="328"/>
      <c r="J933" s="328"/>
      <c r="K933" s="328"/>
      <c r="L933" s="328"/>
      <c r="M933" s="328"/>
      <c r="N933" s="328"/>
      <c r="O933" s="328"/>
      <c r="P933" s="328"/>
      <c r="Q933" s="328"/>
      <c r="R933" s="328"/>
      <c r="S933" s="328"/>
      <c r="T933" s="328"/>
      <c r="U933" s="328"/>
      <c r="V933" s="328"/>
      <c r="W933" s="328"/>
      <c r="X933" s="328"/>
      <c r="Y933" s="328"/>
      <c r="Z933" s="328"/>
      <c r="AA933" s="328"/>
      <c r="AB933" s="328"/>
      <c r="AC933" s="328"/>
      <c r="AD933" s="328"/>
      <c r="AE933" s="328"/>
      <c r="AF933" s="328"/>
      <c r="AG933" s="328"/>
      <c r="AH933" s="328"/>
      <c r="AI933" s="328"/>
      <c r="AJ933" s="328"/>
      <c r="AK933" s="328"/>
      <c r="AL933" s="328"/>
      <c r="AM933" s="328"/>
      <c r="AN933" s="328"/>
      <c r="AO933" s="328"/>
      <c r="AP933" s="328"/>
      <c r="AQ933" s="328"/>
      <c r="AR933" s="328"/>
      <c r="AS933" s="328"/>
      <c r="AT933" s="328"/>
      <c r="AU933" s="328"/>
    </row>
    <row r="934" ht="15.75" customHeight="1">
      <c r="A934" s="328"/>
      <c r="B934" s="328"/>
      <c r="C934" s="328"/>
      <c r="D934" s="328"/>
      <c r="E934" s="328"/>
      <c r="F934" s="328"/>
      <c r="G934" s="328"/>
      <c r="H934" s="328"/>
      <c r="I934" s="328"/>
      <c r="J934" s="328"/>
      <c r="K934" s="328"/>
      <c r="L934" s="328"/>
      <c r="M934" s="328"/>
      <c r="N934" s="328"/>
      <c r="O934" s="328"/>
      <c r="P934" s="328"/>
      <c r="Q934" s="328"/>
      <c r="R934" s="328"/>
      <c r="S934" s="328"/>
      <c r="T934" s="328"/>
      <c r="U934" s="328"/>
      <c r="V934" s="328"/>
      <c r="W934" s="328"/>
      <c r="X934" s="328"/>
      <c r="Y934" s="328"/>
      <c r="Z934" s="328"/>
      <c r="AA934" s="328"/>
      <c r="AB934" s="328"/>
      <c r="AC934" s="328"/>
      <c r="AD934" s="328"/>
      <c r="AE934" s="328"/>
      <c r="AF934" s="328"/>
      <c r="AG934" s="328"/>
      <c r="AH934" s="328"/>
      <c r="AI934" s="328"/>
      <c r="AJ934" s="328"/>
      <c r="AK934" s="328"/>
      <c r="AL934" s="328"/>
      <c r="AM934" s="328"/>
      <c r="AN934" s="328"/>
      <c r="AO934" s="328"/>
      <c r="AP934" s="328"/>
      <c r="AQ934" s="328"/>
      <c r="AR934" s="328"/>
      <c r="AS934" s="328"/>
      <c r="AT934" s="328"/>
      <c r="AU934" s="328"/>
    </row>
    <row r="935" ht="15.75" customHeight="1">
      <c r="A935" s="328"/>
      <c r="B935" s="328"/>
      <c r="C935" s="328"/>
      <c r="D935" s="328"/>
      <c r="E935" s="328"/>
      <c r="F935" s="328"/>
      <c r="G935" s="328"/>
      <c r="H935" s="328"/>
      <c r="I935" s="328"/>
      <c r="J935" s="328"/>
      <c r="K935" s="328"/>
      <c r="L935" s="328"/>
      <c r="M935" s="328"/>
      <c r="N935" s="328"/>
      <c r="O935" s="328"/>
      <c r="P935" s="328"/>
      <c r="Q935" s="328"/>
      <c r="R935" s="328"/>
      <c r="S935" s="328"/>
      <c r="T935" s="328"/>
      <c r="U935" s="328"/>
      <c r="V935" s="328"/>
      <c r="W935" s="328"/>
      <c r="X935" s="328"/>
      <c r="Y935" s="328"/>
      <c r="Z935" s="328"/>
      <c r="AA935" s="328"/>
      <c r="AB935" s="328"/>
      <c r="AC935" s="328"/>
      <c r="AD935" s="328"/>
      <c r="AE935" s="328"/>
      <c r="AF935" s="328"/>
      <c r="AG935" s="328"/>
      <c r="AH935" s="328"/>
      <c r="AI935" s="328"/>
      <c r="AJ935" s="328"/>
      <c r="AK935" s="328"/>
      <c r="AL935" s="328"/>
      <c r="AM935" s="328"/>
      <c r="AN935" s="328"/>
      <c r="AO935" s="328"/>
      <c r="AP935" s="328"/>
      <c r="AQ935" s="328"/>
      <c r="AR935" s="328"/>
      <c r="AS935" s="328"/>
      <c r="AT935" s="328"/>
      <c r="AU935" s="328"/>
    </row>
    <row r="936" ht="15.75" customHeight="1">
      <c r="A936" s="328"/>
      <c r="B936" s="328"/>
      <c r="C936" s="328"/>
      <c r="D936" s="328"/>
      <c r="E936" s="328"/>
      <c r="F936" s="328"/>
      <c r="G936" s="328"/>
      <c r="H936" s="328"/>
      <c r="I936" s="328"/>
      <c r="J936" s="328"/>
      <c r="K936" s="328"/>
      <c r="L936" s="328"/>
      <c r="M936" s="328"/>
      <c r="N936" s="328"/>
      <c r="O936" s="328"/>
      <c r="P936" s="328"/>
      <c r="Q936" s="328"/>
      <c r="R936" s="328"/>
      <c r="S936" s="328"/>
      <c r="T936" s="328"/>
      <c r="U936" s="328"/>
      <c r="V936" s="328"/>
      <c r="W936" s="328"/>
      <c r="X936" s="328"/>
      <c r="Y936" s="328"/>
      <c r="Z936" s="328"/>
      <c r="AA936" s="328"/>
      <c r="AB936" s="328"/>
      <c r="AC936" s="328"/>
      <c r="AD936" s="328"/>
      <c r="AE936" s="328"/>
      <c r="AF936" s="328"/>
      <c r="AG936" s="328"/>
      <c r="AH936" s="328"/>
      <c r="AI936" s="328"/>
      <c r="AJ936" s="328"/>
      <c r="AK936" s="328"/>
      <c r="AL936" s="328"/>
      <c r="AM936" s="328"/>
      <c r="AN936" s="328"/>
      <c r="AO936" s="328"/>
      <c r="AP936" s="328"/>
      <c r="AQ936" s="328"/>
      <c r="AR936" s="328"/>
      <c r="AS936" s="328"/>
      <c r="AT936" s="328"/>
      <c r="AU936" s="328"/>
    </row>
    <row r="937" ht="15.75" customHeight="1">
      <c r="A937" s="328"/>
      <c r="B937" s="328"/>
      <c r="C937" s="328"/>
      <c r="D937" s="328"/>
      <c r="E937" s="328"/>
      <c r="F937" s="328"/>
      <c r="G937" s="328"/>
      <c r="H937" s="328"/>
      <c r="I937" s="328"/>
      <c r="J937" s="328"/>
      <c r="K937" s="328"/>
      <c r="L937" s="328"/>
      <c r="M937" s="328"/>
      <c r="N937" s="328"/>
      <c r="O937" s="328"/>
      <c r="P937" s="328"/>
      <c r="Q937" s="328"/>
      <c r="R937" s="328"/>
      <c r="S937" s="328"/>
      <c r="T937" s="328"/>
      <c r="U937" s="328"/>
      <c r="V937" s="328"/>
      <c r="W937" s="328"/>
      <c r="X937" s="328"/>
      <c r="Y937" s="328"/>
      <c r="Z937" s="328"/>
      <c r="AA937" s="328"/>
      <c r="AB937" s="328"/>
      <c r="AC937" s="328"/>
      <c r="AD937" s="328"/>
      <c r="AE937" s="328"/>
      <c r="AF937" s="328"/>
      <c r="AG937" s="328"/>
      <c r="AH937" s="328"/>
      <c r="AI937" s="328"/>
      <c r="AJ937" s="328"/>
      <c r="AK937" s="328"/>
      <c r="AL937" s="328"/>
      <c r="AM937" s="328"/>
      <c r="AN937" s="328"/>
      <c r="AO937" s="328"/>
      <c r="AP937" s="328"/>
      <c r="AQ937" s="328"/>
      <c r="AR937" s="328"/>
      <c r="AS937" s="328"/>
      <c r="AT937" s="328"/>
      <c r="AU937" s="328"/>
    </row>
    <row r="938" ht="15.75" customHeight="1">
      <c r="A938" s="328"/>
      <c r="B938" s="328"/>
      <c r="C938" s="328"/>
      <c r="D938" s="328"/>
      <c r="E938" s="328"/>
      <c r="F938" s="328"/>
      <c r="G938" s="328"/>
      <c r="H938" s="328"/>
      <c r="I938" s="328"/>
      <c r="J938" s="328"/>
      <c r="K938" s="328"/>
      <c r="L938" s="328"/>
      <c r="M938" s="328"/>
      <c r="N938" s="328"/>
      <c r="O938" s="328"/>
      <c r="P938" s="328"/>
      <c r="Q938" s="328"/>
      <c r="R938" s="328"/>
      <c r="S938" s="328"/>
      <c r="T938" s="328"/>
      <c r="U938" s="328"/>
      <c r="V938" s="328"/>
      <c r="W938" s="328"/>
      <c r="X938" s="328"/>
      <c r="Y938" s="328"/>
      <c r="Z938" s="328"/>
      <c r="AA938" s="328"/>
      <c r="AB938" s="328"/>
      <c r="AC938" s="328"/>
      <c r="AD938" s="328"/>
      <c r="AE938" s="328"/>
      <c r="AF938" s="328"/>
      <c r="AG938" s="328"/>
      <c r="AH938" s="328"/>
      <c r="AI938" s="328"/>
      <c r="AJ938" s="328"/>
      <c r="AK938" s="328"/>
      <c r="AL938" s="328"/>
      <c r="AM938" s="328"/>
      <c r="AN938" s="328"/>
      <c r="AO938" s="328"/>
      <c r="AP938" s="328"/>
      <c r="AQ938" s="328"/>
      <c r="AR938" s="328"/>
      <c r="AS938" s="328"/>
      <c r="AT938" s="328"/>
      <c r="AU938" s="328"/>
    </row>
    <row r="939" ht="15.75" customHeight="1">
      <c r="A939" s="328"/>
      <c r="B939" s="328"/>
      <c r="C939" s="328"/>
      <c r="D939" s="328"/>
      <c r="E939" s="328"/>
      <c r="F939" s="328"/>
      <c r="G939" s="328"/>
      <c r="H939" s="328"/>
      <c r="I939" s="328"/>
      <c r="J939" s="328"/>
      <c r="K939" s="328"/>
      <c r="L939" s="328"/>
      <c r="M939" s="328"/>
      <c r="N939" s="328"/>
      <c r="O939" s="328"/>
      <c r="P939" s="328"/>
      <c r="Q939" s="328"/>
      <c r="R939" s="328"/>
      <c r="S939" s="328"/>
      <c r="T939" s="328"/>
      <c r="U939" s="328"/>
      <c r="V939" s="328"/>
      <c r="W939" s="328"/>
      <c r="X939" s="328"/>
      <c r="Y939" s="328"/>
      <c r="Z939" s="328"/>
      <c r="AA939" s="328"/>
      <c r="AB939" s="328"/>
      <c r="AC939" s="328"/>
      <c r="AD939" s="328"/>
      <c r="AE939" s="328"/>
      <c r="AF939" s="328"/>
      <c r="AG939" s="328"/>
      <c r="AH939" s="328"/>
      <c r="AI939" s="328"/>
      <c r="AJ939" s="328"/>
      <c r="AK939" s="328"/>
      <c r="AL939" s="328"/>
      <c r="AM939" s="328"/>
      <c r="AN939" s="328"/>
      <c r="AO939" s="328"/>
      <c r="AP939" s="328"/>
      <c r="AQ939" s="328"/>
      <c r="AR939" s="328"/>
      <c r="AS939" s="328"/>
      <c r="AT939" s="328"/>
      <c r="AU939" s="328"/>
    </row>
    <row r="940" ht="15.75" customHeight="1">
      <c r="A940" s="328"/>
      <c r="B940" s="328"/>
      <c r="C940" s="328"/>
      <c r="D940" s="328"/>
      <c r="E940" s="328"/>
      <c r="F940" s="328"/>
      <c r="G940" s="328"/>
      <c r="H940" s="328"/>
      <c r="I940" s="328"/>
      <c r="J940" s="328"/>
      <c r="K940" s="328"/>
      <c r="L940" s="328"/>
      <c r="M940" s="328"/>
      <c r="N940" s="328"/>
      <c r="O940" s="328"/>
      <c r="P940" s="328"/>
      <c r="Q940" s="328"/>
      <c r="R940" s="328"/>
      <c r="S940" s="328"/>
      <c r="T940" s="328"/>
      <c r="U940" s="328"/>
      <c r="V940" s="328"/>
      <c r="W940" s="328"/>
      <c r="X940" s="328"/>
      <c r="Y940" s="328"/>
      <c r="Z940" s="328"/>
      <c r="AA940" s="328"/>
      <c r="AB940" s="328"/>
      <c r="AC940" s="328"/>
      <c r="AD940" s="328"/>
      <c r="AE940" s="328"/>
      <c r="AF940" s="328"/>
      <c r="AG940" s="328"/>
      <c r="AH940" s="328"/>
      <c r="AI940" s="328"/>
      <c r="AJ940" s="328"/>
      <c r="AK940" s="328"/>
      <c r="AL940" s="328"/>
      <c r="AM940" s="328"/>
      <c r="AN940" s="328"/>
      <c r="AO940" s="328"/>
      <c r="AP940" s="328"/>
      <c r="AQ940" s="328"/>
      <c r="AR940" s="328"/>
      <c r="AS940" s="328"/>
      <c r="AT940" s="328"/>
      <c r="AU940" s="328"/>
    </row>
    <row r="941" ht="15.75" customHeight="1">
      <c r="A941" s="328"/>
      <c r="B941" s="328"/>
      <c r="C941" s="328"/>
      <c r="D941" s="328"/>
      <c r="E941" s="328"/>
      <c r="F941" s="328"/>
      <c r="G941" s="328"/>
      <c r="H941" s="328"/>
      <c r="I941" s="328"/>
      <c r="J941" s="328"/>
      <c r="K941" s="328"/>
      <c r="L941" s="328"/>
      <c r="M941" s="328"/>
      <c r="N941" s="328"/>
      <c r="O941" s="328"/>
      <c r="P941" s="328"/>
      <c r="Q941" s="328"/>
      <c r="R941" s="328"/>
      <c r="S941" s="328"/>
      <c r="T941" s="328"/>
      <c r="U941" s="328"/>
      <c r="V941" s="328"/>
      <c r="W941" s="328"/>
      <c r="X941" s="328"/>
      <c r="Y941" s="328"/>
      <c r="Z941" s="328"/>
      <c r="AA941" s="328"/>
      <c r="AB941" s="328"/>
      <c r="AC941" s="328"/>
      <c r="AD941" s="328"/>
      <c r="AE941" s="328"/>
      <c r="AF941" s="328"/>
      <c r="AG941" s="328"/>
      <c r="AH941" s="328"/>
      <c r="AI941" s="328"/>
      <c r="AJ941" s="328"/>
      <c r="AK941" s="328"/>
      <c r="AL941" s="328"/>
      <c r="AM941" s="328"/>
      <c r="AN941" s="328"/>
      <c r="AO941" s="328"/>
      <c r="AP941" s="328"/>
      <c r="AQ941" s="328"/>
      <c r="AR941" s="328"/>
      <c r="AS941" s="328"/>
      <c r="AT941" s="328"/>
      <c r="AU941" s="328"/>
    </row>
    <row r="942" ht="15.75" customHeight="1">
      <c r="A942" s="328"/>
      <c r="B942" s="328"/>
      <c r="C942" s="328"/>
      <c r="D942" s="328"/>
      <c r="E942" s="328"/>
      <c r="F942" s="328"/>
      <c r="G942" s="328"/>
      <c r="H942" s="328"/>
      <c r="I942" s="328"/>
      <c r="J942" s="328"/>
      <c r="K942" s="328"/>
      <c r="L942" s="328"/>
      <c r="M942" s="328"/>
      <c r="N942" s="328"/>
      <c r="O942" s="328"/>
      <c r="P942" s="328"/>
      <c r="Q942" s="328"/>
      <c r="R942" s="328"/>
      <c r="S942" s="328"/>
      <c r="T942" s="328"/>
      <c r="U942" s="328"/>
      <c r="V942" s="328"/>
      <c r="W942" s="328"/>
      <c r="X942" s="328"/>
      <c r="Y942" s="328"/>
      <c r="Z942" s="328"/>
      <c r="AA942" s="328"/>
      <c r="AB942" s="328"/>
      <c r="AC942" s="328"/>
      <c r="AD942" s="328"/>
      <c r="AE942" s="328"/>
      <c r="AF942" s="328"/>
      <c r="AG942" s="328"/>
      <c r="AH942" s="328"/>
      <c r="AI942" s="328"/>
      <c r="AJ942" s="328"/>
      <c r="AK942" s="328"/>
      <c r="AL942" s="328"/>
      <c r="AM942" s="328"/>
      <c r="AN942" s="328"/>
      <c r="AO942" s="328"/>
      <c r="AP942" s="328"/>
      <c r="AQ942" s="328"/>
      <c r="AR942" s="328"/>
      <c r="AS942" s="328"/>
      <c r="AT942" s="328"/>
      <c r="AU942" s="328"/>
    </row>
    <row r="943" ht="15.75" customHeight="1">
      <c r="A943" s="328"/>
      <c r="B943" s="328"/>
      <c r="C943" s="328"/>
      <c r="D943" s="328"/>
      <c r="E943" s="328"/>
      <c r="F943" s="328"/>
      <c r="G943" s="328"/>
      <c r="H943" s="328"/>
      <c r="I943" s="328"/>
      <c r="J943" s="328"/>
      <c r="K943" s="328"/>
      <c r="L943" s="328"/>
      <c r="M943" s="328"/>
      <c r="N943" s="328"/>
      <c r="O943" s="328"/>
      <c r="P943" s="328"/>
      <c r="Q943" s="328"/>
      <c r="R943" s="328"/>
      <c r="S943" s="328"/>
      <c r="T943" s="328"/>
      <c r="U943" s="328"/>
      <c r="V943" s="328"/>
      <c r="W943" s="328"/>
      <c r="X943" s="328"/>
      <c r="Y943" s="328"/>
      <c r="Z943" s="328"/>
      <c r="AA943" s="328"/>
      <c r="AB943" s="328"/>
      <c r="AC943" s="328"/>
      <c r="AD943" s="328"/>
      <c r="AE943" s="328"/>
      <c r="AF943" s="328"/>
      <c r="AG943" s="328"/>
      <c r="AH943" s="328"/>
      <c r="AI943" s="328"/>
      <c r="AJ943" s="328"/>
      <c r="AK943" s="328"/>
      <c r="AL943" s="328"/>
      <c r="AM943" s="328"/>
      <c r="AN943" s="328"/>
      <c r="AO943" s="328"/>
      <c r="AP943" s="328"/>
      <c r="AQ943" s="328"/>
      <c r="AR943" s="328"/>
      <c r="AS943" s="328"/>
      <c r="AT943" s="328"/>
      <c r="AU943" s="328"/>
    </row>
    <row r="944" ht="15.75" customHeight="1">
      <c r="A944" s="328"/>
      <c r="B944" s="328"/>
      <c r="C944" s="328"/>
      <c r="D944" s="328"/>
      <c r="E944" s="328"/>
      <c r="F944" s="328"/>
      <c r="G944" s="328"/>
      <c r="H944" s="328"/>
      <c r="I944" s="328"/>
      <c r="J944" s="328"/>
      <c r="K944" s="328"/>
      <c r="L944" s="328"/>
      <c r="M944" s="328"/>
      <c r="N944" s="328"/>
      <c r="O944" s="328"/>
      <c r="P944" s="328"/>
      <c r="Q944" s="328"/>
      <c r="R944" s="328"/>
      <c r="S944" s="328"/>
      <c r="T944" s="328"/>
      <c r="U944" s="328"/>
      <c r="V944" s="328"/>
      <c r="W944" s="328"/>
      <c r="X944" s="328"/>
      <c r="Y944" s="328"/>
      <c r="Z944" s="328"/>
      <c r="AA944" s="328"/>
      <c r="AB944" s="328"/>
      <c r="AC944" s="328"/>
      <c r="AD944" s="328"/>
      <c r="AE944" s="328"/>
      <c r="AF944" s="328"/>
      <c r="AG944" s="328"/>
      <c r="AH944" s="328"/>
      <c r="AI944" s="328"/>
      <c r="AJ944" s="328"/>
      <c r="AK944" s="328"/>
      <c r="AL944" s="328"/>
      <c r="AM944" s="328"/>
      <c r="AN944" s="328"/>
      <c r="AO944" s="328"/>
      <c r="AP944" s="328"/>
      <c r="AQ944" s="328"/>
      <c r="AR944" s="328"/>
      <c r="AS944" s="328"/>
      <c r="AT944" s="328"/>
      <c r="AU944" s="328"/>
    </row>
    <row r="945" ht="15.75" customHeight="1">
      <c r="A945" s="328"/>
      <c r="B945" s="328"/>
      <c r="C945" s="328"/>
      <c r="D945" s="328"/>
      <c r="E945" s="328"/>
      <c r="F945" s="328"/>
      <c r="G945" s="328"/>
      <c r="H945" s="328"/>
      <c r="I945" s="328"/>
      <c r="J945" s="328"/>
      <c r="K945" s="328"/>
      <c r="L945" s="328"/>
      <c r="M945" s="328"/>
      <c r="N945" s="328"/>
      <c r="O945" s="328"/>
      <c r="P945" s="328"/>
      <c r="Q945" s="328"/>
      <c r="R945" s="328"/>
      <c r="S945" s="328"/>
      <c r="T945" s="328"/>
      <c r="U945" s="328"/>
      <c r="V945" s="328"/>
      <c r="W945" s="328"/>
      <c r="X945" s="328"/>
      <c r="Y945" s="328"/>
      <c r="Z945" s="328"/>
      <c r="AA945" s="328"/>
      <c r="AB945" s="328"/>
      <c r="AC945" s="328"/>
      <c r="AD945" s="328"/>
      <c r="AE945" s="328"/>
      <c r="AF945" s="328"/>
      <c r="AG945" s="328"/>
      <c r="AH945" s="328"/>
      <c r="AI945" s="328"/>
      <c r="AJ945" s="328"/>
      <c r="AK945" s="328"/>
      <c r="AL945" s="328"/>
      <c r="AM945" s="328"/>
      <c r="AN945" s="328"/>
      <c r="AO945" s="328"/>
      <c r="AP945" s="328"/>
      <c r="AQ945" s="328"/>
      <c r="AR945" s="328"/>
      <c r="AS945" s="328"/>
      <c r="AT945" s="328"/>
      <c r="AU945" s="328"/>
    </row>
    <row r="946" ht="15.75" customHeight="1">
      <c r="A946" s="328"/>
      <c r="B946" s="328"/>
      <c r="C946" s="328"/>
      <c r="D946" s="328"/>
      <c r="E946" s="328"/>
      <c r="F946" s="328"/>
      <c r="G946" s="328"/>
      <c r="H946" s="328"/>
      <c r="I946" s="328"/>
      <c r="J946" s="328"/>
      <c r="K946" s="328"/>
      <c r="L946" s="328"/>
      <c r="M946" s="328"/>
      <c r="N946" s="328"/>
      <c r="O946" s="328"/>
      <c r="P946" s="328"/>
      <c r="Q946" s="328"/>
      <c r="R946" s="328"/>
      <c r="S946" s="328"/>
      <c r="T946" s="328"/>
      <c r="U946" s="328"/>
      <c r="V946" s="328"/>
      <c r="W946" s="328"/>
      <c r="X946" s="328"/>
      <c r="Y946" s="328"/>
      <c r="Z946" s="328"/>
      <c r="AA946" s="328"/>
      <c r="AB946" s="328"/>
      <c r="AC946" s="328"/>
      <c r="AD946" s="328"/>
      <c r="AE946" s="328"/>
      <c r="AF946" s="328"/>
      <c r="AG946" s="328"/>
      <c r="AH946" s="328"/>
      <c r="AI946" s="328"/>
      <c r="AJ946" s="328"/>
      <c r="AK946" s="328"/>
      <c r="AL946" s="328"/>
      <c r="AM946" s="328"/>
      <c r="AN946" s="328"/>
      <c r="AO946" s="328"/>
      <c r="AP946" s="328"/>
      <c r="AQ946" s="328"/>
      <c r="AR946" s="328"/>
      <c r="AS946" s="328"/>
      <c r="AT946" s="328"/>
      <c r="AU946" s="328"/>
    </row>
    <row r="947" ht="15.75" customHeight="1">
      <c r="A947" s="328"/>
      <c r="B947" s="328"/>
      <c r="C947" s="328"/>
      <c r="D947" s="328"/>
      <c r="E947" s="328"/>
      <c r="F947" s="328"/>
      <c r="G947" s="328"/>
      <c r="H947" s="328"/>
      <c r="I947" s="328"/>
      <c r="J947" s="328"/>
      <c r="K947" s="328"/>
      <c r="L947" s="328"/>
      <c r="M947" s="328"/>
      <c r="N947" s="328"/>
      <c r="O947" s="328"/>
      <c r="P947" s="328"/>
      <c r="Q947" s="328"/>
      <c r="R947" s="328"/>
      <c r="S947" s="328"/>
      <c r="T947" s="328"/>
      <c r="U947" s="328"/>
      <c r="V947" s="328"/>
      <c r="W947" s="328"/>
      <c r="X947" s="328"/>
      <c r="Y947" s="328"/>
      <c r="Z947" s="328"/>
      <c r="AA947" s="328"/>
      <c r="AB947" s="328"/>
      <c r="AC947" s="328"/>
      <c r="AD947" s="328"/>
      <c r="AE947" s="328"/>
      <c r="AF947" s="328"/>
      <c r="AG947" s="328"/>
      <c r="AH947" s="328"/>
      <c r="AI947" s="328"/>
      <c r="AJ947" s="328"/>
      <c r="AK947" s="328"/>
      <c r="AL947" s="328"/>
      <c r="AM947" s="328"/>
      <c r="AN947" s="328"/>
      <c r="AO947" s="328"/>
      <c r="AP947" s="328"/>
      <c r="AQ947" s="328"/>
      <c r="AR947" s="328"/>
      <c r="AS947" s="328"/>
      <c r="AT947" s="328"/>
      <c r="AU947" s="328"/>
    </row>
    <row r="948" ht="15.75" customHeight="1">
      <c r="A948" s="328"/>
      <c r="B948" s="328"/>
      <c r="C948" s="328"/>
      <c r="D948" s="328"/>
      <c r="E948" s="328"/>
      <c r="F948" s="328"/>
      <c r="G948" s="328"/>
      <c r="H948" s="328"/>
      <c r="I948" s="328"/>
      <c r="J948" s="328"/>
      <c r="K948" s="328"/>
      <c r="L948" s="328"/>
      <c r="M948" s="328"/>
      <c r="N948" s="328"/>
      <c r="O948" s="328"/>
      <c r="P948" s="328"/>
      <c r="Q948" s="328"/>
      <c r="R948" s="328"/>
      <c r="S948" s="328"/>
      <c r="T948" s="328"/>
      <c r="U948" s="328"/>
      <c r="V948" s="328"/>
      <c r="W948" s="328"/>
      <c r="X948" s="328"/>
      <c r="Y948" s="328"/>
      <c r="Z948" s="328"/>
      <c r="AA948" s="328"/>
      <c r="AB948" s="328"/>
      <c r="AC948" s="328"/>
      <c r="AD948" s="328"/>
      <c r="AE948" s="328"/>
      <c r="AF948" s="328"/>
      <c r="AG948" s="328"/>
      <c r="AH948" s="328"/>
      <c r="AI948" s="328"/>
      <c r="AJ948" s="328"/>
      <c r="AK948" s="328"/>
      <c r="AL948" s="328"/>
      <c r="AM948" s="328"/>
      <c r="AN948" s="328"/>
      <c r="AO948" s="328"/>
      <c r="AP948" s="328"/>
      <c r="AQ948" s="328"/>
      <c r="AR948" s="328"/>
      <c r="AS948" s="328"/>
      <c r="AT948" s="328"/>
      <c r="AU948" s="328"/>
    </row>
    <row r="949" ht="15.75" customHeight="1">
      <c r="A949" s="328"/>
      <c r="B949" s="328"/>
      <c r="C949" s="328"/>
      <c r="D949" s="328"/>
      <c r="E949" s="328"/>
      <c r="F949" s="328"/>
      <c r="G949" s="328"/>
      <c r="H949" s="328"/>
      <c r="I949" s="328"/>
      <c r="J949" s="328"/>
      <c r="K949" s="328"/>
      <c r="L949" s="328"/>
      <c r="M949" s="328"/>
      <c r="N949" s="328"/>
      <c r="O949" s="328"/>
      <c r="P949" s="328"/>
      <c r="Q949" s="328"/>
      <c r="R949" s="328"/>
      <c r="S949" s="328"/>
      <c r="T949" s="328"/>
      <c r="U949" s="328"/>
      <c r="V949" s="328"/>
      <c r="W949" s="328"/>
      <c r="X949" s="328"/>
      <c r="Y949" s="328"/>
      <c r="Z949" s="328"/>
      <c r="AA949" s="328"/>
      <c r="AB949" s="328"/>
      <c r="AC949" s="328"/>
      <c r="AD949" s="328"/>
      <c r="AE949" s="328"/>
      <c r="AF949" s="328"/>
      <c r="AG949" s="328"/>
      <c r="AH949" s="328"/>
      <c r="AI949" s="328"/>
      <c r="AJ949" s="328"/>
      <c r="AK949" s="328"/>
      <c r="AL949" s="328"/>
      <c r="AM949" s="328"/>
      <c r="AN949" s="328"/>
      <c r="AO949" s="328"/>
      <c r="AP949" s="328"/>
      <c r="AQ949" s="328"/>
      <c r="AR949" s="328"/>
      <c r="AS949" s="328"/>
      <c r="AT949" s="328"/>
      <c r="AU949" s="328"/>
    </row>
    <row r="950" ht="15.75" customHeight="1">
      <c r="A950" s="328"/>
      <c r="B950" s="328"/>
      <c r="C950" s="328"/>
      <c r="D950" s="328"/>
      <c r="E950" s="328"/>
      <c r="F950" s="328"/>
      <c r="G950" s="328"/>
      <c r="H950" s="328"/>
      <c r="I950" s="328"/>
      <c r="J950" s="328"/>
      <c r="K950" s="328"/>
      <c r="L950" s="328"/>
      <c r="M950" s="328"/>
      <c r="N950" s="328"/>
      <c r="O950" s="328"/>
      <c r="P950" s="328"/>
      <c r="Q950" s="328"/>
      <c r="R950" s="328"/>
      <c r="S950" s="328"/>
      <c r="T950" s="328"/>
      <c r="U950" s="328"/>
      <c r="V950" s="328"/>
      <c r="W950" s="328"/>
      <c r="X950" s="328"/>
      <c r="Y950" s="328"/>
      <c r="Z950" s="328"/>
      <c r="AA950" s="328"/>
      <c r="AB950" s="328"/>
      <c r="AC950" s="328"/>
      <c r="AD950" s="328"/>
      <c r="AE950" s="328"/>
      <c r="AF950" s="328"/>
      <c r="AG950" s="328"/>
      <c r="AH950" s="328"/>
      <c r="AI950" s="328"/>
      <c r="AJ950" s="328"/>
      <c r="AK950" s="328"/>
      <c r="AL950" s="328"/>
      <c r="AM950" s="328"/>
      <c r="AN950" s="328"/>
      <c r="AO950" s="328"/>
      <c r="AP950" s="328"/>
      <c r="AQ950" s="328"/>
      <c r="AR950" s="328"/>
      <c r="AS950" s="328"/>
      <c r="AT950" s="328"/>
      <c r="AU950" s="328"/>
    </row>
    <row r="951" ht="15.75" customHeight="1">
      <c r="A951" s="328"/>
      <c r="B951" s="328"/>
      <c r="C951" s="328"/>
      <c r="D951" s="328"/>
      <c r="E951" s="328"/>
      <c r="F951" s="328"/>
      <c r="G951" s="328"/>
      <c r="H951" s="328"/>
      <c r="I951" s="328"/>
      <c r="J951" s="328"/>
      <c r="K951" s="328"/>
      <c r="L951" s="328"/>
      <c r="M951" s="328"/>
      <c r="N951" s="328"/>
      <c r="O951" s="328"/>
      <c r="P951" s="328"/>
      <c r="Q951" s="328"/>
      <c r="R951" s="328"/>
      <c r="S951" s="328"/>
      <c r="T951" s="328"/>
      <c r="U951" s="328"/>
      <c r="V951" s="328"/>
      <c r="W951" s="328"/>
      <c r="X951" s="328"/>
      <c r="Y951" s="328"/>
      <c r="Z951" s="328"/>
      <c r="AA951" s="328"/>
      <c r="AB951" s="328"/>
      <c r="AC951" s="328"/>
      <c r="AD951" s="328"/>
      <c r="AE951" s="328"/>
      <c r="AF951" s="328"/>
      <c r="AG951" s="328"/>
      <c r="AH951" s="328"/>
      <c r="AI951" s="328"/>
      <c r="AJ951" s="328"/>
      <c r="AK951" s="328"/>
      <c r="AL951" s="328"/>
      <c r="AM951" s="328"/>
      <c r="AN951" s="328"/>
      <c r="AO951" s="328"/>
      <c r="AP951" s="328"/>
      <c r="AQ951" s="328"/>
      <c r="AR951" s="328"/>
      <c r="AS951" s="328"/>
      <c r="AT951" s="328"/>
      <c r="AU951" s="328"/>
    </row>
    <row r="952" ht="15.75" customHeight="1">
      <c r="A952" s="328"/>
      <c r="B952" s="328"/>
      <c r="C952" s="328"/>
      <c r="D952" s="328"/>
      <c r="E952" s="328"/>
      <c r="F952" s="328"/>
      <c r="G952" s="328"/>
      <c r="H952" s="328"/>
      <c r="I952" s="328"/>
      <c r="J952" s="328"/>
      <c r="K952" s="328"/>
      <c r="L952" s="328"/>
      <c r="M952" s="328"/>
      <c r="N952" s="328"/>
      <c r="O952" s="328"/>
      <c r="P952" s="328"/>
      <c r="Q952" s="328"/>
      <c r="R952" s="328"/>
      <c r="S952" s="328"/>
      <c r="T952" s="328"/>
      <c r="U952" s="328"/>
      <c r="V952" s="328"/>
      <c r="W952" s="328"/>
      <c r="X952" s="328"/>
      <c r="Y952" s="328"/>
      <c r="Z952" s="328"/>
      <c r="AA952" s="328"/>
      <c r="AB952" s="328"/>
      <c r="AC952" s="328"/>
      <c r="AD952" s="328"/>
      <c r="AE952" s="328"/>
      <c r="AF952" s="328"/>
      <c r="AG952" s="328"/>
      <c r="AH952" s="328"/>
      <c r="AI952" s="328"/>
      <c r="AJ952" s="328"/>
      <c r="AK952" s="328"/>
      <c r="AL952" s="328"/>
      <c r="AM952" s="328"/>
      <c r="AN952" s="328"/>
      <c r="AO952" s="328"/>
      <c r="AP952" s="328"/>
      <c r="AQ952" s="328"/>
      <c r="AR952" s="328"/>
      <c r="AS952" s="328"/>
      <c r="AT952" s="328"/>
      <c r="AU952" s="328"/>
    </row>
    <row r="953" ht="15.75" customHeight="1">
      <c r="A953" s="328"/>
      <c r="B953" s="328"/>
      <c r="C953" s="328"/>
      <c r="D953" s="328"/>
      <c r="E953" s="328"/>
      <c r="F953" s="328"/>
      <c r="G953" s="328"/>
      <c r="H953" s="328"/>
      <c r="I953" s="328"/>
      <c r="J953" s="328"/>
      <c r="K953" s="328"/>
      <c r="L953" s="328"/>
      <c r="M953" s="328"/>
      <c r="N953" s="328"/>
      <c r="O953" s="328"/>
      <c r="P953" s="328"/>
      <c r="Q953" s="328"/>
      <c r="R953" s="328"/>
      <c r="S953" s="328"/>
      <c r="T953" s="328"/>
      <c r="U953" s="328"/>
      <c r="V953" s="328"/>
      <c r="W953" s="328"/>
      <c r="X953" s="328"/>
      <c r="Y953" s="328"/>
      <c r="Z953" s="328"/>
      <c r="AA953" s="328"/>
      <c r="AB953" s="328"/>
      <c r="AC953" s="328"/>
      <c r="AD953" s="328"/>
      <c r="AE953" s="328"/>
      <c r="AF953" s="328"/>
      <c r="AG953" s="328"/>
      <c r="AH953" s="328"/>
      <c r="AI953" s="328"/>
      <c r="AJ953" s="328"/>
      <c r="AK953" s="328"/>
      <c r="AL953" s="328"/>
      <c r="AM953" s="328"/>
      <c r="AN953" s="328"/>
      <c r="AO953" s="328"/>
      <c r="AP953" s="328"/>
      <c r="AQ953" s="328"/>
      <c r="AR953" s="328"/>
      <c r="AS953" s="328"/>
      <c r="AT953" s="328"/>
      <c r="AU953" s="328"/>
    </row>
    <row r="954" ht="15.75" customHeight="1">
      <c r="A954" s="328"/>
      <c r="B954" s="328"/>
      <c r="C954" s="328"/>
      <c r="D954" s="328"/>
      <c r="E954" s="328"/>
      <c r="F954" s="328"/>
      <c r="G954" s="328"/>
      <c r="H954" s="328"/>
      <c r="I954" s="328"/>
      <c r="J954" s="328"/>
      <c r="K954" s="328"/>
      <c r="L954" s="328"/>
      <c r="M954" s="328"/>
      <c r="N954" s="328"/>
      <c r="O954" s="328"/>
      <c r="P954" s="328"/>
      <c r="Q954" s="328"/>
      <c r="R954" s="328"/>
      <c r="S954" s="328"/>
      <c r="T954" s="328"/>
      <c r="U954" s="328"/>
      <c r="V954" s="328"/>
      <c r="W954" s="328"/>
      <c r="X954" s="328"/>
      <c r="Y954" s="328"/>
      <c r="Z954" s="328"/>
      <c r="AA954" s="328"/>
      <c r="AB954" s="328"/>
      <c r="AC954" s="328"/>
      <c r="AD954" s="328"/>
      <c r="AE954" s="328"/>
      <c r="AF954" s="328"/>
      <c r="AG954" s="328"/>
      <c r="AH954" s="328"/>
      <c r="AI954" s="328"/>
      <c r="AJ954" s="328"/>
      <c r="AK954" s="328"/>
      <c r="AL954" s="328"/>
      <c r="AM954" s="328"/>
      <c r="AN954" s="328"/>
      <c r="AO954" s="328"/>
      <c r="AP954" s="328"/>
      <c r="AQ954" s="328"/>
      <c r="AR954" s="328"/>
      <c r="AS954" s="328"/>
      <c r="AT954" s="328"/>
      <c r="AU954" s="328"/>
    </row>
    <row r="955" ht="15.75" customHeight="1">
      <c r="A955" s="328"/>
      <c r="B955" s="328"/>
      <c r="C955" s="328"/>
      <c r="D955" s="328"/>
      <c r="E955" s="328"/>
      <c r="F955" s="328"/>
      <c r="G955" s="328"/>
      <c r="H955" s="328"/>
      <c r="I955" s="328"/>
      <c r="J955" s="328"/>
      <c r="K955" s="328"/>
      <c r="L955" s="328"/>
      <c r="M955" s="328"/>
      <c r="N955" s="328"/>
      <c r="O955" s="328"/>
      <c r="P955" s="328"/>
      <c r="Q955" s="328"/>
      <c r="R955" s="328"/>
      <c r="S955" s="328"/>
      <c r="T955" s="328"/>
      <c r="U955" s="328"/>
      <c r="V955" s="328"/>
      <c r="W955" s="328"/>
      <c r="X955" s="328"/>
      <c r="Y955" s="328"/>
      <c r="Z955" s="328"/>
      <c r="AA955" s="328"/>
      <c r="AB955" s="328"/>
      <c r="AC955" s="328"/>
      <c r="AD955" s="328"/>
      <c r="AE955" s="328"/>
      <c r="AF955" s="328"/>
      <c r="AG955" s="328"/>
      <c r="AH955" s="328"/>
      <c r="AI955" s="328"/>
      <c r="AJ955" s="328"/>
      <c r="AK955" s="328"/>
      <c r="AL955" s="328"/>
      <c r="AM955" s="328"/>
      <c r="AN955" s="328"/>
      <c r="AO955" s="328"/>
      <c r="AP955" s="328"/>
      <c r="AQ955" s="328"/>
      <c r="AR955" s="328"/>
      <c r="AS955" s="328"/>
      <c r="AT955" s="328"/>
      <c r="AU955" s="328"/>
    </row>
    <row r="956" ht="15.75" customHeight="1">
      <c r="A956" s="328"/>
      <c r="B956" s="328"/>
      <c r="C956" s="328"/>
      <c r="D956" s="328"/>
      <c r="E956" s="328"/>
      <c r="F956" s="328"/>
      <c r="G956" s="328"/>
      <c r="H956" s="328"/>
      <c r="I956" s="328"/>
      <c r="J956" s="328"/>
      <c r="K956" s="328"/>
      <c r="L956" s="328"/>
      <c r="M956" s="328"/>
      <c r="N956" s="328"/>
      <c r="O956" s="328"/>
      <c r="P956" s="328"/>
      <c r="Q956" s="328"/>
      <c r="R956" s="328"/>
      <c r="S956" s="328"/>
      <c r="T956" s="328"/>
      <c r="U956" s="328"/>
      <c r="V956" s="328"/>
      <c r="W956" s="328"/>
      <c r="X956" s="328"/>
      <c r="Y956" s="328"/>
      <c r="Z956" s="328"/>
      <c r="AA956" s="328"/>
      <c r="AB956" s="328"/>
      <c r="AC956" s="328"/>
      <c r="AD956" s="328"/>
      <c r="AE956" s="328"/>
      <c r="AF956" s="328"/>
      <c r="AG956" s="328"/>
      <c r="AH956" s="328"/>
      <c r="AI956" s="328"/>
      <c r="AJ956" s="328"/>
      <c r="AK956" s="328"/>
      <c r="AL956" s="328"/>
      <c r="AM956" s="328"/>
      <c r="AN956" s="328"/>
      <c r="AO956" s="328"/>
      <c r="AP956" s="328"/>
      <c r="AQ956" s="328"/>
      <c r="AR956" s="328"/>
      <c r="AS956" s="328"/>
      <c r="AT956" s="328"/>
      <c r="AU956" s="328"/>
    </row>
    <row r="957" ht="15.75" customHeight="1">
      <c r="A957" s="328"/>
      <c r="B957" s="328"/>
      <c r="C957" s="328"/>
      <c r="D957" s="328"/>
      <c r="E957" s="328"/>
      <c r="F957" s="328"/>
      <c r="G957" s="328"/>
      <c r="H957" s="328"/>
      <c r="I957" s="328"/>
      <c r="J957" s="328"/>
      <c r="K957" s="328"/>
      <c r="L957" s="328"/>
      <c r="M957" s="328"/>
      <c r="N957" s="328"/>
      <c r="O957" s="328"/>
      <c r="P957" s="328"/>
      <c r="Q957" s="328"/>
      <c r="R957" s="328"/>
      <c r="S957" s="328"/>
      <c r="T957" s="328"/>
      <c r="U957" s="328"/>
      <c r="V957" s="328"/>
      <c r="W957" s="328"/>
      <c r="X957" s="328"/>
      <c r="Y957" s="328"/>
      <c r="Z957" s="328"/>
      <c r="AA957" s="328"/>
      <c r="AB957" s="328"/>
      <c r="AC957" s="328"/>
      <c r="AD957" s="328"/>
      <c r="AE957" s="328"/>
      <c r="AF957" s="328"/>
      <c r="AG957" s="328"/>
      <c r="AH957" s="328"/>
      <c r="AI957" s="328"/>
      <c r="AJ957" s="328"/>
      <c r="AK957" s="328"/>
      <c r="AL957" s="328"/>
      <c r="AM957" s="328"/>
      <c r="AN957" s="328"/>
      <c r="AO957" s="328"/>
      <c r="AP957" s="328"/>
      <c r="AQ957" s="328"/>
      <c r="AR957" s="328"/>
      <c r="AS957" s="328"/>
      <c r="AT957" s="328"/>
      <c r="AU957" s="328"/>
    </row>
    <row r="958" ht="15.75" customHeight="1">
      <c r="A958" s="328"/>
      <c r="B958" s="328"/>
      <c r="C958" s="328"/>
      <c r="D958" s="328"/>
      <c r="E958" s="328"/>
      <c r="F958" s="328"/>
      <c r="G958" s="328"/>
      <c r="H958" s="328"/>
      <c r="I958" s="328"/>
      <c r="J958" s="328"/>
      <c r="K958" s="328"/>
      <c r="L958" s="328"/>
      <c r="M958" s="328"/>
      <c r="N958" s="328"/>
      <c r="O958" s="328"/>
      <c r="P958" s="328"/>
      <c r="Q958" s="328"/>
      <c r="R958" s="328"/>
      <c r="S958" s="328"/>
      <c r="T958" s="328"/>
      <c r="U958" s="328"/>
      <c r="V958" s="328"/>
      <c r="W958" s="328"/>
      <c r="X958" s="328"/>
      <c r="Y958" s="328"/>
      <c r="Z958" s="328"/>
      <c r="AA958" s="328"/>
      <c r="AB958" s="328"/>
      <c r="AC958" s="328"/>
      <c r="AD958" s="328"/>
      <c r="AE958" s="328"/>
      <c r="AF958" s="328"/>
      <c r="AG958" s="328"/>
      <c r="AH958" s="328"/>
      <c r="AI958" s="328"/>
      <c r="AJ958" s="328"/>
      <c r="AK958" s="328"/>
      <c r="AL958" s="328"/>
      <c r="AM958" s="328"/>
      <c r="AN958" s="328"/>
      <c r="AO958" s="328"/>
      <c r="AP958" s="328"/>
      <c r="AQ958" s="328"/>
      <c r="AR958" s="328"/>
      <c r="AS958" s="328"/>
      <c r="AT958" s="328"/>
      <c r="AU958" s="328"/>
    </row>
    <row r="959" ht="15.75" customHeight="1">
      <c r="A959" s="328"/>
      <c r="B959" s="328"/>
      <c r="C959" s="328"/>
      <c r="D959" s="328"/>
      <c r="E959" s="328"/>
      <c r="F959" s="328"/>
      <c r="G959" s="328"/>
      <c r="H959" s="328"/>
      <c r="I959" s="328"/>
      <c r="J959" s="328"/>
      <c r="K959" s="328"/>
      <c r="L959" s="328"/>
      <c r="M959" s="328"/>
      <c r="N959" s="328"/>
      <c r="O959" s="328"/>
      <c r="P959" s="328"/>
      <c r="Q959" s="328"/>
      <c r="R959" s="328"/>
      <c r="S959" s="328"/>
      <c r="T959" s="328"/>
      <c r="U959" s="328"/>
      <c r="V959" s="328"/>
      <c r="W959" s="328"/>
      <c r="X959" s="328"/>
      <c r="Y959" s="328"/>
      <c r="Z959" s="328"/>
      <c r="AA959" s="328"/>
      <c r="AB959" s="328"/>
      <c r="AC959" s="328"/>
      <c r="AD959" s="328"/>
      <c r="AE959" s="328"/>
      <c r="AF959" s="328"/>
      <c r="AG959" s="328"/>
      <c r="AH959" s="328"/>
      <c r="AI959" s="328"/>
      <c r="AJ959" s="328"/>
      <c r="AK959" s="328"/>
      <c r="AL959" s="328"/>
      <c r="AM959" s="328"/>
      <c r="AN959" s="328"/>
      <c r="AO959" s="328"/>
      <c r="AP959" s="328"/>
      <c r="AQ959" s="328"/>
      <c r="AR959" s="328"/>
      <c r="AS959" s="328"/>
      <c r="AT959" s="328"/>
      <c r="AU959" s="328"/>
    </row>
    <row r="960" ht="15.75" customHeight="1">
      <c r="A960" s="328"/>
      <c r="B960" s="328"/>
      <c r="C960" s="328"/>
      <c r="D960" s="328"/>
      <c r="E960" s="328"/>
      <c r="F960" s="328"/>
      <c r="G960" s="328"/>
      <c r="H960" s="328"/>
      <c r="I960" s="328"/>
      <c r="J960" s="328"/>
      <c r="K960" s="328"/>
      <c r="L960" s="328"/>
      <c r="M960" s="328"/>
      <c r="N960" s="328"/>
      <c r="O960" s="328"/>
      <c r="P960" s="328"/>
      <c r="Q960" s="328"/>
      <c r="R960" s="328"/>
      <c r="S960" s="328"/>
      <c r="T960" s="328"/>
      <c r="U960" s="328"/>
      <c r="V960" s="328"/>
      <c r="W960" s="328"/>
      <c r="X960" s="328"/>
      <c r="Y960" s="328"/>
      <c r="Z960" s="328"/>
      <c r="AA960" s="328"/>
      <c r="AB960" s="328"/>
      <c r="AC960" s="328"/>
      <c r="AD960" s="328"/>
      <c r="AE960" s="328"/>
      <c r="AF960" s="328"/>
      <c r="AG960" s="328"/>
      <c r="AH960" s="328"/>
      <c r="AI960" s="328"/>
      <c r="AJ960" s="328"/>
      <c r="AK960" s="328"/>
      <c r="AL960" s="328"/>
      <c r="AM960" s="328"/>
      <c r="AN960" s="328"/>
      <c r="AO960" s="328"/>
      <c r="AP960" s="328"/>
      <c r="AQ960" s="328"/>
      <c r="AR960" s="328"/>
      <c r="AS960" s="328"/>
      <c r="AT960" s="328"/>
      <c r="AU960" s="328"/>
    </row>
    <row r="961" ht="15.75" customHeight="1">
      <c r="A961" s="328"/>
      <c r="B961" s="328"/>
      <c r="C961" s="328"/>
      <c r="D961" s="328"/>
      <c r="E961" s="328"/>
      <c r="F961" s="328"/>
      <c r="G961" s="328"/>
      <c r="H961" s="328"/>
      <c r="I961" s="328"/>
      <c r="J961" s="328"/>
      <c r="K961" s="328"/>
      <c r="L961" s="328"/>
      <c r="M961" s="328"/>
      <c r="N961" s="328"/>
      <c r="O961" s="328"/>
      <c r="P961" s="328"/>
      <c r="Q961" s="328"/>
      <c r="R961" s="328"/>
      <c r="S961" s="328"/>
      <c r="T961" s="328"/>
      <c r="U961" s="328"/>
      <c r="V961" s="328"/>
      <c r="W961" s="328"/>
      <c r="X961" s="328"/>
      <c r="Y961" s="328"/>
      <c r="Z961" s="328"/>
      <c r="AA961" s="328"/>
      <c r="AB961" s="328"/>
      <c r="AC961" s="328"/>
      <c r="AD961" s="328"/>
      <c r="AE961" s="328"/>
      <c r="AF961" s="328"/>
      <c r="AG961" s="328"/>
      <c r="AH961" s="328"/>
      <c r="AI961" s="328"/>
      <c r="AJ961" s="328"/>
      <c r="AK961" s="328"/>
      <c r="AL961" s="328"/>
      <c r="AM961" s="328"/>
      <c r="AN961" s="328"/>
      <c r="AO961" s="328"/>
      <c r="AP961" s="328"/>
      <c r="AQ961" s="328"/>
      <c r="AR961" s="328"/>
      <c r="AS961" s="328"/>
      <c r="AT961" s="328"/>
      <c r="AU961" s="328"/>
    </row>
    <row r="962" ht="15.75" customHeight="1">
      <c r="A962" s="328"/>
      <c r="B962" s="328"/>
      <c r="C962" s="328"/>
      <c r="D962" s="328"/>
      <c r="E962" s="328"/>
      <c r="F962" s="328"/>
      <c r="G962" s="328"/>
      <c r="H962" s="328"/>
      <c r="I962" s="328"/>
      <c r="J962" s="328"/>
      <c r="K962" s="328"/>
      <c r="L962" s="328"/>
      <c r="M962" s="328"/>
      <c r="N962" s="328"/>
      <c r="O962" s="328"/>
      <c r="P962" s="328"/>
      <c r="Q962" s="328"/>
      <c r="R962" s="328"/>
      <c r="S962" s="328"/>
      <c r="T962" s="328"/>
      <c r="U962" s="328"/>
      <c r="V962" s="328"/>
      <c r="W962" s="328"/>
      <c r="X962" s="328"/>
      <c r="Y962" s="328"/>
      <c r="Z962" s="328"/>
      <c r="AA962" s="328"/>
      <c r="AB962" s="328"/>
      <c r="AC962" s="328"/>
      <c r="AD962" s="328"/>
      <c r="AE962" s="328"/>
      <c r="AF962" s="328"/>
      <c r="AG962" s="328"/>
      <c r="AH962" s="328"/>
      <c r="AI962" s="328"/>
      <c r="AJ962" s="328"/>
      <c r="AK962" s="328"/>
      <c r="AL962" s="328"/>
      <c r="AM962" s="328"/>
      <c r="AN962" s="328"/>
      <c r="AO962" s="328"/>
      <c r="AP962" s="328"/>
      <c r="AQ962" s="328"/>
      <c r="AR962" s="328"/>
      <c r="AS962" s="328"/>
      <c r="AT962" s="328"/>
      <c r="AU962" s="328"/>
    </row>
    <row r="963" ht="15.75" customHeight="1">
      <c r="A963" s="328"/>
      <c r="B963" s="328"/>
      <c r="C963" s="328"/>
      <c r="D963" s="328"/>
      <c r="E963" s="328"/>
      <c r="F963" s="328"/>
      <c r="G963" s="328"/>
      <c r="H963" s="328"/>
      <c r="I963" s="328"/>
      <c r="J963" s="328"/>
      <c r="K963" s="328"/>
      <c r="L963" s="328"/>
      <c r="M963" s="328"/>
      <c r="N963" s="328"/>
      <c r="O963" s="328"/>
      <c r="P963" s="328"/>
      <c r="Q963" s="328"/>
      <c r="R963" s="328"/>
      <c r="S963" s="328"/>
      <c r="T963" s="328"/>
      <c r="U963" s="328"/>
      <c r="V963" s="328"/>
      <c r="W963" s="328"/>
      <c r="X963" s="328"/>
      <c r="Y963" s="328"/>
      <c r="Z963" s="328"/>
      <c r="AA963" s="328"/>
      <c r="AB963" s="328"/>
      <c r="AC963" s="328"/>
      <c r="AD963" s="328"/>
      <c r="AE963" s="328"/>
      <c r="AF963" s="328"/>
      <c r="AG963" s="328"/>
      <c r="AH963" s="328"/>
      <c r="AI963" s="328"/>
      <c r="AJ963" s="328"/>
      <c r="AK963" s="328"/>
      <c r="AL963" s="328"/>
      <c r="AM963" s="328"/>
      <c r="AN963" s="328"/>
      <c r="AO963" s="328"/>
      <c r="AP963" s="328"/>
      <c r="AQ963" s="328"/>
      <c r="AR963" s="328"/>
      <c r="AS963" s="328"/>
      <c r="AT963" s="328"/>
      <c r="AU963" s="328"/>
    </row>
    <row r="964" ht="15.75" customHeight="1">
      <c r="A964" s="328"/>
      <c r="B964" s="328"/>
      <c r="C964" s="328"/>
      <c r="D964" s="328"/>
      <c r="E964" s="328"/>
      <c r="F964" s="328"/>
      <c r="G964" s="328"/>
      <c r="H964" s="328"/>
      <c r="I964" s="328"/>
      <c r="J964" s="328"/>
      <c r="K964" s="328"/>
      <c r="L964" s="328"/>
      <c r="M964" s="328"/>
      <c r="N964" s="328"/>
      <c r="O964" s="328"/>
      <c r="P964" s="328"/>
      <c r="Q964" s="328"/>
      <c r="R964" s="328"/>
      <c r="S964" s="328"/>
      <c r="T964" s="328"/>
      <c r="U964" s="328"/>
      <c r="V964" s="328"/>
      <c r="W964" s="328"/>
      <c r="X964" s="328"/>
      <c r="Y964" s="328"/>
      <c r="Z964" s="328"/>
      <c r="AA964" s="328"/>
      <c r="AB964" s="328"/>
      <c r="AC964" s="328"/>
      <c r="AD964" s="328"/>
      <c r="AE964" s="328"/>
      <c r="AF964" s="328"/>
      <c r="AG964" s="328"/>
      <c r="AH964" s="328"/>
      <c r="AI964" s="328"/>
      <c r="AJ964" s="328"/>
      <c r="AK964" s="328"/>
      <c r="AL964" s="328"/>
      <c r="AM964" s="328"/>
      <c r="AN964" s="328"/>
      <c r="AO964" s="328"/>
      <c r="AP964" s="328"/>
      <c r="AQ964" s="328"/>
      <c r="AR964" s="328"/>
      <c r="AS964" s="328"/>
      <c r="AT964" s="328"/>
      <c r="AU964" s="328"/>
    </row>
    <row r="965" ht="15.75" customHeight="1">
      <c r="A965" s="328"/>
      <c r="B965" s="328"/>
      <c r="C965" s="328"/>
      <c r="D965" s="328"/>
      <c r="E965" s="328"/>
      <c r="F965" s="328"/>
      <c r="G965" s="328"/>
      <c r="H965" s="328"/>
      <c r="I965" s="328"/>
      <c r="J965" s="328"/>
      <c r="K965" s="328"/>
      <c r="L965" s="328"/>
      <c r="M965" s="328"/>
      <c r="N965" s="328"/>
      <c r="O965" s="328"/>
      <c r="P965" s="328"/>
      <c r="Q965" s="328"/>
      <c r="R965" s="328"/>
      <c r="S965" s="328"/>
      <c r="T965" s="328"/>
      <c r="U965" s="328"/>
      <c r="V965" s="328"/>
      <c r="W965" s="328"/>
      <c r="X965" s="328"/>
      <c r="Y965" s="328"/>
      <c r="Z965" s="328"/>
      <c r="AA965" s="328"/>
      <c r="AB965" s="328"/>
      <c r="AC965" s="328"/>
      <c r="AD965" s="328"/>
      <c r="AE965" s="328"/>
      <c r="AF965" s="328"/>
      <c r="AG965" s="328"/>
      <c r="AH965" s="328"/>
      <c r="AI965" s="328"/>
      <c r="AJ965" s="328"/>
      <c r="AK965" s="328"/>
      <c r="AL965" s="328"/>
      <c r="AM965" s="328"/>
      <c r="AN965" s="328"/>
      <c r="AO965" s="328"/>
      <c r="AP965" s="328"/>
      <c r="AQ965" s="328"/>
      <c r="AR965" s="328"/>
      <c r="AS965" s="328"/>
      <c r="AT965" s="328"/>
      <c r="AU965" s="328"/>
    </row>
    <row r="966" ht="15.75" customHeight="1">
      <c r="A966" s="328"/>
      <c r="B966" s="328"/>
      <c r="C966" s="328"/>
      <c r="D966" s="328"/>
      <c r="E966" s="328"/>
      <c r="F966" s="328"/>
      <c r="G966" s="328"/>
      <c r="H966" s="328"/>
      <c r="I966" s="328"/>
      <c r="J966" s="328"/>
      <c r="K966" s="328"/>
      <c r="L966" s="328"/>
      <c r="M966" s="328"/>
      <c r="N966" s="328"/>
      <c r="O966" s="328"/>
      <c r="P966" s="328"/>
      <c r="Q966" s="328"/>
      <c r="R966" s="328"/>
      <c r="S966" s="328"/>
      <c r="T966" s="328"/>
      <c r="U966" s="328"/>
      <c r="V966" s="328"/>
      <c r="W966" s="328"/>
      <c r="X966" s="328"/>
      <c r="Y966" s="328"/>
      <c r="Z966" s="328"/>
      <c r="AA966" s="328"/>
      <c r="AB966" s="328"/>
      <c r="AC966" s="328"/>
      <c r="AD966" s="328"/>
      <c r="AE966" s="328"/>
      <c r="AF966" s="328"/>
      <c r="AG966" s="328"/>
      <c r="AH966" s="328"/>
      <c r="AI966" s="328"/>
      <c r="AJ966" s="328"/>
      <c r="AK966" s="328"/>
      <c r="AL966" s="328"/>
      <c r="AM966" s="328"/>
      <c r="AN966" s="328"/>
      <c r="AO966" s="328"/>
      <c r="AP966" s="328"/>
      <c r="AQ966" s="328"/>
      <c r="AR966" s="328"/>
      <c r="AS966" s="328"/>
      <c r="AT966" s="328"/>
      <c r="AU966" s="328"/>
    </row>
    <row r="967" ht="15.75" customHeight="1">
      <c r="A967" s="328"/>
      <c r="B967" s="328"/>
      <c r="C967" s="328"/>
      <c r="D967" s="328"/>
      <c r="E967" s="328"/>
      <c r="F967" s="328"/>
      <c r="G967" s="328"/>
      <c r="H967" s="328"/>
      <c r="I967" s="328"/>
      <c r="J967" s="328"/>
      <c r="K967" s="328"/>
      <c r="L967" s="328"/>
      <c r="M967" s="328"/>
      <c r="N967" s="328"/>
      <c r="O967" s="328"/>
      <c r="P967" s="328"/>
      <c r="Q967" s="328"/>
      <c r="R967" s="328"/>
      <c r="S967" s="328"/>
      <c r="T967" s="328"/>
      <c r="U967" s="328"/>
      <c r="V967" s="328"/>
      <c r="W967" s="328"/>
      <c r="X967" s="328"/>
      <c r="Y967" s="328"/>
      <c r="Z967" s="328"/>
      <c r="AA967" s="328"/>
      <c r="AB967" s="328"/>
      <c r="AC967" s="328"/>
      <c r="AD967" s="328"/>
      <c r="AE967" s="328"/>
      <c r="AF967" s="328"/>
      <c r="AG967" s="328"/>
      <c r="AH967" s="328"/>
      <c r="AI967" s="328"/>
      <c r="AJ967" s="328"/>
      <c r="AK967" s="328"/>
      <c r="AL967" s="328"/>
      <c r="AM967" s="328"/>
      <c r="AN967" s="328"/>
      <c r="AO967" s="328"/>
      <c r="AP967" s="328"/>
      <c r="AQ967" s="328"/>
      <c r="AR967" s="328"/>
      <c r="AS967" s="328"/>
      <c r="AT967" s="328"/>
      <c r="AU967" s="328"/>
    </row>
    <row r="968" ht="15.75" customHeight="1">
      <c r="A968" s="328"/>
      <c r="B968" s="328"/>
      <c r="C968" s="328"/>
      <c r="D968" s="328"/>
      <c r="E968" s="328"/>
      <c r="F968" s="328"/>
      <c r="G968" s="328"/>
      <c r="H968" s="328"/>
      <c r="I968" s="328"/>
      <c r="J968" s="328"/>
      <c r="K968" s="328"/>
      <c r="L968" s="328"/>
      <c r="M968" s="328"/>
      <c r="N968" s="328"/>
      <c r="O968" s="328"/>
      <c r="P968" s="328"/>
      <c r="Q968" s="328"/>
      <c r="R968" s="328"/>
      <c r="S968" s="328"/>
      <c r="T968" s="328"/>
      <c r="U968" s="328"/>
      <c r="V968" s="328"/>
      <c r="W968" s="328"/>
      <c r="X968" s="328"/>
      <c r="Y968" s="328"/>
      <c r="Z968" s="328"/>
      <c r="AA968" s="328"/>
      <c r="AB968" s="328"/>
      <c r="AC968" s="328"/>
      <c r="AD968" s="328"/>
      <c r="AE968" s="328"/>
      <c r="AF968" s="328"/>
      <c r="AG968" s="328"/>
      <c r="AH968" s="328"/>
      <c r="AI968" s="328"/>
      <c r="AJ968" s="328"/>
      <c r="AK968" s="328"/>
      <c r="AL968" s="328"/>
      <c r="AM968" s="328"/>
      <c r="AN968" s="328"/>
      <c r="AO968" s="328"/>
      <c r="AP968" s="328"/>
      <c r="AQ968" s="328"/>
      <c r="AR968" s="328"/>
      <c r="AS968" s="328"/>
      <c r="AT968" s="328"/>
      <c r="AU968" s="328"/>
    </row>
    <row r="969" ht="15.75" customHeight="1">
      <c r="A969" s="328"/>
      <c r="B969" s="328"/>
      <c r="C969" s="328"/>
      <c r="D969" s="328"/>
      <c r="E969" s="328"/>
      <c r="F969" s="328"/>
      <c r="G969" s="328"/>
      <c r="H969" s="328"/>
      <c r="I969" s="328"/>
      <c r="J969" s="328"/>
      <c r="K969" s="328"/>
      <c r="L969" s="328"/>
      <c r="M969" s="328"/>
      <c r="N969" s="328"/>
      <c r="O969" s="328"/>
      <c r="P969" s="328"/>
      <c r="Q969" s="328"/>
      <c r="R969" s="328"/>
      <c r="S969" s="328"/>
      <c r="T969" s="328"/>
      <c r="U969" s="328"/>
      <c r="V969" s="328"/>
      <c r="W969" s="328"/>
      <c r="X969" s="328"/>
      <c r="Y969" s="328"/>
      <c r="Z969" s="328"/>
      <c r="AA969" s="328"/>
      <c r="AB969" s="328"/>
      <c r="AC969" s="328"/>
      <c r="AD969" s="328"/>
      <c r="AE969" s="328"/>
      <c r="AF969" s="328"/>
      <c r="AG969" s="328"/>
      <c r="AH969" s="328"/>
      <c r="AI969" s="328"/>
      <c r="AJ969" s="328"/>
      <c r="AK969" s="328"/>
      <c r="AL969" s="328"/>
      <c r="AM969" s="328"/>
      <c r="AN969" s="328"/>
      <c r="AO969" s="328"/>
      <c r="AP969" s="328"/>
      <c r="AQ969" s="328"/>
      <c r="AR969" s="328"/>
      <c r="AS969" s="328"/>
      <c r="AT969" s="328"/>
      <c r="AU969" s="328"/>
    </row>
    <row r="970" ht="15.75" customHeight="1">
      <c r="A970" s="328"/>
      <c r="B970" s="328"/>
      <c r="C970" s="328"/>
      <c r="D970" s="328"/>
      <c r="E970" s="328"/>
      <c r="F970" s="328"/>
      <c r="G970" s="328"/>
      <c r="H970" s="328"/>
      <c r="I970" s="328"/>
      <c r="J970" s="328"/>
      <c r="K970" s="328"/>
      <c r="L970" s="328"/>
      <c r="M970" s="328"/>
      <c r="N970" s="328"/>
      <c r="O970" s="328"/>
      <c r="P970" s="328"/>
      <c r="Q970" s="328"/>
      <c r="R970" s="328"/>
      <c r="S970" s="328"/>
      <c r="T970" s="328"/>
      <c r="U970" s="328"/>
      <c r="V970" s="328"/>
      <c r="W970" s="328"/>
      <c r="X970" s="328"/>
      <c r="Y970" s="328"/>
      <c r="Z970" s="328"/>
      <c r="AA970" s="328"/>
      <c r="AB970" s="328"/>
      <c r="AC970" s="328"/>
      <c r="AD970" s="328"/>
      <c r="AE970" s="328"/>
      <c r="AF970" s="328"/>
      <c r="AG970" s="328"/>
      <c r="AH970" s="328"/>
      <c r="AI970" s="328"/>
      <c r="AJ970" s="328"/>
      <c r="AK970" s="328"/>
      <c r="AL970" s="328"/>
      <c r="AM970" s="328"/>
      <c r="AN970" s="328"/>
      <c r="AO970" s="328"/>
      <c r="AP970" s="328"/>
      <c r="AQ970" s="328"/>
      <c r="AR970" s="328"/>
      <c r="AS970" s="328"/>
      <c r="AT970" s="328"/>
      <c r="AU970" s="328"/>
    </row>
    <row r="971" ht="15.75" customHeight="1">
      <c r="A971" s="328"/>
      <c r="B971" s="328"/>
      <c r="C971" s="328"/>
      <c r="D971" s="328"/>
      <c r="E971" s="328"/>
      <c r="F971" s="328"/>
      <c r="G971" s="328"/>
      <c r="H971" s="328"/>
      <c r="I971" s="328"/>
      <c r="J971" s="328"/>
      <c r="K971" s="328"/>
      <c r="L971" s="328"/>
      <c r="M971" s="328"/>
      <c r="N971" s="328"/>
      <c r="O971" s="328"/>
      <c r="P971" s="328"/>
      <c r="Q971" s="328"/>
      <c r="R971" s="328"/>
      <c r="S971" s="328"/>
      <c r="T971" s="328"/>
      <c r="U971" s="328"/>
      <c r="V971" s="328"/>
      <c r="W971" s="328"/>
      <c r="X971" s="328"/>
      <c r="Y971" s="328"/>
      <c r="Z971" s="328"/>
      <c r="AA971" s="328"/>
      <c r="AB971" s="328"/>
      <c r="AC971" s="328"/>
      <c r="AD971" s="328"/>
      <c r="AE971" s="328"/>
      <c r="AF971" s="328"/>
      <c r="AG971" s="328"/>
      <c r="AH971" s="328"/>
      <c r="AI971" s="328"/>
      <c r="AJ971" s="328"/>
      <c r="AK971" s="328"/>
      <c r="AL971" s="328"/>
      <c r="AM971" s="328"/>
      <c r="AN971" s="328"/>
      <c r="AO971" s="328"/>
      <c r="AP971" s="328"/>
      <c r="AQ971" s="328"/>
      <c r="AR971" s="328"/>
      <c r="AS971" s="328"/>
      <c r="AT971" s="328"/>
      <c r="AU971" s="328"/>
    </row>
    <row r="972" ht="15.75" customHeight="1">
      <c r="A972" s="328"/>
      <c r="B972" s="328"/>
      <c r="C972" s="328"/>
      <c r="D972" s="328"/>
      <c r="E972" s="328"/>
      <c r="F972" s="328"/>
      <c r="G972" s="328"/>
      <c r="H972" s="328"/>
      <c r="I972" s="328"/>
      <c r="J972" s="328"/>
      <c r="K972" s="328"/>
      <c r="L972" s="328"/>
      <c r="M972" s="328"/>
      <c r="N972" s="328"/>
      <c r="O972" s="328"/>
      <c r="P972" s="328"/>
      <c r="Q972" s="328"/>
      <c r="R972" s="328"/>
      <c r="S972" s="328"/>
      <c r="T972" s="328"/>
      <c r="U972" s="328"/>
      <c r="V972" s="328"/>
      <c r="W972" s="328"/>
      <c r="X972" s="328"/>
      <c r="Y972" s="328"/>
      <c r="Z972" s="328"/>
      <c r="AA972" s="328"/>
      <c r="AB972" s="328"/>
      <c r="AC972" s="328"/>
      <c r="AD972" s="328"/>
      <c r="AE972" s="328"/>
      <c r="AF972" s="328"/>
      <c r="AG972" s="328"/>
      <c r="AH972" s="328"/>
      <c r="AI972" s="328"/>
      <c r="AJ972" s="328"/>
      <c r="AK972" s="328"/>
      <c r="AL972" s="328"/>
      <c r="AM972" s="328"/>
      <c r="AN972" s="328"/>
      <c r="AO972" s="328"/>
      <c r="AP972" s="328"/>
      <c r="AQ972" s="328"/>
      <c r="AR972" s="328"/>
      <c r="AS972" s="328"/>
      <c r="AT972" s="328"/>
      <c r="AU972" s="328"/>
    </row>
    <row r="973" ht="15.75" customHeight="1">
      <c r="A973" s="328"/>
      <c r="B973" s="328"/>
      <c r="C973" s="328"/>
      <c r="D973" s="328"/>
      <c r="E973" s="328"/>
      <c r="F973" s="328"/>
      <c r="G973" s="328"/>
      <c r="H973" s="328"/>
      <c r="I973" s="328"/>
      <c r="J973" s="328"/>
      <c r="K973" s="328"/>
      <c r="L973" s="328"/>
      <c r="M973" s="328"/>
      <c r="N973" s="328"/>
      <c r="O973" s="328"/>
      <c r="P973" s="328"/>
      <c r="Q973" s="328"/>
      <c r="R973" s="328"/>
      <c r="S973" s="328"/>
      <c r="T973" s="328"/>
      <c r="U973" s="328"/>
      <c r="V973" s="328"/>
      <c r="W973" s="328"/>
      <c r="X973" s="328"/>
      <c r="Y973" s="328"/>
      <c r="Z973" s="328"/>
      <c r="AA973" s="328"/>
      <c r="AB973" s="328"/>
      <c r="AC973" s="328"/>
      <c r="AD973" s="328"/>
      <c r="AE973" s="328"/>
      <c r="AF973" s="328"/>
      <c r="AG973" s="328"/>
      <c r="AH973" s="328"/>
      <c r="AI973" s="328"/>
      <c r="AJ973" s="328"/>
      <c r="AK973" s="328"/>
      <c r="AL973" s="328"/>
      <c r="AM973" s="328"/>
      <c r="AN973" s="328"/>
      <c r="AO973" s="328"/>
      <c r="AP973" s="328"/>
      <c r="AQ973" s="328"/>
      <c r="AR973" s="328"/>
      <c r="AS973" s="328"/>
      <c r="AT973" s="328"/>
      <c r="AU973" s="328"/>
    </row>
    <row r="974" ht="15.75" customHeight="1">
      <c r="A974" s="328"/>
      <c r="B974" s="328"/>
      <c r="C974" s="328"/>
      <c r="D974" s="328"/>
      <c r="E974" s="328"/>
      <c r="F974" s="328"/>
      <c r="G974" s="328"/>
      <c r="H974" s="328"/>
      <c r="I974" s="328"/>
      <c r="J974" s="328"/>
      <c r="K974" s="328"/>
      <c r="L974" s="328"/>
      <c r="M974" s="328"/>
      <c r="N974" s="328"/>
      <c r="O974" s="328"/>
      <c r="P974" s="328"/>
      <c r="Q974" s="328"/>
      <c r="R974" s="328"/>
      <c r="S974" s="328"/>
      <c r="T974" s="328"/>
      <c r="U974" s="328"/>
      <c r="V974" s="328"/>
      <c r="W974" s="328"/>
      <c r="X974" s="328"/>
      <c r="Y974" s="328"/>
      <c r="Z974" s="328"/>
      <c r="AA974" s="328"/>
      <c r="AB974" s="328"/>
      <c r="AC974" s="328"/>
      <c r="AD974" s="328"/>
      <c r="AE974" s="328"/>
      <c r="AF974" s="328"/>
      <c r="AG974" s="328"/>
      <c r="AH974" s="328"/>
      <c r="AI974" s="328"/>
      <c r="AJ974" s="328"/>
      <c r="AK974" s="328"/>
      <c r="AL974" s="328"/>
      <c r="AM974" s="328"/>
      <c r="AN974" s="328"/>
      <c r="AO974" s="328"/>
      <c r="AP974" s="328"/>
      <c r="AQ974" s="328"/>
      <c r="AR974" s="328"/>
      <c r="AS974" s="328"/>
      <c r="AT974" s="328"/>
      <c r="AU974" s="328"/>
    </row>
    <row r="975" ht="15.75" customHeight="1">
      <c r="A975" s="328"/>
      <c r="B975" s="328"/>
      <c r="C975" s="328"/>
      <c r="D975" s="328"/>
      <c r="E975" s="328"/>
      <c r="F975" s="328"/>
      <c r="G975" s="328"/>
      <c r="H975" s="328"/>
      <c r="I975" s="328"/>
      <c r="J975" s="328"/>
      <c r="K975" s="328"/>
      <c r="L975" s="328"/>
      <c r="M975" s="328"/>
      <c r="N975" s="328"/>
      <c r="O975" s="328"/>
      <c r="P975" s="328"/>
      <c r="Q975" s="328"/>
      <c r="R975" s="328"/>
      <c r="S975" s="328"/>
      <c r="T975" s="328"/>
      <c r="U975" s="328"/>
      <c r="V975" s="328"/>
      <c r="W975" s="328"/>
      <c r="X975" s="328"/>
      <c r="Y975" s="328"/>
      <c r="Z975" s="328"/>
      <c r="AA975" s="328"/>
      <c r="AB975" s="328"/>
      <c r="AC975" s="328"/>
      <c r="AD975" s="328"/>
      <c r="AE975" s="328"/>
      <c r="AF975" s="328"/>
      <c r="AG975" s="328"/>
      <c r="AH975" s="328"/>
      <c r="AI975" s="328"/>
      <c r="AJ975" s="328"/>
      <c r="AK975" s="328"/>
      <c r="AL975" s="328"/>
      <c r="AM975" s="328"/>
      <c r="AN975" s="328"/>
      <c r="AO975" s="328"/>
      <c r="AP975" s="328"/>
      <c r="AQ975" s="328"/>
      <c r="AR975" s="328"/>
      <c r="AS975" s="328"/>
      <c r="AT975" s="328"/>
      <c r="AU975" s="328"/>
    </row>
    <row r="976" ht="15.75" customHeight="1">
      <c r="A976" s="328"/>
      <c r="B976" s="328"/>
      <c r="C976" s="328"/>
      <c r="D976" s="328"/>
      <c r="E976" s="328"/>
      <c r="F976" s="328"/>
      <c r="G976" s="328"/>
      <c r="H976" s="328"/>
      <c r="I976" s="328"/>
      <c r="J976" s="328"/>
      <c r="K976" s="328"/>
      <c r="L976" s="328"/>
      <c r="M976" s="328"/>
      <c r="N976" s="328"/>
      <c r="O976" s="328"/>
      <c r="P976" s="328"/>
      <c r="Q976" s="328"/>
      <c r="R976" s="328"/>
      <c r="S976" s="328"/>
      <c r="T976" s="328"/>
      <c r="U976" s="328"/>
      <c r="V976" s="328"/>
      <c r="W976" s="328"/>
      <c r="X976" s="328"/>
      <c r="Y976" s="328"/>
      <c r="Z976" s="328"/>
      <c r="AA976" s="328"/>
      <c r="AB976" s="328"/>
      <c r="AC976" s="328"/>
      <c r="AD976" s="328"/>
      <c r="AE976" s="328"/>
      <c r="AF976" s="328"/>
      <c r="AG976" s="328"/>
      <c r="AH976" s="328"/>
      <c r="AI976" s="328"/>
      <c r="AJ976" s="328"/>
      <c r="AK976" s="328"/>
      <c r="AL976" s="328"/>
      <c r="AM976" s="328"/>
      <c r="AN976" s="328"/>
      <c r="AO976" s="328"/>
      <c r="AP976" s="328"/>
      <c r="AQ976" s="328"/>
      <c r="AR976" s="328"/>
      <c r="AS976" s="328"/>
      <c r="AT976" s="328"/>
      <c r="AU976" s="328"/>
    </row>
    <row r="977" ht="15.75" customHeight="1">
      <c r="A977" s="328"/>
      <c r="B977" s="328"/>
      <c r="C977" s="328"/>
      <c r="D977" s="328"/>
      <c r="E977" s="328"/>
      <c r="F977" s="328"/>
      <c r="G977" s="328"/>
      <c r="H977" s="328"/>
      <c r="I977" s="328"/>
      <c r="J977" s="328"/>
      <c r="K977" s="328"/>
      <c r="L977" s="328"/>
      <c r="M977" s="328"/>
      <c r="N977" s="328"/>
      <c r="O977" s="328"/>
      <c r="P977" s="328"/>
      <c r="Q977" s="328"/>
      <c r="R977" s="328"/>
      <c r="S977" s="328"/>
      <c r="T977" s="328"/>
      <c r="U977" s="328"/>
      <c r="V977" s="328"/>
      <c r="W977" s="328"/>
      <c r="X977" s="328"/>
      <c r="Y977" s="328"/>
      <c r="Z977" s="328"/>
      <c r="AA977" s="328"/>
      <c r="AB977" s="328"/>
      <c r="AC977" s="328"/>
      <c r="AD977" s="328"/>
      <c r="AE977" s="328"/>
      <c r="AF977" s="328"/>
      <c r="AG977" s="328"/>
      <c r="AH977" s="328"/>
      <c r="AI977" s="328"/>
      <c r="AJ977" s="328"/>
      <c r="AK977" s="328"/>
      <c r="AL977" s="328"/>
      <c r="AM977" s="328"/>
      <c r="AN977" s="328"/>
      <c r="AO977" s="328"/>
      <c r="AP977" s="328"/>
      <c r="AQ977" s="328"/>
      <c r="AR977" s="328"/>
      <c r="AS977" s="328"/>
      <c r="AT977" s="328"/>
      <c r="AU977" s="328"/>
    </row>
    <row r="978" ht="15.75" customHeight="1">
      <c r="A978" s="328"/>
      <c r="B978" s="328"/>
      <c r="C978" s="328"/>
      <c r="D978" s="328"/>
      <c r="E978" s="328"/>
      <c r="F978" s="328"/>
      <c r="G978" s="328"/>
      <c r="H978" s="328"/>
      <c r="I978" s="328"/>
      <c r="J978" s="328"/>
      <c r="K978" s="328"/>
      <c r="L978" s="328"/>
      <c r="M978" s="328"/>
      <c r="N978" s="328"/>
      <c r="O978" s="328"/>
      <c r="P978" s="328"/>
      <c r="Q978" s="328"/>
      <c r="R978" s="328"/>
      <c r="S978" s="328"/>
      <c r="T978" s="328"/>
      <c r="U978" s="328"/>
      <c r="V978" s="328"/>
      <c r="W978" s="328"/>
      <c r="X978" s="328"/>
      <c r="Y978" s="328"/>
      <c r="Z978" s="328"/>
      <c r="AA978" s="328"/>
      <c r="AB978" s="328"/>
      <c r="AC978" s="328"/>
      <c r="AD978" s="328"/>
      <c r="AE978" s="328"/>
      <c r="AF978" s="328"/>
      <c r="AG978" s="328"/>
      <c r="AH978" s="328"/>
      <c r="AI978" s="328"/>
      <c r="AJ978" s="328"/>
      <c r="AK978" s="328"/>
      <c r="AL978" s="328"/>
      <c r="AM978" s="328"/>
      <c r="AN978" s="328"/>
      <c r="AO978" s="328"/>
      <c r="AP978" s="328"/>
      <c r="AQ978" s="328"/>
      <c r="AR978" s="328"/>
      <c r="AS978" s="328"/>
      <c r="AT978" s="328"/>
      <c r="AU978" s="328"/>
    </row>
    <row r="979" ht="15.75" customHeight="1">
      <c r="A979" s="328"/>
      <c r="B979" s="328"/>
      <c r="C979" s="328"/>
      <c r="D979" s="328"/>
      <c r="E979" s="328"/>
      <c r="F979" s="328"/>
      <c r="G979" s="328"/>
      <c r="H979" s="328"/>
      <c r="I979" s="328"/>
      <c r="J979" s="328"/>
      <c r="K979" s="328"/>
      <c r="L979" s="328"/>
      <c r="M979" s="328"/>
      <c r="N979" s="328"/>
      <c r="O979" s="328"/>
      <c r="P979" s="328"/>
      <c r="Q979" s="328"/>
      <c r="R979" s="328"/>
      <c r="S979" s="328"/>
      <c r="T979" s="328"/>
      <c r="U979" s="328"/>
      <c r="V979" s="328"/>
      <c r="W979" s="328"/>
      <c r="X979" s="328"/>
      <c r="Y979" s="328"/>
      <c r="Z979" s="328"/>
      <c r="AA979" s="328"/>
      <c r="AB979" s="328"/>
      <c r="AC979" s="328"/>
      <c r="AD979" s="328"/>
      <c r="AE979" s="328"/>
      <c r="AF979" s="328"/>
      <c r="AG979" s="328"/>
      <c r="AH979" s="328"/>
      <c r="AI979" s="328"/>
      <c r="AJ979" s="328"/>
      <c r="AK979" s="328"/>
      <c r="AL979" s="328"/>
      <c r="AM979" s="328"/>
      <c r="AN979" s="328"/>
      <c r="AO979" s="328"/>
      <c r="AP979" s="328"/>
      <c r="AQ979" s="328"/>
      <c r="AR979" s="328"/>
      <c r="AS979" s="328"/>
      <c r="AT979" s="328"/>
      <c r="AU979" s="328"/>
    </row>
    <row r="980" ht="15.75" customHeight="1">
      <c r="A980" s="328"/>
      <c r="B980" s="328"/>
      <c r="C980" s="328"/>
      <c r="D980" s="328"/>
      <c r="E980" s="328"/>
      <c r="F980" s="328"/>
      <c r="G980" s="328"/>
      <c r="H980" s="328"/>
      <c r="I980" s="328"/>
      <c r="J980" s="328"/>
      <c r="K980" s="328"/>
      <c r="L980" s="328"/>
      <c r="M980" s="328"/>
      <c r="N980" s="328"/>
      <c r="O980" s="328"/>
      <c r="P980" s="328"/>
      <c r="Q980" s="328"/>
      <c r="R980" s="328"/>
      <c r="S980" s="328"/>
      <c r="T980" s="328"/>
      <c r="U980" s="328"/>
      <c r="V980" s="328"/>
      <c r="W980" s="328"/>
      <c r="X980" s="328"/>
      <c r="Y980" s="328"/>
      <c r="Z980" s="328"/>
      <c r="AA980" s="328"/>
      <c r="AB980" s="328"/>
      <c r="AC980" s="328"/>
      <c r="AD980" s="328"/>
      <c r="AE980" s="328"/>
      <c r="AF980" s="328"/>
      <c r="AG980" s="328"/>
      <c r="AH980" s="328"/>
      <c r="AI980" s="328"/>
      <c r="AJ980" s="328"/>
      <c r="AK980" s="328"/>
      <c r="AL980" s="328"/>
      <c r="AM980" s="328"/>
      <c r="AN980" s="328"/>
      <c r="AO980" s="328"/>
      <c r="AP980" s="328"/>
      <c r="AQ980" s="328"/>
      <c r="AR980" s="328"/>
      <c r="AS980" s="328"/>
      <c r="AT980" s="328"/>
      <c r="AU980" s="328"/>
    </row>
    <row r="981" ht="15.75" customHeight="1">
      <c r="A981" s="328"/>
      <c r="B981" s="328"/>
      <c r="C981" s="328"/>
      <c r="D981" s="328"/>
      <c r="E981" s="328"/>
      <c r="F981" s="328"/>
      <c r="G981" s="328"/>
      <c r="H981" s="328"/>
      <c r="I981" s="328"/>
      <c r="J981" s="328"/>
      <c r="K981" s="328"/>
      <c r="L981" s="328"/>
      <c r="M981" s="328"/>
      <c r="N981" s="328"/>
      <c r="O981" s="328"/>
      <c r="P981" s="328"/>
      <c r="Q981" s="328"/>
      <c r="R981" s="328"/>
      <c r="S981" s="328"/>
      <c r="T981" s="328"/>
      <c r="U981" s="328"/>
      <c r="V981" s="328"/>
      <c r="W981" s="328"/>
      <c r="X981" s="328"/>
      <c r="Y981" s="328"/>
      <c r="Z981" s="328"/>
      <c r="AA981" s="328"/>
      <c r="AB981" s="328"/>
      <c r="AC981" s="328"/>
      <c r="AD981" s="328"/>
      <c r="AE981" s="328"/>
      <c r="AF981" s="328"/>
      <c r="AG981" s="328"/>
      <c r="AH981" s="328"/>
      <c r="AI981" s="328"/>
      <c r="AJ981" s="328"/>
      <c r="AK981" s="328"/>
      <c r="AL981" s="328"/>
      <c r="AM981" s="328"/>
      <c r="AN981" s="328"/>
      <c r="AO981" s="328"/>
      <c r="AP981" s="328"/>
      <c r="AQ981" s="328"/>
      <c r="AR981" s="328"/>
      <c r="AS981" s="328"/>
      <c r="AT981" s="328"/>
      <c r="AU981" s="328"/>
    </row>
    <row r="982" ht="15.75" customHeight="1">
      <c r="A982" s="328"/>
      <c r="B982" s="328"/>
      <c r="C982" s="328"/>
      <c r="D982" s="328"/>
      <c r="E982" s="328"/>
      <c r="F982" s="328"/>
      <c r="G982" s="328"/>
      <c r="H982" s="328"/>
      <c r="I982" s="328"/>
      <c r="J982" s="328"/>
      <c r="K982" s="328"/>
      <c r="L982" s="328"/>
      <c r="M982" s="328"/>
      <c r="N982" s="328"/>
      <c r="O982" s="328"/>
      <c r="P982" s="328"/>
      <c r="Q982" s="328"/>
      <c r="R982" s="328"/>
      <c r="S982" s="328"/>
      <c r="T982" s="328"/>
      <c r="U982" s="328"/>
      <c r="V982" s="328"/>
      <c r="W982" s="328"/>
      <c r="X982" s="328"/>
      <c r="Y982" s="328"/>
      <c r="Z982" s="328"/>
      <c r="AA982" s="328"/>
      <c r="AB982" s="328"/>
      <c r="AC982" s="328"/>
      <c r="AD982" s="328"/>
      <c r="AE982" s="328"/>
      <c r="AF982" s="328"/>
      <c r="AG982" s="328"/>
      <c r="AH982" s="328"/>
      <c r="AI982" s="328"/>
      <c r="AJ982" s="328"/>
      <c r="AK982" s="328"/>
      <c r="AL982" s="328"/>
      <c r="AM982" s="328"/>
      <c r="AN982" s="328"/>
      <c r="AO982" s="328"/>
      <c r="AP982" s="328"/>
      <c r="AQ982" s="328"/>
      <c r="AR982" s="328"/>
      <c r="AS982" s="328"/>
      <c r="AT982" s="328"/>
      <c r="AU982" s="328"/>
    </row>
    <row r="983" ht="15.75" customHeight="1">
      <c r="A983" s="328"/>
      <c r="B983" s="328"/>
      <c r="C983" s="328"/>
      <c r="D983" s="328"/>
      <c r="E983" s="328"/>
      <c r="F983" s="328"/>
      <c r="G983" s="328"/>
      <c r="H983" s="328"/>
      <c r="I983" s="328"/>
      <c r="J983" s="328"/>
      <c r="K983" s="328"/>
      <c r="L983" s="328"/>
      <c r="M983" s="328"/>
      <c r="N983" s="328"/>
      <c r="O983" s="328"/>
      <c r="P983" s="328"/>
      <c r="Q983" s="328"/>
      <c r="R983" s="328"/>
      <c r="S983" s="328"/>
      <c r="T983" s="328"/>
      <c r="U983" s="328"/>
      <c r="V983" s="328"/>
      <c r="W983" s="328"/>
      <c r="X983" s="328"/>
      <c r="Y983" s="328"/>
      <c r="Z983" s="328"/>
      <c r="AA983" s="328"/>
      <c r="AB983" s="328"/>
      <c r="AC983" s="328"/>
      <c r="AD983" s="328"/>
      <c r="AE983" s="328"/>
      <c r="AF983" s="328"/>
      <c r="AG983" s="328"/>
      <c r="AH983" s="328"/>
      <c r="AI983" s="328"/>
      <c r="AJ983" s="328"/>
      <c r="AK983" s="328"/>
      <c r="AL983" s="328"/>
      <c r="AM983" s="328"/>
      <c r="AN983" s="328"/>
      <c r="AO983" s="328"/>
      <c r="AP983" s="328"/>
      <c r="AQ983" s="328"/>
      <c r="AR983" s="328"/>
      <c r="AS983" s="328"/>
      <c r="AT983" s="328"/>
      <c r="AU983" s="328"/>
    </row>
    <row r="984" ht="15.75" customHeight="1">
      <c r="A984" s="328"/>
      <c r="B984" s="328"/>
      <c r="C984" s="328"/>
      <c r="D984" s="328"/>
      <c r="E984" s="328"/>
      <c r="F984" s="328"/>
      <c r="G984" s="328"/>
      <c r="H984" s="328"/>
      <c r="I984" s="328"/>
      <c r="J984" s="328"/>
      <c r="K984" s="328"/>
      <c r="L984" s="328"/>
      <c r="M984" s="328"/>
      <c r="N984" s="328"/>
      <c r="O984" s="328"/>
      <c r="P984" s="328"/>
      <c r="Q984" s="328"/>
      <c r="R984" s="328"/>
      <c r="S984" s="328"/>
      <c r="T984" s="328"/>
      <c r="U984" s="328"/>
      <c r="V984" s="328"/>
      <c r="W984" s="328"/>
      <c r="X984" s="328"/>
      <c r="Y984" s="328"/>
      <c r="Z984" s="328"/>
      <c r="AA984" s="328"/>
      <c r="AB984" s="328"/>
      <c r="AC984" s="328"/>
      <c r="AD984" s="328"/>
      <c r="AE984" s="328"/>
      <c r="AF984" s="328"/>
      <c r="AG984" s="328"/>
      <c r="AH984" s="328"/>
      <c r="AI984" s="328"/>
      <c r="AJ984" s="328"/>
      <c r="AK984" s="328"/>
      <c r="AL984" s="328"/>
      <c r="AM984" s="328"/>
      <c r="AN984" s="328"/>
      <c r="AO984" s="328"/>
      <c r="AP984" s="328"/>
      <c r="AQ984" s="328"/>
      <c r="AR984" s="328"/>
      <c r="AS984" s="328"/>
      <c r="AT984" s="328"/>
      <c r="AU984" s="328"/>
    </row>
    <row r="985" ht="15.75" customHeight="1">
      <c r="A985" s="328"/>
      <c r="B985" s="328"/>
      <c r="C985" s="328"/>
      <c r="D985" s="328"/>
      <c r="E985" s="328"/>
      <c r="F985" s="328"/>
      <c r="G985" s="328"/>
      <c r="H985" s="328"/>
      <c r="I985" s="328"/>
      <c r="J985" s="328"/>
      <c r="K985" s="328"/>
      <c r="L985" s="328"/>
      <c r="M985" s="328"/>
      <c r="N985" s="328"/>
      <c r="O985" s="328"/>
      <c r="P985" s="328"/>
      <c r="Q985" s="328"/>
      <c r="R985" s="328"/>
      <c r="S985" s="328"/>
      <c r="T985" s="328"/>
      <c r="U985" s="328"/>
      <c r="V985" s="328"/>
      <c r="W985" s="328"/>
      <c r="X985" s="328"/>
      <c r="Y985" s="328"/>
      <c r="Z985" s="328"/>
      <c r="AA985" s="328"/>
      <c r="AB985" s="328"/>
      <c r="AC985" s="328"/>
      <c r="AD985" s="328"/>
      <c r="AE985" s="328"/>
      <c r="AF985" s="328"/>
      <c r="AG985" s="328"/>
      <c r="AH985" s="328"/>
      <c r="AI985" s="328"/>
      <c r="AJ985" s="328"/>
      <c r="AK985" s="328"/>
      <c r="AL985" s="328"/>
      <c r="AM985" s="328"/>
      <c r="AN985" s="328"/>
      <c r="AO985" s="328"/>
      <c r="AP985" s="328"/>
      <c r="AQ985" s="328"/>
      <c r="AR985" s="328"/>
      <c r="AS985" s="328"/>
      <c r="AT985" s="328"/>
      <c r="AU985" s="328"/>
    </row>
    <row r="986" ht="15.75" customHeight="1">
      <c r="A986" s="328"/>
      <c r="B986" s="328"/>
      <c r="C986" s="328"/>
      <c r="D986" s="328"/>
      <c r="E986" s="328"/>
      <c r="F986" s="328"/>
      <c r="G986" s="328"/>
      <c r="H986" s="328"/>
      <c r="I986" s="328"/>
      <c r="J986" s="328"/>
      <c r="K986" s="328"/>
      <c r="L986" s="328"/>
      <c r="M986" s="328"/>
      <c r="N986" s="328"/>
      <c r="O986" s="328"/>
      <c r="P986" s="328"/>
      <c r="Q986" s="328"/>
      <c r="R986" s="328"/>
      <c r="S986" s="328"/>
      <c r="T986" s="328"/>
      <c r="U986" s="328"/>
      <c r="V986" s="328"/>
      <c r="W986" s="328"/>
      <c r="X986" s="328"/>
      <c r="Y986" s="328"/>
      <c r="Z986" s="328"/>
      <c r="AA986" s="328"/>
      <c r="AB986" s="328"/>
      <c r="AC986" s="328"/>
      <c r="AD986" s="328"/>
      <c r="AE986" s="328"/>
      <c r="AF986" s="328"/>
      <c r="AG986" s="328"/>
      <c r="AH986" s="328"/>
      <c r="AI986" s="328"/>
      <c r="AJ986" s="328"/>
      <c r="AK986" s="328"/>
      <c r="AL986" s="328"/>
      <c r="AM986" s="328"/>
      <c r="AN986" s="328"/>
      <c r="AO986" s="328"/>
      <c r="AP986" s="328"/>
      <c r="AQ986" s="328"/>
      <c r="AR986" s="328"/>
      <c r="AS986" s="328"/>
      <c r="AT986" s="328"/>
      <c r="AU986" s="328"/>
    </row>
    <row r="987" ht="15.75" customHeight="1">
      <c r="A987" s="328"/>
      <c r="B987" s="328"/>
      <c r="C987" s="328"/>
      <c r="D987" s="328"/>
      <c r="E987" s="328"/>
      <c r="F987" s="328"/>
      <c r="G987" s="328"/>
      <c r="H987" s="328"/>
      <c r="I987" s="328"/>
      <c r="J987" s="328"/>
      <c r="K987" s="328"/>
      <c r="L987" s="328"/>
      <c r="M987" s="328"/>
      <c r="N987" s="328"/>
      <c r="O987" s="328"/>
      <c r="P987" s="328"/>
      <c r="Q987" s="328"/>
      <c r="R987" s="328"/>
      <c r="S987" s="328"/>
      <c r="T987" s="328"/>
      <c r="U987" s="328"/>
      <c r="V987" s="328"/>
      <c r="W987" s="328"/>
      <c r="X987" s="328"/>
      <c r="Y987" s="328"/>
      <c r="Z987" s="328"/>
      <c r="AA987" s="328"/>
      <c r="AB987" s="328"/>
      <c r="AC987" s="328"/>
      <c r="AD987" s="328"/>
      <c r="AE987" s="328"/>
      <c r="AF987" s="328"/>
      <c r="AG987" s="328"/>
      <c r="AH987" s="328"/>
      <c r="AI987" s="328"/>
      <c r="AJ987" s="328"/>
      <c r="AK987" s="328"/>
      <c r="AL987" s="328"/>
      <c r="AM987" s="328"/>
      <c r="AN987" s="328"/>
      <c r="AO987" s="328"/>
      <c r="AP987" s="328"/>
      <c r="AQ987" s="328"/>
      <c r="AR987" s="328"/>
      <c r="AS987" s="328"/>
      <c r="AT987" s="328"/>
      <c r="AU987" s="328"/>
    </row>
    <row r="988" ht="15.75" customHeight="1">
      <c r="A988" s="328"/>
      <c r="B988" s="328"/>
      <c r="C988" s="328"/>
      <c r="D988" s="328"/>
      <c r="E988" s="328"/>
      <c r="F988" s="328"/>
      <c r="G988" s="328"/>
      <c r="H988" s="328"/>
      <c r="I988" s="328"/>
      <c r="J988" s="328"/>
      <c r="K988" s="328"/>
      <c r="L988" s="328"/>
      <c r="M988" s="328"/>
      <c r="N988" s="328"/>
      <c r="O988" s="328"/>
      <c r="P988" s="328"/>
      <c r="Q988" s="328"/>
      <c r="R988" s="328"/>
      <c r="S988" s="328"/>
      <c r="T988" s="328"/>
      <c r="U988" s="328"/>
      <c r="V988" s="328"/>
      <c r="W988" s="328"/>
      <c r="X988" s="328"/>
      <c r="Y988" s="328"/>
      <c r="Z988" s="328"/>
      <c r="AA988" s="328"/>
      <c r="AB988" s="328"/>
      <c r="AC988" s="328"/>
      <c r="AD988" s="328"/>
      <c r="AE988" s="328"/>
      <c r="AF988" s="328"/>
      <c r="AG988" s="328"/>
      <c r="AH988" s="328"/>
      <c r="AI988" s="328"/>
      <c r="AJ988" s="328"/>
      <c r="AK988" s="328"/>
      <c r="AL988" s="328"/>
      <c r="AM988" s="328"/>
      <c r="AN988" s="328"/>
      <c r="AO988" s="328"/>
      <c r="AP988" s="328"/>
      <c r="AQ988" s="328"/>
      <c r="AR988" s="328"/>
      <c r="AS988" s="328"/>
      <c r="AT988" s="328"/>
      <c r="AU988" s="328"/>
    </row>
    <row r="989" ht="15.75" customHeight="1">
      <c r="A989" s="328"/>
      <c r="B989" s="328"/>
      <c r="C989" s="328"/>
      <c r="D989" s="328"/>
      <c r="E989" s="328"/>
      <c r="F989" s="328"/>
      <c r="G989" s="328"/>
      <c r="H989" s="328"/>
      <c r="I989" s="328"/>
      <c r="J989" s="328"/>
      <c r="K989" s="328"/>
      <c r="L989" s="328"/>
      <c r="M989" s="328"/>
      <c r="N989" s="328"/>
      <c r="O989" s="328"/>
      <c r="P989" s="328"/>
      <c r="Q989" s="328"/>
      <c r="R989" s="328"/>
      <c r="S989" s="328"/>
      <c r="T989" s="328"/>
      <c r="U989" s="328"/>
      <c r="V989" s="328"/>
      <c r="W989" s="328"/>
      <c r="X989" s="328"/>
      <c r="Y989" s="328"/>
      <c r="Z989" s="328"/>
      <c r="AA989" s="328"/>
      <c r="AB989" s="328"/>
      <c r="AC989" s="328"/>
      <c r="AD989" s="328"/>
      <c r="AE989" s="328"/>
      <c r="AF989" s="328"/>
      <c r="AG989" s="328"/>
      <c r="AH989" s="328"/>
      <c r="AI989" s="328"/>
      <c r="AJ989" s="328"/>
      <c r="AK989" s="328"/>
      <c r="AL989" s="328"/>
      <c r="AM989" s="328"/>
      <c r="AN989" s="328"/>
      <c r="AO989" s="328"/>
      <c r="AP989" s="328"/>
      <c r="AQ989" s="328"/>
      <c r="AR989" s="328"/>
      <c r="AS989" s="328"/>
      <c r="AT989" s="328"/>
      <c r="AU989" s="328"/>
    </row>
    <row r="990" ht="15.75" customHeight="1">
      <c r="A990" s="328"/>
      <c r="B990" s="328"/>
      <c r="C990" s="328"/>
      <c r="D990" s="328"/>
      <c r="E990" s="328"/>
      <c r="F990" s="328"/>
      <c r="G990" s="328"/>
      <c r="H990" s="328"/>
      <c r="I990" s="328"/>
      <c r="J990" s="328"/>
      <c r="K990" s="328"/>
      <c r="L990" s="328"/>
      <c r="M990" s="328"/>
      <c r="N990" s="328"/>
      <c r="O990" s="328"/>
      <c r="P990" s="328"/>
      <c r="Q990" s="328"/>
      <c r="R990" s="328"/>
      <c r="S990" s="328"/>
      <c r="T990" s="328"/>
      <c r="U990" s="328"/>
      <c r="V990" s="328"/>
      <c r="W990" s="328"/>
      <c r="X990" s="328"/>
      <c r="Y990" s="328"/>
      <c r="Z990" s="328"/>
      <c r="AA990" s="328"/>
      <c r="AB990" s="328"/>
      <c r="AC990" s="328"/>
      <c r="AD990" s="328"/>
      <c r="AE990" s="328"/>
      <c r="AF990" s="328"/>
      <c r="AG990" s="328"/>
      <c r="AH990" s="328"/>
      <c r="AI990" s="328"/>
      <c r="AJ990" s="328"/>
      <c r="AK990" s="328"/>
      <c r="AL990" s="328"/>
      <c r="AM990" s="328"/>
      <c r="AN990" s="328"/>
      <c r="AO990" s="328"/>
      <c r="AP990" s="328"/>
      <c r="AQ990" s="328"/>
      <c r="AR990" s="328"/>
      <c r="AS990" s="328"/>
      <c r="AT990" s="328"/>
      <c r="AU990" s="328"/>
    </row>
    <row r="991" ht="15.75" customHeight="1">
      <c r="A991" s="328"/>
      <c r="B991" s="328"/>
      <c r="C991" s="328"/>
      <c r="D991" s="328"/>
      <c r="E991" s="328"/>
      <c r="F991" s="328"/>
      <c r="G991" s="328"/>
      <c r="H991" s="328"/>
      <c r="I991" s="328"/>
      <c r="J991" s="328"/>
      <c r="K991" s="328"/>
      <c r="L991" s="328"/>
      <c r="M991" s="328"/>
      <c r="N991" s="328"/>
      <c r="O991" s="328"/>
      <c r="P991" s="328"/>
      <c r="Q991" s="328"/>
      <c r="R991" s="328"/>
      <c r="S991" s="328"/>
      <c r="T991" s="328"/>
      <c r="U991" s="328"/>
      <c r="V991" s="328"/>
      <c r="W991" s="328"/>
      <c r="X991" s="328"/>
      <c r="Y991" s="328"/>
      <c r="Z991" s="328"/>
      <c r="AA991" s="328"/>
      <c r="AB991" s="328"/>
      <c r="AC991" s="328"/>
      <c r="AD991" s="328"/>
      <c r="AE991" s="328"/>
      <c r="AF991" s="328"/>
      <c r="AG991" s="328"/>
      <c r="AH991" s="328"/>
      <c r="AI991" s="328"/>
      <c r="AJ991" s="328"/>
      <c r="AK991" s="328"/>
      <c r="AL991" s="328"/>
      <c r="AM991" s="328"/>
      <c r="AN991" s="328"/>
      <c r="AO991" s="328"/>
      <c r="AP991" s="328"/>
      <c r="AQ991" s="328"/>
      <c r="AR991" s="328"/>
      <c r="AS991" s="328"/>
      <c r="AT991" s="328"/>
      <c r="AU991" s="328"/>
    </row>
    <row r="992" ht="15.75" customHeight="1">
      <c r="A992" s="328"/>
      <c r="B992" s="328"/>
      <c r="C992" s="328"/>
      <c r="D992" s="328"/>
      <c r="E992" s="328"/>
      <c r="F992" s="328"/>
      <c r="G992" s="328"/>
      <c r="H992" s="328"/>
      <c r="I992" s="328"/>
      <c r="J992" s="328"/>
      <c r="K992" s="328"/>
      <c r="L992" s="328"/>
      <c r="M992" s="328"/>
      <c r="N992" s="328"/>
      <c r="O992" s="328"/>
      <c r="P992" s="328"/>
      <c r="Q992" s="328"/>
      <c r="R992" s="328"/>
      <c r="S992" s="328"/>
      <c r="T992" s="328"/>
      <c r="U992" s="328"/>
      <c r="V992" s="328"/>
      <c r="W992" s="328"/>
      <c r="X992" s="328"/>
      <c r="Y992" s="328"/>
      <c r="Z992" s="328"/>
      <c r="AA992" s="328"/>
      <c r="AB992" s="328"/>
      <c r="AC992" s="328"/>
      <c r="AD992" s="328"/>
      <c r="AE992" s="328"/>
      <c r="AF992" s="328"/>
      <c r="AG992" s="328"/>
      <c r="AH992" s="328"/>
      <c r="AI992" s="328"/>
      <c r="AJ992" s="328"/>
      <c r="AK992" s="328"/>
      <c r="AL992" s="328"/>
      <c r="AM992" s="328"/>
      <c r="AN992" s="328"/>
      <c r="AO992" s="328"/>
      <c r="AP992" s="328"/>
      <c r="AQ992" s="328"/>
      <c r="AR992" s="328"/>
      <c r="AS992" s="328"/>
      <c r="AT992" s="328"/>
      <c r="AU992" s="328"/>
    </row>
    <row r="993" ht="15.75" customHeight="1">
      <c r="A993" s="328"/>
      <c r="B993" s="328"/>
      <c r="C993" s="328"/>
      <c r="D993" s="328"/>
      <c r="E993" s="328"/>
      <c r="F993" s="328"/>
      <c r="G993" s="328"/>
      <c r="H993" s="328"/>
      <c r="I993" s="328"/>
      <c r="J993" s="328"/>
      <c r="K993" s="328"/>
      <c r="L993" s="328"/>
      <c r="M993" s="328"/>
      <c r="N993" s="328"/>
      <c r="O993" s="328"/>
      <c r="P993" s="328"/>
      <c r="Q993" s="328"/>
      <c r="R993" s="328"/>
      <c r="S993" s="328"/>
      <c r="T993" s="328"/>
      <c r="U993" s="328"/>
      <c r="V993" s="328"/>
      <c r="W993" s="328"/>
      <c r="X993" s="328"/>
      <c r="Y993" s="328"/>
      <c r="Z993" s="328"/>
      <c r="AA993" s="328"/>
      <c r="AB993" s="328"/>
      <c r="AC993" s="328"/>
      <c r="AD993" s="328"/>
      <c r="AE993" s="328"/>
      <c r="AF993" s="328"/>
      <c r="AG993" s="328"/>
      <c r="AH993" s="328"/>
      <c r="AI993" s="328"/>
      <c r="AJ993" s="328"/>
      <c r="AK993" s="328"/>
      <c r="AL993" s="328"/>
      <c r="AM993" s="328"/>
      <c r="AN993" s="328"/>
      <c r="AO993" s="328"/>
      <c r="AP993" s="328"/>
      <c r="AQ993" s="328"/>
      <c r="AR993" s="328"/>
      <c r="AS993" s="328"/>
      <c r="AT993" s="328"/>
      <c r="AU993" s="328"/>
    </row>
    <row r="994" ht="15.75" customHeight="1">
      <c r="A994" s="328"/>
      <c r="B994" s="328"/>
      <c r="C994" s="328"/>
      <c r="D994" s="328"/>
      <c r="E994" s="328"/>
      <c r="F994" s="328"/>
      <c r="G994" s="328"/>
      <c r="H994" s="328"/>
      <c r="I994" s="328"/>
      <c r="J994" s="328"/>
      <c r="K994" s="328"/>
      <c r="L994" s="328"/>
      <c r="M994" s="328"/>
      <c r="N994" s="328"/>
      <c r="O994" s="328"/>
      <c r="P994" s="328"/>
      <c r="Q994" s="328"/>
      <c r="R994" s="328"/>
      <c r="S994" s="328"/>
      <c r="T994" s="328"/>
      <c r="U994" s="328"/>
      <c r="V994" s="328"/>
      <c r="W994" s="328"/>
      <c r="X994" s="328"/>
      <c r="Y994" s="328"/>
      <c r="Z994" s="328"/>
      <c r="AA994" s="328"/>
      <c r="AB994" s="328"/>
      <c r="AC994" s="328"/>
      <c r="AD994" s="328"/>
      <c r="AE994" s="328"/>
      <c r="AF994" s="328"/>
      <c r="AG994" s="328"/>
      <c r="AH994" s="328"/>
      <c r="AI994" s="328"/>
      <c r="AJ994" s="328"/>
      <c r="AK994" s="328"/>
      <c r="AL994" s="328"/>
      <c r="AM994" s="328"/>
      <c r="AN994" s="328"/>
      <c r="AO994" s="328"/>
      <c r="AP994" s="328"/>
      <c r="AQ994" s="328"/>
      <c r="AR994" s="328"/>
      <c r="AS994" s="328"/>
      <c r="AT994" s="328"/>
      <c r="AU994" s="328"/>
    </row>
    <row r="995" ht="15.75" customHeight="1">
      <c r="A995" s="328"/>
      <c r="B995" s="328"/>
      <c r="C995" s="328"/>
      <c r="D995" s="328"/>
      <c r="E995" s="328"/>
      <c r="F995" s="328"/>
      <c r="G995" s="328"/>
      <c r="H995" s="328"/>
      <c r="I995" s="328"/>
      <c r="J995" s="328"/>
      <c r="K995" s="328"/>
      <c r="L995" s="328"/>
      <c r="M995" s="328"/>
      <c r="N995" s="328"/>
      <c r="O995" s="328"/>
      <c r="P995" s="328"/>
      <c r="Q995" s="328"/>
      <c r="R995" s="328"/>
      <c r="S995" s="328"/>
      <c r="T995" s="328"/>
      <c r="U995" s="328"/>
      <c r="V995" s="328"/>
      <c r="W995" s="328"/>
      <c r="X995" s="328"/>
      <c r="Y995" s="328"/>
      <c r="Z995" s="328"/>
      <c r="AA995" s="328"/>
      <c r="AB995" s="328"/>
      <c r="AC995" s="328"/>
      <c r="AD995" s="328"/>
      <c r="AE995" s="328"/>
      <c r="AF995" s="328"/>
      <c r="AG995" s="328"/>
      <c r="AH995" s="328"/>
      <c r="AI995" s="328"/>
      <c r="AJ995" s="328"/>
      <c r="AK995" s="328"/>
      <c r="AL995" s="328"/>
      <c r="AM995" s="328"/>
      <c r="AN995" s="328"/>
      <c r="AO995" s="328"/>
      <c r="AP995" s="328"/>
      <c r="AQ995" s="328"/>
      <c r="AR995" s="328"/>
      <c r="AS995" s="328"/>
      <c r="AT995" s="328"/>
      <c r="AU995" s="328"/>
    </row>
    <row r="996" ht="15.75" customHeight="1">
      <c r="A996" s="328"/>
      <c r="B996" s="328"/>
      <c r="C996" s="328"/>
      <c r="D996" s="328"/>
      <c r="E996" s="328"/>
      <c r="F996" s="328"/>
      <c r="G996" s="328"/>
      <c r="H996" s="328"/>
      <c r="I996" s="328"/>
      <c r="J996" s="328"/>
      <c r="K996" s="328"/>
      <c r="L996" s="328"/>
      <c r="M996" s="328"/>
      <c r="N996" s="328"/>
      <c r="O996" s="328"/>
      <c r="P996" s="328"/>
      <c r="Q996" s="328"/>
      <c r="R996" s="328"/>
      <c r="S996" s="328"/>
      <c r="T996" s="328"/>
      <c r="U996" s="328"/>
      <c r="V996" s="328"/>
      <c r="W996" s="328"/>
      <c r="X996" s="328"/>
      <c r="Y996" s="328"/>
      <c r="Z996" s="328"/>
      <c r="AA996" s="328"/>
      <c r="AB996" s="328"/>
      <c r="AC996" s="328"/>
      <c r="AD996" s="328"/>
      <c r="AE996" s="328"/>
      <c r="AF996" s="328"/>
      <c r="AG996" s="328"/>
      <c r="AH996" s="328"/>
      <c r="AI996" s="328"/>
      <c r="AJ996" s="328"/>
      <c r="AK996" s="328"/>
      <c r="AL996" s="328"/>
      <c r="AM996" s="328"/>
      <c r="AN996" s="328"/>
      <c r="AO996" s="328"/>
      <c r="AP996" s="328"/>
      <c r="AQ996" s="328"/>
      <c r="AR996" s="328"/>
      <c r="AS996" s="328"/>
      <c r="AT996" s="328"/>
      <c r="AU996" s="328"/>
    </row>
    <row r="997" ht="15.75" customHeight="1">
      <c r="A997" s="328"/>
      <c r="B997" s="328"/>
      <c r="C997" s="328"/>
      <c r="D997" s="328"/>
      <c r="E997" s="328"/>
      <c r="F997" s="328"/>
      <c r="G997" s="328"/>
      <c r="H997" s="328"/>
      <c r="I997" s="328"/>
      <c r="J997" s="328"/>
      <c r="K997" s="328"/>
      <c r="L997" s="328"/>
      <c r="M997" s="328"/>
      <c r="N997" s="328"/>
      <c r="O997" s="328"/>
      <c r="P997" s="328"/>
      <c r="Q997" s="328"/>
      <c r="R997" s="328"/>
      <c r="S997" s="328"/>
      <c r="T997" s="328"/>
      <c r="U997" s="328"/>
      <c r="V997" s="328"/>
      <c r="W997" s="328"/>
      <c r="X997" s="328"/>
      <c r="Y997" s="328"/>
      <c r="Z997" s="328"/>
      <c r="AA997" s="328"/>
      <c r="AB997" s="328"/>
      <c r="AC997" s="328"/>
      <c r="AD997" s="328"/>
      <c r="AE997" s="328"/>
      <c r="AF997" s="328"/>
      <c r="AG997" s="328"/>
      <c r="AH997" s="328"/>
      <c r="AI997" s="328"/>
      <c r="AJ997" s="328"/>
      <c r="AK997" s="328"/>
      <c r="AL997" s="328"/>
      <c r="AM997" s="328"/>
      <c r="AN997" s="328"/>
      <c r="AO997" s="328"/>
      <c r="AP997" s="328"/>
      <c r="AQ997" s="328"/>
      <c r="AR997" s="328"/>
      <c r="AS997" s="328"/>
      <c r="AT997" s="328"/>
      <c r="AU997" s="328"/>
    </row>
    <row r="998" ht="15.75" customHeight="1">
      <c r="A998" s="328"/>
      <c r="B998" s="328"/>
      <c r="C998" s="328"/>
      <c r="D998" s="328"/>
      <c r="E998" s="328"/>
      <c r="F998" s="328"/>
      <c r="G998" s="328"/>
      <c r="H998" s="328"/>
      <c r="I998" s="328"/>
      <c r="J998" s="328"/>
      <c r="K998" s="328"/>
      <c r="L998" s="328"/>
      <c r="M998" s="328"/>
      <c r="N998" s="328"/>
      <c r="O998" s="328"/>
      <c r="P998" s="328"/>
      <c r="Q998" s="328"/>
      <c r="R998" s="328"/>
      <c r="S998" s="328"/>
      <c r="T998" s="328"/>
      <c r="U998" s="328"/>
      <c r="V998" s="328"/>
      <c r="W998" s="328"/>
      <c r="X998" s="328"/>
      <c r="Y998" s="328"/>
      <c r="Z998" s="328"/>
      <c r="AA998" s="328"/>
      <c r="AB998" s="328"/>
      <c r="AC998" s="328"/>
      <c r="AD998" s="328"/>
      <c r="AE998" s="328"/>
      <c r="AF998" s="328"/>
      <c r="AG998" s="328"/>
      <c r="AH998" s="328"/>
      <c r="AI998" s="328"/>
      <c r="AJ998" s="328"/>
      <c r="AK998" s="328"/>
      <c r="AL998" s="328"/>
      <c r="AM998" s="328"/>
      <c r="AN998" s="328"/>
      <c r="AO998" s="328"/>
      <c r="AP998" s="328"/>
      <c r="AQ998" s="328"/>
      <c r="AR998" s="328"/>
      <c r="AS998" s="328"/>
      <c r="AT998" s="328"/>
      <c r="AU998" s="328"/>
    </row>
    <row r="999" ht="15.75" customHeight="1">
      <c r="A999" s="328"/>
      <c r="B999" s="328"/>
      <c r="C999" s="328"/>
      <c r="D999" s="328"/>
      <c r="E999" s="328"/>
      <c r="F999" s="328"/>
      <c r="G999" s="328"/>
      <c r="H999" s="328"/>
      <c r="I999" s="328"/>
      <c r="J999" s="328"/>
      <c r="K999" s="328"/>
      <c r="L999" s="328"/>
      <c r="M999" s="328"/>
      <c r="N999" s="328"/>
      <c r="O999" s="328"/>
      <c r="P999" s="328"/>
      <c r="Q999" s="328"/>
      <c r="R999" s="328"/>
      <c r="S999" s="328"/>
      <c r="T999" s="328"/>
      <c r="U999" s="328"/>
      <c r="V999" s="328"/>
      <c r="W999" s="328"/>
      <c r="X999" s="328"/>
      <c r="Y999" s="328"/>
      <c r="Z999" s="328"/>
      <c r="AA999" s="328"/>
      <c r="AB999" s="328"/>
      <c r="AC999" s="328"/>
      <c r="AD999" s="328"/>
      <c r="AE999" s="328"/>
      <c r="AF999" s="328"/>
      <c r="AG999" s="328"/>
      <c r="AH999" s="328"/>
      <c r="AI999" s="328"/>
      <c r="AJ999" s="328"/>
      <c r="AK999" s="328"/>
      <c r="AL999" s="328"/>
      <c r="AM999" s="328"/>
      <c r="AN999" s="328"/>
      <c r="AO999" s="328"/>
      <c r="AP999" s="328"/>
      <c r="AQ999" s="328"/>
      <c r="AR999" s="328"/>
      <c r="AS999" s="328"/>
      <c r="AT999" s="328"/>
      <c r="AU999" s="328"/>
    </row>
    <row r="1000" ht="15.75" customHeight="1">
      <c r="A1000" s="328"/>
      <c r="B1000" s="328"/>
      <c r="C1000" s="328"/>
      <c r="D1000" s="328"/>
      <c r="E1000" s="328"/>
      <c r="F1000" s="328"/>
      <c r="G1000" s="328"/>
      <c r="H1000" s="328"/>
      <c r="I1000" s="328"/>
      <c r="J1000" s="328"/>
      <c r="K1000" s="328"/>
      <c r="L1000" s="328"/>
      <c r="M1000" s="328"/>
      <c r="N1000" s="328"/>
      <c r="O1000" s="328"/>
      <c r="P1000" s="328"/>
      <c r="Q1000" s="328"/>
      <c r="R1000" s="328"/>
      <c r="S1000" s="328"/>
      <c r="T1000" s="328"/>
      <c r="U1000" s="328"/>
      <c r="V1000" s="328"/>
      <c r="W1000" s="328"/>
      <c r="X1000" s="328"/>
      <c r="Y1000" s="328"/>
      <c r="Z1000" s="328"/>
      <c r="AA1000" s="328"/>
      <c r="AB1000" s="328"/>
      <c r="AC1000" s="328"/>
      <c r="AD1000" s="328"/>
      <c r="AE1000" s="328"/>
      <c r="AF1000" s="328"/>
      <c r="AG1000" s="328"/>
      <c r="AH1000" s="328"/>
      <c r="AI1000" s="328"/>
      <c r="AJ1000" s="328"/>
      <c r="AK1000" s="328"/>
      <c r="AL1000" s="328"/>
      <c r="AM1000" s="328"/>
      <c r="AN1000" s="328"/>
      <c r="AO1000" s="328"/>
      <c r="AP1000" s="328"/>
      <c r="AQ1000" s="328"/>
      <c r="AR1000" s="328"/>
      <c r="AS1000" s="328"/>
      <c r="AT1000" s="328"/>
      <c r="AU1000" s="328"/>
    </row>
  </sheetData>
  <conditionalFormatting sqref="H25:AB54">
    <cfRule type="cellIs" dxfId="4" priority="1" operator="greaterThan">
      <formula>0</formula>
    </cfRule>
  </conditionalFormatting>
  <conditionalFormatting sqref="A25:AB54">
    <cfRule type="expression" dxfId="5" priority="2">
      <formula>MOD(INT((ROW()-13)/3),2)=0</formula>
    </cfRule>
  </conditionalFormatting>
  <conditionalFormatting sqref="C58:AB72">
    <cfRule type="cellIs" dxfId="4" priority="3" operator="greaterThan">
      <formula>0</formula>
    </cfRule>
  </conditionalFormatting>
  <conditionalFormatting sqref="A58:AB72">
    <cfRule type="expression" dxfId="5" priority="4">
      <formula>ISEVEN($A58)</formula>
    </cfRule>
  </conditionalFormatting>
  <conditionalFormatting sqref="C76:AB90">
    <cfRule type="cellIs" dxfId="4" priority="5" operator="greaterThan">
      <formula>0</formula>
    </cfRule>
  </conditionalFormatting>
  <conditionalFormatting sqref="A76:AB90">
    <cfRule type="expression" dxfId="5" priority="6">
      <formula>ISEVEN($A76)</formula>
    </cfRule>
  </conditionalFormatting>
  <conditionalFormatting sqref="C94:AB108">
    <cfRule type="cellIs" dxfId="4" priority="7" operator="greaterThan">
      <formula>0</formula>
    </cfRule>
  </conditionalFormatting>
  <conditionalFormatting sqref="A94:AB108">
    <cfRule type="expression" dxfId="5" priority="8">
      <formula>ISEVEN($A94)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2" width="4.5"/>
    <col customWidth="1" min="23" max="26" width="8.63"/>
  </cols>
  <sheetData>
    <row r="1" ht="21.75" customHeight="1">
      <c r="A1" s="148" t="s">
        <v>51</v>
      </c>
    </row>
    <row r="2" ht="19.5" customHeight="1">
      <c r="A2" s="149" t="s">
        <v>106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</row>
    <row r="3">
      <c r="A3" s="151" t="s">
        <v>300</v>
      </c>
      <c r="B3" s="152">
        <v>5.0</v>
      </c>
    </row>
    <row r="4">
      <c r="A4" s="151" t="s">
        <v>301</v>
      </c>
      <c r="B4" s="152">
        <v>1.0</v>
      </c>
    </row>
    <row r="5">
      <c r="A5" s="151" t="s">
        <v>302</v>
      </c>
      <c r="B5" s="152">
        <v>1.0</v>
      </c>
    </row>
    <row r="6">
      <c r="A6" s="151" t="s">
        <v>303</v>
      </c>
      <c r="B6" s="154">
        <v>27.0</v>
      </c>
    </row>
    <row r="7">
      <c r="A7" s="151" t="s">
        <v>207</v>
      </c>
      <c r="B7" s="154">
        <v>1.0</v>
      </c>
    </row>
    <row r="9" ht="19.5" customHeight="1">
      <c r="A9" s="149" t="s">
        <v>133</v>
      </c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</row>
    <row r="10" ht="90.0" customHeight="1">
      <c r="A10" s="163" t="s">
        <v>233</v>
      </c>
      <c r="B10" s="325" t="s">
        <v>76</v>
      </c>
      <c r="C10" s="165" t="s">
        <v>46</v>
      </c>
      <c r="D10" s="165" t="s">
        <v>121</v>
      </c>
      <c r="E10" s="165" t="s">
        <v>47</v>
      </c>
      <c r="F10" s="165" t="s">
        <v>48</v>
      </c>
      <c r="G10" s="165" t="s">
        <v>50</v>
      </c>
      <c r="H10" s="165" t="s">
        <v>52</v>
      </c>
      <c r="I10" s="165" t="s">
        <v>53</v>
      </c>
      <c r="J10" s="165" t="s">
        <v>54</v>
      </c>
      <c r="K10" s="165" t="s">
        <v>55</v>
      </c>
      <c r="L10" s="165" t="s">
        <v>56</v>
      </c>
      <c r="M10" s="165" t="s">
        <v>57</v>
      </c>
      <c r="N10" s="165" t="s">
        <v>58</v>
      </c>
      <c r="O10" s="165" t="s">
        <v>135</v>
      </c>
      <c r="P10" s="165" t="s">
        <v>122</v>
      </c>
      <c r="Q10" s="165" t="s">
        <v>123</v>
      </c>
      <c r="R10" s="165" t="s">
        <v>124</v>
      </c>
      <c r="S10" s="165" t="s">
        <v>125</v>
      </c>
      <c r="T10" s="165" t="s">
        <v>126</v>
      </c>
      <c r="U10" s="165" t="s">
        <v>127</v>
      </c>
      <c r="V10" s="165" t="s">
        <v>128</v>
      </c>
    </row>
    <row r="11">
      <c r="A11" s="168">
        <v>1.0</v>
      </c>
      <c r="B11" s="326">
        <v>0.0</v>
      </c>
      <c r="C11" s="167">
        <v>20.0</v>
      </c>
      <c r="D11" s="167">
        <v>0.0</v>
      </c>
      <c r="E11" s="167">
        <v>1.0</v>
      </c>
      <c r="F11" s="167">
        <v>1.0</v>
      </c>
      <c r="G11" s="167">
        <v>1.0</v>
      </c>
      <c r="H11" s="167">
        <v>1.0</v>
      </c>
      <c r="I11" s="167">
        <v>0.0</v>
      </c>
      <c r="J11" s="167">
        <v>0.0</v>
      </c>
      <c r="K11" s="167">
        <v>0.0</v>
      </c>
      <c r="L11" s="167">
        <v>0.0</v>
      </c>
      <c r="M11" s="167">
        <v>0.0</v>
      </c>
      <c r="N11" s="167">
        <v>0.0</v>
      </c>
      <c r="O11" s="167">
        <v>0.0</v>
      </c>
      <c r="P11" s="167">
        <v>0.0</v>
      </c>
      <c r="Q11" s="167">
        <v>0.0</v>
      </c>
      <c r="R11" s="167">
        <v>0.0</v>
      </c>
      <c r="S11" s="167">
        <v>0.0</v>
      </c>
      <c r="T11" s="167">
        <v>0.0</v>
      </c>
      <c r="U11" s="167">
        <v>0.0</v>
      </c>
      <c r="V11" s="167">
        <v>0.0</v>
      </c>
    </row>
    <row r="12">
      <c r="A12" s="168">
        <v>2.0</v>
      </c>
      <c r="B12" s="326">
        <v>0.0</v>
      </c>
      <c r="C12" s="167">
        <v>0.0</v>
      </c>
      <c r="D12" s="167">
        <v>0.0</v>
      </c>
      <c r="E12" s="167">
        <v>0.0</v>
      </c>
      <c r="F12" s="167">
        <v>0.0</v>
      </c>
      <c r="G12" s="167">
        <v>0.0</v>
      </c>
      <c r="H12" s="167">
        <v>0.0</v>
      </c>
      <c r="I12" s="167">
        <v>0.0</v>
      </c>
      <c r="J12" s="167">
        <v>0.0</v>
      </c>
      <c r="K12" s="167">
        <v>0.0</v>
      </c>
      <c r="L12" s="167">
        <v>0.0</v>
      </c>
      <c r="M12" s="167">
        <v>0.0</v>
      </c>
      <c r="N12" s="167">
        <v>0.0</v>
      </c>
      <c r="O12" s="167">
        <v>0.0</v>
      </c>
      <c r="P12" s="167">
        <v>0.0</v>
      </c>
      <c r="Q12" s="167">
        <v>0.0</v>
      </c>
      <c r="R12" s="167">
        <v>0.0</v>
      </c>
      <c r="S12" s="167">
        <v>0.0</v>
      </c>
      <c r="T12" s="167">
        <v>0.0</v>
      </c>
      <c r="U12" s="167">
        <v>0.0</v>
      </c>
      <c r="V12" s="167">
        <v>0.0</v>
      </c>
    </row>
    <row r="13">
      <c r="A13" s="168">
        <v>3.0</v>
      </c>
      <c r="B13" s="326">
        <v>0.0</v>
      </c>
      <c r="C13" s="167">
        <v>0.0</v>
      </c>
      <c r="D13" s="167">
        <v>0.0</v>
      </c>
      <c r="E13" s="167">
        <v>0.0</v>
      </c>
      <c r="F13" s="167">
        <v>0.0</v>
      </c>
      <c r="G13" s="167">
        <v>0.0</v>
      </c>
      <c r="H13" s="167">
        <v>0.0</v>
      </c>
      <c r="I13" s="167">
        <v>0.0</v>
      </c>
      <c r="J13" s="167">
        <v>0.0</v>
      </c>
      <c r="K13" s="167">
        <v>0.0</v>
      </c>
      <c r="L13" s="167">
        <v>0.0</v>
      </c>
      <c r="M13" s="167">
        <v>0.0</v>
      </c>
      <c r="N13" s="167">
        <v>0.0</v>
      </c>
      <c r="O13" s="167">
        <v>0.0</v>
      </c>
      <c r="P13" s="167">
        <v>0.0</v>
      </c>
      <c r="Q13" s="167">
        <v>0.0</v>
      </c>
      <c r="R13" s="167">
        <v>0.0</v>
      </c>
      <c r="S13" s="167">
        <v>0.0</v>
      </c>
      <c r="T13" s="167">
        <v>0.0</v>
      </c>
      <c r="U13" s="167">
        <v>0.0</v>
      </c>
      <c r="V13" s="167">
        <v>0.0</v>
      </c>
    </row>
    <row r="14">
      <c r="A14" s="168">
        <v>4.0</v>
      </c>
      <c r="B14" s="326">
        <v>0.0</v>
      </c>
      <c r="C14" s="167">
        <v>0.0</v>
      </c>
      <c r="D14" s="167">
        <v>0.0</v>
      </c>
      <c r="E14" s="167">
        <v>0.0</v>
      </c>
      <c r="F14" s="167">
        <v>0.0</v>
      </c>
      <c r="G14" s="167">
        <v>0.0</v>
      </c>
      <c r="H14" s="167">
        <v>0.0</v>
      </c>
      <c r="I14" s="167">
        <v>0.0</v>
      </c>
      <c r="J14" s="167">
        <v>0.0</v>
      </c>
      <c r="K14" s="167">
        <v>0.0</v>
      </c>
      <c r="L14" s="167">
        <v>0.0</v>
      </c>
      <c r="M14" s="167">
        <v>0.0</v>
      </c>
      <c r="N14" s="167">
        <v>0.0</v>
      </c>
      <c r="O14" s="167">
        <v>0.0</v>
      </c>
      <c r="P14" s="167">
        <v>0.0</v>
      </c>
      <c r="Q14" s="167">
        <v>0.0</v>
      </c>
      <c r="R14" s="167">
        <v>0.0</v>
      </c>
      <c r="S14" s="167">
        <v>0.0</v>
      </c>
      <c r="T14" s="167">
        <v>0.0</v>
      </c>
      <c r="U14" s="167">
        <v>0.0</v>
      </c>
      <c r="V14" s="167">
        <v>0.0</v>
      </c>
    </row>
    <row r="15">
      <c r="A15" s="168">
        <v>5.0</v>
      </c>
      <c r="B15" s="326">
        <v>0.0</v>
      </c>
      <c r="C15" s="167">
        <v>0.0</v>
      </c>
      <c r="D15" s="167">
        <v>0.0</v>
      </c>
      <c r="E15" s="167">
        <v>0.0</v>
      </c>
      <c r="F15" s="167">
        <v>0.0</v>
      </c>
      <c r="G15" s="167">
        <v>0.0</v>
      </c>
      <c r="H15" s="167">
        <v>0.0</v>
      </c>
      <c r="I15" s="167">
        <v>0.0</v>
      </c>
      <c r="J15" s="167">
        <v>0.0</v>
      </c>
      <c r="K15" s="167">
        <v>0.0</v>
      </c>
      <c r="L15" s="167">
        <v>0.0</v>
      </c>
      <c r="M15" s="167">
        <v>0.0</v>
      </c>
      <c r="N15" s="167">
        <v>0.0</v>
      </c>
      <c r="O15" s="167">
        <v>0.0</v>
      </c>
      <c r="P15" s="167">
        <v>0.0</v>
      </c>
      <c r="Q15" s="167">
        <v>0.0</v>
      </c>
      <c r="R15" s="167">
        <v>0.0</v>
      </c>
      <c r="S15" s="167">
        <v>0.0</v>
      </c>
      <c r="T15" s="167">
        <v>0.0</v>
      </c>
      <c r="U15" s="167">
        <v>0.0</v>
      </c>
      <c r="V15" s="167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4" priority="1" operator="greaterThan">
      <formula>0</formula>
    </cfRule>
  </conditionalFormatting>
  <conditionalFormatting sqref="A11:V15">
    <cfRule type="expression" dxfId="5" priority="2">
      <formula>ISEVEN(ROW()-10+1)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44" width="10.88"/>
  </cols>
  <sheetData>
    <row r="1" ht="21.75" customHeight="1">
      <c r="A1" s="171" t="s">
        <v>51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AH1" s="222" t="s">
        <v>306</v>
      </c>
    </row>
    <row r="2" ht="19.5" customHeight="1">
      <c r="A2" s="174" t="s">
        <v>106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AH2" s="223" t="s">
        <v>177</v>
      </c>
      <c r="AI2" s="232" t="s">
        <v>178</v>
      </c>
    </row>
    <row r="3">
      <c r="A3" s="176" t="s">
        <v>300</v>
      </c>
      <c r="B3" s="177">
        <v>5.0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AH3" s="223" t="s">
        <v>179</v>
      </c>
      <c r="AI3" s="232" t="s">
        <v>180</v>
      </c>
    </row>
    <row r="4">
      <c r="A4" s="176" t="s">
        <v>301</v>
      </c>
      <c r="B4" s="177">
        <v>1.0</v>
      </c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</row>
    <row r="5">
      <c r="A5" s="176" t="s">
        <v>302</v>
      </c>
      <c r="B5" s="177">
        <v>1.0</v>
      </c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AH5" s="226" t="s">
        <v>307</v>
      </c>
      <c r="AI5" s="226" t="s">
        <v>308</v>
      </c>
      <c r="AJ5" s="226" t="s">
        <v>183</v>
      </c>
      <c r="AK5" s="226" t="s">
        <v>309</v>
      </c>
      <c r="AL5" s="226" t="s">
        <v>185</v>
      </c>
      <c r="AM5" s="226" t="s">
        <v>310</v>
      </c>
      <c r="AN5" s="226" t="s">
        <v>188</v>
      </c>
      <c r="AO5" s="226" t="s">
        <v>311</v>
      </c>
      <c r="AP5" s="226" t="s">
        <v>191</v>
      </c>
      <c r="AQ5" s="226" t="s">
        <v>312</v>
      </c>
      <c r="AR5" s="226" t="s">
        <v>194</v>
      </c>
    </row>
    <row r="6">
      <c r="A6" s="176" t="s">
        <v>303</v>
      </c>
      <c r="B6" s="225">
        <v>27.0</v>
      </c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AH6" s="332" t="s">
        <v>51</v>
      </c>
      <c r="AI6" s="237">
        <f t="array" ref="AI6">LET(pos,CHOOSE(MATCH($AI$2,{"p25","p50","p75"},0),SUMIFS(data_event_inst!$K:$K,data_event_inst!$A:$A,"Flock Flurry",data_event_inst!$B:$B,$AI$3,data_event_inst!$C:$C,"0-9"),SUMIFS(data_event_inst!$L:$L,data_event_inst!$A:$A,"Flock Flurry",data_event_inst!$B:$B,$AI$3,data_event_inst!$C:$C,"0-9"),SUMIFS(data_event_inst!$M:$M,data_event_inst!$A:$A,"Flock Flurry",data_event_inst!$B:$B,$AI$3,data_event_inst!$C:$C,"0-9")),IF(pos=0,"n/a",pos))</f>
        <v>3</v>
      </c>
      <c r="AJ6" s="238" t="str">
        <f t="array" ref="AJ6">LET(p,AI6,IF(p="n/a","n/a",IF(p&gt;5,"(below ladder)",LET(s,INDEX($B$11:$V$15,p,0),b,TEXTJOIN(", ",TRUE,IF(s&gt;0,$B$10:$V$10&amp;": "&amp;ROUND(s,2),"")),IF(b="","{} (rank pays nothing)","{"&amp;b&amp;"}")))))</f>
        <v>{} (rank pays nothing)</v>
      </c>
      <c r="AK6" s="237">
        <f t="array" ref="AK6">LET(pos,CHOOSE(MATCH($AI$2,{"p25","p50","p75"},0),SUMIFS(data_event_inst!$K:$K,data_event_inst!$A:$A,"Flock Flurry",data_event_inst!$B:$B,$AI$3,data_event_inst!$C:$C,"10-19"),SUMIFS(data_event_inst!$L:$L,data_event_inst!$A:$A,"Flock Flurry",data_event_inst!$B:$B,$AI$3,data_event_inst!$C:$C,"10-19"),SUMIFS(data_event_inst!$M:$M,data_event_inst!$A:$A,"Flock Flurry",data_event_inst!$B:$B,$AI$3,data_event_inst!$C:$C,"10-19")),IF(pos=0,"n/a",pos))</f>
        <v>3</v>
      </c>
      <c r="AL6" s="238" t="str">
        <f t="array" ref="AL6">LET(p,AK6,IF(p="n/a","n/a",IF(p&gt;5,"(below ladder)",LET(s,INDEX($B$11:$V$15,p,0),b,TEXTJOIN(", ",TRUE,IF(s&gt;0,$B$10:$V$10&amp;": "&amp;ROUND(s,2),"")),IF(b="","{} (rank pays nothing)","{"&amp;b&amp;"}")))))</f>
        <v>{} (rank pays nothing)</v>
      </c>
      <c r="AM6" s="237">
        <f t="array" ref="AM6">LET(pos,CHOOSE(MATCH($AI$2,{"p25","p50","p75"},0),SUMIFS(data_event_inst!$K:$K,data_event_inst!$A:$A,"Flock Flurry",data_event_inst!$B:$B,$AI$3,data_event_inst!$C:$C,"20-39"),SUMIFS(data_event_inst!$L:$L,data_event_inst!$A:$A,"Flock Flurry",data_event_inst!$B:$B,$AI$3,data_event_inst!$C:$C,"20-39"),SUMIFS(data_event_inst!$M:$M,data_event_inst!$A:$A,"Flock Flurry",data_event_inst!$B:$B,$AI$3,data_event_inst!$C:$C,"20-39")),IF(pos=0,"n/a",pos))</f>
        <v>3</v>
      </c>
      <c r="AN6" s="238" t="str">
        <f t="array" ref="AN6">LET(p,AM6,IF(p="n/a","n/a",IF(p&gt;5,"(below ladder)",LET(s,INDEX($B$11:$V$15,p,0),b,TEXTJOIN(", ",TRUE,IF(s&gt;0,$B$10:$V$10&amp;": "&amp;ROUND(s,2),"")),IF(b="","{} (rank pays nothing)","{"&amp;b&amp;"}")))))</f>
        <v>{} (rank pays nothing)</v>
      </c>
      <c r="AO6" s="237">
        <f t="array" ref="AO6">LET(pos,CHOOSE(MATCH($AI$2,{"p25","p50","p75"},0),SUMIFS(data_event_inst!$K:$K,data_event_inst!$A:$A,"Flock Flurry",data_event_inst!$B:$B,$AI$3,data_event_inst!$C:$C,"40-99"),SUMIFS(data_event_inst!$L:$L,data_event_inst!$A:$A,"Flock Flurry",data_event_inst!$B:$B,$AI$3,data_event_inst!$C:$C,"40-99"),SUMIFS(data_event_inst!$M:$M,data_event_inst!$A:$A,"Flock Flurry",data_event_inst!$B:$B,$AI$3,data_event_inst!$C:$C,"40-99")),IF(pos=0,"n/a",pos))</f>
        <v>2</v>
      </c>
      <c r="AP6" s="238" t="str">
        <f t="array" ref="AP6">LET(p,AO6,IF(p="n/a","n/a",IF(p&gt;5,"(below ladder)",LET(s,INDEX($B$11:$V$15,p,0),b,TEXTJOIN(", ",TRUE,IF(s&gt;0,$B$10:$V$10&amp;": "&amp;ROUND(s,2),"")),IF(b="","{} (rank pays nothing)","{"&amp;b&amp;"}")))))</f>
        <v>{} (rank pays nothing)</v>
      </c>
      <c r="AQ6" s="237">
        <f t="array" ref="AQ6">LET(pos,CHOOSE(MATCH($AI$2,{"p25","p50","p75"},0),SUMIFS(data_event_inst!$K:$K,data_event_inst!$A:$A,"Flock Flurry",data_event_inst!$B:$B,$AI$3,data_event_inst!$C:$C,"100+"),SUMIFS(data_event_inst!$L:$L,data_event_inst!$A:$A,"Flock Flurry",data_event_inst!$B:$B,$AI$3,data_event_inst!$C:$C,"100+"),SUMIFS(data_event_inst!$M:$M,data_event_inst!$A:$A,"Flock Flurry",data_event_inst!$B:$B,$AI$3,data_event_inst!$C:$C,"100+")),IF(pos=0,"n/a",pos))</f>
        <v>2</v>
      </c>
      <c r="AR6" s="238" t="str">
        <f t="array" ref="AR6">LET(p,AQ6,IF(p="n/a","n/a",IF(p&gt;5,"(below ladder)",LET(s,INDEX($B$11:$V$15,p,0),b,TEXTJOIN(", ",TRUE,IF(s&gt;0,$B$10:$V$10&amp;": "&amp;ROUND(s,2),"")),IF(b="","{} (rank pays nothing)","{"&amp;b&amp;"}")))))</f>
        <v>{} (rank pays nothing)</v>
      </c>
    </row>
    <row r="7">
      <c r="A7" s="176" t="s">
        <v>207</v>
      </c>
      <c r="B7" s="225">
        <v>1.0</v>
      </c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</row>
    <row r="8">
      <c r="A8" s="172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AH8" s="338" t="s">
        <v>326</v>
      </c>
    </row>
    <row r="9" ht="19.5" customHeight="1">
      <c r="A9" s="174" t="s">
        <v>133</v>
      </c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AH9" s="338" t="s">
        <v>327</v>
      </c>
    </row>
    <row r="10" ht="90.0" customHeight="1">
      <c r="A10" s="185" t="s">
        <v>233</v>
      </c>
      <c r="B10" s="339" t="s">
        <v>76</v>
      </c>
      <c r="C10" s="187" t="s">
        <v>46</v>
      </c>
      <c r="D10" s="187" t="s">
        <v>121</v>
      </c>
      <c r="E10" s="187" t="s">
        <v>47</v>
      </c>
      <c r="F10" s="187" t="s">
        <v>48</v>
      </c>
      <c r="G10" s="187" t="s">
        <v>50</v>
      </c>
      <c r="H10" s="187" t="s">
        <v>52</v>
      </c>
      <c r="I10" s="187" t="s">
        <v>53</v>
      </c>
      <c r="J10" s="187" t="s">
        <v>54</v>
      </c>
      <c r="K10" s="187" t="s">
        <v>55</v>
      </c>
      <c r="L10" s="187" t="s">
        <v>56</v>
      </c>
      <c r="M10" s="187" t="s">
        <v>57</v>
      </c>
      <c r="N10" s="187" t="s">
        <v>58</v>
      </c>
      <c r="O10" s="187" t="s">
        <v>135</v>
      </c>
      <c r="P10" s="187" t="s">
        <v>122</v>
      </c>
      <c r="Q10" s="187" t="s">
        <v>123</v>
      </c>
      <c r="R10" s="187" t="s">
        <v>124</v>
      </c>
      <c r="S10" s="187" t="s">
        <v>125</v>
      </c>
      <c r="T10" s="187" t="s">
        <v>126</v>
      </c>
      <c r="U10" s="187" t="s">
        <v>127</v>
      </c>
      <c r="V10" s="187" t="s">
        <v>128</v>
      </c>
      <c r="AH10" s="340" t="s">
        <v>328</v>
      </c>
    </row>
    <row r="11">
      <c r="A11" s="190">
        <v>1.0</v>
      </c>
      <c r="B11" s="341">
        <v>0.0</v>
      </c>
      <c r="C11" s="189">
        <v>20.0</v>
      </c>
      <c r="D11" s="189">
        <v>0.0</v>
      </c>
      <c r="E11" s="189">
        <v>1.0</v>
      </c>
      <c r="F11" s="189">
        <v>1.0</v>
      </c>
      <c r="G11" s="189">
        <v>1.0</v>
      </c>
      <c r="H11" s="189">
        <v>1.0</v>
      </c>
      <c r="I11" s="189">
        <v>0.0</v>
      </c>
      <c r="J11" s="189">
        <v>0.0</v>
      </c>
      <c r="K11" s="189">
        <v>0.0</v>
      </c>
      <c r="L11" s="189">
        <v>0.0</v>
      </c>
      <c r="M11" s="189">
        <v>0.0</v>
      </c>
      <c r="N11" s="189">
        <v>0.0</v>
      </c>
      <c r="O11" s="189">
        <v>0.0</v>
      </c>
      <c r="P11" s="189">
        <v>0.0</v>
      </c>
      <c r="Q11" s="189">
        <v>0.0</v>
      </c>
      <c r="R11" s="189">
        <v>0.0</v>
      </c>
      <c r="S11" s="189">
        <v>0.0</v>
      </c>
      <c r="T11" s="189">
        <v>0.0</v>
      </c>
      <c r="U11" s="189">
        <v>0.0</v>
      </c>
      <c r="V11" s="189">
        <v>0.0</v>
      </c>
    </row>
    <row r="12">
      <c r="A12" s="190">
        <v>2.0</v>
      </c>
      <c r="B12" s="341">
        <v>0.0</v>
      </c>
      <c r="C12" s="189">
        <v>0.0</v>
      </c>
      <c r="D12" s="189">
        <v>0.0</v>
      </c>
      <c r="E12" s="189">
        <v>0.0</v>
      </c>
      <c r="F12" s="189">
        <v>0.0</v>
      </c>
      <c r="G12" s="189">
        <v>0.0</v>
      </c>
      <c r="H12" s="189">
        <v>0.0</v>
      </c>
      <c r="I12" s="189">
        <v>0.0</v>
      </c>
      <c r="J12" s="189">
        <v>0.0</v>
      </c>
      <c r="K12" s="189">
        <v>0.0</v>
      </c>
      <c r="L12" s="189">
        <v>0.0</v>
      </c>
      <c r="M12" s="189">
        <v>0.0</v>
      </c>
      <c r="N12" s="189">
        <v>0.0</v>
      </c>
      <c r="O12" s="189">
        <v>0.0</v>
      </c>
      <c r="P12" s="189">
        <v>0.0</v>
      </c>
      <c r="Q12" s="189">
        <v>0.0</v>
      </c>
      <c r="R12" s="189">
        <v>0.0</v>
      </c>
      <c r="S12" s="189">
        <v>0.0</v>
      </c>
      <c r="T12" s="189">
        <v>0.0</v>
      </c>
      <c r="U12" s="189">
        <v>0.0</v>
      </c>
      <c r="V12" s="189">
        <v>0.0</v>
      </c>
    </row>
    <row r="13">
      <c r="A13" s="190">
        <v>3.0</v>
      </c>
      <c r="B13" s="341">
        <v>0.0</v>
      </c>
      <c r="C13" s="189">
        <v>0.0</v>
      </c>
      <c r="D13" s="189">
        <v>0.0</v>
      </c>
      <c r="E13" s="189">
        <v>0.0</v>
      </c>
      <c r="F13" s="189">
        <v>0.0</v>
      </c>
      <c r="G13" s="189">
        <v>0.0</v>
      </c>
      <c r="H13" s="189">
        <v>0.0</v>
      </c>
      <c r="I13" s="189">
        <v>0.0</v>
      </c>
      <c r="J13" s="189">
        <v>0.0</v>
      </c>
      <c r="K13" s="189">
        <v>0.0</v>
      </c>
      <c r="L13" s="189">
        <v>0.0</v>
      </c>
      <c r="M13" s="189">
        <v>0.0</v>
      </c>
      <c r="N13" s="189">
        <v>0.0</v>
      </c>
      <c r="O13" s="189">
        <v>0.0</v>
      </c>
      <c r="P13" s="189">
        <v>0.0</v>
      </c>
      <c r="Q13" s="189">
        <v>0.0</v>
      </c>
      <c r="R13" s="189">
        <v>0.0</v>
      </c>
      <c r="S13" s="189">
        <v>0.0</v>
      </c>
      <c r="T13" s="189">
        <v>0.0</v>
      </c>
      <c r="U13" s="189">
        <v>0.0</v>
      </c>
      <c r="V13" s="189">
        <v>0.0</v>
      </c>
    </row>
    <row r="14">
      <c r="A14" s="190">
        <v>4.0</v>
      </c>
      <c r="B14" s="341">
        <v>0.0</v>
      </c>
      <c r="C14" s="189">
        <v>0.0</v>
      </c>
      <c r="D14" s="189">
        <v>0.0</v>
      </c>
      <c r="E14" s="189">
        <v>0.0</v>
      </c>
      <c r="F14" s="189">
        <v>0.0</v>
      </c>
      <c r="G14" s="189">
        <v>0.0</v>
      </c>
      <c r="H14" s="189">
        <v>0.0</v>
      </c>
      <c r="I14" s="189">
        <v>0.0</v>
      </c>
      <c r="J14" s="189">
        <v>0.0</v>
      </c>
      <c r="K14" s="189">
        <v>0.0</v>
      </c>
      <c r="L14" s="189">
        <v>0.0</v>
      </c>
      <c r="M14" s="189">
        <v>0.0</v>
      </c>
      <c r="N14" s="189">
        <v>0.0</v>
      </c>
      <c r="O14" s="189">
        <v>0.0</v>
      </c>
      <c r="P14" s="189">
        <v>0.0</v>
      </c>
      <c r="Q14" s="189">
        <v>0.0</v>
      </c>
      <c r="R14" s="189">
        <v>0.0</v>
      </c>
      <c r="S14" s="189">
        <v>0.0</v>
      </c>
      <c r="T14" s="189">
        <v>0.0</v>
      </c>
      <c r="U14" s="189">
        <v>0.0</v>
      </c>
      <c r="V14" s="189">
        <v>0.0</v>
      </c>
    </row>
    <row r="15">
      <c r="A15" s="190">
        <v>5.0</v>
      </c>
      <c r="B15" s="341">
        <v>0.0</v>
      </c>
      <c r="C15" s="189">
        <v>0.0</v>
      </c>
      <c r="D15" s="189">
        <v>0.0</v>
      </c>
      <c r="E15" s="189">
        <v>0.0</v>
      </c>
      <c r="F15" s="189">
        <v>0.0</v>
      </c>
      <c r="G15" s="189">
        <v>0.0</v>
      </c>
      <c r="H15" s="189">
        <v>0.0</v>
      </c>
      <c r="I15" s="189">
        <v>0.0</v>
      </c>
      <c r="J15" s="189">
        <v>0.0</v>
      </c>
      <c r="K15" s="189">
        <v>0.0</v>
      </c>
      <c r="L15" s="189">
        <v>0.0</v>
      </c>
      <c r="M15" s="189">
        <v>0.0</v>
      </c>
      <c r="N15" s="189">
        <v>0.0</v>
      </c>
      <c r="O15" s="189">
        <v>0.0</v>
      </c>
      <c r="P15" s="189">
        <v>0.0</v>
      </c>
      <c r="Q15" s="189">
        <v>0.0</v>
      </c>
      <c r="R15" s="189">
        <v>0.0</v>
      </c>
      <c r="S15" s="189">
        <v>0.0</v>
      </c>
      <c r="T15" s="189">
        <v>0.0</v>
      </c>
      <c r="U15" s="189">
        <v>0.0</v>
      </c>
      <c r="V15" s="189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4" priority="1" operator="greaterThan">
      <formula>0</formula>
    </cfRule>
  </conditionalFormatting>
  <conditionalFormatting sqref="A11:V15">
    <cfRule type="expression" dxfId="5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6" width="8.63"/>
  </cols>
  <sheetData>
    <row r="1" ht="21.75" customHeight="1">
      <c r="A1" s="2" t="s">
        <v>313</v>
      </c>
    </row>
    <row r="3" ht="19.5" customHeight="1">
      <c r="A3" s="158" t="s">
        <v>314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</row>
    <row r="4">
      <c r="A4" s="156" t="s">
        <v>315</v>
      </c>
      <c r="B4" s="154">
        <v>10.0</v>
      </c>
    </row>
    <row r="5">
      <c r="A5" s="156" t="s">
        <v>316</v>
      </c>
      <c r="B5" s="154">
        <v>10.0</v>
      </c>
    </row>
    <row r="6">
      <c r="A6" s="156" t="s">
        <v>169</v>
      </c>
      <c r="B6" s="154">
        <v>2.0</v>
      </c>
    </row>
    <row r="8" ht="19.5" customHeight="1">
      <c r="A8" s="158" t="s">
        <v>317</v>
      </c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</row>
    <row r="9" ht="90.0" customHeight="1">
      <c r="A9" s="333" t="s">
        <v>233</v>
      </c>
      <c r="B9" s="334" t="s">
        <v>76</v>
      </c>
      <c r="C9" s="204" t="s">
        <v>46</v>
      </c>
      <c r="D9" s="204" t="s">
        <v>121</v>
      </c>
      <c r="E9" s="204" t="s">
        <v>47</v>
      </c>
      <c r="F9" s="204" t="s">
        <v>48</v>
      </c>
      <c r="G9" s="204" t="s">
        <v>50</v>
      </c>
      <c r="H9" s="204" t="s">
        <v>52</v>
      </c>
      <c r="I9" s="204" t="s">
        <v>53</v>
      </c>
      <c r="J9" s="204" t="s">
        <v>54</v>
      </c>
      <c r="K9" s="204" t="s">
        <v>55</v>
      </c>
      <c r="L9" s="204" t="s">
        <v>56</v>
      </c>
      <c r="M9" s="204" t="s">
        <v>57</v>
      </c>
      <c r="N9" s="204" t="s">
        <v>58</v>
      </c>
      <c r="O9" s="204" t="s">
        <v>135</v>
      </c>
      <c r="P9" s="204" t="s">
        <v>122</v>
      </c>
      <c r="Q9" s="204" t="s">
        <v>123</v>
      </c>
      <c r="R9" s="204" t="s">
        <v>124</v>
      </c>
      <c r="S9" s="204" t="s">
        <v>125</v>
      </c>
      <c r="T9" s="204" t="s">
        <v>126</v>
      </c>
      <c r="U9" s="204" t="s">
        <v>127</v>
      </c>
      <c r="V9" s="204" t="s">
        <v>128</v>
      </c>
    </row>
    <row r="10">
      <c r="A10" s="335">
        <v>1.0</v>
      </c>
      <c r="B10" s="336">
        <v>200.0</v>
      </c>
      <c r="C10" s="229">
        <v>0.0</v>
      </c>
      <c r="D10" s="229">
        <v>0.0</v>
      </c>
      <c r="E10" s="229">
        <v>0.0</v>
      </c>
      <c r="F10" s="229">
        <v>0.0</v>
      </c>
      <c r="G10" s="229">
        <v>0.0</v>
      </c>
      <c r="H10" s="229">
        <v>0.0</v>
      </c>
      <c r="I10" s="229">
        <v>0.0</v>
      </c>
      <c r="J10" s="229">
        <v>1.0</v>
      </c>
      <c r="K10" s="229">
        <v>0.0</v>
      </c>
      <c r="L10" s="229">
        <v>0.0</v>
      </c>
      <c r="M10" s="229">
        <v>0.0</v>
      </c>
      <c r="N10" s="229">
        <v>0.0</v>
      </c>
      <c r="O10" s="229">
        <v>0.0</v>
      </c>
      <c r="P10" s="229">
        <v>0.0</v>
      </c>
      <c r="Q10" s="229">
        <v>0.0</v>
      </c>
      <c r="R10" s="229">
        <v>0.0</v>
      </c>
      <c r="S10" s="229">
        <v>0.0</v>
      </c>
      <c r="T10" s="229">
        <v>0.0</v>
      </c>
      <c r="U10" s="229">
        <v>0.0</v>
      </c>
      <c r="V10" s="229">
        <v>0.0</v>
      </c>
    </row>
    <row r="11">
      <c r="A11" s="335">
        <v>2.0</v>
      </c>
      <c r="B11" s="336">
        <v>100.0</v>
      </c>
      <c r="C11" s="229">
        <v>0.0</v>
      </c>
      <c r="D11" s="229">
        <v>0.0</v>
      </c>
      <c r="E11" s="229">
        <v>0.0</v>
      </c>
      <c r="F11" s="229">
        <v>0.0</v>
      </c>
      <c r="G11" s="229">
        <v>0.0</v>
      </c>
      <c r="H11" s="229">
        <v>0.0</v>
      </c>
      <c r="I11" s="229">
        <v>1.0</v>
      </c>
      <c r="J11" s="229">
        <v>0.0</v>
      </c>
      <c r="K11" s="229">
        <v>0.0</v>
      </c>
      <c r="L11" s="229">
        <v>0.0</v>
      </c>
      <c r="M11" s="229">
        <v>0.0</v>
      </c>
      <c r="N11" s="229">
        <v>0.0</v>
      </c>
      <c r="O11" s="229">
        <v>0.0</v>
      </c>
      <c r="P11" s="229">
        <v>0.0</v>
      </c>
      <c r="Q11" s="229">
        <v>0.0</v>
      </c>
      <c r="R11" s="229">
        <v>0.0</v>
      </c>
      <c r="S11" s="229">
        <v>0.0</v>
      </c>
      <c r="T11" s="229">
        <v>0.0</v>
      </c>
      <c r="U11" s="229">
        <v>0.0</v>
      </c>
      <c r="V11" s="229">
        <v>0.0</v>
      </c>
    </row>
    <row r="12">
      <c r="A12" s="335">
        <v>3.0</v>
      </c>
      <c r="B12" s="336">
        <v>50.0</v>
      </c>
      <c r="C12" s="229">
        <v>0.0</v>
      </c>
      <c r="D12" s="229">
        <v>0.0</v>
      </c>
      <c r="E12" s="229">
        <v>0.0</v>
      </c>
      <c r="F12" s="229">
        <v>0.0</v>
      </c>
      <c r="G12" s="229">
        <v>0.0</v>
      </c>
      <c r="H12" s="229">
        <v>0.0</v>
      </c>
      <c r="I12" s="229">
        <v>1.0</v>
      </c>
      <c r="J12" s="229">
        <v>0.0</v>
      </c>
      <c r="K12" s="229">
        <v>0.0</v>
      </c>
      <c r="L12" s="229">
        <v>0.0</v>
      </c>
      <c r="M12" s="229">
        <v>0.0</v>
      </c>
      <c r="N12" s="229">
        <v>0.0</v>
      </c>
      <c r="O12" s="229">
        <v>0.0</v>
      </c>
      <c r="P12" s="229">
        <v>0.0</v>
      </c>
      <c r="Q12" s="229">
        <v>0.0</v>
      </c>
      <c r="R12" s="229">
        <v>0.0</v>
      </c>
      <c r="S12" s="229">
        <v>0.0</v>
      </c>
      <c r="T12" s="229">
        <v>0.0</v>
      </c>
      <c r="U12" s="229">
        <v>0.0</v>
      </c>
      <c r="V12" s="229">
        <v>0.0</v>
      </c>
    </row>
    <row r="13">
      <c r="A13" s="335">
        <v>4.0</v>
      </c>
      <c r="B13" s="336">
        <v>0.0</v>
      </c>
      <c r="C13" s="229">
        <v>0.0</v>
      </c>
      <c r="D13" s="229">
        <v>0.0</v>
      </c>
      <c r="E13" s="229">
        <v>0.0</v>
      </c>
      <c r="F13" s="229">
        <v>0.0</v>
      </c>
      <c r="G13" s="229">
        <v>0.0</v>
      </c>
      <c r="H13" s="229">
        <v>0.0</v>
      </c>
      <c r="I13" s="229">
        <v>1.0</v>
      </c>
      <c r="J13" s="229">
        <v>0.0</v>
      </c>
      <c r="K13" s="229">
        <v>0.0</v>
      </c>
      <c r="L13" s="229">
        <v>0.0</v>
      </c>
      <c r="M13" s="229">
        <v>0.0</v>
      </c>
      <c r="N13" s="229">
        <v>0.0</v>
      </c>
      <c r="O13" s="229">
        <v>0.0</v>
      </c>
      <c r="P13" s="229">
        <v>0.0</v>
      </c>
      <c r="Q13" s="229">
        <v>0.0</v>
      </c>
      <c r="R13" s="229">
        <v>0.0</v>
      </c>
      <c r="S13" s="229">
        <v>0.0</v>
      </c>
      <c r="T13" s="229">
        <v>0.0</v>
      </c>
      <c r="U13" s="229">
        <v>0.0</v>
      </c>
      <c r="V13" s="229">
        <v>0.0</v>
      </c>
    </row>
    <row r="14">
      <c r="A14" s="335">
        <v>5.0</v>
      </c>
      <c r="B14" s="336">
        <v>0.0</v>
      </c>
      <c r="C14" s="229">
        <v>0.0</v>
      </c>
      <c r="D14" s="229">
        <v>0.0</v>
      </c>
      <c r="E14" s="229">
        <v>0.0</v>
      </c>
      <c r="F14" s="229">
        <v>0.0</v>
      </c>
      <c r="G14" s="229">
        <v>0.0</v>
      </c>
      <c r="H14" s="229">
        <v>0.0</v>
      </c>
      <c r="I14" s="229">
        <v>1.0</v>
      </c>
      <c r="J14" s="229">
        <v>0.0</v>
      </c>
      <c r="K14" s="229">
        <v>0.0</v>
      </c>
      <c r="L14" s="229">
        <v>0.0</v>
      </c>
      <c r="M14" s="229">
        <v>0.0</v>
      </c>
      <c r="N14" s="229">
        <v>0.0</v>
      </c>
      <c r="O14" s="229">
        <v>0.0</v>
      </c>
      <c r="P14" s="229">
        <v>0.0</v>
      </c>
      <c r="Q14" s="229">
        <v>0.0</v>
      </c>
      <c r="R14" s="229">
        <v>0.0</v>
      </c>
      <c r="S14" s="229">
        <v>0.0</v>
      </c>
      <c r="T14" s="229">
        <v>0.0</v>
      </c>
      <c r="U14" s="229">
        <v>0.0</v>
      </c>
      <c r="V14" s="229">
        <v>0.0</v>
      </c>
    </row>
    <row r="15">
      <c r="A15" s="335">
        <v>6.0</v>
      </c>
      <c r="B15" s="336">
        <v>0.0</v>
      </c>
      <c r="C15" s="229">
        <v>0.0</v>
      </c>
      <c r="D15" s="229">
        <v>0.0</v>
      </c>
      <c r="E15" s="229">
        <v>0.0</v>
      </c>
      <c r="F15" s="229">
        <v>0.0</v>
      </c>
      <c r="G15" s="229">
        <v>0.0</v>
      </c>
      <c r="H15" s="229">
        <v>1.0</v>
      </c>
      <c r="I15" s="229">
        <v>0.0</v>
      </c>
      <c r="J15" s="229">
        <v>0.0</v>
      </c>
      <c r="K15" s="229">
        <v>0.0</v>
      </c>
      <c r="L15" s="229">
        <v>0.0</v>
      </c>
      <c r="M15" s="229">
        <v>0.0</v>
      </c>
      <c r="N15" s="229">
        <v>0.0</v>
      </c>
      <c r="O15" s="229">
        <v>0.0</v>
      </c>
      <c r="P15" s="229">
        <v>0.0</v>
      </c>
      <c r="Q15" s="229">
        <v>0.0</v>
      </c>
      <c r="R15" s="229">
        <v>0.0</v>
      </c>
      <c r="S15" s="229">
        <v>0.0</v>
      </c>
      <c r="T15" s="229">
        <v>0.0</v>
      </c>
      <c r="U15" s="229">
        <v>0.0</v>
      </c>
      <c r="V15" s="229">
        <v>0.0</v>
      </c>
    </row>
    <row r="16">
      <c r="A16" s="335">
        <v>7.0</v>
      </c>
      <c r="B16" s="336">
        <v>0.0</v>
      </c>
      <c r="C16" s="229">
        <v>0.0</v>
      </c>
      <c r="D16" s="229">
        <v>0.0</v>
      </c>
      <c r="E16" s="229">
        <v>0.0</v>
      </c>
      <c r="F16" s="229">
        <v>0.0</v>
      </c>
      <c r="G16" s="229">
        <v>0.0</v>
      </c>
      <c r="H16" s="229">
        <v>1.0</v>
      </c>
      <c r="I16" s="229">
        <v>0.0</v>
      </c>
      <c r="J16" s="229">
        <v>0.0</v>
      </c>
      <c r="K16" s="229">
        <v>0.0</v>
      </c>
      <c r="L16" s="229">
        <v>0.0</v>
      </c>
      <c r="M16" s="229">
        <v>0.0</v>
      </c>
      <c r="N16" s="229">
        <v>0.0</v>
      </c>
      <c r="O16" s="229">
        <v>0.0</v>
      </c>
      <c r="P16" s="229">
        <v>0.0</v>
      </c>
      <c r="Q16" s="229">
        <v>0.0</v>
      </c>
      <c r="R16" s="229">
        <v>0.0</v>
      </c>
      <c r="S16" s="229">
        <v>0.0</v>
      </c>
      <c r="T16" s="229">
        <v>0.0</v>
      </c>
      <c r="U16" s="229">
        <v>0.0</v>
      </c>
      <c r="V16" s="229">
        <v>0.0</v>
      </c>
    </row>
    <row r="17">
      <c r="A17" s="335">
        <v>8.0</v>
      </c>
      <c r="B17" s="336">
        <v>0.0</v>
      </c>
      <c r="C17" s="229">
        <v>0.0</v>
      </c>
      <c r="D17" s="229">
        <v>0.0</v>
      </c>
      <c r="E17" s="229">
        <v>0.0</v>
      </c>
      <c r="F17" s="229">
        <v>0.0</v>
      </c>
      <c r="G17" s="229">
        <v>0.0</v>
      </c>
      <c r="H17" s="229">
        <v>1.0</v>
      </c>
      <c r="I17" s="229">
        <v>0.0</v>
      </c>
      <c r="J17" s="229">
        <v>0.0</v>
      </c>
      <c r="K17" s="229">
        <v>0.0</v>
      </c>
      <c r="L17" s="229">
        <v>0.0</v>
      </c>
      <c r="M17" s="229">
        <v>0.0</v>
      </c>
      <c r="N17" s="229">
        <v>0.0</v>
      </c>
      <c r="O17" s="229">
        <v>0.0</v>
      </c>
      <c r="P17" s="229">
        <v>0.0</v>
      </c>
      <c r="Q17" s="229">
        <v>0.0</v>
      </c>
      <c r="R17" s="229">
        <v>0.0</v>
      </c>
      <c r="S17" s="229">
        <v>0.0</v>
      </c>
      <c r="T17" s="229">
        <v>0.0</v>
      </c>
      <c r="U17" s="229">
        <v>0.0</v>
      </c>
      <c r="V17" s="229">
        <v>0.0</v>
      </c>
    </row>
    <row r="18">
      <c r="A18" s="335">
        <v>9.0</v>
      </c>
      <c r="B18" s="336">
        <v>0.0</v>
      </c>
      <c r="C18" s="229">
        <v>0.0</v>
      </c>
      <c r="D18" s="229">
        <v>0.0</v>
      </c>
      <c r="E18" s="229">
        <v>0.0</v>
      </c>
      <c r="F18" s="229">
        <v>0.0</v>
      </c>
      <c r="G18" s="229">
        <v>0.0</v>
      </c>
      <c r="H18" s="229">
        <v>1.0</v>
      </c>
      <c r="I18" s="229">
        <v>0.0</v>
      </c>
      <c r="J18" s="229">
        <v>0.0</v>
      </c>
      <c r="K18" s="229">
        <v>0.0</v>
      </c>
      <c r="L18" s="229">
        <v>0.0</v>
      </c>
      <c r="M18" s="229">
        <v>0.0</v>
      </c>
      <c r="N18" s="229">
        <v>0.0</v>
      </c>
      <c r="O18" s="229">
        <v>0.0</v>
      </c>
      <c r="P18" s="229">
        <v>0.0</v>
      </c>
      <c r="Q18" s="229">
        <v>0.0</v>
      </c>
      <c r="R18" s="229">
        <v>0.0</v>
      </c>
      <c r="S18" s="229">
        <v>0.0</v>
      </c>
      <c r="T18" s="229">
        <v>0.0</v>
      </c>
      <c r="U18" s="229">
        <v>0.0</v>
      </c>
      <c r="V18" s="229">
        <v>0.0</v>
      </c>
    </row>
    <row r="19">
      <c r="A19" s="335">
        <v>10.0</v>
      </c>
      <c r="B19" s="336">
        <v>0.0</v>
      </c>
      <c r="C19" s="229">
        <v>0.0</v>
      </c>
      <c r="D19" s="229">
        <v>0.0</v>
      </c>
      <c r="E19" s="229">
        <v>0.0</v>
      </c>
      <c r="F19" s="229">
        <v>0.0</v>
      </c>
      <c r="G19" s="229">
        <v>0.0</v>
      </c>
      <c r="H19" s="229">
        <v>1.0</v>
      </c>
      <c r="I19" s="229">
        <v>0.0</v>
      </c>
      <c r="J19" s="229">
        <v>0.0</v>
      </c>
      <c r="K19" s="229">
        <v>0.0</v>
      </c>
      <c r="L19" s="229">
        <v>0.0</v>
      </c>
      <c r="M19" s="229">
        <v>0.0</v>
      </c>
      <c r="N19" s="229">
        <v>0.0</v>
      </c>
      <c r="O19" s="229">
        <v>0.0</v>
      </c>
      <c r="P19" s="229">
        <v>0.0</v>
      </c>
      <c r="Q19" s="229">
        <v>0.0</v>
      </c>
      <c r="R19" s="229">
        <v>0.0</v>
      </c>
      <c r="S19" s="229">
        <v>0.0</v>
      </c>
      <c r="T19" s="229">
        <v>0.0</v>
      </c>
      <c r="U19" s="229">
        <v>0.0</v>
      </c>
      <c r="V19" s="229">
        <v>0.0</v>
      </c>
    </row>
    <row r="21" ht="19.5" customHeight="1">
      <c r="A21" s="158" t="s">
        <v>318</v>
      </c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</row>
    <row r="22" ht="15.75" customHeight="1">
      <c r="A22" s="156" t="s">
        <v>315</v>
      </c>
      <c r="B22" s="154">
        <v>10.0</v>
      </c>
    </row>
    <row r="23" ht="15.75" customHeight="1">
      <c r="A23" s="156" t="s">
        <v>316</v>
      </c>
      <c r="B23" s="154">
        <v>10.0</v>
      </c>
    </row>
    <row r="24" ht="15.75" customHeight="1">
      <c r="A24" s="156" t="s">
        <v>169</v>
      </c>
      <c r="B24" s="154">
        <v>2.0</v>
      </c>
    </row>
    <row r="25" ht="15.75" customHeight="1"/>
    <row r="26" ht="19.5" customHeight="1">
      <c r="A26" s="158" t="s">
        <v>319</v>
      </c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</row>
    <row r="27" ht="90.0" customHeight="1">
      <c r="A27" s="333" t="s">
        <v>233</v>
      </c>
      <c r="B27" s="334" t="s">
        <v>76</v>
      </c>
      <c r="C27" s="204" t="s">
        <v>46</v>
      </c>
      <c r="D27" s="204" t="s">
        <v>121</v>
      </c>
      <c r="E27" s="204" t="s">
        <v>47</v>
      </c>
      <c r="F27" s="204" t="s">
        <v>48</v>
      </c>
      <c r="G27" s="204" t="s">
        <v>50</v>
      </c>
      <c r="H27" s="204" t="s">
        <v>52</v>
      </c>
      <c r="I27" s="204" t="s">
        <v>53</v>
      </c>
      <c r="J27" s="204" t="s">
        <v>54</v>
      </c>
      <c r="K27" s="204" t="s">
        <v>55</v>
      </c>
      <c r="L27" s="204" t="s">
        <v>56</v>
      </c>
      <c r="M27" s="204" t="s">
        <v>57</v>
      </c>
      <c r="N27" s="204" t="s">
        <v>58</v>
      </c>
      <c r="O27" s="204" t="s">
        <v>135</v>
      </c>
      <c r="P27" s="204" t="s">
        <v>122</v>
      </c>
      <c r="Q27" s="204" t="s">
        <v>123</v>
      </c>
      <c r="R27" s="204" t="s">
        <v>124</v>
      </c>
      <c r="S27" s="204" t="s">
        <v>125</v>
      </c>
      <c r="T27" s="204" t="s">
        <v>126</v>
      </c>
      <c r="U27" s="204" t="s">
        <v>127</v>
      </c>
      <c r="V27" s="204" t="s">
        <v>128</v>
      </c>
    </row>
    <row r="28" ht="15.75" customHeight="1">
      <c r="A28" s="335">
        <v>1.0</v>
      </c>
      <c r="B28" s="336">
        <v>200.0</v>
      </c>
      <c r="C28" s="229">
        <v>0.0</v>
      </c>
      <c r="D28" s="229">
        <v>0.0</v>
      </c>
      <c r="E28" s="229">
        <v>0.0</v>
      </c>
      <c r="F28" s="229">
        <v>0.0</v>
      </c>
      <c r="G28" s="229">
        <v>0.0</v>
      </c>
      <c r="H28" s="229">
        <v>0.0</v>
      </c>
      <c r="I28" s="229">
        <v>0.0</v>
      </c>
      <c r="J28" s="229">
        <v>1.0</v>
      </c>
      <c r="K28" s="229">
        <v>0.0</v>
      </c>
      <c r="L28" s="229">
        <v>0.0</v>
      </c>
      <c r="M28" s="229">
        <v>0.0</v>
      </c>
      <c r="N28" s="229">
        <v>0.0</v>
      </c>
      <c r="O28" s="229">
        <v>0.0</v>
      </c>
      <c r="P28" s="229">
        <v>0.0</v>
      </c>
      <c r="Q28" s="229">
        <v>0.0</v>
      </c>
      <c r="R28" s="229">
        <v>0.0</v>
      </c>
      <c r="S28" s="229">
        <v>0.0</v>
      </c>
      <c r="T28" s="229">
        <v>0.0</v>
      </c>
      <c r="U28" s="229">
        <v>0.0</v>
      </c>
      <c r="V28" s="229">
        <v>0.0</v>
      </c>
    </row>
    <row r="29" ht="15.75" customHeight="1">
      <c r="A29" s="335">
        <v>2.0</v>
      </c>
      <c r="B29" s="336">
        <v>100.0</v>
      </c>
      <c r="C29" s="229">
        <v>0.0</v>
      </c>
      <c r="D29" s="229">
        <v>0.0</v>
      </c>
      <c r="E29" s="229">
        <v>0.0</v>
      </c>
      <c r="F29" s="229">
        <v>0.0</v>
      </c>
      <c r="G29" s="229">
        <v>0.0</v>
      </c>
      <c r="H29" s="229">
        <v>0.0</v>
      </c>
      <c r="I29" s="229">
        <v>1.0</v>
      </c>
      <c r="J29" s="229">
        <v>0.0</v>
      </c>
      <c r="K29" s="229">
        <v>0.0</v>
      </c>
      <c r="L29" s="229">
        <v>0.0</v>
      </c>
      <c r="M29" s="229">
        <v>0.0</v>
      </c>
      <c r="N29" s="229">
        <v>0.0</v>
      </c>
      <c r="O29" s="229">
        <v>0.0</v>
      </c>
      <c r="P29" s="229">
        <v>0.0</v>
      </c>
      <c r="Q29" s="229">
        <v>0.0</v>
      </c>
      <c r="R29" s="229">
        <v>0.0</v>
      </c>
      <c r="S29" s="229">
        <v>0.0</v>
      </c>
      <c r="T29" s="229">
        <v>0.0</v>
      </c>
      <c r="U29" s="229">
        <v>0.0</v>
      </c>
      <c r="V29" s="229">
        <v>0.0</v>
      </c>
    </row>
    <row r="30" ht="15.75" customHeight="1">
      <c r="A30" s="335">
        <v>3.0</v>
      </c>
      <c r="B30" s="336">
        <v>50.0</v>
      </c>
      <c r="C30" s="229">
        <v>0.0</v>
      </c>
      <c r="D30" s="229">
        <v>0.0</v>
      </c>
      <c r="E30" s="229">
        <v>0.0</v>
      </c>
      <c r="F30" s="229">
        <v>0.0</v>
      </c>
      <c r="G30" s="229">
        <v>0.0</v>
      </c>
      <c r="H30" s="229">
        <v>0.0</v>
      </c>
      <c r="I30" s="229">
        <v>1.0</v>
      </c>
      <c r="J30" s="229">
        <v>0.0</v>
      </c>
      <c r="K30" s="229">
        <v>0.0</v>
      </c>
      <c r="L30" s="229">
        <v>0.0</v>
      </c>
      <c r="M30" s="229">
        <v>0.0</v>
      </c>
      <c r="N30" s="229">
        <v>0.0</v>
      </c>
      <c r="O30" s="229">
        <v>0.0</v>
      </c>
      <c r="P30" s="229">
        <v>0.0</v>
      </c>
      <c r="Q30" s="229">
        <v>0.0</v>
      </c>
      <c r="R30" s="229">
        <v>0.0</v>
      </c>
      <c r="S30" s="229">
        <v>0.0</v>
      </c>
      <c r="T30" s="229">
        <v>0.0</v>
      </c>
      <c r="U30" s="229">
        <v>0.0</v>
      </c>
      <c r="V30" s="229">
        <v>0.0</v>
      </c>
    </row>
    <row r="31" ht="15.75" customHeight="1">
      <c r="A31" s="335">
        <v>4.0</v>
      </c>
      <c r="B31" s="336">
        <v>0.0</v>
      </c>
      <c r="C31" s="229">
        <v>0.0</v>
      </c>
      <c r="D31" s="229">
        <v>0.0</v>
      </c>
      <c r="E31" s="229">
        <v>0.0</v>
      </c>
      <c r="F31" s="229">
        <v>0.0</v>
      </c>
      <c r="G31" s="229">
        <v>0.0</v>
      </c>
      <c r="H31" s="229">
        <v>0.0</v>
      </c>
      <c r="I31" s="229">
        <v>1.0</v>
      </c>
      <c r="J31" s="229">
        <v>0.0</v>
      </c>
      <c r="K31" s="229">
        <v>0.0</v>
      </c>
      <c r="L31" s="229">
        <v>0.0</v>
      </c>
      <c r="M31" s="229">
        <v>0.0</v>
      </c>
      <c r="N31" s="229">
        <v>0.0</v>
      </c>
      <c r="O31" s="229">
        <v>0.0</v>
      </c>
      <c r="P31" s="229">
        <v>0.0</v>
      </c>
      <c r="Q31" s="229">
        <v>0.0</v>
      </c>
      <c r="R31" s="229">
        <v>0.0</v>
      </c>
      <c r="S31" s="229">
        <v>0.0</v>
      </c>
      <c r="T31" s="229">
        <v>0.0</v>
      </c>
      <c r="U31" s="229">
        <v>0.0</v>
      </c>
      <c r="V31" s="229">
        <v>0.0</v>
      </c>
    </row>
    <row r="32" ht="15.75" customHeight="1">
      <c r="A32" s="335">
        <v>5.0</v>
      </c>
      <c r="B32" s="336">
        <v>0.0</v>
      </c>
      <c r="C32" s="229">
        <v>0.0</v>
      </c>
      <c r="D32" s="229">
        <v>0.0</v>
      </c>
      <c r="E32" s="229">
        <v>0.0</v>
      </c>
      <c r="F32" s="229">
        <v>0.0</v>
      </c>
      <c r="G32" s="229">
        <v>0.0</v>
      </c>
      <c r="H32" s="229">
        <v>0.0</v>
      </c>
      <c r="I32" s="229">
        <v>1.0</v>
      </c>
      <c r="J32" s="229">
        <v>0.0</v>
      </c>
      <c r="K32" s="229">
        <v>0.0</v>
      </c>
      <c r="L32" s="229">
        <v>0.0</v>
      </c>
      <c r="M32" s="229">
        <v>0.0</v>
      </c>
      <c r="N32" s="229">
        <v>0.0</v>
      </c>
      <c r="O32" s="229">
        <v>0.0</v>
      </c>
      <c r="P32" s="229">
        <v>0.0</v>
      </c>
      <c r="Q32" s="229">
        <v>0.0</v>
      </c>
      <c r="R32" s="229">
        <v>0.0</v>
      </c>
      <c r="S32" s="229">
        <v>0.0</v>
      </c>
      <c r="T32" s="229">
        <v>0.0</v>
      </c>
      <c r="U32" s="229">
        <v>0.0</v>
      </c>
      <c r="V32" s="229">
        <v>0.0</v>
      </c>
    </row>
    <row r="33" ht="15.75" customHeight="1">
      <c r="A33" s="335">
        <v>6.0</v>
      </c>
      <c r="B33" s="336">
        <v>0.0</v>
      </c>
      <c r="C33" s="229">
        <v>0.0</v>
      </c>
      <c r="D33" s="229">
        <v>0.0</v>
      </c>
      <c r="E33" s="229">
        <v>0.0</v>
      </c>
      <c r="F33" s="229">
        <v>0.0</v>
      </c>
      <c r="G33" s="229">
        <v>0.0</v>
      </c>
      <c r="H33" s="229">
        <v>1.0</v>
      </c>
      <c r="I33" s="229">
        <v>0.0</v>
      </c>
      <c r="J33" s="229">
        <v>0.0</v>
      </c>
      <c r="K33" s="229">
        <v>0.0</v>
      </c>
      <c r="L33" s="229">
        <v>0.0</v>
      </c>
      <c r="M33" s="229">
        <v>0.0</v>
      </c>
      <c r="N33" s="229">
        <v>0.0</v>
      </c>
      <c r="O33" s="229">
        <v>0.0</v>
      </c>
      <c r="P33" s="229">
        <v>0.0</v>
      </c>
      <c r="Q33" s="229">
        <v>0.0</v>
      </c>
      <c r="R33" s="229">
        <v>0.0</v>
      </c>
      <c r="S33" s="229">
        <v>0.0</v>
      </c>
      <c r="T33" s="229">
        <v>0.0</v>
      </c>
      <c r="U33" s="229">
        <v>0.0</v>
      </c>
      <c r="V33" s="229">
        <v>0.0</v>
      </c>
    </row>
    <row r="34" ht="15.75" customHeight="1">
      <c r="A34" s="335">
        <v>7.0</v>
      </c>
      <c r="B34" s="336">
        <v>0.0</v>
      </c>
      <c r="C34" s="229">
        <v>0.0</v>
      </c>
      <c r="D34" s="229">
        <v>0.0</v>
      </c>
      <c r="E34" s="229">
        <v>0.0</v>
      </c>
      <c r="F34" s="229">
        <v>0.0</v>
      </c>
      <c r="G34" s="229">
        <v>0.0</v>
      </c>
      <c r="H34" s="229">
        <v>1.0</v>
      </c>
      <c r="I34" s="229">
        <v>0.0</v>
      </c>
      <c r="J34" s="229">
        <v>0.0</v>
      </c>
      <c r="K34" s="229">
        <v>0.0</v>
      </c>
      <c r="L34" s="229">
        <v>0.0</v>
      </c>
      <c r="M34" s="229">
        <v>0.0</v>
      </c>
      <c r="N34" s="229">
        <v>0.0</v>
      </c>
      <c r="O34" s="229">
        <v>0.0</v>
      </c>
      <c r="P34" s="229">
        <v>0.0</v>
      </c>
      <c r="Q34" s="229">
        <v>0.0</v>
      </c>
      <c r="R34" s="229">
        <v>0.0</v>
      </c>
      <c r="S34" s="229">
        <v>0.0</v>
      </c>
      <c r="T34" s="229">
        <v>0.0</v>
      </c>
      <c r="U34" s="229">
        <v>0.0</v>
      </c>
      <c r="V34" s="229">
        <v>0.0</v>
      </c>
    </row>
    <row r="35" ht="15.75" customHeight="1">
      <c r="A35" s="335">
        <v>8.0</v>
      </c>
      <c r="B35" s="336">
        <v>0.0</v>
      </c>
      <c r="C35" s="229">
        <v>0.0</v>
      </c>
      <c r="D35" s="229">
        <v>0.0</v>
      </c>
      <c r="E35" s="229">
        <v>0.0</v>
      </c>
      <c r="F35" s="229">
        <v>0.0</v>
      </c>
      <c r="G35" s="229">
        <v>0.0</v>
      </c>
      <c r="H35" s="229">
        <v>1.0</v>
      </c>
      <c r="I35" s="229">
        <v>0.0</v>
      </c>
      <c r="J35" s="229">
        <v>0.0</v>
      </c>
      <c r="K35" s="229">
        <v>0.0</v>
      </c>
      <c r="L35" s="229">
        <v>0.0</v>
      </c>
      <c r="M35" s="229">
        <v>0.0</v>
      </c>
      <c r="N35" s="229">
        <v>0.0</v>
      </c>
      <c r="O35" s="229">
        <v>0.0</v>
      </c>
      <c r="P35" s="229">
        <v>0.0</v>
      </c>
      <c r="Q35" s="229">
        <v>0.0</v>
      </c>
      <c r="R35" s="229">
        <v>0.0</v>
      </c>
      <c r="S35" s="229">
        <v>0.0</v>
      </c>
      <c r="T35" s="229">
        <v>0.0</v>
      </c>
      <c r="U35" s="229">
        <v>0.0</v>
      </c>
      <c r="V35" s="229">
        <v>0.0</v>
      </c>
    </row>
    <row r="36" ht="15.75" customHeight="1">
      <c r="A36" s="335">
        <v>9.0</v>
      </c>
      <c r="B36" s="336">
        <v>0.0</v>
      </c>
      <c r="C36" s="229">
        <v>0.0</v>
      </c>
      <c r="D36" s="229">
        <v>0.0</v>
      </c>
      <c r="E36" s="229">
        <v>0.0</v>
      </c>
      <c r="F36" s="229">
        <v>0.0</v>
      </c>
      <c r="G36" s="229">
        <v>0.0</v>
      </c>
      <c r="H36" s="229">
        <v>1.0</v>
      </c>
      <c r="I36" s="229">
        <v>0.0</v>
      </c>
      <c r="J36" s="229">
        <v>0.0</v>
      </c>
      <c r="K36" s="229">
        <v>0.0</v>
      </c>
      <c r="L36" s="229">
        <v>0.0</v>
      </c>
      <c r="M36" s="229">
        <v>0.0</v>
      </c>
      <c r="N36" s="229">
        <v>0.0</v>
      </c>
      <c r="O36" s="229">
        <v>0.0</v>
      </c>
      <c r="P36" s="229">
        <v>0.0</v>
      </c>
      <c r="Q36" s="229">
        <v>0.0</v>
      </c>
      <c r="R36" s="229">
        <v>0.0</v>
      </c>
      <c r="S36" s="229">
        <v>0.0</v>
      </c>
      <c r="T36" s="229">
        <v>0.0</v>
      </c>
      <c r="U36" s="229">
        <v>0.0</v>
      </c>
      <c r="V36" s="229">
        <v>0.0</v>
      </c>
    </row>
    <row r="37" ht="15.75" customHeight="1">
      <c r="A37" s="335">
        <v>10.0</v>
      </c>
      <c r="B37" s="336">
        <v>0.0</v>
      </c>
      <c r="C37" s="229">
        <v>0.0</v>
      </c>
      <c r="D37" s="229">
        <v>0.0</v>
      </c>
      <c r="E37" s="229">
        <v>0.0</v>
      </c>
      <c r="F37" s="229">
        <v>0.0</v>
      </c>
      <c r="G37" s="229">
        <v>0.0</v>
      </c>
      <c r="H37" s="229">
        <v>1.0</v>
      </c>
      <c r="I37" s="229">
        <v>0.0</v>
      </c>
      <c r="J37" s="229">
        <v>0.0</v>
      </c>
      <c r="K37" s="229">
        <v>0.0</v>
      </c>
      <c r="L37" s="229">
        <v>0.0</v>
      </c>
      <c r="M37" s="229">
        <v>0.0</v>
      </c>
      <c r="N37" s="229">
        <v>0.0</v>
      </c>
      <c r="O37" s="229">
        <v>0.0</v>
      </c>
      <c r="P37" s="229">
        <v>0.0</v>
      </c>
      <c r="Q37" s="229">
        <v>0.0</v>
      </c>
      <c r="R37" s="229">
        <v>0.0</v>
      </c>
      <c r="S37" s="229">
        <v>0.0</v>
      </c>
      <c r="T37" s="229">
        <v>0.0</v>
      </c>
      <c r="U37" s="229">
        <v>0.0</v>
      </c>
      <c r="V37" s="229">
        <v>0.0</v>
      </c>
    </row>
    <row r="38" ht="15.75" customHeight="1"/>
    <row r="39" ht="19.5" customHeight="1">
      <c r="A39" s="158" t="s">
        <v>320</v>
      </c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</row>
    <row r="40" ht="15.75" customHeight="1">
      <c r="A40" s="156" t="s">
        <v>315</v>
      </c>
      <c r="B40" s="154">
        <v>10.0</v>
      </c>
    </row>
    <row r="41" ht="15.75" customHeight="1">
      <c r="A41" s="156" t="s">
        <v>316</v>
      </c>
      <c r="B41" s="154">
        <v>10.0</v>
      </c>
    </row>
    <row r="42" ht="15.75" customHeight="1">
      <c r="A42" s="156" t="s">
        <v>169</v>
      </c>
      <c r="B42" s="154">
        <v>2.0</v>
      </c>
    </row>
    <row r="43" ht="15.75" customHeight="1"/>
    <row r="44" ht="19.5" customHeight="1">
      <c r="A44" s="158" t="s">
        <v>321</v>
      </c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</row>
    <row r="45" ht="90.0" customHeight="1">
      <c r="A45" s="333" t="s">
        <v>233</v>
      </c>
      <c r="B45" s="334" t="s">
        <v>76</v>
      </c>
      <c r="C45" s="204" t="s">
        <v>46</v>
      </c>
      <c r="D45" s="204" t="s">
        <v>121</v>
      </c>
      <c r="E45" s="204" t="s">
        <v>47</v>
      </c>
      <c r="F45" s="204" t="s">
        <v>48</v>
      </c>
      <c r="G45" s="204" t="s">
        <v>50</v>
      </c>
      <c r="H45" s="204" t="s">
        <v>52</v>
      </c>
      <c r="I45" s="204" t="s">
        <v>53</v>
      </c>
      <c r="J45" s="204" t="s">
        <v>54</v>
      </c>
      <c r="K45" s="204" t="s">
        <v>55</v>
      </c>
      <c r="L45" s="204" t="s">
        <v>56</v>
      </c>
      <c r="M45" s="204" t="s">
        <v>57</v>
      </c>
      <c r="N45" s="204" t="s">
        <v>58</v>
      </c>
      <c r="O45" s="204" t="s">
        <v>135</v>
      </c>
      <c r="P45" s="204" t="s">
        <v>122</v>
      </c>
      <c r="Q45" s="204" t="s">
        <v>123</v>
      </c>
      <c r="R45" s="204" t="s">
        <v>124</v>
      </c>
      <c r="S45" s="204" t="s">
        <v>125</v>
      </c>
      <c r="T45" s="204" t="s">
        <v>126</v>
      </c>
      <c r="U45" s="204" t="s">
        <v>127</v>
      </c>
      <c r="V45" s="204" t="s">
        <v>128</v>
      </c>
    </row>
    <row r="46" ht="15.75" customHeight="1">
      <c r="A46" s="335">
        <v>1.0</v>
      </c>
      <c r="B46" s="336">
        <v>200.0</v>
      </c>
      <c r="C46" s="229">
        <v>0.0</v>
      </c>
      <c r="D46" s="229">
        <v>0.0</v>
      </c>
      <c r="E46" s="229">
        <v>0.0</v>
      </c>
      <c r="F46" s="229">
        <v>0.0</v>
      </c>
      <c r="G46" s="229">
        <v>0.0</v>
      </c>
      <c r="H46" s="229">
        <v>0.0</v>
      </c>
      <c r="I46" s="229">
        <v>0.0</v>
      </c>
      <c r="J46" s="229">
        <v>1.0</v>
      </c>
      <c r="K46" s="229">
        <v>0.0</v>
      </c>
      <c r="L46" s="229">
        <v>0.0</v>
      </c>
      <c r="M46" s="229">
        <v>0.0</v>
      </c>
      <c r="N46" s="229">
        <v>0.0</v>
      </c>
      <c r="O46" s="229">
        <v>0.0</v>
      </c>
      <c r="P46" s="229">
        <v>0.0</v>
      </c>
      <c r="Q46" s="229">
        <v>0.0</v>
      </c>
      <c r="R46" s="229">
        <v>0.0</v>
      </c>
      <c r="S46" s="229">
        <v>0.0</v>
      </c>
      <c r="T46" s="229">
        <v>0.0</v>
      </c>
      <c r="U46" s="229">
        <v>0.0</v>
      </c>
      <c r="V46" s="229">
        <v>0.0</v>
      </c>
    </row>
    <row r="47" ht="15.75" customHeight="1">
      <c r="A47" s="335">
        <v>2.0</v>
      </c>
      <c r="B47" s="336">
        <v>100.0</v>
      </c>
      <c r="C47" s="229">
        <v>0.0</v>
      </c>
      <c r="D47" s="229">
        <v>0.0</v>
      </c>
      <c r="E47" s="229">
        <v>0.0</v>
      </c>
      <c r="F47" s="229">
        <v>0.0</v>
      </c>
      <c r="G47" s="229">
        <v>0.0</v>
      </c>
      <c r="H47" s="229">
        <v>0.0</v>
      </c>
      <c r="I47" s="229">
        <v>1.0</v>
      </c>
      <c r="J47" s="229">
        <v>0.0</v>
      </c>
      <c r="K47" s="229">
        <v>0.0</v>
      </c>
      <c r="L47" s="229">
        <v>0.0</v>
      </c>
      <c r="M47" s="229">
        <v>0.0</v>
      </c>
      <c r="N47" s="229">
        <v>0.0</v>
      </c>
      <c r="O47" s="229">
        <v>0.0</v>
      </c>
      <c r="P47" s="229">
        <v>0.0</v>
      </c>
      <c r="Q47" s="229">
        <v>0.0</v>
      </c>
      <c r="R47" s="229">
        <v>0.0</v>
      </c>
      <c r="S47" s="229">
        <v>0.0</v>
      </c>
      <c r="T47" s="229">
        <v>0.0</v>
      </c>
      <c r="U47" s="229">
        <v>0.0</v>
      </c>
      <c r="V47" s="229">
        <v>0.0</v>
      </c>
    </row>
    <row r="48" ht="15.75" customHeight="1">
      <c r="A48" s="335">
        <v>3.0</v>
      </c>
      <c r="B48" s="336">
        <v>50.0</v>
      </c>
      <c r="C48" s="229">
        <v>0.0</v>
      </c>
      <c r="D48" s="229">
        <v>0.0</v>
      </c>
      <c r="E48" s="229">
        <v>0.0</v>
      </c>
      <c r="F48" s="229">
        <v>0.0</v>
      </c>
      <c r="G48" s="229">
        <v>0.0</v>
      </c>
      <c r="H48" s="229">
        <v>0.0</v>
      </c>
      <c r="I48" s="229">
        <v>1.0</v>
      </c>
      <c r="J48" s="229">
        <v>0.0</v>
      </c>
      <c r="K48" s="229">
        <v>0.0</v>
      </c>
      <c r="L48" s="229">
        <v>0.0</v>
      </c>
      <c r="M48" s="229">
        <v>0.0</v>
      </c>
      <c r="N48" s="229">
        <v>0.0</v>
      </c>
      <c r="O48" s="229">
        <v>0.0</v>
      </c>
      <c r="P48" s="229">
        <v>0.0</v>
      </c>
      <c r="Q48" s="229">
        <v>0.0</v>
      </c>
      <c r="R48" s="229">
        <v>0.0</v>
      </c>
      <c r="S48" s="229">
        <v>0.0</v>
      </c>
      <c r="T48" s="229">
        <v>0.0</v>
      </c>
      <c r="U48" s="229">
        <v>0.0</v>
      </c>
      <c r="V48" s="229">
        <v>0.0</v>
      </c>
    </row>
    <row r="49" ht="15.75" customHeight="1">
      <c r="A49" s="335">
        <v>4.0</v>
      </c>
      <c r="B49" s="336">
        <v>0.0</v>
      </c>
      <c r="C49" s="229">
        <v>0.0</v>
      </c>
      <c r="D49" s="229">
        <v>0.0</v>
      </c>
      <c r="E49" s="229">
        <v>0.0</v>
      </c>
      <c r="F49" s="229">
        <v>0.0</v>
      </c>
      <c r="G49" s="229">
        <v>0.0</v>
      </c>
      <c r="H49" s="229">
        <v>0.0</v>
      </c>
      <c r="I49" s="229">
        <v>1.0</v>
      </c>
      <c r="J49" s="229">
        <v>0.0</v>
      </c>
      <c r="K49" s="229">
        <v>0.0</v>
      </c>
      <c r="L49" s="229">
        <v>0.0</v>
      </c>
      <c r="M49" s="229">
        <v>0.0</v>
      </c>
      <c r="N49" s="229">
        <v>0.0</v>
      </c>
      <c r="O49" s="229">
        <v>0.0</v>
      </c>
      <c r="P49" s="229">
        <v>0.0</v>
      </c>
      <c r="Q49" s="229">
        <v>0.0</v>
      </c>
      <c r="R49" s="229">
        <v>0.0</v>
      </c>
      <c r="S49" s="229">
        <v>0.0</v>
      </c>
      <c r="T49" s="229">
        <v>0.0</v>
      </c>
      <c r="U49" s="229">
        <v>0.0</v>
      </c>
      <c r="V49" s="229">
        <v>0.0</v>
      </c>
    </row>
    <row r="50" ht="15.75" customHeight="1">
      <c r="A50" s="335">
        <v>5.0</v>
      </c>
      <c r="B50" s="336">
        <v>0.0</v>
      </c>
      <c r="C50" s="229">
        <v>0.0</v>
      </c>
      <c r="D50" s="229">
        <v>0.0</v>
      </c>
      <c r="E50" s="229">
        <v>0.0</v>
      </c>
      <c r="F50" s="229">
        <v>0.0</v>
      </c>
      <c r="G50" s="229">
        <v>0.0</v>
      </c>
      <c r="H50" s="229">
        <v>0.0</v>
      </c>
      <c r="I50" s="229">
        <v>1.0</v>
      </c>
      <c r="J50" s="229">
        <v>0.0</v>
      </c>
      <c r="K50" s="229">
        <v>0.0</v>
      </c>
      <c r="L50" s="229">
        <v>0.0</v>
      </c>
      <c r="M50" s="229">
        <v>0.0</v>
      </c>
      <c r="N50" s="229">
        <v>0.0</v>
      </c>
      <c r="O50" s="229">
        <v>0.0</v>
      </c>
      <c r="P50" s="229">
        <v>0.0</v>
      </c>
      <c r="Q50" s="229">
        <v>0.0</v>
      </c>
      <c r="R50" s="229">
        <v>0.0</v>
      </c>
      <c r="S50" s="229">
        <v>0.0</v>
      </c>
      <c r="T50" s="229">
        <v>0.0</v>
      </c>
      <c r="U50" s="229">
        <v>0.0</v>
      </c>
      <c r="V50" s="229">
        <v>0.0</v>
      </c>
    </row>
    <row r="51" ht="15.75" customHeight="1">
      <c r="A51" s="335">
        <v>6.0</v>
      </c>
      <c r="B51" s="336">
        <v>0.0</v>
      </c>
      <c r="C51" s="229">
        <v>0.0</v>
      </c>
      <c r="D51" s="229">
        <v>0.0</v>
      </c>
      <c r="E51" s="229">
        <v>0.0</v>
      </c>
      <c r="F51" s="229">
        <v>0.0</v>
      </c>
      <c r="G51" s="229">
        <v>0.0</v>
      </c>
      <c r="H51" s="229">
        <v>1.0</v>
      </c>
      <c r="I51" s="229">
        <v>0.0</v>
      </c>
      <c r="J51" s="229">
        <v>0.0</v>
      </c>
      <c r="K51" s="229">
        <v>0.0</v>
      </c>
      <c r="L51" s="229">
        <v>0.0</v>
      </c>
      <c r="M51" s="229">
        <v>0.0</v>
      </c>
      <c r="N51" s="229">
        <v>0.0</v>
      </c>
      <c r="O51" s="229">
        <v>0.0</v>
      </c>
      <c r="P51" s="229">
        <v>0.0</v>
      </c>
      <c r="Q51" s="229">
        <v>0.0</v>
      </c>
      <c r="R51" s="229">
        <v>0.0</v>
      </c>
      <c r="S51" s="229">
        <v>0.0</v>
      </c>
      <c r="T51" s="229">
        <v>0.0</v>
      </c>
      <c r="U51" s="229">
        <v>0.0</v>
      </c>
      <c r="V51" s="229">
        <v>0.0</v>
      </c>
    </row>
    <row r="52" ht="15.75" customHeight="1">
      <c r="A52" s="335">
        <v>7.0</v>
      </c>
      <c r="B52" s="336">
        <v>0.0</v>
      </c>
      <c r="C52" s="229">
        <v>0.0</v>
      </c>
      <c r="D52" s="229">
        <v>0.0</v>
      </c>
      <c r="E52" s="229">
        <v>0.0</v>
      </c>
      <c r="F52" s="229">
        <v>0.0</v>
      </c>
      <c r="G52" s="229">
        <v>0.0</v>
      </c>
      <c r="H52" s="229">
        <v>1.0</v>
      </c>
      <c r="I52" s="229">
        <v>0.0</v>
      </c>
      <c r="J52" s="229">
        <v>0.0</v>
      </c>
      <c r="K52" s="229">
        <v>0.0</v>
      </c>
      <c r="L52" s="229">
        <v>0.0</v>
      </c>
      <c r="M52" s="229">
        <v>0.0</v>
      </c>
      <c r="N52" s="229">
        <v>0.0</v>
      </c>
      <c r="O52" s="229">
        <v>0.0</v>
      </c>
      <c r="P52" s="229">
        <v>0.0</v>
      </c>
      <c r="Q52" s="229">
        <v>0.0</v>
      </c>
      <c r="R52" s="229">
        <v>0.0</v>
      </c>
      <c r="S52" s="229">
        <v>0.0</v>
      </c>
      <c r="T52" s="229">
        <v>0.0</v>
      </c>
      <c r="U52" s="229">
        <v>0.0</v>
      </c>
      <c r="V52" s="229">
        <v>0.0</v>
      </c>
    </row>
    <row r="53" ht="15.75" customHeight="1">
      <c r="A53" s="335">
        <v>8.0</v>
      </c>
      <c r="B53" s="336">
        <v>0.0</v>
      </c>
      <c r="C53" s="229">
        <v>0.0</v>
      </c>
      <c r="D53" s="229">
        <v>0.0</v>
      </c>
      <c r="E53" s="229">
        <v>0.0</v>
      </c>
      <c r="F53" s="229">
        <v>0.0</v>
      </c>
      <c r="G53" s="229">
        <v>0.0</v>
      </c>
      <c r="H53" s="229">
        <v>1.0</v>
      </c>
      <c r="I53" s="229">
        <v>0.0</v>
      </c>
      <c r="J53" s="229">
        <v>0.0</v>
      </c>
      <c r="K53" s="229">
        <v>0.0</v>
      </c>
      <c r="L53" s="229">
        <v>0.0</v>
      </c>
      <c r="M53" s="229">
        <v>0.0</v>
      </c>
      <c r="N53" s="229">
        <v>0.0</v>
      </c>
      <c r="O53" s="229">
        <v>0.0</v>
      </c>
      <c r="P53" s="229">
        <v>0.0</v>
      </c>
      <c r="Q53" s="229">
        <v>0.0</v>
      </c>
      <c r="R53" s="229">
        <v>0.0</v>
      </c>
      <c r="S53" s="229">
        <v>0.0</v>
      </c>
      <c r="T53" s="229">
        <v>0.0</v>
      </c>
      <c r="U53" s="229">
        <v>0.0</v>
      </c>
      <c r="V53" s="229">
        <v>0.0</v>
      </c>
    </row>
    <row r="54" ht="15.75" customHeight="1">
      <c r="A54" s="335">
        <v>9.0</v>
      </c>
      <c r="B54" s="336">
        <v>0.0</v>
      </c>
      <c r="C54" s="229">
        <v>0.0</v>
      </c>
      <c r="D54" s="229">
        <v>0.0</v>
      </c>
      <c r="E54" s="229">
        <v>0.0</v>
      </c>
      <c r="F54" s="229">
        <v>0.0</v>
      </c>
      <c r="G54" s="229">
        <v>0.0</v>
      </c>
      <c r="H54" s="229">
        <v>1.0</v>
      </c>
      <c r="I54" s="229">
        <v>0.0</v>
      </c>
      <c r="J54" s="229">
        <v>0.0</v>
      </c>
      <c r="K54" s="229">
        <v>0.0</v>
      </c>
      <c r="L54" s="229">
        <v>0.0</v>
      </c>
      <c r="M54" s="229">
        <v>0.0</v>
      </c>
      <c r="N54" s="229">
        <v>0.0</v>
      </c>
      <c r="O54" s="229">
        <v>0.0</v>
      </c>
      <c r="P54" s="229">
        <v>0.0</v>
      </c>
      <c r="Q54" s="229">
        <v>0.0</v>
      </c>
      <c r="R54" s="229">
        <v>0.0</v>
      </c>
      <c r="S54" s="229">
        <v>0.0</v>
      </c>
      <c r="T54" s="229">
        <v>0.0</v>
      </c>
      <c r="U54" s="229">
        <v>0.0</v>
      </c>
      <c r="V54" s="229">
        <v>0.0</v>
      </c>
    </row>
    <row r="55" ht="15.75" customHeight="1">
      <c r="A55" s="335">
        <v>10.0</v>
      </c>
      <c r="B55" s="336">
        <v>0.0</v>
      </c>
      <c r="C55" s="229">
        <v>0.0</v>
      </c>
      <c r="D55" s="229">
        <v>0.0</v>
      </c>
      <c r="E55" s="229">
        <v>0.0</v>
      </c>
      <c r="F55" s="229">
        <v>0.0</v>
      </c>
      <c r="G55" s="229">
        <v>0.0</v>
      </c>
      <c r="H55" s="229">
        <v>1.0</v>
      </c>
      <c r="I55" s="229">
        <v>0.0</v>
      </c>
      <c r="J55" s="229">
        <v>0.0</v>
      </c>
      <c r="K55" s="229">
        <v>0.0</v>
      </c>
      <c r="L55" s="229">
        <v>0.0</v>
      </c>
      <c r="M55" s="229">
        <v>0.0</v>
      </c>
      <c r="N55" s="229">
        <v>0.0</v>
      </c>
      <c r="O55" s="229">
        <v>0.0</v>
      </c>
      <c r="P55" s="229">
        <v>0.0</v>
      </c>
      <c r="Q55" s="229">
        <v>0.0</v>
      </c>
      <c r="R55" s="229">
        <v>0.0</v>
      </c>
      <c r="S55" s="229">
        <v>0.0</v>
      </c>
      <c r="T55" s="229">
        <v>0.0</v>
      </c>
      <c r="U55" s="229">
        <v>0.0</v>
      </c>
      <c r="V55" s="229">
        <v>0.0</v>
      </c>
    </row>
    <row r="56" ht="15.75" customHeight="1"/>
    <row r="57" ht="19.5" customHeight="1">
      <c r="A57" s="158" t="s">
        <v>322</v>
      </c>
      <c r="B57" s="149"/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</row>
    <row r="58" ht="15.75" customHeight="1">
      <c r="A58" s="156" t="s">
        <v>315</v>
      </c>
      <c r="B58" s="154">
        <v>10.0</v>
      </c>
    </row>
    <row r="59" ht="15.75" customHeight="1">
      <c r="A59" s="156" t="s">
        <v>316</v>
      </c>
      <c r="B59" s="154">
        <v>20.0</v>
      </c>
    </row>
    <row r="60" ht="15.75" customHeight="1">
      <c r="A60" s="156" t="s">
        <v>169</v>
      </c>
      <c r="B60" s="154">
        <v>2.0</v>
      </c>
    </row>
    <row r="61" ht="15.75" customHeight="1"/>
    <row r="62" ht="19.5" customHeight="1">
      <c r="A62" s="158" t="s">
        <v>323</v>
      </c>
      <c r="B62" s="149"/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</row>
    <row r="63" ht="90.0" customHeight="1">
      <c r="A63" s="333" t="s">
        <v>233</v>
      </c>
      <c r="B63" s="334" t="s">
        <v>76</v>
      </c>
      <c r="C63" s="204" t="s">
        <v>46</v>
      </c>
      <c r="D63" s="204" t="s">
        <v>121</v>
      </c>
      <c r="E63" s="204" t="s">
        <v>47</v>
      </c>
      <c r="F63" s="204" t="s">
        <v>48</v>
      </c>
      <c r="G63" s="204" t="s">
        <v>50</v>
      </c>
      <c r="H63" s="204" t="s">
        <v>52</v>
      </c>
      <c r="I63" s="204" t="s">
        <v>53</v>
      </c>
      <c r="J63" s="204" t="s">
        <v>54</v>
      </c>
      <c r="K63" s="204" t="s">
        <v>55</v>
      </c>
      <c r="L63" s="204" t="s">
        <v>56</v>
      </c>
      <c r="M63" s="204" t="s">
        <v>57</v>
      </c>
      <c r="N63" s="204" t="s">
        <v>58</v>
      </c>
      <c r="O63" s="204" t="s">
        <v>135</v>
      </c>
      <c r="P63" s="204" t="s">
        <v>122</v>
      </c>
      <c r="Q63" s="204" t="s">
        <v>123</v>
      </c>
      <c r="R63" s="204" t="s">
        <v>124</v>
      </c>
      <c r="S63" s="204" t="s">
        <v>125</v>
      </c>
      <c r="T63" s="204" t="s">
        <v>126</v>
      </c>
      <c r="U63" s="204" t="s">
        <v>127</v>
      </c>
      <c r="V63" s="204" t="s">
        <v>128</v>
      </c>
    </row>
    <row r="64" ht="15.75" customHeight="1">
      <c r="A64" s="335">
        <v>1.0</v>
      </c>
      <c r="B64" s="336">
        <v>200.0</v>
      </c>
      <c r="C64" s="229">
        <v>0.0</v>
      </c>
      <c r="D64" s="229">
        <v>0.0</v>
      </c>
      <c r="E64" s="229">
        <v>0.0</v>
      </c>
      <c r="F64" s="229">
        <v>0.0</v>
      </c>
      <c r="G64" s="229">
        <v>0.0</v>
      </c>
      <c r="H64" s="229">
        <v>0.0</v>
      </c>
      <c r="I64" s="229">
        <v>0.0</v>
      </c>
      <c r="J64" s="229">
        <v>1.0</v>
      </c>
      <c r="K64" s="229">
        <v>0.0</v>
      </c>
      <c r="L64" s="229">
        <v>0.0</v>
      </c>
      <c r="M64" s="229">
        <v>0.0</v>
      </c>
      <c r="N64" s="229">
        <v>0.0</v>
      </c>
      <c r="O64" s="229">
        <v>0.0</v>
      </c>
      <c r="P64" s="229">
        <v>0.0</v>
      </c>
      <c r="Q64" s="229">
        <v>0.0</v>
      </c>
      <c r="R64" s="229">
        <v>0.0</v>
      </c>
      <c r="S64" s="229">
        <v>0.0</v>
      </c>
      <c r="T64" s="229">
        <v>0.0</v>
      </c>
      <c r="U64" s="229">
        <v>0.0</v>
      </c>
      <c r="V64" s="229">
        <v>0.0</v>
      </c>
    </row>
    <row r="65" ht="15.75" customHeight="1">
      <c r="A65" s="335">
        <v>2.0</v>
      </c>
      <c r="B65" s="336">
        <v>100.0</v>
      </c>
      <c r="C65" s="229">
        <v>0.0</v>
      </c>
      <c r="D65" s="229">
        <v>0.0</v>
      </c>
      <c r="E65" s="229">
        <v>0.0</v>
      </c>
      <c r="F65" s="229">
        <v>0.0</v>
      </c>
      <c r="G65" s="229">
        <v>0.0</v>
      </c>
      <c r="H65" s="229">
        <v>0.0</v>
      </c>
      <c r="I65" s="229">
        <v>1.0</v>
      </c>
      <c r="J65" s="229">
        <v>0.0</v>
      </c>
      <c r="K65" s="229">
        <v>0.0</v>
      </c>
      <c r="L65" s="229">
        <v>0.0</v>
      </c>
      <c r="M65" s="229">
        <v>0.0</v>
      </c>
      <c r="N65" s="229">
        <v>0.0</v>
      </c>
      <c r="O65" s="229">
        <v>0.0</v>
      </c>
      <c r="P65" s="229">
        <v>0.0</v>
      </c>
      <c r="Q65" s="229">
        <v>0.0</v>
      </c>
      <c r="R65" s="229">
        <v>0.0</v>
      </c>
      <c r="S65" s="229">
        <v>0.0</v>
      </c>
      <c r="T65" s="229">
        <v>0.0</v>
      </c>
      <c r="U65" s="229">
        <v>0.0</v>
      </c>
      <c r="V65" s="229">
        <v>0.0</v>
      </c>
    </row>
    <row r="66" ht="15.75" customHeight="1">
      <c r="A66" s="335">
        <v>3.0</v>
      </c>
      <c r="B66" s="336">
        <v>50.0</v>
      </c>
      <c r="C66" s="229">
        <v>0.0</v>
      </c>
      <c r="D66" s="229">
        <v>0.0</v>
      </c>
      <c r="E66" s="229">
        <v>0.0</v>
      </c>
      <c r="F66" s="229">
        <v>0.0</v>
      </c>
      <c r="G66" s="229">
        <v>0.0</v>
      </c>
      <c r="H66" s="229">
        <v>0.0</v>
      </c>
      <c r="I66" s="229">
        <v>1.0</v>
      </c>
      <c r="J66" s="229">
        <v>0.0</v>
      </c>
      <c r="K66" s="229">
        <v>0.0</v>
      </c>
      <c r="L66" s="229">
        <v>0.0</v>
      </c>
      <c r="M66" s="229">
        <v>0.0</v>
      </c>
      <c r="N66" s="229">
        <v>0.0</v>
      </c>
      <c r="O66" s="229">
        <v>0.0</v>
      </c>
      <c r="P66" s="229">
        <v>0.0</v>
      </c>
      <c r="Q66" s="229">
        <v>0.0</v>
      </c>
      <c r="R66" s="229">
        <v>0.0</v>
      </c>
      <c r="S66" s="229">
        <v>0.0</v>
      </c>
      <c r="T66" s="229">
        <v>0.0</v>
      </c>
      <c r="U66" s="229">
        <v>0.0</v>
      </c>
      <c r="V66" s="229">
        <v>0.0</v>
      </c>
    </row>
    <row r="67" ht="15.75" customHeight="1">
      <c r="A67" s="335">
        <v>4.0</v>
      </c>
      <c r="B67" s="336">
        <v>0.0</v>
      </c>
      <c r="C67" s="229">
        <v>0.0</v>
      </c>
      <c r="D67" s="229">
        <v>0.0</v>
      </c>
      <c r="E67" s="229">
        <v>0.0</v>
      </c>
      <c r="F67" s="229">
        <v>0.0</v>
      </c>
      <c r="G67" s="229">
        <v>0.0</v>
      </c>
      <c r="H67" s="229">
        <v>0.0</v>
      </c>
      <c r="I67" s="229">
        <v>1.0</v>
      </c>
      <c r="J67" s="229">
        <v>0.0</v>
      </c>
      <c r="K67" s="229">
        <v>0.0</v>
      </c>
      <c r="L67" s="229">
        <v>0.0</v>
      </c>
      <c r="M67" s="229">
        <v>0.0</v>
      </c>
      <c r="N67" s="229">
        <v>0.0</v>
      </c>
      <c r="O67" s="229">
        <v>0.0</v>
      </c>
      <c r="P67" s="229">
        <v>0.0</v>
      </c>
      <c r="Q67" s="229">
        <v>0.0</v>
      </c>
      <c r="R67" s="229">
        <v>0.0</v>
      </c>
      <c r="S67" s="229">
        <v>0.0</v>
      </c>
      <c r="T67" s="229">
        <v>0.0</v>
      </c>
      <c r="U67" s="229">
        <v>0.0</v>
      </c>
      <c r="V67" s="229">
        <v>0.0</v>
      </c>
    </row>
    <row r="68" ht="15.75" customHeight="1">
      <c r="A68" s="335">
        <v>5.0</v>
      </c>
      <c r="B68" s="336">
        <v>0.0</v>
      </c>
      <c r="C68" s="229">
        <v>0.0</v>
      </c>
      <c r="D68" s="229">
        <v>0.0</v>
      </c>
      <c r="E68" s="229">
        <v>0.0</v>
      </c>
      <c r="F68" s="229">
        <v>0.0</v>
      </c>
      <c r="G68" s="229">
        <v>0.0</v>
      </c>
      <c r="H68" s="229">
        <v>0.0</v>
      </c>
      <c r="I68" s="229">
        <v>1.0</v>
      </c>
      <c r="J68" s="229">
        <v>0.0</v>
      </c>
      <c r="K68" s="229">
        <v>0.0</v>
      </c>
      <c r="L68" s="229">
        <v>0.0</v>
      </c>
      <c r="M68" s="229">
        <v>0.0</v>
      </c>
      <c r="N68" s="229">
        <v>0.0</v>
      </c>
      <c r="O68" s="229">
        <v>0.0</v>
      </c>
      <c r="P68" s="229">
        <v>0.0</v>
      </c>
      <c r="Q68" s="229">
        <v>0.0</v>
      </c>
      <c r="R68" s="229">
        <v>0.0</v>
      </c>
      <c r="S68" s="229">
        <v>0.0</v>
      </c>
      <c r="T68" s="229">
        <v>0.0</v>
      </c>
      <c r="U68" s="229">
        <v>0.0</v>
      </c>
      <c r="V68" s="229">
        <v>0.0</v>
      </c>
    </row>
    <row r="69" ht="15.75" customHeight="1">
      <c r="A69" s="335">
        <v>6.0</v>
      </c>
      <c r="B69" s="336">
        <v>0.0</v>
      </c>
      <c r="C69" s="229">
        <v>0.0</v>
      </c>
      <c r="D69" s="229">
        <v>0.0</v>
      </c>
      <c r="E69" s="229">
        <v>0.0</v>
      </c>
      <c r="F69" s="229">
        <v>0.0</v>
      </c>
      <c r="G69" s="229">
        <v>0.0</v>
      </c>
      <c r="H69" s="229">
        <v>1.0</v>
      </c>
      <c r="I69" s="229">
        <v>0.0</v>
      </c>
      <c r="J69" s="229">
        <v>0.0</v>
      </c>
      <c r="K69" s="229">
        <v>0.0</v>
      </c>
      <c r="L69" s="229">
        <v>0.0</v>
      </c>
      <c r="M69" s="229">
        <v>0.0</v>
      </c>
      <c r="N69" s="229">
        <v>0.0</v>
      </c>
      <c r="O69" s="229">
        <v>0.0</v>
      </c>
      <c r="P69" s="229">
        <v>0.0</v>
      </c>
      <c r="Q69" s="229">
        <v>0.0</v>
      </c>
      <c r="R69" s="229">
        <v>0.0</v>
      </c>
      <c r="S69" s="229">
        <v>0.0</v>
      </c>
      <c r="T69" s="229">
        <v>0.0</v>
      </c>
      <c r="U69" s="229">
        <v>0.0</v>
      </c>
      <c r="V69" s="229">
        <v>0.0</v>
      </c>
    </row>
    <row r="70" ht="15.75" customHeight="1">
      <c r="A70" s="335">
        <v>7.0</v>
      </c>
      <c r="B70" s="336">
        <v>0.0</v>
      </c>
      <c r="C70" s="229">
        <v>0.0</v>
      </c>
      <c r="D70" s="229">
        <v>0.0</v>
      </c>
      <c r="E70" s="229">
        <v>0.0</v>
      </c>
      <c r="F70" s="229">
        <v>0.0</v>
      </c>
      <c r="G70" s="229">
        <v>0.0</v>
      </c>
      <c r="H70" s="229">
        <v>1.0</v>
      </c>
      <c r="I70" s="229">
        <v>0.0</v>
      </c>
      <c r="J70" s="229">
        <v>0.0</v>
      </c>
      <c r="K70" s="229">
        <v>0.0</v>
      </c>
      <c r="L70" s="229">
        <v>0.0</v>
      </c>
      <c r="M70" s="229">
        <v>0.0</v>
      </c>
      <c r="N70" s="229">
        <v>0.0</v>
      </c>
      <c r="O70" s="229">
        <v>0.0</v>
      </c>
      <c r="P70" s="229">
        <v>0.0</v>
      </c>
      <c r="Q70" s="229">
        <v>0.0</v>
      </c>
      <c r="R70" s="229">
        <v>0.0</v>
      </c>
      <c r="S70" s="229">
        <v>0.0</v>
      </c>
      <c r="T70" s="229">
        <v>0.0</v>
      </c>
      <c r="U70" s="229">
        <v>0.0</v>
      </c>
      <c r="V70" s="229">
        <v>0.0</v>
      </c>
    </row>
    <row r="71" ht="15.75" customHeight="1">
      <c r="A71" s="335">
        <v>8.0</v>
      </c>
      <c r="B71" s="336">
        <v>0.0</v>
      </c>
      <c r="C71" s="229">
        <v>0.0</v>
      </c>
      <c r="D71" s="229">
        <v>0.0</v>
      </c>
      <c r="E71" s="229">
        <v>0.0</v>
      </c>
      <c r="F71" s="229">
        <v>0.0</v>
      </c>
      <c r="G71" s="229">
        <v>0.0</v>
      </c>
      <c r="H71" s="229">
        <v>1.0</v>
      </c>
      <c r="I71" s="229">
        <v>0.0</v>
      </c>
      <c r="J71" s="229">
        <v>0.0</v>
      </c>
      <c r="K71" s="229">
        <v>0.0</v>
      </c>
      <c r="L71" s="229">
        <v>0.0</v>
      </c>
      <c r="M71" s="229">
        <v>0.0</v>
      </c>
      <c r="N71" s="229">
        <v>0.0</v>
      </c>
      <c r="O71" s="229">
        <v>0.0</v>
      </c>
      <c r="P71" s="229">
        <v>0.0</v>
      </c>
      <c r="Q71" s="229">
        <v>0.0</v>
      </c>
      <c r="R71" s="229">
        <v>0.0</v>
      </c>
      <c r="S71" s="229">
        <v>0.0</v>
      </c>
      <c r="T71" s="229">
        <v>0.0</v>
      </c>
      <c r="U71" s="229">
        <v>0.0</v>
      </c>
      <c r="V71" s="229">
        <v>0.0</v>
      </c>
    </row>
    <row r="72" ht="15.75" customHeight="1">
      <c r="A72" s="335">
        <v>9.0</v>
      </c>
      <c r="B72" s="336">
        <v>0.0</v>
      </c>
      <c r="C72" s="229">
        <v>0.0</v>
      </c>
      <c r="D72" s="229">
        <v>0.0</v>
      </c>
      <c r="E72" s="229">
        <v>0.0</v>
      </c>
      <c r="F72" s="229">
        <v>0.0</v>
      </c>
      <c r="G72" s="229">
        <v>0.0</v>
      </c>
      <c r="H72" s="229">
        <v>1.0</v>
      </c>
      <c r="I72" s="229">
        <v>0.0</v>
      </c>
      <c r="J72" s="229">
        <v>0.0</v>
      </c>
      <c r="K72" s="229">
        <v>0.0</v>
      </c>
      <c r="L72" s="229">
        <v>0.0</v>
      </c>
      <c r="M72" s="229">
        <v>0.0</v>
      </c>
      <c r="N72" s="229">
        <v>0.0</v>
      </c>
      <c r="O72" s="229">
        <v>0.0</v>
      </c>
      <c r="P72" s="229">
        <v>0.0</v>
      </c>
      <c r="Q72" s="229">
        <v>0.0</v>
      </c>
      <c r="R72" s="229">
        <v>0.0</v>
      </c>
      <c r="S72" s="229">
        <v>0.0</v>
      </c>
      <c r="T72" s="229">
        <v>0.0</v>
      </c>
      <c r="U72" s="229">
        <v>0.0</v>
      </c>
      <c r="V72" s="229">
        <v>0.0</v>
      </c>
    </row>
    <row r="73" ht="15.75" customHeight="1">
      <c r="A73" s="335">
        <v>10.0</v>
      </c>
      <c r="B73" s="336">
        <v>0.0</v>
      </c>
      <c r="C73" s="229">
        <v>0.0</v>
      </c>
      <c r="D73" s="229">
        <v>0.0</v>
      </c>
      <c r="E73" s="229">
        <v>0.0</v>
      </c>
      <c r="F73" s="229">
        <v>0.0</v>
      </c>
      <c r="G73" s="229">
        <v>0.0</v>
      </c>
      <c r="H73" s="229">
        <v>1.0</v>
      </c>
      <c r="I73" s="229">
        <v>0.0</v>
      </c>
      <c r="J73" s="229">
        <v>0.0</v>
      </c>
      <c r="K73" s="229">
        <v>0.0</v>
      </c>
      <c r="L73" s="229">
        <v>0.0</v>
      </c>
      <c r="M73" s="229">
        <v>0.0</v>
      </c>
      <c r="N73" s="229">
        <v>0.0</v>
      </c>
      <c r="O73" s="229">
        <v>0.0</v>
      </c>
      <c r="P73" s="229">
        <v>0.0</v>
      </c>
      <c r="Q73" s="229">
        <v>0.0</v>
      </c>
      <c r="R73" s="229">
        <v>0.0</v>
      </c>
      <c r="S73" s="229">
        <v>0.0</v>
      </c>
      <c r="T73" s="229">
        <v>0.0</v>
      </c>
      <c r="U73" s="229">
        <v>0.0</v>
      </c>
      <c r="V73" s="229">
        <v>0.0</v>
      </c>
    </row>
    <row r="74" ht="15.75" customHeight="1"/>
    <row r="75" ht="19.5" customHeight="1">
      <c r="A75" s="158" t="s">
        <v>324</v>
      </c>
      <c r="B75" s="149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</row>
    <row r="76" ht="15.75" customHeight="1">
      <c r="A76" s="156" t="s">
        <v>315</v>
      </c>
      <c r="B76" s="154">
        <v>7.0</v>
      </c>
    </row>
    <row r="77" ht="15.75" customHeight="1">
      <c r="A77" s="156" t="s">
        <v>316</v>
      </c>
      <c r="B77" s="154">
        <v>7.0</v>
      </c>
    </row>
    <row r="78" ht="15.75" customHeight="1">
      <c r="A78" s="156" t="s">
        <v>169</v>
      </c>
      <c r="B78" s="154">
        <v>1.0</v>
      </c>
    </row>
    <row r="79" ht="15.75" customHeight="1"/>
    <row r="80" ht="19.5" customHeight="1">
      <c r="A80" s="158" t="s">
        <v>325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</row>
    <row r="81" ht="90.0" customHeight="1">
      <c r="A81" s="333" t="s">
        <v>233</v>
      </c>
      <c r="B81" s="334" t="s">
        <v>76</v>
      </c>
      <c r="C81" s="204" t="s">
        <v>46</v>
      </c>
      <c r="D81" s="204" t="s">
        <v>121</v>
      </c>
      <c r="E81" s="204" t="s">
        <v>47</v>
      </c>
      <c r="F81" s="204" t="s">
        <v>48</v>
      </c>
      <c r="G81" s="204" t="s">
        <v>50</v>
      </c>
      <c r="H81" s="204" t="s">
        <v>52</v>
      </c>
      <c r="I81" s="204" t="s">
        <v>53</v>
      </c>
      <c r="J81" s="204" t="s">
        <v>54</v>
      </c>
      <c r="K81" s="204" t="s">
        <v>55</v>
      </c>
      <c r="L81" s="204" t="s">
        <v>56</v>
      </c>
      <c r="M81" s="204" t="s">
        <v>57</v>
      </c>
      <c r="N81" s="204" t="s">
        <v>58</v>
      </c>
      <c r="O81" s="204" t="s">
        <v>135</v>
      </c>
      <c r="P81" s="204" t="s">
        <v>122</v>
      </c>
      <c r="Q81" s="204" t="s">
        <v>123</v>
      </c>
      <c r="R81" s="204" t="s">
        <v>124</v>
      </c>
      <c r="S81" s="204" t="s">
        <v>125</v>
      </c>
      <c r="T81" s="204" t="s">
        <v>126</v>
      </c>
      <c r="U81" s="204" t="s">
        <v>127</v>
      </c>
      <c r="V81" s="204" t="s">
        <v>128</v>
      </c>
    </row>
    <row r="82" ht="15.75" customHeight="1">
      <c r="A82" s="335">
        <v>1.0</v>
      </c>
      <c r="B82" s="336">
        <v>50.0</v>
      </c>
      <c r="C82" s="229">
        <v>50.0</v>
      </c>
      <c r="D82" s="229">
        <v>0.0</v>
      </c>
      <c r="E82" s="229">
        <v>0.0</v>
      </c>
      <c r="F82" s="229">
        <v>0.0</v>
      </c>
      <c r="G82" s="229">
        <v>0.0</v>
      </c>
      <c r="H82" s="229">
        <v>0.0</v>
      </c>
      <c r="I82" s="229">
        <v>0.0</v>
      </c>
      <c r="J82" s="229">
        <v>1.0</v>
      </c>
      <c r="K82" s="229">
        <v>0.0</v>
      </c>
      <c r="L82" s="229">
        <v>0.0</v>
      </c>
      <c r="M82" s="229">
        <v>0.0</v>
      </c>
      <c r="N82" s="229">
        <v>0.0</v>
      </c>
      <c r="O82" s="229">
        <v>0.0</v>
      </c>
      <c r="P82" s="229">
        <v>0.0</v>
      </c>
      <c r="Q82" s="229">
        <v>0.0</v>
      </c>
      <c r="R82" s="229">
        <v>0.0</v>
      </c>
      <c r="S82" s="229">
        <v>0.0</v>
      </c>
      <c r="T82" s="229">
        <v>0.0</v>
      </c>
      <c r="U82" s="229">
        <v>0.0</v>
      </c>
      <c r="V82" s="229">
        <v>0.0</v>
      </c>
    </row>
    <row r="83" ht="15.75" customHeight="1">
      <c r="A83" s="335">
        <v>2.0</v>
      </c>
      <c r="B83" s="336">
        <v>25.0</v>
      </c>
      <c r="C83" s="229">
        <v>50.0</v>
      </c>
      <c r="D83" s="229">
        <v>0.0</v>
      </c>
      <c r="E83" s="229">
        <v>0.0</v>
      </c>
      <c r="F83" s="229">
        <v>0.0</v>
      </c>
      <c r="G83" s="229">
        <v>0.0</v>
      </c>
      <c r="H83" s="229">
        <v>0.0</v>
      </c>
      <c r="I83" s="229">
        <v>1.0</v>
      </c>
      <c r="J83" s="229">
        <v>0.0</v>
      </c>
      <c r="K83" s="229">
        <v>0.0</v>
      </c>
      <c r="L83" s="229">
        <v>0.0</v>
      </c>
      <c r="M83" s="229">
        <v>0.0</v>
      </c>
      <c r="N83" s="229">
        <v>0.0</v>
      </c>
      <c r="O83" s="229">
        <v>0.0</v>
      </c>
      <c r="P83" s="229">
        <v>0.0</v>
      </c>
      <c r="Q83" s="229">
        <v>0.0</v>
      </c>
      <c r="R83" s="229">
        <v>0.0</v>
      </c>
      <c r="S83" s="229">
        <v>0.0</v>
      </c>
      <c r="T83" s="229">
        <v>0.0</v>
      </c>
      <c r="U83" s="229">
        <v>0.0</v>
      </c>
      <c r="V83" s="229">
        <v>0.0</v>
      </c>
    </row>
    <row r="84" ht="15.75" customHeight="1">
      <c r="A84" s="335">
        <v>3.0</v>
      </c>
      <c r="B84" s="336">
        <v>10.0</v>
      </c>
      <c r="C84" s="229">
        <v>50.0</v>
      </c>
      <c r="D84" s="229">
        <v>0.0</v>
      </c>
      <c r="E84" s="229">
        <v>0.0</v>
      </c>
      <c r="F84" s="229">
        <v>0.0</v>
      </c>
      <c r="G84" s="229">
        <v>1.0</v>
      </c>
      <c r="H84" s="229">
        <v>0.0</v>
      </c>
      <c r="I84" s="229">
        <v>0.0</v>
      </c>
      <c r="J84" s="229">
        <v>0.0</v>
      </c>
      <c r="K84" s="229">
        <v>0.0</v>
      </c>
      <c r="L84" s="229">
        <v>0.0</v>
      </c>
      <c r="M84" s="229">
        <v>0.0</v>
      </c>
      <c r="N84" s="229">
        <v>0.0</v>
      </c>
      <c r="O84" s="229">
        <v>0.0</v>
      </c>
      <c r="P84" s="229">
        <v>0.0</v>
      </c>
      <c r="Q84" s="229">
        <v>0.0</v>
      </c>
      <c r="R84" s="229">
        <v>0.0</v>
      </c>
      <c r="S84" s="229">
        <v>0.0</v>
      </c>
      <c r="T84" s="229">
        <v>0.0</v>
      </c>
      <c r="U84" s="229">
        <v>0.0</v>
      </c>
      <c r="V84" s="229">
        <v>0.0</v>
      </c>
    </row>
    <row r="85" ht="15.75" customHeight="1">
      <c r="A85" s="335">
        <v>4.0</v>
      </c>
      <c r="B85" s="336">
        <v>0.0</v>
      </c>
      <c r="C85" s="229">
        <v>50.0</v>
      </c>
      <c r="D85" s="229">
        <v>0.0</v>
      </c>
      <c r="E85" s="229">
        <v>0.0</v>
      </c>
      <c r="F85" s="229">
        <v>0.0</v>
      </c>
      <c r="G85" s="229">
        <v>0.0</v>
      </c>
      <c r="H85" s="229">
        <v>1.0</v>
      </c>
      <c r="I85" s="229">
        <v>0.0</v>
      </c>
      <c r="J85" s="229">
        <v>0.0</v>
      </c>
      <c r="K85" s="229">
        <v>0.0</v>
      </c>
      <c r="L85" s="229">
        <v>0.0</v>
      </c>
      <c r="M85" s="229">
        <v>0.0</v>
      </c>
      <c r="N85" s="229">
        <v>0.0</v>
      </c>
      <c r="O85" s="229">
        <v>0.0</v>
      </c>
      <c r="P85" s="229">
        <v>0.0</v>
      </c>
      <c r="Q85" s="229">
        <v>0.0</v>
      </c>
      <c r="R85" s="229">
        <v>0.0</v>
      </c>
      <c r="S85" s="229">
        <v>0.0</v>
      </c>
      <c r="T85" s="229">
        <v>0.0</v>
      </c>
      <c r="U85" s="229">
        <v>0.0</v>
      </c>
      <c r="V85" s="229">
        <v>0.0</v>
      </c>
    </row>
    <row r="86" ht="15.75" customHeight="1">
      <c r="A86" s="335">
        <v>5.0</v>
      </c>
      <c r="B86" s="336">
        <v>0.0</v>
      </c>
      <c r="C86" s="229">
        <v>45.0</v>
      </c>
      <c r="D86" s="229">
        <v>0.0</v>
      </c>
      <c r="E86" s="229">
        <v>0.0</v>
      </c>
      <c r="F86" s="229">
        <v>1.0</v>
      </c>
      <c r="G86" s="229">
        <v>0.0</v>
      </c>
      <c r="H86" s="229">
        <v>0.0</v>
      </c>
      <c r="I86" s="229">
        <v>0.0</v>
      </c>
      <c r="J86" s="229">
        <v>0.0</v>
      </c>
      <c r="K86" s="229">
        <v>0.0</v>
      </c>
      <c r="L86" s="229">
        <v>0.0</v>
      </c>
      <c r="M86" s="229">
        <v>0.0</v>
      </c>
      <c r="N86" s="229">
        <v>0.0</v>
      </c>
      <c r="O86" s="229">
        <v>0.0</v>
      </c>
      <c r="P86" s="229">
        <v>0.0</v>
      </c>
      <c r="Q86" s="229">
        <v>0.0</v>
      </c>
      <c r="R86" s="229">
        <v>0.0</v>
      </c>
      <c r="S86" s="229">
        <v>0.0</v>
      </c>
      <c r="T86" s="229">
        <v>0.0</v>
      </c>
      <c r="U86" s="229">
        <v>0.0</v>
      </c>
      <c r="V86" s="229">
        <v>0.0</v>
      </c>
    </row>
    <row r="87" ht="15.75" customHeight="1">
      <c r="A87" s="335">
        <v>6.0</v>
      </c>
      <c r="B87" s="336">
        <v>0.0</v>
      </c>
      <c r="C87" s="229">
        <v>40.0</v>
      </c>
      <c r="D87" s="229">
        <v>0.0</v>
      </c>
      <c r="E87" s="229">
        <v>1.0</v>
      </c>
      <c r="F87" s="229">
        <v>0.0</v>
      </c>
      <c r="G87" s="229">
        <v>0.0</v>
      </c>
      <c r="H87" s="229">
        <v>0.0</v>
      </c>
      <c r="I87" s="229">
        <v>0.0</v>
      </c>
      <c r="J87" s="229">
        <v>0.0</v>
      </c>
      <c r="K87" s="229">
        <v>0.0</v>
      </c>
      <c r="L87" s="229">
        <v>0.0</v>
      </c>
      <c r="M87" s="229">
        <v>0.0</v>
      </c>
      <c r="N87" s="229">
        <v>0.0</v>
      </c>
      <c r="O87" s="229">
        <v>0.0</v>
      </c>
      <c r="P87" s="229">
        <v>0.0</v>
      </c>
      <c r="Q87" s="229">
        <v>0.0</v>
      </c>
      <c r="R87" s="229">
        <v>0.0</v>
      </c>
      <c r="S87" s="229">
        <v>0.0</v>
      </c>
      <c r="T87" s="229">
        <v>0.0</v>
      </c>
      <c r="U87" s="229">
        <v>0.0</v>
      </c>
      <c r="V87" s="229">
        <v>0.0</v>
      </c>
    </row>
    <row r="88" ht="15.75" customHeight="1">
      <c r="A88" s="335">
        <v>7.0</v>
      </c>
      <c r="B88" s="336">
        <v>0.0</v>
      </c>
      <c r="C88" s="229">
        <v>40.0</v>
      </c>
      <c r="D88" s="229">
        <v>0.0</v>
      </c>
      <c r="E88" s="229">
        <v>1.0</v>
      </c>
      <c r="F88" s="229">
        <v>0.0</v>
      </c>
      <c r="G88" s="229">
        <v>0.0</v>
      </c>
      <c r="H88" s="229">
        <v>0.0</v>
      </c>
      <c r="I88" s="229">
        <v>0.0</v>
      </c>
      <c r="J88" s="229">
        <v>0.0</v>
      </c>
      <c r="K88" s="229">
        <v>0.0</v>
      </c>
      <c r="L88" s="229">
        <v>0.0</v>
      </c>
      <c r="M88" s="229">
        <v>0.0</v>
      </c>
      <c r="N88" s="229">
        <v>0.0</v>
      </c>
      <c r="O88" s="229">
        <v>0.0</v>
      </c>
      <c r="P88" s="229">
        <v>0.0</v>
      </c>
      <c r="Q88" s="229">
        <v>0.0</v>
      </c>
      <c r="R88" s="229">
        <v>0.0</v>
      </c>
      <c r="S88" s="229">
        <v>0.0</v>
      </c>
      <c r="T88" s="229">
        <v>0.0</v>
      </c>
      <c r="U88" s="229">
        <v>0.0</v>
      </c>
      <c r="V88" s="229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B10:V19">
    <cfRule type="cellIs" dxfId="4" priority="1" operator="greaterThan">
      <formula>0</formula>
    </cfRule>
  </conditionalFormatting>
  <conditionalFormatting sqref="A10:V19">
    <cfRule type="expression" dxfId="5" priority="2">
      <formula>ISEVEN(ROW()-9+1)</formula>
    </cfRule>
  </conditionalFormatting>
  <conditionalFormatting sqref="B28:V37">
    <cfRule type="cellIs" dxfId="4" priority="3" operator="greaterThan">
      <formula>0</formula>
    </cfRule>
  </conditionalFormatting>
  <conditionalFormatting sqref="A28:V37">
    <cfRule type="expression" dxfId="5" priority="4">
      <formula>ISEVEN(ROW()-26+1)</formula>
    </cfRule>
  </conditionalFormatting>
  <conditionalFormatting sqref="B46:V55">
    <cfRule type="cellIs" dxfId="4" priority="5" operator="greaterThan">
      <formula>0</formula>
    </cfRule>
  </conditionalFormatting>
  <conditionalFormatting sqref="A46:V55">
    <cfRule type="expression" dxfId="5" priority="6">
      <formula>ISEVEN(ROW()-43+1)</formula>
    </cfRule>
  </conditionalFormatting>
  <conditionalFormatting sqref="B64:V73">
    <cfRule type="cellIs" dxfId="4" priority="7" operator="greaterThan">
      <formula>0</formula>
    </cfRule>
  </conditionalFormatting>
  <conditionalFormatting sqref="A64:V73">
    <cfRule type="expression" dxfId="5" priority="8">
      <formula>ISEVEN(ROW()-60+1)</formula>
    </cfRule>
  </conditionalFormatting>
  <conditionalFormatting sqref="B82:V88">
    <cfRule type="cellIs" dxfId="4" priority="9" operator="greaterThan">
      <formula>0</formula>
    </cfRule>
  </conditionalFormatting>
  <conditionalFormatting sqref="A82:V88">
    <cfRule type="expression" dxfId="5" priority="10">
      <formula>ISEVEN(ROW()-77+1)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35" width="8.13"/>
    <col customWidth="1" min="36" max="36" width="18.38"/>
    <col customWidth="1" min="37" max="37" width="8.13"/>
    <col customWidth="1" min="38" max="38" width="18.38"/>
    <col customWidth="1" min="39" max="39" width="8.13"/>
    <col customWidth="1" min="40" max="40" width="18.38"/>
    <col customWidth="1" min="41" max="41" width="8.13"/>
    <col customWidth="1" min="42" max="42" width="18.38"/>
    <col customWidth="1" min="43" max="43" width="8.13"/>
    <col customWidth="1" min="44" max="44" width="18.38"/>
  </cols>
  <sheetData>
    <row r="1" ht="21.75" customHeight="1">
      <c r="A1" s="277" t="s">
        <v>313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AH1" s="222" t="s">
        <v>306</v>
      </c>
    </row>
    <row r="2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AH2" s="223" t="s">
        <v>177</v>
      </c>
      <c r="AI2" s="224" t="s">
        <v>178</v>
      </c>
    </row>
    <row r="3" ht="19.5" customHeight="1">
      <c r="A3" s="158" t="s">
        <v>314</v>
      </c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AH3" s="223" t="s">
        <v>179</v>
      </c>
      <c r="AI3" s="232" t="s">
        <v>180</v>
      </c>
    </row>
    <row r="4">
      <c r="A4" s="178" t="s">
        <v>315</v>
      </c>
      <c r="B4" s="225">
        <v>10.0</v>
      </c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</row>
    <row r="5">
      <c r="A5" s="178" t="s">
        <v>316</v>
      </c>
      <c r="B5" s="225">
        <v>10.0</v>
      </c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AH5" s="226" t="s">
        <v>307</v>
      </c>
      <c r="AI5" s="226" t="s">
        <v>308</v>
      </c>
      <c r="AJ5" s="226" t="s">
        <v>183</v>
      </c>
      <c r="AK5" s="226" t="s">
        <v>309</v>
      </c>
      <c r="AL5" s="226" t="s">
        <v>185</v>
      </c>
      <c r="AM5" s="226" t="s">
        <v>310</v>
      </c>
      <c r="AN5" s="226" t="s">
        <v>188</v>
      </c>
      <c r="AO5" s="226" t="s">
        <v>311</v>
      </c>
      <c r="AP5" s="226" t="s">
        <v>191</v>
      </c>
      <c r="AQ5" s="226" t="s">
        <v>312</v>
      </c>
      <c r="AR5" s="226" t="s">
        <v>194</v>
      </c>
    </row>
    <row r="6">
      <c r="A6" s="178" t="s">
        <v>169</v>
      </c>
      <c r="B6" s="154">
        <v>2.0</v>
      </c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AH6" s="332" t="s">
        <v>329</v>
      </c>
      <c r="AI6" s="237">
        <f t="array" ref="AI6">LET(pos,CHOOSE(MATCH($AI$2,{"p25","p50","p75"},0),SUMIFS(data_event_inst!$K:$K,data_event_inst!$A:$A,"Red",data_event_inst!$B:$B,$AI$3,data_event_inst!$C:$C,"0-9"),SUMIFS(data_event_inst!$L:$L,data_event_inst!$A:$A,"Red",data_event_inst!$B:$B,$AI$3,data_event_inst!$C:$C,"0-9"),SUMIFS(data_event_inst!$M:$M,data_event_inst!$A:$A,"Red",data_event_inst!$B:$B,$AI$3,data_event_inst!$C:$C,"0-9")),IF(pos=0,"n/a",pos))</f>
        <v>12</v>
      </c>
      <c r="AJ6" s="238" t="str">
        <f t="array" ref="AJ6">LET(p,AI6,IF(p="n/a","n/a",IF(p&gt;10," (below ladder)",LET(s,INDEX($B$10:$V$19,p,0),b,TEXTJOIN(", ",TRUE,IF(s&gt;0,$B$9:$V$9&amp;": "&amp;ROUND(s,2),"")),IF(b="","{} (rank pays nothing)","{"&amp;b&amp;"}")))))</f>
        <v> (below ladder)</v>
      </c>
      <c r="AK6" s="237">
        <f t="array" ref="AK6">LET(pos,CHOOSE(MATCH($AI$2,{"p25","p50","p75"},0),SUMIFS(data_event_inst!$K:$K,data_event_inst!$A:$A,"Red",data_event_inst!$B:$B,$AI$3,data_event_inst!$C:$C,"10-19"),SUMIFS(data_event_inst!$L:$L,data_event_inst!$A:$A,"Red",data_event_inst!$B:$B,$AI$3,data_event_inst!$C:$C,"10-19"),SUMIFS(data_event_inst!$M:$M,data_event_inst!$A:$A,"Red",data_event_inst!$B:$B,$AI$3,data_event_inst!$C:$C,"10-19")),IF(pos=0,"n/a",pos))</f>
        <v>8</v>
      </c>
      <c r="AL6" s="238" t="str">
        <f t="array" ref="AL6">LET(p,AK6,IF(p="n/a","n/a",IF(p&gt;10," (below ladder)",LET(s,INDEX($B$10:$V$19,p,0),b,TEXTJOIN(", ",TRUE,IF(s&gt;0,$B$9:$V$9&amp;": "&amp;ROUND(s,2),"")),IF(b="","{} (rank pays nothing)","{"&amp;b&amp;"}")))))</f>
        <v>{Slingshot: 1}</v>
      </c>
      <c r="AM6" s="237">
        <f t="array" ref="AM6">LET(pos,CHOOSE(MATCH($AI$2,{"p25","p50","p75"},0),SUMIFS(data_event_inst!$K:$K,data_event_inst!$A:$A,"Red",data_event_inst!$B:$B,$AI$3,data_event_inst!$C:$C,"20-39"),SUMIFS(data_event_inst!$L:$L,data_event_inst!$A:$A,"Red",data_event_inst!$B:$B,$AI$3,data_event_inst!$C:$C,"20-39"),SUMIFS(data_event_inst!$M:$M,data_event_inst!$A:$A,"Red",data_event_inst!$B:$B,$AI$3,data_event_inst!$C:$C,"20-39")),IF(pos=0,"n/a",pos))</f>
        <v>5</v>
      </c>
      <c r="AN6" s="238" t="str">
        <f t="array" ref="AN6">LET(p,AM6,IF(p="n/a","n/a",IF(p&gt;10," (below ladder)",LET(s,INDEX($B$10:$V$19,p,0),b,TEXTJOIN(", ",TRUE,IF(s&gt;0,$B$9:$V$9&amp;": "&amp;ROUND(s,2),"")),IF(b="","{} (rank pays nothing)","{"&amp;b&amp;"}")))))</f>
        <v>{Shuffle: 1}</v>
      </c>
      <c r="AO6" s="237">
        <f t="array" ref="AO6">LET(pos,CHOOSE(MATCH($AI$2,{"p25","p50","p75"},0),SUMIFS(data_event_inst!$K:$K,data_event_inst!$A:$A,"Red",data_event_inst!$B:$B,$AI$3,data_event_inst!$C:$C,"40-99"),SUMIFS(data_event_inst!$L:$L,data_event_inst!$A:$A,"Red",data_event_inst!$B:$B,$AI$3,data_event_inst!$C:$C,"40-99"),SUMIFS(data_event_inst!$M:$M,data_event_inst!$A:$A,"Red",data_event_inst!$B:$B,$AI$3,data_event_inst!$C:$C,"40-99")),IF(pos=0,"n/a",pos))</f>
        <v>3</v>
      </c>
      <c r="AP6" s="238" t="str">
        <f t="array" ref="AP6">LET(p,AO6,IF(p="n/a","n/a",IF(p&gt;10," (below ladder)",LET(s,INDEX($B$10:$V$19,p,0),b,TEXTJOIN(", ",TRUE,IF(s&gt;0,$B$9:$V$9&amp;": "&amp;ROUND(s,2),"")),IF(b="","{} (rank pays nothing)","{"&amp;b&amp;"}")))))</f>
        <v>{Coins: 50, Shuffle: 1}</v>
      </c>
      <c r="AQ6" s="237">
        <f t="array" ref="AQ6">LET(pos,CHOOSE(MATCH($AI$2,{"p25","p50","p75"},0),SUMIFS(data_event_inst!$K:$K,data_event_inst!$A:$A,"Red",data_event_inst!$B:$B,$AI$3,data_event_inst!$C:$C,"100+"),SUMIFS(data_event_inst!$L:$L,data_event_inst!$A:$A,"Red",data_event_inst!$B:$B,$AI$3,data_event_inst!$C:$C,"100+"),SUMIFS(data_event_inst!$M:$M,data_event_inst!$A:$A,"Red",data_event_inst!$B:$B,$AI$3,data_event_inst!$C:$C,"100+")),IF(pos=0,"n/a",pos))</f>
        <v>1</v>
      </c>
      <c r="AR6" s="238" t="str">
        <f t="array" ref="AR6">LET(p,AQ6,IF(p="n/a","n/a",IF(p&gt;10," (below ladder)",LET(s,INDEX($B$10:$V$19,p,0),b,TEXTJOIN(", ",TRUE,IF(s&gt;0,$B$9:$V$9&amp;": "&amp;ROUND(s,2),"")),IF(b="","{} (rank pays nothing)","{"&amp;b&amp;"}")))))</f>
        <v>{Coins: 200, Comet: 1}</v>
      </c>
    </row>
    <row r="7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AH7" s="332" t="s">
        <v>338</v>
      </c>
      <c r="AI7" s="237">
        <f t="array" ref="AI7">LET(pos,CHOOSE(MATCH($AI$2,{"p25","p50","p75"},0),SUMIFS(data_event_inst!$K:$K,data_event_inst!$A:$A,"Chuck",data_event_inst!$B:$B,$AI$3,data_event_inst!$C:$C,"0-9"),SUMIFS(data_event_inst!$L:$L,data_event_inst!$A:$A,"Chuck",data_event_inst!$B:$B,$AI$3,data_event_inst!$C:$C,"0-9"),SUMIFS(data_event_inst!$M:$M,data_event_inst!$A:$A,"Chuck",data_event_inst!$B:$B,$AI$3,data_event_inst!$C:$C,"0-9")),IF(pos=0,"n/a",pos))</f>
        <v>12</v>
      </c>
      <c r="AJ7" s="238" t="str">
        <f t="array" ref="AJ7">LET(p,AI7,IF(p="n/a","n/a",IF(p&gt;10," (below ladder)",LET(s,INDEX($B$28:$V$37,p,0),b,TEXTJOIN(", ",TRUE,IF(s&gt;0,$B$27:$V$27&amp;": "&amp;ROUND(s,2),"")),IF(b="","{} (rank pays nothing)","{"&amp;b&amp;"}")))))</f>
        <v> (below ladder)</v>
      </c>
      <c r="AK7" s="237">
        <f t="array" ref="AK7">LET(pos,CHOOSE(MATCH($AI$2,{"p25","p50","p75"},0),SUMIFS(data_event_inst!$K:$K,data_event_inst!$A:$A,"Chuck",data_event_inst!$B:$B,$AI$3,data_event_inst!$C:$C,"10-19"),SUMIFS(data_event_inst!$L:$L,data_event_inst!$A:$A,"Chuck",data_event_inst!$B:$B,$AI$3,data_event_inst!$C:$C,"10-19"),SUMIFS(data_event_inst!$M:$M,data_event_inst!$A:$A,"Chuck",data_event_inst!$B:$B,$AI$3,data_event_inst!$C:$C,"10-19")),IF(pos=0,"n/a",pos))</f>
        <v>8</v>
      </c>
      <c r="AL7" s="238" t="str">
        <f t="array" ref="AL7">LET(p,AK7,IF(p="n/a","n/a",IF(p&gt;10," (below ladder)",LET(s,INDEX($B$28:$V$37,p,0),b,TEXTJOIN(", ",TRUE,IF(s&gt;0,$B$27:$V$27&amp;": "&amp;ROUND(s,2),"")),IF(b="","{} (rank pays nothing)","{"&amp;b&amp;"}")))))</f>
        <v>{Slingshot: 1}</v>
      </c>
      <c r="AM7" s="237">
        <f t="array" ref="AM7">LET(pos,CHOOSE(MATCH($AI$2,{"p25","p50","p75"},0),SUMIFS(data_event_inst!$K:$K,data_event_inst!$A:$A,"Chuck",data_event_inst!$B:$B,$AI$3,data_event_inst!$C:$C,"20-39"),SUMIFS(data_event_inst!$L:$L,data_event_inst!$A:$A,"Chuck",data_event_inst!$B:$B,$AI$3,data_event_inst!$C:$C,"20-39"),SUMIFS(data_event_inst!$M:$M,data_event_inst!$A:$A,"Chuck",data_event_inst!$B:$B,$AI$3,data_event_inst!$C:$C,"20-39")),IF(pos=0,"n/a",pos))</f>
        <v>5</v>
      </c>
      <c r="AN7" s="238" t="str">
        <f t="array" ref="AN7">LET(p,AM7,IF(p="n/a","n/a",IF(p&gt;10," (below ladder)",LET(s,INDEX($B$28:$V$37,p,0),b,TEXTJOIN(", ",TRUE,IF(s&gt;0,$B$27:$V$27&amp;": "&amp;ROUND(s,2),"")),IF(b="","{} (rank pays nothing)","{"&amp;b&amp;"}")))))</f>
        <v>{Shuffle: 1}</v>
      </c>
      <c r="AO7" s="237">
        <f t="array" ref="AO7">LET(pos,CHOOSE(MATCH($AI$2,{"p25","p50","p75"},0),SUMIFS(data_event_inst!$K:$K,data_event_inst!$A:$A,"Chuck",data_event_inst!$B:$B,$AI$3,data_event_inst!$C:$C,"40-99"),SUMIFS(data_event_inst!$L:$L,data_event_inst!$A:$A,"Chuck",data_event_inst!$B:$B,$AI$3,data_event_inst!$C:$C,"40-99"),SUMIFS(data_event_inst!$M:$M,data_event_inst!$A:$A,"Chuck",data_event_inst!$B:$B,$AI$3,data_event_inst!$C:$C,"40-99")),IF(pos=0,"n/a",pos))</f>
        <v>3</v>
      </c>
      <c r="AP7" s="238" t="str">
        <f t="array" ref="AP7">LET(p,AO7,IF(p="n/a","n/a",IF(p&gt;10," (below ladder)",LET(s,INDEX($B$28:$V$37,p,0),b,TEXTJOIN(", ",TRUE,IF(s&gt;0,$B$27:$V$27&amp;": "&amp;ROUND(s,2),"")),IF(b="","{} (rank pays nothing)","{"&amp;b&amp;"}")))))</f>
        <v>{Coins: 50, Shuffle: 1}</v>
      </c>
      <c r="AQ7" s="237">
        <f t="array" ref="AQ7">LET(pos,CHOOSE(MATCH($AI$2,{"p25","p50","p75"},0),SUMIFS(data_event_inst!$K:$K,data_event_inst!$A:$A,"Chuck",data_event_inst!$B:$B,$AI$3,data_event_inst!$C:$C,"100+"),SUMIFS(data_event_inst!$L:$L,data_event_inst!$A:$A,"Chuck",data_event_inst!$B:$B,$AI$3,data_event_inst!$C:$C,"100+"),SUMIFS(data_event_inst!$M:$M,data_event_inst!$A:$A,"Chuck",data_event_inst!$B:$B,$AI$3,data_event_inst!$C:$C,"100+")),IF(pos=0,"n/a",pos))</f>
        <v>1</v>
      </c>
      <c r="AR7" s="238" t="str">
        <f t="array" ref="AR7">LET(p,AQ7,IF(p="n/a","n/a",IF(p&gt;10," (below ladder)",LET(s,INDEX($B$28:$V$37,p,0),b,TEXTJOIN(", ",TRUE,IF(s&gt;0,$B$27:$V$27&amp;": "&amp;ROUND(s,2),"")),IF(b="","{} (rank pays nothing)","{"&amp;b&amp;"}")))))</f>
        <v>{Coins: 200, Comet: 1}</v>
      </c>
    </row>
    <row r="8" ht="19.5" customHeight="1">
      <c r="A8" s="158" t="s">
        <v>317</v>
      </c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AH8" s="332" t="s">
        <v>341</v>
      </c>
      <c r="AI8" s="237">
        <f t="array" ref="AI8">LET(pos,CHOOSE(MATCH($AI$2,{"p25","p50","p75"},0),SUMIFS(data_event_inst!$K:$K,data_event_inst!$A:$A,"Bomb",data_event_inst!$B:$B,$AI$3,data_event_inst!$C:$C,"0-9"),SUMIFS(data_event_inst!$L:$L,data_event_inst!$A:$A,"Bomb",data_event_inst!$B:$B,$AI$3,data_event_inst!$C:$C,"0-9"),SUMIFS(data_event_inst!$M:$M,data_event_inst!$A:$A,"Bomb",data_event_inst!$B:$B,$AI$3,data_event_inst!$C:$C,"0-9")),IF(pos=0,"n/a",pos))</f>
        <v>12</v>
      </c>
      <c r="AJ8" s="238" t="str">
        <f t="array" ref="AJ8">LET(p,AI8,IF(p="n/a","n/a",IF(p&gt;10," (below ladder)",LET(s,INDEX($B$46:$V$55,p,0),b,TEXTJOIN(", ",TRUE,IF(s&gt;0,$B$45:$V$45&amp;": "&amp;ROUND(s,2),"")),IF(b="","{} (rank pays nothing)","{"&amp;b&amp;"}")))))</f>
        <v> (below ladder)</v>
      </c>
      <c r="AK8" s="237">
        <f t="array" ref="AK8">LET(pos,CHOOSE(MATCH($AI$2,{"p25","p50","p75"},0),SUMIFS(data_event_inst!$K:$K,data_event_inst!$A:$A,"Bomb",data_event_inst!$B:$B,$AI$3,data_event_inst!$C:$C,"10-19"),SUMIFS(data_event_inst!$L:$L,data_event_inst!$A:$A,"Bomb",data_event_inst!$B:$B,$AI$3,data_event_inst!$C:$C,"10-19"),SUMIFS(data_event_inst!$M:$M,data_event_inst!$A:$A,"Bomb",data_event_inst!$B:$B,$AI$3,data_event_inst!$C:$C,"10-19")),IF(pos=0,"n/a",pos))</f>
        <v>9</v>
      </c>
      <c r="AL8" s="238" t="str">
        <f t="array" ref="AL8">LET(p,AK8,IF(p="n/a","n/a",IF(p&gt;10," (below ladder)",LET(s,INDEX($B$46:$V$55,p,0),b,TEXTJOIN(", ",TRUE,IF(s&gt;0,$B$45:$V$45&amp;": "&amp;ROUND(s,2),"")),IF(b="","{} (rank pays nothing)","{"&amp;b&amp;"}")))))</f>
        <v>{Slingshot: 1}</v>
      </c>
      <c r="AM8" s="237">
        <f t="array" ref="AM8">LET(pos,CHOOSE(MATCH($AI$2,{"p25","p50","p75"},0),SUMIFS(data_event_inst!$K:$K,data_event_inst!$A:$A,"Bomb",data_event_inst!$B:$B,$AI$3,data_event_inst!$C:$C,"20-39"),SUMIFS(data_event_inst!$L:$L,data_event_inst!$A:$A,"Bomb",data_event_inst!$B:$B,$AI$3,data_event_inst!$C:$C,"20-39"),SUMIFS(data_event_inst!$M:$M,data_event_inst!$A:$A,"Bomb",data_event_inst!$B:$B,$AI$3,data_event_inst!$C:$C,"20-39")),IF(pos=0,"n/a",pos))</f>
        <v>6</v>
      </c>
      <c r="AN8" s="238" t="str">
        <f t="array" ref="AN8">LET(p,AM8,IF(p="n/a","n/a",IF(p&gt;10," (below ladder)",LET(s,INDEX($B$46:$V$55,p,0),b,TEXTJOIN(", ",TRUE,IF(s&gt;0,$B$45:$V$45&amp;": "&amp;ROUND(s,2),"")),IF(b="","{} (rank pays nothing)","{"&amp;b&amp;"}")))))</f>
        <v>{Slingshot: 1}</v>
      </c>
      <c r="AO8" s="237">
        <f t="array" ref="AO8">LET(pos,CHOOSE(MATCH($AI$2,{"p25","p50","p75"},0),SUMIFS(data_event_inst!$K:$K,data_event_inst!$A:$A,"Bomb",data_event_inst!$B:$B,$AI$3,data_event_inst!$C:$C,"40-99"),SUMIFS(data_event_inst!$L:$L,data_event_inst!$A:$A,"Bomb",data_event_inst!$B:$B,$AI$3,data_event_inst!$C:$C,"40-99"),SUMIFS(data_event_inst!$M:$M,data_event_inst!$A:$A,"Bomb",data_event_inst!$B:$B,$AI$3,data_event_inst!$C:$C,"40-99")),IF(pos=0,"n/a",pos))</f>
        <v>4</v>
      </c>
      <c r="AP8" s="238" t="str">
        <f t="array" ref="AP8">LET(p,AO8,IF(p="n/a","n/a",IF(p&gt;10," (below ladder)",LET(s,INDEX($B$46:$V$55,p,0),b,TEXTJOIN(", ",TRUE,IF(s&gt;0,$B$45:$V$45&amp;": "&amp;ROUND(s,2),"")),IF(b="","{} (rank pays nothing)","{"&amp;b&amp;"}")))))</f>
        <v>{Shuffle: 1}</v>
      </c>
      <c r="AQ8" s="237">
        <f t="array" ref="AQ8">LET(pos,CHOOSE(MATCH($AI$2,{"p25","p50","p75"},0),SUMIFS(data_event_inst!$K:$K,data_event_inst!$A:$A,"Bomb",data_event_inst!$B:$B,$AI$3,data_event_inst!$C:$C,"100+"),SUMIFS(data_event_inst!$L:$L,data_event_inst!$A:$A,"Bomb",data_event_inst!$B:$B,$AI$3,data_event_inst!$C:$C,"100+"),SUMIFS(data_event_inst!$M:$M,data_event_inst!$A:$A,"Bomb",data_event_inst!$B:$B,$AI$3,data_event_inst!$C:$C,"100+")),IF(pos=0,"n/a",pos))</f>
        <v>2</v>
      </c>
      <c r="AR8" s="238" t="str">
        <f t="array" ref="AR8">LET(p,AQ8,IF(p="n/a","n/a",IF(p&gt;10," (below ladder)",LET(s,INDEX($B$46:$V$55,p,0),b,TEXTJOIN(", ",TRUE,IF(s&gt;0,$B$45:$V$45&amp;": "&amp;ROUND(s,2),"")),IF(b="","{} (rank pays nothing)","{"&amp;b&amp;"}")))))</f>
        <v>{Coins: 100, Shuffle: 1}</v>
      </c>
    </row>
    <row r="9" ht="90.0" customHeight="1">
      <c r="A9" s="350" t="s">
        <v>233</v>
      </c>
      <c r="B9" s="351" t="s">
        <v>76</v>
      </c>
      <c r="C9" s="276" t="s">
        <v>46</v>
      </c>
      <c r="D9" s="276" t="s">
        <v>121</v>
      </c>
      <c r="E9" s="276" t="s">
        <v>47</v>
      </c>
      <c r="F9" s="276" t="s">
        <v>48</v>
      </c>
      <c r="G9" s="276" t="s">
        <v>50</v>
      </c>
      <c r="H9" s="276" t="s">
        <v>52</v>
      </c>
      <c r="I9" s="276" t="s">
        <v>53</v>
      </c>
      <c r="J9" s="276" t="s">
        <v>54</v>
      </c>
      <c r="K9" s="276" t="s">
        <v>55</v>
      </c>
      <c r="L9" s="276" t="s">
        <v>56</v>
      </c>
      <c r="M9" s="276" t="s">
        <v>57</v>
      </c>
      <c r="N9" s="276" t="s">
        <v>58</v>
      </c>
      <c r="O9" s="276" t="s">
        <v>135</v>
      </c>
      <c r="P9" s="276" t="s">
        <v>122</v>
      </c>
      <c r="Q9" s="276" t="s">
        <v>123</v>
      </c>
      <c r="R9" s="276" t="s">
        <v>124</v>
      </c>
      <c r="S9" s="276" t="s">
        <v>125</v>
      </c>
      <c r="T9" s="276" t="s">
        <v>126</v>
      </c>
      <c r="U9" s="276" t="s">
        <v>127</v>
      </c>
      <c r="V9" s="276" t="s">
        <v>128</v>
      </c>
      <c r="AH9" s="332" t="s">
        <v>20</v>
      </c>
      <c r="AI9" s="237">
        <f t="array" ref="AI9">LET(pos,CHOOSE(MATCH($AI$2,{"p25","p50","p75"},0),SUMIFS(data_event_inst!$K:$K,data_event_inst!$A:$A,"Level Race",data_event_inst!$B:$B,$AI$3,data_event_inst!$C:$C,"0-9"),SUMIFS(data_event_inst!$L:$L,data_event_inst!$A:$A,"Level Race",data_event_inst!$B:$B,$AI$3,data_event_inst!$C:$C,"0-9"),SUMIFS(data_event_inst!$M:$M,data_event_inst!$A:$A,"Level Race",data_event_inst!$B:$B,$AI$3,data_event_inst!$C:$C,"0-9")),IF(pos=0,"n/a",pos))</f>
        <v>14</v>
      </c>
      <c r="AJ9" s="238" t="str">
        <f t="array" ref="AJ9">LET(p,AI9,IF(p="n/a","n/a",IF(p&gt;10," (below ladder)",LET(s,INDEX($B$64:$V$73,p,0),b,TEXTJOIN(", ",TRUE,IF(s&gt;0,$B$63:$V$63&amp;": "&amp;ROUND(s,2),"")),IF(b="","{} (rank pays nothing)","{"&amp;b&amp;"}")))))</f>
        <v> (below ladder)</v>
      </c>
      <c r="AK9" s="237">
        <f t="array" ref="AK9">LET(pos,CHOOSE(MATCH($AI$2,{"p25","p50","p75"},0),SUMIFS(data_event_inst!$K:$K,data_event_inst!$A:$A,"Level Race",data_event_inst!$B:$B,$AI$3,data_event_inst!$C:$C,"10-19"),SUMIFS(data_event_inst!$L:$L,data_event_inst!$A:$A,"Level Race",data_event_inst!$B:$B,$AI$3,data_event_inst!$C:$C,"10-19"),SUMIFS(data_event_inst!$M:$M,data_event_inst!$A:$A,"Level Race",data_event_inst!$B:$B,$AI$3,data_event_inst!$C:$C,"10-19")),IF(pos=0,"n/a",pos))</f>
        <v>8</v>
      </c>
      <c r="AL9" s="238" t="str">
        <f t="array" ref="AL9">LET(p,AK9,IF(p="n/a","n/a",IF(p&gt;10," (below ladder)",LET(s,INDEX($B$64:$V$73,p,0),b,TEXTJOIN(", ",TRUE,IF(s&gt;0,$B$63:$V$63&amp;": "&amp;ROUND(s,2),"")),IF(b="","{} (rank pays nothing)","{"&amp;b&amp;"}")))))</f>
        <v>{Slingshot: 1}</v>
      </c>
      <c r="AM9" s="237">
        <f t="array" ref="AM9">LET(pos,CHOOSE(MATCH($AI$2,{"p25","p50","p75"},0),SUMIFS(data_event_inst!$K:$K,data_event_inst!$A:$A,"Level Race",data_event_inst!$B:$B,$AI$3,data_event_inst!$C:$C,"20-39"),SUMIFS(data_event_inst!$L:$L,data_event_inst!$A:$A,"Level Race",data_event_inst!$B:$B,$AI$3,data_event_inst!$C:$C,"20-39"),SUMIFS(data_event_inst!$M:$M,data_event_inst!$A:$A,"Level Race",data_event_inst!$B:$B,$AI$3,data_event_inst!$C:$C,"20-39")),IF(pos=0,"n/a",pos))</f>
        <v>2</v>
      </c>
      <c r="AN9" s="238" t="str">
        <f t="array" ref="AN9">LET(p,AM9,IF(p="n/a","n/a",IF(p&gt;10," (below ladder)",LET(s,INDEX($B$64:$V$73,p,0),b,TEXTJOIN(", ",TRUE,IF(s&gt;0,$B$63:$V$63&amp;": "&amp;ROUND(s,2),"")),IF(b="","{} (rank pays nothing)","{"&amp;b&amp;"}")))))</f>
        <v>{Coins: 100, Shuffle: 1}</v>
      </c>
      <c r="AO9" s="237">
        <f t="array" ref="AO9">LET(pos,CHOOSE(MATCH($AI$2,{"p25","p50","p75"},0),SUMIFS(data_event_inst!$K:$K,data_event_inst!$A:$A,"Level Race",data_event_inst!$B:$B,$AI$3,data_event_inst!$C:$C,"40-99"),SUMIFS(data_event_inst!$L:$L,data_event_inst!$A:$A,"Level Race",data_event_inst!$B:$B,$AI$3,data_event_inst!$C:$C,"40-99"),SUMIFS(data_event_inst!$M:$M,data_event_inst!$A:$A,"Level Race",data_event_inst!$B:$B,$AI$3,data_event_inst!$C:$C,"40-99")),IF(pos=0,"n/a",pos))</f>
        <v>3</v>
      </c>
      <c r="AP9" s="238" t="str">
        <f t="array" ref="AP9">LET(p,AO9,IF(p="n/a","n/a",IF(p&gt;10," (below ladder)",LET(s,INDEX($B$64:$V$73,p,0),b,TEXTJOIN(", ",TRUE,IF(s&gt;0,$B$63:$V$63&amp;": "&amp;ROUND(s,2),"")),IF(b="","{} (rank pays nothing)","{"&amp;b&amp;"}")))))</f>
        <v>{Coins: 50, Shuffle: 1}</v>
      </c>
      <c r="AQ9" s="237" t="str">
        <f t="array" ref="AQ9">LET(pos,CHOOSE(MATCH($AI$2,{"p25","p50","p75"},0),SUMIFS(data_event_inst!$K:$K,data_event_inst!$A:$A,"Level Race",data_event_inst!$B:$B,$AI$3,data_event_inst!$C:$C,"100+"),SUMIFS(data_event_inst!$L:$L,data_event_inst!$A:$A,"Level Race",data_event_inst!$B:$B,$AI$3,data_event_inst!$C:$C,"100+"),SUMIFS(data_event_inst!$M:$M,data_event_inst!$A:$A,"Level Race",data_event_inst!$B:$B,$AI$3,data_event_inst!$C:$C,"100+")),IF(pos=0,"n/a",pos))</f>
        <v>n/a</v>
      </c>
      <c r="AR9" s="238" t="str">
        <f t="array" ref="AR9">LET(p,AQ9,IF(p="n/a","n/a",IF(p&gt;10," (below ladder)",LET(s,INDEX($B$64:$V$73,p,0),b,TEXTJOIN(", ",TRUE,IF(s&gt;0,$B$63:$V$63&amp;": "&amp;ROUND(s,2),"")),IF(b="","{} (rank pays nothing)","{"&amp;b&amp;"}")))))</f>
        <v>n/a</v>
      </c>
    </row>
    <row r="10">
      <c r="A10" s="360">
        <v>1.0</v>
      </c>
      <c r="B10" s="361">
        <v>200.0</v>
      </c>
      <c r="C10" s="272">
        <v>0.0</v>
      </c>
      <c r="D10" s="272">
        <v>0.0</v>
      </c>
      <c r="E10" s="272">
        <v>0.0</v>
      </c>
      <c r="F10" s="272">
        <v>0.0</v>
      </c>
      <c r="G10" s="272">
        <v>0.0</v>
      </c>
      <c r="H10" s="272">
        <v>0.0</v>
      </c>
      <c r="I10" s="272">
        <v>0.0</v>
      </c>
      <c r="J10" s="272">
        <v>1.0</v>
      </c>
      <c r="K10" s="272">
        <v>0.0</v>
      </c>
      <c r="L10" s="272">
        <v>0.0</v>
      </c>
      <c r="M10" s="272">
        <v>0.0</v>
      </c>
      <c r="N10" s="272">
        <v>0.0</v>
      </c>
      <c r="O10" s="272">
        <v>0.0</v>
      </c>
      <c r="P10" s="272">
        <v>0.0</v>
      </c>
      <c r="Q10" s="272">
        <v>0.0</v>
      </c>
      <c r="R10" s="272">
        <v>0.0</v>
      </c>
      <c r="S10" s="272">
        <v>0.0</v>
      </c>
      <c r="T10" s="272">
        <v>0.0</v>
      </c>
      <c r="U10" s="272">
        <v>0.0</v>
      </c>
      <c r="V10" s="272">
        <v>0.0</v>
      </c>
      <c r="X10" s="1">
        <v>1.0</v>
      </c>
      <c r="AH10" s="332" t="s">
        <v>42</v>
      </c>
      <c r="AI10" s="237">
        <f t="array" ref="AI10">LET(pos,CHOOSE(MATCH($AI$2,{"p25","p50","p75"},0),SUMIFS(data_event_inst!$K:$K,data_event_inst!$A:$A,"Flash Race",data_event_inst!$B:$B,$AI$3,data_event_inst!$C:$C,"0-9"),SUMIFS(data_event_inst!$L:$L,data_event_inst!$A:$A,"Flash Race",data_event_inst!$B:$B,$AI$3,data_event_inst!$C:$C,"0-9"),SUMIFS(data_event_inst!$M:$M,data_event_inst!$A:$A,"Flash Race",data_event_inst!$B:$B,$AI$3,data_event_inst!$C:$C,"0-9")),IF(pos=0,"n/a",pos))</f>
        <v>4</v>
      </c>
      <c r="AJ10" s="238" t="str">
        <f t="array" ref="AJ10">LET(p,AI10,IF(p="n/a","n/a",IF(p&gt;10," (below ladder)",LET(s,INDEX($B$82:$V$88,p,0),b,TEXTJOIN(", ",TRUE,IF(s&gt;0,$B$81:$V$81&amp;": "&amp;ROUND(s,2),"")),IF(b="","{} (rank pays nothing)","{"&amp;b&amp;"}")))))</f>
        <v>{SPT: 50, Slingshot: 1}</v>
      </c>
      <c r="AK10" s="237">
        <f t="array" ref="AK10">LET(pos,CHOOSE(MATCH($AI$2,{"p25","p50","p75"},0),SUMIFS(data_event_inst!$K:$K,data_event_inst!$A:$A,"Flash Race",data_event_inst!$B:$B,$AI$3,data_event_inst!$C:$C,"10-19"),SUMIFS(data_event_inst!$L:$L,data_event_inst!$A:$A,"Flash Race",data_event_inst!$B:$B,$AI$3,data_event_inst!$C:$C,"10-19"),SUMIFS(data_event_inst!$M:$M,data_event_inst!$A:$A,"Flash Race",data_event_inst!$B:$B,$AI$3,data_event_inst!$C:$C,"10-19")),IF(pos=0,"n/a",pos))</f>
        <v>4</v>
      </c>
      <c r="AL10" s="238" t="str">
        <f t="array" ref="AL10">LET(p,AK10,IF(p="n/a","n/a",IF(p&gt;10," (below ladder)",LET(s,INDEX($B$82:$V$88,p,0),b,TEXTJOIN(", ",TRUE,IF(s&gt;0,$B$81:$V$81&amp;": "&amp;ROUND(s,2),"")),IF(b="","{} (rank pays nothing)","{"&amp;b&amp;"}")))))</f>
        <v>{SPT: 50, Slingshot: 1}</v>
      </c>
      <c r="AM10" s="237">
        <f t="array" ref="AM10">LET(pos,CHOOSE(MATCH($AI$2,{"p25","p50","p75"},0),SUMIFS(data_event_inst!$K:$K,data_event_inst!$A:$A,"Flash Race",data_event_inst!$B:$B,$AI$3,data_event_inst!$C:$C,"20-39"),SUMIFS(data_event_inst!$L:$L,data_event_inst!$A:$A,"Flash Race",data_event_inst!$B:$B,$AI$3,data_event_inst!$C:$C,"20-39"),SUMIFS(data_event_inst!$M:$M,data_event_inst!$A:$A,"Flash Race",data_event_inst!$B:$B,$AI$3,data_event_inst!$C:$C,"20-39")),IF(pos=0,"n/a",pos))</f>
        <v>3</v>
      </c>
      <c r="AN10" s="238" t="str">
        <f t="array" ref="AN10">LET(p,AM10,IF(p="n/a","n/a",IF(p&gt;10," (below ladder)",LET(s,INDEX($B$82:$V$88,p,0),b,TEXTJOIN(", ",TRUE,IF(s&gt;0,$B$81:$V$81&amp;": "&amp;ROUND(s,2),"")),IF(b="","{} (rank pays nothing)","{"&amp;b&amp;"}")))))</f>
        <v>{Coins: 10, SPT: 50, Bomb: 1}</v>
      </c>
      <c r="AO10" s="237">
        <f t="array" ref="AO10">LET(pos,CHOOSE(MATCH($AI$2,{"p25","p50","p75"},0),SUMIFS(data_event_inst!$K:$K,data_event_inst!$A:$A,"Flash Race",data_event_inst!$B:$B,$AI$3,data_event_inst!$C:$C,"40-99"),SUMIFS(data_event_inst!$L:$L,data_event_inst!$A:$A,"Flash Race",data_event_inst!$B:$B,$AI$3,data_event_inst!$C:$C,"40-99"),SUMIFS(data_event_inst!$M:$M,data_event_inst!$A:$A,"Flash Race",data_event_inst!$B:$B,$AI$3,data_event_inst!$C:$C,"40-99")),IF(pos=0,"n/a",pos))</f>
        <v>3</v>
      </c>
      <c r="AP10" s="238" t="str">
        <f t="array" ref="AP10">LET(p,AO10,IF(p="n/a","n/a",IF(p&gt;10," (below ladder)",LET(s,INDEX($B$82:$V$88,p,0),b,TEXTJOIN(", ",TRUE,IF(s&gt;0,$B$81:$V$81&amp;": "&amp;ROUND(s,2),"")),IF(b="","{} (rank pays nothing)","{"&amp;b&amp;"}")))))</f>
        <v>{Coins: 10, SPT: 50, Bomb: 1}</v>
      </c>
      <c r="AQ10" s="237">
        <f t="array" ref="AQ10">LET(pos,CHOOSE(MATCH($AI$2,{"p25","p50","p75"},0),SUMIFS(data_event_inst!$K:$K,data_event_inst!$A:$A,"Flash Race",data_event_inst!$B:$B,$AI$3,data_event_inst!$C:$C,"100+"),SUMIFS(data_event_inst!$L:$L,data_event_inst!$A:$A,"Flash Race",data_event_inst!$B:$B,$AI$3,data_event_inst!$C:$C,"100+"),SUMIFS(data_event_inst!$M:$M,data_event_inst!$A:$A,"Flash Race",data_event_inst!$B:$B,$AI$3,data_event_inst!$C:$C,"100+")),IF(pos=0,"n/a",pos))</f>
        <v>2</v>
      </c>
      <c r="AR10" s="238" t="str">
        <f t="array" ref="AR10">LET(p,AQ10,IF(p="n/a","n/a",IF(p&gt;10," (below ladder)",LET(s,INDEX($B$82:$V$88,p,0),b,TEXTJOIN(", ",TRUE,IF(s&gt;0,$B$81:$V$81&amp;": "&amp;ROUND(s,2),"")),IF(b="","{} (rank pays nothing)","{"&amp;b&amp;"}")))))</f>
        <v>{Coins: 25, SPT: 50, Shuffle: 1}</v>
      </c>
    </row>
    <row r="11">
      <c r="A11" s="360">
        <v>2.0</v>
      </c>
      <c r="B11" s="361">
        <v>100.0</v>
      </c>
      <c r="C11" s="272">
        <v>0.0</v>
      </c>
      <c r="D11" s="272">
        <v>0.0</v>
      </c>
      <c r="E11" s="272">
        <v>0.0</v>
      </c>
      <c r="F11" s="272">
        <v>0.0</v>
      </c>
      <c r="G11" s="272">
        <v>0.0</v>
      </c>
      <c r="H11" s="272">
        <v>0.0</v>
      </c>
      <c r="I11" s="272">
        <v>1.0</v>
      </c>
      <c r="J11" s="272">
        <v>0.0</v>
      </c>
      <c r="K11" s="272">
        <v>0.0</v>
      </c>
      <c r="L11" s="272">
        <v>0.0</v>
      </c>
      <c r="M11" s="272">
        <v>0.0</v>
      </c>
      <c r="N11" s="272">
        <v>0.0</v>
      </c>
      <c r="O11" s="272">
        <v>0.0</v>
      </c>
      <c r="P11" s="272">
        <v>0.0</v>
      </c>
      <c r="Q11" s="272">
        <v>0.0</v>
      </c>
      <c r="R11" s="272">
        <v>0.0</v>
      </c>
      <c r="S11" s="272">
        <v>0.0</v>
      </c>
      <c r="T11" s="272">
        <v>0.0</v>
      </c>
      <c r="U11" s="272">
        <v>0.0</v>
      </c>
      <c r="V11" s="272">
        <v>0.0</v>
      </c>
      <c r="X11" s="1">
        <v>1.0</v>
      </c>
    </row>
    <row r="12">
      <c r="A12" s="360">
        <v>3.0</v>
      </c>
      <c r="B12" s="361">
        <v>50.0</v>
      </c>
      <c r="C12" s="272">
        <v>0.0</v>
      </c>
      <c r="D12" s="272">
        <v>0.0</v>
      </c>
      <c r="E12" s="272">
        <v>0.0</v>
      </c>
      <c r="F12" s="272">
        <v>0.0</v>
      </c>
      <c r="G12" s="272">
        <v>0.0</v>
      </c>
      <c r="H12" s="272">
        <v>0.0</v>
      </c>
      <c r="I12" s="272">
        <v>1.0</v>
      </c>
      <c r="J12" s="272">
        <v>0.0</v>
      </c>
      <c r="K12" s="272">
        <v>0.0</v>
      </c>
      <c r="L12" s="272">
        <v>0.0</v>
      </c>
      <c r="M12" s="272">
        <v>0.0</v>
      </c>
      <c r="N12" s="272">
        <v>0.0</v>
      </c>
      <c r="O12" s="272">
        <v>0.0</v>
      </c>
      <c r="P12" s="272">
        <v>0.0</v>
      </c>
      <c r="Q12" s="272">
        <v>0.0</v>
      </c>
      <c r="R12" s="272">
        <v>0.0</v>
      </c>
      <c r="S12" s="272">
        <v>0.0</v>
      </c>
      <c r="T12" s="272">
        <v>0.0</v>
      </c>
      <c r="U12" s="272">
        <v>0.0</v>
      </c>
      <c r="V12" s="272">
        <v>0.0</v>
      </c>
      <c r="AH12" s="338" t="s">
        <v>326</v>
      </c>
    </row>
    <row r="13">
      <c r="A13" s="360">
        <v>4.0</v>
      </c>
      <c r="B13" s="361">
        <v>0.0</v>
      </c>
      <c r="C13" s="272">
        <v>0.0</v>
      </c>
      <c r="D13" s="272">
        <v>0.0</v>
      </c>
      <c r="E13" s="272">
        <v>0.0</v>
      </c>
      <c r="F13" s="272">
        <v>0.0</v>
      </c>
      <c r="G13" s="272">
        <v>0.0</v>
      </c>
      <c r="H13" s="272">
        <v>0.0</v>
      </c>
      <c r="I13" s="272">
        <v>1.0</v>
      </c>
      <c r="J13" s="272">
        <v>0.0</v>
      </c>
      <c r="K13" s="272">
        <v>0.0</v>
      </c>
      <c r="L13" s="272">
        <v>0.0</v>
      </c>
      <c r="M13" s="272">
        <v>0.0</v>
      </c>
      <c r="N13" s="272">
        <v>0.0</v>
      </c>
      <c r="O13" s="272">
        <v>0.0</v>
      </c>
      <c r="P13" s="272">
        <v>0.0</v>
      </c>
      <c r="Q13" s="272">
        <v>0.0</v>
      </c>
      <c r="R13" s="272">
        <v>0.0</v>
      </c>
      <c r="S13" s="272">
        <v>0.0</v>
      </c>
      <c r="T13" s="272">
        <v>0.0</v>
      </c>
      <c r="U13" s="272">
        <v>0.0</v>
      </c>
      <c r="V13" s="272">
        <v>0.0</v>
      </c>
      <c r="AH13" s="340" t="s">
        <v>357</v>
      </c>
    </row>
    <row r="14">
      <c r="A14" s="360">
        <v>5.0</v>
      </c>
      <c r="B14" s="361">
        <v>0.0</v>
      </c>
      <c r="C14" s="272">
        <v>0.0</v>
      </c>
      <c r="D14" s="272">
        <v>0.0</v>
      </c>
      <c r="E14" s="272">
        <v>0.0</v>
      </c>
      <c r="F14" s="272">
        <v>0.0</v>
      </c>
      <c r="G14" s="272">
        <v>0.0</v>
      </c>
      <c r="H14" s="272">
        <v>0.0</v>
      </c>
      <c r="I14" s="272">
        <v>1.0</v>
      </c>
      <c r="J14" s="272">
        <v>0.0</v>
      </c>
      <c r="K14" s="272">
        <v>0.0</v>
      </c>
      <c r="L14" s="272">
        <v>0.0</v>
      </c>
      <c r="M14" s="272">
        <v>0.0</v>
      </c>
      <c r="N14" s="272">
        <v>0.0</v>
      </c>
      <c r="O14" s="272">
        <v>0.0</v>
      </c>
      <c r="P14" s="272">
        <v>0.0</v>
      </c>
      <c r="Q14" s="272">
        <v>0.0</v>
      </c>
      <c r="R14" s="272">
        <v>0.0</v>
      </c>
      <c r="S14" s="272">
        <v>0.0</v>
      </c>
      <c r="T14" s="272">
        <v>0.0</v>
      </c>
      <c r="U14" s="272">
        <v>0.0</v>
      </c>
      <c r="V14" s="272">
        <v>0.0</v>
      </c>
      <c r="AH14" s="340" t="s">
        <v>358</v>
      </c>
    </row>
    <row r="15">
      <c r="A15" s="360">
        <v>6.0</v>
      </c>
      <c r="B15" s="361">
        <v>0.0</v>
      </c>
      <c r="C15" s="272">
        <v>0.0</v>
      </c>
      <c r="D15" s="272">
        <v>0.0</v>
      </c>
      <c r="E15" s="272">
        <v>0.0</v>
      </c>
      <c r="F15" s="272">
        <v>0.0</v>
      </c>
      <c r="G15" s="272">
        <v>0.0</v>
      </c>
      <c r="H15" s="272">
        <v>1.0</v>
      </c>
      <c r="I15" s="272">
        <v>0.0</v>
      </c>
      <c r="J15" s="272">
        <v>0.0</v>
      </c>
      <c r="K15" s="272">
        <v>0.0</v>
      </c>
      <c r="L15" s="272">
        <v>0.0</v>
      </c>
      <c r="M15" s="272">
        <v>0.0</v>
      </c>
      <c r="N15" s="272">
        <v>0.0</v>
      </c>
      <c r="O15" s="272">
        <v>0.0</v>
      </c>
      <c r="P15" s="272">
        <v>0.0</v>
      </c>
      <c r="Q15" s="272">
        <v>0.0</v>
      </c>
      <c r="R15" s="272">
        <v>0.0</v>
      </c>
      <c r="S15" s="272">
        <v>0.0</v>
      </c>
      <c r="T15" s="272">
        <v>0.0</v>
      </c>
      <c r="U15" s="272">
        <v>0.0</v>
      </c>
      <c r="V15" s="272">
        <v>0.0</v>
      </c>
      <c r="AH15" s="340" t="s">
        <v>359</v>
      </c>
    </row>
    <row r="16">
      <c r="A16" s="360">
        <v>7.0</v>
      </c>
      <c r="B16" s="361">
        <v>0.0</v>
      </c>
      <c r="C16" s="272">
        <v>0.0</v>
      </c>
      <c r="D16" s="272">
        <v>0.0</v>
      </c>
      <c r="E16" s="272">
        <v>0.0</v>
      </c>
      <c r="F16" s="272">
        <v>0.0</v>
      </c>
      <c r="G16" s="272">
        <v>0.0</v>
      </c>
      <c r="H16" s="272">
        <v>1.0</v>
      </c>
      <c r="I16" s="272">
        <v>0.0</v>
      </c>
      <c r="J16" s="272">
        <v>0.0</v>
      </c>
      <c r="K16" s="272">
        <v>0.0</v>
      </c>
      <c r="L16" s="272">
        <v>0.0</v>
      </c>
      <c r="M16" s="272">
        <v>0.0</v>
      </c>
      <c r="N16" s="272">
        <v>0.0</v>
      </c>
      <c r="O16" s="272">
        <v>0.0</v>
      </c>
      <c r="P16" s="272">
        <v>0.0</v>
      </c>
      <c r="Q16" s="272">
        <v>0.0</v>
      </c>
      <c r="R16" s="272">
        <v>0.0</v>
      </c>
      <c r="S16" s="272">
        <v>0.0</v>
      </c>
      <c r="T16" s="272">
        <v>0.0</v>
      </c>
      <c r="U16" s="272">
        <v>0.0</v>
      </c>
      <c r="V16" s="272">
        <v>0.0</v>
      </c>
    </row>
    <row r="17">
      <c r="A17" s="360">
        <v>8.0</v>
      </c>
      <c r="B17" s="361">
        <v>0.0</v>
      </c>
      <c r="C17" s="272">
        <v>0.0</v>
      </c>
      <c r="D17" s="272">
        <v>0.0</v>
      </c>
      <c r="E17" s="272">
        <v>0.0</v>
      </c>
      <c r="F17" s="272">
        <v>0.0</v>
      </c>
      <c r="G17" s="272">
        <v>0.0</v>
      </c>
      <c r="H17" s="272">
        <v>1.0</v>
      </c>
      <c r="I17" s="272">
        <v>0.0</v>
      </c>
      <c r="J17" s="272">
        <v>0.0</v>
      </c>
      <c r="K17" s="272">
        <v>0.0</v>
      </c>
      <c r="L17" s="272">
        <v>0.0</v>
      </c>
      <c r="M17" s="272">
        <v>0.0</v>
      </c>
      <c r="N17" s="272">
        <v>0.0</v>
      </c>
      <c r="O17" s="272">
        <v>0.0</v>
      </c>
      <c r="P17" s="272">
        <v>0.0</v>
      </c>
      <c r="Q17" s="272">
        <v>0.0</v>
      </c>
      <c r="R17" s="272">
        <v>0.0</v>
      </c>
      <c r="S17" s="272">
        <v>0.0</v>
      </c>
      <c r="T17" s="272">
        <v>0.0</v>
      </c>
      <c r="U17" s="272">
        <v>0.0</v>
      </c>
      <c r="V17" s="272">
        <v>0.0</v>
      </c>
    </row>
    <row r="18">
      <c r="A18" s="360">
        <v>9.0</v>
      </c>
      <c r="B18" s="361">
        <v>0.0</v>
      </c>
      <c r="C18" s="272">
        <v>0.0</v>
      </c>
      <c r="D18" s="272">
        <v>0.0</v>
      </c>
      <c r="E18" s="272">
        <v>0.0</v>
      </c>
      <c r="F18" s="272">
        <v>0.0</v>
      </c>
      <c r="G18" s="272">
        <v>0.0</v>
      </c>
      <c r="H18" s="272">
        <v>1.0</v>
      </c>
      <c r="I18" s="272">
        <v>0.0</v>
      </c>
      <c r="J18" s="272">
        <v>0.0</v>
      </c>
      <c r="K18" s="272">
        <v>0.0</v>
      </c>
      <c r="L18" s="272">
        <v>0.0</v>
      </c>
      <c r="M18" s="272">
        <v>0.0</v>
      </c>
      <c r="N18" s="272">
        <v>0.0</v>
      </c>
      <c r="O18" s="272">
        <v>0.0</v>
      </c>
      <c r="P18" s="272">
        <v>0.0</v>
      </c>
      <c r="Q18" s="272">
        <v>0.0</v>
      </c>
      <c r="R18" s="272">
        <v>0.0</v>
      </c>
      <c r="S18" s="272">
        <v>0.0</v>
      </c>
      <c r="T18" s="272">
        <v>0.0</v>
      </c>
      <c r="U18" s="272">
        <v>0.0</v>
      </c>
      <c r="V18" s="272">
        <v>0.0</v>
      </c>
    </row>
    <row r="19">
      <c r="A19" s="360">
        <v>10.0</v>
      </c>
      <c r="B19" s="361">
        <v>0.0</v>
      </c>
      <c r="C19" s="272">
        <v>0.0</v>
      </c>
      <c r="D19" s="272">
        <v>0.0</v>
      </c>
      <c r="E19" s="272">
        <v>0.0</v>
      </c>
      <c r="F19" s="272">
        <v>0.0</v>
      </c>
      <c r="G19" s="272">
        <v>0.0</v>
      </c>
      <c r="H19" s="272">
        <v>1.0</v>
      </c>
      <c r="I19" s="272">
        <v>0.0</v>
      </c>
      <c r="J19" s="272">
        <v>0.0</v>
      </c>
      <c r="K19" s="272">
        <v>0.0</v>
      </c>
      <c r="L19" s="272">
        <v>0.0</v>
      </c>
      <c r="M19" s="272">
        <v>0.0</v>
      </c>
      <c r="N19" s="272">
        <v>0.0</v>
      </c>
      <c r="O19" s="272">
        <v>0.0</v>
      </c>
      <c r="P19" s="272">
        <v>0.0</v>
      </c>
      <c r="Q19" s="272">
        <v>0.0</v>
      </c>
      <c r="R19" s="272">
        <v>0.0</v>
      </c>
      <c r="S19" s="272">
        <v>0.0</v>
      </c>
      <c r="T19" s="272">
        <v>0.0</v>
      </c>
      <c r="U19" s="272">
        <v>0.0</v>
      </c>
      <c r="V19" s="272">
        <v>0.0</v>
      </c>
    </row>
    <row r="20">
      <c r="A20" s="172"/>
      <c r="B20" s="172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</row>
    <row r="21" ht="19.5" customHeight="1">
      <c r="A21" s="158" t="s">
        <v>318</v>
      </c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</row>
    <row r="22" ht="15.75" customHeight="1">
      <c r="A22" s="178" t="s">
        <v>315</v>
      </c>
      <c r="B22" s="225">
        <v>10.0</v>
      </c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</row>
    <row r="23" ht="15.75" customHeight="1">
      <c r="A23" s="178" t="s">
        <v>316</v>
      </c>
      <c r="B23" s="225">
        <v>10.0</v>
      </c>
      <c r="C23" s="172"/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</row>
    <row r="24" ht="15.75" customHeight="1">
      <c r="A24" s="178" t="s">
        <v>169</v>
      </c>
      <c r="B24" s="154">
        <v>2.0</v>
      </c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</row>
    <row r="25" ht="15.75" customHeight="1">
      <c r="A25" s="172"/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</row>
    <row r="26" ht="19.5" customHeight="1">
      <c r="A26" s="158" t="s">
        <v>319</v>
      </c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</row>
    <row r="27" ht="90.0" customHeight="1">
      <c r="A27" s="350" t="s">
        <v>233</v>
      </c>
      <c r="B27" s="351" t="s">
        <v>76</v>
      </c>
      <c r="C27" s="276" t="s">
        <v>46</v>
      </c>
      <c r="D27" s="276" t="s">
        <v>121</v>
      </c>
      <c r="E27" s="276" t="s">
        <v>47</v>
      </c>
      <c r="F27" s="276" t="s">
        <v>48</v>
      </c>
      <c r="G27" s="276" t="s">
        <v>50</v>
      </c>
      <c r="H27" s="276" t="s">
        <v>52</v>
      </c>
      <c r="I27" s="276" t="s">
        <v>53</v>
      </c>
      <c r="J27" s="276" t="s">
        <v>54</v>
      </c>
      <c r="K27" s="276" t="s">
        <v>55</v>
      </c>
      <c r="L27" s="276" t="s">
        <v>56</v>
      </c>
      <c r="M27" s="276" t="s">
        <v>57</v>
      </c>
      <c r="N27" s="276" t="s">
        <v>58</v>
      </c>
      <c r="O27" s="276" t="s">
        <v>135</v>
      </c>
      <c r="P27" s="276" t="s">
        <v>122</v>
      </c>
      <c r="Q27" s="276" t="s">
        <v>123</v>
      </c>
      <c r="R27" s="276" t="s">
        <v>124</v>
      </c>
      <c r="S27" s="276" t="s">
        <v>125</v>
      </c>
      <c r="T27" s="276" t="s">
        <v>126</v>
      </c>
      <c r="U27" s="276" t="s">
        <v>127</v>
      </c>
      <c r="V27" s="276" t="s">
        <v>128</v>
      </c>
    </row>
    <row r="28" ht="15.75" customHeight="1">
      <c r="A28" s="360">
        <v>1.0</v>
      </c>
      <c r="B28" s="361">
        <v>200.0</v>
      </c>
      <c r="C28" s="272">
        <v>0.0</v>
      </c>
      <c r="D28" s="272">
        <v>0.0</v>
      </c>
      <c r="E28" s="272">
        <v>0.0</v>
      </c>
      <c r="F28" s="272">
        <v>0.0</v>
      </c>
      <c r="G28" s="272">
        <v>0.0</v>
      </c>
      <c r="H28" s="272">
        <v>0.0</v>
      </c>
      <c r="I28" s="272">
        <v>0.0</v>
      </c>
      <c r="J28" s="272">
        <v>1.0</v>
      </c>
      <c r="K28" s="272">
        <v>0.0</v>
      </c>
      <c r="L28" s="272">
        <v>0.0</v>
      </c>
      <c r="M28" s="272">
        <v>0.0</v>
      </c>
      <c r="N28" s="272">
        <v>0.0</v>
      </c>
      <c r="O28" s="272">
        <v>0.0</v>
      </c>
      <c r="P28" s="272">
        <v>0.0</v>
      </c>
      <c r="Q28" s="272">
        <v>0.0</v>
      </c>
      <c r="R28" s="272">
        <v>0.0</v>
      </c>
      <c r="S28" s="272">
        <v>0.0</v>
      </c>
      <c r="T28" s="272">
        <v>0.0</v>
      </c>
      <c r="U28" s="272">
        <v>0.0</v>
      </c>
      <c r="V28" s="272">
        <v>0.0</v>
      </c>
    </row>
    <row r="29" ht="15.75" customHeight="1">
      <c r="A29" s="360">
        <v>2.0</v>
      </c>
      <c r="B29" s="361">
        <v>100.0</v>
      </c>
      <c r="C29" s="272">
        <v>0.0</v>
      </c>
      <c r="D29" s="272">
        <v>0.0</v>
      </c>
      <c r="E29" s="272">
        <v>0.0</v>
      </c>
      <c r="F29" s="272">
        <v>0.0</v>
      </c>
      <c r="G29" s="272">
        <v>0.0</v>
      </c>
      <c r="H29" s="272">
        <v>0.0</v>
      </c>
      <c r="I29" s="272">
        <v>1.0</v>
      </c>
      <c r="J29" s="272">
        <v>0.0</v>
      </c>
      <c r="K29" s="272">
        <v>0.0</v>
      </c>
      <c r="L29" s="272">
        <v>0.0</v>
      </c>
      <c r="M29" s="272">
        <v>0.0</v>
      </c>
      <c r="N29" s="272">
        <v>0.0</v>
      </c>
      <c r="O29" s="272">
        <v>0.0</v>
      </c>
      <c r="P29" s="272">
        <v>0.0</v>
      </c>
      <c r="Q29" s="272">
        <v>0.0</v>
      </c>
      <c r="R29" s="272">
        <v>0.0</v>
      </c>
      <c r="S29" s="272">
        <v>0.0</v>
      </c>
      <c r="T29" s="272">
        <v>0.0</v>
      </c>
      <c r="U29" s="272">
        <v>0.0</v>
      </c>
      <c r="V29" s="272">
        <v>0.0</v>
      </c>
    </row>
    <row r="30" ht="15.75" customHeight="1">
      <c r="A30" s="360">
        <v>3.0</v>
      </c>
      <c r="B30" s="361">
        <v>50.0</v>
      </c>
      <c r="C30" s="272">
        <v>0.0</v>
      </c>
      <c r="D30" s="272">
        <v>0.0</v>
      </c>
      <c r="E30" s="272">
        <v>0.0</v>
      </c>
      <c r="F30" s="272">
        <v>0.0</v>
      </c>
      <c r="G30" s="272">
        <v>0.0</v>
      </c>
      <c r="H30" s="272">
        <v>0.0</v>
      </c>
      <c r="I30" s="272">
        <v>1.0</v>
      </c>
      <c r="J30" s="272">
        <v>0.0</v>
      </c>
      <c r="K30" s="272">
        <v>0.0</v>
      </c>
      <c r="L30" s="272">
        <v>0.0</v>
      </c>
      <c r="M30" s="272">
        <v>0.0</v>
      </c>
      <c r="N30" s="272">
        <v>0.0</v>
      </c>
      <c r="O30" s="272">
        <v>0.0</v>
      </c>
      <c r="P30" s="272">
        <v>0.0</v>
      </c>
      <c r="Q30" s="272">
        <v>0.0</v>
      </c>
      <c r="R30" s="272">
        <v>0.0</v>
      </c>
      <c r="S30" s="272">
        <v>0.0</v>
      </c>
      <c r="T30" s="272">
        <v>0.0</v>
      </c>
      <c r="U30" s="272">
        <v>0.0</v>
      </c>
      <c r="V30" s="272">
        <v>0.0</v>
      </c>
    </row>
    <row r="31" ht="15.75" customHeight="1">
      <c r="A31" s="360">
        <v>4.0</v>
      </c>
      <c r="B31" s="361">
        <v>0.0</v>
      </c>
      <c r="C31" s="272">
        <v>0.0</v>
      </c>
      <c r="D31" s="272">
        <v>0.0</v>
      </c>
      <c r="E31" s="272">
        <v>0.0</v>
      </c>
      <c r="F31" s="272">
        <v>0.0</v>
      </c>
      <c r="G31" s="272">
        <v>0.0</v>
      </c>
      <c r="H31" s="272">
        <v>0.0</v>
      </c>
      <c r="I31" s="272">
        <v>1.0</v>
      </c>
      <c r="J31" s="272">
        <v>0.0</v>
      </c>
      <c r="K31" s="272">
        <v>0.0</v>
      </c>
      <c r="L31" s="272">
        <v>0.0</v>
      </c>
      <c r="M31" s="272">
        <v>0.0</v>
      </c>
      <c r="N31" s="272">
        <v>0.0</v>
      </c>
      <c r="O31" s="272">
        <v>0.0</v>
      </c>
      <c r="P31" s="272">
        <v>0.0</v>
      </c>
      <c r="Q31" s="272">
        <v>0.0</v>
      </c>
      <c r="R31" s="272">
        <v>0.0</v>
      </c>
      <c r="S31" s="272">
        <v>0.0</v>
      </c>
      <c r="T31" s="272">
        <v>0.0</v>
      </c>
      <c r="U31" s="272">
        <v>0.0</v>
      </c>
      <c r="V31" s="272">
        <v>0.0</v>
      </c>
    </row>
    <row r="32" ht="15.75" customHeight="1">
      <c r="A32" s="360">
        <v>5.0</v>
      </c>
      <c r="B32" s="361">
        <v>0.0</v>
      </c>
      <c r="C32" s="272">
        <v>0.0</v>
      </c>
      <c r="D32" s="272">
        <v>0.0</v>
      </c>
      <c r="E32" s="272">
        <v>0.0</v>
      </c>
      <c r="F32" s="272">
        <v>0.0</v>
      </c>
      <c r="G32" s="272">
        <v>0.0</v>
      </c>
      <c r="H32" s="272">
        <v>0.0</v>
      </c>
      <c r="I32" s="272">
        <v>1.0</v>
      </c>
      <c r="J32" s="272">
        <v>0.0</v>
      </c>
      <c r="K32" s="272">
        <v>0.0</v>
      </c>
      <c r="L32" s="272">
        <v>0.0</v>
      </c>
      <c r="M32" s="272">
        <v>0.0</v>
      </c>
      <c r="N32" s="272">
        <v>0.0</v>
      </c>
      <c r="O32" s="272">
        <v>0.0</v>
      </c>
      <c r="P32" s="272">
        <v>0.0</v>
      </c>
      <c r="Q32" s="272">
        <v>0.0</v>
      </c>
      <c r="R32" s="272">
        <v>0.0</v>
      </c>
      <c r="S32" s="272">
        <v>0.0</v>
      </c>
      <c r="T32" s="272">
        <v>0.0</v>
      </c>
      <c r="U32" s="272">
        <v>0.0</v>
      </c>
      <c r="V32" s="272">
        <v>0.0</v>
      </c>
    </row>
    <row r="33" ht="15.75" customHeight="1">
      <c r="A33" s="360">
        <v>6.0</v>
      </c>
      <c r="B33" s="361">
        <v>0.0</v>
      </c>
      <c r="C33" s="272">
        <v>0.0</v>
      </c>
      <c r="D33" s="272">
        <v>0.0</v>
      </c>
      <c r="E33" s="272">
        <v>0.0</v>
      </c>
      <c r="F33" s="272">
        <v>0.0</v>
      </c>
      <c r="G33" s="272">
        <v>0.0</v>
      </c>
      <c r="H33" s="272">
        <v>1.0</v>
      </c>
      <c r="I33" s="272">
        <v>0.0</v>
      </c>
      <c r="J33" s="272">
        <v>0.0</v>
      </c>
      <c r="K33" s="272">
        <v>0.0</v>
      </c>
      <c r="L33" s="272">
        <v>0.0</v>
      </c>
      <c r="M33" s="272">
        <v>0.0</v>
      </c>
      <c r="N33" s="272">
        <v>0.0</v>
      </c>
      <c r="O33" s="272">
        <v>0.0</v>
      </c>
      <c r="P33" s="272">
        <v>0.0</v>
      </c>
      <c r="Q33" s="272">
        <v>0.0</v>
      </c>
      <c r="R33" s="272">
        <v>0.0</v>
      </c>
      <c r="S33" s="272">
        <v>0.0</v>
      </c>
      <c r="T33" s="272">
        <v>0.0</v>
      </c>
      <c r="U33" s="272">
        <v>0.0</v>
      </c>
      <c r="V33" s="272">
        <v>0.0</v>
      </c>
    </row>
    <row r="34" ht="15.75" customHeight="1">
      <c r="A34" s="360">
        <v>7.0</v>
      </c>
      <c r="B34" s="361">
        <v>0.0</v>
      </c>
      <c r="C34" s="272">
        <v>0.0</v>
      </c>
      <c r="D34" s="272">
        <v>0.0</v>
      </c>
      <c r="E34" s="272">
        <v>0.0</v>
      </c>
      <c r="F34" s="272">
        <v>0.0</v>
      </c>
      <c r="G34" s="272">
        <v>0.0</v>
      </c>
      <c r="H34" s="272">
        <v>1.0</v>
      </c>
      <c r="I34" s="272">
        <v>0.0</v>
      </c>
      <c r="J34" s="272">
        <v>0.0</v>
      </c>
      <c r="K34" s="272">
        <v>0.0</v>
      </c>
      <c r="L34" s="272">
        <v>0.0</v>
      </c>
      <c r="M34" s="272">
        <v>0.0</v>
      </c>
      <c r="N34" s="272">
        <v>0.0</v>
      </c>
      <c r="O34" s="272">
        <v>0.0</v>
      </c>
      <c r="P34" s="272">
        <v>0.0</v>
      </c>
      <c r="Q34" s="272">
        <v>0.0</v>
      </c>
      <c r="R34" s="272">
        <v>0.0</v>
      </c>
      <c r="S34" s="272">
        <v>0.0</v>
      </c>
      <c r="T34" s="272">
        <v>0.0</v>
      </c>
      <c r="U34" s="272">
        <v>0.0</v>
      </c>
      <c r="V34" s="272">
        <v>0.0</v>
      </c>
    </row>
    <row r="35" ht="15.75" customHeight="1">
      <c r="A35" s="360">
        <v>8.0</v>
      </c>
      <c r="B35" s="361">
        <v>0.0</v>
      </c>
      <c r="C35" s="272">
        <v>0.0</v>
      </c>
      <c r="D35" s="272">
        <v>0.0</v>
      </c>
      <c r="E35" s="272">
        <v>0.0</v>
      </c>
      <c r="F35" s="272">
        <v>0.0</v>
      </c>
      <c r="G35" s="272">
        <v>0.0</v>
      </c>
      <c r="H35" s="272">
        <v>1.0</v>
      </c>
      <c r="I35" s="272">
        <v>0.0</v>
      </c>
      <c r="J35" s="272">
        <v>0.0</v>
      </c>
      <c r="K35" s="272">
        <v>0.0</v>
      </c>
      <c r="L35" s="272">
        <v>0.0</v>
      </c>
      <c r="M35" s="272">
        <v>0.0</v>
      </c>
      <c r="N35" s="272">
        <v>0.0</v>
      </c>
      <c r="O35" s="272">
        <v>0.0</v>
      </c>
      <c r="P35" s="272">
        <v>0.0</v>
      </c>
      <c r="Q35" s="272">
        <v>0.0</v>
      </c>
      <c r="R35" s="272">
        <v>0.0</v>
      </c>
      <c r="S35" s="272">
        <v>0.0</v>
      </c>
      <c r="T35" s="272">
        <v>0.0</v>
      </c>
      <c r="U35" s="272">
        <v>0.0</v>
      </c>
      <c r="V35" s="272">
        <v>0.0</v>
      </c>
    </row>
    <row r="36" ht="15.75" customHeight="1">
      <c r="A36" s="360">
        <v>9.0</v>
      </c>
      <c r="B36" s="361">
        <v>0.0</v>
      </c>
      <c r="C36" s="272">
        <v>0.0</v>
      </c>
      <c r="D36" s="272">
        <v>0.0</v>
      </c>
      <c r="E36" s="272">
        <v>0.0</v>
      </c>
      <c r="F36" s="272">
        <v>0.0</v>
      </c>
      <c r="G36" s="272">
        <v>0.0</v>
      </c>
      <c r="H36" s="272">
        <v>1.0</v>
      </c>
      <c r="I36" s="272">
        <v>0.0</v>
      </c>
      <c r="J36" s="272">
        <v>0.0</v>
      </c>
      <c r="K36" s="272">
        <v>0.0</v>
      </c>
      <c r="L36" s="272">
        <v>0.0</v>
      </c>
      <c r="M36" s="272">
        <v>0.0</v>
      </c>
      <c r="N36" s="272">
        <v>0.0</v>
      </c>
      <c r="O36" s="272">
        <v>0.0</v>
      </c>
      <c r="P36" s="272">
        <v>0.0</v>
      </c>
      <c r="Q36" s="272">
        <v>0.0</v>
      </c>
      <c r="R36" s="272">
        <v>0.0</v>
      </c>
      <c r="S36" s="272">
        <v>0.0</v>
      </c>
      <c r="T36" s="272">
        <v>0.0</v>
      </c>
      <c r="U36" s="272">
        <v>0.0</v>
      </c>
      <c r="V36" s="272">
        <v>0.0</v>
      </c>
    </row>
    <row r="37" ht="15.75" customHeight="1">
      <c r="A37" s="360">
        <v>10.0</v>
      </c>
      <c r="B37" s="361">
        <v>0.0</v>
      </c>
      <c r="C37" s="272">
        <v>0.0</v>
      </c>
      <c r="D37" s="272">
        <v>0.0</v>
      </c>
      <c r="E37" s="272">
        <v>0.0</v>
      </c>
      <c r="F37" s="272">
        <v>0.0</v>
      </c>
      <c r="G37" s="272">
        <v>0.0</v>
      </c>
      <c r="H37" s="272">
        <v>1.0</v>
      </c>
      <c r="I37" s="272">
        <v>0.0</v>
      </c>
      <c r="J37" s="272">
        <v>0.0</v>
      </c>
      <c r="K37" s="272">
        <v>0.0</v>
      </c>
      <c r="L37" s="272">
        <v>0.0</v>
      </c>
      <c r="M37" s="272">
        <v>0.0</v>
      </c>
      <c r="N37" s="272">
        <v>0.0</v>
      </c>
      <c r="O37" s="272">
        <v>0.0</v>
      </c>
      <c r="P37" s="272">
        <v>0.0</v>
      </c>
      <c r="Q37" s="272">
        <v>0.0</v>
      </c>
      <c r="R37" s="272">
        <v>0.0</v>
      </c>
      <c r="S37" s="272">
        <v>0.0</v>
      </c>
      <c r="T37" s="272">
        <v>0.0</v>
      </c>
      <c r="U37" s="272">
        <v>0.0</v>
      </c>
      <c r="V37" s="272">
        <v>0.0</v>
      </c>
    </row>
    <row r="38" ht="15.75" customHeight="1">
      <c r="A38" s="172"/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</row>
    <row r="39" ht="19.5" customHeight="1">
      <c r="A39" s="158" t="s">
        <v>320</v>
      </c>
      <c r="B39" s="174"/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174"/>
      <c r="U39" s="174"/>
      <c r="V39" s="174"/>
    </row>
    <row r="40" ht="15.75" customHeight="1">
      <c r="A40" s="178" t="s">
        <v>315</v>
      </c>
      <c r="B40" s="225">
        <v>10.0</v>
      </c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</row>
    <row r="41" ht="15.75" customHeight="1">
      <c r="A41" s="178" t="s">
        <v>316</v>
      </c>
      <c r="B41" s="225">
        <v>10.0</v>
      </c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</row>
    <row r="42" ht="15.75" customHeight="1">
      <c r="A42" s="178" t="s">
        <v>169</v>
      </c>
      <c r="B42" s="154">
        <v>2.0</v>
      </c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</row>
    <row r="43" ht="15.75" customHeight="1">
      <c r="A43" s="172"/>
      <c r="B43" s="172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</row>
    <row r="44" ht="19.5" customHeight="1">
      <c r="A44" s="158" t="s">
        <v>321</v>
      </c>
      <c r="B44" s="174"/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</row>
    <row r="45" ht="90.0" customHeight="1">
      <c r="A45" s="350" t="s">
        <v>233</v>
      </c>
      <c r="B45" s="351" t="s">
        <v>76</v>
      </c>
      <c r="C45" s="276" t="s">
        <v>46</v>
      </c>
      <c r="D45" s="276" t="s">
        <v>121</v>
      </c>
      <c r="E45" s="276" t="s">
        <v>47</v>
      </c>
      <c r="F45" s="276" t="s">
        <v>48</v>
      </c>
      <c r="G45" s="276" t="s">
        <v>50</v>
      </c>
      <c r="H45" s="276" t="s">
        <v>52</v>
      </c>
      <c r="I45" s="276" t="s">
        <v>53</v>
      </c>
      <c r="J45" s="276" t="s">
        <v>54</v>
      </c>
      <c r="K45" s="276" t="s">
        <v>55</v>
      </c>
      <c r="L45" s="276" t="s">
        <v>56</v>
      </c>
      <c r="M45" s="276" t="s">
        <v>57</v>
      </c>
      <c r="N45" s="276" t="s">
        <v>58</v>
      </c>
      <c r="O45" s="276" t="s">
        <v>135</v>
      </c>
      <c r="P45" s="276" t="s">
        <v>122</v>
      </c>
      <c r="Q45" s="276" t="s">
        <v>123</v>
      </c>
      <c r="R45" s="276" t="s">
        <v>124</v>
      </c>
      <c r="S45" s="276" t="s">
        <v>125</v>
      </c>
      <c r="T45" s="276" t="s">
        <v>126</v>
      </c>
      <c r="U45" s="276" t="s">
        <v>127</v>
      </c>
      <c r="V45" s="276" t="s">
        <v>128</v>
      </c>
    </row>
    <row r="46" ht="15.75" customHeight="1">
      <c r="A46" s="360">
        <v>1.0</v>
      </c>
      <c r="B46" s="361">
        <v>200.0</v>
      </c>
      <c r="C46" s="272">
        <v>0.0</v>
      </c>
      <c r="D46" s="272">
        <v>0.0</v>
      </c>
      <c r="E46" s="272">
        <v>0.0</v>
      </c>
      <c r="F46" s="272">
        <v>0.0</v>
      </c>
      <c r="G46" s="272">
        <v>0.0</v>
      </c>
      <c r="H46" s="272">
        <v>0.0</v>
      </c>
      <c r="I46" s="272">
        <v>0.0</v>
      </c>
      <c r="J46" s="272">
        <v>1.0</v>
      </c>
      <c r="K46" s="272">
        <v>0.0</v>
      </c>
      <c r="L46" s="272">
        <v>0.0</v>
      </c>
      <c r="M46" s="272">
        <v>0.0</v>
      </c>
      <c r="N46" s="272">
        <v>0.0</v>
      </c>
      <c r="O46" s="272">
        <v>0.0</v>
      </c>
      <c r="P46" s="272">
        <v>0.0</v>
      </c>
      <c r="Q46" s="272">
        <v>0.0</v>
      </c>
      <c r="R46" s="272">
        <v>0.0</v>
      </c>
      <c r="S46" s="272">
        <v>0.0</v>
      </c>
      <c r="T46" s="272">
        <v>0.0</v>
      </c>
      <c r="U46" s="272">
        <v>0.0</v>
      </c>
      <c r="V46" s="272">
        <v>0.0</v>
      </c>
    </row>
    <row r="47" ht="15.75" customHeight="1">
      <c r="A47" s="360">
        <v>2.0</v>
      </c>
      <c r="B47" s="361">
        <v>100.0</v>
      </c>
      <c r="C47" s="272">
        <v>0.0</v>
      </c>
      <c r="D47" s="272">
        <v>0.0</v>
      </c>
      <c r="E47" s="272">
        <v>0.0</v>
      </c>
      <c r="F47" s="272">
        <v>0.0</v>
      </c>
      <c r="G47" s="272">
        <v>0.0</v>
      </c>
      <c r="H47" s="272">
        <v>0.0</v>
      </c>
      <c r="I47" s="272">
        <v>1.0</v>
      </c>
      <c r="J47" s="272">
        <v>0.0</v>
      </c>
      <c r="K47" s="272">
        <v>0.0</v>
      </c>
      <c r="L47" s="272">
        <v>0.0</v>
      </c>
      <c r="M47" s="272">
        <v>0.0</v>
      </c>
      <c r="N47" s="272">
        <v>0.0</v>
      </c>
      <c r="O47" s="272">
        <v>0.0</v>
      </c>
      <c r="P47" s="272">
        <v>0.0</v>
      </c>
      <c r="Q47" s="272">
        <v>0.0</v>
      </c>
      <c r="R47" s="272">
        <v>0.0</v>
      </c>
      <c r="S47" s="272">
        <v>0.0</v>
      </c>
      <c r="T47" s="272">
        <v>0.0</v>
      </c>
      <c r="U47" s="272">
        <v>0.0</v>
      </c>
      <c r="V47" s="272">
        <v>0.0</v>
      </c>
    </row>
    <row r="48" ht="15.75" customHeight="1">
      <c r="A48" s="360">
        <v>3.0</v>
      </c>
      <c r="B48" s="361">
        <v>50.0</v>
      </c>
      <c r="C48" s="272">
        <v>0.0</v>
      </c>
      <c r="D48" s="272">
        <v>0.0</v>
      </c>
      <c r="E48" s="272">
        <v>0.0</v>
      </c>
      <c r="F48" s="272">
        <v>0.0</v>
      </c>
      <c r="G48" s="272">
        <v>0.0</v>
      </c>
      <c r="H48" s="272">
        <v>0.0</v>
      </c>
      <c r="I48" s="272">
        <v>1.0</v>
      </c>
      <c r="J48" s="272">
        <v>0.0</v>
      </c>
      <c r="K48" s="272">
        <v>0.0</v>
      </c>
      <c r="L48" s="272">
        <v>0.0</v>
      </c>
      <c r="M48" s="272">
        <v>0.0</v>
      </c>
      <c r="N48" s="272">
        <v>0.0</v>
      </c>
      <c r="O48" s="272">
        <v>0.0</v>
      </c>
      <c r="P48" s="272">
        <v>0.0</v>
      </c>
      <c r="Q48" s="272">
        <v>0.0</v>
      </c>
      <c r="R48" s="272">
        <v>0.0</v>
      </c>
      <c r="S48" s="272">
        <v>0.0</v>
      </c>
      <c r="T48" s="272">
        <v>0.0</v>
      </c>
      <c r="U48" s="272">
        <v>0.0</v>
      </c>
      <c r="V48" s="272">
        <v>0.0</v>
      </c>
    </row>
    <row r="49" ht="15.75" customHeight="1">
      <c r="A49" s="360">
        <v>4.0</v>
      </c>
      <c r="B49" s="361">
        <v>0.0</v>
      </c>
      <c r="C49" s="272">
        <v>0.0</v>
      </c>
      <c r="D49" s="272">
        <v>0.0</v>
      </c>
      <c r="E49" s="272">
        <v>0.0</v>
      </c>
      <c r="F49" s="272">
        <v>0.0</v>
      </c>
      <c r="G49" s="272">
        <v>0.0</v>
      </c>
      <c r="H49" s="272">
        <v>0.0</v>
      </c>
      <c r="I49" s="272">
        <v>1.0</v>
      </c>
      <c r="J49" s="272">
        <v>0.0</v>
      </c>
      <c r="K49" s="272">
        <v>0.0</v>
      </c>
      <c r="L49" s="272">
        <v>0.0</v>
      </c>
      <c r="M49" s="272">
        <v>0.0</v>
      </c>
      <c r="N49" s="272">
        <v>0.0</v>
      </c>
      <c r="O49" s="272">
        <v>0.0</v>
      </c>
      <c r="P49" s="272">
        <v>0.0</v>
      </c>
      <c r="Q49" s="272">
        <v>0.0</v>
      </c>
      <c r="R49" s="272">
        <v>0.0</v>
      </c>
      <c r="S49" s="272">
        <v>0.0</v>
      </c>
      <c r="T49" s="272">
        <v>0.0</v>
      </c>
      <c r="U49" s="272">
        <v>0.0</v>
      </c>
      <c r="V49" s="272">
        <v>0.0</v>
      </c>
    </row>
    <row r="50" ht="15.75" customHeight="1">
      <c r="A50" s="360">
        <v>5.0</v>
      </c>
      <c r="B50" s="361">
        <v>0.0</v>
      </c>
      <c r="C50" s="272">
        <v>0.0</v>
      </c>
      <c r="D50" s="272">
        <v>0.0</v>
      </c>
      <c r="E50" s="272">
        <v>0.0</v>
      </c>
      <c r="F50" s="272">
        <v>0.0</v>
      </c>
      <c r="G50" s="272">
        <v>0.0</v>
      </c>
      <c r="H50" s="272">
        <v>0.0</v>
      </c>
      <c r="I50" s="272">
        <v>1.0</v>
      </c>
      <c r="J50" s="272">
        <v>0.0</v>
      </c>
      <c r="K50" s="272">
        <v>0.0</v>
      </c>
      <c r="L50" s="272">
        <v>0.0</v>
      </c>
      <c r="M50" s="272">
        <v>0.0</v>
      </c>
      <c r="N50" s="272">
        <v>0.0</v>
      </c>
      <c r="O50" s="272">
        <v>0.0</v>
      </c>
      <c r="P50" s="272">
        <v>0.0</v>
      </c>
      <c r="Q50" s="272">
        <v>0.0</v>
      </c>
      <c r="R50" s="272">
        <v>0.0</v>
      </c>
      <c r="S50" s="272">
        <v>0.0</v>
      </c>
      <c r="T50" s="272">
        <v>0.0</v>
      </c>
      <c r="U50" s="272">
        <v>0.0</v>
      </c>
      <c r="V50" s="272">
        <v>0.0</v>
      </c>
    </row>
    <row r="51" ht="15.75" customHeight="1">
      <c r="A51" s="360">
        <v>6.0</v>
      </c>
      <c r="B51" s="361">
        <v>0.0</v>
      </c>
      <c r="C51" s="272">
        <v>0.0</v>
      </c>
      <c r="D51" s="272">
        <v>0.0</v>
      </c>
      <c r="E51" s="272">
        <v>0.0</v>
      </c>
      <c r="F51" s="272">
        <v>0.0</v>
      </c>
      <c r="G51" s="272">
        <v>0.0</v>
      </c>
      <c r="H51" s="272">
        <v>1.0</v>
      </c>
      <c r="I51" s="272">
        <v>0.0</v>
      </c>
      <c r="J51" s="272">
        <v>0.0</v>
      </c>
      <c r="K51" s="272">
        <v>0.0</v>
      </c>
      <c r="L51" s="272">
        <v>0.0</v>
      </c>
      <c r="M51" s="272">
        <v>0.0</v>
      </c>
      <c r="N51" s="272">
        <v>0.0</v>
      </c>
      <c r="O51" s="272">
        <v>0.0</v>
      </c>
      <c r="P51" s="272">
        <v>0.0</v>
      </c>
      <c r="Q51" s="272">
        <v>0.0</v>
      </c>
      <c r="R51" s="272">
        <v>0.0</v>
      </c>
      <c r="S51" s="272">
        <v>0.0</v>
      </c>
      <c r="T51" s="272">
        <v>0.0</v>
      </c>
      <c r="U51" s="272">
        <v>0.0</v>
      </c>
      <c r="V51" s="272">
        <v>0.0</v>
      </c>
    </row>
    <row r="52" ht="15.75" customHeight="1">
      <c r="A52" s="360">
        <v>7.0</v>
      </c>
      <c r="B52" s="361">
        <v>0.0</v>
      </c>
      <c r="C52" s="272">
        <v>0.0</v>
      </c>
      <c r="D52" s="272">
        <v>0.0</v>
      </c>
      <c r="E52" s="272">
        <v>0.0</v>
      </c>
      <c r="F52" s="272">
        <v>0.0</v>
      </c>
      <c r="G52" s="272">
        <v>0.0</v>
      </c>
      <c r="H52" s="272">
        <v>1.0</v>
      </c>
      <c r="I52" s="272">
        <v>0.0</v>
      </c>
      <c r="J52" s="272">
        <v>0.0</v>
      </c>
      <c r="K52" s="272">
        <v>0.0</v>
      </c>
      <c r="L52" s="272">
        <v>0.0</v>
      </c>
      <c r="M52" s="272">
        <v>0.0</v>
      </c>
      <c r="N52" s="272">
        <v>0.0</v>
      </c>
      <c r="O52" s="272">
        <v>0.0</v>
      </c>
      <c r="P52" s="272">
        <v>0.0</v>
      </c>
      <c r="Q52" s="272">
        <v>0.0</v>
      </c>
      <c r="R52" s="272">
        <v>0.0</v>
      </c>
      <c r="S52" s="272">
        <v>0.0</v>
      </c>
      <c r="T52" s="272">
        <v>0.0</v>
      </c>
      <c r="U52" s="272">
        <v>0.0</v>
      </c>
      <c r="V52" s="272">
        <v>0.0</v>
      </c>
    </row>
    <row r="53" ht="15.75" customHeight="1">
      <c r="A53" s="360">
        <v>8.0</v>
      </c>
      <c r="B53" s="361">
        <v>0.0</v>
      </c>
      <c r="C53" s="272">
        <v>0.0</v>
      </c>
      <c r="D53" s="272">
        <v>0.0</v>
      </c>
      <c r="E53" s="272">
        <v>0.0</v>
      </c>
      <c r="F53" s="272">
        <v>0.0</v>
      </c>
      <c r="G53" s="272">
        <v>0.0</v>
      </c>
      <c r="H53" s="272">
        <v>1.0</v>
      </c>
      <c r="I53" s="272">
        <v>0.0</v>
      </c>
      <c r="J53" s="272">
        <v>0.0</v>
      </c>
      <c r="K53" s="272">
        <v>0.0</v>
      </c>
      <c r="L53" s="272">
        <v>0.0</v>
      </c>
      <c r="M53" s="272">
        <v>0.0</v>
      </c>
      <c r="N53" s="272">
        <v>0.0</v>
      </c>
      <c r="O53" s="272">
        <v>0.0</v>
      </c>
      <c r="P53" s="272">
        <v>0.0</v>
      </c>
      <c r="Q53" s="272">
        <v>0.0</v>
      </c>
      <c r="R53" s="272">
        <v>0.0</v>
      </c>
      <c r="S53" s="272">
        <v>0.0</v>
      </c>
      <c r="T53" s="272">
        <v>0.0</v>
      </c>
      <c r="U53" s="272">
        <v>0.0</v>
      </c>
      <c r="V53" s="272">
        <v>0.0</v>
      </c>
    </row>
    <row r="54" ht="15.75" customHeight="1">
      <c r="A54" s="360">
        <v>9.0</v>
      </c>
      <c r="B54" s="361">
        <v>0.0</v>
      </c>
      <c r="C54" s="272">
        <v>0.0</v>
      </c>
      <c r="D54" s="272">
        <v>0.0</v>
      </c>
      <c r="E54" s="272">
        <v>0.0</v>
      </c>
      <c r="F54" s="272">
        <v>0.0</v>
      </c>
      <c r="G54" s="272">
        <v>0.0</v>
      </c>
      <c r="H54" s="272">
        <v>1.0</v>
      </c>
      <c r="I54" s="272">
        <v>0.0</v>
      </c>
      <c r="J54" s="272">
        <v>0.0</v>
      </c>
      <c r="K54" s="272">
        <v>0.0</v>
      </c>
      <c r="L54" s="272">
        <v>0.0</v>
      </c>
      <c r="M54" s="272">
        <v>0.0</v>
      </c>
      <c r="N54" s="272">
        <v>0.0</v>
      </c>
      <c r="O54" s="272">
        <v>0.0</v>
      </c>
      <c r="P54" s="272">
        <v>0.0</v>
      </c>
      <c r="Q54" s="272">
        <v>0.0</v>
      </c>
      <c r="R54" s="272">
        <v>0.0</v>
      </c>
      <c r="S54" s="272">
        <v>0.0</v>
      </c>
      <c r="T54" s="272">
        <v>0.0</v>
      </c>
      <c r="U54" s="272">
        <v>0.0</v>
      </c>
      <c r="V54" s="272">
        <v>0.0</v>
      </c>
    </row>
    <row r="55" ht="15.75" customHeight="1">
      <c r="A55" s="360">
        <v>10.0</v>
      </c>
      <c r="B55" s="361">
        <v>0.0</v>
      </c>
      <c r="C55" s="272">
        <v>0.0</v>
      </c>
      <c r="D55" s="272">
        <v>0.0</v>
      </c>
      <c r="E55" s="272">
        <v>0.0</v>
      </c>
      <c r="F55" s="272">
        <v>0.0</v>
      </c>
      <c r="G55" s="272">
        <v>0.0</v>
      </c>
      <c r="H55" s="272">
        <v>1.0</v>
      </c>
      <c r="I55" s="272">
        <v>0.0</v>
      </c>
      <c r="J55" s="272">
        <v>0.0</v>
      </c>
      <c r="K55" s="272">
        <v>0.0</v>
      </c>
      <c r="L55" s="272">
        <v>0.0</v>
      </c>
      <c r="M55" s="272">
        <v>0.0</v>
      </c>
      <c r="N55" s="272">
        <v>0.0</v>
      </c>
      <c r="O55" s="272">
        <v>0.0</v>
      </c>
      <c r="P55" s="272">
        <v>0.0</v>
      </c>
      <c r="Q55" s="272">
        <v>0.0</v>
      </c>
      <c r="R55" s="272">
        <v>0.0</v>
      </c>
      <c r="S55" s="272">
        <v>0.0</v>
      </c>
      <c r="T55" s="272">
        <v>0.0</v>
      </c>
      <c r="U55" s="272">
        <v>0.0</v>
      </c>
      <c r="V55" s="272">
        <v>0.0</v>
      </c>
    </row>
    <row r="56" ht="15.75" customHeight="1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</row>
    <row r="57" ht="19.5" customHeight="1">
      <c r="A57" s="158" t="s">
        <v>322</v>
      </c>
      <c r="B57" s="174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</row>
    <row r="58" ht="15.75" customHeight="1">
      <c r="A58" s="178" t="s">
        <v>315</v>
      </c>
      <c r="B58" s="225">
        <v>10.0</v>
      </c>
      <c r="C58" s="172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</row>
    <row r="59" ht="15.75" customHeight="1">
      <c r="A59" s="178" t="s">
        <v>316</v>
      </c>
      <c r="B59" s="225">
        <v>20.0</v>
      </c>
      <c r="C59" s="172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</row>
    <row r="60" ht="15.75" customHeight="1">
      <c r="A60" s="178" t="s">
        <v>169</v>
      </c>
      <c r="B60" s="154">
        <v>2.0</v>
      </c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</row>
    <row r="61" ht="15.75" customHeight="1">
      <c r="A61" s="172"/>
      <c r="B61" s="172"/>
      <c r="C61" s="172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</row>
    <row r="62" ht="19.5" customHeight="1">
      <c r="A62" s="158" t="s">
        <v>323</v>
      </c>
      <c r="B62" s="174"/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</row>
    <row r="63" ht="90.0" customHeight="1">
      <c r="A63" s="350" t="s">
        <v>233</v>
      </c>
      <c r="B63" s="351" t="s">
        <v>76</v>
      </c>
      <c r="C63" s="276" t="s">
        <v>46</v>
      </c>
      <c r="D63" s="276" t="s">
        <v>121</v>
      </c>
      <c r="E63" s="276" t="s">
        <v>47</v>
      </c>
      <c r="F63" s="276" t="s">
        <v>48</v>
      </c>
      <c r="G63" s="276" t="s">
        <v>50</v>
      </c>
      <c r="H63" s="276" t="s">
        <v>52</v>
      </c>
      <c r="I63" s="276" t="s">
        <v>53</v>
      </c>
      <c r="J63" s="276" t="s">
        <v>54</v>
      </c>
      <c r="K63" s="276" t="s">
        <v>55</v>
      </c>
      <c r="L63" s="276" t="s">
        <v>56</v>
      </c>
      <c r="M63" s="276" t="s">
        <v>57</v>
      </c>
      <c r="N63" s="276" t="s">
        <v>58</v>
      </c>
      <c r="O63" s="276" t="s">
        <v>135</v>
      </c>
      <c r="P63" s="276" t="s">
        <v>122</v>
      </c>
      <c r="Q63" s="276" t="s">
        <v>123</v>
      </c>
      <c r="R63" s="276" t="s">
        <v>124</v>
      </c>
      <c r="S63" s="276" t="s">
        <v>125</v>
      </c>
      <c r="T63" s="276" t="s">
        <v>126</v>
      </c>
      <c r="U63" s="276" t="s">
        <v>127</v>
      </c>
      <c r="V63" s="276" t="s">
        <v>128</v>
      </c>
    </row>
    <row r="64" ht="15.75" customHeight="1">
      <c r="A64" s="360">
        <v>1.0</v>
      </c>
      <c r="B64" s="361">
        <v>200.0</v>
      </c>
      <c r="C64" s="272">
        <v>0.0</v>
      </c>
      <c r="D64" s="272">
        <v>0.0</v>
      </c>
      <c r="E64" s="272">
        <v>0.0</v>
      </c>
      <c r="F64" s="272">
        <v>0.0</v>
      </c>
      <c r="G64" s="272">
        <v>0.0</v>
      </c>
      <c r="H64" s="272">
        <v>0.0</v>
      </c>
      <c r="I64" s="272">
        <v>0.0</v>
      </c>
      <c r="J64" s="272">
        <v>1.0</v>
      </c>
      <c r="K64" s="272">
        <v>0.0</v>
      </c>
      <c r="L64" s="272">
        <v>0.0</v>
      </c>
      <c r="M64" s="272">
        <v>0.0</v>
      </c>
      <c r="N64" s="272">
        <v>0.0</v>
      </c>
      <c r="O64" s="272">
        <v>0.0</v>
      </c>
      <c r="P64" s="272">
        <v>0.0</v>
      </c>
      <c r="Q64" s="272">
        <v>0.0</v>
      </c>
      <c r="R64" s="272">
        <v>0.0</v>
      </c>
      <c r="S64" s="272">
        <v>0.0</v>
      </c>
      <c r="T64" s="272">
        <v>0.0</v>
      </c>
      <c r="U64" s="272">
        <v>0.0</v>
      </c>
      <c r="V64" s="272">
        <v>0.0</v>
      </c>
    </row>
    <row r="65" ht="15.75" customHeight="1">
      <c r="A65" s="360">
        <v>2.0</v>
      </c>
      <c r="B65" s="361">
        <v>100.0</v>
      </c>
      <c r="C65" s="272">
        <v>0.0</v>
      </c>
      <c r="D65" s="272">
        <v>0.0</v>
      </c>
      <c r="E65" s="272">
        <v>0.0</v>
      </c>
      <c r="F65" s="272">
        <v>0.0</v>
      </c>
      <c r="G65" s="272">
        <v>0.0</v>
      </c>
      <c r="H65" s="272">
        <v>0.0</v>
      </c>
      <c r="I65" s="272">
        <v>1.0</v>
      </c>
      <c r="J65" s="272">
        <v>0.0</v>
      </c>
      <c r="K65" s="272">
        <v>0.0</v>
      </c>
      <c r="L65" s="272">
        <v>0.0</v>
      </c>
      <c r="M65" s="272">
        <v>0.0</v>
      </c>
      <c r="N65" s="272">
        <v>0.0</v>
      </c>
      <c r="O65" s="272">
        <v>0.0</v>
      </c>
      <c r="P65" s="272">
        <v>0.0</v>
      </c>
      <c r="Q65" s="272">
        <v>0.0</v>
      </c>
      <c r="R65" s="272">
        <v>0.0</v>
      </c>
      <c r="S65" s="272">
        <v>0.0</v>
      </c>
      <c r="T65" s="272">
        <v>0.0</v>
      </c>
      <c r="U65" s="272">
        <v>0.0</v>
      </c>
      <c r="V65" s="272">
        <v>0.0</v>
      </c>
    </row>
    <row r="66" ht="15.75" customHeight="1">
      <c r="A66" s="360">
        <v>3.0</v>
      </c>
      <c r="B66" s="361">
        <v>50.0</v>
      </c>
      <c r="C66" s="272">
        <v>0.0</v>
      </c>
      <c r="D66" s="272">
        <v>0.0</v>
      </c>
      <c r="E66" s="272">
        <v>0.0</v>
      </c>
      <c r="F66" s="272">
        <v>0.0</v>
      </c>
      <c r="G66" s="272">
        <v>0.0</v>
      </c>
      <c r="H66" s="272">
        <v>0.0</v>
      </c>
      <c r="I66" s="272">
        <v>1.0</v>
      </c>
      <c r="J66" s="272">
        <v>0.0</v>
      </c>
      <c r="K66" s="272">
        <v>0.0</v>
      </c>
      <c r="L66" s="272">
        <v>0.0</v>
      </c>
      <c r="M66" s="272">
        <v>0.0</v>
      </c>
      <c r="N66" s="272">
        <v>0.0</v>
      </c>
      <c r="O66" s="272">
        <v>0.0</v>
      </c>
      <c r="P66" s="272">
        <v>0.0</v>
      </c>
      <c r="Q66" s="272">
        <v>0.0</v>
      </c>
      <c r="R66" s="272">
        <v>0.0</v>
      </c>
      <c r="S66" s="272">
        <v>0.0</v>
      </c>
      <c r="T66" s="272">
        <v>0.0</v>
      </c>
      <c r="U66" s="272">
        <v>0.0</v>
      </c>
      <c r="V66" s="272">
        <v>0.0</v>
      </c>
    </row>
    <row r="67" ht="15.75" customHeight="1">
      <c r="A67" s="360">
        <v>4.0</v>
      </c>
      <c r="B67" s="361">
        <v>0.0</v>
      </c>
      <c r="C67" s="272">
        <v>0.0</v>
      </c>
      <c r="D67" s="272">
        <v>0.0</v>
      </c>
      <c r="E67" s="272">
        <v>0.0</v>
      </c>
      <c r="F67" s="272">
        <v>0.0</v>
      </c>
      <c r="G67" s="272">
        <v>0.0</v>
      </c>
      <c r="H67" s="272">
        <v>0.0</v>
      </c>
      <c r="I67" s="272">
        <v>1.0</v>
      </c>
      <c r="J67" s="272">
        <v>0.0</v>
      </c>
      <c r="K67" s="272">
        <v>0.0</v>
      </c>
      <c r="L67" s="272">
        <v>0.0</v>
      </c>
      <c r="M67" s="272">
        <v>0.0</v>
      </c>
      <c r="N67" s="272">
        <v>0.0</v>
      </c>
      <c r="O67" s="272">
        <v>0.0</v>
      </c>
      <c r="P67" s="272">
        <v>0.0</v>
      </c>
      <c r="Q67" s="272">
        <v>0.0</v>
      </c>
      <c r="R67" s="272">
        <v>0.0</v>
      </c>
      <c r="S67" s="272">
        <v>0.0</v>
      </c>
      <c r="T67" s="272">
        <v>0.0</v>
      </c>
      <c r="U67" s="272">
        <v>0.0</v>
      </c>
      <c r="V67" s="272">
        <v>0.0</v>
      </c>
    </row>
    <row r="68" ht="15.75" customHeight="1">
      <c r="A68" s="360">
        <v>5.0</v>
      </c>
      <c r="B68" s="361">
        <v>0.0</v>
      </c>
      <c r="C68" s="272">
        <v>0.0</v>
      </c>
      <c r="D68" s="272">
        <v>0.0</v>
      </c>
      <c r="E68" s="272">
        <v>0.0</v>
      </c>
      <c r="F68" s="272">
        <v>0.0</v>
      </c>
      <c r="G68" s="272">
        <v>0.0</v>
      </c>
      <c r="H68" s="272">
        <v>0.0</v>
      </c>
      <c r="I68" s="272">
        <v>1.0</v>
      </c>
      <c r="J68" s="272">
        <v>0.0</v>
      </c>
      <c r="K68" s="272">
        <v>0.0</v>
      </c>
      <c r="L68" s="272">
        <v>0.0</v>
      </c>
      <c r="M68" s="272">
        <v>0.0</v>
      </c>
      <c r="N68" s="272">
        <v>0.0</v>
      </c>
      <c r="O68" s="272">
        <v>0.0</v>
      </c>
      <c r="P68" s="272">
        <v>0.0</v>
      </c>
      <c r="Q68" s="272">
        <v>0.0</v>
      </c>
      <c r="R68" s="272">
        <v>0.0</v>
      </c>
      <c r="S68" s="272">
        <v>0.0</v>
      </c>
      <c r="T68" s="272">
        <v>0.0</v>
      </c>
      <c r="U68" s="272">
        <v>0.0</v>
      </c>
      <c r="V68" s="272">
        <v>0.0</v>
      </c>
    </row>
    <row r="69" ht="15.75" customHeight="1">
      <c r="A69" s="360">
        <v>6.0</v>
      </c>
      <c r="B69" s="361">
        <v>0.0</v>
      </c>
      <c r="C69" s="272">
        <v>0.0</v>
      </c>
      <c r="D69" s="272">
        <v>0.0</v>
      </c>
      <c r="E69" s="272">
        <v>0.0</v>
      </c>
      <c r="F69" s="272">
        <v>0.0</v>
      </c>
      <c r="G69" s="272">
        <v>0.0</v>
      </c>
      <c r="H69" s="272">
        <v>1.0</v>
      </c>
      <c r="I69" s="272">
        <v>0.0</v>
      </c>
      <c r="J69" s="272">
        <v>0.0</v>
      </c>
      <c r="K69" s="272">
        <v>0.0</v>
      </c>
      <c r="L69" s="272">
        <v>0.0</v>
      </c>
      <c r="M69" s="272">
        <v>0.0</v>
      </c>
      <c r="N69" s="272">
        <v>0.0</v>
      </c>
      <c r="O69" s="272">
        <v>0.0</v>
      </c>
      <c r="P69" s="272">
        <v>0.0</v>
      </c>
      <c r="Q69" s="272">
        <v>0.0</v>
      </c>
      <c r="R69" s="272">
        <v>0.0</v>
      </c>
      <c r="S69" s="272">
        <v>0.0</v>
      </c>
      <c r="T69" s="272">
        <v>0.0</v>
      </c>
      <c r="U69" s="272">
        <v>0.0</v>
      </c>
      <c r="V69" s="272">
        <v>0.0</v>
      </c>
    </row>
    <row r="70" ht="15.75" customHeight="1">
      <c r="A70" s="360">
        <v>7.0</v>
      </c>
      <c r="B70" s="361">
        <v>0.0</v>
      </c>
      <c r="C70" s="272">
        <v>0.0</v>
      </c>
      <c r="D70" s="272">
        <v>0.0</v>
      </c>
      <c r="E70" s="272">
        <v>0.0</v>
      </c>
      <c r="F70" s="272">
        <v>0.0</v>
      </c>
      <c r="G70" s="272">
        <v>0.0</v>
      </c>
      <c r="H70" s="272">
        <v>1.0</v>
      </c>
      <c r="I70" s="272">
        <v>0.0</v>
      </c>
      <c r="J70" s="272">
        <v>0.0</v>
      </c>
      <c r="K70" s="272">
        <v>0.0</v>
      </c>
      <c r="L70" s="272">
        <v>0.0</v>
      </c>
      <c r="M70" s="272">
        <v>0.0</v>
      </c>
      <c r="N70" s="272">
        <v>0.0</v>
      </c>
      <c r="O70" s="272">
        <v>0.0</v>
      </c>
      <c r="P70" s="272">
        <v>0.0</v>
      </c>
      <c r="Q70" s="272">
        <v>0.0</v>
      </c>
      <c r="R70" s="272">
        <v>0.0</v>
      </c>
      <c r="S70" s="272">
        <v>0.0</v>
      </c>
      <c r="T70" s="272">
        <v>0.0</v>
      </c>
      <c r="U70" s="272">
        <v>0.0</v>
      </c>
      <c r="V70" s="272">
        <v>0.0</v>
      </c>
    </row>
    <row r="71" ht="15.75" customHeight="1">
      <c r="A71" s="360">
        <v>8.0</v>
      </c>
      <c r="B71" s="361">
        <v>0.0</v>
      </c>
      <c r="C71" s="272">
        <v>0.0</v>
      </c>
      <c r="D71" s="272">
        <v>0.0</v>
      </c>
      <c r="E71" s="272">
        <v>0.0</v>
      </c>
      <c r="F71" s="272">
        <v>0.0</v>
      </c>
      <c r="G71" s="272">
        <v>0.0</v>
      </c>
      <c r="H71" s="272">
        <v>1.0</v>
      </c>
      <c r="I71" s="272">
        <v>0.0</v>
      </c>
      <c r="J71" s="272">
        <v>0.0</v>
      </c>
      <c r="K71" s="272">
        <v>0.0</v>
      </c>
      <c r="L71" s="272">
        <v>0.0</v>
      </c>
      <c r="M71" s="272">
        <v>0.0</v>
      </c>
      <c r="N71" s="272">
        <v>0.0</v>
      </c>
      <c r="O71" s="272">
        <v>0.0</v>
      </c>
      <c r="P71" s="272">
        <v>0.0</v>
      </c>
      <c r="Q71" s="272">
        <v>0.0</v>
      </c>
      <c r="R71" s="272">
        <v>0.0</v>
      </c>
      <c r="S71" s="272">
        <v>0.0</v>
      </c>
      <c r="T71" s="272">
        <v>0.0</v>
      </c>
      <c r="U71" s="272">
        <v>0.0</v>
      </c>
      <c r="V71" s="272">
        <v>0.0</v>
      </c>
    </row>
    <row r="72" ht="15.75" customHeight="1">
      <c r="A72" s="360">
        <v>9.0</v>
      </c>
      <c r="B72" s="361">
        <v>0.0</v>
      </c>
      <c r="C72" s="272">
        <v>0.0</v>
      </c>
      <c r="D72" s="272">
        <v>0.0</v>
      </c>
      <c r="E72" s="272">
        <v>0.0</v>
      </c>
      <c r="F72" s="272">
        <v>0.0</v>
      </c>
      <c r="G72" s="272">
        <v>0.0</v>
      </c>
      <c r="H72" s="272">
        <v>1.0</v>
      </c>
      <c r="I72" s="272">
        <v>0.0</v>
      </c>
      <c r="J72" s="272">
        <v>0.0</v>
      </c>
      <c r="K72" s="272">
        <v>0.0</v>
      </c>
      <c r="L72" s="272">
        <v>0.0</v>
      </c>
      <c r="M72" s="272">
        <v>0.0</v>
      </c>
      <c r="N72" s="272">
        <v>0.0</v>
      </c>
      <c r="O72" s="272">
        <v>0.0</v>
      </c>
      <c r="P72" s="272">
        <v>0.0</v>
      </c>
      <c r="Q72" s="272">
        <v>0.0</v>
      </c>
      <c r="R72" s="272">
        <v>0.0</v>
      </c>
      <c r="S72" s="272">
        <v>0.0</v>
      </c>
      <c r="T72" s="272">
        <v>0.0</v>
      </c>
      <c r="U72" s="272">
        <v>0.0</v>
      </c>
      <c r="V72" s="272">
        <v>0.0</v>
      </c>
    </row>
    <row r="73" ht="15.75" customHeight="1">
      <c r="A73" s="360">
        <v>10.0</v>
      </c>
      <c r="B73" s="361">
        <v>0.0</v>
      </c>
      <c r="C73" s="272">
        <v>0.0</v>
      </c>
      <c r="D73" s="272">
        <v>0.0</v>
      </c>
      <c r="E73" s="272">
        <v>0.0</v>
      </c>
      <c r="F73" s="272">
        <v>0.0</v>
      </c>
      <c r="G73" s="272">
        <v>0.0</v>
      </c>
      <c r="H73" s="272">
        <v>1.0</v>
      </c>
      <c r="I73" s="272">
        <v>0.0</v>
      </c>
      <c r="J73" s="272">
        <v>0.0</v>
      </c>
      <c r="K73" s="272">
        <v>0.0</v>
      </c>
      <c r="L73" s="272">
        <v>0.0</v>
      </c>
      <c r="M73" s="272">
        <v>0.0</v>
      </c>
      <c r="N73" s="272">
        <v>0.0</v>
      </c>
      <c r="O73" s="272">
        <v>0.0</v>
      </c>
      <c r="P73" s="272">
        <v>0.0</v>
      </c>
      <c r="Q73" s="272">
        <v>0.0</v>
      </c>
      <c r="R73" s="272">
        <v>0.0</v>
      </c>
      <c r="S73" s="272">
        <v>0.0</v>
      </c>
      <c r="T73" s="272">
        <v>0.0</v>
      </c>
      <c r="U73" s="272">
        <v>0.0</v>
      </c>
      <c r="V73" s="272">
        <v>0.0</v>
      </c>
    </row>
    <row r="74" ht="15.75" customHeight="1">
      <c r="A74" s="172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</row>
    <row r="75" ht="19.5" customHeight="1">
      <c r="A75" s="158" t="s">
        <v>324</v>
      </c>
      <c r="B75" s="174"/>
      <c r="C75" s="174"/>
      <c r="D75" s="174"/>
      <c r="E75" s="174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</row>
    <row r="76" ht="15.75" customHeight="1">
      <c r="A76" s="178" t="s">
        <v>315</v>
      </c>
      <c r="B76" s="225">
        <v>7.0</v>
      </c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</row>
    <row r="77" ht="15.75" customHeight="1">
      <c r="A77" s="178" t="s">
        <v>316</v>
      </c>
      <c r="B77" s="225">
        <v>7.0</v>
      </c>
      <c r="C77" s="172"/>
      <c r="D77" s="172"/>
      <c r="E77" s="172"/>
      <c r="F77" s="172"/>
      <c r="G77" s="172"/>
      <c r="H77" s="172"/>
      <c r="I77" s="172"/>
      <c r="J77" s="172"/>
      <c r="K77" s="172"/>
      <c r="L77" s="172"/>
      <c r="M77" s="172"/>
      <c r="N77" s="172"/>
      <c r="O77" s="172"/>
      <c r="P77" s="172"/>
      <c r="Q77" s="172"/>
      <c r="R77" s="172"/>
      <c r="S77" s="172"/>
      <c r="T77" s="172"/>
      <c r="U77" s="172"/>
      <c r="V77" s="172"/>
    </row>
    <row r="78" ht="15.75" customHeight="1">
      <c r="A78" s="178" t="s">
        <v>169</v>
      </c>
      <c r="B78" s="225">
        <v>1.0</v>
      </c>
      <c r="C78" s="172"/>
      <c r="D78" s="172"/>
      <c r="E78" s="172"/>
      <c r="F78" s="172"/>
      <c r="G78" s="172"/>
      <c r="H78" s="172"/>
      <c r="I78" s="172"/>
      <c r="J78" s="172"/>
      <c r="K78" s="172"/>
      <c r="L78" s="172"/>
      <c r="M78" s="172"/>
      <c r="N78" s="172"/>
      <c r="O78" s="172"/>
      <c r="P78" s="172"/>
      <c r="Q78" s="172"/>
      <c r="R78" s="172"/>
      <c r="S78" s="172"/>
      <c r="T78" s="172"/>
      <c r="U78" s="172"/>
      <c r="V78" s="172"/>
    </row>
    <row r="79" ht="15.75" customHeight="1">
      <c r="A79" s="172"/>
      <c r="B79" s="172"/>
      <c r="C79" s="172"/>
      <c r="D79" s="172"/>
      <c r="E79" s="172"/>
      <c r="F79" s="172"/>
      <c r="G79" s="172"/>
      <c r="H79" s="172"/>
      <c r="I79" s="172"/>
      <c r="J79" s="172"/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2"/>
      <c r="V79" s="172"/>
    </row>
    <row r="80" ht="19.5" customHeight="1">
      <c r="A80" s="158" t="s">
        <v>325</v>
      </c>
      <c r="B80" s="174"/>
      <c r="C80" s="174"/>
      <c r="D80" s="174"/>
      <c r="E80" s="174"/>
      <c r="F80" s="174"/>
      <c r="G80" s="174"/>
      <c r="H80" s="174"/>
      <c r="I80" s="174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</row>
    <row r="81" ht="90.0" customHeight="1">
      <c r="A81" s="350" t="s">
        <v>233</v>
      </c>
      <c r="B81" s="351" t="s">
        <v>76</v>
      </c>
      <c r="C81" s="276" t="s">
        <v>46</v>
      </c>
      <c r="D81" s="276" t="s">
        <v>121</v>
      </c>
      <c r="E81" s="276" t="s">
        <v>47</v>
      </c>
      <c r="F81" s="276" t="s">
        <v>48</v>
      </c>
      <c r="G81" s="276" t="s">
        <v>50</v>
      </c>
      <c r="H81" s="276" t="s">
        <v>52</v>
      </c>
      <c r="I81" s="276" t="s">
        <v>53</v>
      </c>
      <c r="J81" s="276" t="s">
        <v>54</v>
      </c>
      <c r="K81" s="276" t="s">
        <v>55</v>
      </c>
      <c r="L81" s="276" t="s">
        <v>56</v>
      </c>
      <c r="M81" s="276" t="s">
        <v>57</v>
      </c>
      <c r="N81" s="276" t="s">
        <v>58</v>
      </c>
      <c r="O81" s="276" t="s">
        <v>135</v>
      </c>
      <c r="P81" s="276" t="s">
        <v>122</v>
      </c>
      <c r="Q81" s="276" t="s">
        <v>123</v>
      </c>
      <c r="R81" s="276" t="s">
        <v>124</v>
      </c>
      <c r="S81" s="276" t="s">
        <v>125</v>
      </c>
      <c r="T81" s="276" t="s">
        <v>126</v>
      </c>
      <c r="U81" s="276" t="s">
        <v>127</v>
      </c>
      <c r="V81" s="276" t="s">
        <v>128</v>
      </c>
      <c r="X81" s="1" t="s">
        <v>234</v>
      </c>
    </row>
    <row r="82" ht="15.75" customHeight="1">
      <c r="A82" s="360">
        <v>1.0</v>
      </c>
      <c r="B82" s="361">
        <v>50.0</v>
      </c>
      <c r="C82" s="272">
        <v>50.0</v>
      </c>
      <c r="D82" s="272">
        <v>0.0</v>
      </c>
      <c r="E82" s="272">
        <v>0.0</v>
      </c>
      <c r="F82" s="272">
        <v>0.0</v>
      </c>
      <c r="G82" s="272">
        <v>0.0</v>
      </c>
      <c r="H82" s="272">
        <v>0.0</v>
      </c>
      <c r="I82" s="272">
        <v>0.0</v>
      </c>
      <c r="J82" s="272">
        <v>1.0</v>
      </c>
      <c r="K82" s="272">
        <v>0.0</v>
      </c>
      <c r="L82" s="272">
        <v>0.0</v>
      </c>
      <c r="M82" s="272">
        <v>0.0</v>
      </c>
      <c r="N82" s="272">
        <v>0.0</v>
      </c>
      <c r="O82" s="272">
        <v>0.0</v>
      </c>
      <c r="P82" s="272">
        <v>0.0</v>
      </c>
      <c r="Q82" s="272">
        <v>0.0</v>
      </c>
      <c r="R82" s="272">
        <v>0.0</v>
      </c>
      <c r="S82" s="272">
        <v>0.0</v>
      </c>
      <c r="T82" s="272">
        <v>0.0</v>
      </c>
      <c r="U82" s="272">
        <v>0.0</v>
      </c>
      <c r="V82" s="272">
        <v>0.0</v>
      </c>
      <c r="X82" s="249">
        <f t="array" ref="X82">SUMPRODUCT({B82:G82, J82, I82, H82, K82:N82}, item_vals!$B$3:$N$3)</f>
        <v>217</v>
      </c>
    </row>
    <row r="83" ht="15.75" customHeight="1">
      <c r="A83" s="360">
        <v>2.0</v>
      </c>
      <c r="B83" s="361">
        <v>25.0</v>
      </c>
      <c r="C83" s="272">
        <v>50.0</v>
      </c>
      <c r="D83" s="272">
        <v>0.0</v>
      </c>
      <c r="E83" s="272">
        <v>0.0</v>
      </c>
      <c r="F83" s="272">
        <v>0.0</v>
      </c>
      <c r="G83" s="272">
        <v>0.0</v>
      </c>
      <c r="H83" s="272">
        <v>0.0</v>
      </c>
      <c r="I83" s="272">
        <v>1.0</v>
      </c>
      <c r="J83" s="272">
        <v>0.0</v>
      </c>
      <c r="K83" s="272">
        <v>0.0</v>
      </c>
      <c r="L83" s="272">
        <v>0.0</v>
      </c>
      <c r="M83" s="272">
        <v>0.0</v>
      </c>
      <c r="N83" s="272">
        <v>0.0</v>
      </c>
      <c r="O83" s="272">
        <v>0.0</v>
      </c>
      <c r="P83" s="272">
        <v>0.0</v>
      </c>
      <c r="Q83" s="272">
        <v>0.0</v>
      </c>
      <c r="R83" s="272">
        <v>0.0</v>
      </c>
      <c r="S83" s="272">
        <v>0.0</v>
      </c>
      <c r="T83" s="272">
        <v>0.0</v>
      </c>
      <c r="U83" s="272">
        <v>0.0</v>
      </c>
      <c r="V83" s="272">
        <v>0.0</v>
      </c>
      <c r="X83" s="249">
        <f t="array" ref="X83">SUMPRODUCT({B83:G83, J83, I83, H83, K83:N83}, item_vals!$B$3:$N$3)</f>
        <v>92</v>
      </c>
    </row>
    <row r="84" ht="15.75" customHeight="1">
      <c r="A84" s="360">
        <v>3.0</v>
      </c>
      <c r="B84" s="361">
        <v>10.0</v>
      </c>
      <c r="C84" s="272">
        <v>50.0</v>
      </c>
      <c r="D84" s="272">
        <v>0.0</v>
      </c>
      <c r="E84" s="272">
        <v>0.0</v>
      </c>
      <c r="F84" s="272">
        <v>0.0</v>
      </c>
      <c r="G84" s="272">
        <v>1.0</v>
      </c>
      <c r="H84" s="272">
        <v>0.0</v>
      </c>
      <c r="I84" s="272">
        <v>0.0</v>
      </c>
      <c r="J84" s="272">
        <v>0.0</v>
      </c>
      <c r="K84" s="272">
        <v>0.0</v>
      </c>
      <c r="L84" s="272">
        <v>0.0</v>
      </c>
      <c r="M84" s="272">
        <v>0.0</v>
      </c>
      <c r="N84" s="272">
        <v>0.0</v>
      </c>
      <c r="O84" s="272">
        <v>0.0</v>
      </c>
      <c r="P84" s="272">
        <v>0.0</v>
      </c>
      <c r="Q84" s="272">
        <v>0.0</v>
      </c>
      <c r="R84" s="272">
        <v>0.0</v>
      </c>
      <c r="S84" s="272">
        <v>0.0</v>
      </c>
      <c r="T84" s="272">
        <v>0.0</v>
      </c>
      <c r="U84" s="272">
        <v>0.0</v>
      </c>
      <c r="V84" s="272">
        <v>0.0</v>
      </c>
      <c r="X84" s="249">
        <f t="array" ref="X84">SUMPRODUCT({B84:G84, J84, I84, H84, K84:N84}, item_vals!$B$3:$N$3)</f>
        <v>77</v>
      </c>
    </row>
    <row r="85" ht="15.75" customHeight="1">
      <c r="A85" s="360">
        <v>4.0</v>
      </c>
      <c r="B85" s="361">
        <v>0.0</v>
      </c>
      <c r="C85" s="272">
        <v>50.0</v>
      </c>
      <c r="D85" s="272">
        <v>0.0</v>
      </c>
      <c r="E85" s="272">
        <v>0.0</v>
      </c>
      <c r="F85" s="272">
        <v>0.0</v>
      </c>
      <c r="G85" s="272">
        <v>0.0</v>
      </c>
      <c r="H85" s="272">
        <v>1.0</v>
      </c>
      <c r="I85" s="272">
        <v>0.0</v>
      </c>
      <c r="J85" s="272">
        <v>0.0</v>
      </c>
      <c r="K85" s="272">
        <v>0.0</v>
      </c>
      <c r="L85" s="272">
        <v>0.0</v>
      </c>
      <c r="M85" s="272">
        <v>0.0</v>
      </c>
      <c r="N85" s="272">
        <v>0.0</v>
      </c>
      <c r="O85" s="272">
        <v>0.0</v>
      </c>
      <c r="P85" s="272">
        <v>0.0</v>
      </c>
      <c r="Q85" s="272">
        <v>0.0</v>
      </c>
      <c r="R85" s="272">
        <v>0.0</v>
      </c>
      <c r="S85" s="272">
        <v>0.0</v>
      </c>
      <c r="T85" s="272">
        <v>0.0</v>
      </c>
      <c r="U85" s="272">
        <v>0.0</v>
      </c>
      <c r="V85" s="272">
        <v>0.0</v>
      </c>
      <c r="X85" s="249">
        <f t="array" ref="X85">SUMPRODUCT({B85:G85, J85, I85, H85, K85:N85}, item_vals!$B$3:$N$3)</f>
        <v>50</v>
      </c>
    </row>
    <row r="86" ht="15.75" customHeight="1">
      <c r="A86" s="360">
        <v>5.0</v>
      </c>
      <c r="B86" s="361">
        <v>0.0</v>
      </c>
      <c r="C86" s="272">
        <v>45.0</v>
      </c>
      <c r="D86" s="272">
        <v>0.0</v>
      </c>
      <c r="E86" s="272">
        <v>0.0</v>
      </c>
      <c r="F86" s="272">
        <v>1.0</v>
      </c>
      <c r="G86" s="272">
        <v>0.0</v>
      </c>
      <c r="H86" s="272">
        <v>0.0</v>
      </c>
      <c r="I86" s="272">
        <v>0.0</v>
      </c>
      <c r="J86" s="272">
        <v>0.0</v>
      </c>
      <c r="K86" s="272">
        <v>0.0</v>
      </c>
      <c r="L86" s="272">
        <v>0.0</v>
      </c>
      <c r="M86" s="272">
        <v>0.0</v>
      </c>
      <c r="N86" s="272">
        <v>0.0</v>
      </c>
      <c r="O86" s="272">
        <v>0.0</v>
      </c>
      <c r="P86" s="272">
        <v>0.0</v>
      </c>
      <c r="Q86" s="272">
        <v>0.0</v>
      </c>
      <c r="R86" s="272">
        <v>0.0</v>
      </c>
      <c r="S86" s="272">
        <v>0.0</v>
      </c>
      <c r="T86" s="272">
        <v>0.0</v>
      </c>
      <c r="U86" s="272">
        <v>0.0</v>
      </c>
      <c r="V86" s="272">
        <v>0.0</v>
      </c>
      <c r="X86" s="249">
        <f t="array" ref="X86">SUMPRODUCT({B86:G86, J86, I86, H86, K86:N86}, item_vals!$B$3:$N$3)</f>
        <v>50</v>
      </c>
    </row>
    <row r="87" ht="15.75" customHeight="1">
      <c r="A87" s="360">
        <v>6.0</v>
      </c>
      <c r="B87" s="361">
        <v>0.0</v>
      </c>
      <c r="C87" s="272">
        <v>40.0</v>
      </c>
      <c r="D87" s="272">
        <v>0.0</v>
      </c>
      <c r="E87" s="272">
        <v>1.0</v>
      </c>
      <c r="F87" s="272">
        <v>0.0</v>
      </c>
      <c r="G87" s="272">
        <v>0.0</v>
      </c>
      <c r="H87" s="272">
        <v>0.0</v>
      </c>
      <c r="I87" s="272">
        <v>0.0</v>
      </c>
      <c r="J87" s="272">
        <v>0.0</v>
      </c>
      <c r="K87" s="272">
        <v>0.0</v>
      </c>
      <c r="L87" s="272">
        <v>0.0</v>
      </c>
      <c r="M87" s="272">
        <v>0.0</v>
      </c>
      <c r="N87" s="272">
        <v>0.0</v>
      </c>
      <c r="O87" s="272">
        <v>0.0</v>
      </c>
      <c r="P87" s="272">
        <v>0.0</v>
      </c>
      <c r="Q87" s="272">
        <v>0.0</v>
      </c>
      <c r="R87" s="272">
        <v>0.0</v>
      </c>
      <c r="S87" s="272">
        <v>0.0</v>
      </c>
      <c r="T87" s="272">
        <v>0.0</v>
      </c>
      <c r="U87" s="272">
        <v>0.0</v>
      </c>
      <c r="V87" s="272">
        <v>0.0</v>
      </c>
      <c r="X87" s="249">
        <f t="array" ref="X87">SUMPRODUCT({B87:G87, J87, I87, H87, K87:N87}, item_vals!$B$3:$N$3)</f>
        <v>33</v>
      </c>
    </row>
    <row r="88" ht="15.75" customHeight="1">
      <c r="A88" s="360">
        <v>7.0</v>
      </c>
      <c r="B88" s="361">
        <v>0.0</v>
      </c>
      <c r="C88" s="272">
        <v>40.0</v>
      </c>
      <c r="D88" s="272">
        <v>0.0</v>
      </c>
      <c r="E88" s="272">
        <v>1.0</v>
      </c>
      <c r="F88" s="272">
        <v>0.0</v>
      </c>
      <c r="G88" s="272">
        <v>0.0</v>
      </c>
      <c r="H88" s="272">
        <v>0.0</v>
      </c>
      <c r="I88" s="272">
        <v>0.0</v>
      </c>
      <c r="J88" s="272">
        <v>0.0</v>
      </c>
      <c r="K88" s="272">
        <v>0.0</v>
      </c>
      <c r="L88" s="272">
        <v>0.0</v>
      </c>
      <c r="M88" s="272">
        <v>0.0</v>
      </c>
      <c r="N88" s="272">
        <v>0.0</v>
      </c>
      <c r="O88" s="272">
        <v>0.0</v>
      </c>
      <c r="P88" s="272">
        <v>0.0</v>
      </c>
      <c r="Q88" s="272">
        <v>0.0</v>
      </c>
      <c r="R88" s="272">
        <v>0.0</v>
      </c>
      <c r="S88" s="272">
        <v>0.0</v>
      </c>
      <c r="T88" s="272">
        <v>0.0</v>
      </c>
      <c r="U88" s="272">
        <v>0.0</v>
      </c>
      <c r="V88" s="272">
        <v>0.0</v>
      </c>
      <c r="X88" s="249">
        <f t="array" ref="X88">SUMPRODUCT({B88:G88, J88, I88, H88, K88:N88}, item_vals!$B$3:$N$3)</f>
        <v>33</v>
      </c>
    </row>
    <row r="89" ht="15.75" customHeight="1"/>
    <row r="90" ht="15.75" customHeight="1"/>
    <row r="91" ht="15.75" customHeight="1"/>
    <row r="92" ht="15.75" customHeight="1">
      <c r="M92" s="1">
        <v>1.0</v>
      </c>
      <c r="P92" s="1">
        <v>1.0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B10:V19">
    <cfRule type="cellIs" dxfId="4" priority="1" operator="greaterThan">
      <formula>0</formula>
    </cfRule>
  </conditionalFormatting>
  <conditionalFormatting sqref="A10:V19">
    <cfRule type="expression" dxfId="5" priority="2">
      <formula>ISEVEN(ROW()-9+1)</formula>
    </cfRule>
  </conditionalFormatting>
  <conditionalFormatting sqref="B28:V37">
    <cfRule type="cellIs" dxfId="4" priority="3" operator="greaterThan">
      <formula>0</formula>
    </cfRule>
  </conditionalFormatting>
  <conditionalFormatting sqref="A28:V37">
    <cfRule type="expression" dxfId="5" priority="4">
      <formula>ISEVEN(ROW()-26+1)</formula>
    </cfRule>
  </conditionalFormatting>
  <conditionalFormatting sqref="B46:V55">
    <cfRule type="cellIs" dxfId="4" priority="5" operator="greaterThan">
      <formula>0</formula>
    </cfRule>
  </conditionalFormatting>
  <conditionalFormatting sqref="A46:V55">
    <cfRule type="expression" dxfId="5" priority="6">
      <formula>ISEVEN(ROW()-43+1)</formula>
    </cfRule>
  </conditionalFormatting>
  <conditionalFormatting sqref="B64:V73">
    <cfRule type="cellIs" dxfId="4" priority="7" operator="greaterThan">
      <formula>0</formula>
    </cfRule>
  </conditionalFormatting>
  <conditionalFormatting sqref="A64:V73">
    <cfRule type="expression" dxfId="5" priority="8">
      <formula>ISEVEN(ROW()-60+1)</formula>
    </cfRule>
  </conditionalFormatting>
  <conditionalFormatting sqref="B82:V88">
    <cfRule type="cellIs" dxfId="4" priority="9" operator="greaterThan">
      <formula>0</formula>
    </cfRule>
  </conditionalFormatting>
  <conditionalFormatting sqref="A82:V88">
    <cfRule type="expression" dxfId="5" priority="10">
      <formula>ISEVEN(ROW()-77+1)</formula>
    </cfRule>
  </conditionalFormatting>
  <conditionalFormatting sqref="AH6:AR10">
    <cfRule type="containsText" dxfId="7" priority="11" operator="containsText" text="(below ladder)">
      <formula>NOT(ISERROR(SEARCH(("(below ladder)"),(AH6))))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</cols>
  <sheetData>
    <row r="1">
      <c r="A1" s="2" t="s">
        <v>63</v>
      </c>
    </row>
    <row r="2">
      <c r="A2" s="149" t="s">
        <v>106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</row>
    <row r="3">
      <c r="A3" s="156" t="s">
        <v>330</v>
      </c>
      <c r="B3" s="154" t="s">
        <v>331</v>
      </c>
    </row>
    <row r="4">
      <c r="A4" s="156" t="s">
        <v>332</v>
      </c>
      <c r="B4" s="154" t="s">
        <v>333</v>
      </c>
    </row>
    <row r="5">
      <c r="A5" s="156" t="s">
        <v>334</v>
      </c>
      <c r="B5" s="154" t="s">
        <v>335</v>
      </c>
    </row>
    <row r="6">
      <c r="A6" s="156" t="s">
        <v>171</v>
      </c>
      <c r="B6" s="154">
        <v>25.0</v>
      </c>
    </row>
    <row r="7">
      <c r="A7" s="151" t="s">
        <v>169</v>
      </c>
      <c r="B7" s="154">
        <v>1.0</v>
      </c>
    </row>
    <row r="9">
      <c r="A9" s="342" t="s">
        <v>336</v>
      </c>
      <c r="B9" s="261"/>
      <c r="C9" s="261"/>
      <c r="D9" s="261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</row>
    <row r="10">
      <c r="A10" s="343" t="s">
        <v>174</v>
      </c>
      <c r="B10" s="343" t="s">
        <v>337</v>
      </c>
      <c r="C10" s="344" t="s">
        <v>76</v>
      </c>
      <c r="D10" s="345" t="s">
        <v>46</v>
      </c>
      <c r="E10" s="346" t="s">
        <v>121</v>
      </c>
      <c r="F10" s="204" t="s">
        <v>47</v>
      </c>
      <c r="G10" s="204" t="s">
        <v>48</v>
      </c>
      <c r="H10" s="204" t="s">
        <v>50</v>
      </c>
      <c r="I10" s="204" t="s">
        <v>52</v>
      </c>
      <c r="J10" s="204" t="s">
        <v>53</v>
      </c>
      <c r="K10" s="204" t="s">
        <v>54</v>
      </c>
      <c r="L10" s="204" t="s">
        <v>55</v>
      </c>
      <c r="M10" s="204" t="s">
        <v>56</v>
      </c>
      <c r="N10" s="204" t="s">
        <v>57</v>
      </c>
      <c r="O10" s="204" t="s">
        <v>58</v>
      </c>
      <c r="P10" s="165" t="s">
        <v>135</v>
      </c>
      <c r="Q10" s="165" t="s">
        <v>122</v>
      </c>
      <c r="R10" s="165" t="s">
        <v>123</v>
      </c>
      <c r="S10" s="165" t="s">
        <v>124</v>
      </c>
      <c r="T10" s="165" t="s">
        <v>125</v>
      </c>
      <c r="U10" s="165" t="s">
        <v>126</v>
      </c>
      <c r="V10" s="165" t="s">
        <v>127</v>
      </c>
      <c r="W10" s="165" t="s">
        <v>128</v>
      </c>
    </row>
    <row r="11">
      <c r="A11" s="347">
        <v>1.0</v>
      </c>
      <c r="B11" s="347">
        <v>100.0</v>
      </c>
      <c r="C11" s="348">
        <v>0.0</v>
      </c>
      <c r="D11" s="347">
        <v>0.0</v>
      </c>
      <c r="E11" s="349">
        <v>0.0</v>
      </c>
      <c r="F11" s="229">
        <v>0.0</v>
      </c>
      <c r="G11" s="229">
        <v>0.0</v>
      </c>
      <c r="H11" s="229">
        <v>0.0</v>
      </c>
      <c r="I11" s="229">
        <v>0.0</v>
      </c>
      <c r="J11" s="229">
        <v>0.0</v>
      </c>
      <c r="K11" s="229">
        <v>0.0</v>
      </c>
      <c r="L11" s="229">
        <v>0.0</v>
      </c>
      <c r="M11" s="229">
        <v>0.0</v>
      </c>
      <c r="N11" s="229">
        <v>0.0</v>
      </c>
      <c r="O11" s="229">
        <v>0.0</v>
      </c>
      <c r="P11" s="229">
        <v>0.0</v>
      </c>
      <c r="Q11" s="229">
        <v>0.0</v>
      </c>
      <c r="R11" s="229">
        <v>0.0</v>
      </c>
      <c r="S11" s="229">
        <v>0.0</v>
      </c>
      <c r="T11" s="229">
        <v>0.0</v>
      </c>
      <c r="U11" s="229">
        <v>0.0</v>
      </c>
      <c r="V11" s="229">
        <v>0.0</v>
      </c>
      <c r="W11" s="229">
        <v>0.0</v>
      </c>
    </row>
    <row r="12">
      <c r="A12" s="347">
        <v>2.0</v>
      </c>
      <c r="B12" s="347">
        <v>300.0</v>
      </c>
      <c r="C12" s="348">
        <v>0.0</v>
      </c>
      <c r="D12" s="347">
        <v>0.0</v>
      </c>
      <c r="E12" s="349">
        <v>0.0</v>
      </c>
      <c r="F12" s="229">
        <v>0.0</v>
      </c>
      <c r="G12" s="229">
        <v>0.0</v>
      </c>
      <c r="H12" s="229">
        <v>0.0</v>
      </c>
      <c r="I12" s="229">
        <v>0.0</v>
      </c>
      <c r="J12" s="229">
        <v>0.0</v>
      </c>
      <c r="K12" s="229">
        <v>0.0</v>
      </c>
      <c r="L12" s="229">
        <v>0.0</v>
      </c>
      <c r="M12" s="229">
        <v>0.0</v>
      </c>
      <c r="N12" s="229">
        <v>0.0</v>
      </c>
      <c r="O12" s="229">
        <v>0.0</v>
      </c>
      <c r="P12" s="229">
        <v>0.0</v>
      </c>
      <c r="Q12" s="229">
        <v>0.0</v>
      </c>
      <c r="R12" s="229">
        <v>0.0</v>
      </c>
      <c r="S12" s="229">
        <v>0.0</v>
      </c>
      <c r="T12" s="229">
        <v>0.0</v>
      </c>
      <c r="U12" s="229">
        <v>0.0</v>
      </c>
      <c r="V12" s="229">
        <v>0.0</v>
      </c>
      <c r="W12" s="229">
        <v>0.0</v>
      </c>
    </row>
    <row r="13">
      <c r="A13" s="347">
        <v>3.0</v>
      </c>
      <c r="B13" s="347">
        <v>500.0</v>
      </c>
      <c r="C13" s="348">
        <v>0.0</v>
      </c>
      <c r="D13" s="347">
        <v>0.0</v>
      </c>
      <c r="E13" s="349">
        <v>0.0</v>
      </c>
      <c r="F13" s="229">
        <v>0.0</v>
      </c>
      <c r="G13" s="229">
        <v>0.0</v>
      </c>
      <c r="H13" s="229">
        <v>0.0</v>
      </c>
      <c r="I13" s="229">
        <v>0.0</v>
      </c>
      <c r="J13" s="229">
        <v>0.0</v>
      </c>
      <c r="K13" s="229">
        <v>0.0</v>
      </c>
      <c r="L13" s="229">
        <v>0.0</v>
      </c>
      <c r="M13" s="229">
        <v>0.0</v>
      </c>
      <c r="N13" s="229">
        <v>0.0</v>
      </c>
      <c r="O13" s="229">
        <v>0.0</v>
      </c>
      <c r="P13" s="229">
        <v>0.0</v>
      </c>
      <c r="Q13" s="229">
        <v>0.0</v>
      </c>
      <c r="R13" s="229">
        <v>0.0</v>
      </c>
      <c r="S13" s="229">
        <v>0.0</v>
      </c>
      <c r="T13" s="229">
        <v>0.0</v>
      </c>
      <c r="U13" s="229">
        <v>0.0</v>
      </c>
      <c r="V13" s="229">
        <v>0.0</v>
      </c>
      <c r="W13" s="229">
        <v>0.0</v>
      </c>
    </row>
    <row r="14">
      <c r="A14" s="347">
        <v>4.0</v>
      </c>
      <c r="B14" s="347">
        <v>700.0</v>
      </c>
      <c r="C14" s="348">
        <v>0.0</v>
      </c>
      <c r="D14" s="347">
        <v>0.0</v>
      </c>
      <c r="E14" s="349">
        <v>0.0</v>
      </c>
      <c r="F14" s="229">
        <v>0.0</v>
      </c>
      <c r="G14" s="229">
        <v>0.0</v>
      </c>
      <c r="H14" s="229">
        <v>0.0</v>
      </c>
      <c r="I14" s="229">
        <v>0.0</v>
      </c>
      <c r="J14" s="229">
        <v>0.0</v>
      </c>
      <c r="K14" s="229">
        <v>0.0</v>
      </c>
      <c r="L14" s="229">
        <v>0.0</v>
      </c>
      <c r="M14" s="229">
        <v>0.0</v>
      </c>
      <c r="N14" s="229">
        <v>0.0</v>
      </c>
      <c r="O14" s="229">
        <v>0.0</v>
      </c>
      <c r="P14" s="229">
        <v>0.0</v>
      </c>
      <c r="Q14" s="229">
        <v>0.0</v>
      </c>
      <c r="R14" s="229">
        <v>0.0</v>
      </c>
      <c r="S14" s="229">
        <v>0.0</v>
      </c>
      <c r="T14" s="229">
        <v>0.0</v>
      </c>
      <c r="U14" s="229">
        <v>0.0</v>
      </c>
      <c r="V14" s="229">
        <v>0.0</v>
      </c>
      <c r="W14" s="229">
        <v>0.0</v>
      </c>
    </row>
    <row r="15">
      <c r="A15" s="347">
        <v>5.0</v>
      </c>
      <c r="B15" s="347">
        <v>2000.0</v>
      </c>
      <c r="C15" s="348">
        <v>0.0</v>
      </c>
      <c r="D15" s="347">
        <v>0.0</v>
      </c>
      <c r="E15" s="349">
        <v>0.0</v>
      </c>
      <c r="F15" s="229">
        <v>0.0</v>
      </c>
      <c r="G15" s="229">
        <v>0.0</v>
      </c>
      <c r="H15" s="229">
        <v>0.0</v>
      </c>
      <c r="I15" s="229">
        <v>0.0</v>
      </c>
      <c r="J15" s="229">
        <v>0.0</v>
      </c>
      <c r="K15" s="229">
        <v>0.0</v>
      </c>
      <c r="L15" s="229">
        <v>0.0</v>
      </c>
      <c r="M15" s="229">
        <v>0.0</v>
      </c>
      <c r="N15" s="229">
        <v>0.0</v>
      </c>
      <c r="O15" s="229">
        <v>0.0</v>
      </c>
      <c r="P15" s="229">
        <v>0.0</v>
      </c>
      <c r="Q15" s="229">
        <v>0.0</v>
      </c>
      <c r="R15" s="229">
        <v>0.0</v>
      </c>
      <c r="S15" s="229">
        <v>0.0</v>
      </c>
      <c r="T15" s="229">
        <v>0.0</v>
      </c>
      <c r="U15" s="229">
        <v>0.0</v>
      </c>
      <c r="V15" s="229">
        <v>0.0</v>
      </c>
      <c r="W15" s="229">
        <v>0.0</v>
      </c>
    </row>
    <row r="16">
      <c r="A16" s="347">
        <v>6.0</v>
      </c>
      <c r="B16" s="347">
        <v>3000.0</v>
      </c>
      <c r="C16" s="348">
        <v>0.0</v>
      </c>
      <c r="D16" s="347">
        <v>0.0</v>
      </c>
      <c r="E16" s="349">
        <v>0.0</v>
      </c>
      <c r="F16" s="229">
        <v>0.0</v>
      </c>
      <c r="G16" s="229">
        <v>0.0</v>
      </c>
      <c r="H16" s="229">
        <v>0.0</v>
      </c>
      <c r="I16" s="229">
        <v>0.0</v>
      </c>
      <c r="J16" s="229">
        <v>0.0</v>
      </c>
      <c r="K16" s="229">
        <v>0.0</v>
      </c>
      <c r="L16" s="229">
        <v>0.0</v>
      </c>
      <c r="M16" s="229">
        <v>0.0</v>
      </c>
      <c r="N16" s="229">
        <v>0.0</v>
      </c>
      <c r="O16" s="229">
        <v>0.0</v>
      </c>
      <c r="P16" s="229">
        <v>0.0</v>
      </c>
      <c r="Q16" s="229">
        <v>0.0</v>
      </c>
      <c r="R16" s="229">
        <v>0.0</v>
      </c>
      <c r="S16" s="229">
        <v>0.0</v>
      </c>
      <c r="T16" s="229">
        <v>0.0</v>
      </c>
      <c r="U16" s="229">
        <v>0.0</v>
      </c>
      <c r="V16" s="229">
        <v>0.0</v>
      </c>
      <c r="W16" s="229">
        <v>0.0</v>
      </c>
    </row>
    <row r="17">
      <c r="A17" s="347">
        <v>7.0</v>
      </c>
      <c r="B17" s="347">
        <v>4000.0</v>
      </c>
      <c r="C17" s="348">
        <v>0.0</v>
      </c>
      <c r="D17" s="347">
        <v>0.0</v>
      </c>
      <c r="E17" s="349">
        <v>0.0</v>
      </c>
      <c r="F17" s="229">
        <v>0.0</v>
      </c>
      <c r="G17" s="229">
        <v>0.0</v>
      </c>
      <c r="H17" s="229">
        <v>0.0</v>
      </c>
      <c r="I17" s="229">
        <v>0.0</v>
      </c>
      <c r="J17" s="229">
        <v>0.0</v>
      </c>
      <c r="K17" s="229">
        <v>0.0</v>
      </c>
      <c r="L17" s="229">
        <v>0.0</v>
      </c>
      <c r="M17" s="229">
        <v>0.0</v>
      </c>
      <c r="N17" s="229">
        <v>0.0</v>
      </c>
      <c r="O17" s="229">
        <v>0.0</v>
      </c>
      <c r="P17" s="229">
        <v>0.0</v>
      </c>
      <c r="Q17" s="229">
        <v>0.0</v>
      </c>
      <c r="R17" s="229">
        <v>0.0</v>
      </c>
      <c r="S17" s="229">
        <v>0.0</v>
      </c>
      <c r="T17" s="229">
        <v>0.0</v>
      </c>
      <c r="U17" s="229">
        <v>0.0</v>
      </c>
      <c r="V17" s="229">
        <v>0.0</v>
      </c>
      <c r="W17" s="229">
        <v>0.0</v>
      </c>
    </row>
    <row r="18">
      <c r="A18" s="347">
        <v>8.0</v>
      </c>
      <c r="B18" s="347">
        <v>5500.0</v>
      </c>
      <c r="C18" s="348">
        <v>0.0</v>
      </c>
      <c r="D18" s="347">
        <v>0.0</v>
      </c>
      <c r="E18" s="349">
        <v>0.0</v>
      </c>
      <c r="F18" s="229">
        <v>0.0</v>
      </c>
      <c r="G18" s="229">
        <v>0.0</v>
      </c>
      <c r="H18" s="229">
        <v>0.0</v>
      </c>
      <c r="I18" s="229">
        <v>0.0</v>
      </c>
      <c r="J18" s="229">
        <v>0.0</v>
      </c>
      <c r="K18" s="229">
        <v>0.0</v>
      </c>
      <c r="L18" s="229">
        <v>0.0</v>
      </c>
      <c r="M18" s="229">
        <v>0.0</v>
      </c>
      <c r="N18" s="229">
        <v>0.0</v>
      </c>
      <c r="O18" s="229">
        <v>0.0</v>
      </c>
      <c r="P18" s="229">
        <v>0.0</v>
      </c>
      <c r="Q18" s="229">
        <v>0.0</v>
      </c>
      <c r="R18" s="229">
        <v>0.0</v>
      </c>
      <c r="S18" s="229">
        <v>0.0</v>
      </c>
      <c r="T18" s="229">
        <v>0.0</v>
      </c>
      <c r="U18" s="229">
        <v>0.0</v>
      </c>
      <c r="V18" s="229">
        <v>0.0</v>
      </c>
      <c r="W18" s="229">
        <v>0.0</v>
      </c>
    </row>
    <row r="19">
      <c r="A19" s="347">
        <v>9.0</v>
      </c>
      <c r="B19" s="347">
        <v>7000.0</v>
      </c>
      <c r="C19" s="348">
        <v>0.0</v>
      </c>
      <c r="D19" s="347">
        <v>0.0</v>
      </c>
      <c r="E19" s="349">
        <v>0.0</v>
      </c>
      <c r="F19" s="229">
        <v>0.0</v>
      </c>
      <c r="G19" s="229">
        <v>0.0</v>
      </c>
      <c r="H19" s="229">
        <v>0.0</v>
      </c>
      <c r="I19" s="229">
        <v>0.0</v>
      </c>
      <c r="J19" s="229">
        <v>0.0</v>
      </c>
      <c r="K19" s="229">
        <v>0.0</v>
      </c>
      <c r="L19" s="229">
        <v>0.0</v>
      </c>
      <c r="M19" s="229">
        <v>0.0</v>
      </c>
      <c r="N19" s="229">
        <v>0.0</v>
      </c>
      <c r="O19" s="229">
        <v>0.0</v>
      </c>
      <c r="P19" s="229">
        <v>0.0</v>
      </c>
      <c r="Q19" s="229">
        <v>0.0</v>
      </c>
      <c r="R19" s="229">
        <v>0.0</v>
      </c>
      <c r="S19" s="229">
        <v>0.0</v>
      </c>
      <c r="T19" s="229">
        <v>0.0</v>
      </c>
      <c r="U19" s="229">
        <v>0.0</v>
      </c>
      <c r="V19" s="229">
        <v>0.0</v>
      </c>
      <c r="W19" s="229">
        <v>0.0</v>
      </c>
    </row>
    <row r="20">
      <c r="A20" s="347">
        <v>10.0</v>
      </c>
      <c r="B20" s="347">
        <v>8500.0</v>
      </c>
      <c r="C20" s="348">
        <v>0.0</v>
      </c>
      <c r="D20" s="347">
        <v>0.0</v>
      </c>
      <c r="E20" s="349">
        <v>0.0</v>
      </c>
      <c r="F20" s="229">
        <v>0.0</v>
      </c>
      <c r="G20" s="229">
        <v>0.0</v>
      </c>
      <c r="H20" s="229">
        <v>0.0</v>
      </c>
      <c r="I20" s="229">
        <v>0.0</v>
      </c>
      <c r="J20" s="229">
        <v>0.0</v>
      </c>
      <c r="K20" s="229">
        <v>0.0</v>
      </c>
      <c r="L20" s="229">
        <v>0.0</v>
      </c>
      <c r="M20" s="229">
        <v>0.0</v>
      </c>
      <c r="N20" s="229">
        <v>0.0</v>
      </c>
      <c r="O20" s="229">
        <v>0.0</v>
      </c>
      <c r="P20" s="229">
        <v>0.0</v>
      </c>
      <c r="Q20" s="229">
        <v>0.0</v>
      </c>
      <c r="R20" s="229">
        <v>0.0</v>
      </c>
      <c r="S20" s="229">
        <v>0.0</v>
      </c>
      <c r="T20" s="229">
        <v>0.0</v>
      </c>
      <c r="U20" s="229">
        <v>0.0</v>
      </c>
      <c r="V20" s="229">
        <v>0.0</v>
      </c>
      <c r="W20" s="229">
        <v>0.0</v>
      </c>
    </row>
    <row r="21">
      <c r="A21" s="347">
        <v>11.0</v>
      </c>
      <c r="B21" s="347">
        <v>10000.0</v>
      </c>
      <c r="C21" s="348">
        <v>0.0</v>
      </c>
      <c r="D21" s="347">
        <v>0.0</v>
      </c>
      <c r="E21" s="349">
        <v>0.0</v>
      </c>
      <c r="F21" s="229">
        <v>0.0</v>
      </c>
      <c r="G21" s="229">
        <v>0.0</v>
      </c>
      <c r="H21" s="229">
        <v>0.0</v>
      </c>
      <c r="I21" s="229">
        <v>0.0</v>
      </c>
      <c r="J21" s="229">
        <v>0.0</v>
      </c>
      <c r="K21" s="229">
        <v>0.0</v>
      </c>
      <c r="L21" s="229">
        <v>0.0</v>
      </c>
      <c r="M21" s="229">
        <v>0.0</v>
      </c>
      <c r="N21" s="229">
        <v>0.0</v>
      </c>
      <c r="O21" s="229">
        <v>0.0</v>
      </c>
      <c r="P21" s="229">
        <v>0.0</v>
      </c>
      <c r="Q21" s="229">
        <v>0.0</v>
      </c>
      <c r="R21" s="229">
        <v>0.0</v>
      </c>
      <c r="S21" s="229">
        <v>0.0</v>
      </c>
      <c r="T21" s="229">
        <v>0.0</v>
      </c>
      <c r="U21" s="229">
        <v>0.0</v>
      </c>
      <c r="V21" s="229">
        <v>0.0</v>
      </c>
      <c r="W21" s="229">
        <v>0.0</v>
      </c>
    </row>
    <row r="22">
      <c r="A22" s="347">
        <v>12.0</v>
      </c>
      <c r="B22" s="347">
        <v>11500.0</v>
      </c>
      <c r="C22" s="348">
        <v>0.0</v>
      </c>
      <c r="D22" s="347">
        <v>0.0</v>
      </c>
      <c r="E22" s="349">
        <v>0.0</v>
      </c>
      <c r="F22" s="229">
        <v>0.0</v>
      </c>
      <c r="G22" s="229">
        <v>0.0</v>
      </c>
      <c r="H22" s="229">
        <v>0.0</v>
      </c>
      <c r="I22" s="229">
        <v>0.0</v>
      </c>
      <c r="J22" s="229">
        <v>0.0</v>
      </c>
      <c r="K22" s="229">
        <v>0.0</v>
      </c>
      <c r="L22" s="229">
        <v>0.0</v>
      </c>
      <c r="M22" s="229">
        <v>0.0</v>
      </c>
      <c r="N22" s="229">
        <v>0.0</v>
      </c>
      <c r="O22" s="229">
        <v>0.0</v>
      </c>
      <c r="P22" s="229">
        <v>0.0</v>
      </c>
      <c r="Q22" s="229">
        <v>0.0</v>
      </c>
      <c r="R22" s="229">
        <v>0.0</v>
      </c>
      <c r="S22" s="229">
        <v>0.0</v>
      </c>
      <c r="T22" s="229">
        <v>0.0</v>
      </c>
      <c r="U22" s="229">
        <v>0.0</v>
      </c>
      <c r="V22" s="229">
        <v>0.0</v>
      </c>
      <c r="W22" s="229">
        <v>0.0</v>
      </c>
    </row>
    <row r="23">
      <c r="A23" s="347">
        <v>13.0</v>
      </c>
      <c r="B23" s="347">
        <v>13000.0</v>
      </c>
      <c r="C23" s="348">
        <v>0.0</v>
      </c>
      <c r="D23" s="347">
        <v>0.0</v>
      </c>
      <c r="E23" s="349">
        <v>0.0</v>
      </c>
      <c r="F23" s="229">
        <v>0.0</v>
      </c>
      <c r="G23" s="229">
        <v>0.0</v>
      </c>
      <c r="H23" s="229">
        <v>0.0</v>
      </c>
      <c r="I23" s="229">
        <v>0.0</v>
      </c>
      <c r="J23" s="229">
        <v>0.0</v>
      </c>
      <c r="K23" s="229">
        <v>0.0</v>
      </c>
      <c r="L23" s="229">
        <v>0.0</v>
      </c>
      <c r="M23" s="229">
        <v>0.0</v>
      </c>
      <c r="N23" s="229">
        <v>0.0</v>
      </c>
      <c r="O23" s="229">
        <v>0.0</v>
      </c>
      <c r="P23" s="229">
        <v>0.0</v>
      </c>
      <c r="Q23" s="229">
        <v>0.0</v>
      </c>
      <c r="R23" s="229">
        <v>0.0</v>
      </c>
      <c r="S23" s="229">
        <v>0.0</v>
      </c>
      <c r="T23" s="229">
        <v>0.0</v>
      </c>
      <c r="U23" s="229">
        <v>0.0</v>
      </c>
      <c r="V23" s="229">
        <v>0.0</v>
      </c>
      <c r="W23" s="229">
        <v>0.0</v>
      </c>
    </row>
    <row r="24">
      <c r="A24" s="347">
        <v>14.0</v>
      </c>
      <c r="B24" s="347">
        <v>14500.0</v>
      </c>
      <c r="C24" s="348">
        <v>0.0</v>
      </c>
      <c r="D24" s="347">
        <v>0.0</v>
      </c>
      <c r="E24" s="349">
        <v>0.0</v>
      </c>
      <c r="F24" s="229">
        <v>0.0</v>
      </c>
      <c r="G24" s="229">
        <v>0.0</v>
      </c>
      <c r="H24" s="229">
        <v>0.0</v>
      </c>
      <c r="I24" s="229">
        <v>0.0</v>
      </c>
      <c r="J24" s="229">
        <v>0.0</v>
      </c>
      <c r="K24" s="229">
        <v>0.0</v>
      </c>
      <c r="L24" s="229">
        <v>0.0</v>
      </c>
      <c r="M24" s="229">
        <v>0.0</v>
      </c>
      <c r="N24" s="229">
        <v>0.0</v>
      </c>
      <c r="O24" s="229">
        <v>0.0</v>
      </c>
      <c r="P24" s="229">
        <v>0.0</v>
      </c>
      <c r="Q24" s="229">
        <v>0.0</v>
      </c>
      <c r="R24" s="229">
        <v>0.0</v>
      </c>
      <c r="S24" s="229">
        <v>0.0</v>
      </c>
      <c r="T24" s="229">
        <v>0.0</v>
      </c>
      <c r="U24" s="229">
        <v>0.0</v>
      </c>
      <c r="V24" s="229">
        <v>0.0</v>
      </c>
      <c r="W24" s="229">
        <v>0.0</v>
      </c>
    </row>
    <row r="25">
      <c r="A25" s="347">
        <v>15.0</v>
      </c>
      <c r="B25" s="347">
        <v>16000.0</v>
      </c>
      <c r="C25" s="348">
        <v>0.0</v>
      </c>
      <c r="D25" s="347">
        <v>0.0</v>
      </c>
      <c r="E25" s="349">
        <v>0.0</v>
      </c>
      <c r="F25" s="229">
        <v>0.0</v>
      </c>
      <c r="G25" s="229">
        <v>0.0</v>
      </c>
      <c r="H25" s="229">
        <v>0.0</v>
      </c>
      <c r="I25" s="229">
        <v>0.0</v>
      </c>
      <c r="J25" s="229">
        <v>0.0</v>
      </c>
      <c r="K25" s="229">
        <v>0.0</v>
      </c>
      <c r="L25" s="229">
        <v>0.0</v>
      </c>
      <c r="M25" s="229">
        <v>0.0</v>
      </c>
      <c r="N25" s="229">
        <v>0.0</v>
      </c>
      <c r="O25" s="229">
        <v>0.0</v>
      </c>
      <c r="P25" s="229">
        <v>0.0</v>
      </c>
      <c r="Q25" s="229">
        <v>0.0</v>
      </c>
      <c r="R25" s="229">
        <v>0.0</v>
      </c>
      <c r="S25" s="229">
        <v>0.0</v>
      </c>
      <c r="T25" s="229">
        <v>0.0</v>
      </c>
      <c r="U25" s="229">
        <v>0.0</v>
      </c>
      <c r="V25" s="229">
        <v>0.0</v>
      </c>
      <c r="W25" s="229">
        <v>0.0</v>
      </c>
    </row>
    <row r="26">
      <c r="A26" s="347">
        <v>16.0</v>
      </c>
      <c r="B26" s="347">
        <v>17500.0</v>
      </c>
      <c r="C26" s="348">
        <v>0.0</v>
      </c>
      <c r="D26" s="347">
        <v>0.0</v>
      </c>
      <c r="E26" s="349">
        <v>0.0</v>
      </c>
      <c r="F26" s="229">
        <v>0.0</v>
      </c>
      <c r="G26" s="229">
        <v>0.0</v>
      </c>
      <c r="H26" s="229">
        <v>0.0</v>
      </c>
      <c r="I26" s="229">
        <v>0.0</v>
      </c>
      <c r="J26" s="229">
        <v>0.0</v>
      </c>
      <c r="K26" s="229">
        <v>0.0</v>
      </c>
      <c r="L26" s="229">
        <v>0.0</v>
      </c>
      <c r="M26" s="229">
        <v>0.0</v>
      </c>
      <c r="N26" s="229">
        <v>0.0</v>
      </c>
      <c r="O26" s="229">
        <v>0.0</v>
      </c>
      <c r="P26" s="229">
        <v>0.0</v>
      </c>
      <c r="Q26" s="229">
        <v>0.0</v>
      </c>
      <c r="R26" s="229">
        <v>0.0</v>
      </c>
      <c r="S26" s="229">
        <v>0.0</v>
      </c>
      <c r="T26" s="229">
        <v>0.0</v>
      </c>
      <c r="U26" s="229">
        <v>0.0</v>
      </c>
      <c r="V26" s="229">
        <v>0.0</v>
      </c>
      <c r="W26" s="229">
        <v>0.0</v>
      </c>
    </row>
    <row r="27">
      <c r="A27" s="347">
        <v>17.0</v>
      </c>
      <c r="B27" s="347">
        <v>19000.0</v>
      </c>
      <c r="C27" s="348">
        <v>0.0</v>
      </c>
      <c r="D27" s="347">
        <v>0.0</v>
      </c>
      <c r="E27" s="349">
        <v>0.0</v>
      </c>
      <c r="F27" s="229">
        <v>0.0</v>
      </c>
      <c r="G27" s="229">
        <v>0.0</v>
      </c>
      <c r="H27" s="229">
        <v>0.0</v>
      </c>
      <c r="I27" s="229">
        <v>0.0</v>
      </c>
      <c r="J27" s="229">
        <v>0.0</v>
      </c>
      <c r="K27" s="229">
        <v>0.0</v>
      </c>
      <c r="L27" s="229">
        <v>0.0</v>
      </c>
      <c r="M27" s="229">
        <v>0.0</v>
      </c>
      <c r="N27" s="229">
        <v>0.0</v>
      </c>
      <c r="O27" s="229">
        <v>0.0</v>
      </c>
      <c r="P27" s="229">
        <v>0.0</v>
      </c>
      <c r="Q27" s="229">
        <v>0.0</v>
      </c>
      <c r="R27" s="229">
        <v>0.0</v>
      </c>
      <c r="S27" s="229">
        <v>0.0</v>
      </c>
      <c r="T27" s="229">
        <v>0.0</v>
      </c>
      <c r="U27" s="229">
        <v>0.0</v>
      </c>
      <c r="V27" s="229">
        <v>0.0</v>
      </c>
      <c r="W27" s="229">
        <v>0.0</v>
      </c>
    </row>
    <row r="28">
      <c r="A28" s="347">
        <v>18.0</v>
      </c>
      <c r="B28" s="347">
        <v>20500.0</v>
      </c>
      <c r="C28" s="348">
        <v>0.0</v>
      </c>
      <c r="D28" s="347">
        <v>0.0</v>
      </c>
      <c r="E28" s="349">
        <v>0.0</v>
      </c>
      <c r="F28" s="229">
        <v>0.0</v>
      </c>
      <c r="G28" s="229">
        <v>0.0</v>
      </c>
      <c r="H28" s="229">
        <v>0.0</v>
      </c>
      <c r="I28" s="229">
        <v>0.0</v>
      </c>
      <c r="J28" s="229">
        <v>0.0</v>
      </c>
      <c r="K28" s="229">
        <v>0.0</v>
      </c>
      <c r="L28" s="229">
        <v>0.0</v>
      </c>
      <c r="M28" s="229">
        <v>0.0</v>
      </c>
      <c r="N28" s="229">
        <v>0.0</v>
      </c>
      <c r="O28" s="229">
        <v>0.0</v>
      </c>
      <c r="P28" s="229">
        <v>0.0</v>
      </c>
      <c r="Q28" s="229">
        <v>0.0</v>
      </c>
      <c r="R28" s="229">
        <v>0.0</v>
      </c>
      <c r="S28" s="229">
        <v>0.0</v>
      </c>
      <c r="T28" s="229">
        <v>0.0</v>
      </c>
      <c r="U28" s="229">
        <v>0.0</v>
      </c>
      <c r="V28" s="229">
        <v>0.0</v>
      </c>
      <c r="W28" s="229">
        <v>0.0</v>
      </c>
    </row>
    <row r="29">
      <c r="A29" s="347">
        <v>19.0</v>
      </c>
      <c r="B29" s="347">
        <v>22000.0</v>
      </c>
      <c r="C29" s="348">
        <v>0.0</v>
      </c>
      <c r="D29" s="347">
        <v>0.0</v>
      </c>
      <c r="E29" s="349">
        <v>0.0</v>
      </c>
      <c r="F29" s="229">
        <v>0.0</v>
      </c>
      <c r="G29" s="229">
        <v>0.0</v>
      </c>
      <c r="H29" s="229">
        <v>0.0</v>
      </c>
      <c r="I29" s="229">
        <v>0.0</v>
      </c>
      <c r="J29" s="229">
        <v>0.0</v>
      </c>
      <c r="K29" s="229">
        <v>0.0</v>
      </c>
      <c r="L29" s="229">
        <v>0.0</v>
      </c>
      <c r="M29" s="229">
        <v>0.0</v>
      </c>
      <c r="N29" s="229">
        <v>0.0</v>
      </c>
      <c r="O29" s="229">
        <v>0.0</v>
      </c>
      <c r="P29" s="229">
        <v>0.0</v>
      </c>
      <c r="Q29" s="229">
        <v>0.0</v>
      </c>
      <c r="R29" s="229">
        <v>0.0</v>
      </c>
      <c r="S29" s="229">
        <v>0.0</v>
      </c>
      <c r="T29" s="229">
        <v>0.0</v>
      </c>
      <c r="U29" s="229">
        <v>0.0</v>
      </c>
      <c r="V29" s="229">
        <v>0.0</v>
      </c>
      <c r="W29" s="229">
        <v>0.0</v>
      </c>
    </row>
    <row r="30">
      <c r="A30" s="347">
        <v>20.0</v>
      </c>
      <c r="B30" s="347">
        <v>23500.0</v>
      </c>
      <c r="C30" s="348">
        <v>0.0</v>
      </c>
      <c r="D30" s="347">
        <v>0.0</v>
      </c>
      <c r="E30" s="349">
        <v>0.0</v>
      </c>
      <c r="F30" s="229">
        <v>0.0</v>
      </c>
      <c r="G30" s="229">
        <v>0.0</v>
      </c>
      <c r="H30" s="229">
        <v>0.0</v>
      </c>
      <c r="I30" s="229">
        <v>0.0</v>
      </c>
      <c r="J30" s="229">
        <v>0.0</v>
      </c>
      <c r="K30" s="229">
        <v>0.0</v>
      </c>
      <c r="L30" s="229">
        <v>0.0</v>
      </c>
      <c r="M30" s="229">
        <v>0.0</v>
      </c>
      <c r="N30" s="229">
        <v>0.0</v>
      </c>
      <c r="O30" s="229">
        <v>0.0</v>
      </c>
      <c r="P30" s="229">
        <v>0.0</v>
      </c>
      <c r="Q30" s="229">
        <v>0.0</v>
      </c>
      <c r="R30" s="229">
        <v>0.0</v>
      </c>
      <c r="S30" s="229">
        <v>0.0</v>
      </c>
      <c r="T30" s="229">
        <v>0.0</v>
      </c>
      <c r="U30" s="229">
        <v>0.0</v>
      </c>
      <c r="V30" s="229">
        <v>0.0</v>
      </c>
      <c r="W30" s="229">
        <v>0.0</v>
      </c>
    </row>
    <row r="34">
      <c r="A34" s="158" t="s">
        <v>339</v>
      </c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</row>
    <row r="35">
      <c r="A35" s="333" t="s">
        <v>340</v>
      </c>
      <c r="C35" s="334" t="s">
        <v>76</v>
      </c>
      <c r="D35" s="204" t="s">
        <v>46</v>
      </c>
      <c r="E35" s="204" t="s">
        <v>121</v>
      </c>
      <c r="F35" s="204" t="s">
        <v>47</v>
      </c>
      <c r="G35" s="204" t="s">
        <v>48</v>
      </c>
      <c r="H35" s="204" t="s">
        <v>50</v>
      </c>
      <c r="I35" s="204" t="s">
        <v>52</v>
      </c>
      <c r="J35" s="204" t="s">
        <v>53</v>
      </c>
      <c r="K35" s="204" t="s">
        <v>54</v>
      </c>
      <c r="L35" s="204" t="s">
        <v>55</v>
      </c>
      <c r="M35" s="204" t="s">
        <v>56</v>
      </c>
      <c r="N35" s="204" t="s">
        <v>57</v>
      </c>
      <c r="O35" s="204" t="s">
        <v>58</v>
      </c>
      <c r="P35" s="165" t="s">
        <v>135</v>
      </c>
      <c r="Q35" s="165" t="s">
        <v>122</v>
      </c>
      <c r="R35" s="165" t="s">
        <v>123</v>
      </c>
      <c r="S35" s="165" t="s">
        <v>124</v>
      </c>
      <c r="T35" s="165" t="s">
        <v>125</v>
      </c>
      <c r="U35" s="165" t="s">
        <v>126</v>
      </c>
      <c r="V35" s="165" t="s">
        <v>127</v>
      </c>
      <c r="W35" s="165" t="s">
        <v>128</v>
      </c>
    </row>
    <row r="36">
      <c r="A36" s="335">
        <v>1.0</v>
      </c>
      <c r="C36" s="336">
        <v>100.0</v>
      </c>
      <c r="D36" s="229">
        <v>0.0</v>
      </c>
      <c r="E36" s="229">
        <v>0.0</v>
      </c>
      <c r="F36" s="229">
        <v>0.0</v>
      </c>
      <c r="G36" s="229">
        <v>0.0</v>
      </c>
      <c r="H36" s="229">
        <v>0.0</v>
      </c>
      <c r="I36" s="229">
        <v>0.0</v>
      </c>
      <c r="J36" s="229">
        <v>0.0</v>
      </c>
      <c r="K36" s="229">
        <v>1.0</v>
      </c>
      <c r="L36" s="229">
        <v>0.0</v>
      </c>
      <c r="M36" s="229">
        <v>0.0</v>
      </c>
      <c r="N36" s="229">
        <v>0.0</v>
      </c>
      <c r="O36" s="229">
        <v>0.0</v>
      </c>
      <c r="P36" s="167">
        <v>0.0</v>
      </c>
      <c r="Q36" s="167">
        <v>0.0</v>
      </c>
      <c r="R36" s="167">
        <v>0.0</v>
      </c>
      <c r="S36" s="167">
        <v>0.0</v>
      </c>
      <c r="T36" s="167">
        <v>0.0</v>
      </c>
      <c r="U36" s="167">
        <v>0.0</v>
      </c>
      <c r="V36" s="167">
        <v>0.0</v>
      </c>
      <c r="W36" s="167">
        <v>0.0</v>
      </c>
    </row>
    <row r="37">
      <c r="A37" s="335">
        <v>2.0</v>
      </c>
      <c r="C37" s="336">
        <v>50.0</v>
      </c>
      <c r="D37" s="229">
        <v>0.0</v>
      </c>
      <c r="E37" s="229">
        <v>0.0</v>
      </c>
      <c r="F37" s="229">
        <v>0.0</v>
      </c>
      <c r="G37" s="229">
        <v>0.0</v>
      </c>
      <c r="H37" s="229">
        <v>0.0</v>
      </c>
      <c r="I37" s="229">
        <v>0.0</v>
      </c>
      <c r="J37" s="229">
        <v>1.0</v>
      </c>
      <c r="K37" s="229">
        <v>0.0</v>
      </c>
      <c r="L37" s="229">
        <v>0.0</v>
      </c>
      <c r="M37" s="229">
        <v>0.0</v>
      </c>
      <c r="N37" s="229">
        <v>0.0</v>
      </c>
      <c r="O37" s="229">
        <v>0.0</v>
      </c>
      <c r="P37" s="167">
        <v>0.0</v>
      </c>
      <c r="Q37" s="167">
        <v>0.0</v>
      </c>
      <c r="R37" s="167">
        <v>0.0</v>
      </c>
      <c r="S37" s="167">
        <v>0.0</v>
      </c>
      <c r="T37" s="167">
        <v>0.0</v>
      </c>
      <c r="U37" s="167">
        <v>0.0</v>
      </c>
      <c r="V37" s="167">
        <v>0.0</v>
      </c>
      <c r="W37" s="167">
        <v>0.0</v>
      </c>
    </row>
    <row r="38">
      <c r="A38" s="335">
        <v>3.0</v>
      </c>
      <c r="C38" s="336">
        <v>25.0</v>
      </c>
      <c r="D38" s="229">
        <v>0.0</v>
      </c>
      <c r="E38" s="229">
        <v>0.0</v>
      </c>
      <c r="F38" s="229">
        <v>0.0</v>
      </c>
      <c r="G38" s="229">
        <v>0.0</v>
      </c>
      <c r="H38" s="229">
        <v>1.0</v>
      </c>
      <c r="I38" s="229">
        <v>0.0</v>
      </c>
      <c r="J38" s="229">
        <v>0.0</v>
      </c>
      <c r="K38" s="229">
        <v>0.0</v>
      </c>
      <c r="L38" s="229">
        <v>0.0</v>
      </c>
      <c r="M38" s="229">
        <v>0.0</v>
      </c>
      <c r="N38" s="229">
        <v>0.0</v>
      </c>
      <c r="O38" s="229">
        <v>0.0</v>
      </c>
      <c r="P38" s="167">
        <v>0.0</v>
      </c>
      <c r="Q38" s="167">
        <v>0.0</v>
      </c>
      <c r="R38" s="167">
        <v>0.0</v>
      </c>
      <c r="S38" s="167">
        <v>0.0</v>
      </c>
      <c r="T38" s="167">
        <v>0.0</v>
      </c>
      <c r="U38" s="167">
        <v>0.0</v>
      </c>
      <c r="V38" s="167">
        <v>0.0</v>
      </c>
      <c r="W38" s="167">
        <v>0.0</v>
      </c>
    </row>
    <row r="39">
      <c r="A39" s="335">
        <v>4.0</v>
      </c>
      <c r="C39" s="336">
        <v>0.0</v>
      </c>
      <c r="D39" s="229">
        <v>0.0</v>
      </c>
      <c r="E39" s="229">
        <v>0.0</v>
      </c>
      <c r="F39" s="229">
        <v>0.0</v>
      </c>
      <c r="G39" s="229">
        <v>0.0</v>
      </c>
      <c r="H39" s="229">
        <v>0.0</v>
      </c>
      <c r="I39" s="229">
        <v>1.0</v>
      </c>
      <c r="J39" s="229">
        <v>0.0</v>
      </c>
      <c r="K39" s="229">
        <v>0.0</v>
      </c>
      <c r="L39" s="229">
        <v>0.0</v>
      </c>
      <c r="M39" s="229">
        <v>0.0</v>
      </c>
      <c r="N39" s="229">
        <v>0.0</v>
      </c>
      <c r="O39" s="229">
        <v>0.0</v>
      </c>
      <c r="P39" s="167">
        <v>0.0</v>
      </c>
      <c r="Q39" s="167">
        <v>0.0</v>
      </c>
      <c r="R39" s="167">
        <v>0.0</v>
      </c>
      <c r="S39" s="167">
        <v>0.0</v>
      </c>
      <c r="T39" s="167">
        <v>0.0</v>
      </c>
      <c r="U39" s="167">
        <v>0.0</v>
      </c>
      <c r="V39" s="167">
        <v>0.0</v>
      </c>
      <c r="W39" s="167">
        <v>0.0</v>
      </c>
    </row>
    <row r="40">
      <c r="A40" s="335">
        <v>5.0</v>
      </c>
      <c r="C40" s="336">
        <v>0.0</v>
      </c>
      <c r="D40" s="229">
        <v>0.0</v>
      </c>
      <c r="E40" s="229">
        <v>0.0</v>
      </c>
      <c r="F40" s="229">
        <v>0.0</v>
      </c>
      <c r="G40" s="229">
        <v>0.0</v>
      </c>
      <c r="H40" s="229">
        <v>0.0</v>
      </c>
      <c r="I40" s="229">
        <v>1.0</v>
      </c>
      <c r="J40" s="229">
        <v>0.0</v>
      </c>
      <c r="K40" s="229">
        <v>0.0</v>
      </c>
      <c r="L40" s="229">
        <v>0.0</v>
      </c>
      <c r="M40" s="229">
        <v>0.0</v>
      </c>
      <c r="N40" s="229">
        <v>0.0</v>
      </c>
      <c r="O40" s="229">
        <v>0.0</v>
      </c>
      <c r="P40" s="167">
        <v>0.0</v>
      </c>
      <c r="Q40" s="167">
        <v>0.0</v>
      </c>
      <c r="R40" s="167">
        <v>0.0</v>
      </c>
      <c r="S40" s="167">
        <v>0.0</v>
      </c>
      <c r="T40" s="167">
        <v>0.0</v>
      </c>
      <c r="U40" s="167">
        <v>0.0</v>
      </c>
      <c r="V40" s="167">
        <v>0.0</v>
      </c>
      <c r="W40" s="167">
        <v>0.0</v>
      </c>
    </row>
    <row r="41">
      <c r="A41" s="335">
        <v>6.0</v>
      </c>
      <c r="C41" s="336">
        <v>0.0</v>
      </c>
      <c r="D41" s="229">
        <v>0.0</v>
      </c>
      <c r="E41" s="229">
        <v>0.0</v>
      </c>
      <c r="F41" s="229">
        <v>0.0</v>
      </c>
      <c r="G41" s="229">
        <v>1.0</v>
      </c>
      <c r="H41" s="229">
        <v>0.0</v>
      </c>
      <c r="I41" s="229">
        <v>0.0</v>
      </c>
      <c r="J41" s="229">
        <v>0.0</v>
      </c>
      <c r="K41" s="229">
        <v>0.0</v>
      </c>
      <c r="L41" s="229">
        <v>0.0</v>
      </c>
      <c r="M41" s="229">
        <v>0.0</v>
      </c>
      <c r="N41" s="229">
        <v>0.0</v>
      </c>
      <c r="O41" s="229">
        <v>0.0</v>
      </c>
      <c r="P41" s="167">
        <v>0.0</v>
      </c>
      <c r="Q41" s="167">
        <v>0.0</v>
      </c>
      <c r="R41" s="167">
        <v>0.0</v>
      </c>
      <c r="S41" s="167">
        <v>0.0</v>
      </c>
      <c r="T41" s="167">
        <v>0.0</v>
      </c>
      <c r="U41" s="167">
        <v>0.0</v>
      </c>
      <c r="V41" s="167">
        <v>0.0</v>
      </c>
      <c r="W41" s="167">
        <v>0.0</v>
      </c>
    </row>
    <row r="42">
      <c r="A42" s="335">
        <v>7.0</v>
      </c>
      <c r="C42" s="336">
        <v>0.0</v>
      </c>
      <c r="D42" s="229">
        <v>0.0</v>
      </c>
      <c r="E42" s="229">
        <v>0.0</v>
      </c>
      <c r="F42" s="229">
        <v>0.0</v>
      </c>
      <c r="G42" s="229">
        <v>1.0</v>
      </c>
      <c r="H42" s="229">
        <v>0.0</v>
      </c>
      <c r="I42" s="229">
        <v>0.0</v>
      </c>
      <c r="J42" s="229">
        <v>0.0</v>
      </c>
      <c r="K42" s="229">
        <v>0.0</v>
      </c>
      <c r="L42" s="229">
        <v>0.0</v>
      </c>
      <c r="M42" s="229">
        <v>0.0</v>
      </c>
      <c r="N42" s="229">
        <v>0.0</v>
      </c>
      <c r="O42" s="229">
        <v>0.0</v>
      </c>
      <c r="P42" s="167">
        <v>0.0</v>
      </c>
      <c r="Q42" s="167">
        <v>0.0</v>
      </c>
      <c r="R42" s="167">
        <v>0.0</v>
      </c>
      <c r="S42" s="167">
        <v>0.0</v>
      </c>
      <c r="T42" s="167">
        <v>0.0</v>
      </c>
      <c r="U42" s="167">
        <v>0.0</v>
      </c>
      <c r="V42" s="167">
        <v>0.0</v>
      </c>
      <c r="W42" s="167">
        <v>0.0</v>
      </c>
    </row>
    <row r="43">
      <c r="A43" s="335">
        <v>8.0</v>
      </c>
      <c r="C43" s="336">
        <v>0.0</v>
      </c>
      <c r="D43" s="229">
        <v>0.0</v>
      </c>
      <c r="E43" s="229">
        <v>0.0</v>
      </c>
      <c r="F43" s="229">
        <v>1.0</v>
      </c>
      <c r="G43" s="229">
        <v>0.0</v>
      </c>
      <c r="H43" s="229">
        <v>0.0</v>
      </c>
      <c r="I43" s="229">
        <v>0.0</v>
      </c>
      <c r="J43" s="229">
        <v>0.0</v>
      </c>
      <c r="K43" s="229">
        <v>0.0</v>
      </c>
      <c r="L43" s="229">
        <v>0.0</v>
      </c>
      <c r="M43" s="229">
        <v>0.0</v>
      </c>
      <c r="N43" s="229">
        <v>0.0</v>
      </c>
      <c r="O43" s="229">
        <v>0.0</v>
      </c>
      <c r="P43" s="167">
        <v>0.0</v>
      </c>
      <c r="Q43" s="167">
        <v>0.0</v>
      </c>
      <c r="R43" s="167">
        <v>0.0</v>
      </c>
      <c r="S43" s="167">
        <v>0.0</v>
      </c>
      <c r="T43" s="167">
        <v>0.0</v>
      </c>
      <c r="U43" s="167">
        <v>0.0</v>
      </c>
      <c r="V43" s="167">
        <v>0.0</v>
      </c>
      <c r="W43" s="167">
        <v>0.0</v>
      </c>
    </row>
    <row r="44">
      <c r="A44" s="335">
        <v>9.0</v>
      </c>
      <c r="C44" s="336">
        <v>0.0</v>
      </c>
      <c r="D44" s="229">
        <v>0.0</v>
      </c>
      <c r="E44" s="229">
        <v>0.0</v>
      </c>
      <c r="F44" s="229">
        <v>1.0</v>
      </c>
      <c r="G44" s="229">
        <v>0.0</v>
      </c>
      <c r="H44" s="229">
        <v>0.0</v>
      </c>
      <c r="I44" s="229">
        <v>0.0</v>
      </c>
      <c r="J44" s="229">
        <v>0.0</v>
      </c>
      <c r="K44" s="229">
        <v>0.0</v>
      </c>
      <c r="L44" s="229">
        <v>0.0</v>
      </c>
      <c r="M44" s="229">
        <v>0.0</v>
      </c>
      <c r="N44" s="229">
        <v>0.0</v>
      </c>
      <c r="O44" s="229">
        <v>0.0</v>
      </c>
      <c r="P44" s="167">
        <v>0.0</v>
      </c>
      <c r="Q44" s="167">
        <v>0.0</v>
      </c>
      <c r="R44" s="167">
        <v>0.0</v>
      </c>
      <c r="S44" s="167">
        <v>0.0</v>
      </c>
      <c r="T44" s="167">
        <v>0.0</v>
      </c>
      <c r="U44" s="167">
        <v>0.0</v>
      </c>
      <c r="V44" s="167">
        <v>0.0</v>
      </c>
      <c r="W44" s="167">
        <v>0.0</v>
      </c>
    </row>
    <row r="45">
      <c r="A45" s="335">
        <v>10.0</v>
      </c>
      <c r="C45" s="336">
        <v>0.0</v>
      </c>
      <c r="D45" s="229">
        <v>0.0</v>
      </c>
      <c r="E45" s="229">
        <v>0.0</v>
      </c>
      <c r="F45" s="229">
        <v>1.0</v>
      </c>
      <c r="G45" s="229">
        <v>0.0</v>
      </c>
      <c r="H45" s="229">
        <v>0.0</v>
      </c>
      <c r="I45" s="229">
        <v>0.0</v>
      </c>
      <c r="J45" s="229">
        <v>0.0</v>
      </c>
      <c r="K45" s="229">
        <v>0.0</v>
      </c>
      <c r="L45" s="229">
        <v>0.0</v>
      </c>
      <c r="M45" s="229">
        <v>0.0</v>
      </c>
      <c r="N45" s="229">
        <v>0.0</v>
      </c>
      <c r="O45" s="229">
        <v>0.0</v>
      </c>
      <c r="P45" s="167">
        <v>0.0</v>
      </c>
      <c r="Q45" s="167">
        <v>0.0</v>
      </c>
      <c r="R45" s="167">
        <v>0.0</v>
      </c>
      <c r="S45" s="167">
        <v>0.0</v>
      </c>
      <c r="T45" s="167">
        <v>0.0</v>
      </c>
      <c r="U45" s="167">
        <v>0.0</v>
      </c>
      <c r="V45" s="167">
        <v>0.0</v>
      </c>
      <c r="W45" s="167">
        <v>0.0</v>
      </c>
    </row>
    <row r="46">
      <c r="A46" s="335">
        <v>11.0</v>
      </c>
      <c r="C46" s="336">
        <v>0.0</v>
      </c>
      <c r="D46" s="229">
        <v>0.0</v>
      </c>
      <c r="E46" s="229">
        <v>0.0</v>
      </c>
      <c r="F46" s="229">
        <v>0.0</v>
      </c>
      <c r="G46" s="229">
        <v>0.0</v>
      </c>
      <c r="H46" s="229">
        <v>0.0</v>
      </c>
      <c r="I46" s="229">
        <v>0.0</v>
      </c>
      <c r="J46" s="229">
        <v>0.0</v>
      </c>
      <c r="K46" s="229">
        <v>0.0</v>
      </c>
      <c r="L46" s="229">
        <v>0.0</v>
      </c>
      <c r="M46" s="229">
        <v>0.0</v>
      </c>
      <c r="N46" s="229">
        <v>0.0</v>
      </c>
      <c r="O46" s="229">
        <v>0.0</v>
      </c>
      <c r="P46" s="167">
        <v>0.0</v>
      </c>
      <c r="Q46" s="167">
        <v>0.0</v>
      </c>
      <c r="R46" s="167">
        <v>0.0</v>
      </c>
      <c r="S46" s="167">
        <v>0.0</v>
      </c>
      <c r="T46" s="167">
        <v>0.0</v>
      </c>
      <c r="U46" s="167">
        <v>0.0</v>
      </c>
      <c r="V46" s="167">
        <v>0.0</v>
      </c>
      <c r="W46" s="167">
        <v>0.0</v>
      </c>
    </row>
    <row r="47">
      <c r="A47" s="335">
        <v>12.0</v>
      </c>
      <c r="C47" s="336">
        <v>0.0</v>
      </c>
      <c r="D47" s="229">
        <v>0.0</v>
      </c>
      <c r="E47" s="229">
        <v>0.0</v>
      </c>
      <c r="F47" s="229">
        <v>0.0</v>
      </c>
      <c r="G47" s="229">
        <v>0.0</v>
      </c>
      <c r="H47" s="229">
        <v>0.0</v>
      </c>
      <c r="I47" s="229">
        <v>0.0</v>
      </c>
      <c r="J47" s="229">
        <v>0.0</v>
      </c>
      <c r="K47" s="229">
        <v>0.0</v>
      </c>
      <c r="L47" s="229">
        <v>0.0</v>
      </c>
      <c r="M47" s="229">
        <v>0.0</v>
      </c>
      <c r="N47" s="229">
        <v>0.0</v>
      </c>
      <c r="O47" s="229">
        <v>0.0</v>
      </c>
      <c r="P47" s="167">
        <v>0.0</v>
      </c>
      <c r="Q47" s="167">
        <v>0.0</v>
      </c>
      <c r="R47" s="167">
        <v>0.0</v>
      </c>
      <c r="S47" s="167">
        <v>0.0</v>
      </c>
      <c r="T47" s="167">
        <v>0.0</v>
      </c>
      <c r="U47" s="167">
        <v>0.0</v>
      </c>
      <c r="V47" s="167">
        <v>0.0</v>
      </c>
      <c r="W47" s="167">
        <v>0.0</v>
      </c>
    </row>
    <row r="48">
      <c r="A48" s="335">
        <v>13.0</v>
      </c>
      <c r="C48" s="336">
        <v>0.0</v>
      </c>
      <c r="D48" s="229">
        <v>0.0</v>
      </c>
      <c r="E48" s="229">
        <v>0.0</v>
      </c>
      <c r="F48" s="229">
        <v>0.0</v>
      </c>
      <c r="G48" s="229">
        <v>0.0</v>
      </c>
      <c r="H48" s="229">
        <v>0.0</v>
      </c>
      <c r="I48" s="229">
        <v>0.0</v>
      </c>
      <c r="J48" s="229">
        <v>0.0</v>
      </c>
      <c r="K48" s="229">
        <v>0.0</v>
      </c>
      <c r="L48" s="229">
        <v>0.0</v>
      </c>
      <c r="M48" s="229">
        <v>0.0</v>
      </c>
      <c r="N48" s="229">
        <v>0.0</v>
      </c>
      <c r="O48" s="229">
        <v>0.0</v>
      </c>
      <c r="P48" s="167">
        <v>0.0</v>
      </c>
      <c r="Q48" s="167">
        <v>0.0</v>
      </c>
      <c r="R48" s="167">
        <v>0.0</v>
      </c>
      <c r="S48" s="167">
        <v>0.0</v>
      </c>
      <c r="T48" s="167">
        <v>0.0</v>
      </c>
      <c r="U48" s="167">
        <v>0.0</v>
      </c>
      <c r="V48" s="167">
        <v>0.0</v>
      </c>
      <c r="W48" s="167">
        <v>0.0</v>
      </c>
    </row>
    <row r="49">
      <c r="A49" s="335">
        <v>14.0</v>
      </c>
      <c r="C49" s="336">
        <v>0.0</v>
      </c>
      <c r="D49" s="229">
        <v>0.0</v>
      </c>
      <c r="E49" s="229">
        <v>0.0</v>
      </c>
      <c r="F49" s="229">
        <v>0.0</v>
      </c>
      <c r="G49" s="229">
        <v>0.0</v>
      </c>
      <c r="H49" s="229">
        <v>0.0</v>
      </c>
      <c r="I49" s="229">
        <v>0.0</v>
      </c>
      <c r="J49" s="229">
        <v>0.0</v>
      </c>
      <c r="K49" s="229">
        <v>0.0</v>
      </c>
      <c r="L49" s="229">
        <v>0.0</v>
      </c>
      <c r="M49" s="229">
        <v>0.0</v>
      </c>
      <c r="N49" s="229">
        <v>0.0</v>
      </c>
      <c r="O49" s="229">
        <v>0.0</v>
      </c>
      <c r="P49" s="167">
        <v>0.0</v>
      </c>
      <c r="Q49" s="167">
        <v>0.0</v>
      </c>
      <c r="R49" s="167">
        <v>0.0</v>
      </c>
      <c r="S49" s="167">
        <v>0.0</v>
      </c>
      <c r="T49" s="167">
        <v>0.0</v>
      </c>
      <c r="U49" s="167">
        <v>0.0</v>
      </c>
      <c r="V49" s="167">
        <v>0.0</v>
      </c>
      <c r="W49" s="167">
        <v>0.0</v>
      </c>
    </row>
    <row r="50">
      <c r="A50" s="335">
        <v>15.0</v>
      </c>
      <c r="C50" s="336">
        <v>0.0</v>
      </c>
      <c r="D50" s="229">
        <v>0.0</v>
      </c>
      <c r="E50" s="229">
        <v>0.0</v>
      </c>
      <c r="F50" s="229">
        <v>0.0</v>
      </c>
      <c r="G50" s="229">
        <v>0.0</v>
      </c>
      <c r="H50" s="229">
        <v>0.0</v>
      </c>
      <c r="I50" s="229">
        <v>0.0</v>
      </c>
      <c r="J50" s="229">
        <v>0.0</v>
      </c>
      <c r="K50" s="229">
        <v>0.0</v>
      </c>
      <c r="L50" s="229">
        <v>0.0</v>
      </c>
      <c r="M50" s="229">
        <v>0.0</v>
      </c>
      <c r="N50" s="229">
        <v>0.0</v>
      </c>
      <c r="O50" s="229">
        <v>0.0</v>
      </c>
      <c r="P50" s="167">
        <v>0.0</v>
      </c>
      <c r="Q50" s="167">
        <v>0.0</v>
      </c>
      <c r="R50" s="167">
        <v>0.0</v>
      </c>
      <c r="S50" s="167">
        <v>0.0</v>
      </c>
      <c r="T50" s="167">
        <v>0.0</v>
      </c>
      <c r="U50" s="167">
        <v>0.0</v>
      </c>
      <c r="V50" s="167">
        <v>0.0</v>
      </c>
      <c r="W50" s="167">
        <v>0.0</v>
      </c>
    </row>
    <row r="51">
      <c r="A51" s="335">
        <v>16.0</v>
      </c>
      <c r="C51" s="336">
        <v>0.0</v>
      </c>
      <c r="D51" s="229">
        <v>0.0</v>
      </c>
      <c r="E51" s="229">
        <v>0.0</v>
      </c>
      <c r="F51" s="229">
        <v>0.0</v>
      </c>
      <c r="G51" s="229">
        <v>0.0</v>
      </c>
      <c r="H51" s="229">
        <v>0.0</v>
      </c>
      <c r="I51" s="229">
        <v>0.0</v>
      </c>
      <c r="J51" s="229">
        <v>0.0</v>
      </c>
      <c r="K51" s="229">
        <v>0.0</v>
      </c>
      <c r="L51" s="229">
        <v>0.0</v>
      </c>
      <c r="M51" s="229">
        <v>0.0</v>
      </c>
      <c r="N51" s="229">
        <v>0.0</v>
      </c>
      <c r="O51" s="229">
        <v>0.0</v>
      </c>
      <c r="P51" s="167">
        <v>0.0</v>
      </c>
      <c r="Q51" s="167">
        <v>0.0</v>
      </c>
      <c r="R51" s="167">
        <v>0.0</v>
      </c>
      <c r="S51" s="167">
        <v>0.0</v>
      </c>
      <c r="T51" s="167">
        <v>0.0</v>
      </c>
      <c r="U51" s="167">
        <v>0.0</v>
      </c>
      <c r="V51" s="167">
        <v>0.0</v>
      </c>
      <c r="W51" s="167">
        <v>0.0</v>
      </c>
    </row>
    <row r="52">
      <c r="A52" s="335">
        <v>17.0</v>
      </c>
      <c r="C52" s="336">
        <v>0.0</v>
      </c>
      <c r="D52" s="229">
        <v>0.0</v>
      </c>
      <c r="E52" s="229">
        <v>0.0</v>
      </c>
      <c r="F52" s="229">
        <v>0.0</v>
      </c>
      <c r="G52" s="229">
        <v>0.0</v>
      </c>
      <c r="H52" s="229">
        <v>0.0</v>
      </c>
      <c r="I52" s="229">
        <v>0.0</v>
      </c>
      <c r="J52" s="229">
        <v>0.0</v>
      </c>
      <c r="K52" s="229">
        <v>0.0</v>
      </c>
      <c r="L52" s="229">
        <v>0.0</v>
      </c>
      <c r="M52" s="229">
        <v>0.0</v>
      </c>
      <c r="N52" s="229">
        <v>0.0</v>
      </c>
      <c r="O52" s="229">
        <v>0.0</v>
      </c>
      <c r="P52" s="167">
        <v>0.0</v>
      </c>
      <c r="Q52" s="167">
        <v>0.0</v>
      </c>
      <c r="R52" s="167">
        <v>0.0</v>
      </c>
      <c r="S52" s="167">
        <v>0.0</v>
      </c>
      <c r="T52" s="167">
        <v>0.0</v>
      </c>
      <c r="U52" s="167">
        <v>0.0</v>
      </c>
      <c r="V52" s="167">
        <v>0.0</v>
      </c>
      <c r="W52" s="167">
        <v>0.0</v>
      </c>
    </row>
    <row r="53">
      <c r="A53" s="335">
        <v>18.0</v>
      </c>
      <c r="C53" s="336">
        <v>0.0</v>
      </c>
      <c r="D53" s="229">
        <v>0.0</v>
      </c>
      <c r="E53" s="229">
        <v>0.0</v>
      </c>
      <c r="F53" s="229">
        <v>0.0</v>
      </c>
      <c r="G53" s="229">
        <v>0.0</v>
      </c>
      <c r="H53" s="229">
        <v>0.0</v>
      </c>
      <c r="I53" s="229">
        <v>0.0</v>
      </c>
      <c r="J53" s="229">
        <v>0.0</v>
      </c>
      <c r="K53" s="229">
        <v>0.0</v>
      </c>
      <c r="L53" s="229">
        <v>0.0</v>
      </c>
      <c r="M53" s="229">
        <v>0.0</v>
      </c>
      <c r="N53" s="229">
        <v>0.0</v>
      </c>
      <c r="O53" s="229">
        <v>0.0</v>
      </c>
      <c r="P53" s="167">
        <v>0.0</v>
      </c>
      <c r="Q53" s="167">
        <v>0.0</v>
      </c>
      <c r="R53" s="167">
        <v>0.0</v>
      </c>
      <c r="S53" s="167">
        <v>0.0</v>
      </c>
      <c r="T53" s="167">
        <v>0.0</v>
      </c>
      <c r="U53" s="167">
        <v>0.0</v>
      </c>
      <c r="V53" s="167">
        <v>0.0</v>
      </c>
      <c r="W53" s="167">
        <v>0.0</v>
      </c>
    </row>
    <row r="54">
      <c r="A54" s="335">
        <v>19.0</v>
      </c>
      <c r="C54" s="336">
        <v>0.0</v>
      </c>
      <c r="D54" s="229">
        <v>0.0</v>
      </c>
      <c r="E54" s="229">
        <v>0.0</v>
      </c>
      <c r="F54" s="229">
        <v>0.0</v>
      </c>
      <c r="G54" s="229">
        <v>0.0</v>
      </c>
      <c r="H54" s="229">
        <v>0.0</v>
      </c>
      <c r="I54" s="229">
        <v>0.0</v>
      </c>
      <c r="J54" s="229">
        <v>0.0</v>
      </c>
      <c r="K54" s="229">
        <v>0.0</v>
      </c>
      <c r="L54" s="229">
        <v>0.0</v>
      </c>
      <c r="M54" s="229">
        <v>0.0</v>
      </c>
      <c r="N54" s="229">
        <v>0.0</v>
      </c>
      <c r="O54" s="229">
        <v>0.0</v>
      </c>
      <c r="P54" s="167">
        <v>0.0</v>
      </c>
      <c r="Q54" s="167">
        <v>0.0</v>
      </c>
      <c r="R54" s="167">
        <v>0.0</v>
      </c>
      <c r="S54" s="167">
        <v>0.0</v>
      </c>
      <c r="T54" s="167">
        <v>0.0</v>
      </c>
      <c r="U54" s="167">
        <v>0.0</v>
      </c>
      <c r="V54" s="167">
        <v>0.0</v>
      </c>
      <c r="W54" s="167">
        <v>0.0</v>
      </c>
    </row>
    <row r="55">
      <c r="A55" s="335">
        <v>20.0</v>
      </c>
      <c r="C55" s="336">
        <v>0.0</v>
      </c>
      <c r="D55" s="229">
        <v>0.0</v>
      </c>
      <c r="E55" s="229">
        <v>0.0</v>
      </c>
      <c r="F55" s="229">
        <v>0.0</v>
      </c>
      <c r="G55" s="229">
        <v>0.0</v>
      </c>
      <c r="H55" s="229">
        <v>0.0</v>
      </c>
      <c r="I55" s="229">
        <v>0.0</v>
      </c>
      <c r="J55" s="229">
        <v>0.0</v>
      </c>
      <c r="K55" s="229">
        <v>0.0</v>
      </c>
      <c r="L55" s="229">
        <v>0.0</v>
      </c>
      <c r="M55" s="229">
        <v>0.0</v>
      </c>
      <c r="N55" s="229">
        <v>0.0</v>
      </c>
      <c r="O55" s="229">
        <v>0.0</v>
      </c>
      <c r="P55" s="167">
        <v>0.0</v>
      </c>
      <c r="Q55" s="167">
        <v>0.0</v>
      </c>
      <c r="R55" s="167">
        <v>0.0</v>
      </c>
      <c r="S55" s="167">
        <v>0.0</v>
      </c>
      <c r="T55" s="167">
        <v>0.0</v>
      </c>
      <c r="U55" s="167">
        <v>0.0</v>
      </c>
      <c r="V55" s="167">
        <v>0.0</v>
      </c>
      <c r="W55" s="167">
        <v>0.0</v>
      </c>
    </row>
  </sheetData>
  <conditionalFormatting sqref="C11:W30 C36:W55">
    <cfRule type="cellIs" dxfId="4" priority="1" operator="greaterThan">
      <formula>0</formula>
    </cfRule>
  </conditionalFormatting>
  <conditionalFormatting sqref="A11:W30 A36:A55 C36:W55">
    <cfRule type="expression" dxfId="5" priority="2">
      <formula>ISEVEN(ROW()-10+1)</formula>
    </cfRule>
  </conditionalFormatting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  <col customWidth="1" min="24" max="32" width="7.63"/>
    <col customWidth="1" min="33" max="33" width="2.5"/>
    <col customWidth="1" min="34" max="34" width="14.0"/>
    <col customWidth="1" min="35" max="35" width="5.13"/>
    <col customWidth="1" min="36" max="36" width="15.5"/>
    <col customWidth="1" min="37" max="37" width="5.13"/>
    <col customWidth="1" min="38" max="38" width="15.5"/>
    <col customWidth="1" min="39" max="39" width="5.13"/>
    <col customWidth="1" min="40" max="40" width="15.5"/>
    <col customWidth="1" min="41" max="41" width="5.13"/>
    <col customWidth="1" min="42" max="42" width="15.5"/>
    <col customWidth="1" min="43" max="43" width="5.13"/>
    <col customWidth="1" min="44" max="44" width="15.5"/>
  </cols>
  <sheetData>
    <row r="1">
      <c r="A1" s="277" t="s">
        <v>63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AH1" s="222" t="s">
        <v>306</v>
      </c>
    </row>
    <row r="2">
      <c r="A2" s="174" t="s">
        <v>106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AH2" s="223" t="s">
        <v>177</v>
      </c>
      <c r="AI2" s="224" t="s">
        <v>178</v>
      </c>
    </row>
    <row r="3">
      <c r="A3" s="178" t="s">
        <v>330</v>
      </c>
      <c r="B3" s="225" t="s">
        <v>331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AH3" s="223" t="s">
        <v>179</v>
      </c>
      <c r="AI3" s="232" t="s">
        <v>180</v>
      </c>
    </row>
    <row r="4">
      <c r="A4" s="178" t="s">
        <v>332</v>
      </c>
      <c r="B4" s="225" t="s">
        <v>333</v>
      </c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</row>
    <row r="5">
      <c r="A5" s="178" t="s">
        <v>334</v>
      </c>
      <c r="B5" s="225" t="s">
        <v>335</v>
      </c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AH5" s="226" t="s">
        <v>307</v>
      </c>
      <c r="AI5" s="226" t="s">
        <v>308</v>
      </c>
      <c r="AJ5" s="226" t="s">
        <v>183</v>
      </c>
      <c r="AK5" s="226" t="s">
        <v>309</v>
      </c>
      <c r="AL5" s="226" t="s">
        <v>185</v>
      </c>
      <c r="AM5" s="226" t="s">
        <v>310</v>
      </c>
      <c r="AN5" s="226" t="s">
        <v>188</v>
      </c>
      <c r="AO5" s="226" t="s">
        <v>311</v>
      </c>
      <c r="AP5" s="226" t="s">
        <v>191</v>
      </c>
      <c r="AQ5" s="226" t="s">
        <v>312</v>
      </c>
      <c r="AR5" s="226" t="s">
        <v>194</v>
      </c>
    </row>
    <row r="6">
      <c r="A6" s="178" t="s">
        <v>171</v>
      </c>
      <c r="B6" s="225">
        <v>25.0</v>
      </c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AH6" s="332" t="s">
        <v>342</v>
      </c>
      <c r="AI6" s="237">
        <f t="array" ref="AI6">LET(pos,CHOOSE(MATCH($AI$2,{"p25","p50","p75"},0),SUMIFS(data_event_inst!$K:$K,data_event_inst!$A:$A,"Target Day",data_event_inst!$B:$B,$AI$3,data_event_inst!$C:$C,"0-9"),SUMIFS(data_event_inst!$L:$L,data_event_inst!$A:$A,"Target Day",data_event_inst!$B:$B,$AI$3,data_event_inst!$C:$C,"0-9"),SUMIFS(data_event_inst!$M:$M,data_event_inst!$A:$A,"Target Day",data_event_inst!$B:$B,$AI$3,data_event_inst!$C:$C,"0-9")),IF(pos=0,"n/a",pos))</f>
        <v>10</v>
      </c>
      <c r="AJ6" s="238" t="str">
        <f t="array" ref="AJ6">LET(p,AI6,IF(p="n/a","n/a",IF(p&gt;20,"(below ladder)",LET(s,INDEX($C$36:$W$55,p,0),b,TEXTJOIN(", ",TRUE,IF(s&gt;0,$C$35:$W$35&amp;": "&amp;ROUND(s,2),"")),IF(b="","{} (rank pays nothing)","{"&amp;b&amp;"}")))))</f>
        <v>{Red: 1}</v>
      </c>
      <c r="AK6" s="237">
        <f t="array" ref="AK6">LET(pos,CHOOSE(MATCH($AI$2,{"p25","p50","p75"},0),SUMIFS(data_event_inst!$K:$K,data_event_inst!$A:$A,"Target Day",data_event_inst!$B:$B,$AI$3,data_event_inst!$C:$C,"10-19"),SUMIFS(data_event_inst!$L:$L,data_event_inst!$A:$A,"Target Day",data_event_inst!$B:$B,$AI$3,data_event_inst!$C:$C,"10-19"),SUMIFS(data_event_inst!$M:$M,data_event_inst!$A:$A,"Target Day",data_event_inst!$B:$B,$AI$3,data_event_inst!$C:$C,"10-19")),IF(pos=0,"n/a",pos))</f>
        <v>8</v>
      </c>
      <c r="AL6" s="238" t="str">
        <f t="array" ref="AL6">LET(p,AK6,IF(p="n/a","n/a",IF(p&gt;20,"(below ladder)",LET(s,INDEX($C$36:$W$55,p,0),b,TEXTJOIN(", ",TRUE,IF(s&gt;0,$C$35:$W$35&amp;": "&amp;ROUND(s,2),"")),IF(b="","{} (rank pays nothing)","{"&amp;b&amp;"}")))))</f>
        <v>{Red: 1}</v>
      </c>
      <c r="AM6" s="237">
        <f t="array" ref="AM6">LET(pos,CHOOSE(MATCH($AI$2,{"p25","p50","p75"},0),SUMIFS(data_event_inst!$K:$K,data_event_inst!$A:$A,"Target Day",data_event_inst!$B:$B,$AI$3,data_event_inst!$C:$C,"20-39"),SUMIFS(data_event_inst!$L:$L,data_event_inst!$A:$A,"Target Day",data_event_inst!$B:$B,$AI$3,data_event_inst!$C:$C,"20-39"),SUMIFS(data_event_inst!$M:$M,data_event_inst!$A:$A,"Target Day",data_event_inst!$B:$B,$AI$3,data_event_inst!$C:$C,"20-39")),IF(pos=0,"n/a",pos))</f>
        <v>6</v>
      </c>
      <c r="AN6" s="238" t="str">
        <f t="array" ref="AN6">LET(p,AM6,IF(p="n/a","n/a",IF(p&gt;20,"(below ladder)",LET(s,INDEX($C$36:$W$55,p,0),b,TEXTJOIN(", ",TRUE,IF(s&gt;0,$C$35:$W$35&amp;": "&amp;ROUND(s,2),"")),IF(b="","{} (rank pays nothing)","{"&amp;b&amp;"}")))))</f>
        <v>{Chuck: 1}</v>
      </c>
      <c r="AO6" s="237">
        <f t="array" ref="AO6">LET(pos,CHOOSE(MATCH($AI$2,{"p25","p50","p75"},0),SUMIFS(data_event_inst!$K:$K,data_event_inst!$A:$A,"Target Day",data_event_inst!$B:$B,$AI$3,data_event_inst!$C:$C,"40-99"),SUMIFS(data_event_inst!$L:$L,data_event_inst!$A:$A,"Target Day",data_event_inst!$B:$B,$AI$3,data_event_inst!$C:$C,"40-99"),SUMIFS(data_event_inst!$M:$M,data_event_inst!$A:$A,"Target Day",data_event_inst!$B:$B,$AI$3,data_event_inst!$C:$C,"40-99")),IF(pos=0,"n/a",pos))</f>
        <v>3</v>
      </c>
      <c r="AP6" s="238" t="str">
        <f t="array" ref="AP6">LET(p,AO6,IF(p="n/a","n/a",IF(p&gt;20,"(below ladder)",LET(s,INDEX($C$36:$W$55,p,0),b,TEXTJOIN(", ",TRUE,IF(s&gt;0,$C$35:$W$35&amp;": "&amp;ROUND(s,2),"")),IF(b="","{} (rank pays nothing)","{"&amp;b&amp;"}")))))</f>
        <v>{Coins: 25, Bomb: 1}</v>
      </c>
      <c r="AQ6" s="237">
        <f t="array" ref="AQ6">LET(pos,CHOOSE(MATCH($AI$2,{"p25","p50","p75"},0),SUMIFS(data_event_inst!$K:$K,data_event_inst!$A:$A,"Target Day",data_event_inst!$B:$B,$AI$3,data_event_inst!$C:$C,"100+"),SUMIFS(data_event_inst!$L:$L,data_event_inst!$A:$A,"Target Day",data_event_inst!$B:$B,$AI$3,data_event_inst!$C:$C,"100+"),SUMIFS(data_event_inst!$M:$M,data_event_inst!$A:$A,"Target Day",data_event_inst!$B:$B,$AI$3,data_event_inst!$C:$C,"100+")),IF(pos=0,"n/a",pos))</f>
        <v>1</v>
      </c>
      <c r="AR6" s="238" t="str">
        <f t="array" ref="AR6">LET(p,AQ6,IF(p="n/a","n/a",IF(p&gt;20,"(below ladder)",LET(s,INDEX($C$36:$W$55,p,0),b,TEXTJOIN(", ",TRUE,IF(s&gt;0,$C$35:$W$35&amp;": "&amp;ROUND(s,2),"")),IF(b="","{} (rank pays nothing)","{"&amp;b&amp;"}")))))</f>
        <v>{Coins: 100, Comet: 1}</v>
      </c>
    </row>
    <row r="7">
      <c r="A7" s="176" t="s">
        <v>169</v>
      </c>
      <c r="B7" s="362">
        <v>1.0</v>
      </c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</row>
    <row r="8">
      <c r="A8" s="172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AH8" s="338" t="s">
        <v>326</v>
      </c>
    </row>
    <row r="9">
      <c r="A9" s="363" t="s">
        <v>336</v>
      </c>
      <c r="B9" s="280"/>
      <c r="C9" s="280"/>
      <c r="D9" s="280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AH9" s="340" t="s">
        <v>355</v>
      </c>
    </row>
    <row r="10">
      <c r="A10" s="364" t="s">
        <v>174</v>
      </c>
      <c r="B10" s="364" t="s">
        <v>337</v>
      </c>
      <c r="C10" s="365" t="s">
        <v>76</v>
      </c>
      <c r="D10" s="366" t="s">
        <v>46</v>
      </c>
      <c r="E10" s="367" t="s">
        <v>121</v>
      </c>
      <c r="F10" s="276" t="s">
        <v>47</v>
      </c>
      <c r="G10" s="276" t="s">
        <v>48</v>
      </c>
      <c r="H10" s="276" t="s">
        <v>50</v>
      </c>
      <c r="I10" s="276" t="s">
        <v>52</v>
      </c>
      <c r="J10" s="276" t="s">
        <v>53</v>
      </c>
      <c r="K10" s="276" t="s">
        <v>54</v>
      </c>
      <c r="L10" s="276" t="s">
        <v>55</v>
      </c>
      <c r="M10" s="276" t="s">
        <v>56</v>
      </c>
      <c r="N10" s="276" t="s">
        <v>57</v>
      </c>
      <c r="O10" s="276" t="s">
        <v>58</v>
      </c>
      <c r="P10" s="187" t="s">
        <v>135</v>
      </c>
      <c r="Q10" s="187" t="s">
        <v>122</v>
      </c>
      <c r="R10" s="187" t="s">
        <v>123</v>
      </c>
      <c r="S10" s="187" t="s">
        <v>124</v>
      </c>
      <c r="T10" s="187" t="s">
        <v>125</v>
      </c>
      <c r="U10" s="187" t="s">
        <v>126</v>
      </c>
      <c r="V10" s="187" t="s">
        <v>127</v>
      </c>
      <c r="W10" s="187" t="s">
        <v>128</v>
      </c>
      <c r="AH10" s="338" t="s">
        <v>356</v>
      </c>
    </row>
    <row r="11">
      <c r="A11" s="368">
        <v>1.0</v>
      </c>
      <c r="B11" s="368">
        <v>100.0</v>
      </c>
      <c r="C11" s="369">
        <v>0.0</v>
      </c>
      <c r="D11" s="368">
        <v>0.0</v>
      </c>
      <c r="E11" s="370">
        <v>0.0</v>
      </c>
      <c r="F11" s="272">
        <v>0.0</v>
      </c>
      <c r="G11" s="272">
        <v>0.0</v>
      </c>
      <c r="H11" s="272">
        <v>0.0</v>
      </c>
      <c r="I11" s="272">
        <v>0.0</v>
      </c>
      <c r="J11" s="272">
        <v>0.0</v>
      </c>
      <c r="K11" s="272">
        <v>0.0</v>
      </c>
      <c r="L11" s="272">
        <v>0.0</v>
      </c>
      <c r="M11" s="272">
        <v>0.0</v>
      </c>
      <c r="N11" s="272">
        <v>0.0</v>
      </c>
      <c r="O11" s="272">
        <v>0.0</v>
      </c>
      <c r="P11" s="272">
        <v>0.0</v>
      </c>
      <c r="Q11" s="272">
        <v>0.0</v>
      </c>
      <c r="R11" s="272">
        <v>0.0</v>
      </c>
      <c r="S11" s="272">
        <v>0.0</v>
      </c>
      <c r="T11" s="272">
        <v>0.0</v>
      </c>
      <c r="U11" s="272">
        <v>0.0</v>
      </c>
      <c r="V11" s="272">
        <v>0.0</v>
      </c>
      <c r="W11" s="272">
        <v>0.0</v>
      </c>
      <c r="Y11" s="371"/>
    </row>
    <row r="12">
      <c r="A12" s="368">
        <v>2.0</v>
      </c>
      <c r="B12" s="368">
        <v>300.0</v>
      </c>
      <c r="C12" s="369">
        <v>0.0</v>
      </c>
      <c r="D12" s="368">
        <v>0.0</v>
      </c>
      <c r="E12" s="370">
        <v>0.0</v>
      </c>
      <c r="F12" s="272">
        <v>0.0</v>
      </c>
      <c r="G12" s="272">
        <v>0.0</v>
      </c>
      <c r="H12" s="272">
        <v>0.0</v>
      </c>
      <c r="I12" s="272">
        <v>0.0</v>
      </c>
      <c r="J12" s="272">
        <v>0.0</v>
      </c>
      <c r="K12" s="272">
        <v>0.0</v>
      </c>
      <c r="L12" s="272">
        <v>0.0</v>
      </c>
      <c r="M12" s="272">
        <v>0.0</v>
      </c>
      <c r="N12" s="272">
        <v>0.0</v>
      </c>
      <c r="O12" s="272">
        <v>0.0</v>
      </c>
      <c r="P12" s="272">
        <v>0.0</v>
      </c>
      <c r="Q12" s="272">
        <v>0.0</v>
      </c>
      <c r="R12" s="272">
        <v>0.0</v>
      </c>
      <c r="S12" s="272">
        <v>0.0</v>
      </c>
      <c r="T12" s="272">
        <v>0.0</v>
      </c>
      <c r="U12" s="272">
        <v>0.0</v>
      </c>
      <c r="V12" s="272">
        <v>0.0</v>
      </c>
      <c r="W12" s="272">
        <v>0.0</v>
      </c>
      <c r="Y12" s="371"/>
    </row>
    <row r="13">
      <c r="A13" s="368">
        <v>3.0</v>
      </c>
      <c r="B13" s="368">
        <v>500.0</v>
      </c>
      <c r="C13" s="369">
        <v>0.0</v>
      </c>
      <c r="D13" s="368">
        <v>0.0</v>
      </c>
      <c r="E13" s="370">
        <v>0.0</v>
      </c>
      <c r="F13" s="272">
        <v>0.0</v>
      </c>
      <c r="G13" s="272">
        <v>0.0</v>
      </c>
      <c r="H13" s="272">
        <v>0.0</v>
      </c>
      <c r="I13" s="272">
        <v>0.0</v>
      </c>
      <c r="J13" s="272">
        <v>0.0</v>
      </c>
      <c r="K13" s="272">
        <v>0.0</v>
      </c>
      <c r="L13" s="272">
        <v>0.0</v>
      </c>
      <c r="M13" s="272">
        <v>0.0</v>
      </c>
      <c r="N13" s="272">
        <v>0.0</v>
      </c>
      <c r="O13" s="272">
        <v>0.0</v>
      </c>
      <c r="P13" s="272">
        <v>0.0</v>
      </c>
      <c r="Q13" s="272">
        <v>0.0</v>
      </c>
      <c r="R13" s="272">
        <v>0.0</v>
      </c>
      <c r="S13" s="272">
        <v>0.0</v>
      </c>
      <c r="T13" s="272">
        <v>0.0</v>
      </c>
      <c r="U13" s="272">
        <v>0.0</v>
      </c>
      <c r="V13" s="272">
        <v>0.0</v>
      </c>
      <c r="W13" s="272">
        <v>0.0</v>
      </c>
      <c r="X13" s="1">
        <v>1.0</v>
      </c>
      <c r="Y13" s="371"/>
    </row>
    <row r="14">
      <c r="A14" s="368">
        <v>4.0</v>
      </c>
      <c r="B14" s="368">
        <v>700.0</v>
      </c>
      <c r="C14" s="369">
        <v>0.0</v>
      </c>
      <c r="D14" s="368">
        <v>0.0</v>
      </c>
      <c r="E14" s="370">
        <v>0.0</v>
      </c>
      <c r="F14" s="272">
        <v>0.0</v>
      </c>
      <c r="G14" s="272">
        <v>0.0</v>
      </c>
      <c r="H14" s="272">
        <v>0.0</v>
      </c>
      <c r="I14" s="272">
        <v>0.0</v>
      </c>
      <c r="J14" s="272">
        <v>0.0</v>
      </c>
      <c r="K14" s="272">
        <v>0.0</v>
      </c>
      <c r="L14" s="272">
        <v>0.0</v>
      </c>
      <c r="M14" s="272">
        <v>0.0</v>
      </c>
      <c r="N14" s="272">
        <v>0.0</v>
      </c>
      <c r="O14" s="272">
        <v>0.0</v>
      </c>
      <c r="P14" s="272">
        <v>0.0</v>
      </c>
      <c r="Q14" s="272">
        <v>0.0</v>
      </c>
      <c r="R14" s="272">
        <v>0.0</v>
      </c>
      <c r="S14" s="272">
        <v>0.0</v>
      </c>
      <c r="T14" s="272">
        <v>0.0</v>
      </c>
      <c r="U14" s="272">
        <v>0.0</v>
      </c>
      <c r="V14" s="272">
        <v>0.0</v>
      </c>
      <c r="W14" s="272">
        <v>0.0</v>
      </c>
      <c r="Y14" s="371"/>
    </row>
    <row r="15">
      <c r="A15" s="368">
        <v>5.0</v>
      </c>
      <c r="B15" s="368">
        <v>2000.0</v>
      </c>
      <c r="C15" s="369">
        <v>0.0</v>
      </c>
      <c r="D15" s="368">
        <v>0.0</v>
      </c>
      <c r="E15" s="370">
        <v>0.0</v>
      </c>
      <c r="F15" s="272">
        <v>0.0</v>
      </c>
      <c r="G15" s="272">
        <v>0.0</v>
      </c>
      <c r="H15" s="272">
        <v>0.0</v>
      </c>
      <c r="I15" s="272">
        <v>0.0</v>
      </c>
      <c r="J15" s="272">
        <v>0.0</v>
      </c>
      <c r="K15" s="272">
        <v>0.0</v>
      </c>
      <c r="L15" s="272">
        <v>0.0</v>
      </c>
      <c r="M15" s="272">
        <v>0.0</v>
      </c>
      <c r="N15" s="272">
        <v>0.0</v>
      </c>
      <c r="O15" s="272">
        <v>0.0</v>
      </c>
      <c r="P15" s="272">
        <v>0.0</v>
      </c>
      <c r="Q15" s="272">
        <v>0.0</v>
      </c>
      <c r="R15" s="272">
        <v>0.0</v>
      </c>
      <c r="S15" s="272">
        <v>0.0</v>
      </c>
      <c r="T15" s="272">
        <v>0.0</v>
      </c>
      <c r="U15" s="272">
        <v>0.0</v>
      </c>
      <c r="V15" s="272">
        <v>0.0</v>
      </c>
      <c r="W15" s="272">
        <v>0.0</v>
      </c>
      <c r="Y15" s="371"/>
    </row>
    <row r="16">
      <c r="A16" s="368">
        <v>6.0</v>
      </c>
      <c r="B16" s="368">
        <v>3000.0</v>
      </c>
      <c r="C16" s="369">
        <v>0.0</v>
      </c>
      <c r="D16" s="368">
        <v>0.0</v>
      </c>
      <c r="E16" s="370">
        <v>0.0</v>
      </c>
      <c r="F16" s="272">
        <v>0.0</v>
      </c>
      <c r="G16" s="272">
        <v>0.0</v>
      </c>
      <c r="H16" s="272">
        <v>0.0</v>
      </c>
      <c r="I16" s="272">
        <v>0.0</v>
      </c>
      <c r="J16" s="272">
        <v>0.0</v>
      </c>
      <c r="K16" s="272">
        <v>0.0</v>
      </c>
      <c r="L16" s="272">
        <v>0.0</v>
      </c>
      <c r="M16" s="272">
        <v>0.0</v>
      </c>
      <c r="N16" s="272">
        <v>0.0</v>
      </c>
      <c r="O16" s="272">
        <v>0.0</v>
      </c>
      <c r="P16" s="272">
        <v>0.0</v>
      </c>
      <c r="Q16" s="272">
        <v>0.0</v>
      </c>
      <c r="R16" s="272">
        <v>0.0</v>
      </c>
      <c r="S16" s="272">
        <v>0.0</v>
      </c>
      <c r="T16" s="272">
        <v>0.0</v>
      </c>
      <c r="U16" s="272">
        <v>0.0</v>
      </c>
      <c r="V16" s="272">
        <v>0.0</v>
      </c>
      <c r="W16" s="272">
        <v>0.0</v>
      </c>
      <c r="X16" s="1">
        <v>1.0</v>
      </c>
      <c r="Y16" s="371"/>
    </row>
    <row r="17">
      <c r="A17" s="368">
        <v>7.0</v>
      </c>
      <c r="B17" s="368">
        <v>4000.0</v>
      </c>
      <c r="C17" s="369">
        <v>0.0</v>
      </c>
      <c r="D17" s="368">
        <v>0.0</v>
      </c>
      <c r="E17" s="370">
        <v>0.0</v>
      </c>
      <c r="F17" s="272">
        <v>0.0</v>
      </c>
      <c r="G17" s="272">
        <v>0.0</v>
      </c>
      <c r="H17" s="272">
        <v>0.0</v>
      </c>
      <c r="I17" s="272">
        <v>0.0</v>
      </c>
      <c r="J17" s="272">
        <v>0.0</v>
      </c>
      <c r="K17" s="272">
        <v>0.0</v>
      </c>
      <c r="L17" s="272">
        <v>0.0</v>
      </c>
      <c r="M17" s="272">
        <v>0.0</v>
      </c>
      <c r="N17" s="272">
        <v>0.0</v>
      </c>
      <c r="O17" s="272">
        <v>0.0</v>
      </c>
      <c r="P17" s="272">
        <v>0.0</v>
      </c>
      <c r="Q17" s="272">
        <v>0.0</v>
      </c>
      <c r="R17" s="272">
        <v>0.0</v>
      </c>
      <c r="S17" s="272">
        <v>0.0</v>
      </c>
      <c r="T17" s="272">
        <v>0.0</v>
      </c>
      <c r="U17" s="272">
        <v>0.0</v>
      </c>
      <c r="V17" s="272">
        <v>0.0</v>
      </c>
      <c r="W17" s="272">
        <v>0.0</v>
      </c>
      <c r="Y17" s="371"/>
    </row>
    <row r="18">
      <c r="A18" s="368">
        <v>8.0</v>
      </c>
      <c r="B18" s="368">
        <v>5500.0</v>
      </c>
      <c r="C18" s="369">
        <v>0.0</v>
      </c>
      <c r="D18" s="368">
        <v>0.0</v>
      </c>
      <c r="E18" s="370">
        <v>0.0</v>
      </c>
      <c r="F18" s="272">
        <v>0.0</v>
      </c>
      <c r="G18" s="272">
        <v>0.0</v>
      </c>
      <c r="H18" s="272">
        <v>0.0</v>
      </c>
      <c r="I18" s="272">
        <v>0.0</v>
      </c>
      <c r="J18" s="272">
        <v>0.0</v>
      </c>
      <c r="K18" s="272">
        <v>0.0</v>
      </c>
      <c r="L18" s="272">
        <v>0.0</v>
      </c>
      <c r="M18" s="272">
        <v>0.0</v>
      </c>
      <c r="N18" s="272">
        <v>0.0</v>
      </c>
      <c r="O18" s="272">
        <v>0.0</v>
      </c>
      <c r="P18" s="272">
        <v>0.0</v>
      </c>
      <c r="Q18" s="272">
        <v>0.0</v>
      </c>
      <c r="R18" s="272">
        <v>0.0</v>
      </c>
      <c r="S18" s="272">
        <v>0.0</v>
      </c>
      <c r="T18" s="272">
        <v>0.0</v>
      </c>
      <c r="U18" s="272">
        <v>0.0</v>
      </c>
      <c r="V18" s="272">
        <v>0.0</v>
      </c>
      <c r="W18" s="272">
        <v>0.0</v>
      </c>
      <c r="Y18" s="371"/>
    </row>
    <row r="19">
      <c r="A19" s="368">
        <v>9.0</v>
      </c>
      <c r="B19" s="368">
        <v>7000.0</v>
      </c>
      <c r="C19" s="369">
        <v>0.0</v>
      </c>
      <c r="D19" s="368">
        <v>0.0</v>
      </c>
      <c r="E19" s="370">
        <v>0.0</v>
      </c>
      <c r="F19" s="272">
        <v>0.0</v>
      </c>
      <c r="G19" s="272">
        <v>0.0</v>
      </c>
      <c r="H19" s="272">
        <v>0.0</v>
      </c>
      <c r="I19" s="272">
        <v>0.0</v>
      </c>
      <c r="J19" s="272">
        <v>0.0</v>
      </c>
      <c r="K19" s="272">
        <v>0.0</v>
      </c>
      <c r="L19" s="272">
        <v>0.0</v>
      </c>
      <c r="M19" s="272">
        <v>0.0</v>
      </c>
      <c r="N19" s="272">
        <v>0.0</v>
      </c>
      <c r="O19" s="272">
        <v>0.0</v>
      </c>
      <c r="P19" s="272">
        <v>0.0</v>
      </c>
      <c r="Q19" s="272">
        <v>0.0</v>
      </c>
      <c r="R19" s="272">
        <v>0.0</v>
      </c>
      <c r="S19" s="272">
        <v>0.0</v>
      </c>
      <c r="T19" s="272">
        <v>0.0</v>
      </c>
      <c r="U19" s="272">
        <v>0.0</v>
      </c>
      <c r="V19" s="272">
        <v>0.0</v>
      </c>
      <c r="W19" s="272">
        <v>0.0</v>
      </c>
      <c r="Y19" s="371"/>
    </row>
    <row r="20">
      <c r="A20" s="368">
        <v>10.0</v>
      </c>
      <c r="B20" s="368">
        <v>8500.0</v>
      </c>
      <c r="C20" s="369">
        <v>0.0</v>
      </c>
      <c r="D20" s="368">
        <v>0.0</v>
      </c>
      <c r="E20" s="370">
        <v>0.0</v>
      </c>
      <c r="F20" s="272">
        <v>0.0</v>
      </c>
      <c r="G20" s="272">
        <v>0.0</v>
      </c>
      <c r="H20" s="272">
        <v>0.0</v>
      </c>
      <c r="I20" s="272">
        <v>0.0</v>
      </c>
      <c r="J20" s="272">
        <v>0.0</v>
      </c>
      <c r="K20" s="272">
        <v>0.0</v>
      </c>
      <c r="L20" s="272">
        <v>0.0</v>
      </c>
      <c r="M20" s="272">
        <v>0.0</v>
      </c>
      <c r="N20" s="272">
        <v>0.0</v>
      </c>
      <c r="O20" s="272">
        <v>0.0</v>
      </c>
      <c r="P20" s="272">
        <v>0.0</v>
      </c>
      <c r="Q20" s="272">
        <v>0.0</v>
      </c>
      <c r="R20" s="272">
        <v>0.0</v>
      </c>
      <c r="S20" s="272">
        <v>0.0</v>
      </c>
      <c r="T20" s="272">
        <v>0.0</v>
      </c>
      <c r="U20" s="272">
        <v>0.0</v>
      </c>
      <c r="V20" s="272">
        <v>0.0</v>
      </c>
      <c r="W20" s="272">
        <v>0.0</v>
      </c>
      <c r="Y20" s="371"/>
    </row>
    <row r="21" ht="15.75" customHeight="1">
      <c r="A21" s="368">
        <v>11.0</v>
      </c>
      <c r="B21" s="368">
        <v>10000.0</v>
      </c>
      <c r="C21" s="369">
        <v>0.0</v>
      </c>
      <c r="D21" s="368">
        <v>0.0</v>
      </c>
      <c r="E21" s="370">
        <v>0.0</v>
      </c>
      <c r="F21" s="272">
        <v>0.0</v>
      </c>
      <c r="G21" s="272">
        <v>0.0</v>
      </c>
      <c r="H21" s="272">
        <v>0.0</v>
      </c>
      <c r="I21" s="272">
        <v>0.0</v>
      </c>
      <c r="J21" s="272">
        <v>0.0</v>
      </c>
      <c r="K21" s="272">
        <v>0.0</v>
      </c>
      <c r="L21" s="272">
        <v>0.0</v>
      </c>
      <c r="M21" s="272">
        <v>0.0</v>
      </c>
      <c r="N21" s="272">
        <v>0.0</v>
      </c>
      <c r="O21" s="272">
        <v>0.0</v>
      </c>
      <c r="P21" s="272">
        <v>0.0</v>
      </c>
      <c r="Q21" s="272">
        <v>0.0</v>
      </c>
      <c r="R21" s="272">
        <v>0.0</v>
      </c>
      <c r="S21" s="272">
        <v>0.0</v>
      </c>
      <c r="T21" s="272">
        <v>0.0</v>
      </c>
      <c r="U21" s="272">
        <v>0.0</v>
      </c>
      <c r="V21" s="272">
        <v>0.0</v>
      </c>
      <c r="W21" s="272">
        <v>0.0</v>
      </c>
      <c r="Y21" s="371"/>
    </row>
    <row r="22" ht="15.75" customHeight="1">
      <c r="A22" s="368">
        <v>12.0</v>
      </c>
      <c r="B22" s="368">
        <v>11500.0</v>
      </c>
      <c r="C22" s="369">
        <v>0.0</v>
      </c>
      <c r="D22" s="368">
        <v>0.0</v>
      </c>
      <c r="E22" s="370">
        <v>0.0</v>
      </c>
      <c r="F22" s="272">
        <v>0.0</v>
      </c>
      <c r="G22" s="272">
        <v>0.0</v>
      </c>
      <c r="H22" s="272">
        <v>0.0</v>
      </c>
      <c r="I22" s="272">
        <v>0.0</v>
      </c>
      <c r="J22" s="272">
        <v>0.0</v>
      </c>
      <c r="K22" s="272">
        <v>0.0</v>
      </c>
      <c r="L22" s="272">
        <v>0.0</v>
      </c>
      <c r="M22" s="272">
        <v>0.0</v>
      </c>
      <c r="N22" s="272">
        <v>0.0</v>
      </c>
      <c r="O22" s="272">
        <v>0.0</v>
      </c>
      <c r="P22" s="272">
        <v>0.0</v>
      </c>
      <c r="Q22" s="272">
        <v>0.0</v>
      </c>
      <c r="R22" s="272">
        <v>0.0</v>
      </c>
      <c r="S22" s="272">
        <v>0.0</v>
      </c>
      <c r="T22" s="272">
        <v>0.0</v>
      </c>
      <c r="U22" s="272">
        <v>0.0</v>
      </c>
      <c r="V22" s="272">
        <v>0.0</v>
      </c>
      <c r="W22" s="272">
        <v>0.0</v>
      </c>
      <c r="Y22" s="371"/>
    </row>
    <row r="23" ht="15.75" customHeight="1">
      <c r="A23" s="368">
        <v>13.0</v>
      </c>
      <c r="B23" s="368">
        <v>13000.0</v>
      </c>
      <c r="C23" s="369">
        <v>0.0</v>
      </c>
      <c r="D23" s="368">
        <v>0.0</v>
      </c>
      <c r="E23" s="370">
        <v>0.0</v>
      </c>
      <c r="F23" s="272">
        <v>0.0</v>
      </c>
      <c r="G23" s="272">
        <v>0.0</v>
      </c>
      <c r="H23" s="272">
        <v>0.0</v>
      </c>
      <c r="I23" s="272">
        <v>0.0</v>
      </c>
      <c r="J23" s="272">
        <v>0.0</v>
      </c>
      <c r="K23" s="272">
        <v>0.0</v>
      </c>
      <c r="L23" s="272">
        <v>0.0</v>
      </c>
      <c r="M23" s="272">
        <v>0.0</v>
      </c>
      <c r="N23" s="272">
        <v>0.0</v>
      </c>
      <c r="O23" s="272">
        <v>0.0</v>
      </c>
      <c r="P23" s="272">
        <v>0.0</v>
      </c>
      <c r="Q23" s="272">
        <v>0.0</v>
      </c>
      <c r="R23" s="272">
        <v>0.0</v>
      </c>
      <c r="S23" s="272">
        <v>0.0</v>
      </c>
      <c r="T23" s="272">
        <v>0.0</v>
      </c>
      <c r="U23" s="272">
        <v>0.0</v>
      </c>
      <c r="V23" s="272">
        <v>0.0</v>
      </c>
      <c r="W23" s="272">
        <v>0.0</v>
      </c>
      <c r="Y23" s="371"/>
    </row>
    <row r="24" ht="15.75" customHeight="1">
      <c r="A24" s="368">
        <v>14.0</v>
      </c>
      <c r="B24" s="368">
        <v>14500.0</v>
      </c>
      <c r="C24" s="369">
        <v>0.0</v>
      </c>
      <c r="D24" s="368">
        <v>0.0</v>
      </c>
      <c r="E24" s="370">
        <v>0.0</v>
      </c>
      <c r="F24" s="272">
        <v>0.0</v>
      </c>
      <c r="G24" s="272">
        <v>0.0</v>
      </c>
      <c r="H24" s="272">
        <v>0.0</v>
      </c>
      <c r="I24" s="272">
        <v>0.0</v>
      </c>
      <c r="J24" s="272">
        <v>0.0</v>
      </c>
      <c r="K24" s="272">
        <v>0.0</v>
      </c>
      <c r="L24" s="272">
        <v>0.0</v>
      </c>
      <c r="M24" s="272">
        <v>0.0</v>
      </c>
      <c r="N24" s="272">
        <v>0.0</v>
      </c>
      <c r="O24" s="272">
        <v>0.0</v>
      </c>
      <c r="P24" s="272">
        <v>0.0</v>
      </c>
      <c r="Q24" s="272">
        <v>0.0</v>
      </c>
      <c r="R24" s="272">
        <v>0.0</v>
      </c>
      <c r="S24" s="272">
        <v>0.0</v>
      </c>
      <c r="T24" s="272">
        <v>0.0</v>
      </c>
      <c r="U24" s="272">
        <v>0.0</v>
      </c>
      <c r="V24" s="272">
        <v>0.0</v>
      </c>
      <c r="W24" s="272">
        <v>0.0</v>
      </c>
      <c r="Y24" s="371"/>
    </row>
    <row r="25" ht="15.75" customHeight="1">
      <c r="A25" s="368">
        <v>15.0</v>
      </c>
      <c r="B25" s="368">
        <v>16000.0</v>
      </c>
      <c r="C25" s="369">
        <v>0.0</v>
      </c>
      <c r="D25" s="368">
        <v>0.0</v>
      </c>
      <c r="E25" s="370">
        <v>0.0</v>
      </c>
      <c r="F25" s="272">
        <v>0.0</v>
      </c>
      <c r="G25" s="272">
        <v>0.0</v>
      </c>
      <c r="H25" s="272">
        <v>0.0</v>
      </c>
      <c r="I25" s="272">
        <v>0.0</v>
      </c>
      <c r="J25" s="272">
        <v>0.0</v>
      </c>
      <c r="K25" s="272">
        <v>0.0</v>
      </c>
      <c r="L25" s="272">
        <v>0.0</v>
      </c>
      <c r="M25" s="272">
        <v>0.0</v>
      </c>
      <c r="N25" s="272">
        <v>0.0</v>
      </c>
      <c r="O25" s="272">
        <v>0.0</v>
      </c>
      <c r="P25" s="272">
        <v>0.0</v>
      </c>
      <c r="Q25" s="272">
        <v>0.0</v>
      </c>
      <c r="R25" s="272">
        <v>0.0</v>
      </c>
      <c r="S25" s="272">
        <v>0.0</v>
      </c>
      <c r="T25" s="272">
        <v>0.0</v>
      </c>
      <c r="U25" s="272">
        <v>0.0</v>
      </c>
      <c r="V25" s="272">
        <v>0.0</v>
      </c>
      <c r="W25" s="272">
        <v>0.0</v>
      </c>
      <c r="Y25" s="371"/>
    </row>
    <row r="26" ht="15.75" customHeight="1">
      <c r="A26" s="368">
        <v>16.0</v>
      </c>
      <c r="B26" s="368">
        <v>17500.0</v>
      </c>
      <c r="C26" s="369">
        <v>0.0</v>
      </c>
      <c r="D26" s="368">
        <v>0.0</v>
      </c>
      <c r="E26" s="370">
        <v>0.0</v>
      </c>
      <c r="F26" s="272">
        <v>0.0</v>
      </c>
      <c r="G26" s="272">
        <v>0.0</v>
      </c>
      <c r="H26" s="272">
        <v>0.0</v>
      </c>
      <c r="I26" s="272">
        <v>0.0</v>
      </c>
      <c r="J26" s="272">
        <v>0.0</v>
      </c>
      <c r="K26" s="272">
        <v>0.0</v>
      </c>
      <c r="L26" s="272">
        <v>0.0</v>
      </c>
      <c r="M26" s="272">
        <v>0.0</v>
      </c>
      <c r="N26" s="272">
        <v>0.0</v>
      </c>
      <c r="O26" s="272">
        <v>0.0</v>
      </c>
      <c r="P26" s="272">
        <v>0.0</v>
      </c>
      <c r="Q26" s="272">
        <v>0.0</v>
      </c>
      <c r="R26" s="272">
        <v>0.0</v>
      </c>
      <c r="S26" s="272">
        <v>0.0</v>
      </c>
      <c r="T26" s="272">
        <v>0.0</v>
      </c>
      <c r="U26" s="272">
        <v>0.0</v>
      </c>
      <c r="V26" s="272">
        <v>0.0</v>
      </c>
      <c r="W26" s="272">
        <v>0.0</v>
      </c>
      <c r="Y26" s="371"/>
    </row>
    <row r="27" ht="15.75" customHeight="1">
      <c r="A27" s="368">
        <v>17.0</v>
      </c>
      <c r="B27" s="368">
        <v>19000.0</v>
      </c>
      <c r="C27" s="369">
        <v>0.0</v>
      </c>
      <c r="D27" s="368">
        <v>0.0</v>
      </c>
      <c r="E27" s="370">
        <v>0.0</v>
      </c>
      <c r="F27" s="272">
        <v>0.0</v>
      </c>
      <c r="G27" s="272">
        <v>0.0</v>
      </c>
      <c r="H27" s="272">
        <v>0.0</v>
      </c>
      <c r="I27" s="272">
        <v>0.0</v>
      </c>
      <c r="J27" s="272">
        <v>0.0</v>
      </c>
      <c r="K27" s="272">
        <v>0.0</v>
      </c>
      <c r="L27" s="272">
        <v>0.0</v>
      </c>
      <c r="M27" s="272">
        <v>0.0</v>
      </c>
      <c r="N27" s="272">
        <v>0.0</v>
      </c>
      <c r="O27" s="272">
        <v>0.0</v>
      </c>
      <c r="P27" s="272">
        <v>0.0</v>
      </c>
      <c r="Q27" s="272">
        <v>0.0</v>
      </c>
      <c r="R27" s="272">
        <v>0.0</v>
      </c>
      <c r="S27" s="272">
        <v>0.0</v>
      </c>
      <c r="T27" s="272">
        <v>0.0</v>
      </c>
      <c r="U27" s="272">
        <v>0.0</v>
      </c>
      <c r="V27" s="272">
        <v>0.0</v>
      </c>
      <c r="W27" s="272">
        <v>0.0</v>
      </c>
      <c r="Y27" s="371"/>
    </row>
    <row r="28" ht="15.75" customHeight="1">
      <c r="A28" s="368">
        <v>18.0</v>
      </c>
      <c r="B28" s="368">
        <v>20500.0</v>
      </c>
      <c r="C28" s="369">
        <v>0.0</v>
      </c>
      <c r="D28" s="368">
        <v>0.0</v>
      </c>
      <c r="E28" s="370">
        <v>0.0</v>
      </c>
      <c r="F28" s="272">
        <v>0.0</v>
      </c>
      <c r="G28" s="272">
        <v>0.0</v>
      </c>
      <c r="H28" s="272">
        <v>0.0</v>
      </c>
      <c r="I28" s="272">
        <v>0.0</v>
      </c>
      <c r="J28" s="272">
        <v>0.0</v>
      </c>
      <c r="K28" s="272">
        <v>0.0</v>
      </c>
      <c r="L28" s="272">
        <v>0.0</v>
      </c>
      <c r="M28" s="272">
        <v>0.0</v>
      </c>
      <c r="N28" s="272">
        <v>0.0</v>
      </c>
      <c r="O28" s="272">
        <v>0.0</v>
      </c>
      <c r="P28" s="272">
        <v>0.0</v>
      </c>
      <c r="Q28" s="272">
        <v>0.0</v>
      </c>
      <c r="R28" s="272">
        <v>0.0</v>
      </c>
      <c r="S28" s="272">
        <v>0.0</v>
      </c>
      <c r="T28" s="272">
        <v>0.0</v>
      </c>
      <c r="U28" s="272">
        <v>0.0</v>
      </c>
      <c r="V28" s="272">
        <v>0.0</v>
      </c>
      <c r="W28" s="272">
        <v>0.0</v>
      </c>
      <c r="Y28" s="371"/>
    </row>
    <row r="29" ht="15.75" customHeight="1">
      <c r="A29" s="368">
        <v>19.0</v>
      </c>
      <c r="B29" s="368">
        <v>22000.0</v>
      </c>
      <c r="C29" s="369">
        <v>0.0</v>
      </c>
      <c r="D29" s="368">
        <v>0.0</v>
      </c>
      <c r="E29" s="370">
        <v>0.0</v>
      </c>
      <c r="F29" s="272">
        <v>0.0</v>
      </c>
      <c r="G29" s="272">
        <v>0.0</v>
      </c>
      <c r="H29" s="272">
        <v>0.0</v>
      </c>
      <c r="I29" s="272">
        <v>0.0</v>
      </c>
      <c r="J29" s="272">
        <v>0.0</v>
      </c>
      <c r="K29" s="272">
        <v>0.0</v>
      </c>
      <c r="L29" s="272">
        <v>0.0</v>
      </c>
      <c r="M29" s="272">
        <v>0.0</v>
      </c>
      <c r="N29" s="272">
        <v>0.0</v>
      </c>
      <c r="O29" s="272">
        <v>0.0</v>
      </c>
      <c r="P29" s="272">
        <v>0.0</v>
      </c>
      <c r="Q29" s="272">
        <v>0.0</v>
      </c>
      <c r="R29" s="272">
        <v>0.0</v>
      </c>
      <c r="S29" s="272">
        <v>0.0</v>
      </c>
      <c r="T29" s="272">
        <v>0.0</v>
      </c>
      <c r="U29" s="272">
        <v>0.0</v>
      </c>
      <c r="V29" s="272">
        <v>0.0</v>
      </c>
      <c r="W29" s="272">
        <v>0.0</v>
      </c>
      <c r="Y29" s="371"/>
    </row>
    <row r="30" ht="15.75" customHeight="1">
      <c r="A30" s="368">
        <v>20.0</v>
      </c>
      <c r="B30" s="368">
        <v>23500.0</v>
      </c>
      <c r="C30" s="369">
        <v>0.0</v>
      </c>
      <c r="D30" s="368">
        <v>0.0</v>
      </c>
      <c r="E30" s="370">
        <v>0.0</v>
      </c>
      <c r="F30" s="272">
        <v>0.0</v>
      </c>
      <c r="G30" s="272">
        <v>0.0</v>
      </c>
      <c r="H30" s="272">
        <v>0.0</v>
      </c>
      <c r="I30" s="272">
        <v>0.0</v>
      </c>
      <c r="J30" s="272">
        <v>0.0</v>
      </c>
      <c r="K30" s="272">
        <v>0.0</v>
      </c>
      <c r="L30" s="272">
        <v>0.0</v>
      </c>
      <c r="M30" s="272">
        <v>0.0</v>
      </c>
      <c r="N30" s="272">
        <v>0.0</v>
      </c>
      <c r="O30" s="272">
        <v>0.0</v>
      </c>
      <c r="P30" s="272">
        <v>0.0</v>
      </c>
      <c r="Q30" s="272">
        <v>0.0</v>
      </c>
      <c r="R30" s="272">
        <v>0.0</v>
      </c>
      <c r="S30" s="272">
        <v>0.0</v>
      </c>
      <c r="T30" s="272">
        <v>0.0</v>
      </c>
      <c r="U30" s="272">
        <v>0.0</v>
      </c>
      <c r="V30" s="272">
        <v>0.0</v>
      </c>
      <c r="W30" s="272">
        <v>0.0</v>
      </c>
    </row>
    <row r="31" ht="15.75" customHeight="1">
      <c r="A31" s="172"/>
      <c r="B31" s="172"/>
      <c r="C31" s="172"/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</row>
    <row r="32" ht="15.75" customHeight="1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372">
        <v>1.0</v>
      </c>
      <c r="S32" s="172"/>
      <c r="T32" s="372">
        <v>1.0</v>
      </c>
      <c r="U32" s="172"/>
      <c r="V32" s="172"/>
      <c r="W32" s="172"/>
    </row>
    <row r="33" ht="15.75" customHeight="1">
      <c r="A33" s="172"/>
      <c r="B33" s="172"/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</row>
    <row r="34" ht="15.75" customHeight="1">
      <c r="A34" s="180" t="s">
        <v>339</v>
      </c>
      <c r="B34" s="174"/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</row>
    <row r="35" ht="15.75" customHeight="1">
      <c r="A35" s="350" t="s">
        <v>340</v>
      </c>
      <c r="B35" s="172"/>
      <c r="C35" s="351" t="s">
        <v>76</v>
      </c>
      <c r="D35" s="276" t="s">
        <v>46</v>
      </c>
      <c r="E35" s="276" t="s">
        <v>121</v>
      </c>
      <c r="F35" s="276" t="s">
        <v>47</v>
      </c>
      <c r="G35" s="276" t="s">
        <v>48</v>
      </c>
      <c r="H35" s="276" t="s">
        <v>50</v>
      </c>
      <c r="I35" s="276" t="s">
        <v>52</v>
      </c>
      <c r="J35" s="276" t="s">
        <v>53</v>
      </c>
      <c r="K35" s="276" t="s">
        <v>54</v>
      </c>
      <c r="L35" s="276" t="s">
        <v>55</v>
      </c>
      <c r="M35" s="276" t="s">
        <v>56</v>
      </c>
      <c r="N35" s="276" t="s">
        <v>57</v>
      </c>
      <c r="O35" s="276" t="s">
        <v>58</v>
      </c>
      <c r="P35" s="187" t="s">
        <v>135</v>
      </c>
      <c r="Q35" s="187" t="s">
        <v>122</v>
      </c>
      <c r="R35" s="187" t="s">
        <v>123</v>
      </c>
      <c r="S35" s="187" t="s">
        <v>124</v>
      </c>
      <c r="T35" s="187" t="s">
        <v>125</v>
      </c>
      <c r="U35" s="187" t="s">
        <v>126</v>
      </c>
      <c r="V35" s="187" t="s">
        <v>127</v>
      </c>
      <c r="W35" s="187" t="s">
        <v>128</v>
      </c>
      <c r="Y35" s="1" t="s">
        <v>234</v>
      </c>
    </row>
    <row r="36" ht="15.75" customHeight="1">
      <c r="A36" s="360">
        <v>1.0</v>
      </c>
      <c r="B36" s="172"/>
      <c r="C36" s="361">
        <v>100.0</v>
      </c>
      <c r="D36" s="272">
        <v>0.0</v>
      </c>
      <c r="E36" s="272">
        <v>0.0</v>
      </c>
      <c r="F36" s="272">
        <v>0.0</v>
      </c>
      <c r="G36" s="272">
        <v>0.0</v>
      </c>
      <c r="H36" s="272">
        <v>0.0</v>
      </c>
      <c r="I36" s="272">
        <v>0.0</v>
      </c>
      <c r="J36" s="272">
        <v>0.0</v>
      </c>
      <c r="K36" s="272">
        <v>1.0</v>
      </c>
      <c r="L36" s="272">
        <v>0.0</v>
      </c>
      <c r="M36" s="272">
        <v>0.0</v>
      </c>
      <c r="N36" s="272">
        <v>0.0</v>
      </c>
      <c r="O36" s="272">
        <v>0.0</v>
      </c>
      <c r="P36" s="189">
        <v>0.0</v>
      </c>
      <c r="Q36" s="189">
        <v>0.0</v>
      </c>
      <c r="R36" s="189">
        <v>0.0</v>
      </c>
      <c r="S36" s="189">
        <v>0.0</v>
      </c>
      <c r="T36" s="189">
        <v>0.0</v>
      </c>
      <c r="U36" s="189">
        <v>0.0</v>
      </c>
      <c r="V36" s="189">
        <v>0.0</v>
      </c>
      <c r="W36" s="189">
        <v>0.0</v>
      </c>
      <c r="Y36" s="371">
        <f t="array" ref="Y36">SUMPRODUCT({C36:H36, K36, J36, I36, L36:O36}, item_vals!$B$3:$N$3)</f>
        <v>267</v>
      </c>
    </row>
    <row r="37" ht="15.75" customHeight="1">
      <c r="A37" s="360">
        <v>2.0</v>
      </c>
      <c r="B37" s="172"/>
      <c r="C37" s="361">
        <v>50.0</v>
      </c>
      <c r="D37" s="272">
        <v>0.0</v>
      </c>
      <c r="E37" s="272">
        <v>0.0</v>
      </c>
      <c r="F37" s="272">
        <v>0.0</v>
      </c>
      <c r="G37" s="272">
        <v>0.0</v>
      </c>
      <c r="H37" s="272">
        <v>0.0</v>
      </c>
      <c r="I37" s="272">
        <v>0.0</v>
      </c>
      <c r="J37" s="272">
        <v>1.0</v>
      </c>
      <c r="K37" s="272">
        <v>0.0</v>
      </c>
      <c r="L37" s="272">
        <v>0.0</v>
      </c>
      <c r="M37" s="272">
        <v>0.0</v>
      </c>
      <c r="N37" s="272">
        <v>0.0</v>
      </c>
      <c r="O37" s="272">
        <v>0.0</v>
      </c>
      <c r="P37" s="189">
        <v>0.0</v>
      </c>
      <c r="Q37" s="189">
        <v>0.0</v>
      </c>
      <c r="R37" s="189">
        <v>0.0</v>
      </c>
      <c r="S37" s="189">
        <v>0.0</v>
      </c>
      <c r="T37" s="189">
        <v>0.0</v>
      </c>
      <c r="U37" s="189">
        <v>0.0</v>
      </c>
      <c r="V37" s="189">
        <v>0.0</v>
      </c>
      <c r="W37" s="189">
        <v>0.0</v>
      </c>
      <c r="Y37" s="371">
        <f t="array" ref="Y37">SUMPRODUCT({C37:H37, K37, J37, I37, L37:O37}, item_vals!$B$3:$N$3)</f>
        <v>117</v>
      </c>
    </row>
    <row r="38" ht="15.75" customHeight="1">
      <c r="A38" s="360">
        <v>3.0</v>
      </c>
      <c r="B38" s="172"/>
      <c r="C38" s="361">
        <v>25.0</v>
      </c>
      <c r="D38" s="272">
        <v>0.0</v>
      </c>
      <c r="E38" s="272">
        <v>0.0</v>
      </c>
      <c r="F38" s="272">
        <v>0.0</v>
      </c>
      <c r="G38" s="272">
        <v>0.0</v>
      </c>
      <c r="H38" s="272">
        <v>1.0</v>
      </c>
      <c r="I38" s="272">
        <v>0.0</v>
      </c>
      <c r="J38" s="272">
        <v>0.0</v>
      </c>
      <c r="K38" s="272">
        <v>0.0</v>
      </c>
      <c r="L38" s="272">
        <v>0.0</v>
      </c>
      <c r="M38" s="272">
        <v>0.0</v>
      </c>
      <c r="N38" s="272">
        <v>0.0</v>
      </c>
      <c r="O38" s="272">
        <v>0.0</v>
      </c>
      <c r="P38" s="189">
        <v>0.0</v>
      </c>
      <c r="Q38" s="189">
        <v>0.0</v>
      </c>
      <c r="R38" s="189">
        <v>0.0</v>
      </c>
      <c r="S38" s="189">
        <v>0.0</v>
      </c>
      <c r="T38" s="189">
        <v>0.0</v>
      </c>
      <c r="U38" s="189">
        <v>0.0</v>
      </c>
      <c r="V38" s="189">
        <v>0.0</v>
      </c>
      <c r="W38" s="189">
        <v>0.0</v>
      </c>
      <c r="Y38" s="371">
        <f t="array" ref="Y38">SUMPRODUCT({C38:H38, K38, J38, I38, L38:O38}, item_vals!$B$3:$N$3)</f>
        <v>92</v>
      </c>
    </row>
    <row r="39" ht="15.75" customHeight="1">
      <c r="A39" s="360">
        <v>4.0</v>
      </c>
      <c r="B39" s="172"/>
      <c r="C39" s="361">
        <v>0.0</v>
      </c>
      <c r="D39" s="272">
        <v>0.0</v>
      </c>
      <c r="E39" s="272">
        <v>0.0</v>
      </c>
      <c r="F39" s="272">
        <v>0.0</v>
      </c>
      <c r="G39" s="272">
        <v>0.0</v>
      </c>
      <c r="H39" s="272">
        <v>0.0</v>
      </c>
      <c r="I39" s="272">
        <v>1.0</v>
      </c>
      <c r="J39" s="272">
        <v>0.0</v>
      </c>
      <c r="K39" s="272">
        <v>0.0</v>
      </c>
      <c r="L39" s="272">
        <v>0.0</v>
      </c>
      <c r="M39" s="272">
        <v>0.0</v>
      </c>
      <c r="N39" s="272">
        <v>0.0</v>
      </c>
      <c r="O39" s="272">
        <v>0.0</v>
      </c>
      <c r="P39" s="189">
        <v>0.0</v>
      </c>
      <c r="Q39" s="189">
        <v>0.0</v>
      </c>
      <c r="R39" s="189">
        <v>0.0</v>
      </c>
      <c r="S39" s="189">
        <v>0.0</v>
      </c>
      <c r="T39" s="189">
        <v>0.0</v>
      </c>
      <c r="U39" s="189">
        <v>0.0</v>
      </c>
      <c r="V39" s="189">
        <v>0.0</v>
      </c>
      <c r="W39" s="189">
        <v>0.0</v>
      </c>
      <c r="Y39" s="371">
        <f t="array" ref="Y39">SUMPRODUCT({C39:H39, K39, J39, I39, L39:O39}, item_vals!$B$3:$N$3)</f>
        <v>50</v>
      </c>
    </row>
    <row r="40" ht="15.75" customHeight="1">
      <c r="A40" s="360">
        <v>5.0</v>
      </c>
      <c r="B40" s="172"/>
      <c r="C40" s="361">
        <v>0.0</v>
      </c>
      <c r="D40" s="272">
        <v>0.0</v>
      </c>
      <c r="E40" s="272">
        <v>0.0</v>
      </c>
      <c r="F40" s="272">
        <v>0.0</v>
      </c>
      <c r="G40" s="272">
        <v>0.0</v>
      </c>
      <c r="H40" s="272">
        <v>0.0</v>
      </c>
      <c r="I40" s="272">
        <v>1.0</v>
      </c>
      <c r="J40" s="272">
        <v>0.0</v>
      </c>
      <c r="K40" s="272">
        <v>0.0</v>
      </c>
      <c r="L40" s="272">
        <v>0.0</v>
      </c>
      <c r="M40" s="272">
        <v>0.0</v>
      </c>
      <c r="N40" s="272">
        <v>0.0</v>
      </c>
      <c r="O40" s="272">
        <v>0.0</v>
      </c>
      <c r="P40" s="189">
        <v>0.0</v>
      </c>
      <c r="Q40" s="189">
        <v>0.0</v>
      </c>
      <c r="R40" s="189">
        <v>0.0</v>
      </c>
      <c r="S40" s="189">
        <v>0.0</v>
      </c>
      <c r="T40" s="189">
        <v>0.0</v>
      </c>
      <c r="U40" s="189">
        <v>0.0</v>
      </c>
      <c r="V40" s="189">
        <v>0.0</v>
      </c>
      <c r="W40" s="189">
        <v>0.0</v>
      </c>
      <c r="Y40" s="371">
        <f t="array" ref="Y40">SUMPRODUCT({C40:H40, K40, J40, I40, L40:O40}, item_vals!$B$3:$N$3)</f>
        <v>50</v>
      </c>
    </row>
    <row r="41" ht="15.75" customHeight="1">
      <c r="A41" s="360">
        <v>6.0</v>
      </c>
      <c r="B41" s="172"/>
      <c r="C41" s="361">
        <v>0.0</v>
      </c>
      <c r="D41" s="272">
        <v>0.0</v>
      </c>
      <c r="E41" s="272">
        <v>0.0</v>
      </c>
      <c r="F41" s="272">
        <v>0.0</v>
      </c>
      <c r="G41" s="272">
        <v>1.0</v>
      </c>
      <c r="H41" s="272">
        <v>0.0</v>
      </c>
      <c r="I41" s="272">
        <v>0.0</v>
      </c>
      <c r="J41" s="272">
        <v>0.0</v>
      </c>
      <c r="K41" s="272">
        <v>0.0</v>
      </c>
      <c r="L41" s="272">
        <v>0.0</v>
      </c>
      <c r="M41" s="272">
        <v>0.0</v>
      </c>
      <c r="N41" s="272">
        <v>0.0</v>
      </c>
      <c r="O41" s="272">
        <v>0.0</v>
      </c>
      <c r="P41" s="189">
        <v>0.0</v>
      </c>
      <c r="Q41" s="189">
        <v>0.0</v>
      </c>
      <c r="R41" s="189">
        <v>0.0</v>
      </c>
      <c r="S41" s="189">
        <v>0.0</v>
      </c>
      <c r="T41" s="189">
        <v>0.0</v>
      </c>
      <c r="U41" s="189">
        <v>0.0</v>
      </c>
      <c r="V41" s="189">
        <v>0.0</v>
      </c>
      <c r="W41" s="189">
        <v>0.0</v>
      </c>
      <c r="Y41" s="371">
        <f t="array" ref="Y41">SUMPRODUCT({C41:H41, K41, J41, I41, L41:O41}, item_vals!$B$3:$N$3)</f>
        <v>50</v>
      </c>
    </row>
    <row r="42" ht="15.75" customHeight="1">
      <c r="A42" s="360">
        <v>7.0</v>
      </c>
      <c r="B42" s="172"/>
      <c r="C42" s="361">
        <v>0.0</v>
      </c>
      <c r="D42" s="272">
        <v>0.0</v>
      </c>
      <c r="E42" s="272">
        <v>0.0</v>
      </c>
      <c r="F42" s="272">
        <v>0.0</v>
      </c>
      <c r="G42" s="272">
        <v>1.0</v>
      </c>
      <c r="H42" s="272">
        <v>0.0</v>
      </c>
      <c r="I42" s="272">
        <v>0.0</v>
      </c>
      <c r="J42" s="272">
        <v>0.0</v>
      </c>
      <c r="K42" s="272">
        <v>0.0</v>
      </c>
      <c r="L42" s="272">
        <v>0.0</v>
      </c>
      <c r="M42" s="272">
        <v>0.0</v>
      </c>
      <c r="N42" s="272">
        <v>0.0</v>
      </c>
      <c r="O42" s="272">
        <v>0.0</v>
      </c>
      <c r="P42" s="189">
        <v>0.0</v>
      </c>
      <c r="Q42" s="189">
        <v>0.0</v>
      </c>
      <c r="R42" s="189">
        <v>0.0</v>
      </c>
      <c r="S42" s="189">
        <v>0.0</v>
      </c>
      <c r="T42" s="189">
        <v>0.0</v>
      </c>
      <c r="U42" s="189">
        <v>0.0</v>
      </c>
      <c r="V42" s="189">
        <v>0.0</v>
      </c>
      <c r="W42" s="189">
        <v>0.0</v>
      </c>
      <c r="Y42" s="371">
        <f t="array" ref="Y42">SUMPRODUCT({C42:H42, K42, J42, I42, L42:O42}, item_vals!$B$3:$N$3)</f>
        <v>50</v>
      </c>
    </row>
    <row r="43" ht="15.75" customHeight="1">
      <c r="A43" s="360">
        <v>8.0</v>
      </c>
      <c r="B43" s="172"/>
      <c r="C43" s="361">
        <v>0.0</v>
      </c>
      <c r="D43" s="272">
        <v>0.0</v>
      </c>
      <c r="E43" s="272">
        <v>0.0</v>
      </c>
      <c r="F43" s="272">
        <v>1.0</v>
      </c>
      <c r="G43" s="272">
        <v>0.0</v>
      </c>
      <c r="H43" s="272">
        <v>0.0</v>
      </c>
      <c r="I43" s="272">
        <v>0.0</v>
      </c>
      <c r="J43" s="272">
        <v>0.0</v>
      </c>
      <c r="K43" s="272">
        <v>0.0</v>
      </c>
      <c r="L43" s="272">
        <v>0.0</v>
      </c>
      <c r="M43" s="272">
        <v>0.0</v>
      </c>
      <c r="N43" s="272">
        <v>0.0</v>
      </c>
      <c r="O43" s="272">
        <v>0.0</v>
      </c>
      <c r="P43" s="189">
        <v>0.0</v>
      </c>
      <c r="Q43" s="189">
        <v>0.0</v>
      </c>
      <c r="R43" s="189">
        <v>0.0</v>
      </c>
      <c r="S43" s="189">
        <v>0.0</v>
      </c>
      <c r="T43" s="189">
        <v>0.0</v>
      </c>
      <c r="U43" s="189">
        <v>0.0</v>
      </c>
      <c r="V43" s="189">
        <v>0.0</v>
      </c>
      <c r="W43" s="189">
        <v>0.0</v>
      </c>
      <c r="Y43" s="371">
        <f t="array" ref="Y43">SUMPRODUCT({C43:H43, K43, J43, I43, L43:O43}, item_vals!$B$3:$N$3)</f>
        <v>33</v>
      </c>
    </row>
    <row r="44" ht="15.75" customHeight="1">
      <c r="A44" s="360">
        <v>9.0</v>
      </c>
      <c r="B44" s="172"/>
      <c r="C44" s="361">
        <v>0.0</v>
      </c>
      <c r="D44" s="272">
        <v>0.0</v>
      </c>
      <c r="E44" s="272">
        <v>0.0</v>
      </c>
      <c r="F44" s="272">
        <v>1.0</v>
      </c>
      <c r="G44" s="272">
        <v>0.0</v>
      </c>
      <c r="H44" s="272">
        <v>0.0</v>
      </c>
      <c r="I44" s="272">
        <v>0.0</v>
      </c>
      <c r="J44" s="272">
        <v>0.0</v>
      </c>
      <c r="K44" s="272">
        <v>0.0</v>
      </c>
      <c r="L44" s="272">
        <v>0.0</v>
      </c>
      <c r="M44" s="272">
        <v>0.0</v>
      </c>
      <c r="N44" s="272">
        <v>0.0</v>
      </c>
      <c r="O44" s="272">
        <v>0.0</v>
      </c>
      <c r="P44" s="189">
        <v>0.0</v>
      </c>
      <c r="Q44" s="189">
        <v>0.0</v>
      </c>
      <c r="R44" s="189">
        <v>0.0</v>
      </c>
      <c r="S44" s="189">
        <v>0.0</v>
      </c>
      <c r="T44" s="189">
        <v>0.0</v>
      </c>
      <c r="U44" s="189">
        <v>0.0</v>
      </c>
      <c r="V44" s="189">
        <v>0.0</v>
      </c>
      <c r="W44" s="189">
        <v>0.0</v>
      </c>
      <c r="Y44" s="371">
        <f t="array" ref="Y44">SUMPRODUCT({C44:H44, K44, J44, I44, L44:O44}, item_vals!$B$3:$N$3)</f>
        <v>33</v>
      </c>
    </row>
    <row r="45" ht="15.75" customHeight="1">
      <c r="A45" s="360">
        <v>10.0</v>
      </c>
      <c r="B45" s="172"/>
      <c r="C45" s="361">
        <v>0.0</v>
      </c>
      <c r="D45" s="272">
        <v>0.0</v>
      </c>
      <c r="E45" s="272">
        <v>0.0</v>
      </c>
      <c r="F45" s="272">
        <v>1.0</v>
      </c>
      <c r="G45" s="272">
        <v>0.0</v>
      </c>
      <c r="H45" s="272">
        <v>0.0</v>
      </c>
      <c r="I45" s="272">
        <v>0.0</v>
      </c>
      <c r="J45" s="272">
        <v>0.0</v>
      </c>
      <c r="K45" s="272">
        <v>0.0</v>
      </c>
      <c r="L45" s="272">
        <v>0.0</v>
      </c>
      <c r="M45" s="272">
        <v>0.0</v>
      </c>
      <c r="N45" s="272">
        <v>0.0</v>
      </c>
      <c r="O45" s="272">
        <v>0.0</v>
      </c>
      <c r="P45" s="189">
        <v>0.0</v>
      </c>
      <c r="Q45" s="189">
        <v>0.0</v>
      </c>
      <c r="R45" s="189">
        <v>0.0</v>
      </c>
      <c r="S45" s="189">
        <v>0.0</v>
      </c>
      <c r="T45" s="189">
        <v>0.0</v>
      </c>
      <c r="U45" s="189">
        <v>0.0</v>
      </c>
      <c r="V45" s="189">
        <v>0.0</v>
      </c>
      <c r="W45" s="189">
        <v>0.0</v>
      </c>
      <c r="Y45" s="371">
        <f t="array" ref="Y45">SUMPRODUCT({C45:H45, K45, J45, I45, L45:O45}, item_vals!$B$3:$N$3)</f>
        <v>33</v>
      </c>
    </row>
    <row r="46" ht="15.75" customHeight="1">
      <c r="A46" s="360">
        <v>11.0</v>
      </c>
      <c r="B46" s="172"/>
      <c r="C46" s="361">
        <v>0.0</v>
      </c>
      <c r="D46" s="272">
        <v>0.0</v>
      </c>
      <c r="E46" s="272">
        <v>0.0</v>
      </c>
      <c r="F46" s="272">
        <v>0.0</v>
      </c>
      <c r="G46" s="272">
        <v>0.0</v>
      </c>
      <c r="H46" s="272">
        <v>0.0</v>
      </c>
      <c r="I46" s="272">
        <v>0.0</v>
      </c>
      <c r="J46" s="272">
        <v>0.0</v>
      </c>
      <c r="K46" s="272">
        <v>0.0</v>
      </c>
      <c r="L46" s="272">
        <v>0.0</v>
      </c>
      <c r="M46" s="272">
        <v>0.0</v>
      </c>
      <c r="N46" s="272">
        <v>0.0</v>
      </c>
      <c r="O46" s="272">
        <v>0.0</v>
      </c>
      <c r="P46" s="189">
        <v>0.0</v>
      </c>
      <c r="Q46" s="189">
        <v>0.0</v>
      </c>
      <c r="R46" s="189">
        <v>0.0</v>
      </c>
      <c r="S46" s="189">
        <v>0.0</v>
      </c>
      <c r="T46" s="189">
        <v>0.0</v>
      </c>
      <c r="U46" s="189">
        <v>0.0</v>
      </c>
      <c r="V46" s="189">
        <v>0.0</v>
      </c>
      <c r="W46" s="189">
        <v>0.0</v>
      </c>
      <c r="Y46" s="371">
        <f t="array" ref="Y46">SUMPRODUCT({C46:H46, K46, J46, I46, L46:O46}, item_vals!$B$3:$N$3)</f>
        <v>0</v>
      </c>
    </row>
    <row r="47" ht="15.75" customHeight="1">
      <c r="A47" s="360">
        <v>12.0</v>
      </c>
      <c r="B47" s="172"/>
      <c r="C47" s="361">
        <v>0.0</v>
      </c>
      <c r="D47" s="272">
        <v>0.0</v>
      </c>
      <c r="E47" s="272">
        <v>0.0</v>
      </c>
      <c r="F47" s="272">
        <v>0.0</v>
      </c>
      <c r="G47" s="272">
        <v>0.0</v>
      </c>
      <c r="H47" s="272">
        <v>0.0</v>
      </c>
      <c r="I47" s="272">
        <v>0.0</v>
      </c>
      <c r="J47" s="272">
        <v>0.0</v>
      </c>
      <c r="K47" s="272">
        <v>0.0</v>
      </c>
      <c r="L47" s="272">
        <v>0.0</v>
      </c>
      <c r="M47" s="272">
        <v>0.0</v>
      </c>
      <c r="N47" s="272">
        <v>0.0</v>
      </c>
      <c r="O47" s="272">
        <v>0.0</v>
      </c>
      <c r="P47" s="189">
        <v>0.0</v>
      </c>
      <c r="Q47" s="189">
        <v>0.0</v>
      </c>
      <c r="R47" s="189">
        <v>0.0</v>
      </c>
      <c r="S47" s="189">
        <v>0.0</v>
      </c>
      <c r="T47" s="189">
        <v>0.0</v>
      </c>
      <c r="U47" s="189">
        <v>0.0</v>
      </c>
      <c r="V47" s="189">
        <v>0.0</v>
      </c>
      <c r="W47" s="189">
        <v>0.0</v>
      </c>
      <c r="Y47" s="371">
        <f t="array" ref="Y47">SUMPRODUCT({C47:H47, K47, J47, I47, L47:O47}, item_vals!$B$3:$N$3)</f>
        <v>0</v>
      </c>
    </row>
    <row r="48" ht="15.75" customHeight="1">
      <c r="A48" s="360">
        <v>13.0</v>
      </c>
      <c r="B48" s="172"/>
      <c r="C48" s="361">
        <v>0.0</v>
      </c>
      <c r="D48" s="272">
        <v>0.0</v>
      </c>
      <c r="E48" s="272">
        <v>0.0</v>
      </c>
      <c r="F48" s="272">
        <v>0.0</v>
      </c>
      <c r="G48" s="272">
        <v>0.0</v>
      </c>
      <c r="H48" s="272">
        <v>0.0</v>
      </c>
      <c r="I48" s="272">
        <v>0.0</v>
      </c>
      <c r="J48" s="272">
        <v>0.0</v>
      </c>
      <c r="K48" s="272">
        <v>0.0</v>
      </c>
      <c r="L48" s="272">
        <v>0.0</v>
      </c>
      <c r="M48" s="272">
        <v>0.0</v>
      </c>
      <c r="N48" s="272">
        <v>0.0</v>
      </c>
      <c r="O48" s="272">
        <v>0.0</v>
      </c>
      <c r="P48" s="189">
        <v>0.0</v>
      </c>
      <c r="Q48" s="189">
        <v>0.0</v>
      </c>
      <c r="R48" s="189">
        <v>0.0</v>
      </c>
      <c r="S48" s="189">
        <v>0.0</v>
      </c>
      <c r="T48" s="189">
        <v>0.0</v>
      </c>
      <c r="U48" s="189">
        <v>0.0</v>
      </c>
      <c r="V48" s="189">
        <v>0.0</v>
      </c>
      <c r="W48" s="189">
        <v>0.0</v>
      </c>
      <c r="Y48" s="371">
        <f t="array" ref="Y48">SUMPRODUCT({C48:H48, K48, J48, I48, L48:O48}, item_vals!$B$3:$N$3)</f>
        <v>0</v>
      </c>
    </row>
    <row r="49" ht="15.75" customHeight="1">
      <c r="A49" s="360">
        <v>14.0</v>
      </c>
      <c r="B49" s="172"/>
      <c r="C49" s="361">
        <v>0.0</v>
      </c>
      <c r="D49" s="272">
        <v>0.0</v>
      </c>
      <c r="E49" s="272">
        <v>0.0</v>
      </c>
      <c r="F49" s="272">
        <v>0.0</v>
      </c>
      <c r="G49" s="272">
        <v>0.0</v>
      </c>
      <c r="H49" s="272">
        <v>0.0</v>
      </c>
      <c r="I49" s="272">
        <v>0.0</v>
      </c>
      <c r="J49" s="272">
        <v>0.0</v>
      </c>
      <c r="K49" s="272">
        <v>0.0</v>
      </c>
      <c r="L49" s="272">
        <v>0.0</v>
      </c>
      <c r="M49" s="272">
        <v>0.0</v>
      </c>
      <c r="N49" s="272">
        <v>0.0</v>
      </c>
      <c r="O49" s="272">
        <v>0.0</v>
      </c>
      <c r="P49" s="189">
        <v>0.0</v>
      </c>
      <c r="Q49" s="189">
        <v>0.0</v>
      </c>
      <c r="R49" s="189">
        <v>0.0</v>
      </c>
      <c r="S49" s="189">
        <v>0.0</v>
      </c>
      <c r="T49" s="189">
        <v>0.0</v>
      </c>
      <c r="U49" s="189">
        <v>0.0</v>
      </c>
      <c r="V49" s="189">
        <v>0.0</v>
      </c>
      <c r="W49" s="189">
        <v>0.0</v>
      </c>
      <c r="Y49" s="371">
        <f t="array" ref="Y49">SUMPRODUCT({C49:H49, K49, J49, I49, L49:O49}, item_vals!$B$3:$N$3)</f>
        <v>0</v>
      </c>
    </row>
    <row r="50" ht="15.75" customHeight="1">
      <c r="A50" s="360">
        <v>15.0</v>
      </c>
      <c r="B50" s="172"/>
      <c r="C50" s="361">
        <v>0.0</v>
      </c>
      <c r="D50" s="272">
        <v>0.0</v>
      </c>
      <c r="E50" s="272">
        <v>0.0</v>
      </c>
      <c r="F50" s="272">
        <v>0.0</v>
      </c>
      <c r="G50" s="272">
        <v>0.0</v>
      </c>
      <c r="H50" s="272">
        <v>0.0</v>
      </c>
      <c r="I50" s="272">
        <v>0.0</v>
      </c>
      <c r="J50" s="272">
        <v>0.0</v>
      </c>
      <c r="K50" s="272">
        <v>0.0</v>
      </c>
      <c r="L50" s="272">
        <v>0.0</v>
      </c>
      <c r="M50" s="272">
        <v>0.0</v>
      </c>
      <c r="N50" s="272">
        <v>0.0</v>
      </c>
      <c r="O50" s="272">
        <v>0.0</v>
      </c>
      <c r="P50" s="189">
        <v>0.0</v>
      </c>
      <c r="Q50" s="189">
        <v>0.0</v>
      </c>
      <c r="R50" s="189">
        <v>0.0</v>
      </c>
      <c r="S50" s="189">
        <v>0.0</v>
      </c>
      <c r="T50" s="189">
        <v>0.0</v>
      </c>
      <c r="U50" s="189">
        <v>0.0</v>
      </c>
      <c r="V50" s="189">
        <v>0.0</v>
      </c>
      <c r="W50" s="189">
        <v>0.0</v>
      </c>
      <c r="Y50" s="371">
        <f t="array" ref="Y50">SUMPRODUCT({C50:H50, K50, J50, I50, L50:O50}, item_vals!$B$3:$N$3)</f>
        <v>0</v>
      </c>
    </row>
    <row r="51" ht="15.75" customHeight="1">
      <c r="A51" s="360">
        <v>16.0</v>
      </c>
      <c r="B51" s="172"/>
      <c r="C51" s="361">
        <v>0.0</v>
      </c>
      <c r="D51" s="272">
        <v>0.0</v>
      </c>
      <c r="E51" s="272">
        <v>0.0</v>
      </c>
      <c r="F51" s="272">
        <v>0.0</v>
      </c>
      <c r="G51" s="272">
        <v>0.0</v>
      </c>
      <c r="H51" s="272">
        <v>0.0</v>
      </c>
      <c r="I51" s="272">
        <v>0.0</v>
      </c>
      <c r="J51" s="272">
        <v>0.0</v>
      </c>
      <c r="K51" s="272">
        <v>0.0</v>
      </c>
      <c r="L51" s="272">
        <v>0.0</v>
      </c>
      <c r="M51" s="272">
        <v>0.0</v>
      </c>
      <c r="N51" s="272">
        <v>0.0</v>
      </c>
      <c r="O51" s="272">
        <v>0.0</v>
      </c>
      <c r="P51" s="189">
        <v>0.0</v>
      </c>
      <c r="Q51" s="189">
        <v>0.0</v>
      </c>
      <c r="R51" s="189">
        <v>0.0</v>
      </c>
      <c r="S51" s="189">
        <v>0.0</v>
      </c>
      <c r="T51" s="189">
        <v>0.0</v>
      </c>
      <c r="U51" s="189">
        <v>0.0</v>
      </c>
      <c r="V51" s="189">
        <v>0.0</v>
      </c>
      <c r="W51" s="189">
        <v>0.0</v>
      </c>
      <c r="Y51" s="371">
        <f t="array" ref="Y51">SUMPRODUCT({C51:H51, K51, J51, I51, L51:O51}, item_vals!$B$3:$N$3)</f>
        <v>0</v>
      </c>
    </row>
    <row r="52" ht="15.75" customHeight="1">
      <c r="A52" s="360">
        <v>17.0</v>
      </c>
      <c r="B52" s="172"/>
      <c r="C52" s="361">
        <v>0.0</v>
      </c>
      <c r="D52" s="272">
        <v>0.0</v>
      </c>
      <c r="E52" s="272">
        <v>0.0</v>
      </c>
      <c r="F52" s="272">
        <v>0.0</v>
      </c>
      <c r="G52" s="272">
        <v>0.0</v>
      </c>
      <c r="H52" s="272">
        <v>0.0</v>
      </c>
      <c r="I52" s="272">
        <v>0.0</v>
      </c>
      <c r="J52" s="272">
        <v>0.0</v>
      </c>
      <c r="K52" s="272">
        <v>0.0</v>
      </c>
      <c r="L52" s="272">
        <v>0.0</v>
      </c>
      <c r="M52" s="272">
        <v>0.0</v>
      </c>
      <c r="N52" s="272">
        <v>0.0</v>
      </c>
      <c r="O52" s="272">
        <v>0.0</v>
      </c>
      <c r="P52" s="189">
        <v>0.0</v>
      </c>
      <c r="Q52" s="189">
        <v>0.0</v>
      </c>
      <c r="R52" s="189">
        <v>0.0</v>
      </c>
      <c r="S52" s="189">
        <v>0.0</v>
      </c>
      <c r="T52" s="189">
        <v>0.0</v>
      </c>
      <c r="U52" s="189">
        <v>0.0</v>
      </c>
      <c r="V52" s="189">
        <v>0.0</v>
      </c>
      <c r="W52" s="189">
        <v>0.0</v>
      </c>
      <c r="Y52" s="371">
        <f t="array" ref="Y52">SUMPRODUCT({C52:H52, K52, J52, I52, L52:O52}, item_vals!$B$3:$N$3)</f>
        <v>0</v>
      </c>
    </row>
    <row r="53" ht="15.75" customHeight="1">
      <c r="A53" s="360">
        <v>18.0</v>
      </c>
      <c r="B53" s="172"/>
      <c r="C53" s="361">
        <v>0.0</v>
      </c>
      <c r="D53" s="272">
        <v>0.0</v>
      </c>
      <c r="E53" s="272">
        <v>0.0</v>
      </c>
      <c r="F53" s="272">
        <v>0.0</v>
      </c>
      <c r="G53" s="272">
        <v>0.0</v>
      </c>
      <c r="H53" s="272">
        <v>0.0</v>
      </c>
      <c r="I53" s="272">
        <v>0.0</v>
      </c>
      <c r="J53" s="272">
        <v>0.0</v>
      </c>
      <c r="K53" s="272">
        <v>0.0</v>
      </c>
      <c r="L53" s="272">
        <v>0.0</v>
      </c>
      <c r="M53" s="272">
        <v>0.0</v>
      </c>
      <c r="N53" s="272">
        <v>0.0</v>
      </c>
      <c r="O53" s="272">
        <v>0.0</v>
      </c>
      <c r="P53" s="189">
        <v>0.0</v>
      </c>
      <c r="Q53" s="189">
        <v>0.0</v>
      </c>
      <c r="R53" s="189">
        <v>0.0</v>
      </c>
      <c r="S53" s="189">
        <v>0.0</v>
      </c>
      <c r="T53" s="189">
        <v>0.0</v>
      </c>
      <c r="U53" s="189">
        <v>0.0</v>
      </c>
      <c r="V53" s="189">
        <v>0.0</v>
      </c>
      <c r="W53" s="189">
        <v>0.0</v>
      </c>
      <c r="Y53" s="371">
        <f t="array" ref="Y53">SUMPRODUCT({C53:H53, K53, J53, I53, L53:O53}, item_vals!$B$3:$N$3)</f>
        <v>0</v>
      </c>
    </row>
    <row r="54" ht="15.75" customHeight="1">
      <c r="A54" s="360">
        <v>19.0</v>
      </c>
      <c r="B54" s="172"/>
      <c r="C54" s="361">
        <v>0.0</v>
      </c>
      <c r="D54" s="272">
        <v>0.0</v>
      </c>
      <c r="E54" s="272">
        <v>0.0</v>
      </c>
      <c r="F54" s="272">
        <v>0.0</v>
      </c>
      <c r="G54" s="272">
        <v>0.0</v>
      </c>
      <c r="H54" s="272">
        <v>0.0</v>
      </c>
      <c r="I54" s="272">
        <v>0.0</v>
      </c>
      <c r="J54" s="272">
        <v>0.0</v>
      </c>
      <c r="K54" s="272">
        <v>0.0</v>
      </c>
      <c r="L54" s="272">
        <v>0.0</v>
      </c>
      <c r="M54" s="272">
        <v>0.0</v>
      </c>
      <c r="N54" s="272">
        <v>0.0</v>
      </c>
      <c r="O54" s="272">
        <v>0.0</v>
      </c>
      <c r="P54" s="189">
        <v>0.0</v>
      </c>
      <c r="Q54" s="189">
        <v>0.0</v>
      </c>
      <c r="R54" s="189">
        <v>0.0</v>
      </c>
      <c r="S54" s="189">
        <v>0.0</v>
      </c>
      <c r="T54" s="189">
        <v>0.0</v>
      </c>
      <c r="U54" s="189">
        <v>0.0</v>
      </c>
      <c r="V54" s="189">
        <v>0.0</v>
      </c>
      <c r="W54" s="189">
        <v>0.0</v>
      </c>
      <c r="Y54" s="371">
        <f t="array" ref="Y54">SUMPRODUCT({C54:H54, K54, J54, I54, L54:O54}, item_vals!$B$3:$N$3)</f>
        <v>0</v>
      </c>
    </row>
    <row r="55" ht="15.75" customHeight="1">
      <c r="A55" s="360">
        <v>20.0</v>
      </c>
      <c r="B55" s="172"/>
      <c r="C55" s="361">
        <v>0.0</v>
      </c>
      <c r="D55" s="272">
        <v>0.0</v>
      </c>
      <c r="E55" s="272">
        <v>0.0</v>
      </c>
      <c r="F55" s="272">
        <v>0.0</v>
      </c>
      <c r="G55" s="272">
        <v>0.0</v>
      </c>
      <c r="H55" s="272">
        <v>0.0</v>
      </c>
      <c r="I55" s="272">
        <v>0.0</v>
      </c>
      <c r="J55" s="272">
        <v>0.0</v>
      </c>
      <c r="K55" s="272">
        <v>0.0</v>
      </c>
      <c r="L55" s="272">
        <v>0.0</v>
      </c>
      <c r="M55" s="272">
        <v>0.0</v>
      </c>
      <c r="N55" s="272">
        <v>0.0</v>
      </c>
      <c r="O55" s="272">
        <v>0.0</v>
      </c>
      <c r="P55" s="189">
        <v>0.0</v>
      </c>
      <c r="Q55" s="189">
        <v>0.0</v>
      </c>
      <c r="R55" s="189">
        <v>0.0</v>
      </c>
      <c r="S55" s="189">
        <v>0.0</v>
      </c>
      <c r="T55" s="189">
        <v>0.0</v>
      </c>
      <c r="U55" s="189">
        <v>0.0</v>
      </c>
      <c r="V55" s="189">
        <v>0.0</v>
      </c>
      <c r="W55" s="189">
        <v>0.0</v>
      </c>
    </row>
    <row r="56" ht="15.75" customHeight="1"/>
    <row r="57" ht="15.75" customHeight="1">
      <c r="O57" s="1">
        <v>1.0</v>
      </c>
      <c r="P57" s="1">
        <v>1.0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C11:W30 C36:W55">
    <cfRule type="cellIs" dxfId="4" priority="1" operator="greaterThan">
      <formula>0</formula>
    </cfRule>
  </conditionalFormatting>
  <conditionalFormatting sqref="A11:W30 A36:A55 C36:W55">
    <cfRule type="expression" dxfId="5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2" width="5.75"/>
    <col customWidth="1" min="23" max="24" width="8.63"/>
  </cols>
  <sheetData>
    <row r="1" ht="21.75" customHeight="1">
      <c r="A1" s="240" t="s">
        <v>15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</row>
    <row r="2" ht="19.5" customHeight="1">
      <c r="A2" s="352" t="s">
        <v>106</v>
      </c>
      <c r="B2" s="352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</row>
    <row r="3">
      <c r="A3" s="353" t="s">
        <v>343</v>
      </c>
      <c r="B3" s="354" t="s">
        <v>344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</row>
    <row r="4">
      <c r="A4" s="353" t="s">
        <v>213</v>
      </c>
      <c r="B4" s="355">
        <v>7.0</v>
      </c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</row>
    <row r="5">
      <c r="A5" s="353" t="s">
        <v>345</v>
      </c>
      <c r="B5" s="355">
        <v>3.0</v>
      </c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</row>
    <row r="6">
      <c r="A6" s="353" t="s">
        <v>346</v>
      </c>
      <c r="B6" s="355">
        <v>3.0</v>
      </c>
      <c r="C6" s="328"/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</row>
    <row r="7">
      <c r="A7" s="353" t="s">
        <v>347</v>
      </c>
      <c r="B7" s="355" t="b">
        <f t="shared" ref="B7:B8" si="1">FALSE()</f>
        <v>0</v>
      </c>
      <c r="C7" s="328"/>
      <c r="D7" s="328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</row>
    <row r="8">
      <c r="A8" s="353" t="s">
        <v>348</v>
      </c>
      <c r="B8" s="355" t="b">
        <f t="shared" si="1"/>
        <v>0</v>
      </c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</row>
    <row r="9">
      <c r="A9" s="353" t="s">
        <v>349</v>
      </c>
      <c r="B9" s="355">
        <v>12.0</v>
      </c>
      <c r="C9" s="328"/>
      <c r="D9" s="328"/>
      <c r="E9" s="328"/>
      <c r="F9" s="328"/>
      <c r="G9" s="328"/>
      <c r="H9" s="328"/>
      <c r="I9" s="328"/>
      <c r="J9" s="328"/>
      <c r="K9" s="328"/>
      <c r="L9" s="328"/>
      <c r="M9" s="328"/>
      <c r="N9" s="328"/>
      <c r="O9" s="328"/>
      <c r="P9" s="328"/>
      <c r="Q9" s="328"/>
      <c r="R9" s="328"/>
      <c r="S9" s="328"/>
      <c r="T9" s="328"/>
      <c r="U9" s="328"/>
      <c r="V9" s="328"/>
    </row>
    <row r="10">
      <c r="A10" s="353" t="s">
        <v>350</v>
      </c>
      <c r="B10" s="355">
        <f>SUM(B16:B22)</f>
        <v>165</v>
      </c>
      <c r="C10" s="328"/>
      <c r="D10" s="328"/>
      <c r="E10" s="328"/>
      <c r="F10" s="328"/>
      <c r="G10" s="328"/>
      <c r="H10" s="328"/>
      <c r="I10" s="328"/>
      <c r="J10" s="328"/>
      <c r="K10" s="328"/>
      <c r="L10" s="328"/>
      <c r="M10" s="328"/>
      <c r="N10" s="328"/>
      <c r="O10" s="328"/>
      <c r="P10" s="328"/>
      <c r="Q10" s="328"/>
      <c r="R10" s="328"/>
      <c r="S10" s="328"/>
      <c r="T10" s="328"/>
      <c r="U10" s="328"/>
      <c r="V10" s="328"/>
    </row>
    <row r="11">
      <c r="A11" s="353" t="s">
        <v>351</v>
      </c>
      <c r="B11" s="355">
        <f>SUM(B26:B28)</f>
        <v>110</v>
      </c>
      <c r="C11" s="328"/>
      <c r="D11" s="328"/>
      <c r="E11" s="328"/>
      <c r="F11" s="328"/>
      <c r="G11" s="328"/>
      <c r="H11" s="328"/>
      <c r="I11" s="328"/>
      <c r="J11" s="328"/>
      <c r="K11" s="328"/>
      <c r="L11" s="328"/>
      <c r="M11" s="328"/>
      <c r="N11" s="328"/>
      <c r="O11" s="328"/>
      <c r="P11" s="328"/>
      <c r="Q11" s="328"/>
      <c r="R11" s="328"/>
      <c r="S11" s="328"/>
      <c r="T11" s="328"/>
      <c r="U11" s="328"/>
      <c r="V11" s="328"/>
    </row>
    <row r="12">
      <c r="A12" s="353" t="s">
        <v>352</v>
      </c>
      <c r="B12" s="355">
        <f>COUNTIFS(B16:B22,"&gt;0")</f>
        <v>3</v>
      </c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328"/>
      <c r="O12" s="328"/>
      <c r="P12" s="328"/>
      <c r="Q12" s="328"/>
      <c r="R12" s="328"/>
      <c r="S12" s="328"/>
      <c r="T12" s="328"/>
      <c r="U12" s="328"/>
      <c r="V12" s="328"/>
    </row>
    <row r="13">
      <c r="A13" s="328"/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328"/>
      <c r="O13" s="328"/>
      <c r="P13" s="328"/>
      <c r="Q13" s="328"/>
      <c r="R13" s="328"/>
      <c r="S13" s="328"/>
      <c r="T13" s="328"/>
      <c r="U13" s="328"/>
      <c r="V13" s="328"/>
    </row>
    <row r="14" ht="19.5" customHeight="1">
      <c r="A14" s="352" t="s">
        <v>353</v>
      </c>
      <c r="B14" s="352"/>
      <c r="C14" s="352"/>
      <c r="D14" s="352"/>
      <c r="E14" s="352"/>
      <c r="F14" s="352"/>
      <c r="G14" s="352"/>
      <c r="H14" s="352"/>
      <c r="I14" s="352"/>
      <c r="J14" s="352"/>
      <c r="K14" s="352"/>
      <c r="L14" s="352"/>
      <c r="M14" s="352"/>
      <c r="N14" s="352"/>
      <c r="O14" s="352"/>
      <c r="P14" s="352"/>
      <c r="Q14" s="352"/>
      <c r="R14" s="352"/>
      <c r="S14" s="352"/>
      <c r="T14" s="352"/>
      <c r="U14" s="352"/>
      <c r="V14" s="352"/>
    </row>
    <row r="15" ht="75.0" customHeight="1">
      <c r="A15" s="356" t="s">
        <v>161</v>
      </c>
      <c r="B15" s="357" t="s">
        <v>76</v>
      </c>
      <c r="C15" s="246" t="s">
        <v>46</v>
      </c>
      <c r="D15" s="246" t="s">
        <v>121</v>
      </c>
      <c r="E15" s="246" t="s">
        <v>47</v>
      </c>
      <c r="F15" s="246" t="s">
        <v>48</v>
      </c>
      <c r="G15" s="246" t="s">
        <v>50</v>
      </c>
      <c r="H15" s="246" t="s">
        <v>52</v>
      </c>
      <c r="I15" s="246" t="s">
        <v>53</v>
      </c>
      <c r="J15" s="246" t="s">
        <v>54</v>
      </c>
      <c r="K15" s="246" t="s">
        <v>55</v>
      </c>
      <c r="L15" s="246" t="s">
        <v>56</v>
      </c>
      <c r="M15" s="246" t="s">
        <v>57</v>
      </c>
      <c r="N15" s="246" t="s">
        <v>58</v>
      </c>
      <c r="O15" s="246" t="s">
        <v>135</v>
      </c>
      <c r="P15" s="246" t="s">
        <v>122</v>
      </c>
      <c r="Q15" s="246" t="s">
        <v>123</v>
      </c>
      <c r="R15" s="246" t="s">
        <v>124</v>
      </c>
      <c r="S15" s="246" t="s">
        <v>125</v>
      </c>
      <c r="T15" s="246" t="s">
        <v>126</v>
      </c>
      <c r="U15" s="246" t="s">
        <v>127</v>
      </c>
      <c r="V15" s="246" t="s">
        <v>128</v>
      </c>
    </row>
    <row r="16">
      <c r="A16" s="358" t="str">
        <f t="shared" ref="A16:A22" si="2">CHOOSE(ROW()-ROW($A$16)+1,"1st","2nd","3rd","4th","5th","6th","7th","8th","9th","10th")</f>
        <v>1st</v>
      </c>
      <c r="B16" s="359">
        <v>100.0</v>
      </c>
      <c r="C16" s="244">
        <v>0.0</v>
      </c>
      <c r="D16" s="244">
        <v>0.0</v>
      </c>
      <c r="E16" s="244">
        <v>0.0</v>
      </c>
      <c r="F16" s="244">
        <v>0.0</v>
      </c>
      <c r="G16" s="244">
        <v>1.0</v>
      </c>
      <c r="H16" s="244">
        <v>0.0</v>
      </c>
      <c r="I16" s="244">
        <v>1.0</v>
      </c>
      <c r="J16" s="244">
        <v>1.0</v>
      </c>
      <c r="K16" s="244">
        <v>0.0</v>
      </c>
      <c r="L16" s="244">
        <v>0.0</v>
      </c>
      <c r="M16" s="244">
        <v>0.0</v>
      </c>
      <c r="N16" s="244">
        <v>0.0</v>
      </c>
      <c r="O16" s="244">
        <v>0.0</v>
      </c>
      <c r="P16" s="244">
        <v>0.0</v>
      </c>
      <c r="Q16" s="244">
        <v>0.0</v>
      </c>
      <c r="R16" s="244">
        <v>0.0</v>
      </c>
      <c r="S16" s="244">
        <v>0.0</v>
      </c>
      <c r="T16" s="244">
        <v>0.0</v>
      </c>
      <c r="U16" s="244">
        <v>0.0</v>
      </c>
      <c r="V16" s="244">
        <v>0.0</v>
      </c>
    </row>
    <row r="17">
      <c r="A17" s="358" t="str">
        <f t="shared" si="2"/>
        <v>2nd</v>
      </c>
      <c r="B17" s="359">
        <v>45.0</v>
      </c>
      <c r="C17" s="244">
        <v>0.0</v>
      </c>
      <c r="D17" s="244">
        <v>0.0</v>
      </c>
      <c r="E17" s="244">
        <v>0.0</v>
      </c>
      <c r="F17" s="244">
        <v>0.0</v>
      </c>
      <c r="G17" s="244">
        <v>1.0</v>
      </c>
      <c r="H17" s="244">
        <v>1.0</v>
      </c>
      <c r="I17" s="244">
        <v>0.0</v>
      </c>
      <c r="J17" s="244">
        <v>1.0</v>
      </c>
      <c r="K17" s="244">
        <v>0.0</v>
      </c>
      <c r="L17" s="244">
        <v>0.0</v>
      </c>
      <c r="M17" s="244">
        <v>0.0</v>
      </c>
      <c r="N17" s="244">
        <v>0.0</v>
      </c>
      <c r="O17" s="244">
        <v>0.0</v>
      </c>
      <c r="P17" s="244">
        <v>0.0</v>
      </c>
      <c r="Q17" s="244">
        <v>0.0</v>
      </c>
      <c r="R17" s="244">
        <v>0.0</v>
      </c>
      <c r="S17" s="244">
        <v>0.0</v>
      </c>
      <c r="T17" s="244">
        <v>0.0</v>
      </c>
      <c r="U17" s="244">
        <v>0.0</v>
      </c>
      <c r="V17" s="244">
        <v>0.0</v>
      </c>
    </row>
    <row r="18">
      <c r="A18" s="358" t="str">
        <f t="shared" si="2"/>
        <v>3rd</v>
      </c>
      <c r="B18" s="359">
        <v>20.0</v>
      </c>
      <c r="C18" s="244">
        <v>0.0</v>
      </c>
      <c r="D18" s="244">
        <v>0.0</v>
      </c>
      <c r="E18" s="244">
        <v>0.0</v>
      </c>
      <c r="F18" s="244">
        <v>0.0</v>
      </c>
      <c r="G18" s="244">
        <v>0.0</v>
      </c>
      <c r="H18" s="244">
        <v>1.0</v>
      </c>
      <c r="I18" s="244">
        <v>1.0</v>
      </c>
      <c r="J18" s="244">
        <v>0.0</v>
      </c>
      <c r="K18" s="244">
        <v>0.0</v>
      </c>
      <c r="L18" s="244">
        <v>0.0</v>
      </c>
      <c r="M18" s="244">
        <v>0.0</v>
      </c>
      <c r="N18" s="244">
        <v>0.0</v>
      </c>
      <c r="O18" s="244">
        <v>0.0</v>
      </c>
      <c r="P18" s="244">
        <v>0.0</v>
      </c>
      <c r="Q18" s="244">
        <v>0.0</v>
      </c>
      <c r="R18" s="244">
        <v>0.0</v>
      </c>
      <c r="S18" s="244">
        <v>0.0</v>
      </c>
      <c r="T18" s="244">
        <v>0.0</v>
      </c>
      <c r="U18" s="244">
        <v>0.0</v>
      </c>
      <c r="V18" s="244">
        <v>0.0</v>
      </c>
    </row>
    <row r="19">
      <c r="A19" s="358" t="str">
        <f t="shared" si="2"/>
        <v>4th</v>
      </c>
      <c r="B19" s="359">
        <v>0.0</v>
      </c>
      <c r="C19" s="244">
        <v>0.0</v>
      </c>
      <c r="D19" s="244">
        <v>0.0</v>
      </c>
      <c r="E19" s="244">
        <v>0.0</v>
      </c>
      <c r="F19" s="244">
        <v>0.0</v>
      </c>
      <c r="G19" s="244">
        <v>0.0</v>
      </c>
      <c r="H19" s="244">
        <v>0.0</v>
      </c>
      <c r="I19" s="244">
        <v>0.0</v>
      </c>
      <c r="J19" s="244">
        <v>0.0</v>
      </c>
      <c r="K19" s="244">
        <v>0.0</v>
      </c>
      <c r="L19" s="244">
        <v>0.0</v>
      </c>
      <c r="M19" s="244">
        <v>0.0</v>
      </c>
      <c r="N19" s="244">
        <v>0.0</v>
      </c>
      <c r="O19" s="244">
        <v>0.0</v>
      </c>
      <c r="P19" s="244">
        <v>0.0</v>
      </c>
      <c r="Q19" s="244">
        <v>0.0</v>
      </c>
      <c r="R19" s="244">
        <v>0.0</v>
      </c>
      <c r="S19" s="244">
        <v>0.0</v>
      </c>
      <c r="T19" s="244">
        <v>0.0</v>
      </c>
      <c r="U19" s="244">
        <v>0.0</v>
      </c>
      <c r="V19" s="244">
        <v>0.0</v>
      </c>
    </row>
    <row r="20">
      <c r="A20" s="358" t="str">
        <f t="shared" si="2"/>
        <v>5th</v>
      </c>
      <c r="B20" s="359">
        <v>0.0</v>
      </c>
      <c r="C20" s="244">
        <v>0.0</v>
      </c>
      <c r="D20" s="244">
        <v>0.0</v>
      </c>
      <c r="E20" s="244">
        <v>0.0</v>
      </c>
      <c r="F20" s="244">
        <v>0.0</v>
      </c>
      <c r="G20" s="244">
        <v>0.0</v>
      </c>
      <c r="H20" s="244">
        <v>0.0</v>
      </c>
      <c r="I20" s="244">
        <v>0.0</v>
      </c>
      <c r="J20" s="244">
        <v>0.0</v>
      </c>
      <c r="K20" s="244">
        <v>0.0</v>
      </c>
      <c r="L20" s="244">
        <v>0.0</v>
      </c>
      <c r="M20" s="244">
        <v>0.0</v>
      </c>
      <c r="N20" s="244">
        <v>0.0</v>
      </c>
      <c r="O20" s="244">
        <v>0.0</v>
      </c>
      <c r="P20" s="244">
        <v>0.0</v>
      </c>
      <c r="Q20" s="244">
        <v>0.0</v>
      </c>
      <c r="R20" s="244">
        <v>0.0</v>
      </c>
      <c r="S20" s="244">
        <v>0.0</v>
      </c>
      <c r="T20" s="244">
        <v>0.0</v>
      </c>
      <c r="U20" s="244">
        <v>0.0</v>
      </c>
      <c r="V20" s="244">
        <v>0.0</v>
      </c>
    </row>
    <row r="21" ht="15.75" customHeight="1">
      <c r="A21" s="358" t="str">
        <f t="shared" si="2"/>
        <v>6th</v>
      </c>
      <c r="B21" s="359">
        <v>0.0</v>
      </c>
      <c r="C21" s="244">
        <v>0.0</v>
      </c>
      <c r="D21" s="244">
        <v>0.0</v>
      </c>
      <c r="E21" s="244">
        <v>0.0</v>
      </c>
      <c r="F21" s="244">
        <v>0.0</v>
      </c>
      <c r="G21" s="244">
        <v>0.0</v>
      </c>
      <c r="H21" s="244">
        <v>0.0</v>
      </c>
      <c r="I21" s="244">
        <v>0.0</v>
      </c>
      <c r="J21" s="244">
        <v>0.0</v>
      </c>
      <c r="K21" s="244">
        <v>0.0</v>
      </c>
      <c r="L21" s="244">
        <v>0.0</v>
      </c>
      <c r="M21" s="244">
        <v>0.0</v>
      </c>
      <c r="N21" s="244">
        <v>0.0</v>
      </c>
      <c r="O21" s="244">
        <v>0.0</v>
      </c>
      <c r="P21" s="244">
        <v>0.0</v>
      </c>
      <c r="Q21" s="244">
        <v>0.0</v>
      </c>
      <c r="R21" s="244">
        <v>0.0</v>
      </c>
      <c r="S21" s="244">
        <v>0.0</v>
      </c>
      <c r="T21" s="244">
        <v>0.0</v>
      </c>
      <c r="U21" s="244">
        <v>0.0</v>
      </c>
      <c r="V21" s="244">
        <v>0.0</v>
      </c>
    </row>
    <row r="22" ht="15.75" customHeight="1">
      <c r="A22" s="358" t="str">
        <f t="shared" si="2"/>
        <v>7th</v>
      </c>
      <c r="B22" s="359">
        <v>0.0</v>
      </c>
      <c r="C22" s="244">
        <v>0.0</v>
      </c>
      <c r="D22" s="244">
        <v>0.0</v>
      </c>
      <c r="E22" s="244">
        <v>0.0</v>
      </c>
      <c r="F22" s="244">
        <v>0.0</v>
      </c>
      <c r="G22" s="244">
        <v>0.0</v>
      </c>
      <c r="H22" s="244">
        <v>0.0</v>
      </c>
      <c r="I22" s="244">
        <v>0.0</v>
      </c>
      <c r="J22" s="244">
        <v>0.0</v>
      </c>
      <c r="K22" s="244">
        <v>0.0</v>
      </c>
      <c r="L22" s="244">
        <v>0.0</v>
      </c>
      <c r="M22" s="244">
        <v>0.0</v>
      </c>
      <c r="N22" s="244">
        <v>0.0</v>
      </c>
      <c r="O22" s="244">
        <v>0.0</v>
      </c>
      <c r="P22" s="244">
        <v>0.0</v>
      </c>
      <c r="Q22" s="244">
        <v>0.0</v>
      </c>
      <c r="R22" s="244">
        <v>0.0</v>
      </c>
      <c r="S22" s="244">
        <v>0.0</v>
      </c>
      <c r="T22" s="244">
        <v>0.0</v>
      </c>
      <c r="U22" s="244">
        <v>0.0</v>
      </c>
      <c r="V22" s="244">
        <v>0.0</v>
      </c>
    </row>
    <row r="23" ht="15.75" customHeight="1">
      <c r="A23" s="328"/>
      <c r="B23" s="328"/>
      <c r="C23" s="328"/>
      <c r="D23" s="328"/>
      <c r="E23" s="328"/>
      <c r="F23" s="328"/>
      <c r="G23" s="328"/>
      <c r="H23" s="328"/>
      <c r="I23" s="328"/>
      <c r="J23" s="328"/>
      <c r="K23" s="328"/>
      <c r="L23" s="328"/>
      <c r="M23" s="328"/>
      <c r="N23" s="328"/>
      <c r="O23" s="328"/>
      <c r="P23" s="328"/>
      <c r="Q23" s="328"/>
      <c r="R23" s="328"/>
      <c r="S23" s="328"/>
      <c r="T23" s="328"/>
      <c r="U23" s="328"/>
      <c r="V23" s="328"/>
    </row>
    <row r="24" ht="19.5" customHeight="1">
      <c r="A24" s="352" t="s">
        <v>354</v>
      </c>
      <c r="B24" s="352"/>
      <c r="C24" s="352"/>
      <c r="D24" s="352"/>
      <c r="E24" s="352"/>
      <c r="F24" s="352"/>
      <c r="G24" s="352"/>
      <c r="H24" s="352"/>
      <c r="I24" s="352"/>
      <c r="J24" s="352"/>
      <c r="K24" s="352"/>
      <c r="L24" s="352"/>
      <c r="M24" s="352"/>
      <c r="N24" s="352"/>
      <c r="O24" s="352"/>
      <c r="P24" s="352"/>
      <c r="Q24" s="352"/>
      <c r="R24" s="352"/>
      <c r="S24" s="352"/>
      <c r="T24" s="352"/>
      <c r="U24" s="352"/>
      <c r="V24" s="352"/>
    </row>
    <row r="25" ht="75.0" customHeight="1">
      <c r="A25" s="356" t="s">
        <v>161</v>
      </c>
      <c r="B25" s="357" t="s">
        <v>76</v>
      </c>
      <c r="C25" s="246" t="s">
        <v>46</v>
      </c>
      <c r="D25" s="246" t="s">
        <v>121</v>
      </c>
      <c r="E25" s="246" t="s">
        <v>47</v>
      </c>
      <c r="F25" s="246" t="s">
        <v>48</v>
      </c>
      <c r="G25" s="246" t="s">
        <v>50</v>
      </c>
      <c r="H25" s="246" t="s">
        <v>52</v>
      </c>
      <c r="I25" s="246" t="s">
        <v>53</v>
      </c>
      <c r="J25" s="246" t="s">
        <v>54</v>
      </c>
      <c r="K25" s="246" t="s">
        <v>55</v>
      </c>
      <c r="L25" s="246" t="s">
        <v>56</v>
      </c>
      <c r="M25" s="246" t="s">
        <v>57</v>
      </c>
      <c r="N25" s="246" t="s">
        <v>58</v>
      </c>
      <c r="O25" s="246" t="s">
        <v>135</v>
      </c>
      <c r="P25" s="246" t="s">
        <v>122</v>
      </c>
      <c r="Q25" s="246" t="s">
        <v>123</v>
      </c>
      <c r="R25" s="246" t="s">
        <v>124</v>
      </c>
      <c r="S25" s="246" t="s">
        <v>125</v>
      </c>
      <c r="T25" s="246" t="s">
        <v>126</v>
      </c>
      <c r="U25" s="246" t="s">
        <v>127</v>
      </c>
      <c r="V25" s="246" t="s">
        <v>128</v>
      </c>
    </row>
    <row r="26" ht="15.75" customHeight="1">
      <c r="A26" s="358" t="str">
        <f t="shared" ref="A26:A28" si="3">CHOOSE(ROW()-ROW($A$26)+1,"1st","2nd","3rd","4th","5th","6th","7th","8th","9th","10th")</f>
        <v>1st</v>
      </c>
      <c r="B26" s="359">
        <v>70.0</v>
      </c>
      <c r="C26" s="244">
        <v>0.0</v>
      </c>
      <c r="D26" s="244">
        <v>0.0</v>
      </c>
      <c r="E26" s="244">
        <v>0.0</v>
      </c>
      <c r="F26" s="244">
        <v>0.0</v>
      </c>
      <c r="G26" s="244">
        <v>1.0</v>
      </c>
      <c r="H26" s="244">
        <v>0.0</v>
      </c>
      <c r="I26" s="244">
        <v>0.0</v>
      </c>
      <c r="J26" s="244">
        <v>1.0</v>
      </c>
      <c r="K26" s="244">
        <v>0.0</v>
      </c>
      <c r="L26" s="244">
        <v>0.0</v>
      </c>
      <c r="M26" s="244">
        <v>0.0</v>
      </c>
      <c r="N26" s="244">
        <v>0.0</v>
      </c>
      <c r="O26" s="244">
        <v>0.0</v>
      </c>
      <c r="P26" s="244">
        <v>0.0</v>
      </c>
      <c r="Q26" s="244">
        <v>0.0</v>
      </c>
      <c r="R26" s="244">
        <v>0.0</v>
      </c>
      <c r="S26" s="244">
        <v>0.0</v>
      </c>
      <c r="T26" s="244">
        <v>0.0</v>
      </c>
      <c r="U26" s="244">
        <v>0.0</v>
      </c>
      <c r="V26" s="244">
        <v>0.0</v>
      </c>
    </row>
    <row r="27" ht="15.75" customHeight="1">
      <c r="A27" s="358" t="str">
        <f t="shared" si="3"/>
        <v>2nd</v>
      </c>
      <c r="B27" s="359">
        <v>30.0</v>
      </c>
      <c r="C27" s="244">
        <v>0.0</v>
      </c>
      <c r="D27" s="244">
        <v>0.0</v>
      </c>
      <c r="E27" s="244">
        <v>0.0</v>
      </c>
      <c r="F27" s="244">
        <v>1.0</v>
      </c>
      <c r="G27" s="244">
        <v>0.0</v>
      </c>
      <c r="H27" s="244">
        <v>0.0</v>
      </c>
      <c r="I27" s="244">
        <v>1.0</v>
      </c>
      <c r="J27" s="244">
        <v>0.0</v>
      </c>
      <c r="K27" s="244">
        <v>0.0</v>
      </c>
      <c r="L27" s="244">
        <v>0.0</v>
      </c>
      <c r="M27" s="244">
        <v>0.0</v>
      </c>
      <c r="N27" s="244">
        <v>0.0</v>
      </c>
      <c r="O27" s="244">
        <v>0.0</v>
      </c>
      <c r="P27" s="244">
        <v>0.0</v>
      </c>
      <c r="Q27" s="244">
        <v>0.0</v>
      </c>
      <c r="R27" s="244">
        <v>0.0</v>
      </c>
      <c r="S27" s="244">
        <v>0.0</v>
      </c>
      <c r="T27" s="244">
        <v>0.0</v>
      </c>
      <c r="U27" s="244">
        <v>0.0</v>
      </c>
      <c r="V27" s="244">
        <v>0.0</v>
      </c>
    </row>
    <row r="28" ht="15.75" customHeight="1">
      <c r="A28" s="358" t="str">
        <f t="shared" si="3"/>
        <v>3rd</v>
      </c>
      <c r="B28" s="359">
        <v>10.0</v>
      </c>
      <c r="C28" s="244">
        <v>0.0</v>
      </c>
      <c r="D28" s="244">
        <v>0.0</v>
      </c>
      <c r="E28" s="244">
        <v>1.0</v>
      </c>
      <c r="F28" s="244">
        <v>0.0</v>
      </c>
      <c r="G28" s="244">
        <v>0.0</v>
      </c>
      <c r="H28" s="244">
        <v>1.0</v>
      </c>
      <c r="I28" s="244">
        <v>0.0</v>
      </c>
      <c r="J28" s="244">
        <v>0.0</v>
      </c>
      <c r="K28" s="244">
        <v>0.0</v>
      </c>
      <c r="L28" s="244">
        <v>0.0</v>
      </c>
      <c r="M28" s="244">
        <v>0.0</v>
      </c>
      <c r="N28" s="244">
        <v>0.0</v>
      </c>
      <c r="O28" s="244">
        <v>0.0</v>
      </c>
      <c r="P28" s="244">
        <v>0.0</v>
      </c>
      <c r="Q28" s="244">
        <v>0.0</v>
      </c>
      <c r="R28" s="244">
        <v>0.0</v>
      </c>
      <c r="S28" s="244">
        <v>0.0</v>
      </c>
      <c r="T28" s="244">
        <v>0.0</v>
      </c>
      <c r="U28" s="244">
        <v>0.0</v>
      </c>
      <c r="V28" s="244">
        <v>0.0</v>
      </c>
    </row>
    <row r="29" ht="15.75" customHeight="1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V29" s="328"/>
    </row>
    <row r="30" ht="15.75" customHeight="1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V30" s="328"/>
    </row>
    <row r="31" ht="15.75" customHeight="1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V31" s="328"/>
    </row>
    <row r="32" ht="15.75" customHeight="1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V32" s="328"/>
    </row>
    <row r="33" ht="15.75" customHeight="1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V33" s="328"/>
    </row>
    <row r="34" ht="15.75" customHeight="1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V34" s="328"/>
    </row>
    <row r="35" ht="15.75" customHeight="1">
      <c r="A35" s="328"/>
      <c r="B35" s="328"/>
      <c r="C35" s="328"/>
      <c r="D35" s="328"/>
      <c r="E35" s="328"/>
      <c r="F35" s="328"/>
      <c r="G35" s="328"/>
      <c r="H35" s="32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</row>
    <row r="36" ht="15.75" customHeight="1">
      <c r="A36" s="328"/>
      <c r="B36" s="328"/>
      <c r="C36" s="328"/>
      <c r="D36" s="328"/>
      <c r="E36" s="328"/>
      <c r="F36" s="328"/>
      <c r="G36" s="328"/>
      <c r="H36" s="328"/>
      <c r="I36" s="328"/>
      <c r="J36" s="328"/>
      <c r="K36" s="328"/>
      <c r="L36" s="328"/>
      <c r="M36" s="328"/>
      <c r="N36" s="328"/>
      <c r="O36" s="328"/>
      <c r="P36" s="328"/>
      <c r="Q36" s="328"/>
      <c r="R36" s="328"/>
      <c r="S36" s="328"/>
      <c r="T36" s="328"/>
      <c r="U36" s="328"/>
      <c r="V36" s="328"/>
    </row>
    <row r="37" ht="15.75" customHeight="1">
      <c r="A37" s="328"/>
      <c r="B37" s="328"/>
      <c r="C37" s="328"/>
      <c r="D37" s="328"/>
      <c r="E37" s="328"/>
      <c r="F37" s="328"/>
      <c r="G37" s="328"/>
      <c r="H37" s="32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</row>
    <row r="38" ht="15.75" customHeight="1">
      <c r="A38" s="328"/>
      <c r="B38" s="328"/>
      <c r="C38" s="328"/>
      <c r="D38" s="328"/>
      <c r="E38" s="328"/>
      <c r="F38" s="328"/>
      <c r="G38" s="328"/>
      <c r="H38" s="328"/>
      <c r="I38" s="328"/>
      <c r="J38" s="328"/>
      <c r="K38" s="328"/>
      <c r="L38" s="328"/>
      <c r="M38" s="328"/>
      <c r="N38" s="328"/>
      <c r="O38" s="328"/>
      <c r="P38" s="328"/>
      <c r="Q38" s="328"/>
      <c r="R38" s="328"/>
      <c r="S38" s="328"/>
      <c r="T38" s="328"/>
      <c r="U38" s="328"/>
      <c r="V38" s="328"/>
    </row>
    <row r="39" ht="15.75" customHeight="1">
      <c r="A39" s="328"/>
      <c r="B39" s="328"/>
      <c r="C39" s="328"/>
      <c r="D39" s="328"/>
      <c r="E39" s="328"/>
      <c r="F39" s="328"/>
      <c r="G39" s="328"/>
      <c r="H39" s="32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</row>
    <row r="40" ht="15.75" customHeight="1">
      <c r="A40" s="328"/>
      <c r="B40" s="328"/>
      <c r="C40" s="328"/>
      <c r="D40" s="328"/>
      <c r="E40" s="328"/>
      <c r="F40" s="328"/>
      <c r="G40" s="328"/>
      <c r="H40" s="32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</row>
    <row r="41" ht="15.75" customHeight="1">
      <c r="A41" s="328"/>
      <c r="B41" s="328"/>
      <c r="C41" s="328"/>
      <c r="D41" s="328"/>
      <c r="E41" s="328"/>
      <c r="F41" s="328"/>
      <c r="G41" s="328"/>
      <c r="H41" s="328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</row>
    <row r="42" ht="15.75" customHeight="1">
      <c r="A42" s="328"/>
      <c r="B42" s="328"/>
      <c r="C42" s="328"/>
      <c r="D42" s="328"/>
      <c r="E42" s="328"/>
      <c r="F42" s="328"/>
      <c r="G42" s="328"/>
      <c r="H42" s="328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</row>
    <row r="43" ht="15.75" customHeight="1">
      <c r="A43" s="328"/>
      <c r="B43" s="328"/>
      <c r="C43" s="328"/>
      <c r="D43" s="328"/>
      <c r="E43" s="328"/>
      <c r="F43" s="328"/>
      <c r="G43" s="328"/>
      <c r="H43" s="32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</row>
    <row r="44" ht="15.75" customHeight="1">
      <c r="A44" s="328"/>
      <c r="B44" s="328"/>
      <c r="C44" s="328"/>
      <c r="D44" s="328"/>
      <c r="E44" s="328"/>
      <c r="F44" s="328"/>
      <c r="G44" s="328"/>
      <c r="H44" s="328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</row>
    <row r="45" ht="15.75" customHeight="1">
      <c r="A45" s="328"/>
      <c r="B45" s="328"/>
      <c r="C45" s="328"/>
      <c r="D45" s="328"/>
      <c r="E45" s="328"/>
      <c r="F45" s="328"/>
      <c r="G45" s="328"/>
      <c r="H45" s="32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</row>
    <row r="46" ht="15.75" customHeight="1">
      <c r="A46" s="328"/>
      <c r="B46" s="328"/>
      <c r="C46" s="328"/>
      <c r="D46" s="328"/>
      <c r="E46" s="328"/>
      <c r="F46" s="328"/>
      <c r="G46" s="328"/>
      <c r="H46" s="32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</row>
    <row r="47" ht="15.75" customHeight="1">
      <c r="A47" s="328"/>
      <c r="B47" s="328"/>
      <c r="C47" s="328"/>
      <c r="D47" s="328"/>
      <c r="E47" s="328"/>
      <c r="F47" s="328"/>
      <c r="G47" s="328"/>
      <c r="H47" s="32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</row>
    <row r="48" ht="15.75" customHeight="1">
      <c r="A48" s="328"/>
      <c r="B48" s="328"/>
      <c r="C48" s="328"/>
      <c r="D48" s="328"/>
      <c r="E48" s="328"/>
      <c r="F48" s="328"/>
      <c r="G48" s="328"/>
      <c r="H48" s="328"/>
      <c r="I48" s="328"/>
      <c r="J48" s="328"/>
      <c r="K48" s="328"/>
      <c r="L48" s="328"/>
      <c r="M48" s="328"/>
      <c r="N48" s="328"/>
      <c r="O48" s="328"/>
      <c r="P48" s="328"/>
      <c r="Q48" s="328"/>
      <c r="R48" s="328"/>
      <c r="S48" s="328"/>
      <c r="T48" s="328"/>
      <c r="U48" s="328"/>
      <c r="V48" s="328"/>
    </row>
    <row r="49" ht="15.75" customHeight="1">
      <c r="A49" s="328"/>
      <c r="B49" s="328"/>
      <c r="C49" s="328"/>
      <c r="D49" s="328"/>
      <c r="E49" s="328"/>
      <c r="F49" s="328"/>
      <c r="G49" s="328"/>
      <c r="H49" s="32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</row>
    <row r="50" ht="15.75" customHeight="1">
      <c r="A50" s="328"/>
      <c r="B50" s="328"/>
      <c r="C50" s="328"/>
      <c r="D50" s="328"/>
      <c r="E50" s="328"/>
      <c r="F50" s="328"/>
      <c r="G50" s="328"/>
      <c r="H50" s="328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</row>
    <row r="51" ht="15.75" customHeight="1">
      <c r="A51" s="328"/>
      <c r="B51" s="328"/>
      <c r="C51" s="328"/>
      <c r="D51" s="328"/>
      <c r="E51" s="328"/>
      <c r="F51" s="328"/>
      <c r="G51" s="328"/>
      <c r="H51" s="328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</row>
    <row r="52" ht="15.75" customHeight="1">
      <c r="A52" s="328"/>
      <c r="B52" s="328"/>
      <c r="C52" s="328"/>
      <c r="D52" s="328"/>
      <c r="E52" s="328"/>
      <c r="F52" s="328"/>
      <c r="G52" s="328"/>
      <c r="H52" s="328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</row>
    <row r="53" ht="15.75" customHeight="1">
      <c r="A53" s="328"/>
      <c r="B53" s="328"/>
      <c r="C53" s="328"/>
      <c r="D53" s="328"/>
      <c r="E53" s="328"/>
      <c r="F53" s="328"/>
      <c r="G53" s="328"/>
      <c r="H53" s="328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</row>
    <row r="54" ht="15.75" customHeight="1">
      <c r="A54" s="328"/>
      <c r="B54" s="328"/>
      <c r="C54" s="328"/>
      <c r="D54" s="328"/>
      <c r="E54" s="328"/>
      <c r="F54" s="328"/>
      <c r="G54" s="328"/>
      <c r="H54" s="328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</row>
    <row r="55" ht="15.75" customHeight="1">
      <c r="A55" s="328"/>
      <c r="B55" s="328"/>
      <c r="C55" s="328"/>
      <c r="D55" s="328"/>
      <c r="E55" s="328"/>
      <c r="F55" s="328"/>
      <c r="G55" s="328"/>
      <c r="H55" s="32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</row>
    <row r="56" ht="15.75" customHeight="1">
      <c r="A56" s="328"/>
      <c r="B56" s="328"/>
      <c r="C56" s="328"/>
      <c r="D56" s="328"/>
      <c r="E56" s="328"/>
      <c r="F56" s="328"/>
      <c r="G56" s="328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</row>
    <row r="57" ht="15.75" customHeight="1">
      <c r="A57" s="328"/>
      <c r="B57" s="328"/>
      <c r="C57" s="328"/>
      <c r="D57" s="328"/>
      <c r="E57" s="328"/>
      <c r="F57" s="328"/>
      <c r="G57" s="328"/>
      <c r="H57" s="32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</row>
    <row r="58" ht="15.75" customHeight="1">
      <c r="A58" s="328"/>
      <c r="B58" s="328"/>
      <c r="C58" s="328"/>
      <c r="D58" s="328"/>
      <c r="E58" s="328"/>
      <c r="F58" s="328"/>
      <c r="G58" s="328"/>
      <c r="H58" s="328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</row>
    <row r="59" ht="15.75" customHeight="1">
      <c r="A59" s="328"/>
      <c r="B59" s="328"/>
      <c r="C59" s="328"/>
      <c r="D59" s="328"/>
      <c r="E59" s="328"/>
      <c r="F59" s="328"/>
      <c r="G59" s="328"/>
      <c r="H59" s="328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</row>
    <row r="60" ht="15.75" customHeight="1">
      <c r="A60" s="328"/>
      <c r="B60" s="328"/>
      <c r="C60" s="328"/>
      <c r="D60" s="328"/>
      <c r="E60" s="328"/>
      <c r="F60" s="328"/>
      <c r="G60" s="328"/>
      <c r="H60" s="328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</row>
    <row r="61" ht="15.75" customHeight="1">
      <c r="A61" s="328"/>
      <c r="B61" s="328"/>
      <c r="C61" s="328"/>
      <c r="D61" s="328"/>
      <c r="E61" s="328"/>
      <c r="F61" s="328"/>
      <c r="G61" s="328"/>
      <c r="H61" s="328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</row>
    <row r="62" ht="15.75" customHeight="1">
      <c r="A62" s="328"/>
      <c r="B62" s="328"/>
      <c r="C62" s="328"/>
      <c r="D62" s="328"/>
      <c r="E62" s="328"/>
      <c r="F62" s="328"/>
      <c r="G62" s="328"/>
      <c r="H62" s="328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</row>
    <row r="63" ht="15.75" customHeight="1">
      <c r="A63" s="328"/>
      <c r="B63" s="328"/>
      <c r="C63" s="328"/>
      <c r="D63" s="328"/>
      <c r="E63" s="328"/>
      <c r="F63" s="328"/>
      <c r="G63" s="328"/>
      <c r="H63" s="328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</row>
    <row r="64" ht="15.75" customHeight="1">
      <c r="A64" s="328"/>
      <c r="B64" s="328"/>
      <c r="C64" s="328"/>
      <c r="D64" s="328"/>
      <c r="E64" s="328"/>
      <c r="F64" s="328"/>
      <c r="G64" s="328"/>
      <c r="H64" s="328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</row>
    <row r="65" ht="15.75" customHeight="1">
      <c r="A65" s="328"/>
      <c r="B65" s="328"/>
      <c r="C65" s="328"/>
      <c r="D65" s="328"/>
      <c r="E65" s="328"/>
      <c r="F65" s="328"/>
      <c r="G65" s="328"/>
      <c r="H65" s="328"/>
      <c r="I65" s="328"/>
      <c r="J65" s="328"/>
      <c r="K65" s="328"/>
      <c r="L65" s="328"/>
      <c r="M65" s="328"/>
      <c r="N65" s="328"/>
      <c r="O65" s="328"/>
      <c r="P65" s="328"/>
      <c r="Q65" s="328"/>
      <c r="R65" s="328"/>
      <c r="S65" s="328"/>
      <c r="T65" s="328"/>
      <c r="U65" s="328"/>
      <c r="V65" s="328"/>
    </row>
    <row r="66" ht="15.75" customHeight="1">
      <c r="A66" s="328"/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8"/>
      <c r="Q66" s="328"/>
      <c r="R66" s="328"/>
      <c r="S66" s="328"/>
      <c r="T66" s="328"/>
      <c r="U66" s="328"/>
      <c r="V66" s="328"/>
    </row>
    <row r="67" ht="15.75" customHeight="1">
      <c r="A67" s="328"/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</row>
    <row r="68" ht="15.75" customHeight="1">
      <c r="A68" s="328"/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</row>
    <row r="69" ht="15.75" customHeight="1">
      <c r="A69" s="328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8"/>
      <c r="Q69" s="328"/>
      <c r="R69" s="328"/>
      <c r="S69" s="328"/>
      <c r="T69" s="328"/>
      <c r="U69" s="328"/>
      <c r="V69" s="328"/>
    </row>
    <row r="70" ht="15.75" customHeight="1">
      <c r="A70" s="328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8"/>
      <c r="Q70" s="328"/>
      <c r="R70" s="328"/>
      <c r="S70" s="328"/>
      <c r="T70" s="328"/>
      <c r="U70" s="328"/>
      <c r="V70" s="328"/>
    </row>
    <row r="71" ht="15.75" customHeight="1">
      <c r="A71" s="328"/>
      <c r="B71" s="328"/>
      <c r="C71" s="328"/>
      <c r="D71" s="328"/>
      <c r="E71" s="328"/>
      <c r="F71" s="328"/>
      <c r="G71" s="328"/>
      <c r="H71" s="328"/>
      <c r="I71" s="328"/>
      <c r="J71" s="328"/>
      <c r="K71" s="328"/>
      <c r="L71" s="328"/>
      <c r="M71" s="328"/>
      <c r="N71" s="328"/>
      <c r="O71" s="328"/>
      <c r="P71" s="328"/>
      <c r="Q71" s="328"/>
      <c r="R71" s="328"/>
      <c r="S71" s="328"/>
      <c r="T71" s="328"/>
      <c r="U71" s="328"/>
      <c r="V71" s="328"/>
    </row>
    <row r="72" ht="15.75" customHeight="1">
      <c r="A72" s="328"/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8"/>
      <c r="Q72" s="328"/>
      <c r="R72" s="328"/>
      <c r="S72" s="328"/>
      <c r="T72" s="328"/>
      <c r="U72" s="328"/>
      <c r="V72" s="328"/>
    </row>
    <row r="73" ht="15.75" customHeight="1">
      <c r="A73" s="328"/>
      <c r="B73" s="328"/>
      <c r="C73" s="328"/>
      <c r="D73" s="328"/>
      <c r="E73" s="328"/>
      <c r="F73" s="328"/>
      <c r="G73" s="328"/>
      <c r="H73" s="328"/>
      <c r="I73" s="328"/>
      <c r="J73" s="328"/>
      <c r="K73" s="328"/>
      <c r="L73" s="328"/>
      <c r="M73" s="328"/>
      <c r="N73" s="328"/>
      <c r="O73" s="328"/>
      <c r="P73" s="328"/>
      <c r="Q73" s="328"/>
      <c r="R73" s="328"/>
      <c r="S73" s="328"/>
      <c r="T73" s="328"/>
      <c r="U73" s="328"/>
      <c r="V73" s="328"/>
    </row>
    <row r="74" ht="15.75" customHeight="1">
      <c r="A74" s="328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8"/>
      <c r="Q74" s="328"/>
      <c r="R74" s="328"/>
      <c r="S74" s="328"/>
      <c r="T74" s="328"/>
      <c r="U74" s="328"/>
      <c r="V74" s="328"/>
    </row>
    <row r="75" ht="15.75" customHeight="1">
      <c r="A75" s="328"/>
      <c r="B75" s="328"/>
      <c r="C75" s="328"/>
      <c r="D75" s="328"/>
      <c r="E75" s="328"/>
      <c r="F75" s="328"/>
      <c r="G75" s="328"/>
      <c r="H75" s="328"/>
      <c r="I75" s="328"/>
      <c r="J75" s="328"/>
      <c r="K75" s="328"/>
      <c r="L75" s="328"/>
      <c r="M75" s="328"/>
      <c r="N75" s="328"/>
      <c r="O75" s="328"/>
      <c r="P75" s="328"/>
      <c r="Q75" s="328"/>
      <c r="R75" s="328"/>
      <c r="S75" s="328"/>
      <c r="T75" s="328"/>
      <c r="U75" s="328"/>
      <c r="V75" s="328"/>
    </row>
    <row r="76" ht="15.75" customHeight="1">
      <c r="A76" s="328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8"/>
      <c r="Q76" s="328"/>
      <c r="R76" s="328"/>
      <c r="S76" s="328"/>
      <c r="T76" s="328"/>
      <c r="U76" s="328"/>
      <c r="V76" s="328"/>
    </row>
    <row r="77" ht="15.75" customHeight="1">
      <c r="A77" s="328"/>
      <c r="B77" s="328"/>
      <c r="C77" s="328"/>
      <c r="D77" s="328"/>
      <c r="E77" s="328"/>
      <c r="F77" s="328"/>
      <c r="G77" s="328"/>
      <c r="H77" s="328"/>
      <c r="I77" s="328"/>
      <c r="J77" s="328"/>
      <c r="K77" s="328"/>
      <c r="L77" s="328"/>
      <c r="M77" s="328"/>
      <c r="N77" s="328"/>
      <c r="O77" s="328"/>
      <c r="P77" s="328"/>
      <c r="Q77" s="328"/>
      <c r="R77" s="328"/>
      <c r="S77" s="328"/>
      <c r="T77" s="328"/>
      <c r="U77" s="328"/>
      <c r="V77" s="328"/>
    </row>
    <row r="78" ht="15.75" customHeight="1">
      <c r="A78" s="328"/>
      <c r="B78" s="328"/>
      <c r="C78" s="328"/>
      <c r="D78" s="328"/>
      <c r="E78" s="328"/>
      <c r="F78" s="328"/>
      <c r="G78" s="328"/>
      <c r="H78" s="328"/>
      <c r="I78" s="328"/>
      <c r="J78" s="328"/>
      <c r="K78" s="328"/>
      <c r="L78" s="328"/>
      <c r="M78" s="328"/>
      <c r="N78" s="328"/>
      <c r="O78" s="328"/>
      <c r="P78" s="328"/>
      <c r="Q78" s="328"/>
      <c r="R78" s="328"/>
      <c r="S78" s="328"/>
      <c r="T78" s="328"/>
      <c r="U78" s="328"/>
      <c r="V78" s="328"/>
    </row>
    <row r="79" ht="15.75" customHeight="1">
      <c r="A79" s="328"/>
      <c r="B79" s="328"/>
      <c r="C79" s="328"/>
      <c r="D79" s="328"/>
      <c r="E79" s="328"/>
      <c r="F79" s="328"/>
      <c r="G79" s="328"/>
      <c r="H79" s="328"/>
      <c r="I79" s="328"/>
      <c r="J79" s="328"/>
      <c r="K79" s="328"/>
      <c r="L79" s="328"/>
      <c r="M79" s="328"/>
      <c r="N79" s="328"/>
      <c r="O79" s="328"/>
      <c r="P79" s="328"/>
      <c r="Q79" s="328"/>
      <c r="R79" s="328"/>
      <c r="S79" s="328"/>
      <c r="T79" s="328"/>
      <c r="U79" s="328"/>
      <c r="V79" s="328"/>
    </row>
    <row r="80" ht="15.75" customHeight="1">
      <c r="A80" s="328"/>
      <c r="B80" s="328"/>
      <c r="C80" s="328"/>
      <c r="D80" s="328"/>
      <c r="E80" s="328"/>
      <c r="F80" s="328"/>
      <c r="G80" s="328"/>
      <c r="H80" s="328"/>
      <c r="I80" s="328"/>
      <c r="J80" s="328"/>
      <c r="K80" s="328"/>
      <c r="L80" s="328"/>
      <c r="M80" s="328"/>
      <c r="N80" s="328"/>
      <c r="O80" s="328"/>
      <c r="P80" s="328"/>
      <c r="Q80" s="328"/>
      <c r="R80" s="328"/>
      <c r="S80" s="328"/>
      <c r="T80" s="328"/>
      <c r="U80" s="328"/>
      <c r="V80" s="328"/>
    </row>
    <row r="81" ht="15.75" customHeight="1">
      <c r="A81" s="328"/>
      <c r="B81" s="328"/>
      <c r="C81" s="328"/>
      <c r="D81" s="328"/>
      <c r="E81" s="328"/>
      <c r="F81" s="328"/>
      <c r="G81" s="328"/>
      <c r="H81" s="328"/>
      <c r="I81" s="328"/>
      <c r="J81" s="328"/>
      <c r="K81" s="328"/>
      <c r="L81" s="328"/>
      <c r="M81" s="328"/>
      <c r="N81" s="328"/>
      <c r="O81" s="328"/>
      <c r="P81" s="328"/>
      <c r="Q81" s="328"/>
      <c r="R81" s="328"/>
      <c r="S81" s="328"/>
      <c r="T81" s="328"/>
      <c r="U81" s="328"/>
      <c r="V81" s="328"/>
    </row>
    <row r="82" ht="15.75" customHeight="1">
      <c r="A82" s="328"/>
      <c r="B82" s="328"/>
      <c r="C82" s="328"/>
      <c r="D82" s="328"/>
      <c r="E82" s="328"/>
      <c r="F82" s="328"/>
      <c r="G82" s="328"/>
      <c r="H82" s="328"/>
      <c r="I82" s="328"/>
      <c r="J82" s="328"/>
      <c r="K82" s="328"/>
      <c r="L82" s="328"/>
      <c r="M82" s="328"/>
      <c r="N82" s="328"/>
      <c r="O82" s="328"/>
      <c r="P82" s="328"/>
      <c r="Q82" s="328"/>
      <c r="R82" s="328"/>
      <c r="S82" s="328"/>
      <c r="T82" s="328"/>
      <c r="U82" s="328"/>
      <c r="V82" s="328"/>
    </row>
    <row r="83" ht="15.75" customHeight="1">
      <c r="A83" s="328"/>
      <c r="B83" s="328"/>
      <c r="C83" s="328"/>
      <c r="D83" s="328"/>
      <c r="E83" s="328"/>
      <c r="F83" s="328"/>
      <c r="G83" s="328"/>
      <c r="H83" s="328"/>
      <c r="I83" s="328"/>
      <c r="J83" s="328"/>
      <c r="K83" s="328"/>
      <c r="L83" s="328"/>
      <c r="M83" s="328"/>
      <c r="N83" s="328"/>
      <c r="O83" s="328"/>
      <c r="P83" s="328"/>
      <c r="Q83" s="328"/>
      <c r="R83" s="328"/>
      <c r="S83" s="328"/>
      <c r="T83" s="328"/>
      <c r="U83" s="328"/>
      <c r="V83" s="328"/>
    </row>
    <row r="84" ht="15.75" customHeight="1">
      <c r="A84" s="328"/>
      <c r="B84" s="328"/>
      <c r="C84" s="328"/>
      <c r="D84" s="328"/>
      <c r="E84" s="328"/>
      <c r="F84" s="328"/>
      <c r="G84" s="328"/>
      <c r="H84" s="328"/>
      <c r="I84" s="328"/>
      <c r="J84" s="328"/>
      <c r="K84" s="328"/>
      <c r="L84" s="328"/>
      <c r="M84" s="328"/>
      <c r="N84" s="328"/>
      <c r="O84" s="328"/>
      <c r="P84" s="328"/>
      <c r="Q84" s="328"/>
      <c r="R84" s="328"/>
      <c r="S84" s="328"/>
      <c r="T84" s="328"/>
      <c r="U84" s="328"/>
      <c r="V84" s="328"/>
    </row>
    <row r="85" ht="15.75" customHeight="1">
      <c r="A85" s="328"/>
      <c r="B85" s="328"/>
      <c r="C85" s="328"/>
      <c r="D85" s="328"/>
      <c r="E85" s="328"/>
      <c r="F85" s="328"/>
      <c r="G85" s="328"/>
      <c r="H85" s="328"/>
      <c r="I85" s="328"/>
      <c r="J85" s="328"/>
      <c r="K85" s="328"/>
      <c r="L85" s="328"/>
      <c r="M85" s="328"/>
      <c r="N85" s="328"/>
      <c r="O85" s="328"/>
      <c r="P85" s="328"/>
      <c r="Q85" s="328"/>
      <c r="R85" s="328"/>
      <c r="S85" s="328"/>
      <c r="T85" s="328"/>
      <c r="U85" s="328"/>
      <c r="V85" s="328"/>
    </row>
    <row r="86" ht="15.75" customHeight="1">
      <c r="A86" s="328"/>
      <c r="B86" s="328"/>
      <c r="C86" s="328"/>
      <c r="D86" s="328"/>
      <c r="E86" s="328"/>
      <c r="F86" s="328"/>
      <c r="G86" s="328"/>
      <c r="H86" s="328"/>
      <c r="I86" s="328"/>
      <c r="J86" s="328"/>
      <c r="K86" s="328"/>
      <c r="L86" s="328"/>
      <c r="M86" s="328"/>
      <c r="N86" s="328"/>
      <c r="O86" s="328"/>
      <c r="P86" s="328"/>
      <c r="Q86" s="328"/>
      <c r="R86" s="328"/>
      <c r="S86" s="328"/>
      <c r="T86" s="328"/>
      <c r="U86" s="328"/>
      <c r="V86" s="328"/>
    </row>
    <row r="87" ht="15.75" customHeight="1">
      <c r="A87" s="328"/>
      <c r="B87" s="328"/>
      <c r="C87" s="328"/>
      <c r="D87" s="328"/>
      <c r="E87" s="328"/>
      <c r="F87" s="328"/>
      <c r="G87" s="328"/>
      <c r="H87" s="328"/>
      <c r="I87" s="328"/>
      <c r="J87" s="328"/>
      <c r="K87" s="328"/>
      <c r="L87" s="328"/>
      <c r="M87" s="328"/>
      <c r="N87" s="328"/>
      <c r="O87" s="328"/>
      <c r="P87" s="328"/>
      <c r="Q87" s="328"/>
      <c r="R87" s="328"/>
      <c r="S87" s="328"/>
      <c r="T87" s="328"/>
      <c r="U87" s="328"/>
      <c r="V87" s="328"/>
    </row>
    <row r="88" ht="15.75" customHeight="1">
      <c r="A88" s="328"/>
      <c r="B88" s="328"/>
      <c r="C88" s="328"/>
      <c r="D88" s="328"/>
      <c r="E88" s="328"/>
      <c r="F88" s="328"/>
      <c r="G88" s="328"/>
      <c r="H88" s="328"/>
      <c r="I88" s="328"/>
      <c r="J88" s="328"/>
      <c r="K88" s="328"/>
      <c r="L88" s="328"/>
      <c r="M88" s="328"/>
      <c r="N88" s="328"/>
      <c r="O88" s="328"/>
      <c r="P88" s="328"/>
      <c r="Q88" s="328"/>
      <c r="R88" s="328"/>
      <c r="S88" s="328"/>
      <c r="T88" s="328"/>
      <c r="U88" s="328"/>
      <c r="V88" s="328"/>
    </row>
    <row r="89" ht="15.75" customHeight="1">
      <c r="A89" s="328"/>
      <c r="B89" s="328"/>
      <c r="C89" s="328"/>
      <c r="D89" s="328"/>
      <c r="E89" s="328"/>
      <c r="F89" s="328"/>
      <c r="G89" s="328"/>
      <c r="H89" s="328"/>
      <c r="I89" s="328"/>
      <c r="J89" s="328"/>
      <c r="K89" s="328"/>
      <c r="L89" s="328"/>
      <c r="M89" s="328"/>
      <c r="N89" s="328"/>
      <c r="O89" s="328"/>
      <c r="P89" s="328"/>
      <c r="Q89" s="328"/>
      <c r="R89" s="328"/>
      <c r="S89" s="328"/>
      <c r="T89" s="328"/>
      <c r="U89" s="328"/>
      <c r="V89" s="328"/>
    </row>
    <row r="90" ht="15.75" customHeight="1">
      <c r="A90" s="328"/>
      <c r="B90" s="328"/>
      <c r="C90" s="328"/>
      <c r="D90" s="328"/>
      <c r="E90" s="328"/>
      <c r="F90" s="328"/>
      <c r="G90" s="328"/>
      <c r="H90" s="328"/>
      <c r="I90" s="328"/>
      <c r="J90" s="328"/>
      <c r="K90" s="328"/>
      <c r="L90" s="328"/>
      <c r="M90" s="328"/>
      <c r="N90" s="328"/>
      <c r="O90" s="328"/>
      <c r="P90" s="328"/>
      <c r="Q90" s="328"/>
      <c r="R90" s="328"/>
      <c r="S90" s="328"/>
      <c r="T90" s="328"/>
      <c r="U90" s="328"/>
      <c r="V90" s="328"/>
    </row>
    <row r="91" ht="15.75" customHeight="1">
      <c r="A91" s="328"/>
      <c r="B91" s="328"/>
      <c r="C91" s="328"/>
      <c r="D91" s="328"/>
      <c r="E91" s="328"/>
      <c r="F91" s="328"/>
      <c r="G91" s="328"/>
      <c r="H91" s="328"/>
      <c r="I91" s="328"/>
      <c r="J91" s="328"/>
      <c r="K91" s="328"/>
      <c r="L91" s="328"/>
      <c r="M91" s="328"/>
      <c r="N91" s="328"/>
      <c r="O91" s="328"/>
      <c r="P91" s="328"/>
      <c r="Q91" s="328"/>
      <c r="R91" s="328"/>
      <c r="S91" s="328"/>
      <c r="T91" s="328"/>
      <c r="U91" s="328"/>
      <c r="V91" s="328"/>
    </row>
    <row r="92" ht="15.75" customHeight="1">
      <c r="A92" s="328"/>
      <c r="B92" s="328"/>
      <c r="C92" s="328"/>
      <c r="D92" s="328"/>
      <c r="E92" s="328"/>
      <c r="F92" s="328"/>
      <c r="G92" s="328"/>
      <c r="H92" s="328"/>
      <c r="I92" s="328"/>
      <c r="J92" s="328"/>
      <c r="K92" s="328"/>
      <c r="L92" s="328"/>
      <c r="M92" s="328"/>
      <c r="N92" s="328"/>
      <c r="O92" s="328"/>
      <c r="P92" s="328"/>
      <c r="Q92" s="328"/>
      <c r="R92" s="328"/>
      <c r="S92" s="328"/>
      <c r="T92" s="328"/>
      <c r="U92" s="328"/>
      <c r="V92" s="328"/>
    </row>
    <row r="93" ht="15.75" customHeight="1">
      <c r="A93" s="328"/>
      <c r="B93" s="328"/>
      <c r="C93" s="328"/>
      <c r="D93" s="328"/>
      <c r="E93" s="328"/>
      <c r="F93" s="328"/>
      <c r="G93" s="328"/>
      <c r="H93" s="328"/>
      <c r="I93" s="328"/>
      <c r="J93" s="328"/>
      <c r="K93" s="328"/>
      <c r="L93" s="328"/>
      <c r="M93" s="328"/>
      <c r="N93" s="328"/>
      <c r="O93" s="328"/>
      <c r="P93" s="328"/>
      <c r="Q93" s="328"/>
      <c r="R93" s="328"/>
      <c r="S93" s="328"/>
      <c r="T93" s="328"/>
      <c r="U93" s="328"/>
      <c r="V93" s="328"/>
    </row>
    <row r="94" ht="15.75" customHeight="1">
      <c r="A94" s="328"/>
      <c r="B94" s="328"/>
      <c r="C94" s="328"/>
      <c r="D94" s="328"/>
      <c r="E94" s="328"/>
      <c r="F94" s="328"/>
      <c r="G94" s="328"/>
      <c r="H94" s="328"/>
      <c r="I94" s="328"/>
      <c r="J94" s="328"/>
      <c r="K94" s="328"/>
      <c r="L94" s="328"/>
      <c r="M94" s="328"/>
      <c r="N94" s="328"/>
      <c r="O94" s="328"/>
      <c r="P94" s="328"/>
      <c r="Q94" s="328"/>
      <c r="R94" s="328"/>
      <c r="S94" s="328"/>
      <c r="T94" s="328"/>
      <c r="U94" s="328"/>
      <c r="V94" s="328"/>
    </row>
    <row r="95" ht="15.75" customHeight="1">
      <c r="A95" s="328"/>
      <c r="B95" s="328"/>
      <c r="C95" s="328"/>
      <c r="D95" s="328"/>
      <c r="E95" s="328"/>
      <c r="F95" s="328"/>
      <c r="G95" s="328"/>
      <c r="H95" s="328"/>
      <c r="I95" s="328"/>
      <c r="J95" s="328"/>
      <c r="K95" s="328"/>
      <c r="L95" s="328"/>
      <c r="M95" s="328"/>
      <c r="N95" s="328"/>
      <c r="O95" s="328"/>
      <c r="P95" s="328"/>
      <c r="Q95" s="328"/>
      <c r="R95" s="328"/>
      <c r="S95" s="328"/>
      <c r="T95" s="328"/>
      <c r="U95" s="328"/>
      <c r="V95" s="328"/>
    </row>
    <row r="96" ht="15.75" customHeight="1">
      <c r="A96" s="328"/>
      <c r="B96" s="328"/>
      <c r="C96" s="328"/>
      <c r="D96" s="328"/>
      <c r="E96" s="328"/>
      <c r="F96" s="328"/>
      <c r="G96" s="328"/>
      <c r="H96" s="328"/>
      <c r="I96" s="328"/>
      <c r="J96" s="328"/>
      <c r="K96" s="328"/>
      <c r="L96" s="328"/>
      <c r="M96" s="328"/>
      <c r="N96" s="328"/>
      <c r="O96" s="328"/>
      <c r="P96" s="328"/>
      <c r="Q96" s="328"/>
      <c r="R96" s="328"/>
      <c r="S96" s="328"/>
      <c r="T96" s="328"/>
      <c r="U96" s="328"/>
      <c r="V96" s="328"/>
    </row>
    <row r="97" ht="15.75" customHeight="1">
      <c r="A97" s="328"/>
      <c r="B97" s="328"/>
      <c r="C97" s="328"/>
      <c r="D97" s="328"/>
      <c r="E97" s="328"/>
      <c r="F97" s="328"/>
      <c r="G97" s="328"/>
      <c r="H97" s="328"/>
      <c r="I97" s="328"/>
      <c r="J97" s="328"/>
      <c r="K97" s="328"/>
      <c r="L97" s="328"/>
      <c r="M97" s="328"/>
      <c r="N97" s="328"/>
      <c r="O97" s="328"/>
      <c r="P97" s="328"/>
      <c r="Q97" s="328"/>
      <c r="R97" s="328"/>
      <c r="S97" s="328"/>
      <c r="T97" s="328"/>
      <c r="U97" s="328"/>
      <c r="V97" s="328"/>
    </row>
    <row r="98" ht="15.75" customHeight="1">
      <c r="A98" s="328"/>
      <c r="B98" s="328"/>
      <c r="C98" s="328"/>
      <c r="D98" s="328"/>
      <c r="E98" s="328"/>
      <c r="F98" s="328"/>
      <c r="G98" s="328"/>
      <c r="H98" s="328"/>
      <c r="I98" s="328"/>
      <c r="J98" s="328"/>
      <c r="K98" s="328"/>
      <c r="L98" s="328"/>
      <c r="M98" s="328"/>
      <c r="N98" s="328"/>
      <c r="O98" s="328"/>
      <c r="P98" s="328"/>
      <c r="Q98" s="328"/>
      <c r="R98" s="328"/>
      <c r="S98" s="328"/>
      <c r="T98" s="328"/>
      <c r="U98" s="328"/>
      <c r="V98" s="328"/>
    </row>
    <row r="99" ht="15.75" customHeight="1">
      <c r="A99" s="328"/>
      <c r="B99" s="328"/>
      <c r="C99" s="328"/>
      <c r="D99" s="328"/>
      <c r="E99" s="328"/>
      <c r="F99" s="328"/>
      <c r="G99" s="328"/>
      <c r="H99" s="328"/>
      <c r="I99" s="328"/>
      <c r="J99" s="328"/>
      <c r="K99" s="328"/>
      <c r="L99" s="328"/>
      <c r="M99" s="328"/>
      <c r="N99" s="328"/>
      <c r="O99" s="328"/>
      <c r="P99" s="328"/>
      <c r="Q99" s="328"/>
      <c r="R99" s="328"/>
      <c r="S99" s="328"/>
      <c r="T99" s="328"/>
      <c r="U99" s="328"/>
      <c r="V99" s="328"/>
    </row>
    <row r="100" ht="15.75" customHeight="1">
      <c r="A100" s="328"/>
      <c r="B100" s="328"/>
      <c r="C100" s="328"/>
      <c r="D100" s="328"/>
      <c r="E100" s="328"/>
      <c r="F100" s="328"/>
      <c r="G100" s="328"/>
      <c r="H100" s="328"/>
      <c r="I100" s="328"/>
      <c r="J100" s="328"/>
      <c r="K100" s="328"/>
      <c r="L100" s="328"/>
      <c r="M100" s="328"/>
      <c r="N100" s="328"/>
      <c r="O100" s="328"/>
      <c r="P100" s="328"/>
      <c r="Q100" s="328"/>
      <c r="R100" s="328"/>
      <c r="S100" s="328"/>
      <c r="T100" s="328"/>
      <c r="U100" s="328"/>
      <c r="V100" s="328"/>
    </row>
    <row r="101" ht="15.75" customHeight="1">
      <c r="A101" s="328"/>
      <c r="B101" s="328"/>
      <c r="C101" s="328"/>
      <c r="D101" s="328"/>
      <c r="E101" s="328"/>
      <c r="F101" s="328"/>
      <c r="G101" s="328"/>
      <c r="H101" s="328"/>
      <c r="I101" s="328"/>
      <c r="J101" s="328"/>
      <c r="K101" s="328"/>
      <c r="L101" s="328"/>
      <c r="M101" s="328"/>
      <c r="N101" s="328"/>
      <c r="O101" s="328"/>
      <c r="P101" s="328"/>
      <c r="Q101" s="328"/>
      <c r="R101" s="328"/>
      <c r="S101" s="328"/>
      <c r="T101" s="328"/>
      <c r="U101" s="328"/>
      <c r="V101" s="328"/>
    </row>
    <row r="102" ht="15.75" customHeight="1">
      <c r="A102" s="328"/>
      <c r="B102" s="328"/>
      <c r="C102" s="328"/>
      <c r="D102" s="328"/>
      <c r="E102" s="328"/>
      <c r="F102" s="328"/>
      <c r="G102" s="328"/>
      <c r="H102" s="328"/>
      <c r="I102" s="328"/>
      <c r="J102" s="328"/>
      <c r="K102" s="328"/>
      <c r="L102" s="328"/>
      <c r="M102" s="328"/>
      <c r="N102" s="328"/>
      <c r="O102" s="328"/>
      <c r="P102" s="328"/>
      <c r="Q102" s="328"/>
      <c r="R102" s="328"/>
      <c r="S102" s="328"/>
      <c r="T102" s="328"/>
      <c r="U102" s="328"/>
      <c r="V102" s="328"/>
    </row>
    <row r="103" ht="15.75" customHeight="1">
      <c r="A103" s="328"/>
      <c r="B103" s="328"/>
      <c r="C103" s="328"/>
      <c r="D103" s="328"/>
      <c r="E103" s="328"/>
      <c r="F103" s="328"/>
      <c r="G103" s="328"/>
      <c r="H103" s="328"/>
      <c r="I103" s="328"/>
      <c r="J103" s="328"/>
      <c r="K103" s="328"/>
      <c r="L103" s="328"/>
      <c r="M103" s="328"/>
      <c r="N103" s="328"/>
      <c r="O103" s="328"/>
      <c r="P103" s="328"/>
      <c r="Q103" s="328"/>
      <c r="R103" s="328"/>
      <c r="S103" s="328"/>
      <c r="T103" s="328"/>
      <c r="U103" s="328"/>
      <c r="V103" s="328"/>
    </row>
    <row r="104" ht="15.75" customHeight="1">
      <c r="A104" s="328"/>
      <c r="B104" s="328"/>
      <c r="C104" s="328"/>
      <c r="D104" s="328"/>
      <c r="E104" s="328"/>
      <c r="F104" s="328"/>
      <c r="G104" s="328"/>
      <c r="H104" s="328"/>
      <c r="I104" s="328"/>
      <c r="J104" s="328"/>
      <c r="K104" s="328"/>
      <c r="L104" s="328"/>
      <c r="M104" s="328"/>
      <c r="N104" s="328"/>
      <c r="O104" s="328"/>
      <c r="P104" s="328"/>
      <c r="Q104" s="328"/>
      <c r="R104" s="328"/>
      <c r="S104" s="328"/>
      <c r="T104" s="328"/>
      <c r="U104" s="328"/>
      <c r="V104" s="328"/>
    </row>
    <row r="105" ht="15.75" customHeight="1">
      <c r="A105" s="328"/>
      <c r="B105" s="328"/>
      <c r="C105" s="328"/>
      <c r="D105" s="328"/>
      <c r="E105" s="328"/>
      <c r="F105" s="328"/>
      <c r="G105" s="328"/>
      <c r="H105" s="328"/>
      <c r="I105" s="328"/>
      <c r="J105" s="328"/>
      <c r="K105" s="328"/>
      <c r="L105" s="328"/>
      <c r="M105" s="328"/>
      <c r="N105" s="328"/>
      <c r="O105" s="328"/>
      <c r="P105" s="328"/>
      <c r="Q105" s="328"/>
      <c r="R105" s="328"/>
      <c r="S105" s="328"/>
      <c r="T105" s="328"/>
      <c r="U105" s="328"/>
      <c r="V105" s="328"/>
    </row>
    <row r="106" ht="15.75" customHeight="1">
      <c r="A106" s="328"/>
      <c r="B106" s="328"/>
      <c r="C106" s="328"/>
      <c r="D106" s="328"/>
      <c r="E106" s="328"/>
      <c r="F106" s="328"/>
      <c r="G106" s="328"/>
      <c r="H106" s="328"/>
      <c r="I106" s="328"/>
      <c r="J106" s="328"/>
      <c r="K106" s="328"/>
      <c r="L106" s="328"/>
      <c r="M106" s="328"/>
      <c r="N106" s="328"/>
      <c r="O106" s="328"/>
      <c r="P106" s="328"/>
      <c r="Q106" s="328"/>
      <c r="R106" s="328"/>
      <c r="S106" s="328"/>
      <c r="T106" s="328"/>
      <c r="U106" s="328"/>
      <c r="V106" s="328"/>
    </row>
    <row r="107" ht="15.75" customHeight="1">
      <c r="A107" s="328"/>
      <c r="B107" s="328"/>
      <c r="C107" s="328"/>
      <c r="D107" s="328"/>
      <c r="E107" s="328"/>
      <c r="F107" s="328"/>
      <c r="G107" s="328"/>
      <c r="H107" s="328"/>
      <c r="I107" s="328"/>
      <c r="J107" s="328"/>
      <c r="K107" s="328"/>
      <c r="L107" s="328"/>
      <c r="M107" s="328"/>
      <c r="N107" s="328"/>
      <c r="O107" s="328"/>
      <c r="P107" s="328"/>
      <c r="Q107" s="328"/>
      <c r="R107" s="328"/>
      <c r="S107" s="328"/>
      <c r="T107" s="328"/>
      <c r="U107" s="328"/>
      <c r="V107" s="328"/>
    </row>
    <row r="108" ht="15.75" customHeight="1">
      <c r="A108" s="328"/>
      <c r="B108" s="328"/>
      <c r="C108" s="328"/>
      <c r="D108" s="328"/>
      <c r="E108" s="328"/>
      <c r="F108" s="328"/>
      <c r="G108" s="328"/>
      <c r="H108" s="328"/>
      <c r="I108" s="328"/>
      <c r="J108" s="328"/>
      <c r="K108" s="328"/>
      <c r="L108" s="328"/>
      <c r="M108" s="328"/>
      <c r="N108" s="328"/>
      <c r="O108" s="328"/>
      <c r="P108" s="328"/>
      <c r="Q108" s="328"/>
      <c r="R108" s="328"/>
      <c r="S108" s="328"/>
      <c r="T108" s="328"/>
      <c r="U108" s="328"/>
      <c r="V108" s="328"/>
    </row>
    <row r="109" ht="15.75" customHeight="1">
      <c r="A109" s="328"/>
      <c r="B109" s="328"/>
      <c r="C109" s="328"/>
      <c r="D109" s="328"/>
      <c r="E109" s="328"/>
      <c r="F109" s="328"/>
      <c r="G109" s="328"/>
      <c r="H109" s="328"/>
      <c r="I109" s="328"/>
      <c r="J109" s="328"/>
      <c r="K109" s="328"/>
      <c r="L109" s="328"/>
      <c r="M109" s="328"/>
      <c r="N109" s="328"/>
      <c r="O109" s="328"/>
      <c r="P109" s="328"/>
      <c r="Q109" s="328"/>
      <c r="R109" s="328"/>
      <c r="S109" s="328"/>
      <c r="T109" s="328"/>
      <c r="U109" s="328"/>
      <c r="V109" s="328"/>
    </row>
    <row r="110" ht="15.75" customHeight="1">
      <c r="A110" s="328"/>
      <c r="B110" s="328"/>
      <c r="C110" s="328"/>
      <c r="D110" s="328"/>
      <c r="E110" s="328"/>
      <c r="F110" s="328"/>
      <c r="G110" s="328"/>
      <c r="H110" s="328"/>
      <c r="I110" s="328"/>
      <c r="J110" s="328"/>
      <c r="K110" s="328"/>
      <c r="L110" s="328"/>
      <c r="M110" s="328"/>
      <c r="N110" s="328"/>
      <c r="O110" s="328"/>
      <c r="P110" s="328"/>
      <c r="Q110" s="328"/>
      <c r="R110" s="328"/>
      <c r="S110" s="328"/>
      <c r="T110" s="328"/>
      <c r="U110" s="328"/>
      <c r="V110" s="328"/>
    </row>
    <row r="111" ht="15.75" customHeight="1">
      <c r="A111" s="328"/>
      <c r="B111" s="328"/>
      <c r="C111" s="328"/>
      <c r="D111" s="328"/>
      <c r="E111" s="328"/>
      <c r="F111" s="328"/>
      <c r="G111" s="328"/>
      <c r="H111" s="328"/>
      <c r="I111" s="328"/>
      <c r="J111" s="328"/>
      <c r="K111" s="328"/>
      <c r="L111" s="328"/>
      <c r="M111" s="328"/>
      <c r="N111" s="328"/>
      <c r="O111" s="328"/>
      <c r="P111" s="328"/>
      <c r="Q111" s="328"/>
      <c r="R111" s="328"/>
      <c r="S111" s="328"/>
      <c r="T111" s="328"/>
      <c r="U111" s="328"/>
      <c r="V111" s="328"/>
    </row>
    <row r="112" ht="15.75" customHeight="1">
      <c r="A112" s="328"/>
      <c r="B112" s="328"/>
      <c r="C112" s="328"/>
      <c r="D112" s="328"/>
      <c r="E112" s="328"/>
      <c r="F112" s="328"/>
      <c r="G112" s="328"/>
      <c r="H112" s="328"/>
      <c r="I112" s="328"/>
      <c r="J112" s="328"/>
      <c r="K112" s="328"/>
      <c r="L112" s="328"/>
      <c r="M112" s="328"/>
      <c r="N112" s="328"/>
      <c r="O112" s="328"/>
      <c r="P112" s="328"/>
      <c r="Q112" s="328"/>
      <c r="R112" s="328"/>
      <c r="S112" s="328"/>
      <c r="T112" s="328"/>
      <c r="U112" s="328"/>
      <c r="V112" s="328"/>
    </row>
    <row r="113" ht="15.75" customHeight="1">
      <c r="A113" s="328"/>
      <c r="B113" s="328"/>
      <c r="C113" s="328"/>
      <c r="D113" s="328"/>
      <c r="E113" s="328"/>
      <c r="F113" s="328"/>
      <c r="G113" s="328"/>
      <c r="H113" s="328"/>
      <c r="I113" s="328"/>
      <c r="J113" s="328"/>
      <c r="K113" s="328"/>
      <c r="L113" s="328"/>
      <c r="M113" s="328"/>
      <c r="N113" s="328"/>
      <c r="O113" s="328"/>
      <c r="P113" s="328"/>
      <c r="Q113" s="328"/>
      <c r="R113" s="328"/>
      <c r="S113" s="328"/>
      <c r="T113" s="328"/>
      <c r="U113" s="328"/>
      <c r="V113" s="328"/>
    </row>
    <row r="114" ht="15.75" customHeight="1">
      <c r="A114" s="328"/>
      <c r="B114" s="328"/>
      <c r="C114" s="328"/>
      <c r="D114" s="328"/>
      <c r="E114" s="328"/>
      <c r="F114" s="328"/>
      <c r="G114" s="328"/>
      <c r="H114" s="328"/>
      <c r="I114" s="328"/>
      <c r="J114" s="328"/>
      <c r="K114" s="328"/>
      <c r="L114" s="328"/>
      <c r="M114" s="328"/>
      <c r="N114" s="328"/>
      <c r="O114" s="328"/>
      <c r="P114" s="328"/>
      <c r="Q114" s="328"/>
      <c r="R114" s="328"/>
      <c r="S114" s="328"/>
      <c r="T114" s="328"/>
      <c r="U114" s="328"/>
      <c r="V114" s="328"/>
    </row>
    <row r="115" ht="15.75" customHeight="1">
      <c r="A115" s="328"/>
      <c r="B115" s="328"/>
      <c r="C115" s="328"/>
      <c r="D115" s="328"/>
      <c r="E115" s="328"/>
      <c r="F115" s="328"/>
      <c r="G115" s="328"/>
      <c r="H115" s="328"/>
      <c r="I115" s="328"/>
      <c r="J115" s="328"/>
      <c r="K115" s="328"/>
      <c r="L115" s="328"/>
      <c r="M115" s="328"/>
      <c r="N115" s="328"/>
      <c r="O115" s="328"/>
      <c r="P115" s="328"/>
      <c r="Q115" s="328"/>
      <c r="R115" s="328"/>
      <c r="S115" s="328"/>
      <c r="T115" s="328"/>
      <c r="U115" s="328"/>
      <c r="V115" s="328"/>
    </row>
    <row r="116" ht="15.75" customHeight="1">
      <c r="A116" s="328"/>
      <c r="B116" s="328"/>
      <c r="C116" s="328"/>
      <c r="D116" s="328"/>
      <c r="E116" s="328"/>
      <c r="F116" s="328"/>
      <c r="G116" s="328"/>
      <c r="H116" s="328"/>
      <c r="I116" s="328"/>
      <c r="J116" s="328"/>
      <c r="K116" s="328"/>
      <c r="L116" s="328"/>
      <c r="M116" s="328"/>
      <c r="N116" s="328"/>
      <c r="O116" s="328"/>
      <c r="P116" s="328"/>
      <c r="Q116" s="328"/>
      <c r="R116" s="328"/>
      <c r="S116" s="328"/>
      <c r="T116" s="328"/>
      <c r="U116" s="328"/>
      <c r="V116" s="328"/>
    </row>
    <row r="117" ht="15.75" customHeight="1">
      <c r="A117" s="328"/>
      <c r="B117" s="328"/>
      <c r="C117" s="328"/>
      <c r="D117" s="328"/>
      <c r="E117" s="328"/>
      <c r="F117" s="328"/>
      <c r="G117" s="328"/>
      <c r="H117" s="328"/>
      <c r="I117" s="328"/>
      <c r="J117" s="328"/>
      <c r="K117" s="328"/>
      <c r="L117" s="328"/>
      <c r="M117" s="328"/>
      <c r="N117" s="328"/>
      <c r="O117" s="328"/>
      <c r="P117" s="328"/>
      <c r="Q117" s="328"/>
      <c r="R117" s="328"/>
      <c r="S117" s="328"/>
      <c r="T117" s="328"/>
      <c r="U117" s="328"/>
      <c r="V117" s="328"/>
    </row>
    <row r="118" ht="15.75" customHeight="1">
      <c r="A118" s="328"/>
      <c r="B118" s="328"/>
      <c r="C118" s="328"/>
      <c r="D118" s="328"/>
      <c r="E118" s="328"/>
      <c r="F118" s="328"/>
      <c r="G118" s="328"/>
      <c r="H118" s="328"/>
      <c r="I118" s="328"/>
      <c r="J118" s="328"/>
      <c r="K118" s="328"/>
      <c r="L118" s="328"/>
      <c r="M118" s="328"/>
      <c r="N118" s="328"/>
      <c r="O118" s="328"/>
      <c r="P118" s="328"/>
      <c r="Q118" s="328"/>
      <c r="R118" s="328"/>
      <c r="S118" s="328"/>
      <c r="T118" s="328"/>
      <c r="U118" s="328"/>
      <c r="V118" s="328"/>
    </row>
    <row r="119" ht="15.75" customHeight="1">
      <c r="A119" s="328"/>
      <c r="B119" s="328"/>
      <c r="C119" s="328"/>
      <c r="D119" s="328"/>
      <c r="E119" s="328"/>
      <c r="F119" s="328"/>
      <c r="G119" s="328"/>
      <c r="H119" s="328"/>
      <c r="I119" s="328"/>
      <c r="J119" s="328"/>
      <c r="K119" s="328"/>
      <c r="L119" s="328"/>
      <c r="M119" s="328"/>
      <c r="N119" s="328"/>
      <c r="O119" s="328"/>
      <c r="P119" s="328"/>
      <c r="Q119" s="328"/>
      <c r="R119" s="328"/>
      <c r="S119" s="328"/>
      <c r="T119" s="328"/>
      <c r="U119" s="328"/>
      <c r="V119" s="328"/>
    </row>
    <row r="120" ht="15.75" customHeight="1">
      <c r="A120" s="328"/>
      <c r="B120" s="328"/>
      <c r="C120" s="328"/>
      <c r="D120" s="328"/>
      <c r="E120" s="328"/>
      <c r="F120" s="328"/>
      <c r="G120" s="328"/>
      <c r="H120" s="328"/>
      <c r="I120" s="328"/>
      <c r="J120" s="328"/>
      <c r="K120" s="328"/>
      <c r="L120" s="328"/>
      <c r="M120" s="328"/>
      <c r="N120" s="328"/>
      <c r="O120" s="328"/>
      <c r="P120" s="328"/>
      <c r="Q120" s="328"/>
      <c r="R120" s="328"/>
      <c r="S120" s="328"/>
      <c r="T120" s="328"/>
      <c r="U120" s="328"/>
      <c r="V120" s="328"/>
    </row>
    <row r="121" ht="15.75" customHeight="1">
      <c r="A121" s="328"/>
      <c r="B121" s="328"/>
      <c r="C121" s="328"/>
      <c r="D121" s="328"/>
      <c r="E121" s="328"/>
      <c r="F121" s="328"/>
      <c r="G121" s="328"/>
      <c r="H121" s="328"/>
      <c r="I121" s="328"/>
      <c r="J121" s="328"/>
      <c r="K121" s="328"/>
      <c r="L121" s="328"/>
      <c r="M121" s="328"/>
      <c r="N121" s="328"/>
      <c r="O121" s="328"/>
      <c r="P121" s="328"/>
      <c r="Q121" s="328"/>
      <c r="R121" s="328"/>
      <c r="S121" s="328"/>
      <c r="T121" s="328"/>
      <c r="U121" s="328"/>
      <c r="V121" s="328"/>
    </row>
    <row r="122" ht="15.75" customHeight="1">
      <c r="A122" s="328"/>
      <c r="B122" s="328"/>
      <c r="C122" s="328"/>
      <c r="D122" s="328"/>
      <c r="E122" s="328"/>
      <c r="F122" s="328"/>
      <c r="G122" s="328"/>
      <c r="H122" s="328"/>
      <c r="I122" s="328"/>
      <c r="J122" s="328"/>
      <c r="K122" s="328"/>
      <c r="L122" s="328"/>
      <c r="M122" s="328"/>
      <c r="N122" s="328"/>
      <c r="O122" s="328"/>
      <c r="P122" s="328"/>
      <c r="Q122" s="328"/>
      <c r="R122" s="328"/>
      <c r="S122" s="328"/>
      <c r="T122" s="328"/>
      <c r="U122" s="328"/>
      <c r="V122" s="328"/>
    </row>
    <row r="123" ht="15.75" customHeight="1">
      <c r="A123" s="328"/>
      <c r="B123" s="328"/>
      <c r="C123" s="328"/>
      <c r="D123" s="328"/>
      <c r="E123" s="328"/>
      <c r="F123" s="328"/>
      <c r="G123" s="328"/>
      <c r="H123" s="328"/>
      <c r="I123" s="328"/>
      <c r="J123" s="328"/>
      <c r="K123" s="328"/>
      <c r="L123" s="328"/>
      <c r="M123" s="328"/>
      <c r="N123" s="328"/>
      <c r="O123" s="328"/>
      <c r="P123" s="328"/>
      <c r="Q123" s="328"/>
      <c r="R123" s="328"/>
      <c r="S123" s="328"/>
      <c r="T123" s="328"/>
      <c r="U123" s="328"/>
      <c r="V123" s="328"/>
    </row>
    <row r="124" ht="15.75" customHeight="1">
      <c r="A124" s="328"/>
      <c r="B124" s="328"/>
      <c r="C124" s="328"/>
      <c r="D124" s="328"/>
      <c r="E124" s="328"/>
      <c r="F124" s="328"/>
      <c r="G124" s="328"/>
      <c r="H124" s="328"/>
      <c r="I124" s="328"/>
      <c r="J124" s="328"/>
      <c r="K124" s="328"/>
      <c r="L124" s="328"/>
      <c r="M124" s="328"/>
      <c r="N124" s="328"/>
      <c r="O124" s="328"/>
      <c r="P124" s="328"/>
      <c r="Q124" s="328"/>
      <c r="R124" s="328"/>
      <c r="S124" s="328"/>
      <c r="T124" s="328"/>
      <c r="U124" s="328"/>
      <c r="V124" s="328"/>
    </row>
    <row r="125" ht="15.75" customHeight="1">
      <c r="A125" s="328"/>
      <c r="B125" s="328"/>
      <c r="C125" s="328"/>
      <c r="D125" s="328"/>
      <c r="E125" s="328"/>
      <c r="F125" s="328"/>
      <c r="G125" s="328"/>
      <c r="H125" s="328"/>
      <c r="I125" s="328"/>
      <c r="J125" s="328"/>
      <c r="K125" s="328"/>
      <c r="L125" s="328"/>
      <c r="M125" s="328"/>
      <c r="N125" s="328"/>
      <c r="O125" s="328"/>
      <c r="P125" s="328"/>
      <c r="Q125" s="328"/>
      <c r="R125" s="328"/>
      <c r="S125" s="328"/>
      <c r="T125" s="328"/>
      <c r="U125" s="328"/>
      <c r="V125" s="328"/>
    </row>
    <row r="126" ht="15.75" customHeight="1">
      <c r="A126" s="328"/>
      <c r="B126" s="328"/>
      <c r="C126" s="328"/>
      <c r="D126" s="328"/>
      <c r="E126" s="328"/>
      <c r="F126" s="328"/>
      <c r="G126" s="328"/>
      <c r="H126" s="328"/>
      <c r="I126" s="328"/>
      <c r="J126" s="328"/>
      <c r="K126" s="328"/>
      <c r="L126" s="328"/>
      <c r="M126" s="328"/>
      <c r="N126" s="328"/>
      <c r="O126" s="328"/>
      <c r="P126" s="328"/>
      <c r="Q126" s="328"/>
      <c r="R126" s="328"/>
      <c r="S126" s="328"/>
      <c r="T126" s="328"/>
      <c r="U126" s="328"/>
      <c r="V126" s="328"/>
    </row>
    <row r="127" ht="15.75" customHeight="1">
      <c r="A127" s="328"/>
      <c r="B127" s="328"/>
      <c r="C127" s="328"/>
      <c r="D127" s="328"/>
      <c r="E127" s="328"/>
      <c r="F127" s="328"/>
      <c r="G127" s="328"/>
      <c r="H127" s="328"/>
      <c r="I127" s="328"/>
      <c r="J127" s="328"/>
      <c r="K127" s="328"/>
      <c r="L127" s="328"/>
      <c r="M127" s="328"/>
      <c r="N127" s="328"/>
      <c r="O127" s="328"/>
      <c r="P127" s="328"/>
      <c r="Q127" s="328"/>
      <c r="R127" s="328"/>
      <c r="S127" s="328"/>
      <c r="T127" s="328"/>
      <c r="U127" s="328"/>
      <c r="V127" s="328"/>
    </row>
    <row r="128" ht="15.75" customHeight="1">
      <c r="A128" s="328"/>
      <c r="B128" s="328"/>
      <c r="C128" s="328"/>
      <c r="D128" s="328"/>
      <c r="E128" s="328"/>
      <c r="F128" s="328"/>
      <c r="G128" s="328"/>
      <c r="H128" s="328"/>
      <c r="I128" s="328"/>
      <c r="J128" s="328"/>
      <c r="K128" s="328"/>
      <c r="L128" s="328"/>
      <c r="M128" s="328"/>
      <c r="N128" s="328"/>
      <c r="O128" s="328"/>
      <c r="P128" s="328"/>
      <c r="Q128" s="328"/>
      <c r="R128" s="328"/>
      <c r="S128" s="328"/>
      <c r="T128" s="328"/>
      <c r="U128" s="328"/>
      <c r="V128" s="328"/>
    </row>
    <row r="129" ht="15.75" customHeight="1">
      <c r="A129" s="328"/>
      <c r="B129" s="328"/>
      <c r="C129" s="328"/>
      <c r="D129" s="328"/>
      <c r="E129" s="328"/>
      <c r="F129" s="328"/>
      <c r="G129" s="328"/>
      <c r="H129" s="328"/>
      <c r="I129" s="328"/>
      <c r="J129" s="328"/>
      <c r="K129" s="328"/>
      <c r="L129" s="328"/>
      <c r="M129" s="328"/>
      <c r="N129" s="328"/>
      <c r="O129" s="328"/>
      <c r="P129" s="328"/>
      <c r="Q129" s="328"/>
      <c r="R129" s="328"/>
      <c r="S129" s="328"/>
      <c r="T129" s="328"/>
      <c r="U129" s="328"/>
      <c r="V129" s="328"/>
    </row>
    <row r="130" ht="15.75" customHeight="1">
      <c r="A130" s="328"/>
      <c r="B130" s="328"/>
      <c r="C130" s="328"/>
      <c r="D130" s="328"/>
      <c r="E130" s="328"/>
      <c r="F130" s="328"/>
      <c r="G130" s="328"/>
      <c r="H130" s="328"/>
      <c r="I130" s="328"/>
      <c r="J130" s="328"/>
      <c r="K130" s="328"/>
      <c r="L130" s="328"/>
      <c r="M130" s="328"/>
      <c r="N130" s="328"/>
      <c r="O130" s="328"/>
      <c r="P130" s="328"/>
      <c r="Q130" s="328"/>
      <c r="R130" s="328"/>
      <c r="S130" s="328"/>
      <c r="T130" s="328"/>
      <c r="U130" s="328"/>
      <c r="V130" s="328"/>
    </row>
    <row r="131" ht="15.75" customHeight="1">
      <c r="A131" s="328"/>
      <c r="B131" s="328"/>
      <c r="C131" s="328"/>
      <c r="D131" s="328"/>
      <c r="E131" s="328"/>
      <c r="F131" s="328"/>
      <c r="G131" s="328"/>
      <c r="H131" s="328"/>
      <c r="I131" s="328"/>
      <c r="J131" s="328"/>
      <c r="K131" s="328"/>
      <c r="L131" s="328"/>
      <c r="M131" s="328"/>
      <c r="N131" s="328"/>
      <c r="O131" s="328"/>
      <c r="P131" s="328"/>
      <c r="Q131" s="328"/>
      <c r="R131" s="328"/>
      <c r="S131" s="328"/>
      <c r="T131" s="328"/>
      <c r="U131" s="328"/>
      <c r="V131" s="328"/>
    </row>
    <row r="132" ht="15.75" customHeight="1">
      <c r="A132" s="328"/>
      <c r="B132" s="328"/>
      <c r="C132" s="328"/>
      <c r="D132" s="328"/>
      <c r="E132" s="328"/>
      <c r="F132" s="328"/>
      <c r="G132" s="328"/>
      <c r="H132" s="328"/>
      <c r="I132" s="328"/>
      <c r="J132" s="328"/>
      <c r="K132" s="328"/>
      <c r="L132" s="328"/>
      <c r="M132" s="328"/>
      <c r="N132" s="328"/>
      <c r="O132" s="328"/>
      <c r="P132" s="328"/>
      <c r="Q132" s="328"/>
      <c r="R132" s="328"/>
      <c r="S132" s="328"/>
      <c r="T132" s="328"/>
      <c r="U132" s="328"/>
      <c r="V132" s="328"/>
    </row>
    <row r="133" ht="15.75" customHeight="1">
      <c r="A133" s="328"/>
      <c r="B133" s="328"/>
      <c r="C133" s="328"/>
      <c r="D133" s="328"/>
      <c r="E133" s="328"/>
      <c r="F133" s="328"/>
      <c r="G133" s="328"/>
      <c r="H133" s="328"/>
      <c r="I133" s="328"/>
      <c r="J133" s="328"/>
      <c r="K133" s="328"/>
      <c r="L133" s="328"/>
      <c r="M133" s="328"/>
      <c r="N133" s="328"/>
      <c r="O133" s="328"/>
      <c r="P133" s="328"/>
      <c r="Q133" s="328"/>
      <c r="R133" s="328"/>
      <c r="S133" s="328"/>
      <c r="T133" s="328"/>
      <c r="U133" s="328"/>
      <c r="V133" s="328"/>
    </row>
    <row r="134" ht="15.75" customHeight="1">
      <c r="A134" s="328"/>
      <c r="B134" s="328"/>
      <c r="C134" s="328"/>
      <c r="D134" s="328"/>
      <c r="E134" s="328"/>
      <c r="F134" s="328"/>
      <c r="G134" s="328"/>
      <c r="H134" s="328"/>
      <c r="I134" s="328"/>
      <c r="J134" s="328"/>
      <c r="K134" s="328"/>
      <c r="L134" s="328"/>
      <c r="M134" s="328"/>
      <c r="N134" s="328"/>
      <c r="O134" s="328"/>
      <c r="P134" s="328"/>
      <c r="Q134" s="328"/>
      <c r="R134" s="328"/>
      <c r="S134" s="328"/>
      <c r="T134" s="328"/>
      <c r="U134" s="328"/>
      <c r="V134" s="328"/>
    </row>
    <row r="135" ht="15.75" customHeight="1">
      <c r="A135" s="328"/>
      <c r="B135" s="328"/>
      <c r="C135" s="328"/>
      <c r="D135" s="328"/>
      <c r="E135" s="328"/>
      <c r="F135" s="328"/>
      <c r="G135" s="328"/>
      <c r="H135" s="328"/>
      <c r="I135" s="328"/>
      <c r="J135" s="328"/>
      <c r="K135" s="328"/>
      <c r="L135" s="328"/>
      <c r="M135" s="328"/>
      <c r="N135" s="328"/>
      <c r="O135" s="328"/>
      <c r="P135" s="328"/>
      <c r="Q135" s="328"/>
      <c r="R135" s="328"/>
      <c r="S135" s="328"/>
      <c r="T135" s="328"/>
      <c r="U135" s="328"/>
      <c r="V135" s="328"/>
    </row>
    <row r="136" ht="15.75" customHeight="1">
      <c r="A136" s="328"/>
      <c r="B136" s="328"/>
      <c r="C136" s="328"/>
      <c r="D136" s="328"/>
      <c r="E136" s="328"/>
      <c r="F136" s="328"/>
      <c r="G136" s="328"/>
      <c r="H136" s="328"/>
      <c r="I136" s="328"/>
      <c r="J136" s="328"/>
      <c r="K136" s="328"/>
      <c r="L136" s="328"/>
      <c r="M136" s="328"/>
      <c r="N136" s="328"/>
      <c r="O136" s="328"/>
      <c r="P136" s="328"/>
      <c r="Q136" s="328"/>
      <c r="R136" s="328"/>
      <c r="S136" s="328"/>
      <c r="T136" s="328"/>
      <c r="U136" s="328"/>
      <c r="V136" s="328"/>
    </row>
    <row r="137" ht="15.75" customHeight="1">
      <c r="A137" s="328"/>
      <c r="B137" s="328"/>
      <c r="C137" s="328"/>
      <c r="D137" s="328"/>
      <c r="E137" s="328"/>
      <c r="F137" s="328"/>
      <c r="G137" s="328"/>
      <c r="H137" s="328"/>
      <c r="I137" s="328"/>
      <c r="J137" s="328"/>
      <c r="K137" s="328"/>
      <c r="L137" s="328"/>
      <c r="M137" s="328"/>
      <c r="N137" s="328"/>
      <c r="O137" s="328"/>
      <c r="P137" s="328"/>
      <c r="Q137" s="328"/>
      <c r="R137" s="328"/>
      <c r="S137" s="328"/>
      <c r="T137" s="328"/>
      <c r="U137" s="328"/>
      <c r="V137" s="328"/>
    </row>
    <row r="138" ht="15.75" customHeight="1">
      <c r="A138" s="328"/>
      <c r="B138" s="328"/>
      <c r="C138" s="328"/>
      <c r="D138" s="328"/>
      <c r="E138" s="328"/>
      <c r="F138" s="328"/>
      <c r="G138" s="328"/>
      <c r="H138" s="328"/>
      <c r="I138" s="328"/>
      <c r="J138" s="328"/>
      <c r="K138" s="328"/>
      <c r="L138" s="328"/>
      <c r="M138" s="328"/>
      <c r="N138" s="328"/>
      <c r="O138" s="328"/>
      <c r="P138" s="328"/>
      <c r="Q138" s="328"/>
      <c r="R138" s="328"/>
      <c r="S138" s="328"/>
      <c r="T138" s="328"/>
      <c r="U138" s="328"/>
      <c r="V138" s="328"/>
    </row>
    <row r="139" ht="15.75" customHeight="1">
      <c r="A139" s="328"/>
      <c r="B139" s="328"/>
      <c r="C139" s="328"/>
      <c r="D139" s="328"/>
      <c r="E139" s="328"/>
      <c r="F139" s="328"/>
      <c r="G139" s="328"/>
      <c r="H139" s="328"/>
      <c r="I139" s="328"/>
      <c r="J139" s="328"/>
      <c r="K139" s="328"/>
      <c r="L139" s="328"/>
      <c r="M139" s="328"/>
      <c r="N139" s="328"/>
      <c r="O139" s="328"/>
      <c r="P139" s="328"/>
      <c r="Q139" s="328"/>
      <c r="R139" s="328"/>
      <c r="S139" s="328"/>
      <c r="T139" s="328"/>
      <c r="U139" s="328"/>
      <c r="V139" s="328"/>
    </row>
    <row r="140" ht="15.75" customHeight="1">
      <c r="A140" s="328"/>
      <c r="B140" s="328"/>
      <c r="C140" s="328"/>
      <c r="D140" s="328"/>
      <c r="E140" s="328"/>
      <c r="F140" s="328"/>
      <c r="G140" s="328"/>
      <c r="H140" s="328"/>
      <c r="I140" s="328"/>
      <c r="J140" s="328"/>
      <c r="K140" s="328"/>
      <c r="L140" s="328"/>
      <c r="M140" s="328"/>
      <c r="N140" s="328"/>
      <c r="O140" s="328"/>
      <c r="P140" s="328"/>
      <c r="Q140" s="328"/>
      <c r="R140" s="328"/>
      <c r="S140" s="328"/>
      <c r="T140" s="328"/>
      <c r="U140" s="328"/>
      <c r="V140" s="328"/>
    </row>
    <row r="141" ht="15.75" customHeight="1">
      <c r="A141" s="328"/>
      <c r="B141" s="328"/>
      <c r="C141" s="328"/>
      <c r="D141" s="328"/>
      <c r="E141" s="328"/>
      <c r="F141" s="328"/>
      <c r="G141" s="328"/>
      <c r="H141" s="328"/>
      <c r="I141" s="328"/>
      <c r="J141" s="328"/>
      <c r="K141" s="328"/>
      <c r="L141" s="328"/>
      <c r="M141" s="328"/>
      <c r="N141" s="328"/>
      <c r="O141" s="328"/>
      <c r="P141" s="328"/>
      <c r="Q141" s="328"/>
      <c r="R141" s="328"/>
      <c r="S141" s="328"/>
      <c r="T141" s="328"/>
      <c r="U141" s="328"/>
      <c r="V141" s="328"/>
    </row>
    <row r="142" ht="15.75" customHeight="1">
      <c r="A142" s="328"/>
      <c r="B142" s="328"/>
      <c r="C142" s="328"/>
      <c r="D142" s="328"/>
      <c r="E142" s="328"/>
      <c r="F142" s="328"/>
      <c r="G142" s="328"/>
      <c r="H142" s="328"/>
      <c r="I142" s="328"/>
      <c r="J142" s="328"/>
      <c r="K142" s="328"/>
      <c r="L142" s="328"/>
      <c r="M142" s="328"/>
      <c r="N142" s="328"/>
      <c r="O142" s="328"/>
      <c r="P142" s="328"/>
      <c r="Q142" s="328"/>
      <c r="R142" s="328"/>
      <c r="S142" s="328"/>
      <c r="T142" s="328"/>
      <c r="U142" s="328"/>
      <c r="V142" s="328"/>
    </row>
    <row r="143" ht="15.75" customHeight="1">
      <c r="A143" s="328"/>
      <c r="B143" s="328"/>
      <c r="C143" s="328"/>
      <c r="D143" s="328"/>
      <c r="E143" s="328"/>
      <c r="F143" s="328"/>
      <c r="G143" s="328"/>
      <c r="H143" s="328"/>
      <c r="I143" s="328"/>
      <c r="J143" s="328"/>
      <c r="K143" s="328"/>
      <c r="L143" s="328"/>
      <c r="M143" s="328"/>
      <c r="N143" s="328"/>
      <c r="O143" s="328"/>
      <c r="P143" s="328"/>
      <c r="Q143" s="328"/>
      <c r="R143" s="328"/>
      <c r="S143" s="328"/>
      <c r="T143" s="328"/>
      <c r="U143" s="328"/>
      <c r="V143" s="328"/>
    </row>
    <row r="144" ht="15.75" customHeight="1">
      <c r="A144" s="328"/>
      <c r="B144" s="328"/>
      <c r="C144" s="328"/>
      <c r="D144" s="328"/>
      <c r="E144" s="328"/>
      <c r="F144" s="328"/>
      <c r="G144" s="328"/>
      <c r="H144" s="328"/>
      <c r="I144" s="328"/>
      <c r="J144" s="328"/>
      <c r="K144" s="328"/>
      <c r="L144" s="328"/>
      <c r="M144" s="328"/>
      <c r="N144" s="328"/>
      <c r="O144" s="328"/>
      <c r="P144" s="328"/>
      <c r="Q144" s="328"/>
      <c r="R144" s="328"/>
      <c r="S144" s="328"/>
      <c r="T144" s="328"/>
      <c r="U144" s="328"/>
      <c r="V144" s="328"/>
    </row>
    <row r="145" ht="15.75" customHeight="1">
      <c r="A145" s="328"/>
      <c r="B145" s="328"/>
      <c r="C145" s="328"/>
      <c r="D145" s="328"/>
      <c r="E145" s="328"/>
      <c r="F145" s="328"/>
      <c r="G145" s="328"/>
      <c r="H145" s="328"/>
      <c r="I145" s="328"/>
      <c r="J145" s="328"/>
      <c r="K145" s="328"/>
      <c r="L145" s="328"/>
      <c r="M145" s="328"/>
      <c r="N145" s="328"/>
      <c r="O145" s="328"/>
      <c r="P145" s="328"/>
      <c r="Q145" s="328"/>
      <c r="R145" s="328"/>
      <c r="S145" s="328"/>
      <c r="T145" s="328"/>
      <c r="U145" s="328"/>
      <c r="V145" s="328"/>
    </row>
    <row r="146" ht="15.75" customHeight="1">
      <c r="A146" s="328"/>
      <c r="B146" s="328"/>
      <c r="C146" s="328"/>
      <c r="D146" s="328"/>
      <c r="E146" s="328"/>
      <c r="F146" s="328"/>
      <c r="G146" s="328"/>
      <c r="H146" s="328"/>
      <c r="I146" s="328"/>
      <c r="J146" s="328"/>
      <c r="K146" s="328"/>
      <c r="L146" s="328"/>
      <c r="M146" s="328"/>
      <c r="N146" s="328"/>
      <c r="O146" s="328"/>
      <c r="P146" s="328"/>
      <c r="Q146" s="328"/>
      <c r="R146" s="328"/>
      <c r="S146" s="328"/>
      <c r="T146" s="328"/>
      <c r="U146" s="328"/>
      <c r="V146" s="328"/>
    </row>
    <row r="147" ht="15.75" customHeight="1">
      <c r="A147" s="328"/>
      <c r="B147" s="328"/>
      <c r="C147" s="328"/>
      <c r="D147" s="328"/>
      <c r="E147" s="328"/>
      <c r="F147" s="328"/>
      <c r="G147" s="328"/>
      <c r="H147" s="328"/>
      <c r="I147" s="328"/>
      <c r="J147" s="328"/>
      <c r="K147" s="328"/>
      <c r="L147" s="328"/>
      <c r="M147" s="328"/>
      <c r="N147" s="328"/>
      <c r="O147" s="328"/>
      <c r="P147" s="328"/>
      <c r="Q147" s="328"/>
      <c r="R147" s="328"/>
      <c r="S147" s="328"/>
      <c r="T147" s="328"/>
      <c r="U147" s="328"/>
      <c r="V147" s="328"/>
    </row>
    <row r="148" ht="15.75" customHeight="1">
      <c r="A148" s="328"/>
      <c r="B148" s="328"/>
      <c r="C148" s="328"/>
      <c r="D148" s="328"/>
      <c r="E148" s="328"/>
      <c r="F148" s="328"/>
      <c r="G148" s="328"/>
      <c r="H148" s="328"/>
      <c r="I148" s="328"/>
      <c r="J148" s="328"/>
      <c r="K148" s="328"/>
      <c r="L148" s="328"/>
      <c r="M148" s="328"/>
      <c r="N148" s="328"/>
      <c r="O148" s="328"/>
      <c r="P148" s="328"/>
      <c r="Q148" s="328"/>
      <c r="R148" s="328"/>
      <c r="S148" s="328"/>
      <c r="T148" s="328"/>
      <c r="U148" s="328"/>
      <c r="V148" s="328"/>
    </row>
    <row r="149" ht="15.75" customHeight="1">
      <c r="A149" s="328"/>
      <c r="B149" s="328"/>
      <c r="C149" s="328"/>
      <c r="D149" s="328"/>
      <c r="E149" s="328"/>
      <c r="F149" s="328"/>
      <c r="G149" s="328"/>
      <c r="H149" s="328"/>
      <c r="I149" s="328"/>
      <c r="J149" s="328"/>
      <c r="K149" s="328"/>
      <c r="L149" s="328"/>
      <c r="M149" s="328"/>
      <c r="N149" s="328"/>
      <c r="O149" s="328"/>
      <c r="P149" s="328"/>
      <c r="Q149" s="328"/>
      <c r="R149" s="328"/>
      <c r="S149" s="328"/>
      <c r="T149" s="328"/>
      <c r="U149" s="328"/>
      <c r="V149" s="328"/>
    </row>
    <row r="150" ht="15.75" customHeight="1">
      <c r="A150" s="328"/>
      <c r="B150" s="328"/>
      <c r="C150" s="328"/>
      <c r="D150" s="328"/>
      <c r="E150" s="328"/>
      <c r="F150" s="328"/>
      <c r="G150" s="328"/>
      <c r="H150" s="328"/>
      <c r="I150" s="328"/>
      <c r="J150" s="328"/>
      <c r="K150" s="328"/>
      <c r="L150" s="328"/>
      <c r="M150" s="328"/>
      <c r="N150" s="328"/>
      <c r="O150" s="328"/>
      <c r="P150" s="328"/>
      <c r="Q150" s="328"/>
      <c r="R150" s="328"/>
      <c r="S150" s="328"/>
      <c r="T150" s="328"/>
      <c r="U150" s="328"/>
      <c r="V150" s="328"/>
    </row>
    <row r="151" ht="15.75" customHeight="1">
      <c r="A151" s="328"/>
      <c r="B151" s="328"/>
      <c r="C151" s="328"/>
      <c r="D151" s="328"/>
      <c r="E151" s="328"/>
      <c r="F151" s="328"/>
      <c r="G151" s="328"/>
      <c r="H151" s="328"/>
      <c r="I151" s="328"/>
      <c r="J151" s="328"/>
      <c r="K151" s="328"/>
      <c r="L151" s="328"/>
      <c r="M151" s="328"/>
      <c r="N151" s="328"/>
      <c r="O151" s="328"/>
      <c r="P151" s="328"/>
      <c r="Q151" s="328"/>
      <c r="R151" s="328"/>
      <c r="S151" s="328"/>
      <c r="T151" s="328"/>
      <c r="U151" s="328"/>
      <c r="V151" s="328"/>
    </row>
    <row r="152" ht="15.75" customHeight="1">
      <c r="A152" s="328"/>
      <c r="B152" s="328"/>
      <c r="C152" s="328"/>
      <c r="D152" s="328"/>
      <c r="E152" s="328"/>
      <c r="F152" s="328"/>
      <c r="G152" s="328"/>
      <c r="H152" s="328"/>
      <c r="I152" s="328"/>
      <c r="J152" s="328"/>
      <c r="K152" s="328"/>
      <c r="L152" s="328"/>
      <c r="M152" s="328"/>
      <c r="N152" s="328"/>
      <c r="O152" s="328"/>
      <c r="P152" s="328"/>
      <c r="Q152" s="328"/>
      <c r="R152" s="328"/>
      <c r="S152" s="328"/>
      <c r="T152" s="328"/>
      <c r="U152" s="328"/>
      <c r="V152" s="328"/>
    </row>
    <row r="153" ht="15.75" customHeight="1">
      <c r="A153" s="328"/>
      <c r="B153" s="328"/>
      <c r="C153" s="328"/>
      <c r="D153" s="328"/>
      <c r="E153" s="328"/>
      <c r="F153" s="328"/>
      <c r="G153" s="328"/>
      <c r="H153" s="328"/>
      <c r="I153" s="328"/>
      <c r="J153" s="328"/>
      <c r="K153" s="328"/>
      <c r="L153" s="328"/>
      <c r="M153" s="328"/>
      <c r="N153" s="328"/>
      <c r="O153" s="328"/>
      <c r="P153" s="328"/>
      <c r="Q153" s="328"/>
      <c r="R153" s="328"/>
      <c r="S153" s="328"/>
      <c r="T153" s="328"/>
      <c r="U153" s="328"/>
      <c r="V153" s="328"/>
    </row>
    <row r="154" ht="15.75" customHeight="1">
      <c r="A154" s="328"/>
      <c r="B154" s="328"/>
      <c r="C154" s="328"/>
      <c r="D154" s="328"/>
      <c r="E154" s="328"/>
      <c r="F154" s="328"/>
      <c r="G154" s="328"/>
      <c r="H154" s="328"/>
      <c r="I154" s="328"/>
      <c r="J154" s="328"/>
      <c r="K154" s="328"/>
      <c r="L154" s="328"/>
      <c r="M154" s="328"/>
      <c r="N154" s="328"/>
      <c r="O154" s="328"/>
      <c r="P154" s="328"/>
      <c r="Q154" s="328"/>
      <c r="R154" s="328"/>
      <c r="S154" s="328"/>
      <c r="T154" s="328"/>
      <c r="U154" s="328"/>
      <c r="V154" s="328"/>
    </row>
    <row r="155" ht="15.75" customHeight="1">
      <c r="A155" s="328"/>
      <c r="B155" s="328"/>
      <c r="C155" s="328"/>
      <c r="D155" s="328"/>
      <c r="E155" s="328"/>
      <c r="F155" s="328"/>
      <c r="G155" s="328"/>
      <c r="H155" s="328"/>
      <c r="I155" s="328"/>
      <c r="J155" s="328"/>
      <c r="K155" s="328"/>
      <c r="L155" s="328"/>
      <c r="M155" s="328"/>
      <c r="N155" s="328"/>
      <c r="O155" s="328"/>
      <c r="P155" s="328"/>
      <c r="Q155" s="328"/>
      <c r="R155" s="328"/>
      <c r="S155" s="328"/>
      <c r="T155" s="328"/>
      <c r="U155" s="328"/>
      <c r="V155" s="328"/>
    </row>
    <row r="156" ht="15.75" customHeight="1">
      <c r="A156" s="328"/>
      <c r="B156" s="328"/>
      <c r="C156" s="328"/>
      <c r="D156" s="328"/>
      <c r="E156" s="328"/>
      <c r="F156" s="328"/>
      <c r="G156" s="328"/>
      <c r="H156" s="328"/>
      <c r="I156" s="328"/>
      <c r="J156" s="328"/>
      <c r="K156" s="328"/>
      <c r="L156" s="328"/>
      <c r="M156" s="328"/>
      <c r="N156" s="328"/>
      <c r="O156" s="328"/>
      <c r="P156" s="328"/>
      <c r="Q156" s="328"/>
      <c r="R156" s="328"/>
      <c r="S156" s="328"/>
      <c r="T156" s="328"/>
      <c r="U156" s="328"/>
      <c r="V156" s="328"/>
    </row>
    <row r="157" ht="15.75" customHeight="1">
      <c r="A157" s="328"/>
      <c r="B157" s="328"/>
      <c r="C157" s="328"/>
      <c r="D157" s="328"/>
      <c r="E157" s="328"/>
      <c r="F157" s="328"/>
      <c r="G157" s="328"/>
      <c r="H157" s="328"/>
      <c r="I157" s="328"/>
      <c r="J157" s="328"/>
      <c r="K157" s="328"/>
      <c r="L157" s="328"/>
      <c r="M157" s="328"/>
      <c r="N157" s="328"/>
      <c r="O157" s="328"/>
      <c r="P157" s="328"/>
      <c r="Q157" s="328"/>
      <c r="R157" s="328"/>
      <c r="S157" s="328"/>
      <c r="T157" s="328"/>
      <c r="U157" s="328"/>
      <c r="V157" s="328"/>
    </row>
    <row r="158" ht="15.75" customHeight="1">
      <c r="A158" s="328"/>
      <c r="B158" s="328"/>
      <c r="C158" s="328"/>
      <c r="D158" s="328"/>
      <c r="E158" s="328"/>
      <c r="F158" s="328"/>
      <c r="G158" s="328"/>
      <c r="H158" s="328"/>
      <c r="I158" s="328"/>
      <c r="J158" s="328"/>
      <c r="K158" s="328"/>
      <c r="L158" s="328"/>
      <c r="M158" s="328"/>
      <c r="N158" s="328"/>
      <c r="O158" s="328"/>
      <c r="P158" s="328"/>
      <c r="Q158" s="328"/>
      <c r="R158" s="328"/>
      <c r="S158" s="328"/>
      <c r="T158" s="328"/>
      <c r="U158" s="328"/>
      <c r="V158" s="328"/>
    </row>
    <row r="159" ht="15.75" customHeight="1">
      <c r="A159" s="328"/>
      <c r="B159" s="328"/>
      <c r="C159" s="328"/>
      <c r="D159" s="328"/>
      <c r="E159" s="328"/>
      <c r="F159" s="328"/>
      <c r="G159" s="328"/>
      <c r="H159" s="328"/>
      <c r="I159" s="328"/>
      <c r="J159" s="328"/>
      <c r="K159" s="328"/>
      <c r="L159" s="328"/>
      <c r="M159" s="328"/>
      <c r="N159" s="328"/>
      <c r="O159" s="328"/>
      <c r="P159" s="328"/>
      <c r="Q159" s="328"/>
      <c r="R159" s="328"/>
      <c r="S159" s="328"/>
      <c r="T159" s="328"/>
      <c r="U159" s="328"/>
      <c r="V159" s="328"/>
    </row>
    <row r="160" ht="15.75" customHeight="1">
      <c r="A160" s="328"/>
      <c r="B160" s="328"/>
      <c r="C160" s="328"/>
      <c r="D160" s="328"/>
      <c r="E160" s="328"/>
      <c r="F160" s="328"/>
      <c r="G160" s="328"/>
      <c r="H160" s="328"/>
      <c r="I160" s="328"/>
      <c r="J160" s="328"/>
      <c r="K160" s="328"/>
      <c r="L160" s="328"/>
      <c r="M160" s="328"/>
      <c r="N160" s="328"/>
      <c r="O160" s="328"/>
      <c r="P160" s="328"/>
      <c r="Q160" s="328"/>
      <c r="R160" s="328"/>
      <c r="S160" s="328"/>
      <c r="T160" s="328"/>
      <c r="U160" s="328"/>
      <c r="V160" s="328"/>
    </row>
    <row r="161" ht="15.75" customHeight="1">
      <c r="A161" s="328"/>
      <c r="B161" s="328"/>
      <c r="C161" s="328"/>
      <c r="D161" s="328"/>
      <c r="E161" s="328"/>
      <c r="F161" s="328"/>
      <c r="G161" s="328"/>
      <c r="H161" s="328"/>
      <c r="I161" s="328"/>
      <c r="J161" s="328"/>
      <c r="K161" s="328"/>
      <c r="L161" s="328"/>
      <c r="M161" s="328"/>
      <c r="N161" s="328"/>
      <c r="O161" s="328"/>
      <c r="P161" s="328"/>
      <c r="Q161" s="328"/>
      <c r="R161" s="328"/>
      <c r="S161" s="328"/>
      <c r="T161" s="328"/>
      <c r="U161" s="328"/>
      <c r="V161" s="328"/>
    </row>
    <row r="162" ht="15.75" customHeight="1">
      <c r="A162" s="328"/>
      <c r="B162" s="328"/>
      <c r="C162" s="328"/>
      <c r="D162" s="328"/>
      <c r="E162" s="328"/>
      <c r="F162" s="328"/>
      <c r="G162" s="328"/>
      <c r="H162" s="328"/>
      <c r="I162" s="328"/>
      <c r="J162" s="328"/>
      <c r="K162" s="328"/>
      <c r="L162" s="328"/>
      <c r="M162" s="328"/>
      <c r="N162" s="328"/>
      <c r="O162" s="328"/>
      <c r="P162" s="328"/>
      <c r="Q162" s="328"/>
      <c r="R162" s="328"/>
      <c r="S162" s="328"/>
      <c r="T162" s="328"/>
      <c r="U162" s="328"/>
      <c r="V162" s="328"/>
    </row>
    <row r="163" ht="15.75" customHeight="1">
      <c r="A163" s="328"/>
      <c r="B163" s="328"/>
      <c r="C163" s="328"/>
      <c r="D163" s="328"/>
      <c r="E163" s="328"/>
      <c r="F163" s="328"/>
      <c r="G163" s="328"/>
      <c r="H163" s="328"/>
      <c r="I163" s="328"/>
      <c r="J163" s="328"/>
      <c r="K163" s="328"/>
      <c r="L163" s="328"/>
      <c r="M163" s="328"/>
      <c r="N163" s="328"/>
      <c r="O163" s="328"/>
      <c r="P163" s="328"/>
      <c r="Q163" s="328"/>
      <c r="R163" s="328"/>
      <c r="S163" s="328"/>
      <c r="T163" s="328"/>
      <c r="U163" s="328"/>
      <c r="V163" s="328"/>
    </row>
    <row r="164" ht="15.75" customHeight="1">
      <c r="A164" s="328"/>
      <c r="B164" s="328"/>
      <c r="C164" s="328"/>
      <c r="D164" s="328"/>
      <c r="E164" s="328"/>
      <c r="F164" s="328"/>
      <c r="G164" s="328"/>
      <c r="H164" s="328"/>
      <c r="I164" s="328"/>
      <c r="J164" s="328"/>
      <c r="K164" s="328"/>
      <c r="L164" s="328"/>
      <c r="M164" s="328"/>
      <c r="N164" s="328"/>
      <c r="O164" s="328"/>
      <c r="P164" s="328"/>
      <c r="Q164" s="328"/>
      <c r="R164" s="328"/>
      <c r="S164" s="328"/>
      <c r="T164" s="328"/>
      <c r="U164" s="328"/>
      <c r="V164" s="328"/>
    </row>
    <row r="165" ht="15.75" customHeight="1">
      <c r="A165" s="328"/>
      <c r="B165" s="328"/>
      <c r="C165" s="328"/>
      <c r="D165" s="328"/>
      <c r="E165" s="328"/>
      <c r="F165" s="328"/>
      <c r="G165" s="328"/>
      <c r="H165" s="328"/>
      <c r="I165" s="328"/>
      <c r="J165" s="328"/>
      <c r="K165" s="328"/>
      <c r="L165" s="328"/>
      <c r="M165" s="328"/>
      <c r="N165" s="328"/>
      <c r="O165" s="328"/>
      <c r="P165" s="328"/>
      <c r="Q165" s="328"/>
      <c r="R165" s="328"/>
      <c r="S165" s="328"/>
      <c r="T165" s="328"/>
      <c r="U165" s="328"/>
      <c r="V165" s="328"/>
    </row>
    <row r="166" ht="15.75" customHeight="1">
      <c r="A166" s="328"/>
      <c r="B166" s="328"/>
      <c r="C166" s="328"/>
      <c r="D166" s="328"/>
      <c r="E166" s="328"/>
      <c r="F166" s="328"/>
      <c r="G166" s="328"/>
      <c r="H166" s="328"/>
      <c r="I166" s="328"/>
      <c r="J166" s="328"/>
      <c r="K166" s="328"/>
      <c r="L166" s="328"/>
      <c r="M166" s="328"/>
      <c r="N166" s="328"/>
      <c r="O166" s="328"/>
      <c r="P166" s="328"/>
      <c r="Q166" s="328"/>
      <c r="R166" s="328"/>
      <c r="S166" s="328"/>
      <c r="T166" s="328"/>
      <c r="U166" s="328"/>
      <c r="V166" s="328"/>
    </row>
    <row r="167" ht="15.75" customHeight="1">
      <c r="A167" s="328"/>
      <c r="B167" s="328"/>
      <c r="C167" s="328"/>
      <c r="D167" s="328"/>
      <c r="E167" s="328"/>
      <c r="F167" s="328"/>
      <c r="G167" s="328"/>
      <c r="H167" s="328"/>
      <c r="I167" s="328"/>
      <c r="J167" s="328"/>
      <c r="K167" s="328"/>
      <c r="L167" s="328"/>
      <c r="M167" s="328"/>
      <c r="N167" s="328"/>
      <c r="O167" s="328"/>
      <c r="P167" s="328"/>
      <c r="Q167" s="328"/>
      <c r="R167" s="328"/>
      <c r="S167" s="328"/>
      <c r="T167" s="328"/>
      <c r="U167" s="328"/>
      <c r="V167" s="328"/>
    </row>
    <row r="168" ht="15.75" customHeight="1">
      <c r="A168" s="328"/>
      <c r="B168" s="328"/>
      <c r="C168" s="328"/>
      <c r="D168" s="328"/>
      <c r="E168" s="328"/>
      <c r="F168" s="328"/>
      <c r="G168" s="328"/>
      <c r="H168" s="328"/>
      <c r="I168" s="328"/>
      <c r="J168" s="328"/>
      <c r="K168" s="328"/>
      <c r="L168" s="328"/>
      <c r="M168" s="328"/>
      <c r="N168" s="328"/>
      <c r="O168" s="328"/>
      <c r="P168" s="328"/>
      <c r="Q168" s="328"/>
      <c r="R168" s="328"/>
      <c r="S168" s="328"/>
      <c r="T168" s="328"/>
      <c r="U168" s="328"/>
      <c r="V168" s="328"/>
    </row>
    <row r="169" ht="15.75" customHeight="1">
      <c r="A169" s="328"/>
      <c r="B169" s="328"/>
      <c r="C169" s="328"/>
      <c r="D169" s="328"/>
      <c r="E169" s="328"/>
      <c r="F169" s="328"/>
      <c r="G169" s="328"/>
      <c r="H169" s="328"/>
      <c r="I169" s="328"/>
      <c r="J169" s="328"/>
      <c r="K169" s="328"/>
      <c r="L169" s="328"/>
      <c r="M169" s="328"/>
      <c r="N169" s="328"/>
      <c r="O169" s="328"/>
      <c r="P169" s="328"/>
      <c r="Q169" s="328"/>
      <c r="R169" s="328"/>
      <c r="S169" s="328"/>
      <c r="T169" s="328"/>
      <c r="U169" s="328"/>
      <c r="V169" s="328"/>
    </row>
    <row r="170" ht="15.75" customHeight="1">
      <c r="A170" s="328"/>
      <c r="B170" s="328"/>
      <c r="C170" s="328"/>
      <c r="D170" s="328"/>
      <c r="E170" s="328"/>
      <c r="F170" s="328"/>
      <c r="G170" s="328"/>
      <c r="H170" s="328"/>
      <c r="I170" s="328"/>
      <c r="J170" s="328"/>
      <c r="K170" s="328"/>
      <c r="L170" s="328"/>
      <c r="M170" s="328"/>
      <c r="N170" s="328"/>
      <c r="O170" s="328"/>
      <c r="P170" s="328"/>
      <c r="Q170" s="328"/>
      <c r="R170" s="328"/>
      <c r="S170" s="328"/>
      <c r="T170" s="328"/>
      <c r="U170" s="328"/>
      <c r="V170" s="328"/>
    </row>
    <row r="171" ht="15.75" customHeight="1">
      <c r="A171" s="328"/>
      <c r="B171" s="328"/>
      <c r="C171" s="328"/>
      <c r="D171" s="328"/>
      <c r="E171" s="328"/>
      <c r="F171" s="328"/>
      <c r="G171" s="328"/>
      <c r="H171" s="328"/>
      <c r="I171" s="328"/>
      <c r="J171" s="328"/>
      <c r="K171" s="328"/>
      <c r="L171" s="328"/>
      <c r="M171" s="328"/>
      <c r="N171" s="328"/>
      <c r="O171" s="328"/>
      <c r="P171" s="328"/>
      <c r="Q171" s="328"/>
      <c r="R171" s="328"/>
      <c r="S171" s="328"/>
      <c r="T171" s="328"/>
      <c r="U171" s="328"/>
      <c r="V171" s="328"/>
    </row>
    <row r="172" ht="15.75" customHeight="1">
      <c r="A172" s="328"/>
      <c r="B172" s="328"/>
      <c r="C172" s="328"/>
      <c r="D172" s="328"/>
      <c r="E172" s="328"/>
      <c r="F172" s="328"/>
      <c r="G172" s="328"/>
      <c r="H172" s="328"/>
      <c r="I172" s="328"/>
      <c r="J172" s="328"/>
      <c r="K172" s="328"/>
      <c r="L172" s="328"/>
      <c r="M172" s="328"/>
      <c r="N172" s="328"/>
      <c r="O172" s="328"/>
      <c r="P172" s="328"/>
      <c r="Q172" s="328"/>
      <c r="R172" s="328"/>
      <c r="S172" s="328"/>
      <c r="T172" s="328"/>
      <c r="U172" s="328"/>
      <c r="V172" s="328"/>
    </row>
    <row r="173" ht="15.75" customHeight="1">
      <c r="A173" s="328"/>
      <c r="B173" s="328"/>
      <c r="C173" s="328"/>
      <c r="D173" s="328"/>
      <c r="E173" s="328"/>
      <c r="F173" s="328"/>
      <c r="G173" s="328"/>
      <c r="H173" s="328"/>
      <c r="I173" s="328"/>
      <c r="J173" s="328"/>
      <c r="K173" s="328"/>
      <c r="L173" s="328"/>
      <c r="M173" s="328"/>
      <c r="N173" s="328"/>
      <c r="O173" s="328"/>
      <c r="P173" s="328"/>
      <c r="Q173" s="328"/>
      <c r="R173" s="328"/>
      <c r="S173" s="328"/>
      <c r="T173" s="328"/>
      <c r="U173" s="328"/>
      <c r="V173" s="328"/>
    </row>
    <row r="174" ht="15.75" customHeight="1">
      <c r="A174" s="328"/>
      <c r="B174" s="328"/>
      <c r="C174" s="328"/>
      <c r="D174" s="328"/>
      <c r="E174" s="328"/>
      <c r="F174" s="328"/>
      <c r="G174" s="328"/>
      <c r="H174" s="328"/>
      <c r="I174" s="328"/>
      <c r="J174" s="328"/>
      <c r="K174" s="328"/>
      <c r="L174" s="328"/>
      <c r="M174" s="328"/>
      <c r="N174" s="328"/>
      <c r="O174" s="328"/>
      <c r="P174" s="328"/>
      <c r="Q174" s="328"/>
      <c r="R174" s="328"/>
      <c r="S174" s="328"/>
      <c r="T174" s="328"/>
      <c r="U174" s="328"/>
      <c r="V174" s="328"/>
    </row>
    <row r="175" ht="15.75" customHeight="1">
      <c r="A175" s="328"/>
      <c r="B175" s="328"/>
      <c r="C175" s="328"/>
      <c r="D175" s="328"/>
      <c r="E175" s="328"/>
      <c r="F175" s="328"/>
      <c r="G175" s="328"/>
      <c r="H175" s="328"/>
      <c r="I175" s="328"/>
      <c r="J175" s="328"/>
      <c r="K175" s="328"/>
      <c r="L175" s="328"/>
      <c r="M175" s="328"/>
      <c r="N175" s="328"/>
      <c r="O175" s="328"/>
      <c r="P175" s="328"/>
      <c r="Q175" s="328"/>
      <c r="R175" s="328"/>
      <c r="S175" s="328"/>
      <c r="T175" s="328"/>
      <c r="U175" s="328"/>
      <c r="V175" s="328"/>
    </row>
    <row r="176" ht="15.75" customHeight="1">
      <c r="A176" s="328"/>
      <c r="B176" s="328"/>
      <c r="C176" s="328"/>
      <c r="D176" s="328"/>
      <c r="E176" s="328"/>
      <c r="F176" s="328"/>
      <c r="G176" s="328"/>
      <c r="H176" s="328"/>
      <c r="I176" s="328"/>
      <c r="J176" s="328"/>
      <c r="K176" s="328"/>
      <c r="L176" s="328"/>
      <c r="M176" s="328"/>
      <c r="N176" s="328"/>
      <c r="O176" s="328"/>
      <c r="P176" s="328"/>
      <c r="Q176" s="328"/>
      <c r="R176" s="328"/>
      <c r="S176" s="328"/>
      <c r="T176" s="328"/>
      <c r="U176" s="328"/>
      <c r="V176" s="328"/>
    </row>
    <row r="177" ht="15.75" customHeight="1">
      <c r="A177" s="328"/>
      <c r="B177" s="328"/>
      <c r="C177" s="328"/>
      <c r="D177" s="328"/>
      <c r="E177" s="328"/>
      <c r="F177" s="328"/>
      <c r="G177" s="328"/>
      <c r="H177" s="328"/>
      <c r="I177" s="328"/>
      <c r="J177" s="328"/>
      <c r="K177" s="328"/>
      <c r="L177" s="328"/>
      <c r="M177" s="328"/>
      <c r="N177" s="328"/>
      <c r="O177" s="328"/>
      <c r="P177" s="328"/>
      <c r="Q177" s="328"/>
      <c r="R177" s="328"/>
      <c r="S177" s="328"/>
      <c r="T177" s="328"/>
      <c r="U177" s="328"/>
      <c r="V177" s="328"/>
    </row>
    <row r="178" ht="15.75" customHeight="1">
      <c r="A178" s="328"/>
      <c r="B178" s="328"/>
      <c r="C178" s="328"/>
      <c r="D178" s="328"/>
      <c r="E178" s="328"/>
      <c r="F178" s="328"/>
      <c r="G178" s="328"/>
      <c r="H178" s="328"/>
      <c r="I178" s="328"/>
      <c r="J178" s="328"/>
      <c r="K178" s="328"/>
      <c r="L178" s="328"/>
      <c r="M178" s="328"/>
      <c r="N178" s="328"/>
      <c r="O178" s="328"/>
      <c r="P178" s="328"/>
      <c r="Q178" s="328"/>
      <c r="R178" s="328"/>
      <c r="S178" s="328"/>
      <c r="T178" s="328"/>
      <c r="U178" s="328"/>
      <c r="V178" s="328"/>
    </row>
    <row r="179" ht="15.75" customHeight="1">
      <c r="A179" s="328"/>
      <c r="B179" s="328"/>
      <c r="C179" s="328"/>
      <c r="D179" s="328"/>
      <c r="E179" s="328"/>
      <c r="F179" s="328"/>
      <c r="G179" s="328"/>
      <c r="H179" s="328"/>
      <c r="I179" s="328"/>
      <c r="J179" s="328"/>
      <c r="K179" s="328"/>
      <c r="L179" s="328"/>
      <c r="M179" s="328"/>
      <c r="N179" s="328"/>
      <c r="O179" s="328"/>
      <c r="P179" s="328"/>
      <c r="Q179" s="328"/>
      <c r="R179" s="328"/>
      <c r="S179" s="328"/>
      <c r="T179" s="328"/>
      <c r="U179" s="328"/>
      <c r="V179" s="328"/>
    </row>
    <row r="180" ht="15.75" customHeight="1">
      <c r="A180" s="328"/>
      <c r="B180" s="328"/>
      <c r="C180" s="328"/>
      <c r="D180" s="328"/>
      <c r="E180" s="328"/>
      <c r="F180" s="328"/>
      <c r="G180" s="328"/>
      <c r="H180" s="328"/>
      <c r="I180" s="328"/>
      <c r="J180" s="328"/>
      <c r="K180" s="328"/>
      <c r="L180" s="328"/>
      <c r="M180" s="328"/>
      <c r="N180" s="328"/>
      <c r="O180" s="328"/>
      <c r="P180" s="328"/>
      <c r="Q180" s="328"/>
      <c r="R180" s="328"/>
      <c r="S180" s="328"/>
      <c r="T180" s="328"/>
      <c r="U180" s="328"/>
      <c r="V180" s="328"/>
    </row>
    <row r="181" ht="15.75" customHeight="1">
      <c r="A181" s="328"/>
      <c r="B181" s="328"/>
      <c r="C181" s="328"/>
      <c r="D181" s="328"/>
      <c r="E181" s="328"/>
      <c r="F181" s="328"/>
      <c r="G181" s="328"/>
      <c r="H181" s="328"/>
      <c r="I181" s="328"/>
      <c r="J181" s="328"/>
      <c r="K181" s="328"/>
      <c r="L181" s="328"/>
      <c r="M181" s="328"/>
      <c r="N181" s="328"/>
      <c r="O181" s="328"/>
      <c r="P181" s="328"/>
      <c r="Q181" s="328"/>
      <c r="R181" s="328"/>
      <c r="S181" s="328"/>
      <c r="T181" s="328"/>
      <c r="U181" s="328"/>
      <c r="V181" s="328"/>
    </row>
    <row r="182" ht="15.75" customHeight="1">
      <c r="A182" s="328"/>
      <c r="B182" s="328"/>
      <c r="C182" s="328"/>
      <c r="D182" s="328"/>
      <c r="E182" s="328"/>
      <c r="F182" s="328"/>
      <c r="G182" s="328"/>
      <c r="H182" s="328"/>
      <c r="I182" s="328"/>
      <c r="J182" s="328"/>
      <c r="K182" s="328"/>
      <c r="L182" s="328"/>
      <c r="M182" s="328"/>
      <c r="N182" s="328"/>
      <c r="O182" s="328"/>
      <c r="P182" s="328"/>
      <c r="Q182" s="328"/>
      <c r="R182" s="328"/>
      <c r="S182" s="328"/>
      <c r="T182" s="328"/>
      <c r="U182" s="328"/>
      <c r="V182" s="328"/>
    </row>
    <row r="183" ht="15.75" customHeight="1">
      <c r="A183" s="328"/>
      <c r="B183" s="328"/>
      <c r="C183" s="328"/>
      <c r="D183" s="328"/>
      <c r="E183" s="328"/>
      <c r="F183" s="328"/>
      <c r="G183" s="328"/>
      <c r="H183" s="328"/>
      <c r="I183" s="328"/>
      <c r="J183" s="328"/>
      <c r="K183" s="328"/>
      <c r="L183" s="328"/>
      <c r="M183" s="328"/>
      <c r="N183" s="328"/>
      <c r="O183" s="328"/>
      <c r="P183" s="328"/>
      <c r="Q183" s="328"/>
      <c r="R183" s="328"/>
      <c r="S183" s="328"/>
      <c r="T183" s="328"/>
      <c r="U183" s="328"/>
      <c r="V183" s="328"/>
    </row>
    <row r="184" ht="15.75" customHeight="1">
      <c r="A184" s="328"/>
      <c r="B184" s="328"/>
      <c r="C184" s="328"/>
      <c r="D184" s="328"/>
      <c r="E184" s="328"/>
      <c r="F184" s="328"/>
      <c r="G184" s="328"/>
      <c r="H184" s="328"/>
      <c r="I184" s="328"/>
      <c r="J184" s="328"/>
      <c r="K184" s="328"/>
      <c r="L184" s="328"/>
      <c r="M184" s="328"/>
      <c r="N184" s="328"/>
      <c r="O184" s="328"/>
      <c r="P184" s="328"/>
      <c r="Q184" s="328"/>
      <c r="R184" s="328"/>
      <c r="S184" s="328"/>
      <c r="T184" s="328"/>
      <c r="U184" s="328"/>
      <c r="V184" s="328"/>
    </row>
    <row r="185" ht="15.75" customHeight="1">
      <c r="A185" s="328"/>
      <c r="B185" s="328"/>
      <c r="C185" s="328"/>
      <c r="D185" s="328"/>
      <c r="E185" s="328"/>
      <c r="F185" s="328"/>
      <c r="G185" s="328"/>
      <c r="H185" s="328"/>
      <c r="I185" s="328"/>
      <c r="J185" s="328"/>
      <c r="K185" s="328"/>
      <c r="L185" s="328"/>
      <c r="M185" s="328"/>
      <c r="N185" s="328"/>
      <c r="O185" s="328"/>
      <c r="P185" s="328"/>
      <c r="Q185" s="328"/>
      <c r="R185" s="328"/>
      <c r="S185" s="328"/>
      <c r="T185" s="328"/>
      <c r="U185" s="328"/>
      <c r="V185" s="328"/>
    </row>
    <row r="186" ht="15.75" customHeight="1">
      <c r="A186" s="328"/>
      <c r="B186" s="328"/>
      <c r="C186" s="328"/>
      <c r="D186" s="328"/>
      <c r="E186" s="328"/>
      <c r="F186" s="328"/>
      <c r="G186" s="328"/>
      <c r="H186" s="328"/>
      <c r="I186" s="328"/>
      <c r="J186" s="328"/>
      <c r="K186" s="328"/>
      <c r="L186" s="328"/>
      <c r="M186" s="328"/>
      <c r="N186" s="328"/>
      <c r="O186" s="328"/>
      <c r="P186" s="328"/>
      <c r="Q186" s="328"/>
      <c r="R186" s="328"/>
      <c r="S186" s="328"/>
      <c r="T186" s="328"/>
      <c r="U186" s="328"/>
      <c r="V186" s="328"/>
    </row>
    <row r="187" ht="15.75" customHeight="1">
      <c r="A187" s="328"/>
      <c r="B187" s="328"/>
      <c r="C187" s="328"/>
      <c r="D187" s="328"/>
      <c r="E187" s="328"/>
      <c r="F187" s="328"/>
      <c r="G187" s="328"/>
      <c r="H187" s="328"/>
      <c r="I187" s="328"/>
      <c r="J187" s="328"/>
      <c r="K187" s="328"/>
      <c r="L187" s="328"/>
      <c r="M187" s="328"/>
      <c r="N187" s="328"/>
      <c r="O187" s="328"/>
      <c r="P187" s="328"/>
      <c r="Q187" s="328"/>
      <c r="R187" s="328"/>
      <c r="S187" s="328"/>
      <c r="T187" s="328"/>
      <c r="U187" s="328"/>
      <c r="V187" s="328"/>
    </row>
    <row r="188" ht="15.75" customHeight="1">
      <c r="A188" s="328"/>
      <c r="B188" s="328"/>
      <c r="C188" s="328"/>
      <c r="D188" s="328"/>
      <c r="E188" s="328"/>
      <c r="F188" s="328"/>
      <c r="G188" s="328"/>
      <c r="H188" s="328"/>
      <c r="I188" s="328"/>
      <c r="J188" s="328"/>
      <c r="K188" s="328"/>
      <c r="L188" s="328"/>
      <c r="M188" s="328"/>
      <c r="N188" s="328"/>
      <c r="O188" s="328"/>
      <c r="P188" s="328"/>
      <c r="Q188" s="328"/>
      <c r="R188" s="328"/>
      <c r="S188" s="328"/>
      <c r="T188" s="328"/>
      <c r="U188" s="328"/>
      <c r="V188" s="328"/>
    </row>
    <row r="189" ht="15.75" customHeight="1">
      <c r="A189" s="328"/>
      <c r="B189" s="328"/>
      <c r="C189" s="328"/>
      <c r="D189" s="328"/>
      <c r="E189" s="328"/>
      <c r="F189" s="328"/>
      <c r="G189" s="328"/>
      <c r="H189" s="328"/>
      <c r="I189" s="328"/>
      <c r="J189" s="328"/>
      <c r="K189" s="328"/>
      <c r="L189" s="328"/>
      <c r="M189" s="328"/>
      <c r="N189" s="328"/>
      <c r="O189" s="328"/>
      <c r="P189" s="328"/>
      <c r="Q189" s="328"/>
      <c r="R189" s="328"/>
      <c r="S189" s="328"/>
      <c r="T189" s="328"/>
      <c r="U189" s="328"/>
      <c r="V189" s="328"/>
    </row>
    <row r="190" ht="15.75" customHeight="1">
      <c r="A190" s="328"/>
      <c r="B190" s="328"/>
      <c r="C190" s="328"/>
      <c r="D190" s="328"/>
      <c r="E190" s="328"/>
      <c r="F190" s="328"/>
      <c r="G190" s="328"/>
      <c r="H190" s="328"/>
      <c r="I190" s="328"/>
      <c r="J190" s="328"/>
      <c r="K190" s="328"/>
      <c r="L190" s="328"/>
      <c r="M190" s="328"/>
      <c r="N190" s="328"/>
      <c r="O190" s="328"/>
      <c r="P190" s="328"/>
      <c r="Q190" s="328"/>
      <c r="R190" s="328"/>
      <c r="S190" s="328"/>
      <c r="T190" s="328"/>
      <c r="U190" s="328"/>
      <c r="V190" s="328"/>
    </row>
    <row r="191" ht="15.75" customHeight="1">
      <c r="A191" s="328"/>
      <c r="B191" s="328"/>
      <c r="C191" s="328"/>
      <c r="D191" s="328"/>
      <c r="E191" s="328"/>
      <c r="F191" s="328"/>
      <c r="G191" s="328"/>
      <c r="H191" s="328"/>
      <c r="I191" s="328"/>
      <c r="J191" s="328"/>
      <c r="K191" s="328"/>
      <c r="L191" s="328"/>
      <c r="M191" s="328"/>
      <c r="N191" s="328"/>
      <c r="O191" s="328"/>
      <c r="P191" s="328"/>
      <c r="Q191" s="328"/>
      <c r="R191" s="328"/>
      <c r="S191" s="328"/>
      <c r="T191" s="328"/>
      <c r="U191" s="328"/>
      <c r="V191" s="328"/>
    </row>
    <row r="192" ht="15.75" customHeight="1">
      <c r="A192" s="328"/>
      <c r="B192" s="328"/>
      <c r="C192" s="328"/>
      <c r="D192" s="328"/>
      <c r="E192" s="328"/>
      <c r="F192" s="328"/>
      <c r="G192" s="328"/>
      <c r="H192" s="328"/>
      <c r="I192" s="328"/>
      <c r="J192" s="328"/>
      <c r="K192" s="328"/>
      <c r="L192" s="328"/>
      <c r="M192" s="328"/>
      <c r="N192" s="328"/>
      <c r="O192" s="328"/>
      <c r="P192" s="328"/>
      <c r="Q192" s="328"/>
      <c r="R192" s="328"/>
      <c r="S192" s="328"/>
      <c r="T192" s="328"/>
      <c r="U192" s="328"/>
      <c r="V192" s="328"/>
    </row>
    <row r="193" ht="15.75" customHeight="1">
      <c r="A193" s="328"/>
      <c r="B193" s="328"/>
      <c r="C193" s="328"/>
      <c r="D193" s="328"/>
      <c r="E193" s="328"/>
      <c r="F193" s="328"/>
      <c r="G193" s="328"/>
      <c r="H193" s="328"/>
      <c r="I193" s="328"/>
      <c r="J193" s="328"/>
      <c r="K193" s="328"/>
      <c r="L193" s="328"/>
      <c r="M193" s="328"/>
      <c r="N193" s="328"/>
      <c r="O193" s="328"/>
      <c r="P193" s="328"/>
      <c r="Q193" s="328"/>
      <c r="R193" s="328"/>
      <c r="S193" s="328"/>
      <c r="T193" s="328"/>
      <c r="U193" s="328"/>
      <c r="V193" s="328"/>
    </row>
    <row r="194" ht="15.75" customHeight="1">
      <c r="A194" s="328"/>
      <c r="B194" s="328"/>
      <c r="C194" s="328"/>
      <c r="D194" s="328"/>
      <c r="E194" s="328"/>
      <c r="F194" s="328"/>
      <c r="G194" s="328"/>
      <c r="H194" s="328"/>
      <c r="I194" s="328"/>
      <c r="J194" s="328"/>
      <c r="K194" s="328"/>
      <c r="L194" s="328"/>
      <c r="M194" s="328"/>
      <c r="N194" s="328"/>
      <c r="O194" s="328"/>
      <c r="P194" s="328"/>
      <c r="Q194" s="328"/>
      <c r="R194" s="328"/>
      <c r="S194" s="328"/>
      <c r="T194" s="328"/>
      <c r="U194" s="328"/>
      <c r="V194" s="328"/>
    </row>
    <row r="195" ht="15.75" customHeight="1">
      <c r="A195" s="328"/>
      <c r="B195" s="328"/>
      <c r="C195" s="328"/>
      <c r="D195" s="328"/>
      <c r="E195" s="328"/>
      <c r="F195" s="328"/>
      <c r="G195" s="328"/>
      <c r="H195" s="328"/>
      <c r="I195" s="328"/>
      <c r="J195" s="328"/>
      <c r="K195" s="328"/>
      <c r="L195" s="328"/>
      <c r="M195" s="328"/>
      <c r="N195" s="328"/>
      <c r="O195" s="328"/>
      <c r="P195" s="328"/>
      <c r="Q195" s="328"/>
      <c r="R195" s="328"/>
      <c r="S195" s="328"/>
      <c r="T195" s="328"/>
      <c r="U195" s="328"/>
      <c r="V195" s="328"/>
    </row>
    <row r="196" ht="15.75" customHeight="1">
      <c r="A196" s="328"/>
      <c r="B196" s="328"/>
      <c r="C196" s="328"/>
      <c r="D196" s="328"/>
      <c r="E196" s="328"/>
      <c r="F196" s="328"/>
      <c r="G196" s="328"/>
      <c r="H196" s="328"/>
      <c r="I196" s="328"/>
      <c r="J196" s="328"/>
      <c r="K196" s="328"/>
      <c r="L196" s="328"/>
      <c r="M196" s="328"/>
      <c r="N196" s="328"/>
      <c r="O196" s="328"/>
      <c r="P196" s="328"/>
      <c r="Q196" s="328"/>
      <c r="R196" s="328"/>
      <c r="S196" s="328"/>
      <c r="T196" s="328"/>
      <c r="U196" s="328"/>
      <c r="V196" s="328"/>
    </row>
    <row r="197" ht="15.75" customHeight="1">
      <c r="A197" s="328"/>
      <c r="B197" s="328"/>
      <c r="C197" s="328"/>
      <c r="D197" s="328"/>
      <c r="E197" s="328"/>
      <c r="F197" s="328"/>
      <c r="G197" s="328"/>
      <c r="H197" s="328"/>
      <c r="I197" s="328"/>
      <c r="J197" s="328"/>
      <c r="K197" s="328"/>
      <c r="L197" s="328"/>
      <c r="M197" s="328"/>
      <c r="N197" s="328"/>
      <c r="O197" s="328"/>
      <c r="P197" s="328"/>
      <c r="Q197" s="328"/>
      <c r="R197" s="328"/>
      <c r="S197" s="328"/>
      <c r="T197" s="328"/>
      <c r="U197" s="328"/>
      <c r="V197" s="328"/>
    </row>
    <row r="198" ht="15.75" customHeight="1">
      <c r="A198" s="328"/>
      <c r="B198" s="328"/>
      <c r="C198" s="328"/>
      <c r="D198" s="328"/>
      <c r="E198" s="328"/>
      <c r="F198" s="328"/>
      <c r="G198" s="328"/>
      <c r="H198" s="328"/>
      <c r="I198" s="328"/>
      <c r="J198" s="328"/>
      <c r="K198" s="328"/>
      <c r="L198" s="328"/>
      <c r="M198" s="328"/>
      <c r="N198" s="328"/>
      <c r="O198" s="328"/>
      <c r="P198" s="328"/>
      <c r="Q198" s="328"/>
      <c r="R198" s="328"/>
      <c r="S198" s="328"/>
      <c r="T198" s="328"/>
      <c r="U198" s="328"/>
      <c r="V198" s="328"/>
    </row>
    <row r="199" ht="15.75" customHeight="1">
      <c r="A199" s="328"/>
      <c r="B199" s="328"/>
      <c r="C199" s="328"/>
      <c r="D199" s="328"/>
      <c r="E199" s="328"/>
      <c r="F199" s="328"/>
      <c r="G199" s="328"/>
      <c r="H199" s="328"/>
      <c r="I199" s="328"/>
      <c r="J199" s="328"/>
      <c r="K199" s="328"/>
      <c r="L199" s="328"/>
      <c r="M199" s="328"/>
      <c r="N199" s="328"/>
      <c r="O199" s="328"/>
      <c r="P199" s="328"/>
      <c r="Q199" s="328"/>
      <c r="R199" s="328"/>
      <c r="S199" s="328"/>
      <c r="T199" s="328"/>
      <c r="U199" s="328"/>
      <c r="V199" s="328"/>
    </row>
    <row r="200" ht="15.75" customHeight="1">
      <c r="A200" s="328"/>
      <c r="B200" s="328"/>
      <c r="C200" s="328"/>
      <c r="D200" s="328"/>
      <c r="E200" s="328"/>
      <c r="F200" s="328"/>
      <c r="G200" s="328"/>
      <c r="H200" s="328"/>
      <c r="I200" s="328"/>
      <c r="J200" s="328"/>
      <c r="K200" s="328"/>
      <c r="L200" s="328"/>
      <c r="M200" s="328"/>
      <c r="N200" s="328"/>
      <c r="O200" s="328"/>
      <c r="P200" s="328"/>
      <c r="Q200" s="328"/>
      <c r="R200" s="328"/>
      <c r="S200" s="328"/>
      <c r="T200" s="328"/>
      <c r="U200" s="328"/>
      <c r="V200" s="328"/>
    </row>
    <row r="201" ht="15.75" customHeight="1">
      <c r="A201" s="328"/>
      <c r="B201" s="328"/>
      <c r="C201" s="328"/>
      <c r="D201" s="328"/>
      <c r="E201" s="328"/>
      <c r="F201" s="328"/>
      <c r="G201" s="328"/>
      <c r="H201" s="328"/>
      <c r="I201" s="328"/>
      <c r="J201" s="328"/>
      <c r="K201" s="328"/>
      <c r="L201" s="328"/>
      <c r="M201" s="328"/>
      <c r="N201" s="328"/>
      <c r="O201" s="328"/>
      <c r="P201" s="328"/>
      <c r="Q201" s="328"/>
      <c r="R201" s="328"/>
      <c r="S201" s="328"/>
      <c r="T201" s="328"/>
      <c r="U201" s="328"/>
      <c r="V201" s="328"/>
    </row>
    <row r="202" ht="15.75" customHeight="1">
      <c r="A202" s="328"/>
      <c r="B202" s="328"/>
      <c r="C202" s="328"/>
      <c r="D202" s="328"/>
      <c r="E202" s="328"/>
      <c r="F202" s="328"/>
      <c r="G202" s="328"/>
      <c r="H202" s="328"/>
      <c r="I202" s="328"/>
      <c r="J202" s="328"/>
      <c r="K202" s="328"/>
      <c r="L202" s="328"/>
      <c r="M202" s="328"/>
      <c r="N202" s="328"/>
      <c r="O202" s="328"/>
      <c r="P202" s="328"/>
      <c r="Q202" s="328"/>
      <c r="R202" s="328"/>
      <c r="S202" s="328"/>
      <c r="T202" s="328"/>
      <c r="U202" s="328"/>
      <c r="V202" s="328"/>
    </row>
    <row r="203" ht="15.75" customHeight="1">
      <c r="A203" s="328"/>
      <c r="B203" s="328"/>
      <c r="C203" s="328"/>
      <c r="D203" s="328"/>
      <c r="E203" s="328"/>
      <c r="F203" s="328"/>
      <c r="G203" s="328"/>
      <c r="H203" s="328"/>
      <c r="I203" s="328"/>
      <c r="J203" s="328"/>
      <c r="K203" s="328"/>
      <c r="L203" s="328"/>
      <c r="M203" s="328"/>
      <c r="N203" s="328"/>
      <c r="O203" s="328"/>
      <c r="P203" s="328"/>
      <c r="Q203" s="328"/>
      <c r="R203" s="328"/>
      <c r="S203" s="328"/>
      <c r="T203" s="328"/>
      <c r="U203" s="328"/>
      <c r="V203" s="328"/>
    </row>
    <row r="204" ht="15.75" customHeight="1">
      <c r="A204" s="328"/>
      <c r="B204" s="328"/>
      <c r="C204" s="328"/>
      <c r="D204" s="328"/>
      <c r="E204" s="328"/>
      <c r="F204" s="328"/>
      <c r="G204" s="328"/>
      <c r="H204" s="328"/>
      <c r="I204" s="328"/>
      <c r="J204" s="328"/>
      <c r="K204" s="328"/>
      <c r="L204" s="328"/>
      <c r="M204" s="328"/>
      <c r="N204" s="328"/>
      <c r="O204" s="328"/>
      <c r="P204" s="328"/>
      <c r="Q204" s="328"/>
      <c r="R204" s="328"/>
      <c r="S204" s="328"/>
      <c r="T204" s="328"/>
      <c r="U204" s="328"/>
      <c r="V204" s="328"/>
    </row>
    <row r="205" ht="15.75" customHeight="1">
      <c r="A205" s="328"/>
      <c r="B205" s="328"/>
      <c r="C205" s="328"/>
      <c r="D205" s="328"/>
      <c r="E205" s="328"/>
      <c r="F205" s="328"/>
      <c r="G205" s="328"/>
      <c r="H205" s="328"/>
      <c r="I205" s="328"/>
      <c r="J205" s="328"/>
      <c r="K205" s="328"/>
      <c r="L205" s="328"/>
      <c r="M205" s="328"/>
      <c r="N205" s="328"/>
      <c r="O205" s="328"/>
      <c r="P205" s="328"/>
      <c r="Q205" s="328"/>
      <c r="R205" s="328"/>
      <c r="S205" s="328"/>
      <c r="T205" s="328"/>
      <c r="U205" s="328"/>
      <c r="V205" s="328"/>
    </row>
    <row r="206" ht="15.75" customHeight="1">
      <c r="A206" s="328"/>
      <c r="B206" s="328"/>
      <c r="C206" s="328"/>
      <c r="D206" s="328"/>
      <c r="E206" s="328"/>
      <c r="F206" s="328"/>
      <c r="G206" s="328"/>
      <c r="H206" s="328"/>
      <c r="I206" s="328"/>
      <c r="J206" s="328"/>
      <c r="K206" s="328"/>
      <c r="L206" s="328"/>
      <c r="M206" s="328"/>
      <c r="N206" s="328"/>
      <c r="O206" s="328"/>
      <c r="P206" s="328"/>
      <c r="Q206" s="328"/>
      <c r="R206" s="328"/>
      <c r="S206" s="328"/>
      <c r="T206" s="328"/>
      <c r="U206" s="328"/>
      <c r="V206" s="328"/>
    </row>
    <row r="207" ht="15.75" customHeight="1">
      <c r="A207" s="328"/>
      <c r="B207" s="328"/>
      <c r="C207" s="328"/>
      <c r="D207" s="328"/>
      <c r="E207" s="328"/>
      <c r="F207" s="328"/>
      <c r="G207" s="328"/>
      <c r="H207" s="328"/>
      <c r="I207" s="328"/>
      <c r="J207" s="328"/>
      <c r="K207" s="328"/>
      <c r="L207" s="328"/>
      <c r="M207" s="328"/>
      <c r="N207" s="328"/>
      <c r="O207" s="328"/>
      <c r="P207" s="328"/>
      <c r="Q207" s="328"/>
      <c r="R207" s="328"/>
      <c r="S207" s="328"/>
      <c r="T207" s="328"/>
      <c r="U207" s="328"/>
      <c r="V207" s="328"/>
    </row>
    <row r="208" ht="15.75" customHeight="1">
      <c r="A208" s="328"/>
      <c r="B208" s="328"/>
      <c r="C208" s="328"/>
      <c r="D208" s="328"/>
      <c r="E208" s="328"/>
      <c r="F208" s="328"/>
      <c r="G208" s="328"/>
      <c r="H208" s="328"/>
      <c r="I208" s="328"/>
      <c r="J208" s="328"/>
      <c r="K208" s="328"/>
      <c r="L208" s="328"/>
      <c r="M208" s="328"/>
      <c r="N208" s="328"/>
      <c r="O208" s="328"/>
      <c r="P208" s="328"/>
      <c r="Q208" s="328"/>
      <c r="R208" s="328"/>
      <c r="S208" s="328"/>
      <c r="T208" s="328"/>
      <c r="U208" s="328"/>
      <c r="V208" s="328"/>
    </row>
    <row r="209" ht="15.75" customHeight="1">
      <c r="A209" s="328"/>
      <c r="B209" s="328"/>
      <c r="C209" s="328"/>
      <c r="D209" s="328"/>
      <c r="E209" s="328"/>
      <c r="F209" s="328"/>
      <c r="G209" s="328"/>
      <c r="H209" s="328"/>
      <c r="I209" s="328"/>
      <c r="J209" s="328"/>
      <c r="K209" s="328"/>
      <c r="L209" s="328"/>
      <c r="M209" s="328"/>
      <c r="N209" s="328"/>
      <c r="O209" s="328"/>
      <c r="P209" s="328"/>
      <c r="Q209" s="328"/>
      <c r="R209" s="328"/>
      <c r="S209" s="328"/>
      <c r="T209" s="328"/>
      <c r="U209" s="328"/>
      <c r="V209" s="328"/>
    </row>
    <row r="210" ht="15.75" customHeight="1">
      <c r="A210" s="328"/>
      <c r="B210" s="328"/>
      <c r="C210" s="328"/>
      <c r="D210" s="328"/>
      <c r="E210" s="328"/>
      <c r="F210" s="328"/>
      <c r="G210" s="328"/>
      <c r="H210" s="328"/>
      <c r="I210" s="328"/>
      <c r="J210" s="328"/>
      <c r="K210" s="328"/>
      <c r="L210" s="328"/>
      <c r="M210" s="328"/>
      <c r="N210" s="328"/>
      <c r="O210" s="328"/>
      <c r="P210" s="328"/>
      <c r="Q210" s="328"/>
      <c r="R210" s="328"/>
      <c r="S210" s="328"/>
      <c r="T210" s="328"/>
      <c r="U210" s="328"/>
      <c r="V210" s="328"/>
    </row>
    <row r="211" ht="15.75" customHeight="1">
      <c r="A211" s="328"/>
      <c r="B211" s="328"/>
      <c r="C211" s="328"/>
      <c r="D211" s="328"/>
      <c r="E211" s="328"/>
      <c r="F211" s="328"/>
      <c r="G211" s="328"/>
      <c r="H211" s="328"/>
      <c r="I211" s="328"/>
      <c r="J211" s="328"/>
      <c r="K211" s="328"/>
      <c r="L211" s="328"/>
      <c r="M211" s="328"/>
      <c r="N211" s="328"/>
      <c r="O211" s="328"/>
      <c r="P211" s="328"/>
      <c r="Q211" s="328"/>
      <c r="R211" s="328"/>
      <c r="S211" s="328"/>
      <c r="T211" s="328"/>
      <c r="U211" s="328"/>
      <c r="V211" s="328"/>
    </row>
    <row r="212" ht="15.75" customHeight="1">
      <c r="A212" s="328"/>
      <c r="B212" s="328"/>
      <c r="C212" s="328"/>
      <c r="D212" s="328"/>
      <c r="E212" s="328"/>
      <c r="F212" s="328"/>
      <c r="G212" s="328"/>
      <c r="H212" s="328"/>
      <c r="I212" s="328"/>
      <c r="J212" s="328"/>
      <c r="K212" s="328"/>
      <c r="L212" s="328"/>
      <c r="M212" s="328"/>
      <c r="N212" s="328"/>
      <c r="O212" s="328"/>
      <c r="P212" s="328"/>
      <c r="Q212" s="328"/>
      <c r="R212" s="328"/>
      <c r="S212" s="328"/>
      <c r="T212" s="328"/>
      <c r="U212" s="328"/>
      <c r="V212" s="328"/>
    </row>
    <row r="213" ht="15.75" customHeight="1">
      <c r="A213" s="328"/>
      <c r="B213" s="328"/>
      <c r="C213" s="328"/>
      <c r="D213" s="328"/>
      <c r="E213" s="328"/>
      <c r="F213" s="328"/>
      <c r="G213" s="328"/>
      <c r="H213" s="328"/>
      <c r="I213" s="328"/>
      <c r="J213" s="328"/>
      <c r="K213" s="328"/>
      <c r="L213" s="328"/>
      <c r="M213" s="328"/>
      <c r="N213" s="328"/>
      <c r="O213" s="328"/>
      <c r="P213" s="328"/>
      <c r="Q213" s="328"/>
      <c r="R213" s="328"/>
      <c r="S213" s="328"/>
      <c r="T213" s="328"/>
      <c r="U213" s="328"/>
      <c r="V213" s="328"/>
    </row>
    <row r="214" ht="15.75" customHeight="1">
      <c r="A214" s="328"/>
      <c r="B214" s="328"/>
      <c r="C214" s="328"/>
      <c r="D214" s="328"/>
      <c r="E214" s="328"/>
      <c r="F214" s="328"/>
      <c r="G214" s="328"/>
      <c r="H214" s="328"/>
      <c r="I214" s="328"/>
      <c r="J214" s="328"/>
      <c r="K214" s="328"/>
      <c r="L214" s="328"/>
      <c r="M214" s="328"/>
      <c r="N214" s="328"/>
      <c r="O214" s="328"/>
      <c r="P214" s="328"/>
      <c r="Q214" s="328"/>
      <c r="R214" s="328"/>
      <c r="S214" s="328"/>
      <c r="T214" s="328"/>
      <c r="U214" s="328"/>
      <c r="V214" s="328"/>
    </row>
    <row r="215" ht="15.75" customHeight="1">
      <c r="A215" s="328"/>
      <c r="B215" s="328"/>
      <c r="C215" s="328"/>
      <c r="D215" s="328"/>
      <c r="E215" s="328"/>
      <c r="F215" s="328"/>
      <c r="G215" s="328"/>
      <c r="H215" s="328"/>
      <c r="I215" s="328"/>
      <c r="J215" s="328"/>
      <c r="K215" s="328"/>
      <c r="L215" s="328"/>
      <c r="M215" s="328"/>
      <c r="N215" s="328"/>
      <c r="O215" s="328"/>
      <c r="P215" s="328"/>
      <c r="Q215" s="328"/>
      <c r="R215" s="328"/>
      <c r="S215" s="328"/>
      <c r="T215" s="328"/>
      <c r="U215" s="328"/>
      <c r="V215" s="328"/>
    </row>
    <row r="216" ht="15.75" customHeight="1">
      <c r="A216" s="328"/>
      <c r="B216" s="328"/>
      <c r="C216" s="328"/>
      <c r="D216" s="328"/>
      <c r="E216" s="328"/>
      <c r="F216" s="328"/>
      <c r="G216" s="328"/>
      <c r="H216" s="328"/>
      <c r="I216" s="328"/>
      <c r="J216" s="328"/>
      <c r="K216" s="328"/>
      <c r="L216" s="328"/>
      <c r="M216" s="328"/>
      <c r="N216" s="328"/>
      <c r="O216" s="328"/>
      <c r="P216" s="328"/>
      <c r="Q216" s="328"/>
      <c r="R216" s="328"/>
      <c r="S216" s="328"/>
      <c r="T216" s="328"/>
      <c r="U216" s="328"/>
      <c r="V216" s="328"/>
    </row>
    <row r="217" ht="15.75" customHeight="1">
      <c r="A217" s="328"/>
      <c r="B217" s="328"/>
      <c r="C217" s="328"/>
      <c r="D217" s="328"/>
      <c r="E217" s="328"/>
      <c r="F217" s="328"/>
      <c r="G217" s="328"/>
      <c r="H217" s="328"/>
      <c r="I217" s="328"/>
      <c r="J217" s="328"/>
      <c r="K217" s="328"/>
      <c r="L217" s="328"/>
      <c r="M217" s="328"/>
      <c r="N217" s="328"/>
      <c r="O217" s="328"/>
      <c r="P217" s="328"/>
      <c r="Q217" s="328"/>
      <c r="R217" s="328"/>
      <c r="S217" s="328"/>
      <c r="T217" s="328"/>
      <c r="U217" s="328"/>
      <c r="V217" s="328"/>
    </row>
    <row r="218" ht="15.75" customHeight="1">
      <c r="A218" s="328"/>
      <c r="B218" s="328"/>
      <c r="C218" s="328"/>
      <c r="D218" s="328"/>
      <c r="E218" s="328"/>
      <c r="F218" s="328"/>
      <c r="G218" s="328"/>
      <c r="H218" s="328"/>
      <c r="I218" s="328"/>
      <c r="J218" s="328"/>
      <c r="K218" s="328"/>
      <c r="L218" s="328"/>
      <c r="M218" s="328"/>
      <c r="N218" s="328"/>
      <c r="O218" s="328"/>
      <c r="P218" s="328"/>
      <c r="Q218" s="328"/>
      <c r="R218" s="328"/>
      <c r="S218" s="328"/>
      <c r="T218" s="328"/>
      <c r="U218" s="328"/>
      <c r="V218" s="328"/>
    </row>
    <row r="219" ht="15.75" customHeight="1">
      <c r="A219" s="328"/>
      <c r="B219" s="328"/>
      <c r="C219" s="328"/>
      <c r="D219" s="328"/>
      <c r="E219" s="328"/>
      <c r="F219" s="328"/>
      <c r="G219" s="328"/>
      <c r="H219" s="328"/>
      <c r="I219" s="328"/>
      <c r="J219" s="328"/>
      <c r="K219" s="328"/>
      <c r="L219" s="328"/>
      <c r="M219" s="328"/>
      <c r="N219" s="328"/>
      <c r="O219" s="328"/>
      <c r="P219" s="328"/>
      <c r="Q219" s="328"/>
      <c r="R219" s="328"/>
      <c r="S219" s="328"/>
      <c r="T219" s="328"/>
      <c r="U219" s="328"/>
      <c r="V219" s="328"/>
    </row>
    <row r="220" ht="15.75" customHeight="1">
      <c r="A220" s="328"/>
      <c r="B220" s="328"/>
      <c r="C220" s="328"/>
      <c r="D220" s="328"/>
      <c r="E220" s="328"/>
      <c r="F220" s="328"/>
      <c r="G220" s="328"/>
      <c r="H220" s="328"/>
      <c r="I220" s="328"/>
      <c r="J220" s="328"/>
      <c r="K220" s="328"/>
      <c r="L220" s="328"/>
      <c r="M220" s="328"/>
      <c r="N220" s="328"/>
      <c r="O220" s="328"/>
      <c r="P220" s="328"/>
      <c r="Q220" s="328"/>
      <c r="R220" s="328"/>
      <c r="S220" s="328"/>
      <c r="T220" s="328"/>
      <c r="U220" s="328"/>
      <c r="V220" s="328"/>
    </row>
    <row r="221" ht="15.75" customHeight="1">
      <c r="A221" s="328"/>
      <c r="B221" s="328"/>
      <c r="C221" s="328"/>
      <c r="D221" s="328"/>
      <c r="E221" s="328"/>
      <c r="F221" s="328"/>
      <c r="G221" s="328"/>
      <c r="H221" s="328"/>
      <c r="I221" s="328"/>
      <c r="J221" s="328"/>
      <c r="K221" s="328"/>
      <c r="L221" s="328"/>
      <c r="M221" s="328"/>
      <c r="N221" s="328"/>
      <c r="O221" s="328"/>
      <c r="P221" s="328"/>
      <c r="Q221" s="328"/>
      <c r="R221" s="328"/>
      <c r="S221" s="328"/>
      <c r="T221" s="328"/>
      <c r="U221" s="328"/>
      <c r="V221" s="328"/>
    </row>
    <row r="222" ht="15.75" customHeight="1">
      <c r="A222" s="328"/>
      <c r="B222" s="328"/>
      <c r="C222" s="328"/>
      <c r="D222" s="328"/>
      <c r="E222" s="328"/>
      <c r="F222" s="328"/>
      <c r="G222" s="328"/>
      <c r="H222" s="328"/>
      <c r="I222" s="328"/>
      <c r="J222" s="328"/>
      <c r="K222" s="328"/>
      <c r="L222" s="328"/>
      <c r="M222" s="328"/>
      <c r="N222" s="328"/>
      <c r="O222" s="328"/>
      <c r="P222" s="328"/>
      <c r="Q222" s="328"/>
      <c r="R222" s="328"/>
      <c r="S222" s="328"/>
      <c r="T222" s="328"/>
      <c r="U222" s="328"/>
      <c r="V222" s="328"/>
    </row>
    <row r="223" ht="15.75" customHeight="1">
      <c r="A223" s="328"/>
      <c r="B223" s="328"/>
      <c r="C223" s="328"/>
      <c r="D223" s="328"/>
      <c r="E223" s="328"/>
      <c r="F223" s="328"/>
      <c r="G223" s="328"/>
      <c r="H223" s="328"/>
      <c r="I223" s="328"/>
      <c r="J223" s="328"/>
      <c r="K223" s="328"/>
      <c r="L223" s="328"/>
      <c r="M223" s="328"/>
      <c r="N223" s="328"/>
      <c r="O223" s="328"/>
      <c r="P223" s="328"/>
      <c r="Q223" s="328"/>
      <c r="R223" s="328"/>
      <c r="S223" s="328"/>
      <c r="T223" s="328"/>
      <c r="U223" s="328"/>
      <c r="V223" s="328"/>
    </row>
    <row r="224" ht="15.75" customHeight="1">
      <c r="A224" s="328"/>
      <c r="B224" s="328"/>
      <c r="C224" s="328"/>
      <c r="D224" s="328"/>
      <c r="E224" s="328"/>
      <c r="F224" s="328"/>
      <c r="G224" s="328"/>
      <c r="H224" s="328"/>
      <c r="I224" s="328"/>
      <c r="J224" s="328"/>
      <c r="K224" s="328"/>
      <c r="L224" s="328"/>
      <c r="M224" s="328"/>
      <c r="N224" s="328"/>
      <c r="O224" s="328"/>
      <c r="P224" s="328"/>
      <c r="Q224" s="328"/>
      <c r="R224" s="328"/>
      <c r="S224" s="328"/>
      <c r="T224" s="328"/>
      <c r="U224" s="328"/>
      <c r="V224" s="328"/>
    </row>
    <row r="225" ht="15.75" customHeight="1">
      <c r="A225" s="328"/>
      <c r="B225" s="328"/>
      <c r="C225" s="328"/>
      <c r="D225" s="328"/>
      <c r="E225" s="328"/>
      <c r="F225" s="328"/>
      <c r="G225" s="328"/>
      <c r="H225" s="328"/>
      <c r="I225" s="328"/>
      <c r="J225" s="328"/>
      <c r="K225" s="328"/>
      <c r="L225" s="328"/>
      <c r="M225" s="328"/>
      <c r="N225" s="328"/>
      <c r="O225" s="328"/>
      <c r="P225" s="328"/>
      <c r="Q225" s="328"/>
      <c r="R225" s="328"/>
      <c r="S225" s="328"/>
      <c r="T225" s="328"/>
      <c r="U225" s="328"/>
      <c r="V225" s="328"/>
    </row>
    <row r="226" ht="15.75" customHeight="1">
      <c r="A226" s="328"/>
      <c r="B226" s="328"/>
      <c r="C226" s="328"/>
      <c r="D226" s="328"/>
      <c r="E226" s="328"/>
      <c r="F226" s="328"/>
      <c r="G226" s="328"/>
      <c r="H226" s="328"/>
      <c r="I226" s="328"/>
      <c r="J226" s="328"/>
      <c r="K226" s="328"/>
      <c r="L226" s="328"/>
      <c r="M226" s="328"/>
      <c r="N226" s="328"/>
      <c r="O226" s="328"/>
      <c r="P226" s="328"/>
      <c r="Q226" s="328"/>
      <c r="R226" s="328"/>
      <c r="S226" s="328"/>
      <c r="T226" s="328"/>
      <c r="U226" s="328"/>
      <c r="V226" s="328"/>
    </row>
    <row r="227" ht="15.75" customHeight="1">
      <c r="A227" s="328"/>
      <c r="B227" s="328"/>
      <c r="C227" s="328"/>
      <c r="D227" s="328"/>
      <c r="E227" s="328"/>
      <c r="F227" s="328"/>
      <c r="G227" s="328"/>
      <c r="H227" s="328"/>
      <c r="I227" s="328"/>
      <c r="J227" s="328"/>
      <c r="K227" s="328"/>
      <c r="L227" s="328"/>
      <c r="M227" s="328"/>
      <c r="N227" s="328"/>
      <c r="O227" s="328"/>
      <c r="P227" s="328"/>
      <c r="Q227" s="328"/>
      <c r="R227" s="328"/>
      <c r="S227" s="328"/>
      <c r="T227" s="328"/>
      <c r="U227" s="328"/>
      <c r="V227" s="328"/>
    </row>
    <row r="228" ht="15.75" customHeight="1">
      <c r="A228" s="328"/>
      <c r="B228" s="328"/>
      <c r="C228" s="328"/>
      <c r="D228" s="328"/>
      <c r="E228" s="328"/>
      <c r="F228" s="328"/>
      <c r="G228" s="328"/>
      <c r="H228" s="328"/>
      <c r="I228" s="328"/>
      <c r="J228" s="328"/>
      <c r="K228" s="328"/>
      <c r="L228" s="328"/>
      <c r="M228" s="328"/>
      <c r="N228" s="328"/>
      <c r="O228" s="328"/>
      <c r="P228" s="328"/>
      <c r="Q228" s="328"/>
      <c r="R228" s="328"/>
      <c r="S228" s="328"/>
      <c r="T228" s="328"/>
      <c r="U228" s="328"/>
      <c r="V228" s="328"/>
    </row>
    <row r="229" ht="15.75" customHeight="1">
      <c r="A229" s="328"/>
      <c r="B229" s="328"/>
      <c r="C229" s="328"/>
      <c r="D229" s="328"/>
      <c r="E229" s="328"/>
      <c r="F229" s="328"/>
      <c r="G229" s="328"/>
      <c r="H229" s="328"/>
      <c r="I229" s="328"/>
      <c r="J229" s="328"/>
      <c r="K229" s="328"/>
      <c r="L229" s="328"/>
      <c r="M229" s="328"/>
      <c r="N229" s="328"/>
      <c r="O229" s="328"/>
      <c r="P229" s="328"/>
      <c r="Q229" s="328"/>
      <c r="R229" s="328"/>
      <c r="S229" s="328"/>
      <c r="T229" s="328"/>
      <c r="U229" s="328"/>
      <c r="V229" s="328"/>
    </row>
    <row r="230" ht="15.75" customHeight="1">
      <c r="A230" s="328"/>
      <c r="B230" s="328"/>
      <c r="C230" s="328"/>
      <c r="D230" s="328"/>
      <c r="E230" s="328"/>
      <c r="F230" s="328"/>
      <c r="G230" s="328"/>
      <c r="H230" s="328"/>
      <c r="I230" s="328"/>
      <c r="J230" s="328"/>
      <c r="K230" s="328"/>
      <c r="L230" s="328"/>
      <c r="M230" s="328"/>
      <c r="N230" s="328"/>
      <c r="O230" s="328"/>
      <c r="P230" s="328"/>
      <c r="Q230" s="328"/>
      <c r="R230" s="328"/>
      <c r="S230" s="328"/>
      <c r="T230" s="328"/>
      <c r="U230" s="328"/>
      <c r="V230" s="328"/>
    </row>
    <row r="231" ht="15.75" customHeight="1">
      <c r="A231" s="328"/>
      <c r="B231" s="328"/>
      <c r="C231" s="328"/>
      <c r="D231" s="328"/>
      <c r="E231" s="328"/>
      <c r="F231" s="328"/>
      <c r="G231" s="328"/>
      <c r="H231" s="328"/>
      <c r="I231" s="328"/>
      <c r="J231" s="328"/>
      <c r="K231" s="328"/>
      <c r="L231" s="328"/>
      <c r="M231" s="328"/>
      <c r="N231" s="328"/>
      <c r="O231" s="328"/>
      <c r="P231" s="328"/>
      <c r="Q231" s="328"/>
      <c r="R231" s="328"/>
      <c r="S231" s="328"/>
      <c r="T231" s="328"/>
      <c r="U231" s="328"/>
      <c r="V231" s="328"/>
    </row>
    <row r="232" ht="15.75" customHeight="1">
      <c r="A232" s="328"/>
      <c r="B232" s="328"/>
      <c r="C232" s="328"/>
      <c r="D232" s="328"/>
      <c r="E232" s="328"/>
      <c r="F232" s="328"/>
      <c r="G232" s="328"/>
      <c r="H232" s="328"/>
      <c r="I232" s="328"/>
      <c r="J232" s="328"/>
      <c r="K232" s="328"/>
      <c r="L232" s="328"/>
      <c r="M232" s="328"/>
      <c r="N232" s="328"/>
      <c r="O232" s="328"/>
      <c r="P232" s="328"/>
      <c r="Q232" s="328"/>
      <c r="R232" s="328"/>
      <c r="S232" s="328"/>
      <c r="T232" s="328"/>
      <c r="U232" s="328"/>
      <c r="V232" s="328"/>
    </row>
    <row r="233" ht="15.75" customHeight="1">
      <c r="A233" s="328"/>
      <c r="B233" s="328"/>
      <c r="C233" s="328"/>
      <c r="D233" s="328"/>
      <c r="E233" s="328"/>
      <c r="F233" s="328"/>
      <c r="G233" s="328"/>
      <c r="H233" s="328"/>
      <c r="I233" s="328"/>
      <c r="J233" s="328"/>
      <c r="K233" s="328"/>
      <c r="L233" s="328"/>
      <c r="M233" s="328"/>
      <c r="N233" s="328"/>
      <c r="O233" s="328"/>
      <c r="P233" s="328"/>
      <c r="Q233" s="328"/>
      <c r="R233" s="328"/>
      <c r="S233" s="328"/>
      <c r="T233" s="328"/>
      <c r="U233" s="328"/>
      <c r="V233" s="328"/>
    </row>
    <row r="234" ht="15.75" customHeight="1">
      <c r="A234" s="328"/>
      <c r="B234" s="328"/>
      <c r="C234" s="328"/>
      <c r="D234" s="328"/>
      <c r="E234" s="328"/>
      <c r="F234" s="328"/>
      <c r="G234" s="328"/>
      <c r="H234" s="328"/>
      <c r="I234" s="328"/>
      <c r="J234" s="328"/>
      <c r="K234" s="328"/>
      <c r="L234" s="328"/>
      <c r="M234" s="328"/>
      <c r="N234" s="328"/>
      <c r="O234" s="328"/>
      <c r="P234" s="328"/>
      <c r="Q234" s="328"/>
      <c r="R234" s="328"/>
      <c r="S234" s="328"/>
      <c r="T234" s="328"/>
      <c r="U234" s="328"/>
      <c r="V234" s="328"/>
    </row>
    <row r="235" ht="15.75" customHeight="1">
      <c r="A235" s="328"/>
      <c r="B235" s="328"/>
      <c r="C235" s="328"/>
      <c r="D235" s="328"/>
      <c r="E235" s="328"/>
      <c r="F235" s="328"/>
      <c r="G235" s="328"/>
      <c r="H235" s="328"/>
      <c r="I235" s="328"/>
      <c r="J235" s="328"/>
      <c r="K235" s="328"/>
      <c r="L235" s="328"/>
      <c r="M235" s="328"/>
      <c r="N235" s="328"/>
      <c r="O235" s="328"/>
      <c r="P235" s="328"/>
      <c r="Q235" s="328"/>
      <c r="R235" s="328"/>
      <c r="S235" s="328"/>
      <c r="T235" s="328"/>
      <c r="U235" s="328"/>
      <c r="V235" s="328"/>
    </row>
    <row r="236" ht="15.75" customHeight="1">
      <c r="A236" s="328"/>
      <c r="B236" s="328"/>
      <c r="C236" s="328"/>
      <c r="D236" s="328"/>
      <c r="E236" s="328"/>
      <c r="F236" s="328"/>
      <c r="G236" s="328"/>
      <c r="H236" s="328"/>
      <c r="I236" s="328"/>
      <c r="J236" s="328"/>
      <c r="K236" s="328"/>
      <c r="L236" s="328"/>
      <c r="M236" s="328"/>
      <c r="N236" s="328"/>
      <c r="O236" s="328"/>
      <c r="P236" s="328"/>
      <c r="Q236" s="328"/>
      <c r="R236" s="328"/>
      <c r="S236" s="328"/>
      <c r="T236" s="328"/>
      <c r="U236" s="328"/>
      <c r="V236" s="328"/>
    </row>
    <row r="237" ht="15.75" customHeight="1">
      <c r="A237" s="328"/>
      <c r="B237" s="328"/>
      <c r="C237" s="328"/>
      <c r="D237" s="328"/>
      <c r="E237" s="328"/>
      <c r="F237" s="328"/>
      <c r="G237" s="328"/>
      <c r="H237" s="328"/>
      <c r="I237" s="328"/>
      <c r="J237" s="328"/>
      <c r="K237" s="328"/>
      <c r="L237" s="328"/>
      <c r="M237" s="328"/>
      <c r="N237" s="328"/>
      <c r="O237" s="328"/>
      <c r="P237" s="328"/>
      <c r="Q237" s="328"/>
      <c r="R237" s="328"/>
      <c r="S237" s="328"/>
      <c r="T237" s="328"/>
      <c r="U237" s="328"/>
      <c r="V237" s="328"/>
    </row>
    <row r="238" ht="15.75" customHeight="1">
      <c r="A238" s="328"/>
      <c r="B238" s="328"/>
      <c r="C238" s="328"/>
      <c r="D238" s="328"/>
      <c r="E238" s="328"/>
      <c r="F238" s="328"/>
      <c r="G238" s="328"/>
      <c r="H238" s="328"/>
      <c r="I238" s="328"/>
      <c r="J238" s="328"/>
      <c r="K238" s="328"/>
      <c r="L238" s="328"/>
      <c r="M238" s="328"/>
      <c r="N238" s="328"/>
      <c r="O238" s="328"/>
      <c r="P238" s="328"/>
      <c r="Q238" s="328"/>
      <c r="R238" s="328"/>
      <c r="S238" s="328"/>
      <c r="T238" s="328"/>
      <c r="U238" s="328"/>
      <c r="V238" s="328"/>
    </row>
    <row r="239" ht="15.75" customHeight="1">
      <c r="A239" s="328"/>
      <c r="B239" s="328"/>
      <c r="C239" s="328"/>
      <c r="D239" s="328"/>
      <c r="E239" s="328"/>
      <c r="F239" s="328"/>
      <c r="G239" s="328"/>
      <c r="H239" s="328"/>
      <c r="I239" s="328"/>
      <c r="J239" s="328"/>
      <c r="K239" s="328"/>
      <c r="L239" s="328"/>
      <c r="M239" s="328"/>
      <c r="N239" s="328"/>
      <c r="O239" s="328"/>
      <c r="P239" s="328"/>
      <c r="Q239" s="328"/>
      <c r="R239" s="328"/>
      <c r="S239" s="328"/>
      <c r="T239" s="328"/>
      <c r="U239" s="328"/>
      <c r="V239" s="328"/>
    </row>
    <row r="240" ht="15.75" customHeight="1">
      <c r="A240" s="328"/>
      <c r="B240" s="328"/>
      <c r="C240" s="328"/>
      <c r="D240" s="328"/>
      <c r="E240" s="328"/>
      <c r="F240" s="328"/>
      <c r="G240" s="328"/>
      <c r="H240" s="328"/>
      <c r="I240" s="328"/>
      <c r="J240" s="328"/>
      <c r="K240" s="328"/>
      <c r="L240" s="328"/>
      <c r="M240" s="328"/>
      <c r="N240" s="328"/>
      <c r="O240" s="328"/>
      <c r="P240" s="328"/>
      <c r="Q240" s="328"/>
      <c r="R240" s="328"/>
      <c r="S240" s="328"/>
      <c r="T240" s="328"/>
      <c r="U240" s="328"/>
      <c r="V240" s="328"/>
    </row>
    <row r="241" ht="15.75" customHeight="1">
      <c r="A241" s="328"/>
      <c r="B241" s="328"/>
      <c r="C241" s="328"/>
      <c r="D241" s="328"/>
      <c r="E241" s="328"/>
      <c r="F241" s="328"/>
      <c r="G241" s="328"/>
      <c r="H241" s="328"/>
      <c r="I241" s="328"/>
      <c r="J241" s="328"/>
      <c r="K241" s="328"/>
      <c r="L241" s="328"/>
      <c r="M241" s="328"/>
      <c r="N241" s="328"/>
      <c r="O241" s="328"/>
      <c r="P241" s="328"/>
      <c r="Q241" s="328"/>
      <c r="R241" s="328"/>
      <c r="S241" s="328"/>
      <c r="T241" s="328"/>
      <c r="U241" s="328"/>
      <c r="V241" s="328"/>
    </row>
    <row r="242" ht="15.75" customHeight="1">
      <c r="A242" s="328"/>
      <c r="B242" s="328"/>
      <c r="C242" s="328"/>
      <c r="D242" s="328"/>
      <c r="E242" s="328"/>
      <c r="F242" s="328"/>
      <c r="G242" s="328"/>
      <c r="H242" s="328"/>
      <c r="I242" s="328"/>
      <c r="J242" s="328"/>
      <c r="K242" s="328"/>
      <c r="L242" s="328"/>
      <c r="M242" s="328"/>
      <c r="N242" s="328"/>
      <c r="O242" s="328"/>
      <c r="P242" s="328"/>
      <c r="Q242" s="328"/>
      <c r="R242" s="328"/>
      <c r="S242" s="328"/>
      <c r="T242" s="328"/>
      <c r="U242" s="328"/>
      <c r="V242" s="328"/>
    </row>
    <row r="243" ht="15.75" customHeight="1">
      <c r="A243" s="328"/>
      <c r="B243" s="328"/>
      <c r="C243" s="328"/>
      <c r="D243" s="328"/>
      <c r="E243" s="328"/>
      <c r="F243" s="328"/>
      <c r="G243" s="328"/>
      <c r="H243" s="328"/>
      <c r="I243" s="328"/>
      <c r="J243" s="328"/>
      <c r="K243" s="328"/>
      <c r="L243" s="328"/>
      <c r="M243" s="328"/>
      <c r="N243" s="328"/>
      <c r="O243" s="328"/>
      <c r="P243" s="328"/>
      <c r="Q243" s="328"/>
      <c r="R243" s="328"/>
      <c r="S243" s="328"/>
      <c r="T243" s="328"/>
      <c r="U243" s="328"/>
      <c r="V243" s="328"/>
    </row>
    <row r="244" ht="15.75" customHeight="1">
      <c r="A244" s="328"/>
      <c r="B244" s="328"/>
      <c r="C244" s="328"/>
      <c r="D244" s="328"/>
      <c r="E244" s="328"/>
      <c r="F244" s="328"/>
      <c r="G244" s="328"/>
      <c r="H244" s="328"/>
      <c r="I244" s="328"/>
      <c r="J244" s="328"/>
      <c r="K244" s="328"/>
      <c r="L244" s="328"/>
      <c r="M244" s="328"/>
      <c r="N244" s="328"/>
      <c r="O244" s="328"/>
      <c r="P244" s="328"/>
      <c r="Q244" s="328"/>
      <c r="R244" s="328"/>
      <c r="S244" s="328"/>
      <c r="T244" s="328"/>
      <c r="U244" s="328"/>
      <c r="V244" s="328"/>
    </row>
    <row r="245" ht="15.75" customHeight="1">
      <c r="A245" s="328"/>
      <c r="B245" s="328"/>
      <c r="C245" s="328"/>
      <c r="D245" s="328"/>
      <c r="E245" s="328"/>
      <c r="F245" s="328"/>
      <c r="G245" s="328"/>
      <c r="H245" s="328"/>
      <c r="I245" s="328"/>
      <c r="J245" s="328"/>
      <c r="K245" s="328"/>
      <c r="L245" s="328"/>
      <c r="M245" s="328"/>
      <c r="N245" s="328"/>
      <c r="O245" s="328"/>
      <c r="P245" s="328"/>
      <c r="Q245" s="328"/>
      <c r="R245" s="328"/>
      <c r="S245" s="328"/>
      <c r="T245" s="328"/>
      <c r="U245" s="328"/>
      <c r="V245" s="328"/>
    </row>
    <row r="246" ht="15.75" customHeight="1">
      <c r="A246" s="328"/>
      <c r="B246" s="328"/>
      <c r="C246" s="328"/>
      <c r="D246" s="328"/>
      <c r="E246" s="328"/>
      <c r="F246" s="328"/>
      <c r="G246" s="328"/>
      <c r="H246" s="328"/>
      <c r="I246" s="328"/>
      <c r="J246" s="328"/>
      <c r="K246" s="328"/>
      <c r="L246" s="328"/>
      <c r="M246" s="328"/>
      <c r="N246" s="328"/>
      <c r="O246" s="328"/>
      <c r="P246" s="328"/>
      <c r="Q246" s="328"/>
      <c r="R246" s="328"/>
      <c r="S246" s="328"/>
      <c r="T246" s="328"/>
      <c r="U246" s="328"/>
      <c r="V246" s="328"/>
    </row>
    <row r="247" ht="15.75" customHeight="1">
      <c r="A247" s="328"/>
      <c r="B247" s="328"/>
      <c r="C247" s="328"/>
      <c r="D247" s="328"/>
      <c r="E247" s="328"/>
      <c r="F247" s="328"/>
      <c r="G247" s="328"/>
      <c r="H247" s="328"/>
      <c r="I247" s="328"/>
      <c r="J247" s="328"/>
      <c r="K247" s="328"/>
      <c r="L247" s="328"/>
      <c r="M247" s="328"/>
      <c r="N247" s="328"/>
      <c r="O247" s="328"/>
      <c r="P247" s="328"/>
      <c r="Q247" s="328"/>
      <c r="R247" s="328"/>
      <c r="S247" s="328"/>
      <c r="T247" s="328"/>
      <c r="U247" s="328"/>
      <c r="V247" s="328"/>
    </row>
    <row r="248" ht="15.75" customHeight="1">
      <c r="A248" s="328"/>
      <c r="B248" s="328"/>
      <c r="C248" s="328"/>
      <c r="D248" s="328"/>
      <c r="E248" s="328"/>
      <c r="F248" s="328"/>
      <c r="G248" s="328"/>
      <c r="H248" s="328"/>
      <c r="I248" s="328"/>
      <c r="J248" s="328"/>
      <c r="K248" s="328"/>
      <c r="L248" s="328"/>
      <c r="M248" s="328"/>
      <c r="N248" s="328"/>
      <c r="O248" s="328"/>
      <c r="P248" s="328"/>
      <c r="Q248" s="328"/>
      <c r="R248" s="328"/>
      <c r="S248" s="328"/>
      <c r="T248" s="328"/>
      <c r="U248" s="328"/>
      <c r="V248" s="328"/>
    </row>
    <row r="249" ht="15.75" customHeight="1">
      <c r="A249" s="328"/>
      <c r="B249" s="328"/>
      <c r="C249" s="328"/>
      <c r="D249" s="328"/>
      <c r="E249" s="328"/>
      <c r="F249" s="328"/>
      <c r="G249" s="328"/>
      <c r="H249" s="328"/>
      <c r="I249" s="328"/>
      <c r="J249" s="328"/>
      <c r="K249" s="328"/>
      <c r="L249" s="328"/>
      <c r="M249" s="328"/>
      <c r="N249" s="328"/>
      <c r="O249" s="328"/>
      <c r="P249" s="328"/>
      <c r="Q249" s="328"/>
      <c r="R249" s="328"/>
      <c r="S249" s="328"/>
      <c r="T249" s="328"/>
      <c r="U249" s="328"/>
      <c r="V249" s="328"/>
    </row>
    <row r="250" ht="15.75" customHeight="1">
      <c r="A250" s="328"/>
      <c r="B250" s="328"/>
      <c r="C250" s="328"/>
      <c r="D250" s="328"/>
      <c r="E250" s="328"/>
      <c r="F250" s="328"/>
      <c r="G250" s="328"/>
      <c r="H250" s="328"/>
      <c r="I250" s="328"/>
      <c r="J250" s="328"/>
      <c r="K250" s="328"/>
      <c r="L250" s="328"/>
      <c r="M250" s="328"/>
      <c r="N250" s="328"/>
      <c r="O250" s="328"/>
      <c r="P250" s="328"/>
      <c r="Q250" s="328"/>
      <c r="R250" s="328"/>
      <c r="S250" s="328"/>
      <c r="T250" s="328"/>
      <c r="U250" s="328"/>
      <c r="V250" s="328"/>
    </row>
    <row r="251" ht="15.75" customHeight="1">
      <c r="A251" s="328"/>
      <c r="B251" s="328"/>
      <c r="C251" s="328"/>
      <c r="D251" s="328"/>
      <c r="E251" s="328"/>
      <c r="F251" s="328"/>
      <c r="G251" s="328"/>
      <c r="H251" s="328"/>
      <c r="I251" s="328"/>
      <c r="J251" s="328"/>
      <c r="K251" s="328"/>
      <c r="L251" s="328"/>
      <c r="M251" s="328"/>
      <c r="N251" s="328"/>
      <c r="O251" s="328"/>
      <c r="P251" s="328"/>
      <c r="Q251" s="328"/>
      <c r="R251" s="328"/>
      <c r="S251" s="328"/>
      <c r="T251" s="328"/>
      <c r="U251" s="328"/>
      <c r="V251" s="328"/>
    </row>
    <row r="252" ht="15.75" customHeight="1">
      <c r="A252" s="328"/>
      <c r="B252" s="328"/>
      <c r="C252" s="328"/>
      <c r="D252" s="328"/>
      <c r="E252" s="328"/>
      <c r="F252" s="328"/>
      <c r="G252" s="328"/>
      <c r="H252" s="328"/>
      <c r="I252" s="328"/>
      <c r="J252" s="328"/>
      <c r="K252" s="328"/>
      <c r="L252" s="328"/>
      <c r="M252" s="328"/>
      <c r="N252" s="328"/>
      <c r="O252" s="328"/>
      <c r="P252" s="328"/>
      <c r="Q252" s="328"/>
      <c r="R252" s="328"/>
      <c r="S252" s="328"/>
      <c r="T252" s="328"/>
      <c r="U252" s="328"/>
      <c r="V252" s="328"/>
    </row>
    <row r="253" ht="15.75" customHeight="1">
      <c r="A253" s="328"/>
      <c r="B253" s="328"/>
      <c r="C253" s="328"/>
      <c r="D253" s="328"/>
      <c r="E253" s="328"/>
      <c r="F253" s="328"/>
      <c r="G253" s="328"/>
      <c r="H253" s="328"/>
      <c r="I253" s="328"/>
      <c r="J253" s="328"/>
      <c r="K253" s="328"/>
      <c r="L253" s="328"/>
      <c r="M253" s="328"/>
      <c r="N253" s="328"/>
      <c r="O253" s="328"/>
      <c r="P253" s="328"/>
      <c r="Q253" s="328"/>
      <c r="R253" s="328"/>
      <c r="S253" s="328"/>
      <c r="T253" s="328"/>
      <c r="U253" s="328"/>
      <c r="V253" s="328"/>
    </row>
    <row r="254" ht="15.75" customHeight="1">
      <c r="A254" s="328"/>
      <c r="B254" s="328"/>
      <c r="C254" s="328"/>
      <c r="D254" s="328"/>
      <c r="E254" s="328"/>
      <c r="F254" s="328"/>
      <c r="G254" s="328"/>
      <c r="H254" s="328"/>
      <c r="I254" s="328"/>
      <c r="J254" s="328"/>
      <c r="K254" s="328"/>
      <c r="L254" s="328"/>
      <c r="M254" s="328"/>
      <c r="N254" s="328"/>
      <c r="O254" s="328"/>
      <c r="P254" s="328"/>
      <c r="Q254" s="328"/>
      <c r="R254" s="328"/>
      <c r="S254" s="328"/>
      <c r="T254" s="328"/>
      <c r="U254" s="328"/>
      <c r="V254" s="328"/>
    </row>
    <row r="255" ht="15.75" customHeight="1">
      <c r="A255" s="328"/>
      <c r="B255" s="328"/>
      <c r="C255" s="328"/>
      <c r="D255" s="328"/>
      <c r="E255" s="328"/>
      <c r="F255" s="328"/>
      <c r="G255" s="328"/>
      <c r="H255" s="328"/>
      <c r="I255" s="328"/>
      <c r="J255" s="328"/>
      <c r="K255" s="328"/>
      <c r="L255" s="328"/>
      <c r="M255" s="328"/>
      <c r="N255" s="328"/>
      <c r="O255" s="328"/>
      <c r="P255" s="328"/>
      <c r="Q255" s="328"/>
      <c r="R255" s="328"/>
      <c r="S255" s="328"/>
      <c r="T255" s="328"/>
      <c r="U255" s="328"/>
      <c r="V255" s="328"/>
    </row>
    <row r="256" ht="15.75" customHeight="1">
      <c r="A256" s="328"/>
      <c r="B256" s="328"/>
      <c r="C256" s="328"/>
      <c r="D256" s="328"/>
      <c r="E256" s="328"/>
      <c r="F256" s="328"/>
      <c r="G256" s="328"/>
      <c r="H256" s="328"/>
      <c r="I256" s="328"/>
      <c r="J256" s="328"/>
      <c r="K256" s="328"/>
      <c r="L256" s="328"/>
      <c r="M256" s="328"/>
      <c r="N256" s="328"/>
      <c r="O256" s="328"/>
      <c r="P256" s="328"/>
      <c r="Q256" s="328"/>
      <c r="R256" s="328"/>
      <c r="S256" s="328"/>
      <c r="T256" s="328"/>
      <c r="U256" s="328"/>
      <c r="V256" s="328"/>
    </row>
    <row r="257" ht="15.75" customHeight="1">
      <c r="A257" s="328"/>
      <c r="B257" s="328"/>
      <c r="C257" s="328"/>
      <c r="D257" s="328"/>
      <c r="E257" s="328"/>
      <c r="F257" s="328"/>
      <c r="G257" s="328"/>
      <c r="H257" s="328"/>
      <c r="I257" s="328"/>
      <c r="J257" s="328"/>
      <c r="K257" s="328"/>
      <c r="L257" s="328"/>
      <c r="M257" s="328"/>
      <c r="N257" s="328"/>
      <c r="O257" s="328"/>
      <c r="P257" s="328"/>
      <c r="Q257" s="328"/>
      <c r="R257" s="328"/>
      <c r="S257" s="328"/>
      <c r="T257" s="328"/>
      <c r="U257" s="328"/>
      <c r="V257" s="328"/>
    </row>
    <row r="258" ht="15.75" customHeight="1">
      <c r="A258" s="328"/>
      <c r="B258" s="328"/>
      <c r="C258" s="328"/>
      <c r="D258" s="328"/>
      <c r="E258" s="328"/>
      <c r="F258" s="328"/>
      <c r="G258" s="328"/>
      <c r="H258" s="328"/>
      <c r="I258" s="328"/>
      <c r="J258" s="328"/>
      <c r="K258" s="328"/>
      <c r="L258" s="328"/>
      <c r="M258" s="328"/>
      <c r="N258" s="328"/>
      <c r="O258" s="328"/>
      <c r="P258" s="328"/>
      <c r="Q258" s="328"/>
      <c r="R258" s="328"/>
      <c r="S258" s="328"/>
      <c r="T258" s="328"/>
      <c r="U258" s="328"/>
      <c r="V258" s="328"/>
    </row>
    <row r="259" ht="15.75" customHeight="1">
      <c r="A259" s="328"/>
      <c r="B259" s="328"/>
      <c r="C259" s="328"/>
      <c r="D259" s="328"/>
      <c r="E259" s="328"/>
      <c r="F259" s="328"/>
      <c r="G259" s="328"/>
      <c r="H259" s="328"/>
      <c r="I259" s="328"/>
      <c r="J259" s="328"/>
      <c r="K259" s="328"/>
      <c r="L259" s="328"/>
      <c r="M259" s="328"/>
      <c r="N259" s="328"/>
      <c r="O259" s="328"/>
      <c r="P259" s="328"/>
      <c r="Q259" s="328"/>
      <c r="R259" s="328"/>
      <c r="S259" s="328"/>
      <c r="T259" s="328"/>
      <c r="U259" s="328"/>
      <c r="V259" s="328"/>
    </row>
    <row r="260" ht="15.75" customHeight="1">
      <c r="A260" s="328"/>
      <c r="B260" s="328"/>
      <c r="C260" s="328"/>
      <c r="D260" s="328"/>
      <c r="E260" s="328"/>
      <c r="F260" s="328"/>
      <c r="G260" s="328"/>
      <c r="H260" s="328"/>
      <c r="I260" s="328"/>
      <c r="J260" s="328"/>
      <c r="K260" s="328"/>
      <c r="L260" s="328"/>
      <c r="M260" s="328"/>
      <c r="N260" s="328"/>
      <c r="O260" s="328"/>
      <c r="P260" s="328"/>
      <c r="Q260" s="328"/>
      <c r="R260" s="328"/>
      <c r="S260" s="328"/>
      <c r="T260" s="328"/>
      <c r="U260" s="328"/>
      <c r="V260" s="328"/>
    </row>
    <row r="261" ht="15.75" customHeight="1">
      <c r="A261" s="328"/>
      <c r="B261" s="328"/>
      <c r="C261" s="328"/>
      <c r="D261" s="328"/>
      <c r="E261" s="328"/>
      <c r="F261" s="328"/>
      <c r="G261" s="328"/>
      <c r="H261" s="328"/>
      <c r="I261" s="328"/>
      <c r="J261" s="328"/>
      <c r="K261" s="328"/>
      <c r="L261" s="328"/>
      <c r="M261" s="328"/>
      <c r="N261" s="328"/>
      <c r="O261" s="328"/>
      <c r="P261" s="328"/>
      <c r="Q261" s="328"/>
      <c r="R261" s="328"/>
      <c r="S261" s="328"/>
      <c r="T261" s="328"/>
      <c r="U261" s="328"/>
      <c r="V261" s="328"/>
    </row>
    <row r="262" ht="15.75" customHeight="1">
      <c r="A262" s="328"/>
      <c r="B262" s="328"/>
      <c r="C262" s="328"/>
      <c r="D262" s="328"/>
      <c r="E262" s="328"/>
      <c r="F262" s="328"/>
      <c r="G262" s="328"/>
      <c r="H262" s="328"/>
      <c r="I262" s="328"/>
      <c r="J262" s="328"/>
      <c r="K262" s="328"/>
      <c r="L262" s="328"/>
      <c r="M262" s="328"/>
      <c r="N262" s="328"/>
      <c r="O262" s="328"/>
      <c r="P262" s="328"/>
      <c r="Q262" s="328"/>
      <c r="R262" s="328"/>
      <c r="S262" s="328"/>
      <c r="T262" s="328"/>
      <c r="U262" s="328"/>
      <c r="V262" s="328"/>
    </row>
    <row r="263" ht="15.75" customHeight="1">
      <c r="A263" s="328"/>
      <c r="B263" s="328"/>
      <c r="C263" s="328"/>
      <c r="D263" s="328"/>
      <c r="E263" s="328"/>
      <c r="F263" s="328"/>
      <c r="G263" s="328"/>
      <c r="H263" s="328"/>
      <c r="I263" s="328"/>
      <c r="J263" s="328"/>
      <c r="K263" s="328"/>
      <c r="L263" s="328"/>
      <c r="M263" s="328"/>
      <c r="N263" s="328"/>
      <c r="O263" s="328"/>
      <c r="P263" s="328"/>
      <c r="Q263" s="328"/>
      <c r="R263" s="328"/>
      <c r="S263" s="328"/>
      <c r="T263" s="328"/>
      <c r="U263" s="328"/>
      <c r="V263" s="328"/>
    </row>
    <row r="264" ht="15.75" customHeight="1">
      <c r="A264" s="328"/>
      <c r="B264" s="328"/>
      <c r="C264" s="328"/>
      <c r="D264" s="328"/>
      <c r="E264" s="328"/>
      <c r="F264" s="328"/>
      <c r="G264" s="328"/>
      <c r="H264" s="328"/>
      <c r="I264" s="328"/>
      <c r="J264" s="328"/>
      <c r="K264" s="328"/>
      <c r="L264" s="328"/>
      <c r="M264" s="328"/>
      <c r="N264" s="328"/>
      <c r="O264" s="328"/>
      <c r="P264" s="328"/>
      <c r="Q264" s="328"/>
      <c r="R264" s="328"/>
      <c r="S264" s="328"/>
      <c r="T264" s="328"/>
      <c r="U264" s="328"/>
      <c r="V264" s="328"/>
    </row>
    <row r="265" ht="15.75" customHeight="1">
      <c r="A265" s="328"/>
      <c r="B265" s="328"/>
      <c r="C265" s="328"/>
      <c r="D265" s="328"/>
      <c r="E265" s="328"/>
      <c r="F265" s="328"/>
      <c r="G265" s="328"/>
      <c r="H265" s="328"/>
      <c r="I265" s="328"/>
      <c r="J265" s="328"/>
      <c r="K265" s="328"/>
      <c r="L265" s="328"/>
      <c r="M265" s="328"/>
      <c r="N265" s="328"/>
      <c r="O265" s="328"/>
      <c r="P265" s="328"/>
      <c r="Q265" s="328"/>
      <c r="R265" s="328"/>
      <c r="S265" s="328"/>
      <c r="T265" s="328"/>
      <c r="U265" s="328"/>
      <c r="V265" s="328"/>
    </row>
    <row r="266" ht="15.75" customHeight="1">
      <c r="A266" s="328"/>
      <c r="B266" s="328"/>
      <c r="C266" s="328"/>
      <c r="D266" s="328"/>
      <c r="E266" s="328"/>
      <c r="F266" s="328"/>
      <c r="G266" s="328"/>
      <c r="H266" s="328"/>
      <c r="I266" s="328"/>
      <c r="J266" s="328"/>
      <c r="K266" s="328"/>
      <c r="L266" s="328"/>
      <c r="M266" s="328"/>
      <c r="N266" s="328"/>
      <c r="O266" s="328"/>
      <c r="P266" s="328"/>
      <c r="Q266" s="328"/>
      <c r="R266" s="328"/>
      <c r="S266" s="328"/>
      <c r="T266" s="328"/>
      <c r="U266" s="328"/>
      <c r="V266" s="328"/>
    </row>
    <row r="267" ht="15.75" customHeight="1">
      <c r="A267" s="328"/>
      <c r="B267" s="328"/>
      <c r="C267" s="328"/>
      <c r="D267" s="328"/>
      <c r="E267" s="328"/>
      <c r="F267" s="328"/>
      <c r="G267" s="328"/>
      <c r="H267" s="328"/>
      <c r="I267" s="328"/>
      <c r="J267" s="328"/>
      <c r="K267" s="328"/>
      <c r="L267" s="328"/>
      <c r="M267" s="328"/>
      <c r="N267" s="328"/>
      <c r="O267" s="328"/>
      <c r="P267" s="328"/>
      <c r="Q267" s="328"/>
      <c r="R267" s="328"/>
      <c r="S267" s="328"/>
      <c r="T267" s="328"/>
      <c r="U267" s="328"/>
      <c r="V267" s="328"/>
    </row>
    <row r="268" ht="15.75" customHeight="1">
      <c r="A268" s="328"/>
      <c r="B268" s="328"/>
      <c r="C268" s="328"/>
      <c r="D268" s="328"/>
      <c r="E268" s="328"/>
      <c r="F268" s="328"/>
      <c r="G268" s="328"/>
      <c r="H268" s="328"/>
      <c r="I268" s="328"/>
      <c r="J268" s="328"/>
      <c r="K268" s="328"/>
      <c r="L268" s="328"/>
      <c r="M268" s="328"/>
      <c r="N268" s="328"/>
      <c r="O268" s="328"/>
      <c r="P268" s="328"/>
      <c r="Q268" s="328"/>
      <c r="R268" s="328"/>
      <c r="S268" s="328"/>
      <c r="T268" s="328"/>
      <c r="U268" s="328"/>
      <c r="V268" s="328"/>
    </row>
    <row r="269" ht="15.75" customHeight="1">
      <c r="A269" s="328"/>
      <c r="B269" s="328"/>
      <c r="C269" s="328"/>
      <c r="D269" s="328"/>
      <c r="E269" s="328"/>
      <c r="F269" s="328"/>
      <c r="G269" s="328"/>
      <c r="H269" s="328"/>
      <c r="I269" s="328"/>
      <c r="J269" s="328"/>
      <c r="K269" s="328"/>
      <c r="L269" s="328"/>
      <c r="M269" s="328"/>
      <c r="N269" s="328"/>
      <c r="O269" s="328"/>
      <c r="P269" s="328"/>
      <c r="Q269" s="328"/>
      <c r="R269" s="328"/>
      <c r="S269" s="328"/>
      <c r="T269" s="328"/>
      <c r="U269" s="328"/>
      <c r="V269" s="328"/>
    </row>
    <row r="270" ht="15.75" customHeight="1">
      <c r="A270" s="328"/>
      <c r="B270" s="328"/>
      <c r="C270" s="328"/>
      <c r="D270" s="328"/>
      <c r="E270" s="328"/>
      <c r="F270" s="328"/>
      <c r="G270" s="328"/>
      <c r="H270" s="328"/>
      <c r="I270" s="328"/>
      <c r="J270" s="328"/>
      <c r="K270" s="328"/>
      <c r="L270" s="328"/>
      <c r="M270" s="328"/>
      <c r="N270" s="328"/>
      <c r="O270" s="328"/>
      <c r="P270" s="328"/>
      <c r="Q270" s="328"/>
      <c r="R270" s="328"/>
      <c r="S270" s="328"/>
      <c r="T270" s="328"/>
      <c r="U270" s="328"/>
      <c r="V270" s="328"/>
    </row>
    <row r="271" ht="15.75" customHeight="1">
      <c r="A271" s="328"/>
      <c r="B271" s="328"/>
      <c r="C271" s="328"/>
      <c r="D271" s="328"/>
      <c r="E271" s="328"/>
      <c r="F271" s="328"/>
      <c r="G271" s="328"/>
      <c r="H271" s="328"/>
      <c r="I271" s="328"/>
      <c r="J271" s="328"/>
      <c r="K271" s="328"/>
      <c r="L271" s="328"/>
      <c r="M271" s="328"/>
      <c r="N271" s="328"/>
      <c r="O271" s="328"/>
      <c r="P271" s="328"/>
      <c r="Q271" s="328"/>
      <c r="R271" s="328"/>
      <c r="S271" s="328"/>
      <c r="T271" s="328"/>
      <c r="U271" s="328"/>
      <c r="V271" s="328"/>
    </row>
    <row r="272" ht="15.75" customHeight="1">
      <c r="A272" s="328"/>
      <c r="B272" s="328"/>
      <c r="C272" s="328"/>
      <c r="D272" s="328"/>
      <c r="E272" s="328"/>
      <c r="F272" s="328"/>
      <c r="G272" s="328"/>
      <c r="H272" s="328"/>
      <c r="I272" s="328"/>
      <c r="J272" s="328"/>
      <c r="K272" s="328"/>
      <c r="L272" s="328"/>
      <c r="M272" s="328"/>
      <c r="N272" s="328"/>
      <c r="O272" s="328"/>
      <c r="P272" s="328"/>
      <c r="Q272" s="328"/>
      <c r="R272" s="328"/>
      <c r="S272" s="328"/>
      <c r="T272" s="328"/>
      <c r="U272" s="328"/>
      <c r="V272" s="328"/>
    </row>
    <row r="273" ht="15.75" customHeight="1">
      <c r="A273" s="328"/>
      <c r="B273" s="328"/>
      <c r="C273" s="328"/>
      <c r="D273" s="328"/>
      <c r="E273" s="328"/>
      <c r="F273" s="328"/>
      <c r="G273" s="328"/>
      <c r="H273" s="328"/>
      <c r="I273" s="328"/>
      <c r="J273" s="328"/>
      <c r="K273" s="328"/>
      <c r="L273" s="328"/>
      <c r="M273" s="328"/>
      <c r="N273" s="328"/>
      <c r="O273" s="328"/>
      <c r="P273" s="328"/>
      <c r="Q273" s="328"/>
      <c r="R273" s="328"/>
      <c r="S273" s="328"/>
      <c r="T273" s="328"/>
      <c r="U273" s="328"/>
      <c r="V273" s="328"/>
    </row>
    <row r="274" ht="15.75" customHeight="1">
      <c r="A274" s="328"/>
      <c r="B274" s="328"/>
      <c r="C274" s="328"/>
      <c r="D274" s="328"/>
      <c r="E274" s="328"/>
      <c r="F274" s="328"/>
      <c r="G274" s="328"/>
      <c r="H274" s="328"/>
      <c r="I274" s="328"/>
      <c r="J274" s="328"/>
      <c r="K274" s="328"/>
      <c r="L274" s="328"/>
      <c r="M274" s="328"/>
      <c r="N274" s="328"/>
      <c r="O274" s="328"/>
      <c r="P274" s="328"/>
      <c r="Q274" s="328"/>
      <c r="R274" s="328"/>
      <c r="S274" s="328"/>
      <c r="T274" s="328"/>
      <c r="U274" s="328"/>
      <c r="V274" s="328"/>
    </row>
    <row r="275" ht="15.75" customHeight="1">
      <c r="A275" s="328"/>
      <c r="B275" s="328"/>
      <c r="C275" s="328"/>
      <c r="D275" s="328"/>
      <c r="E275" s="328"/>
      <c r="F275" s="328"/>
      <c r="G275" s="328"/>
      <c r="H275" s="328"/>
      <c r="I275" s="328"/>
      <c r="J275" s="328"/>
      <c r="K275" s="328"/>
      <c r="L275" s="328"/>
      <c r="M275" s="328"/>
      <c r="N275" s="328"/>
      <c r="O275" s="328"/>
      <c r="P275" s="328"/>
      <c r="Q275" s="328"/>
      <c r="R275" s="328"/>
      <c r="S275" s="328"/>
      <c r="T275" s="328"/>
      <c r="U275" s="328"/>
      <c r="V275" s="328"/>
    </row>
    <row r="276" ht="15.75" customHeight="1">
      <c r="A276" s="328"/>
      <c r="B276" s="328"/>
      <c r="C276" s="328"/>
      <c r="D276" s="328"/>
      <c r="E276" s="328"/>
      <c r="F276" s="328"/>
      <c r="G276" s="328"/>
      <c r="H276" s="328"/>
      <c r="I276" s="328"/>
      <c r="J276" s="328"/>
      <c r="K276" s="328"/>
      <c r="L276" s="328"/>
      <c r="M276" s="328"/>
      <c r="N276" s="328"/>
      <c r="O276" s="328"/>
      <c r="P276" s="328"/>
      <c r="Q276" s="328"/>
      <c r="R276" s="328"/>
      <c r="S276" s="328"/>
      <c r="T276" s="328"/>
      <c r="U276" s="328"/>
      <c r="V276" s="328"/>
    </row>
    <row r="277" ht="15.75" customHeight="1">
      <c r="A277" s="328"/>
      <c r="B277" s="328"/>
      <c r="C277" s="328"/>
      <c r="D277" s="328"/>
      <c r="E277" s="328"/>
      <c r="F277" s="328"/>
      <c r="G277" s="328"/>
      <c r="H277" s="328"/>
      <c r="I277" s="328"/>
      <c r="J277" s="328"/>
      <c r="K277" s="328"/>
      <c r="L277" s="328"/>
      <c r="M277" s="328"/>
      <c r="N277" s="328"/>
      <c r="O277" s="328"/>
      <c r="P277" s="328"/>
      <c r="Q277" s="328"/>
      <c r="R277" s="328"/>
      <c r="S277" s="328"/>
      <c r="T277" s="328"/>
      <c r="U277" s="328"/>
      <c r="V277" s="328"/>
    </row>
    <row r="278" ht="15.75" customHeight="1">
      <c r="A278" s="328"/>
      <c r="B278" s="328"/>
      <c r="C278" s="328"/>
      <c r="D278" s="328"/>
      <c r="E278" s="328"/>
      <c r="F278" s="328"/>
      <c r="G278" s="328"/>
      <c r="H278" s="328"/>
      <c r="I278" s="328"/>
      <c r="J278" s="328"/>
      <c r="K278" s="328"/>
      <c r="L278" s="328"/>
      <c r="M278" s="328"/>
      <c r="N278" s="328"/>
      <c r="O278" s="328"/>
      <c r="P278" s="328"/>
      <c r="Q278" s="328"/>
      <c r="R278" s="328"/>
      <c r="S278" s="328"/>
      <c r="T278" s="328"/>
      <c r="U278" s="328"/>
      <c r="V278" s="328"/>
    </row>
    <row r="279" ht="15.75" customHeight="1">
      <c r="A279" s="328"/>
      <c r="B279" s="328"/>
      <c r="C279" s="328"/>
      <c r="D279" s="328"/>
      <c r="E279" s="328"/>
      <c r="F279" s="328"/>
      <c r="G279" s="328"/>
      <c r="H279" s="328"/>
      <c r="I279" s="328"/>
      <c r="J279" s="328"/>
      <c r="K279" s="328"/>
      <c r="L279" s="328"/>
      <c r="M279" s="328"/>
      <c r="N279" s="328"/>
      <c r="O279" s="328"/>
      <c r="P279" s="328"/>
      <c r="Q279" s="328"/>
      <c r="R279" s="328"/>
      <c r="S279" s="328"/>
      <c r="T279" s="328"/>
      <c r="U279" s="328"/>
      <c r="V279" s="328"/>
    </row>
    <row r="280" ht="15.75" customHeight="1">
      <c r="A280" s="328"/>
      <c r="B280" s="328"/>
      <c r="C280" s="328"/>
      <c r="D280" s="328"/>
      <c r="E280" s="328"/>
      <c r="F280" s="328"/>
      <c r="G280" s="328"/>
      <c r="H280" s="328"/>
      <c r="I280" s="328"/>
      <c r="J280" s="328"/>
      <c r="K280" s="328"/>
      <c r="L280" s="328"/>
      <c r="M280" s="328"/>
      <c r="N280" s="328"/>
      <c r="O280" s="328"/>
      <c r="P280" s="328"/>
      <c r="Q280" s="328"/>
      <c r="R280" s="328"/>
      <c r="S280" s="328"/>
      <c r="T280" s="328"/>
      <c r="U280" s="328"/>
      <c r="V280" s="328"/>
    </row>
    <row r="281" ht="15.75" customHeight="1">
      <c r="A281" s="328"/>
      <c r="B281" s="328"/>
      <c r="C281" s="328"/>
      <c r="D281" s="328"/>
      <c r="E281" s="328"/>
      <c r="F281" s="328"/>
      <c r="G281" s="328"/>
      <c r="H281" s="328"/>
      <c r="I281" s="328"/>
      <c r="J281" s="328"/>
      <c r="K281" s="328"/>
      <c r="L281" s="328"/>
      <c r="M281" s="328"/>
      <c r="N281" s="328"/>
      <c r="O281" s="328"/>
      <c r="P281" s="328"/>
      <c r="Q281" s="328"/>
      <c r="R281" s="328"/>
      <c r="S281" s="328"/>
      <c r="T281" s="328"/>
      <c r="U281" s="328"/>
      <c r="V281" s="328"/>
    </row>
    <row r="282" ht="15.75" customHeight="1">
      <c r="A282" s="328"/>
      <c r="B282" s="328"/>
      <c r="C282" s="328"/>
      <c r="D282" s="328"/>
      <c r="E282" s="328"/>
      <c r="F282" s="328"/>
      <c r="G282" s="328"/>
      <c r="H282" s="328"/>
      <c r="I282" s="328"/>
      <c r="J282" s="328"/>
      <c r="K282" s="328"/>
      <c r="L282" s="328"/>
      <c r="M282" s="328"/>
      <c r="N282" s="328"/>
      <c r="O282" s="328"/>
      <c r="P282" s="328"/>
      <c r="Q282" s="328"/>
      <c r="R282" s="328"/>
      <c r="S282" s="328"/>
      <c r="T282" s="328"/>
      <c r="U282" s="328"/>
      <c r="V282" s="328"/>
    </row>
    <row r="283" ht="15.75" customHeight="1">
      <c r="A283" s="328"/>
      <c r="B283" s="328"/>
      <c r="C283" s="328"/>
      <c r="D283" s="328"/>
      <c r="E283" s="328"/>
      <c r="F283" s="328"/>
      <c r="G283" s="328"/>
      <c r="H283" s="328"/>
      <c r="I283" s="328"/>
      <c r="J283" s="328"/>
      <c r="K283" s="328"/>
      <c r="L283" s="328"/>
      <c r="M283" s="328"/>
      <c r="N283" s="328"/>
      <c r="O283" s="328"/>
      <c r="P283" s="328"/>
      <c r="Q283" s="328"/>
      <c r="R283" s="328"/>
      <c r="S283" s="328"/>
      <c r="T283" s="328"/>
      <c r="U283" s="328"/>
      <c r="V283" s="328"/>
    </row>
    <row r="284" ht="15.75" customHeight="1">
      <c r="A284" s="328"/>
      <c r="B284" s="328"/>
      <c r="C284" s="328"/>
      <c r="D284" s="328"/>
      <c r="E284" s="328"/>
      <c r="F284" s="328"/>
      <c r="G284" s="328"/>
      <c r="H284" s="328"/>
      <c r="I284" s="328"/>
      <c r="J284" s="328"/>
      <c r="K284" s="328"/>
      <c r="L284" s="328"/>
      <c r="M284" s="328"/>
      <c r="N284" s="328"/>
      <c r="O284" s="328"/>
      <c r="P284" s="328"/>
      <c r="Q284" s="328"/>
      <c r="R284" s="328"/>
      <c r="S284" s="328"/>
      <c r="T284" s="328"/>
      <c r="U284" s="328"/>
      <c r="V284" s="328"/>
    </row>
    <row r="285" ht="15.75" customHeight="1">
      <c r="A285" s="328"/>
      <c r="B285" s="328"/>
      <c r="C285" s="328"/>
      <c r="D285" s="328"/>
      <c r="E285" s="328"/>
      <c r="F285" s="328"/>
      <c r="G285" s="328"/>
      <c r="H285" s="328"/>
      <c r="I285" s="328"/>
      <c r="J285" s="328"/>
      <c r="K285" s="328"/>
      <c r="L285" s="328"/>
      <c r="M285" s="328"/>
      <c r="N285" s="328"/>
      <c r="O285" s="328"/>
      <c r="P285" s="328"/>
      <c r="Q285" s="328"/>
      <c r="R285" s="328"/>
      <c r="S285" s="328"/>
      <c r="T285" s="328"/>
      <c r="U285" s="328"/>
      <c r="V285" s="328"/>
    </row>
    <row r="286" ht="15.75" customHeight="1">
      <c r="A286" s="328"/>
      <c r="B286" s="328"/>
      <c r="C286" s="328"/>
      <c r="D286" s="328"/>
      <c r="E286" s="328"/>
      <c r="F286" s="328"/>
      <c r="G286" s="328"/>
      <c r="H286" s="328"/>
      <c r="I286" s="328"/>
      <c r="J286" s="328"/>
      <c r="K286" s="328"/>
      <c r="L286" s="328"/>
      <c r="M286" s="328"/>
      <c r="N286" s="328"/>
      <c r="O286" s="328"/>
      <c r="P286" s="328"/>
      <c r="Q286" s="328"/>
      <c r="R286" s="328"/>
      <c r="S286" s="328"/>
      <c r="T286" s="328"/>
      <c r="U286" s="328"/>
      <c r="V286" s="328"/>
    </row>
    <row r="287" ht="15.75" customHeight="1">
      <c r="A287" s="328"/>
      <c r="B287" s="328"/>
      <c r="C287" s="328"/>
      <c r="D287" s="328"/>
      <c r="E287" s="328"/>
      <c r="F287" s="328"/>
      <c r="G287" s="328"/>
      <c r="H287" s="328"/>
      <c r="I287" s="328"/>
      <c r="J287" s="328"/>
      <c r="K287" s="328"/>
      <c r="L287" s="328"/>
      <c r="M287" s="328"/>
      <c r="N287" s="328"/>
      <c r="O287" s="328"/>
      <c r="P287" s="328"/>
      <c r="Q287" s="328"/>
      <c r="R287" s="328"/>
      <c r="S287" s="328"/>
      <c r="T287" s="328"/>
      <c r="U287" s="328"/>
      <c r="V287" s="328"/>
    </row>
    <row r="288" ht="15.75" customHeight="1">
      <c r="A288" s="328"/>
      <c r="B288" s="328"/>
      <c r="C288" s="328"/>
      <c r="D288" s="328"/>
      <c r="E288" s="328"/>
      <c r="F288" s="328"/>
      <c r="G288" s="328"/>
      <c r="H288" s="328"/>
      <c r="I288" s="328"/>
      <c r="J288" s="328"/>
      <c r="K288" s="328"/>
      <c r="L288" s="328"/>
      <c r="M288" s="328"/>
      <c r="N288" s="328"/>
      <c r="O288" s="328"/>
      <c r="P288" s="328"/>
      <c r="Q288" s="328"/>
      <c r="R288" s="328"/>
      <c r="S288" s="328"/>
      <c r="T288" s="328"/>
      <c r="U288" s="328"/>
      <c r="V288" s="328"/>
    </row>
    <row r="289" ht="15.75" customHeight="1">
      <c r="A289" s="328"/>
      <c r="B289" s="328"/>
      <c r="C289" s="328"/>
      <c r="D289" s="328"/>
      <c r="E289" s="328"/>
      <c r="F289" s="328"/>
      <c r="G289" s="328"/>
      <c r="H289" s="328"/>
      <c r="I289" s="328"/>
      <c r="J289" s="328"/>
      <c r="K289" s="328"/>
      <c r="L289" s="328"/>
      <c r="M289" s="328"/>
      <c r="N289" s="328"/>
      <c r="O289" s="328"/>
      <c r="P289" s="328"/>
      <c r="Q289" s="328"/>
      <c r="R289" s="328"/>
      <c r="S289" s="328"/>
      <c r="T289" s="328"/>
      <c r="U289" s="328"/>
      <c r="V289" s="328"/>
    </row>
    <row r="290" ht="15.75" customHeight="1">
      <c r="A290" s="328"/>
      <c r="B290" s="328"/>
      <c r="C290" s="328"/>
      <c r="D290" s="328"/>
      <c r="E290" s="328"/>
      <c r="F290" s="328"/>
      <c r="G290" s="328"/>
      <c r="H290" s="328"/>
      <c r="I290" s="328"/>
      <c r="J290" s="328"/>
      <c r="K290" s="328"/>
      <c r="L290" s="328"/>
      <c r="M290" s="328"/>
      <c r="N290" s="328"/>
      <c r="O290" s="328"/>
      <c r="P290" s="328"/>
      <c r="Q290" s="328"/>
      <c r="R290" s="328"/>
      <c r="S290" s="328"/>
      <c r="T290" s="328"/>
      <c r="U290" s="328"/>
      <c r="V290" s="328"/>
    </row>
    <row r="291" ht="15.75" customHeight="1">
      <c r="A291" s="328"/>
      <c r="B291" s="328"/>
      <c r="C291" s="328"/>
      <c r="D291" s="328"/>
      <c r="E291" s="328"/>
      <c r="F291" s="328"/>
      <c r="G291" s="328"/>
      <c r="H291" s="328"/>
      <c r="I291" s="328"/>
      <c r="J291" s="328"/>
      <c r="K291" s="328"/>
      <c r="L291" s="328"/>
      <c r="M291" s="328"/>
      <c r="N291" s="328"/>
      <c r="O291" s="328"/>
      <c r="P291" s="328"/>
      <c r="Q291" s="328"/>
      <c r="R291" s="328"/>
      <c r="S291" s="328"/>
      <c r="T291" s="328"/>
      <c r="U291" s="328"/>
      <c r="V291" s="328"/>
    </row>
    <row r="292" ht="15.75" customHeight="1">
      <c r="A292" s="328"/>
      <c r="B292" s="328"/>
      <c r="C292" s="328"/>
      <c r="D292" s="328"/>
      <c r="E292" s="328"/>
      <c r="F292" s="328"/>
      <c r="G292" s="328"/>
      <c r="H292" s="328"/>
      <c r="I292" s="328"/>
      <c r="J292" s="328"/>
      <c r="K292" s="328"/>
      <c r="L292" s="328"/>
      <c r="M292" s="328"/>
      <c r="N292" s="328"/>
      <c r="O292" s="328"/>
      <c r="P292" s="328"/>
      <c r="Q292" s="328"/>
      <c r="R292" s="328"/>
      <c r="S292" s="328"/>
      <c r="T292" s="328"/>
      <c r="U292" s="328"/>
      <c r="V292" s="328"/>
    </row>
    <row r="293" ht="15.75" customHeight="1">
      <c r="A293" s="328"/>
      <c r="B293" s="328"/>
      <c r="C293" s="328"/>
      <c r="D293" s="328"/>
      <c r="E293" s="328"/>
      <c r="F293" s="328"/>
      <c r="G293" s="328"/>
      <c r="H293" s="328"/>
      <c r="I293" s="328"/>
      <c r="J293" s="328"/>
      <c r="K293" s="328"/>
      <c r="L293" s="328"/>
      <c r="M293" s="328"/>
      <c r="N293" s="328"/>
      <c r="O293" s="328"/>
      <c r="P293" s="328"/>
      <c r="Q293" s="328"/>
      <c r="R293" s="328"/>
      <c r="S293" s="328"/>
      <c r="T293" s="328"/>
      <c r="U293" s="328"/>
      <c r="V293" s="328"/>
    </row>
    <row r="294" ht="15.75" customHeight="1">
      <c r="A294" s="328"/>
      <c r="B294" s="328"/>
      <c r="C294" s="328"/>
      <c r="D294" s="328"/>
      <c r="E294" s="328"/>
      <c r="F294" s="328"/>
      <c r="G294" s="328"/>
      <c r="H294" s="328"/>
      <c r="I294" s="328"/>
      <c r="J294" s="328"/>
      <c r="K294" s="328"/>
      <c r="L294" s="328"/>
      <c r="M294" s="328"/>
      <c r="N294" s="328"/>
      <c r="O294" s="328"/>
      <c r="P294" s="328"/>
      <c r="Q294" s="328"/>
      <c r="R294" s="328"/>
      <c r="S294" s="328"/>
      <c r="T294" s="328"/>
      <c r="U294" s="328"/>
      <c r="V294" s="328"/>
    </row>
    <row r="295" ht="15.75" customHeight="1">
      <c r="A295" s="328"/>
      <c r="B295" s="328"/>
      <c r="C295" s="328"/>
      <c r="D295" s="328"/>
      <c r="E295" s="328"/>
      <c r="F295" s="328"/>
      <c r="G295" s="328"/>
      <c r="H295" s="328"/>
      <c r="I295" s="328"/>
      <c r="J295" s="328"/>
      <c r="K295" s="328"/>
      <c r="L295" s="328"/>
      <c r="M295" s="328"/>
      <c r="N295" s="328"/>
      <c r="O295" s="328"/>
      <c r="P295" s="328"/>
      <c r="Q295" s="328"/>
      <c r="R295" s="328"/>
      <c r="S295" s="328"/>
      <c r="T295" s="328"/>
      <c r="U295" s="328"/>
      <c r="V295" s="328"/>
    </row>
    <row r="296" ht="15.75" customHeight="1">
      <c r="A296" s="328"/>
      <c r="B296" s="328"/>
      <c r="C296" s="328"/>
      <c r="D296" s="328"/>
      <c r="E296" s="328"/>
      <c r="F296" s="328"/>
      <c r="G296" s="328"/>
      <c r="H296" s="328"/>
      <c r="I296" s="328"/>
      <c r="J296" s="328"/>
      <c r="K296" s="328"/>
      <c r="L296" s="328"/>
      <c r="M296" s="328"/>
      <c r="N296" s="328"/>
      <c r="O296" s="328"/>
      <c r="P296" s="328"/>
      <c r="Q296" s="328"/>
      <c r="R296" s="328"/>
      <c r="S296" s="328"/>
      <c r="T296" s="328"/>
      <c r="U296" s="328"/>
      <c r="V296" s="328"/>
    </row>
    <row r="297" ht="15.75" customHeight="1">
      <c r="A297" s="328"/>
      <c r="B297" s="328"/>
      <c r="C297" s="328"/>
      <c r="D297" s="328"/>
      <c r="E297" s="328"/>
      <c r="F297" s="328"/>
      <c r="G297" s="328"/>
      <c r="H297" s="328"/>
      <c r="I297" s="328"/>
      <c r="J297" s="328"/>
      <c r="K297" s="328"/>
      <c r="L297" s="328"/>
      <c r="M297" s="328"/>
      <c r="N297" s="328"/>
      <c r="O297" s="328"/>
      <c r="P297" s="328"/>
      <c r="Q297" s="328"/>
      <c r="R297" s="328"/>
      <c r="S297" s="328"/>
      <c r="T297" s="328"/>
      <c r="U297" s="328"/>
      <c r="V297" s="328"/>
    </row>
    <row r="298" ht="15.75" customHeight="1">
      <c r="A298" s="328"/>
      <c r="B298" s="328"/>
      <c r="C298" s="328"/>
      <c r="D298" s="328"/>
      <c r="E298" s="328"/>
      <c r="F298" s="328"/>
      <c r="G298" s="328"/>
      <c r="H298" s="328"/>
      <c r="I298" s="328"/>
      <c r="J298" s="328"/>
      <c r="K298" s="328"/>
      <c r="L298" s="328"/>
      <c r="M298" s="328"/>
      <c r="N298" s="328"/>
      <c r="O298" s="328"/>
      <c r="P298" s="328"/>
      <c r="Q298" s="328"/>
      <c r="R298" s="328"/>
      <c r="S298" s="328"/>
      <c r="T298" s="328"/>
      <c r="U298" s="328"/>
      <c r="V298" s="328"/>
    </row>
    <row r="299" ht="15.75" customHeight="1">
      <c r="A299" s="328"/>
      <c r="B299" s="328"/>
      <c r="C299" s="328"/>
      <c r="D299" s="328"/>
      <c r="E299" s="328"/>
      <c r="F299" s="328"/>
      <c r="G299" s="328"/>
      <c r="H299" s="328"/>
      <c r="I299" s="328"/>
      <c r="J299" s="328"/>
      <c r="K299" s="328"/>
      <c r="L299" s="328"/>
      <c r="M299" s="328"/>
      <c r="N299" s="328"/>
      <c r="O299" s="328"/>
      <c r="P299" s="328"/>
      <c r="Q299" s="328"/>
      <c r="R299" s="328"/>
      <c r="S299" s="328"/>
      <c r="T299" s="328"/>
      <c r="U299" s="328"/>
      <c r="V299" s="328"/>
    </row>
    <row r="300" ht="15.75" customHeight="1">
      <c r="A300" s="328"/>
      <c r="B300" s="328"/>
      <c r="C300" s="328"/>
      <c r="D300" s="328"/>
      <c r="E300" s="328"/>
      <c r="F300" s="328"/>
      <c r="G300" s="328"/>
      <c r="H300" s="328"/>
      <c r="I300" s="328"/>
      <c r="J300" s="328"/>
      <c r="K300" s="328"/>
      <c r="L300" s="328"/>
      <c r="M300" s="328"/>
      <c r="N300" s="328"/>
      <c r="O300" s="328"/>
      <c r="P300" s="328"/>
      <c r="Q300" s="328"/>
      <c r="R300" s="328"/>
      <c r="S300" s="328"/>
      <c r="T300" s="328"/>
      <c r="U300" s="328"/>
      <c r="V300" s="328"/>
    </row>
    <row r="301" ht="15.75" customHeight="1">
      <c r="A301" s="328"/>
      <c r="B301" s="328"/>
      <c r="C301" s="328"/>
      <c r="D301" s="328"/>
      <c r="E301" s="328"/>
      <c r="F301" s="328"/>
      <c r="G301" s="328"/>
      <c r="H301" s="328"/>
      <c r="I301" s="328"/>
      <c r="J301" s="328"/>
      <c r="K301" s="328"/>
      <c r="L301" s="328"/>
      <c r="M301" s="328"/>
      <c r="N301" s="328"/>
      <c r="O301" s="328"/>
      <c r="P301" s="328"/>
      <c r="Q301" s="328"/>
      <c r="R301" s="328"/>
      <c r="S301" s="328"/>
      <c r="T301" s="328"/>
      <c r="U301" s="328"/>
      <c r="V301" s="328"/>
    </row>
    <row r="302" ht="15.75" customHeight="1">
      <c r="A302" s="328"/>
      <c r="B302" s="328"/>
      <c r="C302" s="328"/>
      <c r="D302" s="328"/>
      <c r="E302" s="328"/>
      <c r="F302" s="328"/>
      <c r="G302" s="328"/>
      <c r="H302" s="328"/>
      <c r="I302" s="328"/>
      <c r="J302" s="328"/>
      <c r="K302" s="328"/>
      <c r="L302" s="328"/>
      <c r="M302" s="328"/>
      <c r="N302" s="328"/>
      <c r="O302" s="328"/>
      <c r="P302" s="328"/>
      <c r="Q302" s="328"/>
      <c r="R302" s="328"/>
      <c r="S302" s="328"/>
      <c r="T302" s="328"/>
      <c r="U302" s="328"/>
      <c r="V302" s="328"/>
    </row>
    <row r="303" ht="15.75" customHeight="1">
      <c r="A303" s="328"/>
      <c r="B303" s="328"/>
      <c r="C303" s="328"/>
      <c r="D303" s="328"/>
      <c r="E303" s="328"/>
      <c r="F303" s="328"/>
      <c r="G303" s="328"/>
      <c r="H303" s="328"/>
      <c r="I303" s="328"/>
      <c r="J303" s="328"/>
      <c r="K303" s="328"/>
      <c r="L303" s="328"/>
      <c r="M303" s="328"/>
      <c r="N303" s="328"/>
      <c r="O303" s="328"/>
      <c r="P303" s="328"/>
      <c r="Q303" s="328"/>
      <c r="R303" s="328"/>
      <c r="S303" s="328"/>
      <c r="T303" s="328"/>
      <c r="U303" s="328"/>
      <c r="V303" s="328"/>
    </row>
    <row r="304" ht="15.75" customHeight="1">
      <c r="A304" s="328"/>
      <c r="B304" s="328"/>
      <c r="C304" s="328"/>
      <c r="D304" s="328"/>
      <c r="E304" s="328"/>
      <c r="F304" s="328"/>
      <c r="G304" s="328"/>
      <c r="H304" s="328"/>
      <c r="I304" s="328"/>
      <c r="J304" s="328"/>
      <c r="K304" s="328"/>
      <c r="L304" s="328"/>
      <c r="M304" s="328"/>
      <c r="N304" s="328"/>
      <c r="O304" s="328"/>
      <c r="P304" s="328"/>
      <c r="Q304" s="328"/>
      <c r="R304" s="328"/>
      <c r="S304" s="328"/>
      <c r="T304" s="328"/>
      <c r="U304" s="328"/>
      <c r="V304" s="328"/>
    </row>
    <row r="305" ht="15.75" customHeight="1">
      <c r="A305" s="328"/>
      <c r="B305" s="328"/>
      <c r="C305" s="328"/>
      <c r="D305" s="328"/>
      <c r="E305" s="328"/>
      <c r="F305" s="328"/>
      <c r="G305" s="328"/>
      <c r="H305" s="328"/>
      <c r="I305" s="328"/>
      <c r="J305" s="328"/>
      <c r="K305" s="328"/>
      <c r="L305" s="328"/>
      <c r="M305" s="328"/>
      <c r="N305" s="328"/>
      <c r="O305" s="328"/>
      <c r="P305" s="328"/>
      <c r="Q305" s="328"/>
      <c r="R305" s="328"/>
      <c r="S305" s="328"/>
      <c r="T305" s="328"/>
      <c r="U305" s="328"/>
      <c r="V305" s="328"/>
    </row>
    <row r="306" ht="15.75" customHeight="1">
      <c r="A306" s="328"/>
      <c r="B306" s="328"/>
      <c r="C306" s="328"/>
      <c r="D306" s="328"/>
      <c r="E306" s="328"/>
      <c r="F306" s="328"/>
      <c r="G306" s="328"/>
      <c r="H306" s="328"/>
      <c r="I306" s="328"/>
      <c r="J306" s="328"/>
      <c r="K306" s="328"/>
      <c r="L306" s="328"/>
      <c r="M306" s="328"/>
      <c r="N306" s="328"/>
      <c r="O306" s="328"/>
      <c r="P306" s="328"/>
      <c r="Q306" s="328"/>
      <c r="R306" s="328"/>
      <c r="S306" s="328"/>
      <c r="T306" s="328"/>
      <c r="U306" s="328"/>
      <c r="V306" s="328"/>
    </row>
    <row r="307" ht="15.75" customHeight="1">
      <c r="A307" s="328"/>
      <c r="B307" s="328"/>
      <c r="C307" s="328"/>
      <c r="D307" s="328"/>
      <c r="E307" s="328"/>
      <c r="F307" s="328"/>
      <c r="G307" s="328"/>
      <c r="H307" s="328"/>
      <c r="I307" s="328"/>
      <c r="J307" s="328"/>
      <c r="K307" s="328"/>
      <c r="L307" s="328"/>
      <c r="M307" s="328"/>
      <c r="N307" s="328"/>
      <c r="O307" s="328"/>
      <c r="P307" s="328"/>
      <c r="Q307" s="328"/>
      <c r="R307" s="328"/>
      <c r="S307" s="328"/>
      <c r="T307" s="328"/>
      <c r="U307" s="328"/>
      <c r="V307" s="328"/>
    </row>
    <row r="308" ht="15.75" customHeight="1">
      <c r="A308" s="328"/>
      <c r="B308" s="328"/>
      <c r="C308" s="328"/>
      <c r="D308" s="328"/>
      <c r="E308" s="328"/>
      <c r="F308" s="328"/>
      <c r="G308" s="328"/>
      <c r="H308" s="328"/>
      <c r="I308" s="328"/>
      <c r="J308" s="328"/>
      <c r="K308" s="328"/>
      <c r="L308" s="328"/>
      <c r="M308" s="328"/>
      <c r="N308" s="328"/>
      <c r="O308" s="328"/>
      <c r="P308" s="328"/>
      <c r="Q308" s="328"/>
      <c r="R308" s="328"/>
      <c r="S308" s="328"/>
      <c r="T308" s="328"/>
      <c r="U308" s="328"/>
      <c r="V308" s="328"/>
    </row>
    <row r="309" ht="15.75" customHeight="1">
      <c r="A309" s="328"/>
      <c r="B309" s="328"/>
      <c r="C309" s="328"/>
      <c r="D309" s="328"/>
      <c r="E309" s="328"/>
      <c r="F309" s="328"/>
      <c r="G309" s="328"/>
      <c r="H309" s="328"/>
      <c r="I309" s="328"/>
      <c r="J309" s="328"/>
      <c r="K309" s="328"/>
      <c r="L309" s="328"/>
      <c r="M309" s="328"/>
      <c r="N309" s="328"/>
      <c r="O309" s="328"/>
      <c r="P309" s="328"/>
      <c r="Q309" s="328"/>
      <c r="R309" s="328"/>
      <c r="S309" s="328"/>
      <c r="T309" s="328"/>
      <c r="U309" s="328"/>
      <c r="V309" s="328"/>
    </row>
    <row r="310" ht="15.75" customHeight="1">
      <c r="A310" s="328"/>
      <c r="B310" s="328"/>
      <c r="C310" s="328"/>
      <c r="D310" s="328"/>
      <c r="E310" s="328"/>
      <c r="F310" s="328"/>
      <c r="G310" s="328"/>
      <c r="H310" s="328"/>
      <c r="I310" s="328"/>
      <c r="J310" s="328"/>
      <c r="K310" s="328"/>
      <c r="L310" s="328"/>
      <c r="M310" s="328"/>
      <c r="N310" s="328"/>
      <c r="O310" s="328"/>
      <c r="P310" s="328"/>
      <c r="Q310" s="328"/>
      <c r="R310" s="328"/>
      <c r="S310" s="328"/>
      <c r="T310" s="328"/>
      <c r="U310" s="328"/>
      <c r="V310" s="328"/>
    </row>
    <row r="311" ht="15.75" customHeight="1">
      <c r="A311" s="328"/>
      <c r="B311" s="328"/>
      <c r="C311" s="328"/>
      <c r="D311" s="328"/>
      <c r="E311" s="328"/>
      <c r="F311" s="328"/>
      <c r="G311" s="328"/>
      <c r="H311" s="328"/>
      <c r="I311" s="328"/>
      <c r="J311" s="328"/>
      <c r="K311" s="328"/>
      <c r="L311" s="328"/>
      <c r="M311" s="328"/>
      <c r="N311" s="328"/>
      <c r="O311" s="328"/>
      <c r="P311" s="328"/>
      <c r="Q311" s="328"/>
      <c r="R311" s="328"/>
      <c r="S311" s="328"/>
      <c r="T311" s="328"/>
      <c r="U311" s="328"/>
      <c r="V311" s="328"/>
    </row>
    <row r="312" ht="15.75" customHeight="1">
      <c r="A312" s="328"/>
      <c r="B312" s="328"/>
      <c r="C312" s="328"/>
      <c r="D312" s="328"/>
      <c r="E312" s="328"/>
      <c r="F312" s="328"/>
      <c r="G312" s="328"/>
      <c r="H312" s="328"/>
      <c r="I312" s="328"/>
      <c r="J312" s="328"/>
      <c r="K312" s="328"/>
      <c r="L312" s="328"/>
      <c r="M312" s="328"/>
      <c r="N312" s="328"/>
      <c r="O312" s="328"/>
      <c r="P312" s="328"/>
      <c r="Q312" s="328"/>
      <c r="R312" s="328"/>
      <c r="S312" s="328"/>
      <c r="T312" s="328"/>
      <c r="U312" s="328"/>
      <c r="V312" s="328"/>
    </row>
    <row r="313" ht="15.75" customHeight="1">
      <c r="A313" s="328"/>
      <c r="B313" s="328"/>
      <c r="C313" s="328"/>
      <c r="D313" s="328"/>
      <c r="E313" s="328"/>
      <c r="F313" s="328"/>
      <c r="G313" s="328"/>
      <c r="H313" s="328"/>
      <c r="I313" s="328"/>
      <c r="J313" s="328"/>
      <c r="K313" s="328"/>
      <c r="L313" s="328"/>
      <c r="M313" s="328"/>
      <c r="N313" s="328"/>
      <c r="O313" s="328"/>
      <c r="P313" s="328"/>
      <c r="Q313" s="328"/>
      <c r="R313" s="328"/>
      <c r="S313" s="328"/>
      <c r="T313" s="328"/>
      <c r="U313" s="328"/>
      <c r="V313" s="328"/>
    </row>
    <row r="314" ht="15.75" customHeight="1">
      <c r="A314" s="328"/>
      <c r="B314" s="328"/>
      <c r="C314" s="328"/>
      <c r="D314" s="328"/>
      <c r="E314" s="328"/>
      <c r="F314" s="328"/>
      <c r="G314" s="328"/>
      <c r="H314" s="328"/>
      <c r="I314" s="328"/>
      <c r="J314" s="328"/>
      <c r="K314" s="328"/>
      <c r="L314" s="328"/>
      <c r="M314" s="328"/>
      <c r="N314" s="328"/>
      <c r="O314" s="328"/>
      <c r="P314" s="328"/>
      <c r="Q314" s="328"/>
      <c r="R314" s="328"/>
      <c r="S314" s="328"/>
      <c r="T314" s="328"/>
      <c r="U314" s="328"/>
      <c r="V314" s="328"/>
    </row>
    <row r="315" ht="15.75" customHeight="1">
      <c r="A315" s="328"/>
      <c r="B315" s="328"/>
      <c r="C315" s="328"/>
      <c r="D315" s="328"/>
      <c r="E315" s="328"/>
      <c r="F315" s="328"/>
      <c r="G315" s="328"/>
      <c r="H315" s="328"/>
      <c r="I315" s="328"/>
      <c r="J315" s="328"/>
      <c r="K315" s="328"/>
      <c r="L315" s="328"/>
      <c r="M315" s="328"/>
      <c r="N315" s="328"/>
      <c r="O315" s="328"/>
      <c r="P315" s="328"/>
      <c r="Q315" s="328"/>
      <c r="R315" s="328"/>
      <c r="S315" s="328"/>
      <c r="T315" s="328"/>
      <c r="U315" s="328"/>
      <c r="V315" s="328"/>
    </row>
    <row r="316" ht="15.75" customHeight="1">
      <c r="A316" s="328"/>
      <c r="B316" s="328"/>
      <c r="C316" s="328"/>
      <c r="D316" s="328"/>
      <c r="E316" s="328"/>
      <c r="F316" s="328"/>
      <c r="G316" s="328"/>
      <c r="H316" s="328"/>
      <c r="I316" s="328"/>
      <c r="J316" s="328"/>
      <c r="K316" s="328"/>
      <c r="L316" s="328"/>
      <c r="M316" s="328"/>
      <c r="N316" s="328"/>
      <c r="O316" s="328"/>
      <c r="P316" s="328"/>
      <c r="Q316" s="328"/>
      <c r="R316" s="328"/>
      <c r="S316" s="328"/>
      <c r="T316" s="328"/>
      <c r="U316" s="328"/>
      <c r="V316" s="328"/>
    </row>
    <row r="317" ht="15.75" customHeight="1">
      <c r="A317" s="328"/>
      <c r="B317" s="328"/>
      <c r="C317" s="328"/>
      <c r="D317" s="328"/>
      <c r="E317" s="328"/>
      <c r="F317" s="328"/>
      <c r="G317" s="328"/>
      <c r="H317" s="328"/>
      <c r="I317" s="328"/>
      <c r="J317" s="328"/>
      <c r="K317" s="328"/>
      <c r="L317" s="328"/>
      <c r="M317" s="328"/>
      <c r="N317" s="328"/>
      <c r="O317" s="328"/>
      <c r="P317" s="328"/>
      <c r="Q317" s="328"/>
      <c r="R317" s="328"/>
      <c r="S317" s="328"/>
      <c r="T317" s="328"/>
      <c r="U317" s="328"/>
      <c r="V317" s="328"/>
    </row>
    <row r="318" ht="15.75" customHeight="1">
      <c r="A318" s="328"/>
      <c r="B318" s="328"/>
      <c r="C318" s="328"/>
      <c r="D318" s="328"/>
      <c r="E318" s="328"/>
      <c r="F318" s="328"/>
      <c r="G318" s="328"/>
      <c r="H318" s="328"/>
      <c r="I318" s="328"/>
      <c r="J318" s="328"/>
      <c r="K318" s="328"/>
      <c r="L318" s="328"/>
      <c r="M318" s="328"/>
      <c r="N318" s="328"/>
      <c r="O318" s="328"/>
      <c r="P318" s="328"/>
      <c r="Q318" s="328"/>
      <c r="R318" s="328"/>
      <c r="S318" s="328"/>
      <c r="T318" s="328"/>
      <c r="U318" s="328"/>
      <c r="V318" s="328"/>
    </row>
    <row r="319" ht="15.75" customHeight="1">
      <c r="A319" s="328"/>
      <c r="B319" s="328"/>
      <c r="C319" s="328"/>
      <c r="D319" s="328"/>
      <c r="E319" s="328"/>
      <c r="F319" s="328"/>
      <c r="G319" s="328"/>
      <c r="H319" s="328"/>
      <c r="I319" s="328"/>
      <c r="J319" s="328"/>
      <c r="K319" s="328"/>
      <c r="L319" s="328"/>
      <c r="M319" s="328"/>
      <c r="N319" s="328"/>
      <c r="O319" s="328"/>
      <c r="P319" s="328"/>
      <c r="Q319" s="328"/>
      <c r="R319" s="328"/>
      <c r="S319" s="328"/>
      <c r="T319" s="328"/>
      <c r="U319" s="328"/>
      <c r="V319" s="328"/>
    </row>
    <row r="320" ht="15.75" customHeight="1">
      <c r="A320" s="328"/>
      <c r="B320" s="328"/>
      <c r="C320" s="328"/>
      <c r="D320" s="328"/>
      <c r="E320" s="328"/>
      <c r="F320" s="328"/>
      <c r="G320" s="328"/>
      <c r="H320" s="328"/>
      <c r="I320" s="328"/>
      <c r="J320" s="328"/>
      <c r="K320" s="328"/>
      <c r="L320" s="328"/>
      <c r="M320" s="328"/>
      <c r="N320" s="328"/>
      <c r="O320" s="328"/>
      <c r="P320" s="328"/>
      <c r="Q320" s="328"/>
      <c r="R320" s="328"/>
      <c r="S320" s="328"/>
      <c r="T320" s="328"/>
      <c r="U320" s="328"/>
      <c r="V320" s="328"/>
    </row>
    <row r="321" ht="15.75" customHeight="1">
      <c r="A321" s="328"/>
      <c r="B321" s="328"/>
      <c r="C321" s="328"/>
      <c r="D321" s="328"/>
      <c r="E321" s="328"/>
      <c r="F321" s="328"/>
      <c r="G321" s="328"/>
      <c r="H321" s="328"/>
      <c r="I321" s="328"/>
      <c r="J321" s="328"/>
      <c r="K321" s="328"/>
      <c r="L321" s="328"/>
      <c r="M321" s="328"/>
      <c r="N321" s="328"/>
      <c r="O321" s="328"/>
      <c r="P321" s="328"/>
      <c r="Q321" s="328"/>
      <c r="R321" s="328"/>
      <c r="S321" s="328"/>
      <c r="T321" s="328"/>
      <c r="U321" s="328"/>
      <c r="V321" s="328"/>
    </row>
    <row r="322" ht="15.75" customHeight="1">
      <c r="A322" s="328"/>
      <c r="B322" s="328"/>
      <c r="C322" s="328"/>
      <c r="D322" s="328"/>
      <c r="E322" s="328"/>
      <c r="F322" s="328"/>
      <c r="G322" s="328"/>
      <c r="H322" s="328"/>
      <c r="I322" s="328"/>
      <c r="J322" s="328"/>
      <c r="K322" s="328"/>
      <c r="L322" s="328"/>
      <c r="M322" s="328"/>
      <c r="N322" s="328"/>
      <c r="O322" s="328"/>
      <c r="P322" s="328"/>
      <c r="Q322" s="328"/>
      <c r="R322" s="328"/>
      <c r="S322" s="328"/>
      <c r="T322" s="328"/>
      <c r="U322" s="328"/>
      <c r="V322" s="328"/>
    </row>
    <row r="323" ht="15.75" customHeight="1">
      <c r="A323" s="328"/>
      <c r="B323" s="328"/>
      <c r="C323" s="328"/>
      <c r="D323" s="328"/>
      <c r="E323" s="328"/>
      <c r="F323" s="328"/>
      <c r="G323" s="328"/>
      <c r="H323" s="328"/>
      <c r="I323" s="328"/>
      <c r="J323" s="328"/>
      <c r="K323" s="328"/>
      <c r="L323" s="328"/>
      <c r="M323" s="328"/>
      <c r="N323" s="328"/>
      <c r="O323" s="328"/>
      <c r="P323" s="328"/>
      <c r="Q323" s="328"/>
      <c r="R323" s="328"/>
      <c r="S323" s="328"/>
      <c r="T323" s="328"/>
      <c r="U323" s="328"/>
      <c r="V323" s="328"/>
    </row>
    <row r="324" ht="15.75" customHeight="1">
      <c r="A324" s="328"/>
      <c r="B324" s="328"/>
      <c r="C324" s="328"/>
      <c r="D324" s="328"/>
      <c r="E324" s="328"/>
      <c r="F324" s="328"/>
      <c r="G324" s="328"/>
      <c r="H324" s="328"/>
      <c r="I324" s="328"/>
      <c r="J324" s="328"/>
      <c r="K324" s="328"/>
      <c r="L324" s="328"/>
      <c r="M324" s="328"/>
      <c r="N324" s="328"/>
      <c r="O324" s="328"/>
      <c r="P324" s="328"/>
      <c r="Q324" s="328"/>
      <c r="R324" s="328"/>
      <c r="S324" s="328"/>
      <c r="T324" s="328"/>
      <c r="U324" s="328"/>
      <c r="V324" s="328"/>
    </row>
    <row r="325" ht="15.75" customHeight="1">
      <c r="A325" s="328"/>
      <c r="B325" s="328"/>
      <c r="C325" s="328"/>
      <c r="D325" s="328"/>
      <c r="E325" s="328"/>
      <c r="F325" s="328"/>
      <c r="G325" s="328"/>
      <c r="H325" s="328"/>
      <c r="I325" s="328"/>
      <c r="J325" s="328"/>
      <c r="K325" s="328"/>
      <c r="L325" s="328"/>
      <c r="M325" s="328"/>
      <c r="N325" s="328"/>
      <c r="O325" s="328"/>
      <c r="P325" s="328"/>
      <c r="Q325" s="328"/>
      <c r="R325" s="328"/>
      <c r="S325" s="328"/>
      <c r="T325" s="328"/>
      <c r="U325" s="328"/>
      <c r="V325" s="328"/>
    </row>
    <row r="326" ht="15.75" customHeight="1">
      <c r="A326" s="328"/>
      <c r="B326" s="328"/>
      <c r="C326" s="328"/>
      <c r="D326" s="328"/>
      <c r="E326" s="328"/>
      <c r="F326" s="328"/>
      <c r="G326" s="328"/>
      <c r="H326" s="328"/>
      <c r="I326" s="328"/>
      <c r="J326" s="328"/>
      <c r="K326" s="328"/>
      <c r="L326" s="328"/>
      <c r="M326" s="328"/>
      <c r="N326" s="328"/>
      <c r="O326" s="328"/>
      <c r="P326" s="328"/>
      <c r="Q326" s="328"/>
      <c r="R326" s="328"/>
      <c r="S326" s="328"/>
      <c r="T326" s="328"/>
      <c r="U326" s="328"/>
      <c r="V326" s="328"/>
    </row>
    <row r="327" ht="15.75" customHeight="1">
      <c r="A327" s="328"/>
      <c r="B327" s="328"/>
      <c r="C327" s="328"/>
      <c r="D327" s="328"/>
      <c r="E327" s="328"/>
      <c r="F327" s="328"/>
      <c r="G327" s="328"/>
      <c r="H327" s="328"/>
      <c r="I327" s="328"/>
      <c r="J327" s="328"/>
      <c r="K327" s="328"/>
      <c r="L327" s="328"/>
      <c r="M327" s="328"/>
      <c r="N327" s="328"/>
      <c r="O327" s="328"/>
      <c r="P327" s="328"/>
      <c r="Q327" s="328"/>
      <c r="R327" s="328"/>
      <c r="S327" s="328"/>
      <c r="T327" s="328"/>
      <c r="U327" s="328"/>
      <c r="V327" s="328"/>
    </row>
    <row r="328" ht="15.75" customHeight="1">
      <c r="A328" s="328"/>
      <c r="B328" s="328"/>
      <c r="C328" s="328"/>
      <c r="D328" s="328"/>
      <c r="E328" s="328"/>
      <c r="F328" s="328"/>
      <c r="G328" s="328"/>
      <c r="H328" s="328"/>
      <c r="I328" s="328"/>
      <c r="J328" s="328"/>
      <c r="K328" s="328"/>
      <c r="L328" s="328"/>
      <c r="M328" s="328"/>
      <c r="N328" s="328"/>
      <c r="O328" s="328"/>
      <c r="P328" s="328"/>
      <c r="Q328" s="328"/>
      <c r="R328" s="328"/>
      <c r="S328" s="328"/>
      <c r="T328" s="328"/>
      <c r="U328" s="328"/>
      <c r="V328" s="328"/>
    </row>
    <row r="329" ht="15.75" customHeight="1">
      <c r="A329" s="328"/>
      <c r="B329" s="328"/>
      <c r="C329" s="328"/>
      <c r="D329" s="328"/>
      <c r="E329" s="328"/>
      <c r="F329" s="328"/>
      <c r="G329" s="328"/>
      <c r="H329" s="328"/>
      <c r="I329" s="328"/>
      <c r="J329" s="328"/>
      <c r="K329" s="328"/>
      <c r="L329" s="328"/>
      <c r="M329" s="328"/>
      <c r="N329" s="328"/>
      <c r="O329" s="328"/>
      <c r="P329" s="328"/>
      <c r="Q329" s="328"/>
      <c r="R329" s="328"/>
      <c r="S329" s="328"/>
      <c r="T329" s="328"/>
      <c r="U329" s="328"/>
      <c r="V329" s="328"/>
    </row>
    <row r="330" ht="15.75" customHeight="1">
      <c r="A330" s="328"/>
      <c r="B330" s="328"/>
      <c r="C330" s="328"/>
      <c r="D330" s="328"/>
      <c r="E330" s="328"/>
      <c r="F330" s="328"/>
      <c r="G330" s="328"/>
      <c r="H330" s="328"/>
      <c r="I330" s="328"/>
      <c r="J330" s="328"/>
      <c r="K330" s="328"/>
      <c r="L330" s="328"/>
      <c r="M330" s="328"/>
      <c r="N330" s="328"/>
      <c r="O330" s="328"/>
      <c r="P330" s="328"/>
      <c r="Q330" s="328"/>
      <c r="R330" s="328"/>
      <c r="S330" s="328"/>
      <c r="T330" s="328"/>
      <c r="U330" s="328"/>
      <c r="V330" s="328"/>
    </row>
    <row r="331" ht="15.75" customHeight="1">
      <c r="A331" s="328"/>
      <c r="B331" s="328"/>
      <c r="C331" s="328"/>
      <c r="D331" s="328"/>
      <c r="E331" s="328"/>
      <c r="F331" s="328"/>
      <c r="G331" s="328"/>
      <c r="H331" s="328"/>
      <c r="I331" s="328"/>
      <c r="J331" s="328"/>
      <c r="K331" s="328"/>
      <c r="L331" s="328"/>
      <c r="M331" s="328"/>
      <c r="N331" s="328"/>
      <c r="O331" s="328"/>
      <c r="P331" s="328"/>
      <c r="Q331" s="328"/>
      <c r="R331" s="328"/>
      <c r="S331" s="328"/>
      <c r="T331" s="328"/>
      <c r="U331" s="328"/>
      <c r="V331" s="328"/>
    </row>
    <row r="332" ht="15.75" customHeight="1">
      <c r="A332" s="328"/>
      <c r="B332" s="328"/>
      <c r="C332" s="328"/>
      <c r="D332" s="328"/>
      <c r="E332" s="328"/>
      <c r="F332" s="328"/>
      <c r="G332" s="328"/>
      <c r="H332" s="328"/>
      <c r="I332" s="328"/>
      <c r="J332" s="328"/>
      <c r="K332" s="328"/>
      <c r="L332" s="328"/>
      <c r="M332" s="328"/>
      <c r="N332" s="328"/>
      <c r="O332" s="328"/>
      <c r="P332" s="328"/>
      <c r="Q332" s="328"/>
      <c r="R332" s="328"/>
      <c r="S332" s="328"/>
      <c r="T332" s="328"/>
      <c r="U332" s="328"/>
      <c r="V332" s="328"/>
    </row>
    <row r="333" ht="15.75" customHeight="1">
      <c r="A333" s="328"/>
      <c r="B333" s="328"/>
      <c r="C333" s="328"/>
      <c r="D333" s="328"/>
      <c r="E333" s="328"/>
      <c r="F333" s="328"/>
      <c r="G333" s="328"/>
      <c r="H333" s="328"/>
      <c r="I333" s="328"/>
      <c r="J333" s="328"/>
      <c r="K333" s="328"/>
      <c r="L333" s="328"/>
      <c r="M333" s="328"/>
      <c r="N333" s="328"/>
      <c r="O333" s="328"/>
      <c r="P333" s="328"/>
      <c r="Q333" s="328"/>
      <c r="R333" s="328"/>
      <c r="S333" s="328"/>
      <c r="T333" s="328"/>
      <c r="U333" s="328"/>
      <c r="V333" s="328"/>
    </row>
    <row r="334" ht="15.75" customHeight="1">
      <c r="A334" s="328"/>
      <c r="B334" s="328"/>
      <c r="C334" s="328"/>
      <c r="D334" s="328"/>
      <c r="E334" s="328"/>
      <c r="F334" s="328"/>
      <c r="G334" s="328"/>
      <c r="H334" s="328"/>
      <c r="I334" s="328"/>
      <c r="J334" s="328"/>
      <c r="K334" s="328"/>
      <c r="L334" s="328"/>
      <c r="M334" s="328"/>
      <c r="N334" s="328"/>
      <c r="O334" s="328"/>
      <c r="P334" s="328"/>
      <c r="Q334" s="328"/>
      <c r="R334" s="328"/>
      <c r="S334" s="328"/>
      <c r="T334" s="328"/>
      <c r="U334" s="328"/>
      <c r="V334" s="328"/>
    </row>
    <row r="335" ht="15.75" customHeight="1">
      <c r="A335" s="328"/>
      <c r="B335" s="328"/>
      <c r="C335" s="328"/>
      <c r="D335" s="328"/>
      <c r="E335" s="328"/>
      <c r="F335" s="328"/>
      <c r="G335" s="328"/>
      <c r="H335" s="328"/>
      <c r="I335" s="328"/>
      <c r="J335" s="328"/>
      <c r="K335" s="328"/>
      <c r="L335" s="328"/>
      <c r="M335" s="328"/>
      <c r="N335" s="328"/>
      <c r="O335" s="328"/>
      <c r="P335" s="328"/>
      <c r="Q335" s="328"/>
      <c r="R335" s="328"/>
      <c r="S335" s="328"/>
      <c r="T335" s="328"/>
      <c r="U335" s="328"/>
      <c r="V335" s="328"/>
    </row>
    <row r="336" ht="15.75" customHeight="1">
      <c r="A336" s="328"/>
      <c r="B336" s="328"/>
      <c r="C336" s="328"/>
      <c r="D336" s="328"/>
      <c r="E336" s="328"/>
      <c r="F336" s="328"/>
      <c r="G336" s="328"/>
      <c r="H336" s="328"/>
      <c r="I336" s="328"/>
      <c r="J336" s="328"/>
      <c r="K336" s="328"/>
      <c r="L336" s="328"/>
      <c r="M336" s="328"/>
      <c r="N336" s="328"/>
      <c r="O336" s="328"/>
      <c r="P336" s="328"/>
      <c r="Q336" s="328"/>
      <c r="R336" s="328"/>
      <c r="S336" s="328"/>
      <c r="T336" s="328"/>
      <c r="U336" s="328"/>
      <c r="V336" s="328"/>
    </row>
    <row r="337" ht="15.75" customHeight="1">
      <c r="A337" s="328"/>
      <c r="B337" s="328"/>
      <c r="C337" s="328"/>
      <c r="D337" s="328"/>
      <c r="E337" s="328"/>
      <c r="F337" s="328"/>
      <c r="G337" s="328"/>
      <c r="H337" s="328"/>
      <c r="I337" s="328"/>
      <c r="J337" s="328"/>
      <c r="K337" s="328"/>
      <c r="L337" s="328"/>
      <c r="M337" s="328"/>
      <c r="N337" s="328"/>
      <c r="O337" s="328"/>
      <c r="P337" s="328"/>
      <c r="Q337" s="328"/>
      <c r="R337" s="328"/>
      <c r="S337" s="328"/>
      <c r="T337" s="328"/>
      <c r="U337" s="328"/>
      <c r="V337" s="328"/>
    </row>
    <row r="338" ht="15.75" customHeight="1">
      <c r="A338" s="328"/>
      <c r="B338" s="328"/>
      <c r="C338" s="328"/>
      <c r="D338" s="328"/>
      <c r="E338" s="328"/>
      <c r="F338" s="328"/>
      <c r="G338" s="328"/>
      <c r="H338" s="328"/>
      <c r="I338" s="328"/>
      <c r="J338" s="328"/>
      <c r="K338" s="328"/>
      <c r="L338" s="328"/>
      <c r="M338" s="328"/>
      <c r="N338" s="328"/>
      <c r="O338" s="328"/>
      <c r="P338" s="328"/>
      <c r="Q338" s="328"/>
      <c r="R338" s="328"/>
      <c r="S338" s="328"/>
      <c r="T338" s="328"/>
      <c r="U338" s="328"/>
      <c r="V338" s="328"/>
    </row>
    <row r="339" ht="15.75" customHeight="1">
      <c r="A339" s="328"/>
      <c r="B339" s="328"/>
      <c r="C339" s="328"/>
      <c r="D339" s="328"/>
      <c r="E339" s="328"/>
      <c r="F339" s="328"/>
      <c r="G339" s="328"/>
      <c r="H339" s="328"/>
      <c r="I339" s="328"/>
      <c r="J339" s="328"/>
      <c r="K339" s="328"/>
      <c r="L339" s="328"/>
      <c r="M339" s="328"/>
      <c r="N339" s="328"/>
      <c r="O339" s="328"/>
      <c r="P339" s="328"/>
      <c r="Q339" s="328"/>
      <c r="R339" s="328"/>
      <c r="S339" s="328"/>
      <c r="T339" s="328"/>
      <c r="U339" s="328"/>
      <c r="V339" s="328"/>
    </row>
    <row r="340" ht="15.75" customHeight="1">
      <c r="A340" s="328"/>
      <c r="B340" s="328"/>
      <c r="C340" s="328"/>
      <c r="D340" s="328"/>
      <c r="E340" s="328"/>
      <c r="F340" s="328"/>
      <c r="G340" s="328"/>
      <c r="H340" s="328"/>
      <c r="I340" s="328"/>
      <c r="J340" s="328"/>
      <c r="K340" s="328"/>
      <c r="L340" s="328"/>
      <c r="M340" s="328"/>
      <c r="N340" s="328"/>
      <c r="O340" s="328"/>
      <c r="P340" s="328"/>
      <c r="Q340" s="328"/>
      <c r="R340" s="328"/>
      <c r="S340" s="328"/>
      <c r="T340" s="328"/>
      <c r="U340" s="328"/>
      <c r="V340" s="328"/>
    </row>
    <row r="341" ht="15.75" customHeight="1">
      <c r="A341" s="328"/>
      <c r="B341" s="328"/>
      <c r="C341" s="328"/>
      <c r="D341" s="328"/>
      <c r="E341" s="328"/>
      <c r="F341" s="328"/>
      <c r="G341" s="328"/>
      <c r="H341" s="328"/>
      <c r="I341" s="328"/>
      <c r="J341" s="328"/>
      <c r="K341" s="328"/>
      <c r="L341" s="328"/>
      <c r="M341" s="328"/>
      <c r="N341" s="328"/>
      <c r="O341" s="328"/>
      <c r="P341" s="328"/>
      <c r="Q341" s="328"/>
      <c r="R341" s="328"/>
      <c r="S341" s="328"/>
      <c r="T341" s="328"/>
      <c r="U341" s="328"/>
      <c r="V341" s="328"/>
    </row>
    <row r="342" ht="15.75" customHeight="1">
      <c r="A342" s="328"/>
      <c r="B342" s="328"/>
      <c r="C342" s="328"/>
      <c r="D342" s="328"/>
      <c r="E342" s="328"/>
      <c r="F342" s="328"/>
      <c r="G342" s="328"/>
      <c r="H342" s="328"/>
      <c r="I342" s="328"/>
      <c r="J342" s="328"/>
      <c r="K342" s="328"/>
      <c r="L342" s="328"/>
      <c r="M342" s="328"/>
      <c r="N342" s="328"/>
      <c r="O342" s="328"/>
      <c r="P342" s="328"/>
      <c r="Q342" s="328"/>
      <c r="R342" s="328"/>
      <c r="S342" s="328"/>
      <c r="T342" s="328"/>
      <c r="U342" s="328"/>
      <c r="V342" s="328"/>
    </row>
    <row r="343" ht="15.75" customHeight="1">
      <c r="A343" s="328"/>
      <c r="B343" s="328"/>
      <c r="C343" s="328"/>
      <c r="D343" s="328"/>
      <c r="E343" s="328"/>
      <c r="F343" s="328"/>
      <c r="G343" s="328"/>
      <c r="H343" s="328"/>
      <c r="I343" s="328"/>
      <c r="J343" s="328"/>
      <c r="K343" s="328"/>
      <c r="L343" s="328"/>
      <c r="M343" s="328"/>
      <c r="N343" s="328"/>
      <c r="O343" s="328"/>
      <c r="P343" s="328"/>
      <c r="Q343" s="328"/>
      <c r="R343" s="328"/>
      <c r="S343" s="328"/>
      <c r="T343" s="328"/>
      <c r="U343" s="328"/>
      <c r="V343" s="328"/>
    </row>
    <row r="344" ht="15.75" customHeight="1">
      <c r="A344" s="328"/>
      <c r="B344" s="328"/>
      <c r="C344" s="328"/>
      <c r="D344" s="328"/>
      <c r="E344" s="328"/>
      <c r="F344" s="328"/>
      <c r="G344" s="328"/>
      <c r="H344" s="328"/>
      <c r="I344" s="328"/>
      <c r="J344" s="328"/>
      <c r="K344" s="328"/>
      <c r="L344" s="328"/>
      <c r="M344" s="328"/>
      <c r="N344" s="328"/>
      <c r="O344" s="328"/>
      <c r="P344" s="328"/>
      <c r="Q344" s="328"/>
      <c r="R344" s="328"/>
      <c r="S344" s="328"/>
      <c r="T344" s="328"/>
      <c r="U344" s="328"/>
      <c r="V344" s="328"/>
    </row>
    <row r="345" ht="15.75" customHeight="1">
      <c r="A345" s="328"/>
      <c r="B345" s="328"/>
      <c r="C345" s="328"/>
      <c r="D345" s="328"/>
      <c r="E345" s="328"/>
      <c r="F345" s="328"/>
      <c r="G345" s="328"/>
      <c r="H345" s="328"/>
      <c r="I345" s="328"/>
      <c r="J345" s="328"/>
      <c r="K345" s="328"/>
      <c r="L345" s="328"/>
      <c r="M345" s="328"/>
      <c r="N345" s="328"/>
      <c r="O345" s="328"/>
      <c r="P345" s="328"/>
      <c r="Q345" s="328"/>
      <c r="R345" s="328"/>
      <c r="S345" s="328"/>
      <c r="T345" s="328"/>
      <c r="U345" s="328"/>
      <c r="V345" s="328"/>
    </row>
    <row r="346" ht="15.75" customHeight="1">
      <c r="A346" s="328"/>
      <c r="B346" s="328"/>
      <c r="C346" s="328"/>
      <c r="D346" s="328"/>
      <c r="E346" s="328"/>
      <c r="F346" s="328"/>
      <c r="G346" s="328"/>
      <c r="H346" s="328"/>
      <c r="I346" s="328"/>
      <c r="J346" s="328"/>
      <c r="K346" s="328"/>
      <c r="L346" s="328"/>
      <c r="M346" s="328"/>
      <c r="N346" s="328"/>
      <c r="O346" s="328"/>
      <c r="P346" s="328"/>
      <c r="Q346" s="328"/>
      <c r="R346" s="328"/>
      <c r="S346" s="328"/>
      <c r="T346" s="328"/>
      <c r="U346" s="328"/>
      <c r="V346" s="328"/>
    </row>
    <row r="347" ht="15.75" customHeight="1">
      <c r="A347" s="328"/>
      <c r="B347" s="328"/>
      <c r="C347" s="328"/>
      <c r="D347" s="328"/>
      <c r="E347" s="328"/>
      <c r="F347" s="328"/>
      <c r="G347" s="328"/>
      <c r="H347" s="328"/>
      <c r="I347" s="328"/>
      <c r="J347" s="328"/>
      <c r="K347" s="328"/>
      <c r="L347" s="328"/>
      <c r="M347" s="328"/>
      <c r="N347" s="328"/>
      <c r="O347" s="328"/>
      <c r="P347" s="328"/>
      <c r="Q347" s="328"/>
      <c r="R347" s="328"/>
      <c r="S347" s="328"/>
      <c r="T347" s="328"/>
      <c r="U347" s="328"/>
      <c r="V347" s="328"/>
    </row>
    <row r="348" ht="15.75" customHeight="1">
      <c r="A348" s="328"/>
      <c r="B348" s="328"/>
      <c r="C348" s="328"/>
      <c r="D348" s="328"/>
      <c r="E348" s="328"/>
      <c r="F348" s="328"/>
      <c r="G348" s="328"/>
      <c r="H348" s="328"/>
      <c r="I348" s="328"/>
      <c r="J348" s="328"/>
      <c r="K348" s="328"/>
      <c r="L348" s="328"/>
      <c r="M348" s="328"/>
      <c r="N348" s="328"/>
      <c r="O348" s="328"/>
      <c r="P348" s="328"/>
      <c r="Q348" s="328"/>
      <c r="R348" s="328"/>
      <c r="S348" s="328"/>
      <c r="T348" s="328"/>
      <c r="U348" s="328"/>
      <c r="V348" s="328"/>
    </row>
    <row r="349" ht="15.75" customHeight="1">
      <c r="A349" s="328"/>
      <c r="B349" s="328"/>
      <c r="C349" s="328"/>
      <c r="D349" s="328"/>
      <c r="E349" s="328"/>
      <c r="F349" s="328"/>
      <c r="G349" s="328"/>
      <c r="H349" s="328"/>
      <c r="I349" s="328"/>
      <c r="J349" s="328"/>
      <c r="K349" s="328"/>
      <c r="L349" s="328"/>
      <c r="M349" s="328"/>
      <c r="N349" s="328"/>
      <c r="O349" s="328"/>
      <c r="P349" s="328"/>
      <c r="Q349" s="328"/>
      <c r="R349" s="328"/>
      <c r="S349" s="328"/>
      <c r="T349" s="328"/>
      <c r="U349" s="328"/>
      <c r="V349" s="328"/>
    </row>
    <row r="350" ht="15.75" customHeight="1">
      <c r="A350" s="328"/>
      <c r="B350" s="328"/>
      <c r="C350" s="328"/>
      <c r="D350" s="328"/>
      <c r="E350" s="328"/>
      <c r="F350" s="328"/>
      <c r="G350" s="328"/>
      <c r="H350" s="328"/>
      <c r="I350" s="328"/>
      <c r="J350" s="328"/>
      <c r="K350" s="328"/>
      <c r="L350" s="328"/>
      <c r="M350" s="328"/>
      <c r="N350" s="328"/>
      <c r="O350" s="328"/>
      <c r="P350" s="328"/>
      <c r="Q350" s="328"/>
      <c r="R350" s="328"/>
      <c r="S350" s="328"/>
      <c r="T350" s="328"/>
      <c r="U350" s="328"/>
      <c r="V350" s="328"/>
    </row>
    <row r="351" ht="15.75" customHeight="1">
      <c r="A351" s="328"/>
      <c r="B351" s="328"/>
      <c r="C351" s="328"/>
      <c r="D351" s="328"/>
      <c r="E351" s="328"/>
      <c r="F351" s="328"/>
      <c r="G351" s="328"/>
      <c r="H351" s="328"/>
      <c r="I351" s="328"/>
      <c r="J351" s="328"/>
      <c r="K351" s="328"/>
      <c r="L351" s="328"/>
      <c r="M351" s="328"/>
      <c r="N351" s="328"/>
      <c r="O351" s="328"/>
      <c r="P351" s="328"/>
      <c r="Q351" s="328"/>
      <c r="R351" s="328"/>
      <c r="S351" s="328"/>
      <c r="T351" s="328"/>
      <c r="U351" s="328"/>
      <c r="V351" s="328"/>
    </row>
    <row r="352" ht="15.75" customHeight="1">
      <c r="A352" s="328"/>
      <c r="B352" s="328"/>
      <c r="C352" s="328"/>
      <c r="D352" s="328"/>
      <c r="E352" s="328"/>
      <c r="F352" s="328"/>
      <c r="G352" s="328"/>
      <c r="H352" s="328"/>
      <c r="I352" s="328"/>
      <c r="J352" s="328"/>
      <c r="K352" s="328"/>
      <c r="L352" s="328"/>
      <c r="M352" s="328"/>
      <c r="N352" s="328"/>
      <c r="O352" s="328"/>
      <c r="P352" s="328"/>
      <c r="Q352" s="328"/>
      <c r="R352" s="328"/>
      <c r="S352" s="328"/>
      <c r="T352" s="328"/>
      <c r="U352" s="328"/>
      <c r="V352" s="328"/>
    </row>
    <row r="353" ht="15.75" customHeight="1">
      <c r="A353" s="328"/>
      <c r="B353" s="328"/>
      <c r="C353" s="328"/>
      <c r="D353" s="328"/>
      <c r="E353" s="328"/>
      <c r="F353" s="328"/>
      <c r="G353" s="328"/>
      <c r="H353" s="328"/>
      <c r="I353" s="328"/>
      <c r="J353" s="328"/>
      <c r="K353" s="328"/>
      <c r="L353" s="328"/>
      <c r="M353" s="328"/>
      <c r="N353" s="328"/>
      <c r="O353" s="328"/>
      <c r="P353" s="328"/>
      <c r="Q353" s="328"/>
      <c r="R353" s="328"/>
      <c r="S353" s="328"/>
      <c r="T353" s="328"/>
      <c r="U353" s="328"/>
      <c r="V353" s="328"/>
    </row>
    <row r="354" ht="15.75" customHeight="1">
      <c r="A354" s="328"/>
      <c r="B354" s="328"/>
      <c r="C354" s="328"/>
      <c r="D354" s="328"/>
      <c r="E354" s="328"/>
      <c r="F354" s="328"/>
      <c r="G354" s="328"/>
      <c r="H354" s="328"/>
      <c r="I354" s="328"/>
      <c r="J354" s="328"/>
      <c r="K354" s="328"/>
      <c r="L354" s="328"/>
      <c r="M354" s="328"/>
      <c r="N354" s="328"/>
      <c r="O354" s="328"/>
      <c r="P354" s="328"/>
      <c r="Q354" s="328"/>
      <c r="R354" s="328"/>
      <c r="S354" s="328"/>
      <c r="T354" s="328"/>
      <c r="U354" s="328"/>
      <c r="V354" s="328"/>
    </row>
    <row r="355" ht="15.75" customHeight="1">
      <c r="A355" s="328"/>
      <c r="B355" s="328"/>
      <c r="C355" s="328"/>
      <c r="D355" s="328"/>
      <c r="E355" s="328"/>
      <c r="F355" s="328"/>
      <c r="G355" s="328"/>
      <c r="H355" s="328"/>
      <c r="I355" s="328"/>
      <c r="J355" s="328"/>
      <c r="K355" s="328"/>
      <c r="L355" s="328"/>
      <c r="M355" s="328"/>
      <c r="N355" s="328"/>
      <c r="O355" s="328"/>
      <c r="P355" s="328"/>
      <c r="Q355" s="328"/>
      <c r="R355" s="328"/>
      <c r="S355" s="328"/>
      <c r="T355" s="328"/>
      <c r="U355" s="328"/>
      <c r="V355" s="328"/>
    </row>
    <row r="356" ht="15.75" customHeight="1">
      <c r="A356" s="328"/>
      <c r="B356" s="328"/>
      <c r="C356" s="328"/>
      <c r="D356" s="328"/>
      <c r="E356" s="328"/>
      <c r="F356" s="328"/>
      <c r="G356" s="328"/>
      <c r="H356" s="328"/>
      <c r="I356" s="328"/>
      <c r="J356" s="328"/>
      <c r="K356" s="328"/>
      <c r="L356" s="328"/>
      <c r="M356" s="328"/>
      <c r="N356" s="328"/>
      <c r="O356" s="328"/>
      <c r="P356" s="328"/>
      <c r="Q356" s="328"/>
      <c r="R356" s="328"/>
      <c r="S356" s="328"/>
      <c r="T356" s="328"/>
      <c r="U356" s="328"/>
      <c r="V356" s="328"/>
    </row>
    <row r="357" ht="15.75" customHeight="1">
      <c r="A357" s="328"/>
      <c r="B357" s="328"/>
      <c r="C357" s="328"/>
      <c r="D357" s="328"/>
      <c r="E357" s="328"/>
      <c r="F357" s="328"/>
      <c r="G357" s="328"/>
      <c r="H357" s="328"/>
      <c r="I357" s="328"/>
      <c r="J357" s="328"/>
      <c r="K357" s="328"/>
      <c r="L357" s="328"/>
      <c r="M357" s="328"/>
      <c r="N357" s="328"/>
      <c r="O357" s="328"/>
      <c r="P357" s="328"/>
      <c r="Q357" s="328"/>
      <c r="R357" s="328"/>
      <c r="S357" s="328"/>
      <c r="T357" s="328"/>
      <c r="U357" s="328"/>
      <c r="V357" s="328"/>
    </row>
    <row r="358" ht="15.75" customHeight="1">
      <c r="A358" s="328"/>
      <c r="B358" s="328"/>
      <c r="C358" s="328"/>
      <c r="D358" s="328"/>
      <c r="E358" s="328"/>
      <c r="F358" s="328"/>
      <c r="G358" s="328"/>
      <c r="H358" s="328"/>
      <c r="I358" s="328"/>
      <c r="J358" s="328"/>
      <c r="K358" s="328"/>
      <c r="L358" s="328"/>
      <c r="M358" s="328"/>
      <c r="N358" s="328"/>
      <c r="O358" s="328"/>
      <c r="P358" s="328"/>
      <c r="Q358" s="328"/>
      <c r="R358" s="328"/>
      <c r="S358" s="328"/>
      <c r="T358" s="328"/>
      <c r="U358" s="328"/>
      <c r="V358" s="328"/>
    </row>
    <row r="359" ht="15.75" customHeight="1">
      <c r="A359" s="328"/>
      <c r="B359" s="328"/>
      <c r="C359" s="328"/>
      <c r="D359" s="328"/>
      <c r="E359" s="328"/>
      <c r="F359" s="328"/>
      <c r="G359" s="328"/>
      <c r="H359" s="328"/>
      <c r="I359" s="328"/>
      <c r="J359" s="328"/>
      <c r="K359" s="328"/>
      <c r="L359" s="328"/>
      <c r="M359" s="328"/>
      <c r="N359" s="328"/>
      <c r="O359" s="328"/>
      <c r="P359" s="328"/>
      <c r="Q359" s="328"/>
      <c r="R359" s="328"/>
      <c r="S359" s="328"/>
      <c r="T359" s="328"/>
      <c r="U359" s="328"/>
      <c r="V359" s="328"/>
    </row>
    <row r="360" ht="15.75" customHeight="1">
      <c r="A360" s="328"/>
      <c r="B360" s="328"/>
      <c r="C360" s="328"/>
      <c r="D360" s="328"/>
      <c r="E360" s="328"/>
      <c r="F360" s="328"/>
      <c r="G360" s="328"/>
      <c r="H360" s="328"/>
      <c r="I360" s="328"/>
      <c r="J360" s="328"/>
      <c r="K360" s="328"/>
      <c r="L360" s="328"/>
      <c r="M360" s="328"/>
      <c r="N360" s="328"/>
      <c r="O360" s="328"/>
      <c r="P360" s="328"/>
      <c r="Q360" s="328"/>
      <c r="R360" s="328"/>
      <c r="S360" s="328"/>
      <c r="T360" s="328"/>
      <c r="U360" s="328"/>
      <c r="V360" s="328"/>
    </row>
    <row r="361" ht="15.75" customHeight="1">
      <c r="A361" s="328"/>
      <c r="B361" s="328"/>
      <c r="C361" s="328"/>
      <c r="D361" s="328"/>
      <c r="E361" s="328"/>
      <c r="F361" s="328"/>
      <c r="G361" s="328"/>
      <c r="H361" s="328"/>
      <c r="I361" s="328"/>
      <c r="J361" s="328"/>
      <c r="K361" s="328"/>
      <c r="L361" s="328"/>
      <c r="M361" s="328"/>
      <c r="N361" s="328"/>
      <c r="O361" s="328"/>
      <c r="P361" s="328"/>
      <c r="Q361" s="328"/>
      <c r="R361" s="328"/>
      <c r="S361" s="328"/>
      <c r="T361" s="328"/>
      <c r="U361" s="328"/>
      <c r="V361" s="328"/>
    </row>
    <row r="362" ht="15.75" customHeight="1">
      <c r="A362" s="328"/>
      <c r="B362" s="328"/>
      <c r="C362" s="328"/>
      <c r="D362" s="328"/>
      <c r="E362" s="328"/>
      <c r="F362" s="328"/>
      <c r="G362" s="328"/>
      <c r="H362" s="328"/>
      <c r="I362" s="328"/>
      <c r="J362" s="328"/>
      <c r="K362" s="328"/>
      <c r="L362" s="328"/>
      <c r="M362" s="328"/>
      <c r="N362" s="328"/>
      <c r="O362" s="328"/>
      <c r="P362" s="328"/>
      <c r="Q362" s="328"/>
      <c r="R362" s="328"/>
      <c r="S362" s="328"/>
      <c r="T362" s="328"/>
      <c r="U362" s="328"/>
      <c r="V362" s="328"/>
    </row>
    <row r="363" ht="15.75" customHeight="1">
      <c r="A363" s="328"/>
      <c r="B363" s="328"/>
      <c r="C363" s="328"/>
      <c r="D363" s="328"/>
      <c r="E363" s="328"/>
      <c r="F363" s="328"/>
      <c r="G363" s="328"/>
      <c r="H363" s="328"/>
      <c r="I363" s="328"/>
      <c r="J363" s="328"/>
      <c r="K363" s="328"/>
      <c r="L363" s="328"/>
      <c r="M363" s="328"/>
      <c r="N363" s="328"/>
      <c r="O363" s="328"/>
      <c r="P363" s="328"/>
      <c r="Q363" s="328"/>
      <c r="R363" s="328"/>
      <c r="S363" s="328"/>
      <c r="T363" s="328"/>
      <c r="U363" s="328"/>
      <c r="V363" s="328"/>
    </row>
    <row r="364" ht="15.75" customHeight="1">
      <c r="A364" s="328"/>
      <c r="B364" s="328"/>
      <c r="C364" s="328"/>
      <c r="D364" s="328"/>
      <c r="E364" s="328"/>
      <c r="F364" s="328"/>
      <c r="G364" s="328"/>
      <c r="H364" s="328"/>
      <c r="I364" s="328"/>
      <c r="J364" s="328"/>
      <c r="K364" s="328"/>
      <c r="L364" s="328"/>
      <c r="M364" s="328"/>
      <c r="N364" s="328"/>
      <c r="O364" s="328"/>
      <c r="P364" s="328"/>
      <c r="Q364" s="328"/>
      <c r="R364" s="328"/>
      <c r="S364" s="328"/>
      <c r="T364" s="328"/>
      <c r="U364" s="328"/>
      <c r="V364" s="328"/>
    </row>
    <row r="365" ht="15.75" customHeight="1">
      <c r="A365" s="328"/>
      <c r="B365" s="328"/>
      <c r="C365" s="328"/>
      <c r="D365" s="328"/>
      <c r="E365" s="328"/>
      <c r="F365" s="328"/>
      <c r="G365" s="328"/>
      <c r="H365" s="328"/>
      <c r="I365" s="328"/>
      <c r="J365" s="328"/>
      <c r="K365" s="328"/>
      <c r="L365" s="328"/>
      <c r="M365" s="328"/>
      <c r="N365" s="328"/>
      <c r="O365" s="328"/>
      <c r="P365" s="328"/>
      <c r="Q365" s="328"/>
      <c r="R365" s="328"/>
      <c r="S365" s="328"/>
      <c r="T365" s="328"/>
      <c r="U365" s="328"/>
      <c r="V365" s="328"/>
    </row>
    <row r="366" ht="15.75" customHeight="1">
      <c r="A366" s="328"/>
      <c r="B366" s="328"/>
      <c r="C366" s="328"/>
      <c r="D366" s="328"/>
      <c r="E366" s="328"/>
      <c r="F366" s="328"/>
      <c r="G366" s="328"/>
      <c r="H366" s="328"/>
      <c r="I366" s="328"/>
      <c r="J366" s="328"/>
      <c r="K366" s="328"/>
      <c r="L366" s="328"/>
      <c r="M366" s="328"/>
      <c r="N366" s="328"/>
      <c r="O366" s="328"/>
      <c r="P366" s="328"/>
      <c r="Q366" s="328"/>
      <c r="R366" s="328"/>
      <c r="S366" s="328"/>
      <c r="T366" s="328"/>
      <c r="U366" s="328"/>
      <c r="V366" s="328"/>
    </row>
    <row r="367" ht="15.75" customHeight="1">
      <c r="A367" s="328"/>
      <c r="B367" s="328"/>
      <c r="C367" s="328"/>
      <c r="D367" s="328"/>
      <c r="E367" s="328"/>
      <c r="F367" s="328"/>
      <c r="G367" s="328"/>
      <c r="H367" s="328"/>
      <c r="I367" s="328"/>
      <c r="J367" s="328"/>
      <c r="K367" s="328"/>
      <c r="L367" s="328"/>
      <c r="M367" s="328"/>
      <c r="N367" s="328"/>
      <c r="O367" s="328"/>
      <c r="P367" s="328"/>
      <c r="Q367" s="328"/>
      <c r="R367" s="328"/>
      <c r="S367" s="328"/>
      <c r="T367" s="328"/>
      <c r="U367" s="328"/>
      <c r="V367" s="328"/>
    </row>
    <row r="368" ht="15.75" customHeight="1">
      <c r="A368" s="328"/>
      <c r="B368" s="328"/>
      <c r="C368" s="328"/>
      <c r="D368" s="328"/>
      <c r="E368" s="328"/>
      <c r="F368" s="328"/>
      <c r="G368" s="328"/>
      <c r="H368" s="328"/>
      <c r="I368" s="328"/>
      <c r="J368" s="328"/>
      <c r="K368" s="328"/>
      <c r="L368" s="328"/>
      <c r="M368" s="328"/>
      <c r="N368" s="328"/>
      <c r="O368" s="328"/>
      <c r="P368" s="328"/>
      <c r="Q368" s="328"/>
      <c r="R368" s="328"/>
      <c r="S368" s="328"/>
      <c r="T368" s="328"/>
      <c r="U368" s="328"/>
      <c r="V368" s="328"/>
    </row>
    <row r="369" ht="15.75" customHeight="1">
      <c r="A369" s="328"/>
      <c r="B369" s="328"/>
      <c r="C369" s="328"/>
      <c r="D369" s="328"/>
      <c r="E369" s="328"/>
      <c r="F369" s="328"/>
      <c r="G369" s="328"/>
      <c r="H369" s="328"/>
      <c r="I369" s="328"/>
      <c r="J369" s="328"/>
      <c r="K369" s="328"/>
      <c r="L369" s="328"/>
      <c r="M369" s="328"/>
      <c r="N369" s="328"/>
      <c r="O369" s="328"/>
      <c r="P369" s="328"/>
      <c r="Q369" s="328"/>
      <c r="R369" s="328"/>
      <c r="S369" s="328"/>
      <c r="T369" s="328"/>
      <c r="U369" s="328"/>
      <c r="V369" s="328"/>
    </row>
    <row r="370" ht="15.75" customHeight="1">
      <c r="A370" s="328"/>
      <c r="B370" s="328"/>
      <c r="C370" s="328"/>
      <c r="D370" s="328"/>
      <c r="E370" s="328"/>
      <c r="F370" s="328"/>
      <c r="G370" s="328"/>
      <c r="H370" s="328"/>
      <c r="I370" s="328"/>
      <c r="J370" s="328"/>
      <c r="K370" s="328"/>
      <c r="L370" s="328"/>
      <c r="M370" s="328"/>
      <c r="N370" s="328"/>
      <c r="O370" s="328"/>
      <c r="P370" s="328"/>
      <c r="Q370" s="328"/>
      <c r="R370" s="328"/>
      <c r="S370" s="328"/>
      <c r="T370" s="328"/>
      <c r="U370" s="328"/>
      <c r="V370" s="328"/>
    </row>
    <row r="371" ht="15.75" customHeight="1">
      <c r="A371" s="328"/>
      <c r="B371" s="328"/>
      <c r="C371" s="328"/>
      <c r="D371" s="328"/>
      <c r="E371" s="328"/>
      <c r="F371" s="328"/>
      <c r="G371" s="328"/>
      <c r="H371" s="328"/>
      <c r="I371" s="328"/>
      <c r="J371" s="328"/>
      <c r="K371" s="328"/>
      <c r="L371" s="328"/>
      <c r="M371" s="328"/>
      <c r="N371" s="328"/>
      <c r="O371" s="328"/>
      <c r="P371" s="328"/>
      <c r="Q371" s="328"/>
      <c r="R371" s="328"/>
      <c r="S371" s="328"/>
      <c r="T371" s="328"/>
      <c r="U371" s="328"/>
      <c r="V371" s="328"/>
    </row>
    <row r="372" ht="15.75" customHeight="1">
      <c r="A372" s="328"/>
      <c r="B372" s="328"/>
      <c r="C372" s="328"/>
      <c r="D372" s="328"/>
      <c r="E372" s="328"/>
      <c r="F372" s="328"/>
      <c r="G372" s="328"/>
      <c r="H372" s="328"/>
      <c r="I372" s="328"/>
      <c r="J372" s="328"/>
      <c r="K372" s="328"/>
      <c r="L372" s="328"/>
      <c r="M372" s="328"/>
      <c r="N372" s="328"/>
      <c r="O372" s="328"/>
      <c r="P372" s="328"/>
      <c r="Q372" s="328"/>
      <c r="R372" s="328"/>
      <c r="S372" s="328"/>
      <c r="T372" s="328"/>
      <c r="U372" s="328"/>
      <c r="V372" s="328"/>
    </row>
    <row r="373" ht="15.75" customHeight="1">
      <c r="A373" s="328"/>
      <c r="B373" s="328"/>
      <c r="C373" s="328"/>
      <c r="D373" s="328"/>
      <c r="E373" s="328"/>
      <c r="F373" s="328"/>
      <c r="G373" s="328"/>
      <c r="H373" s="328"/>
      <c r="I373" s="328"/>
      <c r="J373" s="328"/>
      <c r="K373" s="328"/>
      <c r="L373" s="328"/>
      <c r="M373" s="328"/>
      <c r="N373" s="328"/>
      <c r="O373" s="328"/>
      <c r="P373" s="328"/>
      <c r="Q373" s="328"/>
      <c r="R373" s="328"/>
      <c r="S373" s="328"/>
      <c r="T373" s="328"/>
      <c r="U373" s="328"/>
      <c r="V373" s="328"/>
    </row>
    <row r="374" ht="15.75" customHeight="1">
      <c r="A374" s="328"/>
      <c r="B374" s="328"/>
      <c r="C374" s="328"/>
      <c r="D374" s="328"/>
      <c r="E374" s="328"/>
      <c r="F374" s="328"/>
      <c r="G374" s="328"/>
      <c r="H374" s="328"/>
      <c r="I374" s="328"/>
      <c r="J374" s="328"/>
      <c r="K374" s="328"/>
      <c r="L374" s="328"/>
      <c r="M374" s="328"/>
      <c r="N374" s="328"/>
      <c r="O374" s="328"/>
      <c r="P374" s="328"/>
      <c r="Q374" s="328"/>
      <c r="R374" s="328"/>
      <c r="S374" s="328"/>
      <c r="T374" s="328"/>
      <c r="U374" s="328"/>
      <c r="V374" s="328"/>
    </row>
    <row r="375" ht="15.75" customHeight="1">
      <c r="A375" s="328"/>
      <c r="B375" s="328"/>
      <c r="C375" s="328"/>
      <c r="D375" s="328"/>
      <c r="E375" s="328"/>
      <c r="F375" s="328"/>
      <c r="G375" s="328"/>
      <c r="H375" s="328"/>
      <c r="I375" s="328"/>
      <c r="J375" s="328"/>
      <c r="K375" s="328"/>
      <c r="L375" s="328"/>
      <c r="M375" s="328"/>
      <c r="N375" s="328"/>
      <c r="O375" s="328"/>
      <c r="P375" s="328"/>
      <c r="Q375" s="328"/>
      <c r="R375" s="328"/>
      <c r="S375" s="328"/>
      <c r="T375" s="328"/>
      <c r="U375" s="328"/>
      <c r="V375" s="328"/>
    </row>
    <row r="376" ht="15.75" customHeight="1">
      <c r="A376" s="328"/>
      <c r="B376" s="328"/>
      <c r="C376" s="328"/>
      <c r="D376" s="328"/>
      <c r="E376" s="328"/>
      <c r="F376" s="328"/>
      <c r="G376" s="328"/>
      <c r="H376" s="328"/>
      <c r="I376" s="328"/>
      <c r="J376" s="328"/>
      <c r="K376" s="328"/>
      <c r="L376" s="328"/>
      <c r="M376" s="328"/>
      <c r="N376" s="328"/>
      <c r="O376" s="328"/>
      <c r="P376" s="328"/>
      <c r="Q376" s="328"/>
      <c r="R376" s="328"/>
      <c r="S376" s="328"/>
      <c r="T376" s="328"/>
      <c r="U376" s="328"/>
      <c r="V376" s="328"/>
    </row>
    <row r="377" ht="15.75" customHeight="1">
      <c r="A377" s="328"/>
      <c r="B377" s="328"/>
      <c r="C377" s="328"/>
      <c r="D377" s="328"/>
      <c r="E377" s="328"/>
      <c r="F377" s="328"/>
      <c r="G377" s="328"/>
      <c r="H377" s="328"/>
      <c r="I377" s="328"/>
      <c r="J377" s="328"/>
      <c r="K377" s="328"/>
      <c r="L377" s="328"/>
      <c r="M377" s="328"/>
      <c r="N377" s="328"/>
      <c r="O377" s="328"/>
      <c r="P377" s="328"/>
      <c r="Q377" s="328"/>
      <c r="R377" s="328"/>
      <c r="S377" s="328"/>
      <c r="T377" s="328"/>
      <c r="U377" s="328"/>
      <c r="V377" s="328"/>
    </row>
    <row r="378" ht="15.75" customHeight="1">
      <c r="A378" s="328"/>
      <c r="B378" s="328"/>
      <c r="C378" s="328"/>
      <c r="D378" s="328"/>
      <c r="E378" s="328"/>
      <c r="F378" s="328"/>
      <c r="G378" s="328"/>
      <c r="H378" s="328"/>
      <c r="I378" s="328"/>
      <c r="J378" s="328"/>
      <c r="K378" s="328"/>
      <c r="L378" s="328"/>
      <c r="M378" s="328"/>
      <c r="N378" s="328"/>
      <c r="O378" s="328"/>
      <c r="P378" s="328"/>
      <c r="Q378" s="328"/>
      <c r="R378" s="328"/>
      <c r="S378" s="328"/>
      <c r="T378" s="328"/>
      <c r="U378" s="328"/>
      <c r="V378" s="328"/>
    </row>
    <row r="379" ht="15.75" customHeight="1">
      <c r="A379" s="328"/>
      <c r="B379" s="328"/>
      <c r="C379" s="328"/>
      <c r="D379" s="328"/>
      <c r="E379" s="328"/>
      <c r="F379" s="328"/>
      <c r="G379" s="328"/>
      <c r="H379" s="328"/>
      <c r="I379" s="328"/>
      <c r="J379" s="328"/>
      <c r="K379" s="328"/>
      <c r="L379" s="328"/>
      <c r="M379" s="328"/>
      <c r="N379" s="328"/>
      <c r="O379" s="328"/>
      <c r="P379" s="328"/>
      <c r="Q379" s="328"/>
      <c r="R379" s="328"/>
      <c r="S379" s="328"/>
      <c r="T379" s="328"/>
      <c r="U379" s="328"/>
      <c r="V379" s="328"/>
    </row>
    <row r="380" ht="15.75" customHeight="1">
      <c r="A380" s="328"/>
      <c r="B380" s="328"/>
      <c r="C380" s="328"/>
      <c r="D380" s="328"/>
      <c r="E380" s="328"/>
      <c r="F380" s="328"/>
      <c r="G380" s="328"/>
      <c r="H380" s="328"/>
      <c r="I380" s="328"/>
      <c r="J380" s="328"/>
      <c r="K380" s="328"/>
      <c r="L380" s="328"/>
      <c r="M380" s="328"/>
      <c r="N380" s="328"/>
      <c r="O380" s="328"/>
      <c r="P380" s="328"/>
      <c r="Q380" s="328"/>
      <c r="R380" s="328"/>
      <c r="S380" s="328"/>
      <c r="T380" s="328"/>
      <c r="U380" s="328"/>
      <c r="V380" s="328"/>
    </row>
    <row r="381" ht="15.75" customHeight="1">
      <c r="A381" s="328"/>
      <c r="B381" s="328"/>
      <c r="C381" s="328"/>
      <c r="D381" s="328"/>
      <c r="E381" s="328"/>
      <c r="F381" s="328"/>
      <c r="G381" s="328"/>
      <c r="H381" s="328"/>
      <c r="I381" s="328"/>
      <c r="J381" s="328"/>
      <c r="K381" s="328"/>
      <c r="L381" s="328"/>
      <c r="M381" s="328"/>
      <c r="N381" s="328"/>
      <c r="O381" s="328"/>
      <c r="P381" s="328"/>
      <c r="Q381" s="328"/>
      <c r="R381" s="328"/>
      <c r="S381" s="328"/>
      <c r="T381" s="328"/>
      <c r="U381" s="328"/>
      <c r="V381" s="328"/>
    </row>
    <row r="382" ht="15.75" customHeight="1">
      <c r="A382" s="328"/>
      <c r="B382" s="328"/>
      <c r="C382" s="328"/>
      <c r="D382" s="328"/>
      <c r="E382" s="328"/>
      <c r="F382" s="328"/>
      <c r="G382" s="328"/>
      <c r="H382" s="328"/>
      <c r="I382" s="328"/>
      <c r="J382" s="328"/>
      <c r="K382" s="328"/>
      <c r="L382" s="328"/>
      <c r="M382" s="328"/>
      <c r="N382" s="328"/>
      <c r="O382" s="328"/>
      <c r="P382" s="328"/>
      <c r="Q382" s="328"/>
      <c r="R382" s="328"/>
      <c r="S382" s="328"/>
      <c r="T382" s="328"/>
      <c r="U382" s="328"/>
      <c r="V382" s="328"/>
    </row>
    <row r="383" ht="15.75" customHeight="1">
      <c r="A383" s="328"/>
      <c r="B383" s="328"/>
      <c r="C383" s="328"/>
      <c r="D383" s="328"/>
      <c r="E383" s="328"/>
      <c r="F383" s="328"/>
      <c r="G383" s="328"/>
      <c r="H383" s="328"/>
      <c r="I383" s="328"/>
      <c r="J383" s="328"/>
      <c r="K383" s="328"/>
      <c r="L383" s="328"/>
      <c r="M383" s="328"/>
      <c r="N383" s="328"/>
      <c r="O383" s="328"/>
      <c r="P383" s="328"/>
      <c r="Q383" s="328"/>
      <c r="R383" s="328"/>
      <c r="S383" s="328"/>
      <c r="T383" s="328"/>
      <c r="U383" s="328"/>
      <c r="V383" s="328"/>
    </row>
    <row r="384" ht="15.75" customHeight="1">
      <c r="A384" s="328"/>
      <c r="B384" s="328"/>
      <c r="C384" s="328"/>
      <c r="D384" s="328"/>
      <c r="E384" s="328"/>
      <c r="F384" s="328"/>
      <c r="G384" s="328"/>
      <c r="H384" s="328"/>
      <c r="I384" s="328"/>
      <c r="J384" s="328"/>
      <c r="K384" s="328"/>
      <c r="L384" s="328"/>
      <c r="M384" s="328"/>
      <c r="N384" s="328"/>
      <c r="O384" s="328"/>
      <c r="P384" s="328"/>
      <c r="Q384" s="328"/>
      <c r="R384" s="328"/>
      <c r="S384" s="328"/>
      <c r="T384" s="328"/>
      <c r="U384" s="328"/>
      <c r="V384" s="328"/>
    </row>
    <row r="385" ht="15.75" customHeight="1">
      <c r="A385" s="328"/>
      <c r="B385" s="328"/>
      <c r="C385" s="328"/>
      <c r="D385" s="328"/>
      <c r="E385" s="328"/>
      <c r="F385" s="328"/>
      <c r="G385" s="328"/>
      <c r="H385" s="328"/>
      <c r="I385" s="328"/>
      <c r="J385" s="328"/>
      <c r="K385" s="328"/>
      <c r="L385" s="328"/>
      <c r="M385" s="328"/>
      <c r="N385" s="328"/>
      <c r="O385" s="328"/>
      <c r="P385" s="328"/>
      <c r="Q385" s="328"/>
      <c r="R385" s="328"/>
      <c r="S385" s="328"/>
      <c r="T385" s="328"/>
      <c r="U385" s="328"/>
      <c r="V385" s="328"/>
    </row>
    <row r="386" ht="15.75" customHeight="1">
      <c r="A386" s="328"/>
      <c r="B386" s="328"/>
      <c r="C386" s="328"/>
      <c r="D386" s="328"/>
      <c r="E386" s="328"/>
      <c r="F386" s="328"/>
      <c r="G386" s="328"/>
      <c r="H386" s="328"/>
      <c r="I386" s="328"/>
      <c r="J386" s="328"/>
      <c r="K386" s="328"/>
      <c r="L386" s="328"/>
      <c r="M386" s="328"/>
      <c r="N386" s="328"/>
      <c r="O386" s="328"/>
      <c r="P386" s="328"/>
      <c r="Q386" s="328"/>
      <c r="R386" s="328"/>
      <c r="S386" s="328"/>
      <c r="T386" s="328"/>
      <c r="U386" s="328"/>
      <c r="V386" s="328"/>
    </row>
    <row r="387" ht="15.75" customHeight="1">
      <c r="A387" s="328"/>
      <c r="B387" s="328"/>
      <c r="C387" s="328"/>
      <c r="D387" s="328"/>
      <c r="E387" s="328"/>
      <c r="F387" s="328"/>
      <c r="G387" s="328"/>
      <c r="H387" s="328"/>
      <c r="I387" s="328"/>
      <c r="J387" s="328"/>
      <c r="K387" s="328"/>
      <c r="L387" s="328"/>
      <c r="M387" s="328"/>
      <c r="N387" s="328"/>
      <c r="O387" s="328"/>
      <c r="P387" s="328"/>
      <c r="Q387" s="328"/>
      <c r="R387" s="328"/>
      <c r="S387" s="328"/>
      <c r="T387" s="328"/>
      <c r="U387" s="328"/>
      <c r="V387" s="328"/>
    </row>
    <row r="388" ht="15.75" customHeight="1">
      <c r="A388" s="328"/>
      <c r="B388" s="328"/>
      <c r="C388" s="328"/>
      <c r="D388" s="328"/>
      <c r="E388" s="328"/>
      <c r="F388" s="328"/>
      <c r="G388" s="328"/>
      <c r="H388" s="328"/>
      <c r="I388" s="328"/>
      <c r="J388" s="328"/>
      <c r="K388" s="328"/>
      <c r="L388" s="328"/>
      <c r="M388" s="328"/>
      <c r="N388" s="328"/>
      <c r="O388" s="328"/>
      <c r="P388" s="328"/>
      <c r="Q388" s="328"/>
      <c r="R388" s="328"/>
      <c r="S388" s="328"/>
      <c r="T388" s="328"/>
      <c r="U388" s="328"/>
      <c r="V388" s="328"/>
    </row>
    <row r="389" ht="15.75" customHeight="1">
      <c r="A389" s="328"/>
      <c r="B389" s="328"/>
      <c r="C389" s="328"/>
      <c r="D389" s="328"/>
      <c r="E389" s="328"/>
      <c r="F389" s="328"/>
      <c r="G389" s="328"/>
      <c r="H389" s="328"/>
      <c r="I389" s="328"/>
      <c r="J389" s="328"/>
      <c r="K389" s="328"/>
      <c r="L389" s="328"/>
      <c r="M389" s="328"/>
      <c r="N389" s="328"/>
      <c r="O389" s="328"/>
      <c r="P389" s="328"/>
      <c r="Q389" s="328"/>
      <c r="R389" s="328"/>
      <c r="S389" s="328"/>
      <c r="T389" s="328"/>
      <c r="U389" s="328"/>
      <c r="V389" s="328"/>
    </row>
    <row r="390" ht="15.75" customHeight="1">
      <c r="A390" s="328"/>
      <c r="B390" s="328"/>
      <c r="C390" s="328"/>
      <c r="D390" s="328"/>
      <c r="E390" s="328"/>
      <c r="F390" s="328"/>
      <c r="G390" s="328"/>
      <c r="H390" s="328"/>
      <c r="I390" s="328"/>
      <c r="J390" s="328"/>
      <c r="K390" s="328"/>
      <c r="L390" s="328"/>
      <c r="M390" s="328"/>
      <c r="N390" s="328"/>
      <c r="O390" s="328"/>
      <c r="P390" s="328"/>
      <c r="Q390" s="328"/>
      <c r="R390" s="328"/>
      <c r="S390" s="328"/>
      <c r="T390" s="328"/>
      <c r="U390" s="328"/>
      <c r="V390" s="328"/>
    </row>
    <row r="391" ht="15.75" customHeight="1">
      <c r="A391" s="328"/>
      <c r="B391" s="328"/>
      <c r="C391" s="328"/>
      <c r="D391" s="328"/>
      <c r="E391" s="328"/>
      <c r="F391" s="328"/>
      <c r="G391" s="328"/>
      <c r="H391" s="328"/>
      <c r="I391" s="328"/>
      <c r="J391" s="328"/>
      <c r="K391" s="328"/>
      <c r="L391" s="328"/>
      <c r="M391" s="328"/>
      <c r="N391" s="328"/>
      <c r="O391" s="328"/>
      <c r="P391" s="328"/>
      <c r="Q391" s="328"/>
      <c r="R391" s="328"/>
      <c r="S391" s="328"/>
      <c r="T391" s="328"/>
      <c r="U391" s="328"/>
      <c r="V391" s="328"/>
    </row>
    <row r="392" ht="15.75" customHeight="1">
      <c r="A392" s="328"/>
      <c r="B392" s="328"/>
      <c r="C392" s="328"/>
      <c r="D392" s="328"/>
      <c r="E392" s="328"/>
      <c r="F392" s="328"/>
      <c r="G392" s="328"/>
      <c r="H392" s="328"/>
      <c r="I392" s="328"/>
      <c r="J392" s="328"/>
      <c r="K392" s="328"/>
      <c r="L392" s="328"/>
      <c r="M392" s="328"/>
      <c r="N392" s="328"/>
      <c r="O392" s="328"/>
      <c r="P392" s="328"/>
      <c r="Q392" s="328"/>
      <c r="R392" s="328"/>
      <c r="S392" s="328"/>
      <c r="T392" s="328"/>
      <c r="U392" s="328"/>
      <c r="V392" s="328"/>
    </row>
    <row r="393" ht="15.75" customHeight="1">
      <c r="A393" s="328"/>
      <c r="B393" s="328"/>
      <c r="C393" s="328"/>
      <c r="D393" s="328"/>
      <c r="E393" s="328"/>
      <c r="F393" s="328"/>
      <c r="G393" s="328"/>
      <c r="H393" s="328"/>
      <c r="I393" s="328"/>
      <c r="J393" s="328"/>
      <c r="K393" s="328"/>
      <c r="L393" s="328"/>
      <c r="M393" s="328"/>
      <c r="N393" s="328"/>
      <c r="O393" s="328"/>
      <c r="P393" s="328"/>
      <c r="Q393" s="328"/>
      <c r="R393" s="328"/>
      <c r="S393" s="328"/>
      <c r="T393" s="328"/>
      <c r="U393" s="328"/>
      <c r="V393" s="328"/>
    </row>
    <row r="394" ht="15.75" customHeight="1">
      <c r="A394" s="328"/>
      <c r="B394" s="328"/>
      <c r="C394" s="328"/>
      <c r="D394" s="328"/>
      <c r="E394" s="328"/>
      <c r="F394" s="328"/>
      <c r="G394" s="328"/>
      <c r="H394" s="328"/>
      <c r="I394" s="328"/>
      <c r="J394" s="328"/>
      <c r="K394" s="328"/>
      <c r="L394" s="328"/>
      <c r="M394" s="328"/>
      <c r="N394" s="328"/>
      <c r="O394" s="328"/>
      <c r="P394" s="328"/>
      <c r="Q394" s="328"/>
      <c r="R394" s="328"/>
      <c r="S394" s="328"/>
      <c r="T394" s="328"/>
      <c r="U394" s="328"/>
      <c r="V394" s="328"/>
    </row>
    <row r="395" ht="15.75" customHeight="1">
      <c r="A395" s="328"/>
      <c r="B395" s="328"/>
      <c r="C395" s="328"/>
      <c r="D395" s="328"/>
      <c r="E395" s="328"/>
      <c r="F395" s="328"/>
      <c r="G395" s="328"/>
      <c r="H395" s="328"/>
      <c r="I395" s="328"/>
      <c r="J395" s="328"/>
      <c r="K395" s="328"/>
      <c r="L395" s="328"/>
      <c r="M395" s="328"/>
      <c r="N395" s="328"/>
      <c r="O395" s="328"/>
      <c r="P395" s="328"/>
      <c r="Q395" s="328"/>
      <c r="R395" s="328"/>
      <c r="S395" s="328"/>
      <c r="T395" s="328"/>
      <c r="U395" s="328"/>
      <c r="V395" s="328"/>
    </row>
    <row r="396" ht="15.75" customHeight="1">
      <c r="A396" s="328"/>
      <c r="B396" s="328"/>
      <c r="C396" s="328"/>
      <c r="D396" s="328"/>
      <c r="E396" s="328"/>
      <c r="F396" s="328"/>
      <c r="G396" s="328"/>
      <c r="H396" s="328"/>
      <c r="I396" s="328"/>
      <c r="J396" s="328"/>
      <c r="K396" s="328"/>
      <c r="L396" s="328"/>
      <c r="M396" s="328"/>
      <c r="N396" s="328"/>
      <c r="O396" s="328"/>
      <c r="P396" s="328"/>
      <c r="Q396" s="328"/>
      <c r="R396" s="328"/>
      <c r="S396" s="328"/>
      <c r="T396" s="328"/>
      <c r="U396" s="328"/>
      <c r="V396" s="328"/>
    </row>
    <row r="397" ht="15.75" customHeight="1">
      <c r="A397" s="328"/>
      <c r="B397" s="328"/>
      <c r="C397" s="328"/>
      <c r="D397" s="328"/>
      <c r="E397" s="328"/>
      <c r="F397" s="328"/>
      <c r="G397" s="328"/>
      <c r="H397" s="328"/>
      <c r="I397" s="328"/>
      <c r="J397" s="328"/>
      <c r="K397" s="328"/>
      <c r="L397" s="328"/>
      <c r="M397" s="328"/>
      <c r="N397" s="328"/>
      <c r="O397" s="328"/>
      <c r="P397" s="328"/>
      <c r="Q397" s="328"/>
      <c r="R397" s="328"/>
      <c r="S397" s="328"/>
      <c r="T397" s="328"/>
      <c r="U397" s="328"/>
      <c r="V397" s="328"/>
    </row>
    <row r="398" ht="15.75" customHeight="1">
      <c r="A398" s="328"/>
      <c r="B398" s="328"/>
      <c r="C398" s="328"/>
      <c r="D398" s="328"/>
      <c r="E398" s="328"/>
      <c r="F398" s="328"/>
      <c r="G398" s="328"/>
      <c r="H398" s="328"/>
      <c r="I398" s="328"/>
      <c r="J398" s="328"/>
      <c r="K398" s="328"/>
      <c r="L398" s="328"/>
      <c r="M398" s="328"/>
      <c r="N398" s="328"/>
      <c r="O398" s="328"/>
      <c r="P398" s="328"/>
      <c r="Q398" s="328"/>
      <c r="R398" s="328"/>
      <c r="S398" s="328"/>
      <c r="T398" s="328"/>
      <c r="U398" s="328"/>
      <c r="V398" s="328"/>
    </row>
    <row r="399" ht="15.75" customHeight="1">
      <c r="A399" s="328"/>
      <c r="B399" s="328"/>
      <c r="C399" s="328"/>
      <c r="D399" s="328"/>
      <c r="E399" s="328"/>
      <c r="F399" s="328"/>
      <c r="G399" s="328"/>
      <c r="H399" s="328"/>
      <c r="I399" s="328"/>
      <c r="J399" s="328"/>
      <c r="K399" s="328"/>
      <c r="L399" s="328"/>
      <c r="M399" s="328"/>
      <c r="N399" s="328"/>
      <c r="O399" s="328"/>
      <c r="P399" s="328"/>
      <c r="Q399" s="328"/>
      <c r="R399" s="328"/>
      <c r="S399" s="328"/>
      <c r="T399" s="328"/>
      <c r="U399" s="328"/>
      <c r="V399" s="328"/>
    </row>
    <row r="400" ht="15.75" customHeight="1">
      <c r="A400" s="328"/>
      <c r="B400" s="328"/>
      <c r="C400" s="328"/>
      <c r="D400" s="328"/>
      <c r="E400" s="328"/>
      <c r="F400" s="328"/>
      <c r="G400" s="328"/>
      <c r="H400" s="328"/>
      <c r="I400" s="328"/>
      <c r="J400" s="328"/>
      <c r="K400" s="328"/>
      <c r="L400" s="328"/>
      <c r="M400" s="328"/>
      <c r="N400" s="328"/>
      <c r="O400" s="328"/>
      <c r="P400" s="328"/>
      <c r="Q400" s="328"/>
      <c r="R400" s="328"/>
      <c r="S400" s="328"/>
      <c r="T400" s="328"/>
      <c r="U400" s="328"/>
      <c r="V400" s="328"/>
    </row>
    <row r="401" ht="15.75" customHeight="1">
      <c r="A401" s="328"/>
      <c r="B401" s="328"/>
      <c r="C401" s="328"/>
      <c r="D401" s="328"/>
      <c r="E401" s="328"/>
      <c r="F401" s="328"/>
      <c r="G401" s="328"/>
      <c r="H401" s="328"/>
      <c r="I401" s="328"/>
      <c r="J401" s="328"/>
      <c r="K401" s="328"/>
      <c r="L401" s="328"/>
      <c r="M401" s="328"/>
      <c r="N401" s="328"/>
      <c r="O401" s="328"/>
      <c r="P401" s="328"/>
      <c r="Q401" s="328"/>
      <c r="R401" s="328"/>
      <c r="S401" s="328"/>
      <c r="T401" s="328"/>
      <c r="U401" s="328"/>
      <c r="V401" s="328"/>
    </row>
    <row r="402" ht="15.75" customHeight="1">
      <c r="A402" s="328"/>
      <c r="B402" s="328"/>
      <c r="C402" s="328"/>
      <c r="D402" s="328"/>
      <c r="E402" s="328"/>
      <c r="F402" s="328"/>
      <c r="G402" s="328"/>
      <c r="H402" s="328"/>
      <c r="I402" s="328"/>
      <c r="J402" s="328"/>
      <c r="K402" s="328"/>
      <c r="L402" s="328"/>
      <c r="M402" s="328"/>
      <c r="N402" s="328"/>
      <c r="O402" s="328"/>
      <c r="P402" s="328"/>
      <c r="Q402" s="328"/>
      <c r="R402" s="328"/>
      <c r="S402" s="328"/>
      <c r="T402" s="328"/>
      <c r="U402" s="328"/>
      <c r="V402" s="328"/>
    </row>
    <row r="403" ht="15.75" customHeight="1">
      <c r="A403" s="328"/>
      <c r="B403" s="328"/>
      <c r="C403" s="328"/>
      <c r="D403" s="328"/>
      <c r="E403" s="328"/>
      <c r="F403" s="328"/>
      <c r="G403" s="328"/>
      <c r="H403" s="328"/>
      <c r="I403" s="328"/>
      <c r="J403" s="328"/>
      <c r="K403" s="328"/>
      <c r="L403" s="328"/>
      <c r="M403" s="328"/>
      <c r="N403" s="328"/>
      <c r="O403" s="328"/>
      <c r="P403" s="328"/>
      <c r="Q403" s="328"/>
      <c r="R403" s="328"/>
      <c r="S403" s="328"/>
      <c r="T403" s="328"/>
      <c r="U403" s="328"/>
      <c r="V403" s="328"/>
    </row>
    <row r="404" ht="15.75" customHeight="1">
      <c r="A404" s="328"/>
      <c r="B404" s="328"/>
      <c r="C404" s="328"/>
      <c r="D404" s="328"/>
      <c r="E404" s="328"/>
      <c r="F404" s="328"/>
      <c r="G404" s="328"/>
      <c r="H404" s="328"/>
      <c r="I404" s="328"/>
      <c r="J404" s="328"/>
      <c r="K404" s="328"/>
      <c r="L404" s="328"/>
      <c r="M404" s="328"/>
      <c r="N404" s="328"/>
      <c r="O404" s="328"/>
      <c r="P404" s="328"/>
      <c r="Q404" s="328"/>
      <c r="R404" s="328"/>
      <c r="S404" s="328"/>
      <c r="T404" s="328"/>
      <c r="U404" s="328"/>
      <c r="V404" s="328"/>
    </row>
    <row r="405" ht="15.75" customHeight="1">
      <c r="A405" s="328"/>
      <c r="B405" s="328"/>
      <c r="C405" s="328"/>
      <c r="D405" s="328"/>
      <c r="E405" s="328"/>
      <c r="F405" s="328"/>
      <c r="G405" s="328"/>
      <c r="H405" s="328"/>
      <c r="I405" s="328"/>
      <c r="J405" s="328"/>
      <c r="K405" s="328"/>
      <c r="L405" s="328"/>
      <c r="M405" s="328"/>
      <c r="N405" s="328"/>
      <c r="O405" s="328"/>
      <c r="P405" s="328"/>
      <c r="Q405" s="328"/>
      <c r="R405" s="328"/>
      <c r="S405" s="328"/>
      <c r="T405" s="328"/>
      <c r="U405" s="328"/>
      <c r="V405" s="328"/>
    </row>
    <row r="406" ht="15.75" customHeight="1">
      <c r="A406" s="328"/>
      <c r="B406" s="328"/>
      <c r="C406" s="328"/>
      <c r="D406" s="328"/>
      <c r="E406" s="328"/>
      <c r="F406" s="328"/>
      <c r="G406" s="328"/>
      <c r="H406" s="328"/>
      <c r="I406" s="328"/>
      <c r="J406" s="328"/>
      <c r="K406" s="328"/>
      <c r="L406" s="328"/>
      <c r="M406" s="328"/>
      <c r="N406" s="328"/>
      <c r="O406" s="328"/>
      <c r="P406" s="328"/>
      <c r="Q406" s="328"/>
      <c r="R406" s="328"/>
      <c r="S406" s="328"/>
      <c r="T406" s="328"/>
      <c r="U406" s="328"/>
      <c r="V406" s="328"/>
    </row>
    <row r="407" ht="15.75" customHeight="1">
      <c r="A407" s="328"/>
      <c r="B407" s="328"/>
      <c r="C407" s="328"/>
      <c r="D407" s="328"/>
      <c r="E407" s="328"/>
      <c r="F407" s="328"/>
      <c r="G407" s="328"/>
      <c r="H407" s="328"/>
      <c r="I407" s="328"/>
      <c r="J407" s="328"/>
      <c r="K407" s="328"/>
      <c r="L407" s="328"/>
      <c r="M407" s="328"/>
      <c r="N407" s="328"/>
      <c r="O407" s="328"/>
      <c r="P407" s="328"/>
      <c r="Q407" s="328"/>
      <c r="R407" s="328"/>
      <c r="S407" s="328"/>
      <c r="T407" s="328"/>
      <c r="U407" s="328"/>
      <c r="V407" s="328"/>
    </row>
    <row r="408" ht="15.75" customHeight="1">
      <c r="A408" s="328"/>
      <c r="B408" s="328"/>
      <c r="C408" s="328"/>
      <c r="D408" s="328"/>
      <c r="E408" s="328"/>
      <c r="F408" s="328"/>
      <c r="G408" s="328"/>
      <c r="H408" s="328"/>
      <c r="I408" s="328"/>
      <c r="J408" s="328"/>
      <c r="K408" s="328"/>
      <c r="L408" s="328"/>
      <c r="M408" s="328"/>
      <c r="N408" s="328"/>
      <c r="O408" s="328"/>
      <c r="P408" s="328"/>
      <c r="Q408" s="328"/>
      <c r="R408" s="328"/>
      <c r="S408" s="328"/>
      <c r="T408" s="328"/>
      <c r="U408" s="328"/>
      <c r="V408" s="328"/>
    </row>
    <row r="409" ht="15.75" customHeight="1">
      <c r="A409" s="328"/>
      <c r="B409" s="328"/>
      <c r="C409" s="328"/>
      <c r="D409" s="328"/>
      <c r="E409" s="328"/>
      <c r="F409" s="328"/>
      <c r="G409" s="328"/>
      <c r="H409" s="328"/>
      <c r="I409" s="328"/>
      <c r="J409" s="328"/>
      <c r="K409" s="328"/>
      <c r="L409" s="328"/>
      <c r="M409" s="328"/>
      <c r="N409" s="328"/>
      <c r="O409" s="328"/>
      <c r="P409" s="328"/>
      <c r="Q409" s="328"/>
      <c r="R409" s="328"/>
      <c r="S409" s="328"/>
      <c r="T409" s="328"/>
      <c r="U409" s="328"/>
      <c r="V409" s="328"/>
    </row>
    <row r="410" ht="15.75" customHeight="1">
      <c r="A410" s="328"/>
      <c r="B410" s="328"/>
      <c r="C410" s="328"/>
      <c r="D410" s="328"/>
      <c r="E410" s="328"/>
      <c r="F410" s="328"/>
      <c r="G410" s="328"/>
      <c r="H410" s="328"/>
      <c r="I410" s="328"/>
      <c r="J410" s="328"/>
      <c r="K410" s="328"/>
      <c r="L410" s="328"/>
      <c r="M410" s="328"/>
      <c r="N410" s="328"/>
      <c r="O410" s="328"/>
      <c r="P410" s="328"/>
      <c r="Q410" s="328"/>
      <c r="R410" s="328"/>
      <c r="S410" s="328"/>
      <c r="T410" s="328"/>
      <c r="U410" s="328"/>
      <c r="V410" s="328"/>
    </row>
    <row r="411" ht="15.75" customHeight="1">
      <c r="A411" s="328"/>
      <c r="B411" s="328"/>
      <c r="C411" s="328"/>
      <c r="D411" s="328"/>
      <c r="E411" s="328"/>
      <c r="F411" s="328"/>
      <c r="G411" s="328"/>
      <c r="H411" s="328"/>
      <c r="I411" s="328"/>
      <c r="J411" s="328"/>
      <c r="K411" s="328"/>
      <c r="L411" s="328"/>
      <c r="M411" s="328"/>
      <c r="N411" s="328"/>
      <c r="O411" s="328"/>
      <c r="P411" s="328"/>
      <c r="Q411" s="328"/>
      <c r="R411" s="328"/>
      <c r="S411" s="328"/>
      <c r="T411" s="328"/>
      <c r="U411" s="328"/>
      <c r="V411" s="328"/>
    </row>
    <row r="412" ht="15.75" customHeight="1">
      <c r="A412" s="328"/>
      <c r="B412" s="328"/>
      <c r="C412" s="328"/>
      <c r="D412" s="328"/>
      <c r="E412" s="328"/>
      <c r="F412" s="328"/>
      <c r="G412" s="328"/>
      <c r="H412" s="328"/>
      <c r="I412" s="328"/>
      <c r="J412" s="328"/>
      <c r="K412" s="328"/>
      <c r="L412" s="328"/>
      <c r="M412" s="328"/>
      <c r="N412" s="328"/>
      <c r="O412" s="328"/>
      <c r="P412" s="328"/>
      <c r="Q412" s="328"/>
      <c r="R412" s="328"/>
      <c r="S412" s="328"/>
      <c r="T412" s="328"/>
      <c r="U412" s="328"/>
      <c r="V412" s="328"/>
    </row>
    <row r="413" ht="15.75" customHeight="1">
      <c r="A413" s="328"/>
      <c r="B413" s="328"/>
      <c r="C413" s="328"/>
      <c r="D413" s="328"/>
      <c r="E413" s="328"/>
      <c r="F413" s="328"/>
      <c r="G413" s="328"/>
      <c r="H413" s="328"/>
      <c r="I413" s="328"/>
      <c r="J413" s="328"/>
      <c r="K413" s="328"/>
      <c r="L413" s="328"/>
      <c r="M413" s="328"/>
      <c r="N413" s="328"/>
      <c r="O413" s="328"/>
      <c r="P413" s="328"/>
      <c r="Q413" s="328"/>
      <c r="R413" s="328"/>
      <c r="S413" s="328"/>
      <c r="T413" s="328"/>
      <c r="U413" s="328"/>
      <c r="V413" s="328"/>
    </row>
    <row r="414" ht="15.75" customHeight="1">
      <c r="A414" s="328"/>
      <c r="B414" s="328"/>
      <c r="C414" s="328"/>
      <c r="D414" s="328"/>
      <c r="E414" s="328"/>
      <c r="F414" s="328"/>
      <c r="G414" s="328"/>
      <c r="H414" s="328"/>
      <c r="I414" s="328"/>
      <c r="J414" s="328"/>
      <c r="K414" s="328"/>
      <c r="L414" s="328"/>
      <c r="M414" s="328"/>
      <c r="N414" s="328"/>
      <c r="O414" s="328"/>
      <c r="P414" s="328"/>
      <c r="Q414" s="328"/>
      <c r="R414" s="328"/>
      <c r="S414" s="328"/>
      <c r="T414" s="328"/>
      <c r="U414" s="328"/>
      <c r="V414" s="328"/>
    </row>
    <row r="415" ht="15.75" customHeight="1">
      <c r="A415" s="328"/>
      <c r="B415" s="328"/>
      <c r="C415" s="328"/>
      <c r="D415" s="328"/>
      <c r="E415" s="328"/>
      <c r="F415" s="328"/>
      <c r="G415" s="328"/>
      <c r="H415" s="328"/>
      <c r="I415" s="328"/>
      <c r="J415" s="328"/>
      <c r="K415" s="328"/>
      <c r="L415" s="328"/>
      <c r="M415" s="328"/>
      <c r="N415" s="328"/>
      <c r="O415" s="328"/>
      <c r="P415" s="328"/>
      <c r="Q415" s="328"/>
      <c r="R415" s="328"/>
      <c r="S415" s="328"/>
      <c r="T415" s="328"/>
      <c r="U415" s="328"/>
      <c r="V415" s="328"/>
    </row>
    <row r="416" ht="15.75" customHeight="1">
      <c r="A416" s="328"/>
      <c r="B416" s="328"/>
      <c r="C416" s="328"/>
      <c r="D416" s="328"/>
      <c r="E416" s="328"/>
      <c r="F416" s="328"/>
      <c r="G416" s="328"/>
      <c r="H416" s="328"/>
      <c r="I416" s="328"/>
      <c r="J416" s="328"/>
      <c r="K416" s="328"/>
      <c r="L416" s="328"/>
      <c r="M416" s="328"/>
      <c r="N416" s="328"/>
      <c r="O416" s="328"/>
      <c r="P416" s="328"/>
      <c r="Q416" s="328"/>
      <c r="R416" s="328"/>
      <c r="S416" s="328"/>
      <c r="T416" s="328"/>
      <c r="U416" s="328"/>
      <c r="V416" s="328"/>
    </row>
    <row r="417" ht="15.75" customHeight="1">
      <c r="A417" s="328"/>
      <c r="B417" s="328"/>
      <c r="C417" s="328"/>
      <c r="D417" s="328"/>
      <c r="E417" s="328"/>
      <c r="F417" s="328"/>
      <c r="G417" s="328"/>
      <c r="H417" s="328"/>
      <c r="I417" s="328"/>
      <c r="J417" s="328"/>
      <c r="K417" s="328"/>
      <c r="L417" s="328"/>
      <c r="M417" s="328"/>
      <c r="N417" s="328"/>
      <c r="O417" s="328"/>
      <c r="P417" s="328"/>
      <c r="Q417" s="328"/>
      <c r="R417" s="328"/>
      <c r="S417" s="328"/>
      <c r="T417" s="328"/>
      <c r="U417" s="328"/>
      <c r="V417" s="328"/>
    </row>
    <row r="418" ht="15.75" customHeight="1">
      <c r="A418" s="328"/>
      <c r="B418" s="328"/>
      <c r="C418" s="328"/>
      <c r="D418" s="328"/>
      <c r="E418" s="328"/>
      <c r="F418" s="328"/>
      <c r="G418" s="328"/>
      <c r="H418" s="328"/>
      <c r="I418" s="328"/>
      <c r="J418" s="328"/>
      <c r="K418" s="328"/>
      <c r="L418" s="328"/>
      <c r="M418" s="328"/>
      <c r="N418" s="328"/>
      <c r="O418" s="328"/>
      <c r="P418" s="328"/>
      <c r="Q418" s="328"/>
      <c r="R418" s="328"/>
      <c r="S418" s="328"/>
      <c r="T418" s="328"/>
      <c r="U418" s="328"/>
      <c r="V418" s="328"/>
    </row>
    <row r="419" ht="15.75" customHeight="1">
      <c r="A419" s="328"/>
      <c r="B419" s="328"/>
      <c r="C419" s="328"/>
      <c r="D419" s="328"/>
      <c r="E419" s="328"/>
      <c r="F419" s="328"/>
      <c r="G419" s="328"/>
      <c r="H419" s="328"/>
      <c r="I419" s="328"/>
      <c r="J419" s="328"/>
      <c r="K419" s="328"/>
      <c r="L419" s="328"/>
      <c r="M419" s="328"/>
      <c r="N419" s="328"/>
      <c r="O419" s="328"/>
      <c r="P419" s="328"/>
      <c r="Q419" s="328"/>
      <c r="R419" s="328"/>
      <c r="S419" s="328"/>
      <c r="T419" s="328"/>
      <c r="U419" s="328"/>
      <c r="V419" s="328"/>
    </row>
    <row r="420" ht="15.75" customHeight="1">
      <c r="A420" s="328"/>
      <c r="B420" s="328"/>
      <c r="C420" s="328"/>
      <c r="D420" s="328"/>
      <c r="E420" s="328"/>
      <c r="F420" s="328"/>
      <c r="G420" s="328"/>
      <c r="H420" s="328"/>
      <c r="I420" s="328"/>
      <c r="J420" s="328"/>
      <c r="K420" s="328"/>
      <c r="L420" s="328"/>
      <c r="M420" s="328"/>
      <c r="N420" s="328"/>
      <c r="O420" s="328"/>
      <c r="P420" s="328"/>
      <c r="Q420" s="328"/>
      <c r="R420" s="328"/>
      <c r="S420" s="328"/>
      <c r="T420" s="328"/>
      <c r="U420" s="328"/>
      <c r="V420" s="328"/>
    </row>
    <row r="421" ht="15.75" customHeight="1">
      <c r="A421" s="328"/>
      <c r="B421" s="328"/>
      <c r="C421" s="328"/>
      <c r="D421" s="328"/>
      <c r="E421" s="328"/>
      <c r="F421" s="328"/>
      <c r="G421" s="328"/>
      <c r="H421" s="328"/>
      <c r="I421" s="328"/>
      <c r="J421" s="328"/>
      <c r="K421" s="328"/>
      <c r="L421" s="328"/>
      <c r="M421" s="328"/>
      <c r="N421" s="328"/>
      <c r="O421" s="328"/>
      <c r="P421" s="328"/>
      <c r="Q421" s="328"/>
      <c r="R421" s="328"/>
      <c r="S421" s="328"/>
      <c r="T421" s="328"/>
      <c r="U421" s="328"/>
      <c r="V421" s="328"/>
    </row>
    <row r="422" ht="15.75" customHeight="1">
      <c r="A422" s="328"/>
      <c r="B422" s="328"/>
      <c r="C422" s="328"/>
      <c r="D422" s="328"/>
      <c r="E422" s="328"/>
      <c r="F422" s="328"/>
      <c r="G422" s="328"/>
      <c r="H422" s="328"/>
      <c r="I422" s="328"/>
      <c r="J422" s="328"/>
      <c r="K422" s="328"/>
      <c r="L422" s="328"/>
      <c r="M422" s="328"/>
      <c r="N422" s="328"/>
      <c r="O422" s="328"/>
      <c r="P422" s="328"/>
      <c r="Q422" s="328"/>
      <c r="R422" s="328"/>
      <c r="S422" s="328"/>
      <c r="T422" s="328"/>
      <c r="U422" s="328"/>
      <c r="V422" s="328"/>
    </row>
    <row r="423" ht="15.75" customHeight="1">
      <c r="A423" s="328"/>
      <c r="B423" s="328"/>
      <c r="C423" s="328"/>
      <c r="D423" s="328"/>
      <c r="E423" s="328"/>
      <c r="F423" s="328"/>
      <c r="G423" s="328"/>
      <c r="H423" s="328"/>
      <c r="I423" s="328"/>
      <c r="J423" s="328"/>
      <c r="K423" s="328"/>
      <c r="L423" s="328"/>
      <c r="M423" s="328"/>
      <c r="N423" s="328"/>
      <c r="O423" s="328"/>
      <c r="P423" s="328"/>
      <c r="Q423" s="328"/>
      <c r="R423" s="328"/>
      <c r="S423" s="328"/>
      <c r="T423" s="328"/>
      <c r="U423" s="328"/>
      <c r="V423" s="328"/>
    </row>
    <row r="424" ht="15.75" customHeight="1">
      <c r="A424" s="328"/>
      <c r="B424" s="328"/>
      <c r="C424" s="328"/>
      <c r="D424" s="328"/>
      <c r="E424" s="328"/>
      <c r="F424" s="328"/>
      <c r="G424" s="328"/>
      <c r="H424" s="328"/>
      <c r="I424" s="328"/>
      <c r="J424" s="328"/>
      <c r="K424" s="328"/>
      <c r="L424" s="328"/>
      <c r="M424" s="328"/>
      <c r="N424" s="328"/>
      <c r="O424" s="328"/>
      <c r="P424" s="328"/>
      <c r="Q424" s="328"/>
      <c r="R424" s="328"/>
      <c r="S424" s="328"/>
      <c r="T424" s="328"/>
      <c r="U424" s="328"/>
      <c r="V424" s="328"/>
    </row>
    <row r="425" ht="15.75" customHeight="1">
      <c r="A425" s="328"/>
      <c r="B425" s="328"/>
      <c r="C425" s="328"/>
      <c r="D425" s="328"/>
      <c r="E425" s="328"/>
      <c r="F425" s="328"/>
      <c r="G425" s="328"/>
      <c r="H425" s="328"/>
      <c r="I425" s="328"/>
      <c r="J425" s="328"/>
      <c r="K425" s="328"/>
      <c r="L425" s="328"/>
      <c r="M425" s="328"/>
      <c r="N425" s="328"/>
      <c r="O425" s="328"/>
      <c r="P425" s="328"/>
      <c r="Q425" s="328"/>
      <c r="R425" s="328"/>
      <c r="S425" s="328"/>
      <c r="T425" s="328"/>
      <c r="U425" s="328"/>
      <c r="V425" s="328"/>
    </row>
    <row r="426" ht="15.75" customHeight="1">
      <c r="A426" s="328"/>
      <c r="B426" s="328"/>
      <c r="C426" s="328"/>
      <c r="D426" s="328"/>
      <c r="E426" s="328"/>
      <c r="F426" s="328"/>
      <c r="G426" s="328"/>
      <c r="H426" s="328"/>
      <c r="I426" s="328"/>
      <c r="J426" s="328"/>
      <c r="K426" s="328"/>
      <c r="L426" s="328"/>
      <c r="M426" s="328"/>
      <c r="N426" s="328"/>
      <c r="O426" s="328"/>
      <c r="P426" s="328"/>
      <c r="Q426" s="328"/>
      <c r="R426" s="328"/>
      <c r="S426" s="328"/>
      <c r="T426" s="328"/>
      <c r="U426" s="328"/>
      <c r="V426" s="328"/>
    </row>
    <row r="427" ht="15.75" customHeight="1">
      <c r="A427" s="328"/>
      <c r="B427" s="328"/>
      <c r="C427" s="328"/>
      <c r="D427" s="328"/>
      <c r="E427" s="328"/>
      <c r="F427" s="328"/>
      <c r="G427" s="328"/>
      <c r="H427" s="328"/>
      <c r="I427" s="328"/>
      <c r="J427" s="328"/>
      <c r="K427" s="328"/>
      <c r="L427" s="328"/>
      <c r="M427" s="328"/>
      <c r="N427" s="328"/>
      <c r="O427" s="328"/>
      <c r="P427" s="328"/>
      <c r="Q427" s="328"/>
      <c r="R427" s="328"/>
      <c r="S427" s="328"/>
      <c r="T427" s="328"/>
      <c r="U427" s="328"/>
      <c r="V427" s="328"/>
    </row>
    <row r="428" ht="15.75" customHeight="1">
      <c r="A428" s="328"/>
      <c r="B428" s="328"/>
      <c r="C428" s="328"/>
      <c r="D428" s="328"/>
      <c r="E428" s="328"/>
      <c r="F428" s="328"/>
      <c r="G428" s="328"/>
      <c r="H428" s="328"/>
      <c r="I428" s="328"/>
      <c r="J428" s="328"/>
      <c r="K428" s="328"/>
      <c r="L428" s="328"/>
      <c r="M428" s="328"/>
      <c r="N428" s="328"/>
      <c r="O428" s="328"/>
      <c r="P428" s="328"/>
      <c r="Q428" s="328"/>
      <c r="R428" s="328"/>
      <c r="S428" s="328"/>
      <c r="T428" s="328"/>
      <c r="U428" s="328"/>
      <c r="V428" s="328"/>
    </row>
    <row r="429" ht="15.75" customHeight="1">
      <c r="A429" s="328"/>
      <c r="B429" s="328"/>
      <c r="C429" s="328"/>
      <c r="D429" s="328"/>
      <c r="E429" s="328"/>
      <c r="F429" s="328"/>
      <c r="G429" s="328"/>
      <c r="H429" s="328"/>
      <c r="I429" s="328"/>
      <c r="J429" s="328"/>
      <c r="K429" s="328"/>
      <c r="L429" s="328"/>
      <c r="M429" s="328"/>
      <c r="N429" s="328"/>
      <c r="O429" s="328"/>
      <c r="P429" s="328"/>
      <c r="Q429" s="328"/>
      <c r="R429" s="328"/>
      <c r="S429" s="328"/>
      <c r="T429" s="328"/>
      <c r="U429" s="328"/>
      <c r="V429" s="328"/>
    </row>
    <row r="430" ht="15.75" customHeight="1">
      <c r="A430" s="328"/>
      <c r="B430" s="328"/>
      <c r="C430" s="328"/>
      <c r="D430" s="328"/>
      <c r="E430" s="328"/>
      <c r="F430" s="328"/>
      <c r="G430" s="328"/>
      <c r="H430" s="328"/>
      <c r="I430" s="328"/>
      <c r="J430" s="328"/>
      <c r="K430" s="328"/>
      <c r="L430" s="328"/>
      <c r="M430" s="328"/>
      <c r="N430" s="328"/>
      <c r="O430" s="328"/>
      <c r="P430" s="328"/>
      <c r="Q430" s="328"/>
      <c r="R430" s="328"/>
      <c r="S430" s="328"/>
      <c r="T430" s="328"/>
      <c r="U430" s="328"/>
      <c r="V430" s="328"/>
    </row>
    <row r="431" ht="15.75" customHeight="1">
      <c r="A431" s="328"/>
      <c r="B431" s="328"/>
      <c r="C431" s="328"/>
      <c r="D431" s="328"/>
      <c r="E431" s="328"/>
      <c r="F431" s="328"/>
      <c r="G431" s="328"/>
      <c r="H431" s="328"/>
      <c r="I431" s="328"/>
      <c r="J431" s="328"/>
      <c r="K431" s="328"/>
      <c r="L431" s="328"/>
      <c r="M431" s="328"/>
      <c r="N431" s="328"/>
      <c r="O431" s="328"/>
      <c r="P431" s="328"/>
      <c r="Q431" s="328"/>
      <c r="R431" s="328"/>
      <c r="S431" s="328"/>
      <c r="T431" s="328"/>
      <c r="U431" s="328"/>
      <c r="V431" s="328"/>
    </row>
    <row r="432" ht="15.75" customHeight="1">
      <c r="A432" s="328"/>
      <c r="B432" s="328"/>
      <c r="C432" s="328"/>
      <c r="D432" s="328"/>
      <c r="E432" s="328"/>
      <c r="F432" s="328"/>
      <c r="G432" s="328"/>
      <c r="H432" s="328"/>
      <c r="I432" s="328"/>
      <c r="J432" s="328"/>
      <c r="K432" s="328"/>
      <c r="L432" s="328"/>
      <c r="M432" s="328"/>
      <c r="N432" s="328"/>
      <c r="O432" s="328"/>
      <c r="P432" s="328"/>
      <c r="Q432" s="328"/>
      <c r="R432" s="328"/>
      <c r="S432" s="328"/>
      <c r="T432" s="328"/>
      <c r="U432" s="328"/>
      <c r="V432" s="328"/>
    </row>
    <row r="433" ht="15.75" customHeight="1">
      <c r="A433" s="328"/>
      <c r="B433" s="328"/>
      <c r="C433" s="328"/>
      <c r="D433" s="328"/>
      <c r="E433" s="328"/>
      <c r="F433" s="328"/>
      <c r="G433" s="328"/>
      <c r="H433" s="328"/>
      <c r="I433" s="328"/>
      <c r="J433" s="328"/>
      <c r="K433" s="328"/>
      <c r="L433" s="328"/>
      <c r="M433" s="328"/>
      <c r="N433" s="328"/>
      <c r="O433" s="328"/>
      <c r="P433" s="328"/>
      <c r="Q433" s="328"/>
      <c r="R433" s="328"/>
      <c r="S433" s="328"/>
      <c r="T433" s="328"/>
      <c r="U433" s="328"/>
      <c r="V433" s="328"/>
    </row>
    <row r="434" ht="15.75" customHeight="1">
      <c r="A434" s="328"/>
      <c r="B434" s="328"/>
      <c r="C434" s="328"/>
      <c r="D434" s="328"/>
      <c r="E434" s="328"/>
      <c r="F434" s="328"/>
      <c r="G434" s="328"/>
      <c r="H434" s="328"/>
      <c r="I434" s="328"/>
      <c r="J434" s="328"/>
      <c r="K434" s="328"/>
      <c r="L434" s="328"/>
      <c r="M434" s="328"/>
      <c r="N434" s="328"/>
      <c r="O434" s="328"/>
      <c r="P434" s="328"/>
      <c r="Q434" s="328"/>
      <c r="R434" s="328"/>
      <c r="S434" s="328"/>
      <c r="T434" s="328"/>
      <c r="U434" s="328"/>
      <c r="V434" s="328"/>
    </row>
    <row r="435" ht="15.75" customHeight="1">
      <c r="A435" s="328"/>
      <c r="B435" s="328"/>
      <c r="C435" s="328"/>
      <c r="D435" s="328"/>
      <c r="E435" s="328"/>
      <c r="F435" s="328"/>
      <c r="G435" s="328"/>
      <c r="H435" s="328"/>
      <c r="I435" s="328"/>
      <c r="J435" s="328"/>
      <c r="K435" s="328"/>
      <c r="L435" s="328"/>
      <c r="M435" s="328"/>
      <c r="N435" s="328"/>
      <c r="O435" s="328"/>
      <c r="P435" s="328"/>
      <c r="Q435" s="328"/>
      <c r="R435" s="328"/>
      <c r="S435" s="328"/>
      <c r="T435" s="328"/>
      <c r="U435" s="328"/>
      <c r="V435" s="328"/>
    </row>
    <row r="436" ht="15.75" customHeight="1">
      <c r="A436" s="328"/>
      <c r="B436" s="328"/>
      <c r="C436" s="328"/>
      <c r="D436" s="328"/>
      <c r="E436" s="328"/>
      <c r="F436" s="328"/>
      <c r="G436" s="328"/>
      <c r="H436" s="328"/>
      <c r="I436" s="328"/>
      <c r="J436" s="328"/>
      <c r="K436" s="328"/>
      <c r="L436" s="328"/>
      <c r="M436" s="328"/>
      <c r="N436" s="328"/>
      <c r="O436" s="328"/>
      <c r="P436" s="328"/>
      <c r="Q436" s="328"/>
      <c r="R436" s="328"/>
      <c r="S436" s="328"/>
      <c r="T436" s="328"/>
      <c r="U436" s="328"/>
      <c r="V436" s="328"/>
    </row>
    <row r="437" ht="15.75" customHeight="1">
      <c r="A437" s="328"/>
      <c r="B437" s="328"/>
      <c r="C437" s="328"/>
      <c r="D437" s="328"/>
      <c r="E437" s="328"/>
      <c r="F437" s="328"/>
      <c r="G437" s="328"/>
      <c r="H437" s="328"/>
      <c r="I437" s="328"/>
      <c r="J437" s="328"/>
      <c r="K437" s="328"/>
      <c r="L437" s="328"/>
      <c r="M437" s="328"/>
      <c r="N437" s="328"/>
      <c r="O437" s="328"/>
      <c r="P437" s="328"/>
      <c r="Q437" s="328"/>
      <c r="R437" s="328"/>
      <c r="S437" s="328"/>
      <c r="T437" s="328"/>
      <c r="U437" s="328"/>
      <c r="V437" s="328"/>
    </row>
    <row r="438" ht="15.75" customHeight="1">
      <c r="A438" s="328"/>
      <c r="B438" s="328"/>
      <c r="C438" s="328"/>
      <c r="D438" s="328"/>
      <c r="E438" s="328"/>
      <c r="F438" s="328"/>
      <c r="G438" s="328"/>
      <c r="H438" s="328"/>
      <c r="I438" s="328"/>
      <c r="J438" s="328"/>
      <c r="K438" s="328"/>
      <c r="L438" s="328"/>
      <c r="M438" s="328"/>
      <c r="N438" s="328"/>
      <c r="O438" s="328"/>
      <c r="P438" s="328"/>
      <c r="Q438" s="328"/>
      <c r="R438" s="328"/>
      <c r="S438" s="328"/>
      <c r="T438" s="328"/>
      <c r="U438" s="328"/>
      <c r="V438" s="328"/>
    </row>
    <row r="439" ht="15.75" customHeight="1">
      <c r="A439" s="328"/>
      <c r="B439" s="328"/>
      <c r="C439" s="328"/>
      <c r="D439" s="328"/>
      <c r="E439" s="328"/>
      <c r="F439" s="328"/>
      <c r="G439" s="328"/>
      <c r="H439" s="328"/>
      <c r="I439" s="328"/>
      <c r="J439" s="328"/>
      <c r="K439" s="328"/>
      <c r="L439" s="328"/>
      <c r="M439" s="328"/>
      <c r="N439" s="328"/>
      <c r="O439" s="328"/>
      <c r="P439" s="328"/>
      <c r="Q439" s="328"/>
      <c r="R439" s="328"/>
      <c r="S439" s="328"/>
      <c r="T439" s="328"/>
      <c r="U439" s="328"/>
      <c r="V439" s="328"/>
    </row>
    <row r="440" ht="15.75" customHeight="1">
      <c r="A440" s="328"/>
      <c r="B440" s="328"/>
      <c r="C440" s="328"/>
      <c r="D440" s="328"/>
      <c r="E440" s="328"/>
      <c r="F440" s="328"/>
      <c r="G440" s="328"/>
      <c r="H440" s="328"/>
      <c r="I440" s="328"/>
      <c r="J440" s="328"/>
      <c r="K440" s="328"/>
      <c r="L440" s="328"/>
      <c r="M440" s="328"/>
      <c r="N440" s="328"/>
      <c r="O440" s="328"/>
      <c r="P440" s="328"/>
      <c r="Q440" s="328"/>
      <c r="R440" s="328"/>
      <c r="S440" s="328"/>
      <c r="T440" s="328"/>
      <c r="U440" s="328"/>
      <c r="V440" s="328"/>
    </row>
    <row r="441" ht="15.75" customHeight="1">
      <c r="A441" s="328"/>
      <c r="B441" s="328"/>
      <c r="C441" s="328"/>
      <c r="D441" s="328"/>
      <c r="E441" s="328"/>
      <c r="F441" s="328"/>
      <c r="G441" s="328"/>
      <c r="H441" s="328"/>
      <c r="I441" s="328"/>
      <c r="J441" s="328"/>
      <c r="K441" s="328"/>
      <c r="L441" s="328"/>
      <c r="M441" s="328"/>
      <c r="N441" s="328"/>
      <c r="O441" s="328"/>
      <c r="P441" s="328"/>
      <c r="Q441" s="328"/>
      <c r="R441" s="328"/>
      <c r="S441" s="328"/>
      <c r="T441" s="328"/>
      <c r="U441" s="328"/>
      <c r="V441" s="328"/>
    </row>
    <row r="442" ht="15.75" customHeight="1">
      <c r="A442" s="328"/>
      <c r="B442" s="328"/>
      <c r="C442" s="328"/>
      <c r="D442" s="328"/>
      <c r="E442" s="328"/>
      <c r="F442" s="328"/>
      <c r="G442" s="328"/>
      <c r="H442" s="328"/>
      <c r="I442" s="328"/>
      <c r="J442" s="328"/>
      <c r="K442" s="328"/>
      <c r="L442" s="328"/>
      <c r="M442" s="328"/>
      <c r="N442" s="328"/>
      <c r="O442" s="328"/>
      <c r="P442" s="328"/>
      <c r="Q442" s="328"/>
      <c r="R442" s="328"/>
      <c r="S442" s="328"/>
      <c r="T442" s="328"/>
      <c r="U442" s="328"/>
      <c r="V442" s="328"/>
    </row>
    <row r="443" ht="15.75" customHeight="1">
      <c r="A443" s="328"/>
      <c r="B443" s="328"/>
      <c r="C443" s="328"/>
      <c r="D443" s="328"/>
      <c r="E443" s="328"/>
      <c r="F443" s="328"/>
      <c r="G443" s="328"/>
      <c r="H443" s="328"/>
      <c r="I443" s="328"/>
      <c r="J443" s="328"/>
      <c r="K443" s="328"/>
      <c r="L443" s="328"/>
      <c r="M443" s="328"/>
      <c r="N443" s="328"/>
      <c r="O443" s="328"/>
      <c r="P443" s="328"/>
      <c r="Q443" s="328"/>
      <c r="R443" s="328"/>
      <c r="S443" s="328"/>
      <c r="T443" s="328"/>
      <c r="U443" s="328"/>
      <c r="V443" s="328"/>
    </row>
    <row r="444" ht="15.75" customHeight="1">
      <c r="A444" s="328"/>
      <c r="B444" s="328"/>
      <c r="C444" s="328"/>
      <c r="D444" s="328"/>
      <c r="E444" s="328"/>
      <c r="F444" s="328"/>
      <c r="G444" s="328"/>
      <c r="H444" s="328"/>
      <c r="I444" s="328"/>
      <c r="J444" s="328"/>
      <c r="K444" s="328"/>
      <c r="L444" s="328"/>
      <c r="M444" s="328"/>
      <c r="N444" s="328"/>
      <c r="O444" s="328"/>
      <c r="P444" s="328"/>
      <c r="Q444" s="328"/>
      <c r="R444" s="328"/>
      <c r="S444" s="328"/>
      <c r="T444" s="328"/>
      <c r="U444" s="328"/>
      <c r="V444" s="328"/>
    </row>
    <row r="445" ht="15.75" customHeight="1">
      <c r="A445" s="328"/>
      <c r="B445" s="328"/>
      <c r="C445" s="328"/>
      <c r="D445" s="328"/>
      <c r="E445" s="328"/>
      <c r="F445" s="328"/>
      <c r="G445" s="328"/>
      <c r="H445" s="328"/>
      <c r="I445" s="328"/>
      <c r="J445" s="328"/>
      <c r="K445" s="328"/>
      <c r="L445" s="328"/>
      <c r="M445" s="328"/>
      <c r="N445" s="328"/>
      <c r="O445" s="328"/>
      <c r="P445" s="328"/>
      <c r="Q445" s="328"/>
      <c r="R445" s="328"/>
      <c r="S445" s="328"/>
      <c r="T445" s="328"/>
      <c r="U445" s="328"/>
      <c r="V445" s="328"/>
    </row>
    <row r="446" ht="15.75" customHeight="1">
      <c r="A446" s="328"/>
      <c r="B446" s="328"/>
      <c r="C446" s="328"/>
      <c r="D446" s="328"/>
      <c r="E446" s="328"/>
      <c r="F446" s="328"/>
      <c r="G446" s="328"/>
      <c r="H446" s="328"/>
      <c r="I446" s="328"/>
      <c r="J446" s="328"/>
      <c r="K446" s="328"/>
      <c r="L446" s="328"/>
      <c r="M446" s="328"/>
      <c r="N446" s="328"/>
      <c r="O446" s="328"/>
      <c r="P446" s="328"/>
      <c r="Q446" s="328"/>
      <c r="R446" s="328"/>
      <c r="S446" s="328"/>
      <c r="T446" s="328"/>
      <c r="U446" s="328"/>
      <c r="V446" s="328"/>
    </row>
    <row r="447" ht="15.75" customHeight="1">
      <c r="A447" s="328"/>
      <c r="B447" s="328"/>
      <c r="C447" s="328"/>
      <c r="D447" s="328"/>
      <c r="E447" s="328"/>
      <c r="F447" s="328"/>
      <c r="G447" s="328"/>
      <c r="H447" s="328"/>
      <c r="I447" s="328"/>
      <c r="J447" s="328"/>
      <c r="K447" s="328"/>
      <c r="L447" s="328"/>
      <c r="M447" s="328"/>
      <c r="N447" s="328"/>
      <c r="O447" s="328"/>
      <c r="P447" s="328"/>
      <c r="Q447" s="328"/>
      <c r="R447" s="328"/>
      <c r="S447" s="328"/>
      <c r="T447" s="328"/>
      <c r="U447" s="328"/>
      <c r="V447" s="328"/>
    </row>
    <row r="448" ht="15.75" customHeight="1">
      <c r="A448" s="328"/>
      <c r="B448" s="328"/>
      <c r="C448" s="328"/>
      <c r="D448" s="328"/>
      <c r="E448" s="328"/>
      <c r="F448" s="328"/>
      <c r="G448" s="328"/>
      <c r="H448" s="328"/>
      <c r="I448" s="328"/>
      <c r="J448" s="328"/>
      <c r="K448" s="328"/>
      <c r="L448" s="328"/>
      <c r="M448" s="328"/>
      <c r="N448" s="328"/>
      <c r="O448" s="328"/>
      <c r="P448" s="328"/>
      <c r="Q448" s="328"/>
      <c r="R448" s="328"/>
      <c r="S448" s="328"/>
      <c r="T448" s="328"/>
      <c r="U448" s="328"/>
      <c r="V448" s="328"/>
    </row>
    <row r="449" ht="15.75" customHeight="1">
      <c r="A449" s="328"/>
      <c r="B449" s="328"/>
      <c r="C449" s="328"/>
      <c r="D449" s="328"/>
      <c r="E449" s="328"/>
      <c r="F449" s="328"/>
      <c r="G449" s="328"/>
      <c r="H449" s="328"/>
      <c r="I449" s="328"/>
      <c r="J449" s="328"/>
      <c r="K449" s="328"/>
      <c r="L449" s="328"/>
      <c r="M449" s="328"/>
      <c r="N449" s="328"/>
      <c r="O449" s="328"/>
      <c r="P449" s="328"/>
      <c r="Q449" s="328"/>
      <c r="R449" s="328"/>
      <c r="S449" s="328"/>
      <c r="T449" s="328"/>
      <c r="U449" s="328"/>
      <c r="V449" s="328"/>
    </row>
    <row r="450" ht="15.75" customHeight="1">
      <c r="A450" s="328"/>
      <c r="B450" s="328"/>
      <c r="C450" s="328"/>
      <c r="D450" s="328"/>
      <c r="E450" s="328"/>
      <c r="F450" s="328"/>
      <c r="G450" s="328"/>
      <c r="H450" s="328"/>
      <c r="I450" s="328"/>
      <c r="J450" s="328"/>
      <c r="K450" s="328"/>
      <c r="L450" s="328"/>
      <c r="M450" s="328"/>
      <c r="N450" s="328"/>
      <c r="O450" s="328"/>
      <c r="P450" s="328"/>
      <c r="Q450" s="328"/>
      <c r="R450" s="328"/>
      <c r="S450" s="328"/>
      <c r="T450" s="328"/>
      <c r="U450" s="328"/>
      <c r="V450" s="328"/>
    </row>
    <row r="451" ht="15.75" customHeight="1">
      <c r="A451" s="328"/>
      <c r="B451" s="328"/>
      <c r="C451" s="328"/>
      <c r="D451" s="328"/>
      <c r="E451" s="328"/>
      <c r="F451" s="328"/>
      <c r="G451" s="328"/>
      <c r="H451" s="328"/>
      <c r="I451" s="328"/>
      <c r="J451" s="328"/>
      <c r="K451" s="328"/>
      <c r="L451" s="328"/>
      <c r="M451" s="328"/>
      <c r="N451" s="328"/>
      <c r="O451" s="328"/>
      <c r="P451" s="328"/>
      <c r="Q451" s="328"/>
      <c r="R451" s="328"/>
      <c r="S451" s="328"/>
      <c r="T451" s="328"/>
      <c r="U451" s="328"/>
      <c r="V451" s="328"/>
    </row>
    <row r="452" ht="15.75" customHeight="1">
      <c r="A452" s="328"/>
      <c r="B452" s="328"/>
      <c r="C452" s="328"/>
      <c r="D452" s="328"/>
      <c r="E452" s="328"/>
      <c r="F452" s="328"/>
      <c r="G452" s="328"/>
      <c r="H452" s="328"/>
      <c r="I452" s="328"/>
      <c r="J452" s="328"/>
      <c r="K452" s="328"/>
      <c r="L452" s="328"/>
      <c r="M452" s="328"/>
      <c r="N452" s="328"/>
      <c r="O452" s="328"/>
      <c r="P452" s="328"/>
      <c r="Q452" s="328"/>
      <c r="R452" s="328"/>
      <c r="S452" s="328"/>
      <c r="T452" s="328"/>
      <c r="U452" s="328"/>
      <c r="V452" s="328"/>
    </row>
    <row r="453" ht="15.75" customHeight="1">
      <c r="A453" s="328"/>
      <c r="B453" s="328"/>
      <c r="C453" s="328"/>
      <c r="D453" s="328"/>
      <c r="E453" s="328"/>
      <c r="F453" s="328"/>
      <c r="G453" s="328"/>
      <c r="H453" s="328"/>
      <c r="I453" s="328"/>
      <c r="J453" s="328"/>
      <c r="K453" s="328"/>
      <c r="L453" s="328"/>
      <c r="M453" s="328"/>
      <c r="N453" s="328"/>
      <c r="O453" s="328"/>
      <c r="P453" s="328"/>
      <c r="Q453" s="328"/>
      <c r="R453" s="328"/>
      <c r="S453" s="328"/>
      <c r="T453" s="328"/>
      <c r="U453" s="328"/>
      <c r="V453" s="328"/>
    </row>
    <row r="454" ht="15.75" customHeight="1">
      <c r="A454" s="328"/>
      <c r="B454" s="328"/>
      <c r="C454" s="328"/>
      <c r="D454" s="328"/>
      <c r="E454" s="328"/>
      <c r="F454" s="328"/>
      <c r="G454" s="328"/>
      <c r="H454" s="328"/>
      <c r="I454" s="328"/>
      <c r="J454" s="328"/>
      <c r="K454" s="328"/>
      <c r="L454" s="328"/>
      <c r="M454" s="328"/>
      <c r="N454" s="328"/>
      <c r="O454" s="328"/>
      <c r="P454" s="328"/>
      <c r="Q454" s="328"/>
      <c r="R454" s="328"/>
      <c r="S454" s="328"/>
      <c r="T454" s="328"/>
      <c r="U454" s="328"/>
      <c r="V454" s="328"/>
    </row>
    <row r="455" ht="15.75" customHeight="1">
      <c r="A455" s="328"/>
      <c r="B455" s="328"/>
      <c r="C455" s="328"/>
      <c r="D455" s="328"/>
      <c r="E455" s="328"/>
      <c r="F455" s="328"/>
      <c r="G455" s="328"/>
      <c r="H455" s="328"/>
      <c r="I455" s="328"/>
      <c r="J455" s="328"/>
      <c r="K455" s="328"/>
      <c r="L455" s="328"/>
      <c r="M455" s="328"/>
      <c r="N455" s="328"/>
      <c r="O455" s="328"/>
      <c r="P455" s="328"/>
      <c r="Q455" s="328"/>
      <c r="R455" s="328"/>
      <c r="S455" s="328"/>
      <c r="T455" s="328"/>
      <c r="U455" s="328"/>
      <c r="V455" s="328"/>
    </row>
    <row r="456" ht="15.75" customHeight="1">
      <c r="A456" s="328"/>
      <c r="B456" s="328"/>
      <c r="C456" s="328"/>
      <c r="D456" s="328"/>
      <c r="E456" s="328"/>
      <c r="F456" s="328"/>
      <c r="G456" s="328"/>
      <c r="H456" s="328"/>
      <c r="I456" s="328"/>
      <c r="J456" s="328"/>
      <c r="K456" s="328"/>
      <c r="L456" s="328"/>
      <c r="M456" s="328"/>
      <c r="N456" s="328"/>
      <c r="O456" s="328"/>
      <c r="P456" s="328"/>
      <c r="Q456" s="328"/>
      <c r="R456" s="328"/>
      <c r="S456" s="328"/>
      <c r="T456" s="328"/>
      <c r="U456" s="328"/>
      <c r="V456" s="328"/>
    </row>
    <row r="457" ht="15.75" customHeight="1">
      <c r="A457" s="328"/>
      <c r="B457" s="328"/>
      <c r="C457" s="328"/>
      <c r="D457" s="328"/>
      <c r="E457" s="328"/>
      <c r="F457" s="328"/>
      <c r="G457" s="328"/>
      <c r="H457" s="328"/>
      <c r="I457" s="328"/>
      <c r="J457" s="328"/>
      <c r="K457" s="328"/>
      <c r="L457" s="328"/>
      <c r="M457" s="328"/>
      <c r="N457" s="328"/>
      <c r="O457" s="328"/>
      <c r="P457" s="328"/>
      <c r="Q457" s="328"/>
      <c r="R457" s="328"/>
      <c r="S457" s="328"/>
      <c r="T457" s="328"/>
      <c r="U457" s="328"/>
      <c r="V457" s="328"/>
    </row>
    <row r="458" ht="15.75" customHeight="1">
      <c r="A458" s="328"/>
      <c r="B458" s="328"/>
      <c r="C458" s="328"/>
      <c r="D458" s="328"/>
      <c r="E458" s="328"/>
      <c r="F458" s="328"/>
      <c r="G458" s="328"/>
      <c r="H458" s="328"/>
      <c r="I458" s="328"/>
      <c r="J458" s="328"/>
      <c r="K458" s="328"/>
      <c r="L458" s="328"/>
      <c r="M458" s="328"/>
      <c r="N458" s="328"/>
      <c r="O458" s="328"/>
      <c r="P458" s="328"/>
      <c r="Q458" s="328"/>
      <c r="R458" s="328"/>
      <c r="S458" s="328"/>
      <c r="T458" s="328"/>
      <c r="U458" s="328"/>
      <c r="V458" s="328"/>
    </row>
    <row r="459" ht="15.75" customHeight="1">
      <c r="A459" s="328"/>
      <c r="B459" s="328"/>
      <c r="C459" s="328"/>
      <c r="D459" s="328"/>
      <c r="E459" s="328"/>
      <c r="F459" s="328"/>
      <c r="G459" s="328"/>
      <c r="H459" s="328"/>
      <c r="I459" s="328"/>
      <c r="J459" s="328"/>
      <c r="K459" s="328"/>
      <c r="L459" s="328"/>
      <c r="M459" s="328"/>
      <c r="N459" s="328"/>
      <c r="O459" s="328"/>
      <c r="P459" s="328"/>
      <c r="Q459" s="328"/>
      <c r="R459" s="328"/>
      <c r="S459" s="328"/>
      <c r="T459" s="328"/>
      <c r="U459" s="328"/>
      <c r="V459" s="328"/>
    </row>
    <row r="460" ht="15.75" customHeight="1">
      <c r="A460" s="328"/>
      <c r="B460" s="328"/>
      <c r="C460" s="328"/>
      <c r="D460" s="328"/>
      <c r="E460" s="328"/>
      <c r="F460" s="328"/>
      <c r="G460" s="328"/>
      <c r="H460" s="328"/>
      <c r="I460" s="328"/>
      <c r="J460" s="328"/>
      <c r="K460" s="328"/>
      <c r="L460" s="328"/>
      <c r="M460" s="328"/>
      <c r="N460" s="328"/>
      <c r="O460" s="328"/>
      <c r="P460" s="328"/>
      <c r="Q460" s="328"/>
      <c r="R460" s="328"/>
      <c r="S460" s="328"/>
      <c r="T460" s="328"/>
      <c r="U460" s="328"/>
      <c r="V460" s="328"/>
    </row>
    <row r="461" ht="15.75" customHeight="1">
      <c r="A461" s="328"/>
      <c r="B461" s="328"/>
      <c r="C461" s="328"/>
      <c r="D461" s="328"/>
      <c r="E461" s="328"/>
      <c r="F461" s="328"/>
      <c r="G461" s="328"/>
      <c r="H461" s="328"/>
      <c r="I461" s="328"/>
      <c r="J461" s="328"/>
      <c r="K461" s="328"/>
      <c r="L461" s="328"/>
      <c r="M461" s="328"/>
      <c r="N461" s="328"/>
      <c r="O461" s="328"/>
      <c r="P461" s="328"/>
      <c r="Q461" s="328"/>
      <c r="R461" s="328"/>
      <c r="S461" s="328"/>
      <c r="T461" s="328"/>
      <c r="U461" s="328"/>
      <c r="V461" s="328"/>
    </row>
    <row r="462" ht="15.75" customHeight="1">
      <c r="A462" s="328"/>
      <c r="B462" s="328"/>
      <c r="C462" s="328"/>
      <c r="D462" s="328"/>
      <c r="E462" s="328"/>
      <c r="F462" s="328"/>
      <c r="G462" s="328"/>
      <c r="H462" s="328"/>
      <c r="I462" s="328"/>
      <c r="J462" s="328"/>
      <c r="K462" s="328"/>
      <c r="L462" s="328"/>
      <c r="M462" s="328"/>
      <c r="N462" s="328"/>
      <c r="O462" s="328"/>
      <c r="P462" s="328"/>
      <c r="Q462" s="328"/>
      <c r="R462" s="328"/>
      <c r="S462" s="328"/>
      <c r="T462" s="328"/>
      <c r="U462" s="328"/>
      <c r="V462" s="328"/>
    </row>
    <row r="463" ht="15.75" customHeight="1">
      <c r="A463" s="328"/>
      <c r="B463" s="328"/>
      <c r="C463" s="328"/>
      <c r="D463" s="328"/>
      <c r="E463" s="328"/>
      <c r="F463" s="328"/>
      <c r="G463" s="328"/>
      <c r="H463" s="328"/>
      <c r="I463" s="328"/>
      <c r="J463" s="328"/>
      <c r="K463" s="328"/>
      <c r="L463" s="328"/>
      <c r="M463" s="328"/>
      <c r="N463" s="328"/>
      <c r="O463" s="328"/>
      <c r="P463" s="328"/>
      <c r="Q463" s="328"/>
      <c r="R463" s="328"/>
      <c r="S463" s="328"/>
      <c r="T463" s="328"/>
      <c r="U463" s="328"/>
      <c r="V463" s="328"/>
    </row>
    <row r="464" ht="15.75" customHeight="1">
      <c r="A464" s="328"/>
      <c r="B464" s="328"/>
      <c r="C464" s="328"/>
      <c r="D464" s="328"/>
      <c r="E464" s="328"/>
      <c r="F464" s="328"/>
      <c r="G464" s="328"/>
      <c r="H464" s="328"/>
      <c r="I464" s="328"/>
      <c r="J464" s="328"/>
      <c r="K464" s="328"/>
      <c r="L464" s="328"/>
      <c r="M464" s="328"/>
      <c r="N464" s="328"/>
      <c r="O464" s="328"/>
      <c r="P464" s="328"/>
      <c r="Q464" s="328"/>
      <c r="R464" s="328"/>
      <c r="S464" s="328"/>
      <c r="T464" s="328"/>
      <c r="U464" s="328"/>
      <c r="V464" s="328"/>
    </row>
    <row r="465" ht="15.75" customHeight="1">
      <c r="A465" s="328"/>
      <c r="B465" s="328"/>
      <c r="C465" s="328"/>
      <c r="D465" s="328"/>
      <c r="E465" s="328"/>
      <c r="F465" s="328"/>
      <c r="G465" s="328"/>
      <c r="H465" s="328"/>
      <c r="I465" s="328"/>
      <c r="J465" s="328"/>
      <c r="K465" s="328"/>
      <c r="L465" s="328"/>
      <c r="M465" s="328"/>
      <c r="N465" s="328"/>
      <c r="O465" s="328"/>
      <c r="P465" s="328"/>
      <c r="Q465" s="328"/>
      <c r="R465" s="328"/>
      <c r="S465" s="328"/>
      <c r="T465" s="328"/>
      <c r="U465" s="328"/>
      <c r="V465" s="328"/>
    </row>
    <row r="466" ht="15.75" customHeight="1">
      <c r="A466" s="328"/>
      <c r="B466" s="328"/>
      <c r="C466" s="328"/>
      <c r="D466" s="328"/>
      <c r="E466" s="328"/>
      <c r="F466" s="328"/>
      <c r="G466" s="328"/>
      <c r="H466" s="328"/>
      <c r="I466" s="328"/>
      <c r="J466" s="328"/>
      <c r="K466" s="328"/>
      <c r="L466" s="328"/>
      <c r="M466" s="328"/>
      <c r="N466" s="328"/>
      <c r="O466" s="328"/>
      <c r="P466" s="328"/>
      <c r="Q466" s="328"/>
      <c r="R466" s="328"/>
      <c r="S466" s="328"/>
      <c r="T466" s="328"/>
      <c r="U466" s="328"/>
      <c r="V466" s="328"/>
    </row>
    <row r="467" ht="15.75" customHeight="1">
      <c r="A467" s="328"/>
      <c r="B467" s="328"/>
      <c r="C467" s="328"/>
      <c r="D467" s="328"/>
      <c r="E467" s="328"/>
      <c r="F467" s="328"/>
      <c r="G467" s="328"/>
      <c r="H467" s="328"/>
      <c r="I467" s="328"/>
      <c r="J467" s="328"/>
      <c r="K467" s="328"/>
      <c r="L467" s="328"/>
      <c r="M467" s="328"/>
      <c r="N467" s="328"/>
      <c r="O467" s="328"/>
      <c r="P467" s="328"/>
      <c r="Q467" s="328"/>
      <c r="R467" s="328"/>
      <c r="S467" s="328"/>
      <c r="T467" s="328"/>
      <c r="U467" s="328"/>
      <c r="V467" s="328"/>
    </row>
    <row r="468" ht="15.75" customHeight="1">
      <c r="A468" s="328"/>
      <c r="B468" s="328"/>
      <c r="C468" s="328"/>
      <c r="D468" s="328"/>
      <c r="E468" s="328"/>
      <c r="F468" s="328"/>
      <c r="G468" s="328"/>
      <c r="H468" s="328"/>
      <c r="I468" s="328"/>
      <c r="J468" s="328"/>
      <c r="K468" s="328"/>
      <c r="L468" s="328"/>
      <c r="M468" s="328"/>
      <c r="N468" s="328"/>
      <c r="O468" s="328"/>
      <c r="P468" s="328"/>
      <c r="Q468" s="328"/>
      <c r="R468" s="328"/>
      <c r="S468" s="328"/>
      <c r="T468" s="328"/>
      <c r="U468" s="328"/>
      <c r="V468" s="328"/>
    </row>
    <row r="469" ht="15.75" customHeight="1">
      <c r="A469" s="328"/>
      <c r="B469" s="328"/>
      <c r="C469" s="328"/>
      <c r="D469" s="328"/>
      <c r="E469" s="328"/>
      <c r="F469" s="328"/>
      <c r="G469" s="328"/>
      <c r="H469" s="328"/>
      <c r="I469" s="328"/>
      <c r="J469" s="328"/>
      <c r="K469" s="328"/>
      <c r="L469" s="328"/>
      <c r="M469" s="328"/>
      <c r="N469" s="328"/>
      <c r="O469" s="328"/>
      <c r="P469" s="328"/>
      <c r="Q469" s="328"/>
      <c r="R469" s="328"/>
      <c r="S469" s="328"/>
      <c r="T469" s="328"/>
      <c r="U469" s="328"/>
      <c r="V469" s="328"/>
    </row>
    <row r="470" ht="15.75" customHeight="1">
      <c r="A470" s="328"/>
      <c r="B470" s="328"/>
      <c r="C470" s="328"/>
      <c r="D470" s="328"/>
      <c r="E470" s="328"/>
      <c r="F470" s="328"/>
      <c r="G470" s="328"/>
      <c r="H470" s="328"/>
      <c r="I470" s="328"/>
      <c r="J470" s="328"/>
      <c r="K470" s="328"/>
      <c r="L470" s="328"/>
      <c r="M470" s="328"/>
      <c r="N470" s="328"/>
      <c r="O470" s="328"/>
      <c r="P470" s="328"/>
      <c r="Q470" s="328"/>
      <c r="R470" s="328"/>
      <c r="S470" s="328"/>
      <c r="T470" s="328"/>
      <c r="U470" s="328"/>
      <c r="V470" s="328"/>
    </row>
    <row r="471" ht="15.75" customHeight="1">
      <c r="A471" s="328"/>
      <c r="B471" s="328"/>
      <c r="C471" s="328"/>
      <c r="D471" s="328"/>
      <c r="E471" s="328"/>
      <c r="F471" s="328"/>
      <c r="G471" s="328"/>
      <c r="H471" s="328"/>
      <c r="I471" s="328"/>
      <c r="J471" s="328"/>
      <c r="K471" s="328"/>
      <c r="L471" s="328"/>
      <c r="M471" s="328"/>
      <c r="N471" s="328"/>
      <c r="O471" s="328"/>
      <c r="P471" s="328"/>
      <c r="Q471" s="328"/>
      <c r="R471" s="328"/>
      <c r="S471" s="328"/>
      <c r="T471" s="328"/>
      <c r="U471" s="328"/>
      <c r="V471" s="328"/>
    </row>
    <row r="472" ht="15.75" customHeight="1">
      <c r="A472" s="328"/>
      <c r="B472" s="328"/>
      <c r="C472" s="328"/>
      <c r="D472" s="328"/>
      <c r="E472" s="328"/>
      <c r="F472" s="328"/>
      <c r="G472" s="328"/>
      <c r="H472" s="328"/>
      <c r="I472" s="328"/>
      <c r="J472" s="328"/>
      <c r="K472" s="328"/>
      <c r="L472" s="328"/>
      <c r="M472" s="328"/>
      <c r="N472" s="328"/>
      <c r="O472" s="328"/>
      <c r="P472" s="328"/>
      <c r="Q472" s="328"/>
      <c r="R472" s="328"/>
      <c r="S472" s="328"/>
      <c r="T472" s="328"/>
      <c r="U472" s="328"/>
      <c r="V472" s="328"/>
    </row>
    <row r="473" ht="15.75" customHeight="1">
      <c r="A473" s="328"/>
      <c r="B473" s="328"/>
      <c r="C473" s="328"/>
      <c r="D473" s="328"/>
      <c r="E473" s="328"/>
      <c r="F473" s="328"/>
      <c r="G473" s="328"/>
      <c r="H473" s="328"/>
      <c r="I473" s="328"/>
      <c r="J473" s="328"/>
      <c r="K473" s="328"/>
      <c r="L473" s="328"/>
      <c r="M473" s="328"/>
      <c r="N473" s="328"/>
      <c r="O473" s="328"/>
      <c r="P473" s="328"/>
      <c r="Q473" s="328"/>
      <c r="R473" s="328"/>
      <c r="S473" s="328"/>
      <c r="T473" s="328"/>
      <c r="U473" s="328"/>
      <c r="V473" s="328"/>
    </row>
    <row r="474" ht="15.75" customHeight="1">
      <c r="A474" s="328"/>
      <c r="B474" s="328"/>
      <c r="C474" s="328"/>
      <c r="D474" s="328"/>
      <c r="E474" s="328"/>
      <c r="F474" s="328"/>
      <c r="G474" s="328"/>
      <c r="H474" s="328"/>
      <c r="I474" s="328"/>
      <c r="J474" s="328"/>
      <c r="K474" s="328"/>
      <c r="L474" s="328"/>
      <c r="M474" s="328"/>
      <c r="N474" s="328"/>
      <c r="O474" s="328"/>
      <c r="P474" s="328"/>
      <c r="Q474" s="328"/>
      <c r="R474" s="328"/>
      <c r="S474" s="328"/>
      <c r="T474" s="328"/>
      <c r="U474" s="328"/>
      <c r="V474" s="328"/>
    </row>
    <row r="475" ht="15.75" customHeight="1">
      <c r="A475" s="328"/>
      <c r="B475" s="328"/>
      <c r="C475" s="328"/>
      <c r="D475" s="328"/>
      <c r="E475" s="328"/>
      <c r="F475" s="328"/>
      <c r="G475" s="328"/>
      <c r="H475" s="328"/>
      <c r="I475" s="328"/>
      <c r="J475" s="328"/>
      <c r="K475" s="328"/>
      <c r="L475" s="328"/>
      <c r="M475" s="328"/>
      <c r="N475" s="328"/>
      <c r="O475" s="328"/>
      <c r="P475" s="328"/>
      <c r="Q475" s="328"/>
      <c r="R475" s="328"/>
      <c r="S475" s="328"/>
      <c r="T475" s="328"/>
      <c r="U475" s="328"/>
      <c r="V475" s="328"/>
    </row>
    <row r="476" ht="15.75" customHeight="1">
      <c r="A476" s="328"/>
      <c r="B476" s="328"/>
      <c r="C476" s="328"/>
      <c r="D476" s="328"/>
      <c r="E476" s="328"/>
      <c r="F476" s="328"/>
      <c r="G476" s="328"/>
      <c r="H476" s="328"/>
      <c r="I476" s="328"/>
      <c r="J476" s="328"/>
      <c r="K476" s="328"/>
      <c r="L476" s="328"/>
      <c r="M476" s="328"/>
      <c r="N476" s="328"/>
      <c r="O476" s="328"/>
      <c r="P476" s="328"/>
      <c r="Q476" s="328"/>
      <c r="R476" s="328"/>
      <c r="S476" s="328"/>
      <c r="T476" s="328"/>
      <c r="U476" s="328"/>
      <c r="V476" s="328"/>
    </row>
    <row r="477" ht="15.75" customHeight="1">
      <c r="A477" s="328"/>
      <c r="B477" s="328"/>
      <c r="C477" s="328"/>
      <c r="D477" s="328"/>
      <c r="E477" s="328"/>
      <c r="F477" s="328"/>
      <c r="G477" s="328"/>
      <c r="H477" s="328"/>
      <c r="I477" s="328"/>
      <c r="J477" s="328"/>
      <c r="K477" s="328"/>
      <c r="L477" s="328"/>
      <c r="M477" s="328"/>
      <c r="N477" s="328"/>
      <c r="O477" s="328"/>
      <c r="P477" s="328"/>
      <c r="Q477" s="328"/>
      <c r="R477" s="328"/>
      <c r="S477" s="328"/>
      <c r="T477" s="328"/>
      <c r="U477" s="328"/>
      <c r="V477" s="328"/>
    </row>
    <row r="478" ht="15.75" customHeight="1">
      <c r="A478" s="328"/>
      <c r="B478" s="328"/>
      <c r="C478" s="328"/>
      <c r="D478" s="328"/>
      <c r="E478" s="328"/>
      <c r="F478" s="328"/>
      <c r="G478" s="328"/>
      <c r="H478" s="328"/>
      <c r="I478" s="328"/>
      <c r="J478" s="328"/>
      <c r="K478" s="328"/>
      <c r="L478" s="328"/>
      <c r="M478" s="328"/>
      <c r="N478" s="328"/>
      <c r="O478" s="328"/>
      <c r="P478" s="328"/>
      <c r="Q478" s="328"/>
      <c r="R478" s="328"/>
      <c r="S478" s="328"/>
      <c r="T478" s="328"/>
      <c r="U478" s="328"/>
      <c r="V478" s="328"/>
    </row>
    <row r="479" ht="15.75" customHeight="1">
      <c r="A479" s="328"/>
      <c r="B479" s="328"/>
      <c r="C479" s="328"/>
      <c r="D479" s="328"/>
      <c r="E479" s="328"/>
      <c r="F479" s="328"/>
      <c r="G479" s="328"/>
      <c r="H479" s="328"/>
      <c r="I479" s="328"/>
      <c r="J479" s="328"/>
      <c r="K479" s="328"/>
      <c r="L479" s="328"/>
      <c r="M479" s="328"/>
      <c r="N479" s="328"/>
      <c r="O479" s="328"/>
      <c r="P479" s="328"/>
      <c r="Q479" s="328"/>
      <c r="R479" s="328"/>
      <c r="S479" s="328"/>
      <c r="T479" s="328"/>
      <c r="U479" s="328"/>
      <c r="V479" s="328"/>
    </row>
    <row r="480" ht="15.75" customHeight="1">
      <c r="A480" s="328"/>
      <c r="B480" s="328"/>
      <c r="C480" s="328"/>
      <c r="D480" s="328"/>
      <c r="E480" s="328"/>
      <c r="F480" s="328"/>
      <c r="G480" s="328"/>
      <c r="H480" s="328"/>
      <c r="I480" s="328"/>
      <c r="J480" s="328"/>
      <c r="K480" s="328"/>
      <c r="L480" s="328"/>
      <c r="M480" s="328"/>
      <c r="N480" s="328"/>
      <c r="O480" s="328"/>
      <c r="P480" s="328"/>
      <c r="Q480" s="328"/>
      <c r="R480" s="328"/>
      <c r="S480" s="328"/>
      <c r="T480" s="328"/>
      <c r="U480" s="328"/>
      <c r="V480" s="328"/>
    </row>
    <row r="481" ht="15.75" customHeight="1">
      <c r="A481" s="328"/>
      <c r="B481" s="328"/>
      <c r="C481" s="328"/>
      <c r="D481" s="328"/>
      <c r="E481" s="328"/>
      <c r="F481" s="328"/>
      <c r="G481" s="328"/>
      <c r="H481" s="328"/>
      <c r="I481" s="328"/>
      <c r="J481" s="328"/>
      <c r="K481" s="328"/>
      <c r="L481" s="328"/>
      <c r="M481" s="328"/>
      <c r="N481" s="328"/>
      <c r="O481" s="328"/>
      <c r="P481" s="328"/>
      <c r="Q481" s="328"/>
      <c r="R481" s="328"/>
      <c r="S481" s="328"/>
      <c r="T481" s="328"/>
      <c r="U481" s="328"/>
      <c r="V481" s="328"/>
    </row>
    <row r="482" ht="15.75" customHeight="1">
      <c r="A482" s="328"/>
      <c r="B482" s="328"/>
      <c r="C482" s="328"/>
      <c r="D482" s="328"/>
      <c r="E482" s="328"/>
      <c r="F482" s="328"/>
      <c r="G482" s="328"/>
      <c r="H482" s="328"/>
      <c r="I482" s="328"/>
      <c r="J482" s="328"/>
      <c r="K482" s="328"/>
      <c r="L482" s="328"/>
      <c r="M482" s="328"/>
      <c r="N482" s="328"/>
      <c r="O482" s="328"/>
      <c r="P482" s="328"/>
      <c r="Q482" s="328"/>
      <c r="R482" s="328"/>
      <c r="S482" s="328"/>
      <c r="T482" s="328"/>
      <c r="U482" s="328"/>
      <c r="V482" s="328"/>
    </row>
    <row r="483" ht="15.75" customHeight="1">
      <c r="A483" s="328"/>
      <c r="B483" s="328"/>
      <c r="C483" s="328"/>
      <c r="D483" s="328"/>
      <c r="E483" s="328"/>
      <c r="F483" s="328"/>
      <c r="G483" s="328"/>
      <c r="H483" s="328"/>
      <c r="I483" s="328"/>
      <c r="J483" s="328"/>
      <c r="K483" s="328"/>
      <c r="L483" s="328"/>
      <c r="M483" s="328"/>
      <c r="N483" s="328"/>
      <c r="O483" s="328"/>
      <c r="P483" s="328"/>
      <c r="Q483" s="328"/>
      <c r="R483" s="328"/>
      <c r="S483" s="328"/>
      <c r="T483" s="328"/>
      <c r="U483" s="328"/>
      <c r="V483" s="328"/>
    </row>
    <row r="484" ht="15.75" customHeight="1">
      <c r="A484" s="328"/>
      <c r="B484" s="328"/>
      <c r="C484" s="328"/>
      <c r="D484" s="328"/>
      <c r="E484" s="328"/>
      <c r="F484" s="328"/>
      <c r="G484" s="328"/>
      <c r="H484" s="328"/>
      <c r="I484" s="328"/>
      <c r="J484" s="328"/>
      <c r="K484" s="328"/>
      <c r="L484" s="328"/>
      <c r="M484" s="328"/>
      <c r="N484" s="328"/>
      <c r="O484" s="328"/>
      <c r="P484" s="328"/>
      <c r="Q484" s="328"/>
      <c r="R484" s="328"/>
      <c r="S484" s="328"/>
      <c r="T484" s="328"/>
      <c r="U484" s="328"/>
      <c r="V484" s="328"/>
    </row>
    <row r="485" ht="15.75" customHeight="1">
      <c r="A485" s="328"/>
      <c r="B485" s="328"/>
      <c r="C485" s="328"/>
      <c r="D485" s="328"/>
      <c r="E485" s="328"/>
      <c r="F485" s="328"/>
      <c r="G485" s="328"/>
      <c r="H485" s="328"/>
      <c r="I485" s="328"/>
      <c r="J485" s="328"/>
      <c r="K485" s="328"/>
      <c r="L485" s="328"/>
      <c r="M485" s="328"/>
      <c r="N485" s="328"/>
      <c r="O485" s="328"/>
      <c r="P485" s="328"/>
      <c r="Q485" s="328"/>
      <c r="R485" s="328"/>
      <c r="S485" s="328"/>
      <c r="T485" s="328"/>
      <c r="U485" s="328"/>
      <c r="V485" s="328"/>
    </row>
    <row r="486" ht="15.75" customHeight="1">
      <c r="A486" s="328"/>
      <c r="B486" s="328"/>
      <c r="C486" s="328"/>
      <c r="D486" s="328"/>
      <c r="E486" s="328"/>
      <c r="F486" s="328"/>
      <c r="G486" s="328"/>
      <c r="H486" s="328"/>
      <c r="I486" s="328"/>
      <c r="J486" s="328"/>
      <c r="K486" s="328"/>
      <c r="L486" s="328"/>
      <c r="M486" s="328"/>
      <c r="N486" s="328"/>
      <c r="O486" s="328"/>
      <c r="P486" s="328"/>
      <c r="Q486" s="328"/>
      <c r="R486" s="328"/>
      <c r="S486" s="328"/>
      <c r="T486" s="328"/>
      <c r="U486" s="328"/>
      <c r="V486" s="328"/>
    </row>
    <row r="487" ht="15.75" customHeight="1">
      <c r="A487" s="328"/>
      <c r="B487" s="328"/>
      <c r="C487" s="328"/>
      <c r="D487" s="328"/>
      <c r="E487" s="328"/>
      <c r="F487" s="328"/>
      <c r="G487" s="328"/>
      <c r="H487" s="328"/>
      <c r="I487" s="328"/>
      <c r="J487" s="328"/>
      <c r="K487" s="328"/>
      <c r="L487" s="328"/>
      <c r="M487" s="328"/>
      <c r="N487" s="328"/>
      <c r="O487" s="328"/>
      <c r="P487" s="328"/>
      <c r="Q487" s="328"/>
      <c r="R487" s="328"/>
      <c r="S487" s="328"/>
      <c r="T487" s="328"/>
      <c r="U487" s="328"/>
      <c r="V487" s="328"/>
    </row>
    <row r="488" ht="15.75" customHeight="1">
      <c r="A488" s="328"/>
      <c r="B488" s="328"/>
      <c r="C488" s="328"/>
      <c r="D488" s="328"/>
      <c r="E488" s="328"/>
      <c r="F488" s="328"/>
      <c r="G488" s="328"/>
      <c r="H488" s="328"/>
      <c r="I488" s="328"/>
      <c r="J488" s="328"/>
      <c r="K488" s="328"/>
      <c r="L488" s="328"/>
      <c r="M488" s="328"/>
      <c r="N488" s="328"/>
      <c r="O488" s="328"/>
      <c r="P488" s="328"/>
      <c r="Q488" s="328"/>
      <c r="R488" s="328"/>
      <c r="S488" s="328"/>
      <c r="T488" s="328"/>
      <c r="U488" s="328"/>
      <c r="V488" s="328"/>
    </row>
    <row r="489" ht="15.75" customHeight="1">
      <c r="A489" s="328"/>
      <c r="B489" s="328"/>
      <c r="C489" s="328"/>
      <c r="D489" s="328"/>
      <c r="E489" s="328"/>
      <c r="F489" s="328"/>
      <c r="G489" s="328"/>
      <c r="H489" s="328"/>
      <c r="I489" s="328"/>
      <c r="J489" s="328"/>
      <c r="K489" s="328"/>
      <c r="L489" s="328"/>
      <c r="M489" s="328"/>
      <c r="N489" s="328"/>
      <c r="O489" s="328"/>
      <c r="P489" s="328"/>
      <c r="Q489" s="328"/>
      <c r="R489" s="328"/>
      <c r="S489" s="328"/>
      <c r="T489" s="328"/>
      <c r="U489" s="328"/>
      <c r="V489" s="328"/>
    </row>
    <row r="490" ht="15.75" customHeight="1">
      <c r="A490" s="328"/>
      <c r="B490" s="328"/>
      <c r="C490" s="328"/>
      <c r="D490" s="328"/>
      <c r="E490" s="328"/>
      <c r="F490" s="328"/>
      <c r="G490" s="328"/>
      <c r="H490" s="328"/>
      <c r="I490" s="328"/>
      <c r="J490" s="328"/>
      <c r="K490" s="328"/>
      <c r="L490" s="328"/>
      <c r="M490" s="328"/>
      <c r="N490" s="328"/>
      <c r="O490" s="328"/>
      <c r="P490" s="328"/>
      <c r="Q490" s="328"/>
      <c r="R490" s="328"/>
      <c r="S490" s="328"/>
      <c r="T490" s="328"/>
      <c r="U490" s="328"/>
      <c r="V490" s="328"/>
    </row>
    <row r="491" ht="15.75" customHeight="1">
      <c r="A491" s="328"/>
      <c r="B491" s="328"/>
      <c r="C491" s="328"/>
      <c r="D491" s="328"/>
      <c r="E491" s="328"/>
      <c r="F491" s="328"/>
      <c r="G491" s="328"/>
      <c r="H491" s="328"/>
      <c r="I491" s="328"/>
      <c r="J491" s="328"/>
      <c r="K491" s="328"/>
      <c r="L491" s="328"/>
      <c r="M491" s="328"/>
      <c r="N491" s="328"/>
      <c r="O491" s="328"/>
      <c r="P491" s="328"/>
      <c r="Q491" s="328"/>
      <c r="R491" s="328"/>
      <c r="S491" s="328"/>
      <c r="T491" s="328"/>
      <c r="U491" s="328"/>
      <c r="V491" s="328"/>
    </row>
    <row r="492" ht="15.75" customHeight="1">
      <c r="A492" s="328"/>
      <c r="B492" s="328"/>
      <c r="C492" s="328"/>
      <c r="D492" s="328"/>
      <c r="E492" s="328"/>
      <c r="F492" s="328"/>
      <c r="G492" s="328"/>
      <c r="H492" s="328"/>
      <c r="I492" s="328"/>
      <c r="J492" s="328"/>
      <c r="K492" s="328"/>
      <c r="L492" s="328"/>
      <c r="M492" s="328"/>
      <c r="N492" s="328"/>
      <c r="O492" s="328"/>
      <c r="P492" s="328"/>
      <c r="Q492" s="328"/>
      <c r="R492" s="328"/>
      <c r="S492" s="328"/>
      <c r="T492" s="328"/>
      <c r="U492" s="328"/>
      <c r="V492" s="328"/>
    </row>
    <row r="493" ht="15.75" customHeight="1">
      <c r="A493" s="328"/>
      <c r="B493" s="328"/>
      <c r="C493" s="328"/>
      <c r="D493" s="328"/>
      <c r="E493" s="328"/>
      <c r="F493" s="328"/>
      <c r="G493" s="328"/>
      <c r="H493" s="328"/>
      <c r="I493" s="328"/>
      <c r="J493" s="328"/>
      <c r="K493" s="328"/>
      <c r="L493" s="328"/>
      <c r="M493" s="328"/>
      <c r="N493" s="328"/>
      <c r="O493" s="328"/>
      <c r="P493" s="328"/>
      <c r="Q493" s="328"/>
      <c r="R493" s="328"/>
      <c r="S493" s="328"/>
      <c r="T493" s="328"/>
      <c r="U493" s="328"/>
      <c r="V493" s="328"/>
    </row>
    <row r="494" ht="15.75" customHeight="1">
      <c r="A494" s="328"/>
      <c r="B494" s="328"/>
      <c r="C494" s="328"/>
      <c r="D494" s="328"/>
      <c r="E494" s="328"/>
      <c r="F494" s="328"/>
      <c r="G494" s="328"/>
      <c r="H494" s="328"/>
      <c r="I494" s="328"/>
      <c r="J494" s="328"/>
      <c r="K494" s="328"/>
      <c r="L494" s="328"/>
      <c r="M494" s="328"/>
      <c r="N494" s="328"/>
      <c r="O494" s="328"/>
      <c r="P494" s="328"/>
      <c r="Q494" s="328"/>
      <c r="R494" s="328"/>
      <c r="S494" s="328"/>
      <c r="T494" s="328"/>
      <c r="U494" s="328"/>
      <c r="V494" s="328"/>
    </row>
    <row r="495" ht="15.75" customHeight="1">
      <c r="A495" s="328"/>
      <c r="B495" s="328"/>
      <c r="C495" s="328"/>
      <c r="D495" s="328"/>
      <c r="E495" s="328"/>
      <c r="F495" s="328"/>
      <c r="G495" s="328"/>
      <c r="H495" s="328"/>
      <c r="I495" s="328"/>
      <c r="J495" s="328"/>
      <c r="K495" s="328"/>
      <c r="L495" s="328"/>
      <c r="M495" s="328"/>
      <c r="N495" s="328"/>
      <c r="O495" s="328"/>
      <c r="P495" s="328"/>
      <c r="Q495" s="328"/>
      <c r="R495" s="328"/>
      <c r="S495" s="328"/>
      <c r="T495" s="328"/>
      <c r="U495" s="328"/>
      <c r="V495" s="328"/>
    </row>
    <row r="496" ht="15.75" customHeight="1">
      <c r="A496" s="328"/>
      <c r="B496" s="328"/>
      <c r="C496" s="328"/>
      <c r="D496" s="328"/>
      <c r="E496" s="328"/>
      <c r="F496" s="328"/>
      <c r="G496" s="328"/>
      <c r="H496" s="328"/>
      <c r="I496" s="328"/>
      <c r="J496" s="328"/>
      <c r="K496" s="328"/>
      <c r="L496" s="328"/>
      <c r="M496" s="328"/>
      <c r="N496" s="328"/>
      <c r="O496" s="328"/>
      <c r="P496" s="328"/>
      <c r="Q496" s="328"/>
      <c r="R496" s="328"/>
      <c r="S496" s="328"/>
      <c r="T496" s="328"/>
      <c r="U496" s="328"/>
      <c r="V496" s="328"/>
    </row>
    <row r="497" ht="15.75" customHeight="1">
      <c r="A497" s="328"/>
      <c r="B497" s="328"/>
      <c r="C497" s="328"/>
      <c r="D497" s="328"/>
      <c r="E497" s="328"/>
      <c r="F497" s="328"/>
      <c r="G497" s="328"/>
      <c r="H497" s="328"/>
      <c r="I497" s="328"/>
      <c r="J497" s="328"/>
      <c r="K497" s="328"/>
      <c r="L497" s="328"/>
      <c r="M497" s="328"/>
      <c r="N497" s="328"/>
      <c r="O497" s="328"/>
      <c r="P497" s="328"/>
      <c r="Q497" s="328"/>
      <c r="R497" s="328"/>
      <c r="S497" s="328"/>
      <c r="T497" s="328"/>
      <c r="U497" s="328"/>
      <c r="V497" s="328"/>
    </row>
    <row r="498" ht="15.75" customHeight="1">
      <c r="A498" s="328"/>
      <c r="B498" s="328"/>
      <c r="C498" s="328"/>
      <c r="D498" s="328"/>
      <c r="E498" s="328"/>
      <c r="F498" s="328"/>
      <c r="G498" s="328"/>
      <c r="H498" s="328"/>
      <c r="I498" s="328"/>
      <c r="J498" s="328"/>
      <c r="K498" s="328"/>
      <c r="L498" s="328"/>
      <c r="M498" s="328"/>
      <c r="N498" s="328"/>
      <c r="O498" s="328"/>
      <c r="P498" s="328"/>
      <c r="Q498" s="328"/>
      <c r="R498" s="328"/>
      <c r="S498" s="328"/>
      <c r="T498" s="328"/>
      <c r="U498" s="328"/>
      <c r="V498" s="328"/>
    </row>
    <row r="499" ht="15.75" customHeight="1">
      <c r="A499" s="328"/>
      <c r="B499" s="328"/>
      <c r="C499" s="328"/>
      <c r="D499" s="328"/>
      <c r="E499" s="328"/>
      <c r="F499" s="328"/>
      <c r="G499" s="328"/>
      <c r="H499" s="328"/>
      <c r="I499" s="328"/>
      <c r="J499" s="328"/>
      <c r="K499" s="328"/>
      <c r="L499" s="328"/>
      <c r="M499" s="328"/>
      <c r="N499" s="328"/>
      <c r="O499" s="328"/>
      <c r="P499" s="328"/>
      <c r="Q499" s="328"/>
      <c r="R499" s="328"/>
      <c r="S499" s="328"/>
      <c r="T499" s="328"/>
      <c r="U499" s="328"/>
      <c r="V499" s="328"/>
    </row>
    <row r="500" ht="15.75" customHeight="1">
      <c r="A500" s="328"/>
      <c r="B500" s="328"/>
      <c r="C500" s="328"/>
      <c r="D500" s="328"/>
      <c r="E500" s="328"/>
      <c r="F500" s="328"/>
      <c r="G500" s="328"/>
      <c r="H500" s="328"/>
      <c r="I500" s="328"/>
      <c r="J500" s="328"/>
      <c r="K500" s="328"/>
      <c r="L500" s="328"/>
      <c r="M500" s="328"/>
      <c r="N500" s="328"/>
      <c r="O500" s="328"/>
      <c r="P500" s="328"/>
      <c r="Q500" s="328"/>
      <c r="R500" s="328"/>
      <c r="S500" s="328"/>
      <c r="T500" s="328"/>
      <c r="U500" s="328"/>
      <c r="V500" s="328"/>
    </row>
    <row r="501" ht="15.75" customHeight="1">
      <c r="A501" s="328"/>
      <c r="B501" s="328"/>
      <c r="C501" s="328"/>
      <c r="D501" s="328"/>
      <c r="E501" s="328"/>
      <c r="F501" s="328"/>
      <c r="G501" s="328"/>
      <c r="H501" s="328"/>
      <c r="I501" s="328"/>
      <c r="J501" s="328"/>
      <c r="K501" s="328"/>
      <c r="L501" s="328"/>
      <c r="M501" s="328"/>
      <c r="N501" s="328"/>
      <c r="O501" s="328"/>
      <c r="P501" s="328"/>
      <c r="Q501" s="328"/>
      <c r="R501" s="328"/>
      <c r="S501" s="328"/>
      <c r="T501" s="328"/>
      <c r="U501" s="328"/>
      <c r="V501" s="328"/>
    </row>
    <row r="502" ht="15.75" customHeight="1">
      <c r="A502" s="328"/>
      <c r="B502" s="328"/>
      <c r="C502" s="328"/>
      <c r="D502" s="328"/>
      <c r="E502" s="328"/>
      <c r="F502" s="328"/>
      <c r="G502" s="328"/>
      <c r="H502" s="328"/>
      <c r="I502" s="328"/>
      <c r="J502" s="328"/>
      <c r="K502" s="328"/>
      <c r="L502" s="328"/>
      <c r="M502" s="328"/>
      <c r="N502" s="328"/>
      <c r="O502" s="328"/>
      <c r="P502" s="328"/>
      <c r="Q502" s="328"/>
      <c r="R502" s="328"/>
      <c r="S502" s="328"/>
      <c r="T502" s="328"/>
      <c r="U502" s="328"/>
      <c r="V502" s="328"/>
    </row>
    <row r="503" ht="15.75" customHeight="1">
      <c r="A503" s="328"/>
      <c r="B503" s="328"/>
      <c r="C503" s="328"/>
      <c r="D503" s="328"/>
      <c r="E503" s="328"/>
      <c r="F503" s="328"/>
      <c r="G503" s="328"/>
      <c r="H503" s="328"/>
      <c r="I503" s="328"/>
      <c r="J503" s="328"/>
      <c r="K503" s="328"/>
      <c r="L503" s="328"/>
      <c r="M503" s="328"/>
      <c r="N503" s="328"/>
      <c r="O503" s="328"/>
      <c r="P503" s="328"/>
      <c r="Q503" s="328"/>
      <c r="R503" s="328"/>
      <c r="S503" s="328"/>
      <c r="T503" s="328"/>
      <c r="U503" s="328"/>
      <c r="V503" s="328"/>
    </row>
    <row r="504" ht="15.75" customHeight="1">
      <c r="A504" s="328"/>
      <c r="B504" s="328"/>
      <c r="C504" s="328"/>
      <c r="D504" s="328"/>
      <c r="E504" s="328"/>
      <c r="F504" s="328"/>
      <c r="G504" s="328"/>
      <c r="H504" s="328"/>
      <c r="I504" s="328"/>
      <c r="J504" s="328"/>
      <c r="K504" s="328"/>
      <c r="L504" s="328"/>
      <c r="M504" s="328"/>
      <c r="N504" s="328"/>
      <c r="O504" s="328"/>
      <c r="P504" s="328"/>
      <c r="Q504" s="328"/>
      <c r="R504" s="328"/>
      <c r="S504" s="328"/>
      <c r="T504" s="328"/>
      <c r="U504" s="328"/>
      <c r="V504" s="328"/>
    </row>
    <row r="505" ht="15.75" customHeight="1">
      <c r="A505" s="328"/>
      <c r="B505" s="328"/>
      <c r="C505" s="328"/>
      <c r="D505" s="328"/>
      <c r="E505" s="328"/>
      <c r="F505" s="328"/>
      <c r="G505" s="328"/>
      <c r="H505" s="328"/>
      <c r="I505" s="328"/>
      <c r="J505" s="328"/>
      <c r="K505" s="328"/>
      <c r="L505" s="328"/>
      <c r="M505" s="328"/>
      <c r="N505" s="328"/>
      <c r="O505" s="328"/>
      <c r="P505" s="328"/>
      <c r="Q505" s="328"/>
      <c r="R505" s="328"/>
      <c r="S505" s="328"/>
      <c r="T505" s="328"/>
      <c r="U505" s="328"/>
      <c r="V505" s="328"/>
    </row>
    <row r="506" ht="15.75" customHeight="1">
      <c r="A506" s="328"/>
      <c r="B506" s="328"/>
      <c r="C506" s="328"/>
      <c r="D506" s="328"/>
      <c r="E506" s="328"/>
      <c r="F506" s="328"/>
      <c r="G506" s="328"/>
      <c r="H506" s="328"/>
      <c r="I506" s="328"/>
      <c r="J506" s="328"/>
      <c r="K506" s="328"/>
      <c r="L506" s="328"/>
      <c r="M506" s="328"/>
      <c r="N506" s="328"/>
      <c r="O506" s="328"/>
      <c r="P506" s="328"/>
      <c r="Q506" s="328"/>
      <c r="R506" s="328"/>
      <c r="S506" s="328"/>
      <c r="T506" s="328"/>
      <c r="U506" s="328"/>
      <c r="V506" s="328"/>
    </row>
    <row r="507" ht="15.75" customHeight="1">
      <c r="A507" s="328"/>
      <c r="B507" s="328"/>
      <c r="C507" s="328"/>
      <c r="D507" s="328"/>
      <c r="E507" s="328"/>
      <c r="F507" s="328"/>
      <c r="G507" s="328"/>
      <c r="H507" s="328"/>
      <c r="I507" s="328"/>
      <c r="J507" s="328"/>
      <c r="K507" s="328"/>
      <c r="L507" s="328"/>
      <c r="M507" s="328"/>
      <c r="N507" s="328"/>
      <c r="O507" s="328"/>
      <c r="P507" s="328"/>
      <c r="Q507" s="328"/>
      <c r="R507" s="328"/>
      <c r="S507" s="328"/>
      <c r="T507" s="328"/>
      <c r="U507" s="328"/>
      <c r="V507" s="328"/>
    </row>
    <row r="508" ht="15.75" customHeight="1">
      <c r="A508" s="328"/>
      <c r="B508" s="328"/>
      <c r="C508" s="328"/>
      <c r="D508" s="328"/>
      <c r="E508" s="328"/>
      <c r="F508" s="328"/>
      <c r="G508" s="328"/>
      <c r="H508" s="328"/>
      <c r="I508" s="328"/>
      <c r="J508" s="328"/>
      <c r="K508" s="328"/>
      <c r="L508" s="328"/>
      <c r="M508" s="328"/>
      <c r="N508" s="328"/>
      <c r="O508" s="328"/>
      <c r="P508" s="328"/>
      <c r="Q508" s="328"/>
      <c r="R508" s="328"/>
      <c r="S508" s="328"/>
      <c r="T508" s="328"/>
      <c r="U508" s="328"/>
      <c r="V508" s="328"/>
    </row>
    <row r="509" ht="15.75" customHeight="1">
      <c r="A509" s="328"/>
      <c r="B509" s="328"/>
      <c r="C509" s="328"/>
      <c r="D509" s="328"/>
      <c r="E509" s="328"/>
      <c r="F509" s="328"/>
      <c r="G509" s="328"/>
      <c r="H509" s="328"/>
      <c r="I509" s="328"/>
      <c r="J509" s="328"/>
      <c r="K509" s="328"/>
      <c r="L509" s="328"/>
      <c r="M509" s="328"/>
      <c r="N509" s="328"/>
      <c r="O509" s="328"/>
      <c r="P509" s="328"/>
      <c r="Q509" s="328"/>
      <c r="R509" s="328"/>
      <c r="S509" s="328"/>
      <c r="T509" s="328"/>
      <c r="U509" s="328"/>
      <c r="V509" s="328"/>
    </row>
    <row r="510" ht="15.75" customHeight="1">
      <c r="A510" s="328"/>
      <c r="B510" s="328"/>
      <c r="C510" s="328"/>
      <c r="D510" s="328"/>
      <c r="E510" s="328"/>
      <c r="F510" s="328"/>
      <c r="G510" s="328"/>
      <c r="H510" s="328"/>
      <c r="I510" s="328"/>
      <c r="J510" s="328"/>
      <c r="K510" s="328"/>
      <c r="L510" s="328"/>
      <c r="M510" s="328"/>
      <c r="N510" s="328"/>
      <c r="O510" s="328"/>
      <c r="P510" s="328"/>
      <c r="Q510" s="328"/>
      <c r="R510" s="328"/>
      <c r="S510" s="328"/>
      <c r="T510" s="328"/>
      <c r="U510" s="328"/>
      <c r="V510" s="328"/>
    </row>
    <row r="511" ht="15.75" customHeight="1">
      <c r="A511" s="328"/>
      <c r="B511" s="328"/>
      <c r="C511" s="328"/>
      <c r="D511" s="328"/>
      <c r="E511" s="328"/>
      <c r="F511" s="328"/>
      <c r="G511" s="328"/>
      <c r="H511" s="328"/>
      <c r="I511" s="328"/>
      <c r="J511" s="328"/>
      <c r="K511" s="328"/>
      <c r="L511" s="328"/>
      <c r="M511" s="328"/>
      <c r="N511" s="328"/>
      <c r="O511" s="328"/>
      <c r="P511" s="328"/>
      <c r="Q511" s="328"/>
      <c r="R511" s="328"/>
      <c r="S511" s="328"/>
      <c r="T511" s="328"/>
      <c r="U511" s="328"/>
      <c r="V511" s="328"/>
    </row>
    <row r="512" ht="15.75" customHeight="1">
      <c r="A512" s="328"/>
      <c r="B512" s="328"/>
      <c r="C512" s="328"/>
      <c r="D512" s="328"/>
      <c r="E512" s="328"/>
      <c r="F512" s="328"/>
      <c r="G512" s="328"/>
      <c r="H512" s="328"/>
      <c r="I512" s="328"/>
      <c r="J512" s="328"/>
      <c r="K512" s="328"/>
      <c r="L512" s="328"/>
      <c r="M512" s="328"/>
      <c r="N512" s="328"/>
      <c r="O512" s="328"/>
      <c r="P512" s="328"/>
      <c r="Q512" s="328"/>
      <c r="R512" s="328"/>
      <c r="S512" s="328"/>
      <c r="T512" s="328"/>
      <c r="U512" s="328"/>
      <c r="V512" s="328"/>
    </row>
    <row r="513" ht="15.75" customHeight="1">
      <c r="A513" s="328"/>
      <c r="B513" s="328"/>
      <c r="C513" s="328"/>
      <c r="D513" s="328"/>
      <c r="E513" s="328"/>
      <c r="F513" s="328"/>
      <c r="G513" s="328"/>
      <c r="H513" s="328"/>
      <c r="I513" s="328"/>
      <c r="J513" s="328"/>
      <c r="K513" s="328"/>
      <c r="L513" s="328"/>
      <c r="M513" s="328"/>
      <c r="N513" s="328"/>
      <c r="O513" s="328"/>
      <c r="P513" s="328"/>
      <c r="Q513" s="328"/>
      <c r="R513" s="328"/>
      <c r="S513" s="328"/>
      <c r="T513" s="328"/>
      <c r="U513" s="328"/>
      <c r="V513" s="328"/>
    </row>
    <row r="514" ht="15.75" customHeight="1">
      <c r="A514" s="328"/>
      <c r="B514" s="328"/>
      <c r="C514" s="328"/>
      <c r="D514" s="328"/>
      <c r="E514" s="328"/>
      <c r="F514" s="328"/>
      <c r="G514" s="328"/>
      <c r="H514" s="328"/>
      <c r="I514" s="328"/>
      <c r="J514" s="328"/>
      <c r="K514" s="328"/>
      <c r="L514" s="328"/>
      <c r="M514" s="328"/>
      <c r="N514" s="328"/>
      <c r="O514" s="328"/>
      <c r="P514" s="328"/>
      <c r="Q514" s="328"/>
      <c r="R514" s="328"/>
      <c r="S514" s="328"/>
      <c r="T514" s="328"/>
      <c r="U514" s="328"/>
      <c r="V514" s="328"/>
    </row>
    <row r="515" ht="15.75" customHeight="1">
      <c r="A515" s="328"/>
      <c r="B515" s="328"/>
      <c r="C515" s="328"/>
      <c r="D515" s="328"/>
      <c r="E515" s="328"/>
      <c r="F515" s="328"/>
      <c r="G515" s="328"/>
      <c r="H515" s="328"/>
      <c r="I515" s="328"/>
      <c r="J515" s="328"/>
      <c r="K515" s="328"/>
      <c r="L515" s="328"/>
      <c r="M515" s="328"/>
      <c r="N515" s="328"/>
      <c r="O515" s="328"/>
      <c r="P515" s="328"/>
      <c r="Q515" s="328"/>
      <c r="R515" s="328"/>
      <c r="S515" s="328"/>
      <c r="T515" s="328"/>
      <c r="U515" s="328"/>
      <c r="V515" s="328"/>
    </row>
    <row r="516" ht="15.75" customHeight="1">
      <c r="A516" s="328"/>
      <c r="B516" s="328"/>
      <c r="C516" s="328"/>
      <c r="D516" s="328"/>
      <c r="E516" s="328"/>
      <c r="F516" s="328"/>
      <c r="G516" s="328"/>
      <c r="H516" s="328"/>
      <c r="I516" s="328"/>
      <c r="J516" s="328"/>
      <c r="K516" s="328"/>
      <c r="L516" s="328"/>
      <c r="M516" s="328"/>
      <c r="N516" s="328"/>
      <c r="O516" s="328"/>
      <c r="P516" s="328"/>
      <c r="Q516" s="328"/>
      <c r="R516" s="328"/>
      <c r="S516" s="328"/>
      <c r="T516" s="328"/>
      <c r="U516" s="328"/>
      <c r="V516" s="328"/>
    </row>
    <row r="517" ht="15.75" customHeight="1">
      <c r="A517" s="328"/>
      <c r="B517" s="328"/>
      <c r="C517" s="328"/>
      <c r="D517" s="328"/>
      <c r="E517" s="328"/>
      <c r="F517" s="328"/>
      <c r="G517" s="328"/>
      <c r="H517" s="328"/>
      <c r="I517" s="328"/>
      <c r="J517" s="328"/>
      <c r="K517" s="328"/>
      <c r="L517" s="328"/>
      <c r="M517" s="328"/>
      <c r="N517" s="328"/>
      <c r="O517" s="328"/>
      <c r="P517" s="328"/>
      <c r="Q517" s="328"/>
      <c r="R517" s="328"/>
      <c r="S517" s="328"/>
      <c r="T517" s="328"/>
      <c r="U517" s="328"/>
      <c r="V517" s="328"/>
    </row>
    <row r="518" ht="15.75" customHeight="1">
      <c r="A518" s="328"/>
      <c r="B518" s="328"/>
      <c r="C518" s="328"/>
      <c r="D518" s="328"/>
      <c r="E518" s="328"/>
      <c r="F518" s="328"/>
      <c r="G518" s="328"/>
      <c r="H518" s="328"/>
      <c r="I518" s="328"/>
      <c r="J518" s="328"/>
      <c r="K518" s="328"/>
      <c r="L518" s="328"/>
      <c r="M518" s="328"/>
      <c r="N518" s="328"/>
      <c r="O518" s="328"/>
      <c r="P518" s="328"/>
      <c r="Q518" s="328"/>
      <c r="R518" s="328"/>
      <c r="S518" s="328"/>
      <c r="T518" s="328"/>
      <c r="U518" s="328"/>
      <c r="V518" s="328"/>
    </row>
    <row r="519" ht="15.75" customHeight="1">
      <c r="A519" s="328"/>
      <c r="B519" s="328"/>
      <c r="C519" s="328"/>
      <c r="D519" s="328"/>
      <c r="E519" s="328"/>
      <c r="F519" s="328"/>
      <c r="G519" s="328"/>
      <c r="H519" s="328"/>
      <c r="I519" s="328"/>
      <c r="J519" s="328"/>
      <c r="K519" s="328"/>
      <c r="L519" s="328"/>
      <c r="M519" s="328"/>
      <c r="N519" s="328"/>
      <c r="O519" s="328"/>
      <c r="P519" s="328"/>
      <c r="Q519" s="328"/>
      <c r="R519" s="328"/>
      <c r="S519" s="328"/>
      <c r="T519" s="328"/>
      <c r="U519" s="328"/>
      <c r="V519" s="328"/>
    </row>
    <row r="520" ht="15.75" customHeight="1">
      <c r="A520" s="328"/>
      <c r="B520" s="328"/>
      <c r="C520" s="328"/>
      <c r="D520" s="328"/>
      <c r="E520" s="328"/>
      <c r="F520" s="328"/>
      <c r="G520" s="328"/>
      <c r="H520" s="328"/>
      <c r="I520" s="328"/>
      <c r="J520" s="328"/>
      <c r="K520" s="328"/>
      <c r="L520" s="328"/>
      <c r="M520" s="328"/>
      <c r="N520" s="328"/>
      <c r="O520" s="328"/>
      <c r="P520" s="328"/>
      <c r="Q520" s="328"/>
      <c r="R520" s="328"/>
      <c r="S520" s="328"/>
      <c r="T520" s="328"/>
      <c r="U520" s="328"/>
      <c r="V520" s="328"/>
    </row>
    <row r="521" ht="15.75" customHeight="1">
      <c r="A521" s="328"/>
      <c r="B521" s="328"/>
      <c r="C521" s="328"/>
      <c r="D521" s="328"/>
      <c r="E521" s="328"/>
      <c r="F521" s="328"/>
      <c r="G521" s="328"/>
      <c r="H521" s="328"/>
      <c r="I521" s="328"/>
      <c r="J521" s="328"/>
      <c r="K521" s="328"/>
      <c r="L521" s="328"/>
      <c r="M521" s="328"/>
      <c r="N521" s="328"/>
      <c r="O521" s="328"/>
      <c r="P521" s="328"/>
      <c r="Q521" s="328"/>
      <c r="R521" s="328"/>
      <c r="S521" s="328"/>
      <c r="T521" s="328"/>
      <c r="U521" s="328"/>
      <c r="V521" s="328"/>
    </row>
    <row r="522" ht="15.75" customHeight="1">
      <c r="A522" s="328"/>
      <c r="B522" s="328"/>
      <c r="C522" s="328"/>
      <c r="D522" s="328"/>
      <c r="E522" s="328"/>
      <c r="F522" s="328"/>
      <c r="G522" s="328"/>
      <c r="H522" s="328"/>
      <c r="I522" s="328"/>
      <c r="J522" s="328"/>
      <c r="K522" s="328"/>
      <c r="L522" s="328"/>
      <c r="M522" s="328"/>
      <c r="N522" s="328"/>
      <c r="O522" s="328"/>
      <c r="P522" s="328"/>
      <c r="Q522" s="328"/>
      <c r="R522" s="328"/>
      <c r="S522" s="328"/>
      <c r="T522" s="328"/>
      <c r="U522" s="328"/>
      <c r="V522" s="328"/>
    </row>
    <row r="523" ht="15.75" customHeight="1">
      <c r="A523" s="328"/>
      <c r="B523" s="328"/>
      <c r="C523" s="328"/>
      <c r="D523" s="328"/>
      <c r="E523" s="328"/>
      <c r="F523" s="328"/>
      <c r="G523" s="328"/>
      <c r="H523" s="328"/>
      <c r="I523" s="328"/>
      <c r="J523" s="328"/>
      <c r="K523" s="328"/>
      <c r="L523" s="328"/>
      <c r="M523" s="328"/>
      <c r="N523" s="328"/>
      <c r="O523" s="328"/>
      <c r="P523" s="328"/>
      <c r="Q523" s="328"/>
      <c r="R523" s="328"/>
      <c r="S523" s="328"/>
      <c r="T523" s="328"/>
      <c r="U523" s="328"/>
      <c r="V523" s="328"/>
    </row>
    <row r="524" ht="15.75" customHeight="1">
      <c r="A524" s="328"/>
      <c r="B524" s="328"/>
      <c r="C524" s="328"/>
      <c r="D524" s="328"/>
      <c r="E524" s="328"/>
      <c r="F524" s="328"/>
      <c r="G524" s="328"/>
      <c r="H524" s="328"/>
      <c r="I524" s="328"/>
      <c r="J524" s="328"/>
      <c r="K524" s="328"/>
      <c r="L524" s="328"/>
      <c r="M524" s="328"/>
      <c r="N524" s="328"/>
      <c r="O524" s="328"/>
      <c r="P524" s="328"/>
      <c r="Q524" s="328"/>
      <c r="R524" s="328"/>
      <c r="S524" s="328"/>
      <c r="T524" s="328"/>
      <c r="U524" s="328"/>
      <c r="V524" s="328"/>
    </row>
    <row r="525" ht="15.75" customHeight="1">
      <c r="A525" s="328"/>
      <c r="B525" s="328"/>
      <c r="C525" s="328"/>
      <c r="D525" s="328"/>
      <c r="E525" s="328"/>
      <c r="F525" s="328"/>
      <c r="G525" s="328"/>
      <c r="H525" s="328"/>
      <c r="I525" s="328"/>
      <c r="J525" s="328"/>
      <c r="K525" s="328"/>
      <c r="L525" s="328"/>
      <c r="M525" s="328"/>
      <c r="N525" s="328"/>
      <c r="O525" s="328"/>
      <c r="P525" s="328"/>
      <c r="Q525" s="328"/>
      <c r="R525" s="328"/>
      <c r="S525" s="328"/>
      <c r="T525" s="328"/>
      <c r="U525" s="328"/>
      <c r="V525" s="328"/>
    </row>
    <row r="526" ht="15.75" customHeight="1">
      <c r="A526" s="328"/>
      <c r="B526" s="328"/>
      <c r="C526" s="328"/>
      <c r="D526" s="328"/>
      <c r="E526" s="328"/>
      <c r="F526" s="328"/>
      <c r="G526" s="328"/>
      <c r="H526" s="328"/>
      <c r="I526" s="328"/>
      <c r="J526" s="328"/>
      <c r="K526" s="328"/>
      <c r="L526" s="328"/>
      <c r="M526" s="328"/>
      <c r="N526" s="328"/>
      <c r="O526" s="328"/>
      <c r="P526" s="328"/>
      <c r="Q526" s="328"/>
      <c r="R526" s="328"/>
      <c r="S526" s="328"/>
      <c r="T526" s="328"/>
      <c r="U526" s="328"/>
      <c r="V526" s="328"/>
    </row>
    <row r="527" ht="15.75" customHeight="1">
      <c r="A527" s="328"/>
      <c r="B527" s="328"/>
      <c r="C527" s="328"/>
      <c r="D527" s="328"/>
      <c r="E527" s="328"/>
      <c r="F527" s="328"/>
      <c r="G527" s="328"/>
      <c r="H527" s="328"/>
      <c r="I527" s="328"/>
      <c r="J527" s="328"/>
      <c r="K527" s="328"/>
      <c r="L527" s="328"/>
      <c r="M527" s="328"/>
      <c r="N527" s="328"/>
      <c r="O527" s="328"/>
      <c r="P527" s="328"/>
      <c r="Q527" s="328"/>
      <c r="R527" s="328"/>
      <c r="S527" s="328"/>
      <c r="T527" s="328"/>
      <c r="U527" s="328"/>
      <c r="V527" s="328"/>
    </row>
    <row r="528" ht="15.75" customHeight="1">
      <c r="A528" s="328"/>
      <c r="B528" s="328"/>
      <c r="C528" s="328"/>
      <c r="D528" s="328"/>
      <c r="E528" s="328"/>
      <c r="F528" s="328"/>
      <c r="G528" s="328"/>
      <c r="H528" s="328"/>
      <c r="I528" s="328"/>
      <c r="J528" s="328"/>
      <c r="K528" s="328"/>
      <c r="L528" s="328"/>
      <c r="M528" s="328"/>
      <c r="N528" s="328"/>
      <c r="O528" s="328"/>
      <c r="P528" s="328"/>
      <c r="Q528" s="328"/>
      <c r="R528" s="328"/>
      <c r="S528" s="328"/>
      <c r="T528" s="328"/>
      <c r="U528" s="328"/>
      <c r="V528" s="328"/>
    </row>
    <row r="529" ht="15.75" customHeight="1">
      <c r="A529" s="328"/>
      <c r="B529" s="328"/>
      <c r="C529" s="328"/>
      <c r="D529" s="328"/>
      <c r="E529" s="328"/>
      <c r="F529" s="328"/>
      <c r="G529" s="328"/>
      <c r="H529" s="328"/>
      <c r="I529" s="328"/>
      <c r="J529" s="328"/>
      <c r="K529" s="328"/>
      <c r="L529" s="328"/>
      <c r="M529" s="328"/>
      <c r="N529" s="328"/>
      <c r="O529" s="328"/>
      <c r="P529" s="328"/>
      <c r="Q529" s="328"/>
      <c r="R529" s="328"/>
      <c r="S529" s="328"/>
      <c r="T529" s="328"/>
      <c r="U529" s="328"/>
      <c r="V529" s="328"/>
    </row>
    <row r="530" ht="15.75" customHeight="1">
      <c r="A530" s="328"/>
      <c r="B530" s="328"/>
      <c r="C530" s="328"/>
      <c r="D530" s="328"/>
      <c r="E530" s="328"/>
      <c r="F530" s="328"/>
      <c r="G530" s="328"/>
      <c r="H530" s="328"/>
      <c r="I530" s="328"/>
      <c r="J530" s="328"/>
      <c r="K530" s="328"/>
      <c r="L530" s="328"/>
      <c r="M530" s="328"/>
      <c r="N530" s="328"/>
      <c r="O530" s="328"/>
      <c r="P530" s="328"/>
      <c r="Q530" s="328"/>
      <c r="R530" s="328"/>
      <c r="S530" s="328"/>
      <c r="T530" s="328"/>
      <c r="U530" s="328"/>
      <c r="V530" s="328"/>
    </row>
    <row r="531" ht="15.75" customHeight="1">
      <c r="A531" s="328"/>
      <c r="B531" s="328"/>
      <c r="C531" s="328"/>
      <c r="D531" s="328"/>
      <c r="E531" s="328"/>
      <c r="F531" s="328"/>
      <c r="G531" s="328"/>
      <c r="H531" s="328"/>
      <c r="I531" s="328"/>
      <c r="J531" s="328"/>
      <c r="K531" s="328"/>
      <c r="L531" s="328"/>
      <c r="M531" s="328"/>
      <c r="N531" s="328"/>
      <c r="O531" s="328"/>
      <c r="P531" s="328"/>
      <c r="Q531" s="328"/>
      <c r="R531" s="328"/>
      <c r="S531" s="328"/>
      <c r="T531" s="328"/>
      <c r="U531" s="328"/>
      <c r="V531" s="328"/>
    </row>
    <row r="532" ht="15.75" customHeight="1">
      <c r="A532" s="328"/>
      <c r="B532" s="328"/>
      <c r="C532" s="328"/>
      <c r="D532" s="328"/>
      <c r="E532" s="328"/>
      <c r="F532" s="328"/>
      <c r="G532" s="328"/>
      <c r="H532" s="328"/>
      <c r="I532" s="328"/>
      <c r="J532" s="328"/>
      <c r="K532" s="328"/>
      <c r="L532" s="328"/>
      <c r="M532" s="328"/>
      <c r="N532" s="328"/>
      <c r="O532" s="328"/>
      <c r="P532" s="328"/>
      <c r="Q532" s="328"/>
      <c r="R532" s="328"/>
      <c r="S532" s="328"/>
      <c r="T532" s="328"/>
      <c r="U532" s="328"/>
      <c r="V532" s="328"/>
    </row>
    <row r="533" ht="15.75" customHeight="1">
      <c r="A533" s="328"/>
      <c r="B533" s="328"/>
      <c r="C533" s="328"/>
      <c r="D533" s="328"/>
      <c r="E533" s="328"/>
      <c r="F533" s="328"/>
      <c r="G533" s="328"/>
      <c r="H533" s="328"/>
      <c r="I533" s="328"/>
      <c r="J533" s="328"/>
      <c r="K533" s="328"/>
      <c r="L533" s="328"/>
      <c r="M533" s="328"/>
      <c r="N533" s="328"/>
      <c r="O533" s="328"/>
      <c r="P533" s="328"/>
      <c r="Q533" s="328"/>
      <c r="R533" s="328"/>
      <c r="S533" s="328"/>
      <c r="T533" s="328"/>
      <c r="U533" s="328"/>
      <c r="V533" s="328"/>
    </row>
    <row r="534" ht="15.75" customHeight="1">
      <c r="A534" s="328"/>
      <c r="B534" s="328"/>
      <c r="C534" s="328"/>
      <c r="D534" s="328"/>
      <c r="E534" s="328"/>
      <c r="F534" s="328"/>
      <c r="G534" s="328"/>
      <c r="H534" s="328"/>
      <c r="I534" s="328"/>
      <c r="J534" s="328"/>
      <c r="K534" s="328"/>
      <c r="L534" s="328"/>
      <c r="M534" s="328"/>
      <c r="N534" s="328"/>
      <c r="O534" s="328"/>
      <c r="P534" s="328"/>
      <c r="Q534" s="328"/>
      <c r="R534" s="328"/>
      <c r="S534" s="328"/>
      <c r="T534" s="328"/>
      <c r="U534" s="328"/>
      <c r="V534" s="328"/>
    </row>
    <row r="535" ht="15.75" customHeight="1">
      <c r="A535" s="328"/>
      <c r="B535" s="328"/>
      <c r="C535" s="328"/>
      <c r="D535" s="328"/>
      <c r="E535" s="328"/>
      <c r="F535" s="328"/>
      <c r="G535" s="328"/>
      <c r="H535" s="328"/>
      <c r="I535" s="328"/>
      <c r="J535" s="328"/>
      <c r="K535" s="328"/>
      <c r="L535" s="328"/>
      <c r="M535" s="328"/>
      <c r="N535" s="328"/>
      <c r="O535" s="328"/>
      <c r="P535" s="328"/>
      <c r="Q535" s="328"/>
      <c r="R535" s="328"/>
      <c r="S535" s="328"/>
      <c r="T535" s="328"/>
      <c r="U535" s="328"/>
      <c r="V535" s="328"/>
    </row>
    <row r="536" ht="15.75" customHeight="1">
      <c r="A536" s="328"/>
      <c r="B536" s="328"/>
      <c r="C536" s="328"/>
      <c r="D536" s="328"/>
      <c r="E536" s="328"/>
      <c r="F536" s="328"/>
      <c r="G536" s="328"/>
      <c r="H536" s="328"/>
      <c r="I536" s="328"/>
      <c r="J536" s="328"/>
      <c r="K536" s="328"/>
      <c r="L536" s="328"/>
      <c r="M536" s="328"/>
      <c r="N536" s="328"/>
      <c r="O536" s="328"/>
      <c r="P536" s="328"/>
      <c r="Q536" s="328"/>
      <c r="R536" s="328"/>
      <c r="S536" s="328"/>
      <c r="T536" s="328"/>
      <c r="U536" s="328"/>
      <c r="V536" s="328"/>
    </row>
    <row r="537" ht="15.75" customHeight="1">
      <c r="A537" s="328"/>
      <c r="B537" s="328"/>
      <c r="C537" s="328"/>
      <c r="D537" s="328"/>
      <c r="E537" s="328"/>
      <c r="F537" s="328"/>
      <c r="G537" s="328"/>
      <c r="H537" s="328"/>
      <c r="I537" s="328"/>
      <c r="J537" s="328"/>
      <c r="K537" s="328"/>
      <c r="L537" s="328"/>
      <c r="M537" s="328"/>
      <c r="N537" s="328"/>
      <c r="O537" s="328"/>
      <c r="P537" s="328"/>
      <c r="Q537" s="328"/>
      <c r="R537" s="328"/>
      <c r="S537" s="328"/>
      <c r="T537" s="328"/>
      <c r="U537" s="328"/>
      <c r="V537" s="328"/>
    </row>
    <row r="538" ht="15.75" customHeight="1">
      <c r="A538" s="328"/>
      <c r="B538" s="328"/>
      <c r="C538" s="328"/>
      <c r="D538" s="328"/>
      <c r="E538" s="328"/>
      <c r="F538" s="328"/>
      <c r="G538" s="328"/>
      <c r="H538" s="328"/>
      <c r="I538" s="328"/>
      <c r="J538" s="328"/>
      <c r="K538" s="328"/>
      <c r="L538" s="328"/>
      <c r="M538" s="328"/>
      <c r="N538" s="328"/>
      <c r="O538" s="328"/>
      <c r="P538" s="328"/>
      <c r="Q538" s="328"/>
      <c r="R538" s="328"/>
      <c r="S538" s="328"/>
      <c r="T538" s="328"/>
      <c r="U538" s="328"/>
      <c r="V538" s="328"/>
    </row>
    <row r="539" ht="15.75" customHeight="1">
      <c r="A539" s="328"/>
      <c r="B539" s="328"/>
      <c r="C539" s="328"/>
      <c r="D539" s="328"/>
      <c r="E539" s="328"/>
      <c r="F539" s="328"/>
      <c r="G539" s="328"/>
      <c r="H539" s="328"/>
      <c r="I539" s="328"/>
      <c r="J539" s="328"/>
      <c r="K539" s="328"/>
      <c r="L539" s="328"/>
      <c r="M539" s="328"/>
      <c r="N539" s="328"/>
      <c r="O539" s="328"/>
      <c r="P539" s="328"/>
      <c r="Q539" s="328"/>
      <c r="R539" s="328"/>
      <c r="S539" s="328"/>
      <c r="T539" s="328"/>
      <c r="U539" s="328"/>
      <c r="V539" s="328"/>
    </row>
    <row r="540" ht="15.75" customHeight="1">
      <c r="A540" s="328"/>
      <c r="B540" s="328"/>
      <c r="C540" s="328"/>
      <c r="D540" s="328"/>
      <c r="E540" s="328"/>
      <c r="F540" s="328"/>
      <c r="G540" s="328"/>
      <c r="H540" s="328"/>
      <c r="I540" s="328"/>
      <c r="J540" s="328"/>
      <c r="K540" s="328"/>
      <c r="L540" s="328"/>
      <c r="M540" s="328"/>
      <c r="N540" s="328"/>
      <c r="O540" s="328"/>
      <c r="P540" s="328"/>
      <c r="Q540" s="328"/>
      <c r="R540" s="328"/>
      <c r="S540" s="328"/>
      <c r="T540" s="328"/>
      <c r="U540" s="328"/>
      <c r="V540" s="328"/>
    </row>
    <row r="541" ht="15.75" customHeight="1">
      <c r="A541" s="328"/>
      <c r="B541" s="328"/>
      <c r="C541" s="328"/>
      <c r="D541" s="328"/>
      <c r="E541" s="328"/>
      <c r="F541" s="328"/>
      <c r="G541" s="328"/>
      <c r="H541" s="328"/>
      <c r="I541" s="328"/>
      <c r="J541" s="328"/>
      <c r="K541" s="328"/>
      <c r="L541" s="328"/>
      <c r="M541" s="328"/>
      <c r="N541" s="328"/>
      <c r="O541" s="328"/>
      <c r="P541" s="328"/>
      <c r="Q541" s="328"/>
      <c r="R541" s="328"/>
      <c r="S541" s="328"/>
      <c r="T541" s="328"/>
      <c r="U541" s="328"/>
      <c r="V541" s="328"/>
    </row>
    <row r="542" ht="15.75" customHeight="1">
      <c r="A542" s="328"/>
      <c r="B542" s="328"/>
      <c r="C542" s="328"/>
      <c r="D542" s="328"/>
      <c r="E542" s="328"/>
      <c r="F542" s="328"/>
      <c r="G542" s="328"/>
      <c r="H542" s="328"/>
      <c r="I542" s="328"/>
      <c r="J542" s="328"/>
      <c r="K542" s="328"/>
      <c r="L542" s="328"/>
      <c r="M542" s="328"/>
      <c r="N542" s="328"/>
      <c r="O542" s="328"/>
      <c r="P542" s="328"/>
      <c r="Q542" s="328"/>
      <c r="R542" s="328"/>
      <c r="S542" s="328"/>
      <c r="T542" s="328"/>
      <c r="U542" s="328"/>
      <c r="V542" s="328"/>
    </row>
    <row r="543" ht="15.75" customHeight="1">
      <c r="A543" s="328"/>
      <c r="B543" s="328"/>
      <c r="C543" s="328"/>
      <c r="D543" s="328"/>
      <c r="E543" s="328"/>
      <c r="F543" s="328"/>
      <c r="G543" s="328"/>
      <c r="H543" s="328"/>
      <c r="I543" s="328"/>
      <c r="J543" s="328"/>
      <c r="K543" s="328"/>
      <c r="L543" s="328"/>
      <c r="M543" s="328"/>
      <c r="N543" s="328"/>
      <c r="O543" s="328"/>
      <c r="P543" s="328"/>
      <c r="Q543" s="328"/>
      <c r="R543" s="328"/>
      <c r="S543" s="328"/>
      <c r="T543" s="328"/>
      <c r="U543" s="328"/>
      <c r="V543" s="328"/>
    </row>
    <row r="544" ht="15.75" customHeight="1">
      <c r="A544" s="328"/>
      <c r="B544" s="328"/>
      <c r="C544" s="328"/>
      <c r="D544" s="328"/>
      <c r="E544" s="328"/>
      <c r="F544" s="328"/>
      <c r="G544" s="328"/>
      <c r="H544" s="328"/>
      <c r="I544" s="328"/>
      <c r="J544" s="328"/>
      <c r="K544" s="328"/>
      <c r="L544" s="328"/>
      <c r="M544" s="328"/>
      <c r="N544" s="328"/>
      <c r="O544" s="328"/>
      <c r="P544" s="328"/>
      <c r="Q544" s="328"/>
      <c r="R544" s="328"/>
      <c r="S544" s="328"/>
      <c r="T544" s="328"/>
      <c r="U544" s="328"/>
      <c r="V544" s="328"/>
    </row>
    <row r="545" ht="15.75" customHeight="1">
      <c r="A545" s="328"/>
      <c r="B545" s="328"/>
      <c r="C545" s="328"/>
      <c r="D545" s="328"/>
      <c r="E545" s="328"/>
      <c r="F545" s="328"/>
      <c r="G545" s="328"/>
      <c r="H545" s="328"/>
      <c r="I545" s="328"/>
      <c r="J545" s="328"/>
      <c r="K545" s="328"/>
      <c r="L545" s="328"/>
      <c r="M545" s="328"/>
      <c r="N545" s="328"/>
      <c r="O545" s="328"/>
      <c r="P545" s="328"/>
      <c r="Q545" s="328"/>
      <c r="R545" s="328"/>
      <c r="S545" s="328"/>
      <c r="T545" s="328"/>
      <c r="U545" s="328"/>
      <c r="V545" s="328"/>
    </row>
    <row r="546" ht="15.75" customHeight="1">
      <c r="A546" s="328"/>
      <c r="B546" s="328"/>
      <c r="C546" s="328"/>
      <c r="D546" s="328"/>
      <c r="E546" s="328"/>
      <c r="F546" s="328"/>
      <c r="G546" s="328"/>
      <c r="H546" s="328"/>
      <c r="I546" s="328"/>
      <c r="J546" s="328"/>
      <c r="K546" s="328"/>
      <c r="L546" s="328"/>
      <c r="M546" s="328"/>
      <c r="N546" s="328"/>
      <c r="O546" s="328"/>
      <c r="P546" s="328"/>
      <c r="Q546" s="328"/>
      <c r="R546" s="328"/>
      <c r="S546" s="328"/>
      <c r="T546" s="328"/>
      <c r="U546" s="328"/>
      <c r="V546" s="328"/>
    </row>
    <row r="547" ht="15.75" customHeight="1">
      <c r="A547" s="328"/>
      <c r="B547" s="328"/>
      <c r="C547" s="328"/>
      <c r="D547" s="328"/>
      <c r="E547" s="328"/>
      <c r="F547" s="328"/>
      <c r="G547" s="328"/>
      <c r="H547" s="328"/>
      <c r="I547" s="328"/>
      <c r="J547" s="328"/>
      <c r="K547" s="328"/>
      <c r="L547" s="328"/>
      <c r="M547" s="328"/>
      <c r="N547" s="328"/>
      <c r="O547" s="328"/>
      <c r="P547" s="328"/>
      <c r="Q547" s="328"/>
      <c r="R547" s="328"/>
      <c r="S547" s="328"/>
      <c r="T547" s="328"/>
      <c r="U547" s="328"/>
      <c r="V547" s="328"/>
    </row>
    <row r="548" ht="15.75" customHeight="1">
      <c r="A548" s="328"/>
      <c r="B548" s="328"/>
      <c r="C548" s="328"/>
      <c r="D548" s="328"/>
      <c r="E548" s="328"/>
      <c r="F548" s="328"/>
      <c r="G548" s="328"/>
      <c r="H548" s="328"/>
      <c r="I548" s="328"/>
      <c r="J548" s="328"/>
      <c r="K548" s="328"/>
      <c r="L548" s="328"/>
      <c r="M548" s="328"/>
      <c r="N548" s="328"/>
      <c r="O548" s="328"/>
      <c r="P548" s="328"/>
      <c r="Q548" s="328"/>
      <c r="R548" s="328"/>
      <c r="S548" s="328"/>
      <c r="T548" s="328"/>
      <c r="U548" s="328"/>
      <c r="V548" s="328"/>
    </row>
    <row r="549" ht="15.75" customHeight="1">
      <c r="A549" s="328"/>
      <c r="B549" s="328"/>
      <c r="C549" s="328"/>
      <c r="D549" s="328"/>
      <c r="E549" s="328"/>
      <c r="F549" s="328"/>
      <c r="G549" s="328"/>
      <c r="H549" s="328"/>
      <c r="I549" s="328"/>
      <c r="J549" s="328"/>
      <c r="K549" s="328"/>
      <c r="L549" s="328"/>
      <c r="M549" s="328"/>
      <c r="N549" s="328"/>
      <c r="O549" s="328"/>
      <c r="P549" s="328"/>
      <c r="Q549" s="328"/>
      <c r="R549" s="328"/>
      <c r="S549" s="328"/>
      <c r="T549" s="328"/>
      <c r="U549" s="328"/>
      <c r="V549" s="328"/>
    </row>
    <row r="550" ht="15.75" customHeight="1">
      <c r="A550" s="328"/>
      <c r="B550" s="328"/>
      <c r="C550" s="328"/>
      <c r="D550" s="328"/>
      <c r="E550" s="328"/>
      <c r="F550" s="328"/>
      <c r="G550" s="328"/>
      <c r="H550" s="328"/>
      <c r="I550" s="328"/>
      <c r="J550" s="328"/>
      <c r="K550" s="328"/>
      <c r="L550" s="328"/>
      <c r="M550" s="328"/>
      <c r="N550" s="328"/>
      <c r="O550" s="328"/>
      <c r="P550" s="328"/>
      <c r="Q550" s="328"/>
      <c r="R550" s="328"/>
      <c r="S550" s="328"/>
      <c r="T550" s="328"/>
      <c r="U550" s="328"/>
      <c r="V550" s="328"/>
    </row>
    <row r="551" ht="15.75" customHeight="1">
      <c r="A551" s="328"/>
      <c r="B551" s="328"/>
      <c r="C551" s="328"/>
      <c r="D551" s="328"/>
      <c r="E551" s="328"/>
      <c r="F551" s="328"/>
      <c r="G551" s="328"/>
      <c r="H551" s="328"/>
      <c r="I551" s="328"/>
      <c r="J551" s="328"/>
      <c r="K551" s="328"/>
      <c r="L551" s="328"/>
      <c r="M551" s="328"/>
      <c r="N551" s="328"/>
      <c r="O551" s="328"/>
      <c r="P551" s="328"/>
      <c r="Q551" s="328"/>
      <c r="R551" s="328"/>
      <c r="S551" s="328"/>
      <c r="T551" s="328"/>
      <c r="U551" s="328"/>
      <c r="V551" s="328"/>
    </row>
    <row r="552" ht="15.75" customHeight="1">
      <c r="A552" s="328"/>
      <c r="B552" s="328"/>
      <c r="C552" s="328"/>
      <c r="D552" s="328"/>
      <c r="E552" s="328"/>
      <c r="F552" s="328"/>
      <c r="G552" s="328"/>
      <c r="H552" s="328"/>
      <c r="I552" s="328"/>
      <c r="J552" s="328"/>
      <c r="K552" s="328"/>
      <c r="L552" s="328"/>
      <c r="M552" s="328"/>
      <c r="N552" s="328"/>
      <c r="O552" s="328"/>
      <c r="P552" s="328"/>
      <c r="Q552" s="328"/>
      <c r="R552" s="328"/>
      <c r="S552" s="328"/>
      <c r="T552" s="328"/>
      <c r="U552" s="328"/>
      <c r="V552" s="328"/>
    </row>
    <row r="553" ht="15.75" customHeight="1">
      <c r="A553" s="328"/>
      <c r="B553" s="328"/>
      <c r="C553" s="328"/>
      <c r="D553" s="328"/>
      <c r="E553" s="328"/>
      <c r="F553" s="328"/>
      <c r="G553" s="328"/>
      <c r="H553" s="328"/>
      <c r="I553" s="328"/>
      <c r="J553" s="328"/>
      <c r="K553" s="328"/>
      <c r="L553" s="328"/>
      <c r="M553" s="328"/>
      <c r="N553" s="328"/>
      <c r="O553" s="328"/>
      <c r="P553" s="328"/>
      <c r="Q553" s="328"/>
      <c r="R553" s="328"/>
      <c r="S553" s="328"/>
      <c r="T553" s="328"/>
      <c r="U553" s="328"/>
      <c r="V553" s="328"/>
    </row>
    <row r="554" ht="15.75" customHeight="1">
      <c r="A554" s="328"/>
      <c r="B554" s="328"/>
      <c r="C554" s="328"/>
      <c r="D554" s="328"/>
      <c r="E554" s="328"/>
      <c r="F554" s="328"/>
      <c r="G554" s="328"/>
      <c r="H554" s="328"/>
      <c r="I554" s="328"/>
      <c r="J554" s="328"/>
      <c r="K554" s="328"/>
      <c r="L554" s="328"/>
      <c r="M554" s="328"/>
      <c r="N554" s="328"/>
      <c r="O554" s="328"/>
      <c r="P554" s="328"/>
      <c r="Q554" s="328"/>
      <c r="R554" s="328"/>
      <c r="S554" s="328"/>
      <c r="T554" s="328"/>
      <c r="U554" s="328"/>
      <c r="V554" s="328"/>
    </row>
    <row r="555" ht="15.75" customHeight="1">
      <c r="A555" s="328"/>
      <c r="B555" s="328"/>
      <c r="C555" s="328"/>
      <c r="D555" s="328"/>
      <c r="E555" s="328"/>
      <c r="F555" s="328"/>
      <c r="G555" s="328"/>
      <c r="H555" s="328"/>
      <c r="I555" s="328"/>
      <c r="J555" s="328"/>
      <c r="K555" s="328"/>
      <c r="L555" s="328"/>
      <c r="M555" s="328"/>
      <c r="N555" s="328"/>
      <c r="O555" s="328"/>
      <c r="P555" s="328"/>
      <c r="Q555" s="328"/>
      <c r="R555" s="328"/>
      <c r="S555" s="328"/>
      <c r="T555" s="328"/>
      <c r="U555" s="328"/>
      <c r="V555" s="328"/>
    </row>
    <row r="556" ht="15.75" customHeight="1">
      <c r="A556" s="328"/>
      <c r="B556" s="328"/>
      <c r="C556" s="328"/>
      <c r="D556" s="328"/>
      <c r="E556" s="328"/>
      <c r="F556" s="328"/>
      <c r="G556" s="328"/>
      <c r="H556" s="328"/>
      <c r="I556" s="328"/>
      <c r="J556" s="328"/>
      <c r="K556" s="328"/>
      <c r="L556" s="328"/>
      <c r="M556" s="328"/>
      <c r="N556" s="328"/>
      <c r="O556" s="328"/>
      <c r="P556" s="328"/>
      <c r="Q556" s="328"/>
      <c r="R556" s="328"/>
      <c r="S556" s="328"/>
      <c r="T556" s="328"/>
      <c r="U556" s="328"/>
      <c r="V556" s="328"/>
    </row>
    <row r="557" ht="15.75" customHeight="1">
      <c r="A557" s="328"/>
      <c r="B557" s="328"/>
      <c r="C557" s="328"/>
      <c r="D557" s="328"/>
      <c r="E557" s="328"/>
      <c r="F557" s="328"/>
      <c r="G557" s="328"/>
      <c r="H557" s="328"/>
      <c r="I557" s="328"/>
      <c r="J557" s="328"/>
      <c r="K557" s="328"/>
      <c r="L557" s="328"/>
      <c r="M557" s="328"/>
      <c r="N557" s="328"/>
      <c r="O557" s="328"/>
      <c r="P557" s="328"/>
      <c r="Q557" s="328"/>
      <c r="R557" s="328"/>
      <c r="S557" s="328"/>
      <c r="T557" s="328"/>
      <c r="U557" s="328"/>
      <c r="V557" s="328"/>
    </row>
    <row r="558" ht="15.75" customHeight="1">
      <c r="A558" s="328"/>
      <c r="B558" s="328"/>
      <c r="C558" s="328"/>
      <c r="D558" s="328"/>
      <c r="E558" s="328"/>
      <c r="F558" s="328"/>
      <c r="G558" s="328"/>
      <c r="H558" s="328"/>
      <c r="I558" s="328"/>
      <c r="J558" s="328"/>
      <c r="K558" s="328"/>
      <c r="L558" s="328"/>
      <c r="M558" s="328"/>
      <c r="N558" s="328"/>
      <c r="O558" s="328"/>
      <c r="P558" s="328"/>
      <c r="Q558" s="328"/>
      <c r="R558" s="328"/>
      <c r="S558" s="328"/>
      <c r="T558" s="328"/>
      <c r="U558" s="328"/>
      <c r="V558" s="328"/>
    </row>
    <row r="559" ht="15.75" customHeight="1">
      <c r="A559" s="328"/>
      <c r="B559" s="328"/>
      <c r="C559" s="328"/>
      <c r="D559" s="328"/>
      <c r="E559" s="328"/>
      <c r="F559" s="328"/>
      <c r="G559" s="328"/>
      <c r="H559" s="328"/>
      <c r="I559" s="328"/>
      <c r="J559" s="328"/>
      <c r="K559" s="328"/>
      <c r="L559" s="328"/>
      <c r="M559" s="328"/>
      <c r="N559" s="328"/>
      <c r="O559" s="328"/>
      <c r="P559" s="328"/>
      <c r="Q559" s="328"/>
      <c r="R559" s="328"/>
      <c r="S559" s="328"/>
      <c r="T559" s="328"/>
      <c r="U559" s="328"/>
      <c r="V559" s="328"/>
    </row>
    <row r="560" ht="15.75" customHeight="1">
      <c r="A560" s="328"/>
      <c r="B560" s="328"/>
      <c r="C560" s="328"/>
      <c r="D560" s="328"/>
      <c r="E560" s="328"/>
      <c r="F560" s="328"/>
      <c r="G560" s="328"/>
      <c r="H560" s="328"/>
      <c r="I560" s="328"/>
      <c r="J560" s="328"/>
      <c r="K560" s="328"/>
      <c r="L560" s="328"/>
      <c r="M560" s="328"/>
      <c r="N560" s="328"/>
      <c r="O560" s="328"/>
      <c r="P560" s="328"/>
      <c r="Q560" s="328"/>
      <c r="R560" s="328"/>
      <c r="S560" s="328"/>
      <c r="T560" s="328"/>
      <c r="U560" s="328"/>
      <c r="V560" s="328"/>
    </row>
    <row r="561" ht="15.75" customHeight="1">
      <c r="A561" s="328"/>
      <c r="B561" s="328"/>
      <c r="C561" s="328"/>
      <c r="D561" s="328"/>
      <c r="E561" s="328"/>
      <c r="F561" s="328"/>
      <c r="G561" s="328"/>
      <c r="H561" s="328"/>
      <c r="I561" s="328"/>
      <c r="J561" s="328"/>
      <c r="K561" s="328"/>
      <c r="L561" s="328"/>
      <c r="M561" s="328"/>
      <c r="N561" s="328"/>
      <c r="O561" s="328"/>
      <c r="P561" s="328"/>
      <c r="Q561" s="328"/>
      <c r="R561" s="328"/>
      <c r="S561" s="328"/>
      <c r="T561" s="328"/>
      <c r="U561" s="328"/>
      <c r="V561" s="328"/>
    </row>
    <row r="562" ht="15.75" customHeight="1">
      <c r="A562" s="328"/>
      <c r="B562" s="328"/>
      <c r="C562" s="328"/>
      <c r="D562" s="328"/>
      <c r="E562" s="328"/>
      <c r="F562" s="328"/>
      <c r="G562" s="328"/>
      <c r="H562" s="328"/>
      <c r="I562" s="328"/>
      <c r="J562" s="328"/>
      <c r="K562" s="328"/>
      <c r="L562" s="328"/>
      <c r="M562" s="328"/>
      <c r="N562" s="328"/>
      <c r="O562" s="328"/>
      <c r="P562" s="328"/>
      <c r="Q562" s="328"/>
      <c r="R562" s="328"/>
      <c r="S562" s="328"/>
      <c r="T562" s="328"/>
      <c r="U562" s="328"/>
      <c r="V562" s="328"/>
    </row>
    <row r="563" ht="15.75" customHeight="1">
      <c r="A563" s="328"/>
      <c r="B563" s="328"/>
      <c r="C563" s="328"/>
      <c r="D563" s="328"/>
      <c r="E563" s="328"/>
      <c r="F563" s="328"/>
      <c r="G563" s="328"/>
      <c r="H563" s="328"/>
      <c r="I563" s="328"/>
      <c r="J563" s="328"/>
      <c r="K563" s="328"/>
      <c r="L563" s="328"/>
      <c r="M563" s="328"/>
      <c r="N563" s="328"/>
      <c r="O563" s="328"/>
      <c r="P563" s="328"/>
      <c r="Q563" s="328"/>
      <c r="R563" s="328"/>
      <c r="S563" s="328"/>
      <c r="T563" s="328"/>
      <c r="U563" s="328"/>
      <c r="V563" s="328"/>
    </row>
    <row r="564" ht="15.75" customHeight="1">
      <c r="A564" s="328"/>
      <c r="B564" s="328"/>
      <c r="C564" s="328"/>
      <c r="D564" s="328"/>
      <c r="E564" s="328"/>
      <c r="F564" s="328"/>
      <c r="G564" s="328"/>
      <c r="H564" s="328"/>
      <c r="I564" s="328"/>
      <c r="J564" s="328"/>
      <c r="K564" s="328"/>
      <c r="L564" s="328"/>
      <c r="M564" s="328"/>
      <c r="N564" s="328"/>
      <c r="O564" s="328"/>
      <c r="P564" s="328"/>
      <c r="Q564" s="328"/>
      <c r="R564" s="328"/>
      <c r="S564" s="328"/>
      <c r="T564" s="328"/>
      <c r="U564" s="328"/>
      <c r="V564" s="328"/>
    </row>
    <row r="565" ht="15.75" customHeight="1">
      <c r="A565" s="328"/>
      <c r="B565" s="328"/>
      <c r="C565" s="328"/>
      <c r="D565" s="328"/>
      <c r="E565" s="328"/>
      <c r="F565" s="328"/>
      <c r="G565" s="328"/>
      <c r="H565" s="328"/>
      <c r="I565" s="328"/>
      <c r="J565" s="328"/>
      <c r="K565" s="328"/>
      <c r="L565" s="328"/>
      <c r="M565" s="328"/>
      <c r="N565" s="328"/>
      <c r="O565" s="328"/>
      <c r="P565" s="328"/>
      <c r="Q565" s="328"/>
      <c r="R565" s="328"/>
      <c r="S565" s="328"/>
      <c r="T565" s="328"/>
      <c r="U565" s="328"/>
      <c r="V565" s="328"/>
    </row>
    <row r="566" ht="15.75" customHeight="1">
      <c r="A566" s="328"/>
      <c r="B566" s="328"/>
      <c r="C566" s="328"/>
      <c r="D566" s="328"/>
      <c r="E566" s="328"/>
      <c r="F566" s="328"/>
      <c r="G566" s="328"/>
      <c r="H566" s="328"/>
      <c r="I566" s="328"/>
      <c r="J566" s="328"/>
      <c r="K566" s="328"/>
      <c r="L566" s="328"/>
      <c r="M566" s="328"/>
      <c r="N566" s="328"/>
      <c r="O566" s="328"/>
      <c r="P566" s="328"/>
      <c r="Q566" s="328"/>
      <c r="R566" s="328"/>
      <c r="S566" s="328"/>
      <c r="T566" s="328"/>
      <c r="U566" s="328"/>
      <c r="V566" s="328"/>
    </row>
    <row r="567" ht="15.75" customHeight="1">
      <c r="A567" s="328"/>
      <c r="B567" s="328"/>
      <c r="C567" s="328"/>
      <c r="D567" s="328"/>
      <c r="E567" s="328"/>
      <c r="F567" s="328"/>
      <c r="G567" s="328"/>
      <c r="H567" s="328"/>
      <c r="I567" s="328"/>
      <c r="J567" s="328"/>
      <c r="K567" s="328"/>
      <c r="L567" s="328"/>
      <c r="M567" s="328"/>
      <c r="N567" s="328"/>
      <c r="O567" s="328"/>
      <c r="P567" s="328"/>
      <c r="Q567" s="328"/>
      <c r="R567" s="328"/>
      <c r="S567" s="328"/>
      <c r="T567" s="328"/>
      <c r="U567" s="328"/>
      <c r="V567" s="328"/>
    </row>
    <row r="568" ht="15.75" customHeight="1">
      <c r="A568" s="328"/>
      <c r="B568" s="328"/>
      <c r="C568" s="328"/>
      <c r="D568" s="328"/>
      <c r="E568" s="328"/>
      <c r="F568" s="328"/>
      <c r="G568" s="328"/>
      <c r="H568" s="328"/>
      <c r="I568" s="328"/>
      <c r="J568" s="328"/>
      <c r="K568" s="328"/>
      <c r="L568" s="328"/>
      <c r="M568" s="328"/>
      <c r="N568" s="328"/>
      <c r="O568" s="328"/>
      <c r="P568" s="328"/>
      <c r="Q568" s="328"/>
      <c r="R568" s="328"/>
      <c r="S568" s="328"/>
      <c r="T568" s="328"/>
      <c r="U568" s="328"/>
      <c r="V568" s="328"/>
    </row>
    <row r="569" ht="15.75" customHeight="1">
      <c r="A569" s="328"/>
      <c r="B569" s="328"/>
      <c r="C569" s="328"/>
      <c r="D569" s="328"/>
      <c r="E569" s="328"/>
      <c r="F569" s="328"/>
      <c r="G569" s="328"/>
      <c r="H569" s="328"/>
      <c r="I569" s="328"/>
      <c r="J569" s="328"/>
      <c r="K569" s="328"/>
      <c r="L569" s="328"/>
      <c r="M569" s="328"/>
      <c r="N569" s="328"/>
      <c r="O569" s="328"/>
      <c r="P569" s="328"/>
      <c r="Q569" s="328"/>
      <c r="R569" s="328"/>
      <c r="S569" s="328"/>
      <c r="T569" s="328"/>
      <c r="U569" s="328"/>
      <c r="V569" s="328"/>
    </row>
    <row r="570" ht="15.75" customHeight="1">
      <c r="A570" s="328"/>
      <c r="B570" s="328"/>
      <c r="C570" s="328"/>
      <c r="D570" s="328"/>
      <c r="E570" s="328"/>
      <c r="F570" s="328"/>
      <c r="G570" s="328"/>
      <c r="H570" s="328"/>
      <c r="I570" s="328"/>
      <c r="J570" s="328"/>
      <c r="K570" s="328"/>
      <c r="L570" s="328"/>
      <c r="M570" s="328"/>
      <c r="N570" s="328"/>
      <c r="O570" s="328"/>
      <c r="P570" s="328"/>
      <c r="Q570" s="328"/>
      <c r="R570" s="328"/>
      <c r="S570" s="328"/>
      <c r="T570" s="328"/>
      <c r="U570" s="328"/>
      <c r="V570" s="328"/>
    </row>
    <row r="571" ht="15.75" customHeight="1">
      <c r="A571" s="328"/>
      <c r="B571" s="328"/>
      <c r="C571" s="328"/>
      <c r="D571" s="328"/>
      <c r="E571" s="328"/>
      <c r="F571" s="328"/>
      <c r="G571" s="328"/>
      <c r="H571" s="328"/>
      <c r="I571" s="328"/>
      <c r="J571" s="328"/>
      <c r="K571" s="328"/>
      <c r="L571" s="328"/>
      <c r="M571" s="328"/>
      <c r="N571" s="328"/>
      <c r="O571" s="328"/>
      <c r="P571" s="328"/>
      <c r="Q571" s="328"/>
      <c r="R571" s="328"/>
      <c r="S571" s="328"/>
      <c r="T571" s="328"/>
      <c r="U571" s="328"/>
      <c r="V571" s="328"/>
    </row>
    <row r="572" ht="15.75" customHeight="1">
      <c r="A572" s="328"/>
      <c r="B572" s="328"/>
      <c r="C572" s="328"/>
      <c r="D572" s="328"/>
      <c r="E572" s="328"/>
      <c r="F572" s="328"/>
      <c r="G572" s="328"/>
      <c r="H572" s="328"/>
      <c r="I572" s="328"/>
      <c r="J572" s="328"/>
      <c r="K572" s="328"/>
      <c r="L572" s="328"/>
      <c r="M572" s="328"/>
      <c r="N572" s="328"/>
      <c r="O572" s="328"/>
      <c r="P572" s="328"/>
      <c r="Q572" s="328"/>
      <c r="R572" s="328"/>
      <c r="S572" s="328"/>
      <c r="T572" s="328"/>
      <c r="U572" s="328"/>
      <c r="V572" s="328"/>
    </row>
    <row r="573" ht="15.75" customHeight="1">
      <c r="A573" s="328"/>
      <c r="B573" s="328"/>
      <c r="C573" s="328"/>
      <c r="D573" s="328"/>
      <c r="E573" s="328"/>
      <c r="F573" s="328"/>
      <c r="G573" s="328"/>
      <c r="H573" s="328"/>
      <c r="I573" s="328"/>
      <c r="J573" s="328"/>
      <c r="K573" s="328"/>
      <c r="L573" s="328"/>
      <c r="M573" s="328"/>
      <c r="N573" s="328"/>
      <c r="O573" s="328"/>
      <c r="P573" s="328"/>
      <c r="Q573" s="328"/>
      <c r="R573" s="328"/>
      <c r="S573" s="328"/>
      <c r="T573" s="328"/>
      <c r="U573" s="328"/>
      <c r="V573" s="328"/>
    </row>
    <row r="574" ht="15.75" customHeight="1">
      <c r="A574" s="328"/>
      <c r="B574" s="328"/>
      <c r="C574" s="328"/>
      <c r="D574" s="328"/>
      <c r="E574" s="328"/>
      <c r="F574" s="328"/>
      <c r="G574" s="328"/>
      <c r="H574" s="328"/>
      <c r="I574" s="328"/>
      <c r="J574" s="328"/>
      <c r="K574" s="328"/>
      <c r="L574" s="328"/>
      <c r="M574" s="328"/>
      <c r="N574" s="328"/>
      <c r="O574" s="328"/>
      <c r="P574" s="328"/>
      <c r="Q574" s="328"/>
      <c r="R574" s="328"/>
      <c r="S574" s="328"/>
      <c r="T574" s="328"/>
      <c r="U574" s="328"/>
      <c r="V574" s="328"/>
    </row>
    <row r="575" ht="15.75" customHeight="1">
      <c r="A575" s="328"/>
      <c r="B575" s="328"/>
      <c r="C575" s="328"/>
      <c r="D575" s="328"/>
      <c r="E575" s="328"/>
      <c r="F575" s="328"/>
      <c r="G575" s="328"/>
      <c r="H575" s="328"/>
      <c r="I575" s="328"/>
      <c r="J575" s="328"/>
      <c r="K575" s="328"/>
      <c r="L575" s="328"/>
      <c r="M575" s="328"/>
      <c r="N575" s="328"/>
      <c r="O575" s="328"/>
      <c r="P575" s="328"/>
      <c r="Q575" s="328"/>
      <c r="R575" s="328"/>
      <c r="S575" s="328"/>
      <c r="T575" s="328"/>
      <c r="U575" s="328"/>
      <c r="V575" s="328"/>
    </row>
    <row r="576" ht="15.75" customHeight="1">
      <c r="A576" s="328"/>
      <c r="B576" s="328"/>
      <c r="C576" s="328"/>
      <c r="D576" s="328"/>
      <c r="E576" s="328"/>
      <c r="F576" s="328"/>
      <c r="G576" s="328"/>
      <c r="H576" s="328"/>
      <c r="I576" s="328"/>
      <c r="J576" s="328"/>
      <c r="K576" s="328"/>
      <c r="L576" s="328"/>
      <c r="M576" s="328"/>
      <c r="N576" s="328"/>
      <c r="O576" s="328"/>
      <c r="P576" s="328"/>
      <c r="Q576" s="328"/>
      <c r="R576" s="328"/>
      <c r="S576" s="328"/>
      <c r="T576" s="328"/>
      <c r="U576" s="328"/>
      <c r="V576" s="328"/>
    </row>
    <row r="577" ht="15.75" customHeight="1">
      <c r="A577" s="328"/>
      <c r="B577" s="328"/>
      <c r="C577" s="328"/>
      <c r="D577" s="328"/>
      <c r="E577" s="328"/>
      <c r="F577" s="328"/>
      <c r="G577" s="328"/>
      <c r="H577" s="328"/>
      <c r="I577" s="328"/>
      <c r="J577" s="328"/>
      <c r="K577" s="328"/>
      <c r="L577" s="328"/>
      <c r="M577" s="328"/>
      <c r="N577" s="328"/>
      <c r="O577" s="328"/>
      <c r="P577" s="328"/>
      <c r="Q577" s="328"/>
      <c r="R577" s="328"/>
      <c r="S577" s="328"/>
      <c r="T577" s="328"/>
      <c r="U577" s="328"/>
      <c r="V577" s="328"/>
    </row>
    <row r="578" ht="15.75" customHeight="1">
      <c r="A578" s="328"/>
      <c r="B578" s="328"/>
      <c r="C578" s="328"/>
      <c r="D578" s="328"/>
      <c r="E578" s="328"/>
      <c r="F578" s="328"/>
      <c r="G578" s="328"/>
      <c r="H578" s="328"/>
      <c r="I578" s="328"/>
      <c r="J578" s="328"/>
      <c r="K578" s="328"/>
      <c r="L578" s="328"/>
      <c r="M578" s="328"/>
      <c r="N578" s="328"/>
      <c r="O578" s="328"/>
      <c r="P578" s="328"/>
      <c r="Q578" s="328"/>
      <c r="R578" s="328"/>
      <c r="S578" s="328"/>
      <c r="T578" s="328"/>
      <c r="U578" s="328"/>
      <c r="V578" s="328"/>
    </row>
    <row r="579" ht="15.75" customHeight="1">
      <c r="A579" s="328"/>
      <c r="B579" s="328"/>
      <c r="C579" s="328"/>
      <c r="D579" s="328"/>
      <c r="E579" s="328"/>
      <c r="F579" s="328"/>
      <c r="G579" s="328"/>
      <c r="H579" s="328"/>
      <c r="I579" s="328"/>
      <c r="J579" s="328"/>
      <c r="K579" s="328"/>
      <c r="L579" s="328"/>
      <c r="M579" s="328"/>
      <c r="N579" s="328"/>
      <c r="O579" s="328"/>
      <c r="P579" s="328"/>
      <c r="Q579" s="328"/>
      <c r="R579" s="328"/>
      <c r="S579" s="328"/>
      <c r="T579" s="328"/>
      <c r="U579" s="328"/>
      <c r="V579" s="328"/>
    </row>
    <row r="580" ht="15.75" customHeight="1">
      <c r="A580" s="328"/>
      <c r="B580" s="328"/>
      <c r="C580" s="328"/>
      <c r="D580" s="328"/>
      <c r="E580" s="328"/>
      <c r="F580" s="328"/>
      <c r="G580" s="328"/>
      <c r="H580" s="328"/>
      <c r="I580" s="328"/>
      <c r="J580" s="328"/>
      <c r="K580" s="328"/>
      <c r="L580" s="328"/>
      <c r="M580" s="328"/>
      <c r="N580" s="328"/>
      <c r="O580" s="328"/>
      <c r="P580" s="328"/>
      <c r="Q580" s="328"/>
      <c r="R580" s="328"/>
      <c r="S580" s="328"/>
      <c r="T580" s="328"/>
      <c r="U580" s="328"/>
      <c r="V580" s="328"/>
    </row>
    <row r="581" ht="15.75" customHeight="1">
      <c r="A581" s="328"/>
      <c r="B581" s="328"/>
      <c r="C581" s="328"/>
      <c r="D581" s="328"/>
      <c r="E581" s="328"/>
      <c r="F581" s="328"/>
      <c r="G581" s="328"/>
      <c r="H581" s="328"/>
      <c r="I581" s="328"/>
      <c r="J581" s="328"/>
      <c r="K581" s="328"/>
      <c r="L581" s="328"/>
      <c r="M581" s="328"/>
      <c r="N581" s="328"/>
      <c r="O581" s="328"/>
      <c r="P581" s="328"/>
      <c r="Q581" s="328"/>
      <c r="R581" s="328"/>
      <c r="S581" s="328"/>
      <c r="T581" s="328"/>
      <c r="U581" s="328"/>
      <c r="V581" s="328"/>
    </row>
    <row r="582" ht="15.75" customHeight="1">
      <c r="A582" s="328"/>
      <c r="B582" s="328"/>
      <c r="C582" s="328"/>
      <c r="D582" s="328"/>
      <c r="E582" s="328"/>
      <c r="F582" s="328"/>
      <c r="G582" s="328"/>
      <c r="H582" s="328"/>
      <c r="I582" s="328"/>
      <c r="J582" s="328"/>
      <c r="K582" s="328"/>
      <c r="L582" s="328"/>
      <c r="M582" s="328"/>
      <c r="N582" s="328"/>
      <c r="O582" s="328"/>
      <c r="P582" s="328"/>
      <c r="Q582" s="328"/>
      <c r="R582" s="328"/>
      <c r="S582" s="328"/>
      <c r="T582" s="328"/>
      <c r="U582" s="328"/>
      <c r="V582" s="328"/>
    </row>
    <row r="583" ht="15.75" customHeight="1">
      <c r="A583" s="328"/>
      <c r="B583" s="328"/>
      <c r="C583" s="328"/>
      <c r="D583" s="328"/>
      <c r="E583" s="328"/>
      <c r="F583" s="328"/>
      <c r="G583" s="328"/>
      <c r="H583" s="328"/>
      <c r="I583" s="328"/>
      <c r="J583" s="328"/>
      <c r="K583" s="328"/>
      <c r="L583" s="328"/>
      <c r="M583" s="328"/>
      <c r="N583" s="328"/>
      <c r="O583" s="328"/>
      <c r="P583" s="328"/>
      <c r="Q583" s="328"/>
      <c r="R583" s="328"/>
      <c r="S583" s="328"/>
      <c r="T583" s="328"/>
      <c r="U583" s="328"/>
      <c r="V583" s="328"/>
    </row>
    <row r="584" ht="15.75" customHeight="1">
      <c r="A584" s="328"/>
      <c r="B584" s="328"/>
      <c r="C584" s="328"/>
      <c r="D584" s="328"/>
      <c r="E584" s="328"/>
      <c r="F584" s="328"/>
      <c r="G584" s="328"/>
      <c r="H584" s="328"/>
      <c r="I584" s="328"/>
      <c r="J584" s="328"/>
      <c r="K584" s="328"/>
      <c r="L584" s="328"/>
      <c r="M584" s="328"/>
      <c r="N584" s="328"/>
      <c r="O584" s="328"/>
      <c r="P584" s="328"/>
      <c r="Q584" s="328"/>
      <c r="R584" s="328"/>
      <c r="S584" s="328"/>
      <c r="T584" s="328"/>
      <c r="U584" s="328"/>
      <c r="V584" s="328"/>
    </row>
    <row r="585" ht="15.75" customHeight="1">
      <c r="A585" s="328"/>
      <c r="B585" s="328"/>
      <c r="C585" s="328"/>
      <c r="D585" s="328"/>
      <c r="E585" s="328"/>
      <c r="F585" s="328"/>
      <c r="G585" s="328"/>
      <c r="H585" s="328"/>
      <c r="I585" s="328"/>
      <c r="J585" s="328"/>
      <c r="K585" s="328"/>
      <c r="L585" s="328"/>
      <c r="M585" s="328"/>
      <c r="N585" s="328"/>
      <c r="O585" s="328"/>
      <c r="P585" s="328"/>
      <c r="Q585" s="328"/>
      <c r="R585" s="328"/>
      <c r="S585" s="328"/>
      <c r="T585" s="328"/>
      <c r="U585" s="328"/>
      <c r="V585" s="328"/>
    </row>
    <row r="586" ht="15.75" customHeight="1">
      <c r="A586" s="328"/>
      <c r="B586" s="328"/>
      <c r="C586" s="328"/>
      <c r="D586" s="328"/>
      <c r="E586" s="328"/>
      <c r="F586" s="328"/>
      <c r="G586" s="328"/>
      <c r="H586" s="328"/>
      <c r="I586" s="328"/>
      <c r="J586" s="328"/>
      <c r="K586" s="328"/>
      <c r="L586" s="328"/>
      <c r="M586" s="328"/>
      <c r="N586" s="328"/>
      <c r="O586" s="328"/>
      <c r="P586" s="328"/>
      <c r="Q586" s="328"/>
      <c r="R586" s="328"/>
      <c r="S586" s="328"/>
      <c r="T586" s="328"/>
      <c r="U586" s="328"/>
      <c r="V586" s="328"/>
    </row>
    <row r="587" ht="15.75" customHeight="1">
      <c r="A587" s="328"/>
      <c r="B587" s="328"/>
      <c r="C587" s="328"/>
      <c r="D587" s="328"/>
      <c r="E587" s="328"/>
      <c r="F587" s="328"/>
      <c r="G587" s="328"/>
      <c r="H587" s="328"/>
      <c r="I587" s="328"/>
      <c r="J587" s="328"/>
      <c r="K587" s="328"/>
      <c r="L587" s="328"/>
      <c r="M587" s="328"/>
      <c r="N587" s="328"/>
      <c r="O587" s="328"/>
      <c r="P587" s="328"/>
      <c r="Q587" s="328"/>
      <c r="R587" s="328"/>
      <c r="S587" s="328"/>
      <c r="T587" s="328"/>
      <c r="U587" s="328"/>
      <c r="V587" s="328"/>
    </row>
    <row r="588" ht="15.75" customHeight="1">
      <c r="A588" s="328"/>
      <c r="B588" s="328"/>
      <c r="C588" s="328"/>
      <c r="D588" s="328"/>
      <c r="E588" s="328"/>
      <c r="F588" s="328"/>
      <c r="G588" s="328"/>
      <c r="H588" s="328"/>
      <c r="I588" s="328"/>
      <c r="J588" s="328"/>
      <c r="K588" s="328"/>
      <c r="L588" s="328"/>
      <c r="M588" s="328"/>
      <c r="N588" s="328"/>
      <c r="O588" s="328"/>
      <c r="P588" s="328"/>
      <c r="Q588" s="328"/>
      <c r="R588" s="328"/>
      <c r="S588" s="328"/>
      <c r="T588" s="328"/>
      <c r="U588" s="328"/>
      <c r="V588" s="328"/>
    </row>
    <row r="589" ht="15.75" customHeight="1">
      <c r="A589" s="328"/>
      <c r="B589" s="328"/>
      <c r="C589" s="328"/>
      <c r="D589" s="328"/>
      <c r="E589" s="328"/>
      <c r="F589" s="328"/>
      <c r="G589" s="328"/>
      <c r="H589" s="328"/>
      <c r="I589" s="328"/>
      <c r="J589" s="328"/>
      <c r="K589" s="328"/>
      <c r="L589" s="328"/>
      <c r="M589" s="328"/>
      <c r="N589" s="328"/>
      <c r="O589" s="328"/>
      <c r="P589" s="328"/>
      <c r="Q589" s="328"/>
      <c r="R589" s="328"/>
      <c r="S589" s="328"/>
      <c r="T589" s="328"/>
      <c r="U589" s="328"/>
      <c r="V589" s="328"/>
    </row>
    <row r="590" ht="15.75" customHeight="1">
      <c r="A590" s="328"/>
      <c r="B590" s="328"/>
      <c r="C590" s="328"/>
      <c r="D590" s="328"/>
      <c r="E590" s="328"/>
      <c r="F590" s="328"/>
      <c r="G590" s="328"/>
      <c r="H590" s="328"/>
      <c r="I590" s="328"/>
      <c r="J590" s="328"/>
      <c r="K590" s="328"/>
      <c r="L590" s="328"/>
      <c r="M590" s="328"/>
      <c r="N590" s="328"/>
      <c r="O590" s="328"/>
      <c r="P590" s="328"/>
      <c r="Q590" s="328"/>
      <c r="R590" s="328"/>
      <c r="S590" s="328"/>
      <c r="T590" s="328"/>
      <c r="U590" s="328"/>
      <c r="V590" s="328"/>
    </row>
    <row r="591" ht="15.75" customHeight="1">
      <c r="A591" s="328"/>
      <c r="B591" s="328"/>
      <c r="C591" s="328"/>
      <c r="D591" s="328"/>
      <c r="E591" s="328"/>
      <c r="F591" s="328"/>
      <c r="G591" s="328"/>
      <c r="H591" s="328"/>
      <c r="I591" s="328"/>
      <c r="J591" s="328"/>
      <c r="K591" s="328"/>
      <c r="L591" s="328"/>
      <c r="M591" s="328"/>
      <c r="N591" s="328"/>
      <c r="O591" s="328"/>
      <c r="P591" s="328"/>
      <c r="Q591" s="328"/>
      <c r="R591" s="328"/>
      <c r="S591" s="328"/>
      <c r="T591" s="328"/>
      <c r="U591" s="328"/>
      <c r="V591" s="328"/>
    </row>
    <row r="592" ht="15.75" customHeight="1">
      <c r="A592" s="328"/>
      <c r="B592" s="328"/>
      <c r="C592" s="328"/>
      <c r="D592" s="328"/>
      <c r="E592" s="328"/>
      <c r="F592" s="328"/>
      <c r="G592" s="328"/>
      <c r="H592" s="328"/>
      <c r="I592" s="328"/>
      <c r="J592" s="328"/>
      <c r="K592" s="328"/>
      <c r="L592" s="328"/>
      <c r="M592" s="328"/>
      <c r="N592" s="328"/>
      <c r="O592" s="328"/>
      <c r="P592" s="328"/>
      <c r="Q592" s="328"/>
      <c r="R592" s="328"/>
      <c r="S592" s="328"/>
      <c r="T592" s="328"/>
      <c r="U592" s="328"/>
      <c r="V592" s="328"/>
    </row>
    <row r="593" ht="15.75" customHeight="1">
      <c r="A593" s="328"/>
      <c r="B593" s="328"/>
      <c r="C593" s="328"/>
      <c r="D593" s="328"/>
      <c r="E593" s="328"/>
      <c r="F593" s="328"/>
      <c r="G593" s="328"/>
      <c r="H593" s="328"/>
      <c r="I593" s="328"/>
      <c r="J593" s="328"/>
      <c r="K593" s="328"/>
      <c r="L593" s="328"/>
      <c r="M593" s="328"/>
      <c r="N593" s="328"/>
      <c r="O593" s="328"/>
      <c r="P593" s="328"/>
      <c r="Q593" s="328"/>
      <c r="R593" s="328"/>
      <c r="S593" s="328"/>
      <c r="T593" s="328"/>
      <c r="U593" s="328"/>
      <c r="V593" s="328"/>
    </row>
    <row r="594" ht="15.75" customHeight="1">
      <c r="A594" s="328"/>
      <c r="B594" s="328"/>
      <c r="C594" s="328"/>
      <c r="D594" s="328"/>
      <c r="E594" s="328"/>
      <c r="F594" s="328"/>
      <c r="G594" s="328"/>
      <c r="H594" s="328"/>
      <c r="I594" s="328"/>
      <c r="J594" s="328"/>
      <c r="K594" s="328"/>
      <c r="L594" s="328"/>
      <c r="M594" s="328"/>
      <c r="N594" s="328"/>
      <c r="O594" s="328"/>
      <c r="P594" s="328"/>
      <c r="Q594" s="328"/>
      <c r="R594" s="328"/>
      <c r="S594" s="328"/>
      <c r="T594" s="328"/>
      <c r="U594" s="328"/>
      <c r="V594" s="328"/>
    </row>
    <row r="595" ht="15.75" customHeight="1">
      <c r="A595" s="328"/>
      <c r="B595" s="328"/>
      <c r="C595" s="328"/>
      <c r="D595" s="328"/>
      <c r="E595" s="328"/>
      <c r="F595" s="328"/>
      <c r="G595" s="328"/>
      <c r="H595" s="328"/>
      <c r="I595" s="328"/>
      <c r="J595" s="328"/>
      <c r="K595" s="328"/>
      <c r="L595" s="328"/>
      <c r="M595" s="328"/>
      <c r="N595" s="328"/>
      <c r="O595" s="328"/>
      <c r="P595" s="328"/>
      <c r="Q595" s="328"/>
      <c r="R595" s="328"/>
      <c r="S595" s="328"/>
      <c r="T595" s="328"/>
      <c r="U595" s="328"/>
      <c r="V595" s="328"/>
    </row>
    <row r="596" ht="15.75" customHeight="1">
      <c r="A596" s="328"/>
      <c r="B596" s="328"/>
      <c r="C596" s="328"/>
      <c r="D596" s="328"/>
      <c r="E596" s="328"/>
      <c r="F596" s="328"/>
      <c r="G596" s="328"/>
      <c r="H596" s="328"/>
      <c r="I596" s="328"/>
      <c r="J596" s="328"/>
      <c r="K596" s="328"/>
      <c r="L596" s="328"/>
      <c r="M596" s="328"/>
      <c r="N596" s="328"/>
      <c r="O596" s="328"/>
      <c r="P596" s="328"/>
      <c r="Q596" s="328"/>
      <c r="R596" s="328"/>
      <c r="S596" s="328"/>
      <c r="T596" s="328"/>
      <c r="U596" s="328"/>
      <c r="V596" s="328"/>
    </row>
    <row r="597" ht="15.75" customHeight="1">
      <c r="A597" s="328"/>
      <c r="B597" s="328"/>
      <c r="C597" s="328"/>
      <c r="D597" s="328"/>
      <c r="E597" s="328"/>
      <c r="F597" s="328"/>
      <c r="G597" s="328"/>
      <c r="H597" s="328"/>
      <c r="I597" s="328"/>
      <c r="J597" s="328"/>
      <c r="K597" s="328"/>
      <c r="L597" s="328"/>
      <c r="M597" s="328"/>
      <c r="N597" s="328"/>
      <c r="O597" s="328"/>
      <c r="P597" s="328"/>
      <c r="Q597" s="328"/>
      <c r="R597" s="328"/>
      <c r="S597" s="328"/>
      <c r="T597" s="328"/>
      <c r="U597" s="328"/>
      <c r="V597" s="328"/>
    </row>
    <row r="598" ht="15.75" customHeight="1">
      <c r="A598" s="328"/>
      <c r="B598" s="328"/>
      <c r="C598" s="328"/>
      <c r="D598" s="328"/>
      <c r="E598" s="328"/>
      <c r="F598" s="328"/>
      <c r="G598" s="328"/>
      <c r="H598" s="328"/>
      <c r="I598" s="328"/>
      <c r="J598" s="328"/>
      <c r="K598" s="328"/>
      <c r="L598" s="328"/>
      <c r="M598" s="328"/>
      <c r="N598" s="328"/>
      <c r="O598" s="328"/>
      <c r="P598" s="328"/>
      <c r="Q598" s="328"/>
      <c r="R598" s="328"/>
      <c r="S598" s="328"/>
      <c r="T598" s="328"/>
      <c r="U598" s="328"/>
      <c r="V598" s="328"/>
    </row>
    <row r="599" ht="15.75" customHeight="1">
      <c r="A599" s="328"/>
      <c r="B599" s="328"/>
      <c r="C599" s="328"/>
      <c r="D599" s="328"/>
      <c r="E599" s="328"/>
      <c r="F599" s="328"/>
      <c r="G599" s="328"/>
      <c r="H599" s="328"/>
      <c r="I599" s="328"/>
      <c r="J599" s="328"/>
      <c r="K599" s="328"/>
      <c r="L599" s="328"/>
      <c r="M599" s="328"/>
      <c r="N599" s="328"/>
      <c r="O599" s="328"/>
      <c r="P599" s="328"/>
      <c r="Q599" s="328"/>
      <c r="R599" s="328"/>
      <c r="S599" s="328"/>
      <c r="T599" s="328"/>
      <c r="U599" s="328"/>
      <c r="V599" s="328"/>
    </row>
    <row r="600" ht="15.75" customHeight="1">
      <c r="A600" s="328"/>
      <c r="B600" s="328"/>
      <c r="C600" s="328"/>
      <c r="D600" s="328"/>
      <c r="E600" s="328"/>
      <c r="F600" s="328"/>
      <c r="G600" s="328"/>
      <c r="H600" s="328"/>
      <c r="I600" s="328"/>
      <c r="J600" s="328"/>
      <c r="K600" s="328"/>
      <c r="L600" s="328"/>
      <c r="M600" s="328"/>
      <c r="N600" s="328"/>
      <c r="O600" s="328"/>
      <c r="P600" s="328"/>
      <c r="Q600" s="328"/>
      <c r="R600" s="328"/>
      <c r="S600" s="328"/>
      <c r="T600" s="328"/>
      <c r="U600" s="328"/>
      <c r="V600" s="328"/>
    </row>
    <row r="601" ht="15.75" customHeight="1">
      <c r="A601" s="328"/>
      <c r="B601" s="328"/>
      <c r="C601" s="328"/>
      <c r="D601" s="328"/>
      <c r="E601" s="328"/>
      <c r="F601" s="328"/>
      <c r="G601" s="328"/>
      <c r="H601" s="328"/>
      <c r="I601" s="328"/>
      <c r="J601" s="328"/>
      <c r="K601" s="328"/>
      <c r="L601" s="328"/>
      <c r="M601" s="328"/>
      <c r="N601" s="328"/>
      <c r="O601" s="328"/>
      <c r="P601" s="328"/>
      <c r="Q601" s="328"/>
      <c r="R601" s="328"/>
      <c r="S601" s="328"/>
      <c r="T601" s="328"/>
      <c r="U601" s="328"/>
      <c r="V601" s="328"/>
    </row>
    <row r="602" ht="15.75" customHeight="1">
      <c r="A602" s="328"/>
      <c r="B602" s="328"/>
      <c r="C602" s="328"/>
      <c r="D602" s="328"/>
      <c r="E602" s="328"/>
      <c r="F602" s="328"/>
      <c r="G602" s="328"/>
      <c r="H602" s="328"/>
      <c r="I602" s="328"/>
      <c r="J602" s="328"/>
      <c r="K602" s="328"/>
      <c r="L602" s="328"/>
      <c r="M602" s="328"/>
      <c r="N602" s="328"/>
      <c r="O602" s="328"/>
      <c r="P602" s="328"/>
      <c r="Q602" s="328"/>
      <c r="R602" s="328"/>
      <c r="S602" s="328"/>
      <c r="T602" s="328"/>
      <c r="U602" s="328"/>
      <c r="V602" s="328"/>
    </row>
    <row r="603" ht="15.75" customHeight="1">
      <c r="A603" s="328"/>
      <c r="B603" s="328"/>
      <c r="C603" s="328"/>
      <c r="D603" s="328"/>
      <c r="E603" s="328"/>
      <c r="F603" s="328"/>
      <c r="G603" s="328"/>
      <c r="H603" s="328"/>
      <c r="I603" s="328"/>
      <c r="J603" s="328"/>
      <c r="K603" s="328"/>
      <c r="L603" s="328"/>
      <c r="M603" s="328"/>
      <c r="N603" s="328"/>
      <c r="O603" s="328"/>
      <c r="P603" s="328"/>
      <c r="Q603" s="328"/>
      <c r="R603" s="328"/>
      <c r="S603" s="328"/>
      <c r="T603" s="328"/>
      <c r="U603" s="328"/>
      <c r="V603" s="328"/>
    </row>
    <row r="604" ht="15.75" customHeight="1">
      <c r="A604" s="328"/>
      <c r="B604" s="328"/>
      <c r="C604" s="328"/>
      <c r="D604" s="328"/>
      <c r="E604" s="328"/>
      <c r="F604" s="328"/>
      <c r="G604" s="328"/>
      <c r="H604" s="328"/>
      <c r="I604" s="328"/>
      <c r="J604" s="328"/>
      <c r="K604" s="328"/>
      <c r="L604" s="328"/>
      <c r="M604" s="328"/>
      <c r="N604" s="328"/>
      <c r="O604" s="328"/>
      <c r="P604" s="328"/>
      <c r="Q604" s="328"/>
      <c r="R604" s="328"/>
      <c r="S604" s="328"/>
      <c r="T604" s="328"/>
      <c r="U604" s="328"/>
      <c r="V604" s="328"/>
    </row>
    <row r="605" ht="15.75" customHeight="1">
      <c r="A605" s="328"/>
      <c r="B605" s="328"/>
      <c r="C605" s="328"/>
      <c r="D605" s="328"/>
      <c r="E605" s="328"/>
      <c r="F605" s="328"/>
      <c r="G605" s="328"/>
      <c r="H605" s="328"/>
      <c r="I605" s="328"/>
      <c r="J605" s="328"/>
      <c r="K605" s="328"/>
      <c r="L605" s="328"/>
      <c r="M605" s="328"/>
      <c r="N605" s="328"/>
      <c r="O605" s="328"/>
      <c r="P605" s="328"/>
      <c r="Q605" s="328"/>
      <c r="R605" s="328"/>
      <c r="S605" s="328"/>
      <c r="T605" s="328"/>
      <c r="U605" s="328"/>
      <c r="V605" s="328"/>
    </row>
    <row r="606" ht="15.75" customHeight="1">
      <c r="A606" s="328"/>
      <c r="B606" s="328"/>
      <c r="C606" s="328"/>
      <c r="D606" s="328"/>
      <c r="E606" s="328"/>
      <c r="F606" s="328"/>
      <c r="G606" s="328"/>
      <c r="H606" s="328"/>
      <c r="I606" s="328"/>
      <c r="J606" s="328"/>
      <c r="K606" s="328"/>
      <c r="L606" s="328"/>
      <c r="M606" s="328"/>
      <c r="N606" s="328"/>
      <c r="O606" s="328"/>
      <c r="P606" s="328"/>
      <c r="Q606" s="328"/>
      <c r="R606" s="328"/>
      <c r="S606" s="328"/>
      <c r="T606" s="328"/>
      <c r="U606" s="328"/>
      <c r="V606" s="328"/>
    </row>
    <row r="607" ht="15.75" customHeight="1">
      <c r="A607" s="328"/>
      <c r="B607" s="328"/>
      <c r="C607" s="328"/>
      <c r="D607" s="328"/>
      <c r="E607" s="328"/>
      <c r="F607" s="328"/>
      <c r="G607" s="328"/>
      <c r="H607" s="328"/>
      <c r="I607" s="328"/>
      <c r="J607" s="328"/>
      <c r="K607" s="328"/>
      <c r="L607" s="328"/>
      <c r="M607" s="328"/>
      <c r="N607" s="328"/>
      <c r="O607" s="328"/>
      <c r="P607" s="328"/>
      <c r="Q607" s="328"/>
      <c r="R607" s="328"/>
      <c r="S607" s="328"/>
      <c r="T607" s="328"/>
      <c r="U607" s="328"/>
      <c r="V607" s="328"/>
    </row>
    <row r="608" ht="15.75" customHeight="1">
      <c r="A608" s="328"/>
      <c r="B608" s="328"/>
      <c r="C608" s="328"/>
      <c r="D608" s="328"/>
      <c r="E608" s="328"/>
      <c r="F608" s="328"/>
      <c r="G608" s="328"/>
      <c r="H608" s="328"/>
      <c r="I608" s="328"/>
      <c r="J608" s="328"/>
      <c r="K608" s="328"/>
      <c r="L608" s="328"/>
      <c r="M608" s="328"/>
      <c r="N608" s="328"/>
      <c r="O608" s="328"/>
      <c r="P608" s="328"/>
      <c r="Q608" s="328"/>
      <c r="R608" s="328"/>
      <c r="S608" s="328"/>
      <c r="T608" s="328"/>
      <c r="U608" s="328"/>
      <c r="V608" s="328"/>
    </row>
    <row r="609" ht="15.75" customHeight="1">
      <c r="A609" s="328"/>
      <c r="B609" s="328"/>
      <c r="C609" s="328"/>
      <c r="D609" s="328"/>
      <c r="E609" s="328"/>
      <c r="F609" s="328"/>
      <c r="G609" s="328"/>
      <c r="H609" s="328"/>
      <c r="I609" s="328"/>
      <c r="J609" s="328"/>
      <c r="K609" s="328"/>
      <c r="L609" s="328"/>
      <c r="M609" s="328"/>
      <c r="N609" s="328"/>
      <c r="O609" s="328"/>
      <c r="P609" s="328"/>
      <c r="Q609" s="328"/>
      <c r="R609" s="328"/>
      <c r="S609" s="328"/>
      <c r="T609" s="328"/>
      <c r="U609" s="328"/>
      <c r="V609" s="328"/>
    </row>
    <row r="610" ht="15.75" customHeight="1">
      <c r="A610" s="328"/>
      <c r="B610" s="328"/>
      <c r="C610" s="328"/>
      <c r="D610" s="328"/>
      <c r="E610" s="328"/>
      <c r="F610" s="328"/>
      <c r="G610" s="328"/>
      <c r="H610" s="328"/>
      <c r="I610" s="328"/>
      <c r="J610" s="328"/>
      <c r="K610" s="328"/>
      <c r="L610" s="328"/>
      <c r="M610" s="328"/>
      <c r="N610" s="328"/>
      <c r="O610" s="328"/>
      <c r="P610" s="328"/>
      <c r="Q610" s="328"/>
      <c r="R610" s="328"/>
      <c r="S610" s="328"/>
      <c r="T610" s="328"/>
      <c r="U610" s="328"/>
      <c r="V610" s="328"/>
    </row>
    <row r="611" ht="15.75" customHeight="1">
      <c r="A611" s="328"/>
      <c r="B611" s="328"/>
      <c r="C611" s="328"/>
      <c r="D611" s="328"/>
      <c r="E611" s="328"/>
      <c r="F611" s="328"/>
      <c r="G611" s="328"/>
      <c r="H611" s="328"/>
      <c r="I611" s="328"/>
      <c r="J611" s="328"/>
      <c r="K611" s="328"/>
      <c r="L611" s="328"/>
      <c r="M611" s="328"/>
      <c r="N611" s="328"/>
      <c r="O611" s="328"/>
      <c r="P611" s="328"/>
      <c r="Q611" s="328"/>
      <c r="R611" s="328"/>
      <c r="S611" s="328"/>
      <c r="T611" s="328"/>
      <c r="U611" s="328"/>
      <c r="V611" s="328"/>
    </row>
    <row r="612" ht="15.75" customHeight="1">
      <c r="A612" s="328"/>
      <c r="B612" s="328"/>
      <c r="C612" s="328"/>
      <c r="D612" s="328"/>
      <c r="E612" s="328"/>
      <c r="F612" s="328"/>
      <c r="G612" s="328"/>
      <c r="H612" s="328"/>
      <c r="I612" s="328"/>
      <c r="J612" s="328"/>
      <c r="K612" s="328"/>
      <c r="L612" s="328"/>
      <c r="M612" s="328"/>
      <c r="N612" s="328"/>
      <c r="O612" s="328"/>
      <c r="P612" s="328"/>
      <c r="Q612" s="328"/>
      <c r="R612" s="328"/>
      <c r="S612" s="328"/>
      <c r="T612" s="328"/>
      <c r="U612" s="328"/>
      <c r="V612" s="328"/>
    </row>
    <row r="613" ht="15.75" customHeight="1">
      <c r="A613" s="328"/>
      <c r="B613" s="328"/>
      <c r="C613" s="328"/>
      <c r="D613" s="328"/>
      <c r="E613" s="328"/>
      <c r="F613" s="328"/>
      <c r="G613" s="328"/>
      <c r="H613" s="328"/>
      <c r="I613" s="328"/>
      <c r="J613" s="328"/>
      <c r="K613" s="328"/>
      <c r="L613" s="328"/>
      <c r="M613" s="328"/>
      <c r="N613" s="328"/>
      <c r="O613" s="328"/>
      <c r="P613" s="328"/>
      <c r="Q613" s="328"/>
      <c r="R613" s="328"/>
      <c r="S613" s="328"/>
      <c r="T613" s="328"/>
      <c r="U613" s="328"/>
      <c r="V613" s="328"/>
    </row>
    <row r="614" ht="15.75" customHeight="1">
      <c r="A614" s="328"/>
      <c r="B614" s="328"/>
      <c r="C614" s="328"/>
      <c r="D614" s="328"/>
      <c r="E614" s="328"/>
      <c r="F614" s="328"/>
      <c r="G614" s="328"/>
      <c r="H614" s="328"/>
      <c r="I614" s="328"/>
      <c r="J614" s="328"/>
      <c r="K614" s="328"/>
      <c r="L614" s="328"/>
      <c r="M614" s="328"/>
      <c r="N614" s="328"/>
      <c r="O614" s="328"/>
      <c r="P614" s="328"/>
      <c r="Q614" s="328"/>
      <c r="R614" s="328"/>
      <c r="S614" s="328"/>
      <c r="T614" s="328"/>
      <c r="U614" s="328"/>
      <c r="V614" s="328"/>
    </row>
    <row r="615" ht="15.75" customHeight="1">
      <c r="A615" s="328"/>
      <c r="B615" s="328"/>
      <c r="C615" s="328"/>
      <c r="D615" s="328"/>
      <c r="E615" s="328"/>
      <c r="F615" s="328"/>
      <c r="G615" s="328"/>
      <c r="H615" s="328"/>
      <c r="I615" s="328"/>
      <c r="J615" s="328"/>
      <c r="K615" s="328"/>
      <c r="L615" s="328"/>
      <c r="M615" s="328"/>
      <c r="N615" s="328"/>
      <c r="O615" s="328"/>
      <c r="P615" s="328"/>
      <c r="Q615" s="328"/>
      <c r="R615" s="328"/>
      <c r="S615" s="328"/>
      <c r="T615" s="328"/>
      <c r="U615" s="328"/>
      <c r="V615" s="328"/>
    </row>
    <row r="616" ht="15.75" customHeight="1">
      <c r="A616" s="328"/>
      <c r="B616" s="328"/>
      <c r="C616" s="328"/>
      <c r="D616" s="328"/>
      <c r="E616" s="328"/>
      <c r="F616" s="328"/>
      <c r="G616" s="328"/>
      <c r="H616" s="328"/>
      <c r="I616" s="328"/>
      <c r="J616" s="328"/>
      <c r="K616" s="328"/>
      <c r="L616" s="328"/>
      <c r="M616" s="328"/>
      <c r="N616" s="328"/>
      <c r="O616" s="328"/>
      <c r="P616" s="328"/>
      <c r="Q616" s="328"/>
      <c r="R616" s="328"/>
      <c r="S616" s="328"/>
      <c r="T616" s="328"/>
      <c r="U616" s="328"/>
      <c r="V616" s="328"/>
    </row>
    <row r="617" ht="15.75" customHeight="1">
      <c r="A617" s="328"/>
      <c r="B617" s="328"/>
      <c r="C617" s="328"/>
      <c r="D617" s="328"/>
      <c r="E617" s="328"/>
      <c r="F617" s="328"/>
      <c r="G617" s="328"/>
      <c r="H617" s="328"/>
      <c r="I617" s="328"/>
      <c r="J617" s="328"/>
      <c r="K617" s="328"/>
      <c r="L617" s="328"/>
      <c r="M617" s="328"/>
      <c r="N617" s="328"/>
      <c r="O617" s="328"/>
      <c r="P617" s="328"/>
      <c r="Q617" s="328"/>
      <c r="R617" s="328"/>
      <c r="S617" s="328"/>
      <c r="T617" s="328"/>
      <c r="U617" s="328"/>
      <c r="V617" s="328"/>
    </row>
    <row r="618" ht="15.75" customHeight="1">
      <c r="A618" s="328"/>
      <c r="B618" s="328"/>
      <c r="C618" s="328"/>
      <c r="D618" s="328"/>
      <c r="E618" s="328"/>
      <c r="F618" s="328"/>
      <c r="G618" s="328"/>
      <c r="H618" s="328"/>
      <c r="I618" s="328"/>
      <c r="J618" s="328"/>
      <c r="K618" s="328"/>
      <c r="L618" s="328"/>
      <c r="M618" s="328"/>
      <c r="N618" s="328"/>
      <c r="O618" s="328"/>
      <c r="P618" s="328"/>
      <c r="Q618" s="328"/>
      <c r="R618" s="328"/>
      <c r="S618" s="328"/>
      <c r="T618" s="328"/>
      <c r="U618" s="328"/>
      <c r="V618" s="328"/>
    </row>
    <row r="619" ht="15.75" customHeight="1">
      <c r="A619" s="328"/>
      <c r="B619" s="328"/>
      <c r="C619" s="328"/>
      <c r="D619" s="328"/>
      <c r="E619" s="328"/>
      <c r="F619" s="328"/>
      <c r="G619" s="328"/>
      <c r="H619" s="328"/>
      <c r="I619" s="328"/>
      <c r="J619" s="328"/>
      <c r="K619" s="328"/>
      <c r="L619" s="328"/>
      <c r="M619" s="328"/>
      <c r="N619" s="328"/>
      <c r="O619" s="328"/>
      <c r="P619" s="328"/>
      <c r="Q619" s="328"/>
      <c r="R619" s="328"/>
      <c r="S619" s="328"/>
      <c r="T619" s="328"/>
      <c r="U619" s="328"/>
      <c r="V619" s="328"/>
    </row>
    <row r="620" ht="15.75" customHeight="1">
      <c r="A620" s="328"/>
      <c r="B620" s="328"/>
      <c r="C620" s="328"/>
      <c r="D620" s="328"/>
      <c r="E620" s="328"/>
      <c r="F620" s="328"/>
      <c r="G620" s="328"/>
      <c r="H620" s="328"/>
      <c r="I620" s="328"/>
      <c r="J620" s="328"/>
      <c r="K620" s="328"/>
      <c r="L620" s="328"/>
      <c r="M620" s="328"/>
      <c r="N620" s="328"/>
      <c r="O620" s="328"/>
      <c r="P620" s="328"/>
      <c r="Q620" s="328"/>
      <c r="R620" s="328"/>
      <c r="S620" s="328"/>
      <c r="T620" s="328"/>
      <c r="U620" s="328"/>
      <c r="V620" s="328"/>
    </row>
    <row r="621" ht="15.75" customHeight="1">
      <c r="A621" s="328"/>
      <c r="B621" s="328"/>
      <c r="C621" s="328"/>
      <c r="D621" s="328"/>
      <c r="E621" s="328"/>
      <c r="F621" s="328"/>
      <c r="G621" s="328"/>
      <c r="H621" s="328"/>
      <c r="I621" s="328"/>
      <c r="J621" s="328"/>
      <c r="K621" s="328"/>
      <c r="L621" s="328"/>
      <c r="M621" s="328"/>
      <c r="N621" s="328"/>
      <c r="O621" s="328"/>
      <c r="P621" s="328"/>
      <c r="Q621" s="328"/>
      <c r="R621" s="328"/>
      <c r="S621" s="328"/>
      <c r="T621" s="328"/>
      <c r="U621" s="328"/>
      <c r="V621" s="328"/>
    </row>
    <row r="622" ht="15.75" customHeight="1">
      <c r="A622" s="328"/>
      <c r="B622" s="328"/>
      <c r="C622" s="328"/>
      <c r="D622" s="328"/>
      <c r="E622" s="328"/>
      <c r="F622" s="328"/>
      <c r="G622" s="328"/>
      <c r="H622" s="328"/>
      <c r="I622" s="328"/>
      <c r="J622" s="328"/>
      <c r="K622" s="328"/>
      <c r="L622" s="328"/>
      <c r="M622" s="328"/>
      <c r="N622" s="328"/>
      <c r="O622" s="328"/>
      <c r="P622" s="328"/>
      <c r="Q622" s="328"/>
      <c r="R622" s="328"/>
      <c r="S622" s="328"/>
      <c r="T622" s="328"/>
      <c r="U622" s="328"/>
      <c r="V622" s="328"/>
    </row>
    <row r="623" ht="15.75" customHeight="1">
      <c r="A623" s="328"/>
      <c r="B623" s="328"/>
      <c r="C623" s="328"/>
      <c r="D623" s="328"/>
      <c r="E623" s="328"/>
      <c r="F623" s="328"/>
      <c r="G623" s="328"/>
      <c r="H623" s="328"/>
      <c r="I623" s="328"/>
      <c r="J623" s="328"/>
      <c r="K623" s="328"/>
      <c r="L623" s="328"/>
      <c r="M623" s="328"/>
      <c r="N623" s="328"/>
      <c r="O623" s="328"/>
      <c r="P623" s="328"/>
      <c r="Q623" s="328"/>
      <c r="R623" s="328"/>
      <c r="S623" s="328"/>
      <c r="T623" s="328"/>
      <c r="U623" s="328"/>
      <c r="V623" s="328"/>
    </row>
    <row r="624" ht="15.75" customHeight="1">
      <c r="A624" s="328"/>
      <c r="B624" s="328"/>
      <c r="C624" s="328"/>
      <c r="D624" s="328"/>
      <c r="E624" s="328"/>
      <c r="F624" s="328"/>
      <c r="G624" s="328"/>
      <c r="H624" s="328"/>
      <c r="I624" s="328"/>
      <c r="J624" s="328"/>
      <c r="K624" s="328"/>
      <c r="L624" s="328"/>
      <c r="M624" s="328"/>
      <c r="N624" s="328"/>
      <c r="O624" s="328"/>
      <c r="P624" s="328"/>
      <c r="Q624" s="328"/>
      <c r="R624" s="328"/>
      <c r="S624" s="328"/>
      <c r="T624" s="328"/>
      <c r="U624" s="328"/>
      <c r="V624" s="328"/>
    </row>
    <row r="625" ht="15.75" customHeight="1">
      <c r="A625" s="328"/>
      <c r="B625" s="328"/>
      <c r="C625" s="328"/>
      <c r="D625" s="328"/>
      <c r="E625" s="328"/>
      <c r="F625" s="328"/>
      <c r="G625" s="328"/>
      <c r="H625" s="328"/>
      <c r="I625" s="328"/>
      <c r="J625" s="328"/>
      <c r="K625" s="328"/>
      <c r="L625" s="328"/>
      <c r="M625" s="328"/>
      <c r="N625" s="328"/>
      <c r="O625" s="328"/>
      <c r="P625" s="328"/>
      <c r="Q625" s="328"/>
      <c r="R625" s="328"/>
      <c r="S625" s="328"/>
      <c r="T625" s="328"/>
      <c r="U625" s="328"/>
      <c r="V625" s="328"/>
    </row>
    <row r="626" ht="15.75" customHeight="1">
      <c r="A626" s="328"/>
      <c r="B626" s="328"/>
      <c r="C626" s="328"/>
      <c r="D626" s="328"/>
      <c r="E626" s="328"/>
      <c r="F626" s="328"/>
      <c r="G626" s="328"/>
      <c r="H626" s="328"/>
      <c r="I626" s="328"/>
      <c r="J626" s="328"/>
      <c r="K626" s="328"/>
      <c r="L626" s="328"/>
      <c r="M626" s="328"/>
      <c r="N626" s="328"/>
      <c r="O626" s="328"/>
      <c r="P626" s="328"/>
      <c r="Q626" s="328"/>
      <c r="R626" s="328"/>
      <c r="S626" s="328"/>
      <c r="T626" s="328"/>
      <c r="U626" s="328"/>
      <c r="V626" s="328"/>
    </row>
    <row r="627" ht="15.75" customHeight="1">
      <c r="A627" s="328"/>
      <c r="B627" s="328"/>
      <c r="C627" s="328"/>
      <c r="D627" s="328"/>
      <c r="E627" s="328"/>
      <c r="F627" s="328"/>
      <c r="G627" s="328"/>
      <c r="H627" s="328"/>
      <c r="I627" s="328"/>
      <c r="J627" s="328"/>
      <c r="K627" s="328"/>
      <c r="L627" s="328"/>
      <c r="M627" s="328"/>
      <c r="N627" s="328"/>
      <c r="O627" s="328"/>
      <c r="P627" s="328"/>
      <c r="Q627" s="328"/>
      <c r="R627" s="328"/>
      <c r="S627" s="328"/>
      <c r="T627" s="328"/>
      <c r="U627" s="328"/>
      <c r="V627" s="328"/>
    </row>
    <row r="628" ht="15.75" customHeight="1">
      <c r="A628" s="328"/>
      <c r="B628" s="328"/>
      <c r="C628" s="328"/>
      <c r="D628" s="328"/>
      <c r="E628" s="328"/>
      <c r="F628" s="328"/>
      <c r="G628" s="328"/>
      <c r="H628" s="328"/>
      <c r="I628" s="328"/>
      <c r="J628" s="328"/>
      <c r="K628" s="328"/>
      <c r="L628" s="328"/>
      <c r="M628" s="328"/>
      <c r="N628" s="328"/>
      <c r="O628" s="328"/>
      <c r="P628" s="328"/>
      <c r="Q628" s="328"/>
      <c r="R628" s="328"/>
      <c r="S628" s="328"/>
      <c r="T628" s="328"/>
      <c r="U628" s="328"/>
      <c r="V628" s="328"/>
    </row>
    <row r="629" ht="15.75" customHeight="1">
      <c r="A629" s="328"/>
      <c r="B629" s="328"/>
      <c r="C629" s="328"/>
      <c r="D629" s="328"/>
      <c r="E629" s="328"/>
      <c r="F629" s="328"/>
      <c r="G629" s="328"/>
      <c r="H629" s="328"/>
      <c r="I629" s="328"/>
      <c r="J629" s="328"/>
      <c r="K629" s="328"/>
      <c r="L629" s="328"/>
      <c r="M629" s="328"/>
      <c r="N629" s="328"/>
      <c r="O629" s="328"/>
      <c r="P629" s="328"/>
      <c r="Q629" s="328"/>
      <c r="R629" s="328"/>
      <c r="S629" s="328"/>
      <c r="T629" s="328"/>
      <c r="U629" s="328"/>
      <c r="V629" s="328"/>
    </row>
    <row r="630" ht="15.75" customHeight="1">
      <c r="A630" s="328"/>
      <c r="B630" s="328"/>
      <c r="C630" s="328"/>
      <c r="D630" s="328"/>
      <c r="E630" s="328"/>
      <c r="F630" s="328"/>
      <c r="G630" s="328"/>
      <c r="H630" s="328"/>
      <c r="I630" s="328"/>
      <c r="J630" s="328"/>
      <c r="K630" s="328"/>
      <c r="L630" s="328"/>
      <c r="M630" s="328"/>
      <c r="N630" s="328"/>
      <c r="O630" s="328"/>
      <c r="P630" s="328"/>
      <c r="Q630" s="328"/>
      <c r="R630" s="328"/>
      <c r="S630" s="328"/>
      <c r="T630" s="328"/>
      <c r="U630" s="328"/>
      <c r="V630" s="328"/>
    </row>
    <row r="631" ht="15.75" customHeight="1">
      <c r="A631" s="328"/>
      <c r="B631" s="328"/>
      <c r="C631" s="328"/>
      <c r="D631" s="328"/>
      <c r="E631" s="328"/>
      <c r="F631" s="328"/>
      <c r="G631" s="328"/>
      <c r="H631" s="328"/>
      <c r="I631" s="328"/>
      <c r="J631" s="328"/>
      <c r="K631" s="328"/>
      <c r="L631" s="328"/>
      <c r="M631" s="328"/>
      <c r="N631" s="328"/>
      <c r="O631" s="328"/>
      <c r="P631" s="328"/>
      <c r="Q631" s="328"/>
      <c r="R631" s="328"/>
      <c r="S631" s="328"/>
      <c r="T631" s="328"/>
      <c r="U631" s="328"/>
      <c r="V631" s="328"/>
    </row>
    <row r="632" ht="15.75" customHeight="1">
      <c r="A632" s="328"/>
      <c r="B632" s="328"/>
      <c r="C632" s="328"/>
      <c r="D632" s="328"/>
      <c r="E632" s="328"/>
      <c r="F632" s="328"/>
      <c r="G632" s="328"/>
      <c r="H632" s="328"/>
      <c r="I632" s="328"/>
      <c r="J632" s="328"/>
      <c r="K632" s="328"/>
      <c r="L632" s="328"/>
      <c r="M632" s="328"/>
      <c r="N632" s="328"/>
      <c r="O632" s="328"/>
      <c r="P632" s="328"/>
      <c r="Q632" s="328"/>
      <c r="R632" s="328"/>
      <c r="S632" s="328"/>
      <c r="T632" s="328"/>
      <c r="U632" s="328"/>
      <c r="V632" s="328"/>
    </row>
    <row r="633" ht="15.75" customHeight="1">
      <c r="A633" s="328"/>
      <c r="B633" s="328"/>
      <c r="C633" s="328"/>
      <c r="D633" s="328"/>
      <c r="E633" s="328"/>
      <c r="F633" s="328"/>
      <c r="G633" s="328"/>
      <c r="H633" s="328"/>
      <c r="I633" s="328"/>
      <c r="J633" s="328"/>
      <c r="K633" s="328"/>
      <c r="L633" s="328"/>
      <c r="M633" s="328"/>
      <c r="N633" s="328"/>
      <c r="O633" s="328"/>
      <c r="P633" s="328"/>
      <c r="Q633" s="328"/>
      <c r="R633" s="328"/>
      <c r="S633" s="328"/>
      <c r="T633" s="328"/>
      <c r="U633" s="328"/>
      <c r="V633" s="328"/>
    </row>
    <row r="634" ht="15.75" customHeight="1">
      <c r="A634" s="328"/>
      <c r="B634" s="328"/>
      <c r="C634" s="328"/>
      <c r="D634" s="328"/>
      <c r="E634" s="328"/>
      <c r="F634" s="328"/>
      <c r="G634" s="328"/>
      <c r="H634" s="328"/>
      <c r="I634" s="328"/>
      <c r="J634" s="328"/>
      <c r="K634" s="328"/>
      <c r="L634" s="328"/>
      <c r="M634" s="328"/>
      <c r="N634" s="328"/>
      <c r="O634" s="328"/>
      <c r="P634" s="328"/>
      <c r="Q634" s="328"/>
      <c r="R634" s="328"/>
      <c r="S634" s="328"/>
      <c r="T634" s="328"/>
      <c r="U634" s="328"/>
      <c r="V634" s="328"/>
    </row>
    <row r="635" ht="15.75" customHeight="1">
      <c r="A635" s="328"/>
      <c r="B635" s="328"/>
      <c r="C635" s="328"/>
      <c r="D635" s="328"/>
      <c r="E635" s="328"/>
      <c r="F635" s="328"/>
      <c r="G635" s="328"/>
      <c r="H635" s="328"/>
      <c r="I635" s="328"/>
      <c r="J635" s="328"/>
      <c r="K635" s="328"/>
      <c r="L635" s="328"/>
      <c r="M635" s="328"/>
      <c r="N635" s="328"/>
      <c r="O635" s="328"/>
      <c r="P635" s="328"/>
      <c r="Q635" s="328"/>
      <c r="R635" s="328"/>
      <c r="S635" s="328"/>
      <c r="T635" s="328"/>
      <c r="U635" s="328"/>
      <c r="V635" s="328"/>
    </row>
    <row r="636" ht="15.75" customHeight="1">
      <c r="A636" s="328"/>
      <c r="B636" s="328"/>
      <c r="C636" s="328"/>
      <c r="D636" s="328"/>
      <c r="E636" s="328"/>
      <c r="F636" s="328"/>
      <c r="G636" s="328"/>
      <c r="H636" s="328"/>
      <c r="I636" s="328"/>
      <c r="J636" s="328"/>
      <c r="K636" s="328"/>
      <c r="L636" s="328"/>
      <c r="M636" s="328"/>
      <c r="N636" s="328"/>
      <c r="O636" s="328"/>
      <c r="P636" s="328"/>
      <c r="Q636" s="328"/>
      <c r="R636" s="328"/>
      <c r="S636" s="328"/>
      <c r="T636" s="328"/>
      <c r="U636" s="328"/>
      <c r="V636" s="328"/>
    </row>
    <row r="637" ht="15.75" customHeight="1">
      <c r="A637" s="328"/>
      <c r="B637" s="328"/>
      <c r="C637" s="328"/>
      <c r="D637" s="328"/>
      <c r="E637" s="328"/>
      <c r="F637" s="328"/>
      <c r="G637" s="328"/>
      <c r="H637" s="328"/>
      <c r="I637" s="328"/>
      <c r="J637" s="328"/>
      <c r="K637" s="328"/>
      <c r="L637" s="328"/>
      <c r="M637" s="328"/>
      <c r="N637" s="328"/>
      <c r="O637" s="328"/>
      <c r="P637" s="328"/>
      <c r="Q637" s="328"/>
      <c r="R637" s="328"/>
      <c r="S637" s="328"/>
      <c r="T637" s="328"/>
      <c r="U637" s="328"/>
      <c r="V637" s="328"/>
    </row>
    <row r="638" ht="15.75" customHeight="1">
      <c r="A638" s="328"/>
      <c r="B638" s="328"/>
      <c r="C638" s="328"/>
      <c r="D638" s="328"/>
      <c r="E638" s="328"/>
      <c r="F638" s="328"/>
      <c r="G638" s="328"/>
      <c r="H638" s="328"/>
      <c r="I638" s="328"/>
      <c r="J638" s="328"/>
      <c r="K638" s="328"/>
      <c r="L638" s="328"/>
      <c r="M638" s="328"/>
      <c r="N638" s="328"/>
      <c r="O638" s="328"/>
      <c r="P638" s="328"/>
      <c r="Q638" s="328"/>
      <c r="R638" s="328"/>
      <c r="S638" s="328"/>
      <c r="T638" s="328"/>
      <c r="U638" s="328"/>
      <c r="V638" s="328"/>
    </row>
    <row r="639" ht="15.75" customHeight="1">
      <c r="A639" s="328"/>
      <c r="B639" s="328"/>
      <c r="C639" s="328"/>
      <c r="D639" s="328"/>
      <c r="E639" s="328"/>
      <c r="F639" s="328"/>
      <c r="G639" s="328"/>
      <c r="H639" s="328"/>
      <c r="I639" s="328"/>
      <c r="J639" s="328"/>
      <c r="K639" s="328"/>
      <c r="L639" s="328"/>
      <c r="M639" s="328"/>
      <c r="N639" s="328"/>
      <c r="O639" s="328"/>
      <c r="P639" s="328"/>
      <c r="Q639" s="328"/>
      <c r="R639" s="328"/>
      <c r="S639" s="328"/>
      <c r="T639" s="328"/>
      <c r="U639" s="328"/>
      <c r="V639" s="328"/>
    </row>
    <row r="640" ht="15.75" customHeight="1">
      <c r="A640" s="328"/>
      <c r="B640" s="328"/>
      <c r="C640" s="328"/>
      <c r="D640" s="328"/>
      <c r="E640" s="328"/>
      <c r="F640" s="328"/>
      <c r="G640" s="328"/>
      <c r="H640" s="328"/>
      <c r="I640" s="328"/>
      <c r="J640" s="328"/>
      <c r="K640" s="328"/>
      <c r="L640" s="328"/>
      <c r="M640" s="328"/>
      <c r="N640" s="328"/>
      <c r="O640" s="328"/>
      <c r="P640" s="328"/>
      <c r="Q640" s="328"/>
      <c r="R640" s="328"/>
      <c r="S640" s="328"/>
      <c r="T640" s="328"/>
      <c r="U640" s="328"/>
      <c r="V640" s="328"/>
    </row>
    <row r="641" ht="15.75" customHeight="1">
      <c r="A641" s="328"/>
      <c r="B641" s="328"/>
      <c r="C641" s="328"/>
      <c r="D641" s="328"/>
      <c r="E641" s="328"/>
      <c r="F641" s="328"/>
      <c r="G641" s="328"/>
      <c r="H641" s="328"/>
      <c r="I641" s="328"/>
      <c r="J641" s="328"/>
      <c r="K641" s="328"/>
      <c r="L641" s="328"/>
      <c r="M641" s="328"/>
      <c r="N641" s="328"/>
      <c r="O641" s="328"/>
      <c r="P641" s="328"/>
      <c r="Q641" s="328"/>
      <c r="R641" s="328"/>
      <c r="S641" s="328"/>
      <c r="T641" s="328"/>
      <c r="U641" s="328"/>
      <c r="V641" s="328"/>
    </row>
    <row r="642" ht="15.75" customHeight="1">
      <c r="A642" s="328"/>
      <c r="B642" s="328"/>
      <c r="C642" s="328"/>
      <c r="D642" s="328"/>
      <c r="E642" s="328"/>
      <c r="F642" s="328"/>
      <c r="G642" s="328"/>
      <c r="H642" s="328"/>
      <c r="I642" s="328"/>
      <c r="J642" s="328"/>
      <c r="K642" s="328"/>
      <c r="L642" s="328"/>
      <c r="M642" s="328"/>
      <c r="N642" s="328"/>
      <c r="O642" s="328"/>
      <c r="P642" s="328"/>
      <c r="Q642" s="328"/>
      <c r="R642" s="328"/>
      <c r="S642" s="328"/>
      <c r="T642" s="328"/>
      <c r="U642" s="328"/>
      <c r="V642" s="328"/>
    </row>
    <row r="643" ht="15.75" customHeight="1">
      <c r="A643" s="328"/>
      <c r="B643" s="328"/>
      <c r="C643" s="328"/>
      <c r="D643" s="328"/>
      <c r="E643" s="328"/>
      <c r="F643" s="328"/>
      <c r="G643" s="328"/>
      <c r="H643" s="328"/>
      <c r="I643" s="328"/>
      <c r="J643" s="328"/>
      <c r="K643" s="328"/>
      <c r="L643" s="328"/>
      <c r="M643" s="328"/>
      <c r="N643" s="328"/>
      <c r="O643" s="328"/>
      <c r="P643" s="328"/>
      <c r="Q643" s="328"/>
      <c r="R643" s="328"/>
      <c r="S643" s="328"/>
      <c r="T643" s="328"/>
      <c r="U643" s="328"/>
      <c r="V643" s="328"/>
    </row>
    <row r="644" ht="15.75" customHeight="1">
      <c r="A644" s="328"/>
      <c r="B644" s="328"/>
      <c r="C644" s="328"/>
      <c r="D644" s="328"/>
      <c r="E644" s="328"/>
      <c r="F644" s="328"/>
      <c r="G644" s="328"/>
      <c r="H644" s="328"/>
      <c r="I644" s="328"/>
      <c r="J644" s="328"/>
      <c r="K644" s="328"/>
      <c r="L644" s="328"/>
      <c r="M644" s="328"/>
      <c r="N644" s="328"/>
      <c r="O644" s="328"/>
      <c r="P644" s="328"/>
      <c r="Q644" s="328"/>
      <c r="R644" s="328"/>
      <c r="S644" s="328"/>
      <c r="T644" s="328"/>
      <c r="U644" s="328"/>
      <c r="V644" s="328"/>
    </row>
    <row r="645" ht="15.75" customHeight="1">
      <c r="A645" s="328"/>
      <c r="B645" s="328"/>
      <c r="C645" s="328"/>
      <c r="D645" s="328"/>
      <c r="E645" s="328"/>
      <c r="F645" s="328"/>
      <c r="G645" s="328"/>
      <c r="H645" s="328"/>
      <c r="I645" s="328"/>
      <c r="J645" s="328"/>
      <c r="K645" s="328"/>
      <c r="L645" s="328"/>
      <c r="M645" s="328"/>
      <c r="N645" s="328"/>
      <c r="O645" s="328"/>
      <c r="P645" s="328"/>
      <c r="Q645" s="328"/>
      <c r="R645" s="328"/>
      <c r="S645" s="328"/>
      <c r="T645" s="328"/>
      <c r="U645" s="328"/>
      <c r="V645" s="328"/>
    </row>
    <row r="646" ht="15.75" customHeight="1">
      <c r="A646" s="328"/>
      <c r="B646" s="328"/>
      <c r="C646" s="328"/>
      <c r="D646" s="328"/>
      <c r="E646" s="328"/>
      <c r="F646" s="328"/>
      <c r="G646" s="328"/>
      <c r="H646" s="328"/>
      <c r="I646" s="328"/>
      <c r="J646" s="328"/>
      <c r="K646" s="328"/>
      <c r="L646" s="328"/>
      <c r="M646" s="328"/>
      <c r="N646" s="328"/>
      <c r="O646" s="328"/>
      <c r="P646" s="328"/>
      <c r="Q646" s="328"/>
      <c r="R646" s="328"/>
      <c r="S646" s="328"/>
      <c r="T646" s="328"/>
      <c r="U646" s="328"/>
      <c r="V646" s="328"/>
    </row>
    <row r="647" ht="15.75" customHeight="1">
      <c r="A647" s="328"/>
      <c r="B647" s="328"/>
      <c r="C647" s="328"/>
      <c r="D647" s="328"/>
      <c r="E647" s="328"/>
      <c r="F647" s="328"/>
      <c r="G647" s="328"/>
      <c r="H647" s="328"/>
      <c r="I647" s="328"/>
      <c r="J647" s="328"/>
      <c r="K647" s="328"/>
      <c r="L647" s="328"/>
      <c r="M647" s="328"/>
      <c r="N647" s="328"/>
      <c r="O647" s="328"/>
      <c r="P647" s="328"/>
      <c r="Q647" s="328"/>
      <c r="R647" s="328"/>
      <c r="S647" s="328"/>
      <c r="T647" s="328"/>
      <c r="U647" s="328"/>
      <c r="V647" s="328"/>
    </row>
    <row r="648" ht="15.75" customHeight="1">
      <c r="A648" s="328"/>
      <c r="B648" s="328"/>
      <c r="C648" s="328"/>
      <c r="D648" s="328"/>
      <c r="E648" s="328"/>
      <c r="F648" s="328"/>
      <c r="G648" s="328"/>
      <c r="H648" s="328"/>
      <c r="I648" s="328"/>
      <c r="J648" s="328"/>
      <c r="K648" s="328"/>
      <c r="L648" s="328"/>
      <c r="M648" s="328"/>
      <c r="N648" s="328"/>
      <c r="O648" s="328"/>
      <c r="P648" s="328"/>
      <c r="Q648" s="328"/>
      <c r="R648" s="328"/>
      <c r="S648" s="328"/>
      <c r="T648" s="328"/>
      <c r="U648" s="328"/>
      <c r="V648" s="328"/>
    </row>
    <row r="649" ht="15.75" customHeight="1">
      <c r="A649" s="328"/>
      <c r="B649" s="328"/>
      <c r="C649" s="328"/>
      <c r="D649" s="328"/>
      <c r="E649" s="328"/>
      <c r="F649" s="328"/>
      <c r="G649" s="328"/>
      <c r="H649" s="328"/>
      <c r="I649" s="328"/>
      <c r="J649" s="328"/>
      <c r="K649" s="328"/>
      <c r="L649" s="328"/>
      <c r="M649" s="328"/>
      <c r="N649" s="328"/>
      <c r="O649" s="328"/>
      <c r="P649" s="328"/>
      <c r="Q649" s="328"/>
      <c r="R649" s="328"/>
      <c r="S649" s="328"/>
      <c r="T649" s="328"/>
      <c r="U649" s="328"/>
      <c r="V649" s="328"/>
    </row>
    <row r="650" ht="15.75" customHeight="1">
      <c r="A650" s="328"/>
      <c r="B650" s="328"/>
      <c r="C650" s="328"/>
      <c r="D650" s="328"/>
      <c r="E650" s="328"/>
      <c r="F650" s="328"/>
      <c r="G650" s="328"/>
      <c r="H650" s="328"/>
      <c r="I650" s="328"/>
      <c r="J650" s="328"/>
      <c r="K650" s="328"/>
      <c r="L650" s="328"/>
      <c r="M650" s="328"/>
      <c r="N650" s="328"/>
      <c r="O650" s="328"/>
      <c r="P650" s="328"/>
      <c r="Q650" s="328"/>
      <c r="R650" s="328"/>
      <c r="S650" s="328"/>
      <c r="T650" s="328"/>
      <c r="U650" s="328"/>
      <c r="V650" s="328"/>
    </row>
    <row r="651" ht="15.75" customHeight="1">
      <c r="A651" s="328"/>
      <c r="B651" s="328"/>
      <c r="C651" s="328"/>
      <c r="D651" s="328"/>
      <c r="E651" s="328"/>
      <c r="F651" s="328"/>
      <c r="G651" s="328"/>
      <c r="H651" s="328"/>
      <c r="I651" s="328"/>
      <c r="J651" s="328"/>
      <c r="K651" s="328"/>
      <c r="L651" s="328"/>
      <c r="M651" s="328"/>
      <c r="N651" s="328"/>
      <c r="O651" s="328"/>
      <c r="P651" s="328"/>
      <c r="Q651" s="328"/>
      <c r="R651" s="328"/>
      <c r="S651" s="328"/>
      <c r="T651" s="328"/>
      <c r="U651" s="328"/>
      <c r="V651" s="328"/>
    </row>
    <row r="652" ht="15.75" customHeight="1">
      <c r="A652" s="328"/>
      <c r="B652" s="328"/>
      <c r="C652" s="328"/>
      <c r="D652" s="328"/>
      <c r="E652" s="328"/>
      <c r="F652" s="328"/>
      <c r="G652" s="328"/>
      <c r="H652" s="328"/>
      <c r="I652" s="328"/>
      <c r="J652" s="328"/>
      <c r="K652" s="328"/>
      <c r="L652" s="328"/>
      <c r="M652" s="328"/>
      <c r="N652" s="328"/>
      <c r="O652" s="328"/>
      <c r="P652" s="328"/>
      <c r="Q652" s="328"/>
      <c r="R652" s="328"/>
      <c r="S652" s="328"/>
      <c r="T652" s="328"/>
      <c r="U652" s="328"/>
      <c r="V652" s="328"/>
    </row>
    <row r="653" ht="15.75" customHeight="1">
      <c r="A653" s="328"/>
      <c r="B653" s="328"/>
      <c r="C653" s="328"/>
      <c r="D653" s="328"/>
      <c r="E653" s="328"/>
      <c r="F653" s="328"/>
      <c r="G653" s="328"/>
      <c r="H653" s="328"/>
      <c r="I653" s="328"/>
      <c r="J653" s="328"/>
      <c r="K653" s="328"/>
      <c r="L653" s="328"/>
      <c r="M653" s="328"/>
      <c r="N653" s="328"/>
      <c r="O653" s="328"/>
      <c r="P653" s="328"/>
      <c r="Q653" s="328"/>
      <c r="R653" s="328"/>
      <c r="S653" s="328"/>
      <c r="T653" s="328"/>
      <c r="U653" s="328"/>
      <c r="V653" s="328"/>
    </row>
    <row r="654" ht="15.75" customHeight="1">
      <c r="A654" s="328"/>
      <c r="B654" s="328"/>
      <c r="C654" s="328"/>
      <c r="D654" s="328"/>
      <c r="E654" s="328"/>
      <c r="F654" s="328"/>
      <c r="G654" s="328"/>
      <c r="H654" s="328"/>
      <c r="I654" s="328"/>
      <c r="J654" s="328"/>
      <c r="K654" s="328"/>
      <c r="L654" s="328"/>
      <c r="M654" s="328"/>
      <c r="N654" s="328"/>
      <c r="O654" s="328"/>
      <c r="P654" s="328"/>
      <c r="Q654" s="328"/>
      <c r="R654" s="328"/>
      <c r="S654" s="328"/>
      <c r="T654" s="328"/>
      <c r="U654" s="328"/>
      <c r="V654" s="328"/>
    </row>
    <row r="655" ht="15.75" customHeight="1">
      <c r="A655" s="328"/>
      <c r="B655" s="328"/>
      <c r="C655" s="328"/>
      <c r="D655" s="328"/>
      <c r="E655" s="328"/>
      <c r="F655" s="328"/>
      <c r="G655" s="328"/>
      <c r="H655" s="328"/>
      <c r="I655" s="328"/>
      <c r="J655" s="328"/>
      <c r="K655" s="328"/>
      <c r="L655" s="328"/>
      <c r="M655" s="328"/>
      <c r="N655" s="328"/>
      <c r="O655" s="328"/>
      <c r="P655" s="328"/>
      <c r="Q655" s="328"/>
      <c r="R655" s="328"/>
      <c r="S655" s="328"/>
      <c r="T655" s="328"/>
      <c r="U655" s="328"/>
      <c r="V655" s="328"/>
    </row>
    <row r="656" ht="15.75" customHeight="1">
      <c r="A656" s="328"/>
      <c r="B656" s="328"/>
      <c r="C656" s="328"/>
      <c r="D656" s="328"/>
      <c r="E656" s="328"/>
      <c r="F656" s="328"/>
      <c r="G656" s="328"/>
      <c r="H656" s="328"/>
      <c r="I656" s="328"/>
      <c r="J656" s="328"/>
      <c r="K656" s="328"/>
      <c r="L656" s="328"/>
      <c r="M656" s="328"/>
      <c r="N656" s="328"/>
      <c r="O656" s="328"/>
      <c r="P656" s="328"/>
      <c r="Q656" s="328"/>
      <c r="R656" s="328"/>
      <c r="S656" s="328"/>
      <c r="T656" s="328"/>
      <c r="U656" s="328"/>
      <c r="V656" s="328"/>
    </row>
    <row r="657" ht="15.75" customHeight="1">
      <c r="A657" s="328"/>
      <c r="B657" s="328"/>
      <c r="C657" s="328"/>
      <c r="D657" s="328"/>
      <c r="E657" s="328"/>
      <c r="F657" s="328"/>
      <c r="G657" s="328"/>
      <c r="H657" s="328"/>
      <c r="I657" s="328"/>
      <c r="J657" s="328"/>
      <c r="K657" s="328"/>
      <c r="L657" s="328"/>
      <c r="M657" s="328"/>
      <c r="N657" s="328"/>
      <c r="O657" s="328"/>
      <c r="P657" s="328"/>
      <c r="Q657" s="328"/>
      <c r="R657" s="328"/>
      <c r="S657" s="328"/>
      <c r="T657" s="328"/>
      <c r="U657" s="328"/>
      <c r="V657" s="328"/>
    </row>
    <row r="658" ht="15.75" customHeight="1">
      <c r="A658" s="328"/>
      <c r="B658" s="328"/>
      <c r="C658" s="328"/>
      <c r="D658" s="328"/>
      <c r="E658" s="328"/>
      <c r="F658" s="328"/>
      <c r="G658" s="328"/>
      <c r="H658" s="328"/>
      <c r="I658" s="328"/>
      <c r="J658" s="328"/>
      <c r="K658" s="328"/>
      <c r="L658" s="328"/>
      <c r="M658" s="328"/>
      <c r="N658" s="328"/>
      <c r="O658" s="328"/>
      <c r="P658" s="328"/>
      <c r="Q658" s="328"/>
      <c r="R658" s="328"/>
      <c r="S658" s="328"/>
      <c r="T658" s="328"/>
      <c r="U658" s="328"/>
      <c r="V658" s="328"/>
    </row>
    <row r="659" ht="15.75" customHeight="1">
      <c r="A659" s="328"/>
      <c r="B659" s="328"/>
      <c r="C659" s="328"/>
      <c r="D659" s="328"/>
      <c r="E659" s="328"/>
      <c r="F659" s="328"/>
      <c r="G659" s="328"/>
      <c r="H659" s="328"/>
      <c r="I659" s="328"/>
      <c r="J659" s="328"/>
      <c r="K659" s="328"/>
      <c r="L659" s="328"/>
      <c r="M659" s="328"/>
      <c r="N659" s="328"/>
      <c r="O659" s="328"/>
      <c r="P659" s="328"/>
      <c r="Q659" s="328"/>
      <c r="R659" s="328"/>
      <c r="S659" s="328"/>
      <c r="T659" s="328"/>
      <c r="U659" s="328"/>
      <c r="V659" s="328"/>
    </row>
    <row r="660" ht="15.75" customHeight="1">
      <c r="A660" s="328"/>
      <c r="B660" s="328"/>
      <c r="C660" s="328"/>
      <c r="D660" s="328"/>
      <c r="E660" s="328"/>
      <c r="F660" s="328"/>
      <c r="G660" s="328"/>
      <c r="H660" s="328"/>
      <c r="I660" s="328"/>
      <c r="J660" s="328"/>
      <c r="K660" s="328"/>
      <c r="L660" s="328"/>
      <c r="M660" s="328"/>
      <c r="N660" s="328"/>
      <c r="O660" s="328"/>
      <c r="P660" s="328"/>
      <c r="Q660" s="328"/>
      <c r="R660" s="328"/>
      <c r="S660" s="328"/>
      <c r="T660" s="328"/>
      <c r="U660" s="328"/>
      <c r="V660" s="328"/>
    </row>
    <row r="661" ht="15.75" customHeight="1">
      <c r="A661" s="328"/>
      <c r="B661" s="328"/>
      <c r="C661" s="328"/>
      <c r="D661" s="328"/>
      <c r="E661" s="328"/>
      <c r="F661" s="328"/>
      <c r="G661" s="328"/>
      <c r="H661" s="328"/>
      <c r="I661" s="328"/>
      <c r="J661" s="328"/>
      <c r="K661" s="328"/>
      <c r="L661" s="328"/>
      <c r="M661" s="328"/>
      <c r="N661" s="328"/>
      <c r="O661" s="328"/>
      <c r="P661" s="328"/>
      <c r="Q661" s="328"/>
      <c r="R661" s="328"/>
      <c r="S661" s="328"/>
      <c r="T661" s="328"/>
      <c r="U661" s="328"/>
      <c r="V661" s="328"/>
    </row>
    <row r="662" ht="15.75" customHeight="1">
      <c r="A662" s="328"/>
      <c r="B662" s="328"/>
      <c r="C662" s="328"/>
      <c r="D662" s="328"/>
      <c r="E662" s="328"/>
      <c r="F662" s="328"/>
      <c r="G662" s="328"/>
      <c r="H662" s="328"/>
      <c r="I662" s="328"/>
      <c r="J662" s="328"/>
      <c r="K662" s="328"/>
      <c r="L662" s="328"/>
      <c r="M662" s="328"/>
      <c r="N662" s="328"/>
      <c r="O662" s="328"/>
      <c r="P662" s="328"/>
      <c r="Q662" s="328"/>
      <c r="R662" s="328"/>
      <c r="S662" s="328"/>
      <c r="T662" s="328"/>
      <c r="U662" s="328"/>
      <c r="V662" s="328"/>
    </row>
    <row r="663" ht="15.75" customHeight="1">
      <c r="A663" s="328"/>
      <c r="B663" s="328"/>
      <c r="C663" s="328"/>
      <c r="D663" s="328"/>
      <c r="E663" s="328"/>
      <c r="F663" s="328"/>
      <c r="G663" s="328"/>
      <c r="H663" s="328"/>
      <c r="I663" s="328"/>
      <c r="J663" s="328"/>
      <c r="K663" s="328"/>
      <c r="L663" s="328"/>
      <c r="M663" s="328"/>
      <c r="N663" s="328"/>
      <c r="O663" s="328"/>
      <c r="P663" s="328"/>
      <c r="Q663" s="328"/>
      <c r="R663" s="328"/>
      <c r="S663" s="328"/>
      <c r="T663" s="328"/>
      <c r="U663" s="328"/>
      <c r="V663" s="328"/>
    </row>
    <row r="664" ht="15.75" customHeight="1">
      <c r="A664" s="328"/>
      <c r="B664" s="328"/>
      <c r="C664" s="328"/>
      <c r="D664" s="328"/>
      <c r="E664" s="328"/>
      <c r="F664" s="328"/>
      <c r="G664" s="328"/>
      <c r="H664" s="328"/>
      <c r="I664" s="328"/>
      <c r="J664" s="328"/>
      <c r="K664" s="328"/>
      <c r="L664" s="328"/>
      <c r="M664" s="328"/>
      <c r="N664" s="328"/>
      <c r="O664" s="328"/>
      <c r="P664" s="328"/>
      <c r="Q664" s="328"/>
      <c r="R664" s="328"/>
      <c r="S664" s="328"/>
      <c r="T664" s="328"/>
      <c r="U664" s="328"/>
      <c r="V664" s="328"/>
    </row>
    <row r="665" ht="15.75" customHeight="1">
      <c r="A665" s="328"/>
      <c r="B665" s="328"/>
      <c r="C665" s="328"/>
      <c r="D665" s="328"/>
      <c r="E665" s="328"/>
      <c r="F665" s="328"/>
      <c r="G665" s="328"/>
      <c r="H665" s="328"/>
      <c r="I665" s="328"/>
      <c r="J665" s="328"/>
      <c r="K665" s="328"/>
      <c r="L665" s="328"/>
      <c r="M665" s="328"/>
      <c r="N665" s="328"/>
      <c r="O665" s="328"/>
      <c r="P665" s="328"/>
      <c r="Q665" s="328"/>
      <c r="R665" s="328"/>
      <c r="S665" s="328"/>
      <c r="T665" s="328"/>
      <c r="U665" s="328"/>
      <c r="V665" s="328"/>
    </row>
    <row r="666" ht="15.75" customHeight="1">
      <c r="A666" s="328"/>
      <c r="B666" s="328"/>
      <c r="C666" s="328"/>
      <c r="D666" s="328"/>
      <c r="E666" s="328"/>
      <c r="F666" s="328"/>
      <c r="G666" s="328"/>
      <c r="H666" s="328"/>
      <c r="I666" s="328"/>
      <c r="J666" s="328"/>
      <c r="K666" s="328"/>
      <c r="L666" s="328"/>
      <c r="M666" s="328"/>
      <c r="N666" s="328"/>
      <c r="O666" s="328"/>
      <c r="P666" s="328"/>
      <c r="Q666" s="328"/>
      <c r="R666" s="328"/>
      <c r="S666" s="328"/>
      <c r="T666" s="328"/>
      <c r="U666" s="328"/>
      <c r="V666" s="328"/>
    </row>
    <row r="667" ht="15.75" customHeight="1">
      <c r="A667" s="328"/>
      <c r="B667" s="328"/>
      <c r="C667" s="328"/>
      <c r="D667" s="328"/>
      <c r="E667" s="328"/>
      <c r="F667" s="328"/>
      <c r="G667" s="328"/>
      <c r="H667" s="328"/>
      <c r="I667" s="328"/>
      <c r="J667" s="328"/>
      <c r="K667" s="328"/>
      <c r="L667" s="328"/>
      <c r="M667" s="328"/>
      <c r="N667" s="328"/>
      <c r="O667" s="328"/>
      <c r="P667" s="328"/>
      <c r="Q667" s="328"/>
      <c r="R667" s="328"/>
      <c r="S667" s="328"/>
      <c r="T667" s="328"/>
      <c r="U667" s="328"/>
      <c r="V667" s="328"/>
    </row>
    <row r="668" ht="15.75" customHeight="1">
      <c r="A668" s="328"/>
      <c r="B668" s="328"/>
      <c r="C668" s="328"/>
      <c r="D668" s="328"/>
      <c r="E668" s="328"/>
      <c r="F668" s="328"/>
      <c r="G668" s="328"/>
      <c r="H668" s="328"/>
      <c r="I668" s="328"/>
      <c r="J668" s="328"/>
      <c r="K668" s="328"/>
      <c r="L668" s="328"/>
      <c r="M668" s="328"/>
      <c r="N668" s="328"/>
      <c r="O668" s="328"/>
      <c r="P668" s="328"/>
      <c r="Q668" s="328"/>
      <c r="R668" s="328"/>
      <c r="S668" s="328"/>
      <c r="T668" s="328"/>
      <c r="U668" s="328"/>
      <c r="V668" s="328"/>
    </row>
    <row r="669" ht="15.75" customHeight="1">
      <c r="A669" s="328"/>
      <c r="B669" s="328"/>
      <c r="C669" s="328"/>
      <c r="D669" s="328"/>
      <c r="E669" s="328"/>
      <c r="F669" s="328"/>
      <c r="G669" s="328"/>
      <c r="H669" s="328"/>
      <c r="I669" s="328"/>
      <c r="J669" s="328"/>
      <c r="K669" s="328"/>
      <c r="L669" s="328"/>
      <c r="M669" s="328"/>
      <c r="N669" s="328"/>
      <c r="O669" s="328"/>
      <c r="P669" s="328"/>
      <c r="Q669" s="328"/>
      <c r="R669" s="328"/>
      <c r="S669" s="328"/>
      <c r="T669" s="328"/>
      <c r="U669" s="328"/>
      <c r="V669" s="328"/>
    </row>
    <row r="670" ht="15.75" customHeight="1">
      <c r="A670" s="328"/>
      <c r="B670" s="328"/>
      <c r="C670" s="328"/>
      <c r="D670" s="328"/>
      <c r="E670" s="328"/>
      <c r="F670" s="328"/>
      <c r="G670" s="328"/>
      <c r="H670" s="328"/>
      <c r="I670" s="328"/>
      <c r="J670" s="328"/>
      <c r="K670" s="328"/>
      <c r="L670" s="328"/>
      <c r="M670" s="328"/>
      <c r="N670" s="328"/>
      <c r="O670" s="328"/>
      <c r="P670" s="328"/>
      <c r="Q670" s="328"/>
      <c r="R670" s="328"/>
      <c r="S670" s="328"/>
      <c r="T670" s="328"/>
      <c r="U670" s="328"/>
      <c r="V670" s="328"/>
    </row>
    <row r="671" ht="15.75" customHeight="1">
      <c r="A671" s="328"/>
      <c r="B671" s="328"/>
      <c r="C671" s="328"/>
      <c r="D671" s="328"/>
      <c r="E671" s="328"/>
      <c r="F671" s="328"/>
      <c r="G671" s="328"/>
      <c r="H671" s="328"/>
      <c r="I671" s="328"/>
      <c r="J671" s="328"/>
      <c r="K671" s="328"/>
      <c r="L671" s="328"/>
      <c r="M671" s="328"/>
      <c r="N671" s="328"/>
      <c r="O671" s="328"/>
      <c r="P671" s="328"/>
      <c r="Q671" s="328"/>
      <c r="R671" s="328"/>
      <c r="S671" s="328"/>
      <c r="T671" s="328"/>
      <c r="U671" s="328"/>
      <c r="V671" s="328"/>
    </row>
    <row r="672" ht="15.75" customHeight="1">
      <c r="A672" s="328"/>
      <c r="B672" s="328"/>
      <c r="C672" s="328"/>
      <c r="D672" s="328"/>
      <c r="E672" s="328"/>
      <c r="F672" s="328"/>
      <c r="G672" s="328"/>
      <c r="H672" s="328"/>
      <c r="I672" s="328"/>
      <c r="J672" s="328"/>
      <c r="K672" s="328"/>
      <c r="L672" s="328"/>
      <c r="M672" s="328"/>
      <c r="N672" s="328"/>
      <c r="O672" s="328"/>
      <c r="P672" s="328"/>
      <c r="Q672" s="328"/>
      <c r="R672" s="328"/>
      <c r="S672" s="328"/>
      <c r="T672" s="328"/>
      <c r="U672" s="328"/>
      <c r="V672" s="328"/>
    </row>
    <row r="673" ht="15.75" customHeight="1">
      <c r="A673" s="328"/>
      <c r="B673" s="328"/>
      <c r="C673" s="328"/>
      <c r="D673" s="328"/>
      <c r="E673" s="328"/>
      <c r="F673" s="328"/>
      <c r="G673" s="328"/>
      <c r="H673" s="328"/>
      <c r="I673" s="328"/>
      <c r="J673" s="328"/>
      <c r="K673" s="328"/>
      <c r="L673" s="328"/>
      <c r="M673" s="328"/>
      <c r="N673" s="328"/>
      <c r="O673" s="328"/>
      <c r="P673" s="328"/>
      <c r="Q673" s="328"/>
      <c r="R673" s="328"/>
      <c r="S673" s="328"/>
      <c r="T673" s="328"/>
      <c r="U673" s="328"/>
      <c r="V673" s="328"/>
    </row>
    <row r="674" ht="15.75" customHeight="1">
      <c r="A674" s="328"/>
      <c r="B674" s="328"/>
      <c r="C674" s="328"/>
      <c r="D674" s="328"/>
      <c r="E674" s="328"/>
      <c r="F674" s="328"/>
      <c r="G674" s="328"/>
      <c r="H674" s="328"/>
      <c r="I674" s="328"/>
      <c r="J674" s="328"/>
      <c r="K674" s="328"/>
      <c r="L674" s="328"/>
      <c r="M674" s="328"/>
      <c r="N674" s="328"/>
      <c r="O674" s="328"/>
      <c r="P674" s="328"/>
      <c r="Q674" s="328"/>
      <c r="R674" s="328"/>
      <c r="S674" s="328"/>
      <c r="T674" s="328"/>
      <c r="U674" s="328"/>
      <c r="V674" s="328"/>
    </row>
    <row r="675" ht="15.75" customHeight="1">
      <c r="A675" s="328"/>
      <c r="B675" s="328"/>
      <c r="C675" s="328"/>
      <c r="D675" s="328"/>
      <c r="E675" s="328"/>
      <c r="F675" s="328"/>
      <c r="G675" s="328"/>
      <c r="H675" s="328"/>
      <c r="I675" s="328"/>
      <c r="J675" s="328"/>
      <c r="K675" s="328"/>
      <c r="L675" s="328"/>
      <c r="M675" s="328"/>
      <c r="N675" s="328"/>
      <c r="O675" s="328"/>
      <c r="P675" s="328"/>
      <c r="Q675" s="328"/>
      <c r="R675" s="328"/>
      <c r="S675" s="328"/>
      <c r="T675" s="328"/>
      <c r="U675" s="328"/>
      <c r="V675" s="328"/>
    </row>
    <row r="676" ht="15.75" customHeight="1">
      <c r="A676" s="328"/>
      <c r="B676" s="328"/>
      <c r="C676" s="328"/>
      <c r="D676" s="328"/>
      <c r="E676" s="328"/>
      <c r="F676" s="328"/>
      <c r="G676" s="328"/>
      <c r="H676" s="328"/>
      <c r="I676" s="328"/>
      <c r="J676" s="328"/>
      <c r="K676" s="328"/>
      <c r="L676" s="328"/>
      <c r="M676" s="328"/>
      <c r="N676" s="328"/>
      <c r="O676" s="328"/>
      <c r="P676" s="328"/>
      <c r="Q676" s="328"/>
      <c r="R676" s="328"/>
      <c r="S676" s="328"/>
      <c r="T676" s="328"/>
      <c r="U676" s="328"/>
      <c r="V676" s="328"/>
    </row>
    <row r="677" ht="15.75" customHeight="1">
      <c r="A677" s="328"/>
      <c r="B677" s="328"/>
      <c r="C677" s="328"/>
      <c r="D677" s="328"/>
      <c r="E677" s="328"/>
      <c r="F677" s="328"/>
      <c r="G677" s="328"/>
      <c r="H677" s="328"/>
      <c r="I677" s="328"/>
      <c r="J677" s="328"/>
      <c r="K677" s="328"/>
      <c r="L677" s="328"/>
      <c r="M677" s="328"/>
      <c r="N677" s="328"/>
      <c r="O677" s="328"/>
      <c r="P677" s="328"/>
      <c r="Q677" s="328"/>
      <c r="R677" s="328"/>
      <c r="S677" s="328"/>
      <c r="T677" s="328"/>
      <c r="U677" s="328"/>
      <c r="V677" s="328"/>
    </row>
    <row r="678" ht="15.75" customHeight="1">
      <c r="A678" s="328"/>
      <c r="B678" s="328"/>
      <c r="C678" s="328"/>
      <c r="D678" s="328"/>
      <c r="E678" s="328"/>
      <c r="F678" s="328"/>
      <c r="G678" s="328"/>
      <c r="H678" s="328"/>
      <c r="I678" s="328"/>
      <c r="J678" s="328"/>
      <c r="K678" s="328"/>
      <c r="L678" s="328"/>
      <c r="M678" s="328"/>
      <c r="N678" s="328"/>
      <c r="O678" s="328"/>
      <c r="P678" s="328"/>
      <c r="Q678" s="328"/>
      <c r="R678" s="328"/>
      <c r="S678" s="328"/>
      <c r="T678" s="328"/>
      <c r="U678" s="328"/>
      <c r="V678" s="328"/>
    </row>
    <row r="679" ht="15.75" customHeight="1">
      <c r="A679" s="328"/>
      <c r="B679" s="328"/>
      <c r="C679" s="328"/>
      <c r="D679" s="328"/>
      <c r="E679" s="328"/>
      <c r="F679" s="328"/>
      <c r="G679" s="328"/>
      <c r="H679" s="328"/>
      <c r="I679" s="328"/>
      <c r="J679" s="328"/>
      <c r="K679" s="328"/>
      <c r="L679" s="328"/>
      <c r="M679" s="328"/>
      <c r="N679" s="328"/>
      <c r="O679" s="328"/>
      <c r="P679" s="328"/>
      <c r="Q679" s="328"/>
      <c r="R679" s="328"/>
      <c r="S679" s="328"/>
      <c r="T679" s="328"/>
      <c r="U679" s="328"/>
      <c r="V679" s="328"/>
    </row>
    <row r="680" ht="15.75" customHeight="1">
      <c r="A680" s="328"/>
      <c r="B680" s="328"/>
      <c r="C680" s="328"/>
      <c r="D680" s="328"/>
      <c r="E680" s="328"/>
      <c r="F680" s="328"/>
      <c r="G680" s="328"/>
      <c r="H680" s="328"/>
      <c r="I680" s="328"/>
      <c r="J680" s="328"/>
      <c r="K680" s="328"/>
      <c r="L680" s="328"/>
      <c r="M680" s="328"/>
      <c r="N680" s="328"/>
      <c r="O680" s="328"/>
      <c r="P680" s="328"/>
      <c r="Q680" s="328"/>
      <c r="R680" s="328"/>
      <c r="S680" s="328"/>
      <c r="T680" s="328"/>
      <c r="U680" s="328"/>
      <c r="V680" s="328"/>
    </row>
    <row r="681" ht="15.75" customHeight="1">
      <c r="A681" s="328"/>
      <c r="B681" s="328"/>
      <c r="C681" s="328"/>
      <c r="D681" s="328"/>
      <c r="E681" s="328"/>
      <c r="F681" s="328"/>
      <c r="G681" s="328"/>
      <c r="H681" s="328"/>
      <c r="I681" s="328"/>
      <c r="J681" s="328"/>
      <c r="K681" s="328"/>
      <c r="L681" s="328"/>
      <c r="M681" s="328"/>
      <c r="N681" s="328"/>
      <c r="O681" s="328"/>
      <c r="P681" s="328"/>
      <c r="Q681" s="328"/>
      <c r="R681" s="328"/>
      <c r="S681" s="328"/>
      <c r="T681" s="328"/>
      <c r="U681" s="328"/>
      <c r="V681" s="328"/>
    </row>
    <row r="682" ht="15.75" customHeight="1">
      <c r="A682" s="328"/>
      <c r="B682" s="328"/>
      <c r="C682" s="328"/>
      <c r="D682" s="328"/>
      <c r="E682" s="328"/>
      <c r="F682" s="328"/>
      <c r="G682" s="328"/>
      <c r="H682" s="328"/>
      <c r="I682" s="328"/>
      <c r="J682" s="328"/>
      <c r="K682" s="328"/>
      <c r="L682" s="328"/>
      <c r="M682" s="328"/>
      <c r="N682" s="328"/>
      <c r="O682" s="328"/>
      <c r="P682" s="328"/>
      <c r="Q682" s="328"/>
      <c r="R682" s="328"/>
      <c r="S682" s="328"/>
      <c r="T682" s="328"/>
      <c r="U682" s="328"/>
      <c r="V682" s="328"/>
    </row>
    <row r="683" ht="15.75" customHeight="1">
      <c r="A683" s="328"/>
      <c r="B683" s="328"/>
      <c r="C683" s="328"/>
      <c r="D683" s="328"/>
      <c r="E683" s="328"/>
      <c r="F683" s="328"/>
      <c r="G683" s="328"/>
      <c r="H683" s="328"/>
      <c r="I683" s="328"/>
      <c r="J683" s="328"/>
      <c r="K683" s="328"/>
      <c r="L683" s="328"/>
      <c r="M683" s="328"/>
      <c r="N683" s="328"/>
      <c r="O683" s="328"/>
      <c r="P683" s="328"/>
      <c r="Q683" s="328"/>
      <c r="R683" s="328"/>
      <c r="S683" s="328"/>
      <c r="T683" s="328"/>
      <c r="U683" s="328"/>
      <c r="V683" s="328"/>
    </row>
    <row r="684" ht="15.75" customHeight="1">
      <c r="A684" s="328"/>
      <c r="B684" s="328"/>
      <c r="C684" s="328"/>
      <c r="D684" s="328"/>
      <c r="E684" s="328"/>
      <c r="F684" s="328"/>
      <c r="G684" s="328"/>
      <c r="H684" s="328"/>
      <c r="I684" s="328"/>
      <c r="J684" s="328"/>
      <c r="K684" s="328"/>
      <c r="L684" s="328"/>
      <c r="M684" s="328"/>
      <c r="N684" s="328"/>
      <c r="O684" s="328"/>
      <c r="P684" s="328"/>
      <c r="Q684" s="328"/>
      <c r="R684" s="328"/>
      <c r="S684" s="328"/>
      <c r="T684" s="328"/>
      <c r="U684" s="328"/>
      <c r="V684" s="328"/>
    </row>
    <row r="685" ht="15.75" customHeight="1">
      <c r="A685" s="328"/>
      <c r="B685" s="328"/>
      <c r="C685" s="328"/>
      <c r="D685" s="328"/>
      <c r="E685" s="328"/>
      <c r="F685" s="328"/>
      <c r="G685" s="328"/>
      <c r="H685" s="328"/>
      <c r="I685" s="328"/>
      <c r="J685" s="328"/>
      <c r="K685" s="328"/>
      <c r="L685" s="328"/>
      <c r="M685" s="328"/>
      <c r="N685" s="328"/>
      <c r="O685" s="328"/>
      <c r="P685" s="328"/>
      <c r="Q685" s="328"/>
      <c r="R685" s="328"/>
      <c r="S685" s="328"/>
      <c r="T685" s="328"/>
      <c r="U685" s="328"/>
      <c r="V685" s="328"/>
    </row>
    <row r="686" ht="15.75" customHeight="1">
      <c r="A686" s="328"/>
      <c r="B686" s="328"/>
      <c r="C686" s="328"/>
      <c r="D686" s="328"/>
      <c r="E686" s="328"/>
      <c r="F686" s="328"/>
      <c r="G686" s="328"/>
      <c r="H686" s="328"/>
      <c r="I686" s="328"/>
      <c r="J686" s="328"/>
      <c r="K686" s="328"/>
      <c r="L686" s="328"/>
      <c r="M686" s="328"/>
      <c r="N686" s="328"/>
      <c r="O686" s="328"/>
      <c r="P686" s="328"/>
      <c r="Q686" s="328"/>
      <c r="R686" s="328"/>
      <c r="S686" s="328"/>
      <c r="T686" s="328"/>
      <c r="U686" s="328"/>
      <c r="V686" s="328"/>
    </row>
    <row r="687" ht="15.75" customHeight="1">
      <c r="A687" s="328"/>
      <c r="B687" s="328"/>
      <c r="C687" s="328"/>
      <c r="D687" s="328"/>
      <c r="E687" s="328"/>
      <c r="F687" s="328"/>
      <c r="G687" s="328"/>
      <c r="H687" s="328"/>
      <c r="I687" s="328"/>
      <c r="J687" s="328"/>
      <c r="K687" s="328"/>
      <c r="L687" s="328"/>
      <c r="M687" s="328"/>
      <c r="N687" s="328"/>
      <c r="O687" s="328"/>
      <c r="P687" s="328"/>
      <c r="Q687" s="328"/>
      <c r="R687" s="328"/>
      <c r="S687" s="328"/>
      <c r="T687" s="328"/>
      <c r="U687" s="328"/>
      <c r="V687" s="328"/>
    </row>
    <row r="688" ht="15.75" customHeight="1">
      <c r="A688" s="328"/>
      <c r="B688" s="328"/>
      <c r="C688" s="328"/>
      <c r="D688" s="328"/>
      <c r="E688" s="328"/>
      <c r="F688" s="328"/>
      <c r="G688" s="328"/>
      <c r="H688" s="328"/>
      <c r="I688" s="328"/>
      <c r="J688" s="328"/>
      <c r="K688" s="328"/>
      <c r="L688" s="328"/>
      <c r="M688" s="328"/>
      <c r="N688" s="328"/>
      <c r="O688" s="328"/>
      <c r="P688" s="328"/>
      <c r="Q688" s="328"/>
      <c r="R688" s="328"/>
      <c r="S688" s="328"/>
      <c r="T688" s="328"/>
      <c r="U688" s="328"/>
      <c r="V688" s="328"/>
    </row>
    <row r="689" ht="15.75" customHeight="1">
      <c r="A689" s="328"/>
      <c r="B689" s="328"/>
      <c r="C689" s="328"/>
      <c r="D689" s="328"/>
      <c r="E689" s="328"/>
      <c r="F689" s="328"/>
      <c r="G689" s="328"/>
      <c r="H689" s="328"/>
      <c r="I689" s="328"/>
      <c r="J689" s="328"/>
      <c r="K689" s="328"/>
      <c r="L689" s="328"/>
      <c r="M689" s="328"/>
      <c r="N689" s="328"/>
      <c r="O689" s="328"/>
      <c r="P689" s="328"/>
      <c r="Q689" s="328"/>
      <c r="R689" s="328"/>
      <c r="S689" s="328"/>
      <c r="T689" s="328"/>
      <c r="U689" s="328"/>
      <c r="V689" s="328"/>
    </row>
    <row r="690" ht="15.75" customHeight="1">
      <c r="A690" s="328"/>
      <c r="B690" s="328"/>
      <c r="C690" s="328"/>
      <c r="D690" s="328"/>
      <c r="E690" s="328"/>
      <c r="F690" s="328"/>
      <c r="G690" s="328"/>
      <c r="H690" s="328"/>
      <c r="I690" s="328"/>
      <c r="J690" s="328"/>
      <c r="K690" s="328"/>
      <c r="L690" s="328"/>
      <c r="M690" s="328"/>
      <c r="N690" s="328"/>
      <c r="O690" s="328"/>
      <c r="P690" s="328"/>
      <c r="Q690" s="328"/>
      <c r="R690" s="328"/>
      <c r="S690" s="328"/>
      <c r="T690" s="328"/>
      <c r="U690" s="328"/>
      <c r="V690" s="328"/>
    </row>
    <row r="691" ht="15.75" customHeight="1">
      <c r="A691" s="328"/>
      <c r="B691" s="328"/>
      <c r="C691" s="328"/>
      <c r="D691" s="328"/>
      <c r="E691" s="328"/>
      <c r="F691" s="328"/>
      <c r="G691" s="328"/>
      <c r="H691" s="328"/>
      <c r="I691" s="328"/>
      <c r="J691" s="328"/>
      <c r="K691" s="328"/>
      <c r="L691" s="328"/>
      <c r="M691" s="328"/>
      <c r="N691" s="328"/>
      <c r="O691" s="328"/>
      <c r="P691" s="328"/>
      <c r="Q691" s="328"/>
      <c r="R691" s="328"/>
      <c r="S691" s="328"/>
      <c r="T691" s="328"/>
      <c r="U691" s="328"/>
      <c r="V691" s="328"/>
    </row>
    <row r="692" ht="15.75" customHeight="1">
      <c r="A692" s="328"/>
      <c r="B692" s="328"/>
      <c r="C692" s="328"/>
      <c r="D692" s="328"/>
      <c r="E692" s="328"/>
      <c r="F692" s="328"/>
      <c r="G692" s="328"/>
      <c r="H692" s="328"/>
      <c r="I692" s="328"/>
      <c r="J692" s="328"/>
      <c r="K692" s="328"/>
      <c r="L692" s="328"/>
      <c r="M692" s="328"/>
      <c r="N692" s="328"/>
      <c r="O692" s="328"/>
      <c r="P692" s="328"/>
      <c r="Q692" s="328"/>
      <c r="R692" s="328"/>
      <c r="S692" s="328"/>
      <c r="T692" s="328"/>
      <c r="U692" s="328"/>
      <c r="V692" s="328"/>
    </row>
    <row r="693" ht="15.75" customHeight="1">
      <c r="A693" s="328"/>
      <c r="B693" s="328"/>
      <c r="C693" s="328"/>
      <c r="D693" s="328"/>
      <c r="E693" s="328"/>
      <c r="F693" s="328"/>
      <c r="G693" s="328"/>
      <c r="H693" s="328"/>
      <c r="I693" s="328"/>
      <c r="J693" s="328"/>
      <c r="K693" s="328"/>
      <c r="L693" s="328"/>
      <c r="M693" s="328"/>
      <c r="N693" s="328"/>
      <c r="O693" s="328"/>
      <c r="P693" s="328"/>
      <c r="Q693" s="328"/>
      <c r="R693" s="328"/>
      <c r="S693" s="328"/>
      <c r="T693" s="328"/>
      <c r="U693" s="328"/>
      <c r="V693" s="328"/>
    </row>
    <row r="694" ht="15.75" customHeight="1">
      <c r="A694" s="328"/>
      <c r="B694" s="328"/>
      <c r="C694" s="328"/>
      <c r="D694" s="328"/>
      <c r="E694" s="328"/>
      <c r="F694" s="328"/>
      <c r="G694" s="328"/>
      <c r="H694" s="328"/>
      <c r="I694" s="328"/>
      <c r="J694" s="328"/>
      <c r="K694" s="328"/>
      <c r="L694" s="328"/>
      <c r="M694" s="328"/>
      <c r="N694" s="328"/>
      <c r="O694" s="328"/>
      <c r="P694" s="328"/>
      <c r="Q694" s="328"/>
      <c r="R694" s="328"/>
      <c r="S694" s="328"/>
      <c r="T694" s="328"/>
      <c r="U694" s="328"/>
      <c r="V694" s="328"/>
    </row>
    <row r="695" ht="15.75" customHeight="1">
      <c r="A695" s="328"/>
      <c r="B695" s="328"/>
      <c r="C695" s="328"/>
      <c r="D695" s="328"/>
      <c r="E695" s="328"/>
      <c r="F695" s="328"/>
      <c r="G695" s="328"/>
      <c r="H695" s="328"/>
      <c r="I695" s="328"/>
      <c r="J695" s="328"/>
      <c r="K695" s="328"/>
      <c r="L695" s="328"/>
      <c r="M695" s="328"/>
      <c r="N695" s="328"/>
      <c r="O695" s="328"/>
      <c r="P695" s="328"/>
      <c r="Q695" s="328"/>
      <c r="R695" s="328"/>
      <c r="S695" s="328"/>
      <c r="T695" s="328"/>
      <c r="U695" s="328"/>
      <c r="V695" s="328"/>
    </row>
    <row r="696" ht="15.75" customHeight="1">
      <c r="A696" s="328"/>
      <c r="B696" s="328"/>
      <c r="C696" s="328"/>
      <c r="D696" s="328"/>
      <c r="E696" s="328"/>
      <c r="F696" s="328"/>
      <c r="G696" s="328"/>
      <c r="H696" s="328"/>
      <c r="I696" s="328"/>
      <c r="J696" s="328"/>
      <c r="K696" s="328"/>
      <c r="L696" s="328"/>
      <c r="M696" s="328"/>
      <c r="N696" s="328"/>
      <c r="O696" s="328"/>
      <c r="P696" s="328"/>
      <c r="Q696" s="328"/>
      <c r="R696" s="328"/>
      <c r="S696" s="328"/>
      <c r="T696" s="328"/>
      <c r="U696" s="328"/>
      <c r="V696" s="328"/>
    </row>
    <row r="697" ht="15.75" customHeight="1">
      <c r="A697" s="328"/>
      <c r="B697" s="328"/>
      <c r="C697" s="328"/>
      <c r="D697" s="328"/>
      <c r="E697" s="328"/>
      <c r="F697" s="328"/>
      <c r="G697" s="328"/>
      <c r="H697" s="328"/>
      <c r="I697" s="328"/>
      <c r="J697" s="328"/>
      <c r="K697" s="328"/>
      <c r="L697" s="328"/>
      <c r="M697" s="328"/>
      <c r="N697" s="328"/>
      <c r="O697" s="328"/>
      <c r="P697" s="328"/>
      <c r="Q697" s="328"/>
      <c r="R697" s="328"/>
      <c r="S697" s="328"/>
      <c r="T697" s="328"/>
      <c r="U697" s="328"/>
      <c r="V697" s="328"/>
    </row>
    <row r="698" ht="15.75" customHeight="1">
      <c r="A698" s="328"/>
      <c r="B698" s="328"/>
      <c r="C698" s="328"/>
      <c r="D698" s="328"/>
      <c r="E698" s="328"/>
      <c r="F698" s="328"/>
      <c r="G698" s="328"/>
      <c r="H698" s="328"/>
      <c r="I698" s="328"/>
      <c r="J698" s="328"/>
      <c r="K698" s="328"/>
      <c r="L698" s="328"/>
      <c r="M698" s="328"/>
      <c r="N698" s="328"/>
      <c r="O698" s="328"/>
      <c r="P698" s="328"/>
      <c r="Q698" s="328"/>
      <c r="R698" s="328"/>
      <c r="S698" s="328"/>
      <c r="T698" s="328"/>
      <c r="U698" s="328"/>
      <c r="V698" s="328"/>
    </row>
    <row r="699" ht="15.75" customHeight="1">
      <c r="A699" s="328"/>
      <c r="B699" s="328"/>
      <c r="C699" s="328"/>
      <c r="D699" s="328"/>
      <c r="E699" s="328"/>
      <c r="F699" s="328"/>
      <c r="G699" s="328"/>
      <c r="H699" s="328"/>
      <c r="I699" s="328"/>
      <c r="J699" s="328"/>
      <c r="K699" s="328"/>
      <c r="L699" s="328"/>
      <c r="M699" s="328"/>
      <c r="N699" s="328"/>
      <c r="O699" s="328"/>
      <c r="P699" s="328"/>
      <c r="Q699" s="328"/>
      <c r="R699" s="328"/>
      <c r="S699" s="328"/>
      <c r="T699" s="328"/>
      <c r="U699" s="328"/>
      <c r="V699" s="328"/>
    </row>
    <row r="700" ht="15.75" customHeight="1">
      <c r="A700" s="328"/>
      <c r="B700" s="328"/>
      <c r="C700" s="328"/>
      <c r="D700" s="328"/>
      <c r="E700" s="328"/>
      <c r="F700" s="328"/>
      <c r="G700" s="328"/>
      <c r="H700" s="328"/>
      <c r="I700" s="328"/>
      <c r="J700" s="328"/>
      <c r="K700" s="328"/>
      <c r="L700" s="328"/>
      <c r="M700" s="328"/>
      <c r="N700" s="328"/>
      <c r="O700" s="328"/>
      <c r="P700" s="328"/>
      <c r="Q700" s="328"/>
      <c r="R700" s="328"/>
      <c r="S700" s="328"/>
      <c r="T700" s="328"/>
      <c r="U700" s="328"/>
      <c r="V700" s="328"/>
    </row>
    <row r="701" ht="15.75" customHeight="1">
      <c r="A701" s="328"/>
      <c r="B701" s="328"/>
      <c r="C701" s="328"/>
      <c r="D701" s="328"/>
      <c r="E701" s="328"/>
      <c r="F701" s="328"/>
      <c r="G701" s="328"/>
      <c r="H701" s="328"/>
      <c r="I701" s="328"/>
      <c r="J701" s="328"/>
      <c r="K701" s="328"/>
      <c r="L701" s="328"/>
      <c r="M701" s="328"/>
      <c r="N701" s="328"/>
      <c r="O701" s="328"/>
      <c r="P701" s="328"/>
      <c r="Q701" s="328"/>
      <c r="R701" s="328"/>
      <c r="S701" s="328"/>
      <c r="T701" s="328"/>
      <c r="U701" s="328"/>
      <c r="V701" s="328"/>
    </row>
    <row r="702" ht="15.75" customHeight="1">
      <c r="A702" s="328"/>
      <c r="B702" s="328"/>
      <c r="C702" s="328"/>
      <c r="D702" s="328"/>
      <c r="E702" s="328"/>
      <c r="F702" s="328"/>
      <c r="G702" s="328"/>
      <c r="H702" s="328"/>
      <c r="I702" s="328"/>
      <c r="J702" s="328"/>
      <c r="K702" s="328"/>
      <c r="L702" s="328"/>
      <c r="M702" s="328"/>
      <c r="N702" s="328"/>
      <c r="O702" s="328"/>
      <c r="P702" s="328"/>
      <c r="Q702" s="328"/>
      <c r="R702" s="328"/>
      <c r="S702" s="328"/>
      <c r="T702" s="328"/>
      <c r="U702" s="328"/>
      <c r="V702" s="328"/>
    </row>
    <row r="703" ht="15.75" customHeight="1">
      <c r="A703" s="328"/>
      <c r="B703" s="328"/>
      <c r="C703" s="328"/>
      <c r="D703" s="328"/>
      <c r="E703" s="328"/>
      <c r="F703" s="328"/>
      <c r="G703" s="328"/>
      <c r="H703" s="328"/>
      <c r="I703" s="328"/>
      <c r="J703" s="328"/>
      <c r="K703" s="328"/>
      <c r="L703" s="328"/>
      <c r="M703" s="328"/>
      <c r="N703" s="328"/>
      <c r="O703" s="328"/>
      <c r="P703" s="328"/>
      <c r="Q703" s="328"/>
      <c r="R703" s="328"/>
      <c r="S703" s="328"/>
      <c r="T703" s="328"/>
      <c r="U703" s="328"/>
      <c r="V703" s="328"/>
    </row>
    <row r="704" ht="15.75" customHeight="1">
      <c r="A704" s="328"/>
      <c r="B704" s="328"/>
      <c r="C704" s="328"/>
      <c r="D704" s="328"/>
      <c r="E704" s="328"/>
      <c r="F704" s="328"/>
      <c r="G704" s="328"/>
      <c r="H704" s="328"/>
      <c r="I704" s="328"/>
      <c r="J704" s="328"/>
      <c r="K704" s="328"/>
      <c r="L704" s="328"/>
      <c r="M704" s="328"/>
      <c r="N704" s="328"/>
      <c r="O704" s="328"/>
      <c r="P704" s="328"/>
      <c r="Q704" s="328"/>
      <c r="R704" s="328"/>
      <c r="S704" s="328"/>
      <c r="T704" s="328"/>
      <c r="U704" s="328"/>
      <c r="V704" s="328"/>
    </row>
    <row r="705" ht="15.75" customHeight="1">
      <c r="A705" s="328"/>
      <c r="B705" s="328"/>
      <c r="C705" s="328"/>
      <c r="D705" s="328"/>
      <c r="E705" s="328"/>
      <c r="F705" s="328"/>
      <c r="G705" s="328"/>
      <c r="H705" s="328"/>
      <c r="I705" s="328"/>
      <c r="J705" s="328"/>
      <c r="K705" s="328"/>
      <c r="L705" s="328"/>
      <c r="M705" s="328"/>
      <c r="N705" s="328"/>
      <c r="O705" s="328"/>
      <c r="P705" s="328"/>
      <c r="Q705" s="328"/>
      <c r="R705" s="328"/>
      <c r="S705" s="328"/>
      <c r="T705" s="328"/>
      <c r="U705" s="328"/>
      <c r="V705" s="328"/>
    </row>
    <row r="706" ht="15.75" customHeight="1">
      <c r="A706" s="328"/>
      <c r="B706" s="328"/>
      <c r="C706" s="328"/>
      <c r="D706" s="328"/>
      <c r="E706" s="328"/>
      <c r="F706" s="328"/>
      <c r="G706" s="328"/>
      <c r="H706" s="328"/>
      <c r="I706" s="328"/>
      <c r="J706" s="328"/>
      <c r="K706" s="328"/>
      <c r="L706" s="328"/>
      <c r="M706" s="328"/>
      <c r="N706" s="328"/>
      <c r="O706" s="328"/>
      <c r="P706" s="328"/>
      <c r="Q706" s="328"/>
      <c r="R706" s="328"/>
      <c r="S706" s="328"/>
      <c r="T706" s="328"/>
      <c r="U706" s="328"/>
      <c r="V706" s="328"/>
    </row>
    <row r="707" ht="15.75" customHeight="1">
      <c r="A707" s="328"/>
      <c r="B707" s="328"/>
      <c r="C707" s="328"/>
      <c r="D707" s="328"/>
      <c r="E707" s="328"/>
      <c r="F707" s="328"/>
      <c r="G707" s="328"/>
      <c r="H707" s="328"/>
      <c r="I707" s="328"/>
      <c r="J707" s="328"/>
      <c r="K707" s="328"/>
      <c r="L707" s="328"/>
      <c r="M707" s="328"/>
      <c r="N707" s="328"/>
      <c r="O707" s="328"/>
      <c r="P707" s="328"/>
      <c r="Q707" s="328"/>
      <c r="R707" s="328"/>
      <c r="S707" s="328"/>
      <c r="T707" s="328"/>
      <c r="U707" s="328"/>
      <c r="V707" s="328"/>
    </row>
    <row r="708" ht="15.75" customHeight="1">
      <c r="A708" s="328"/>
      <c r="B708" s="328"/>
      <c r="C708" s="328"/>
      <c r="D708" s="328"/>
      <c r="E708" s="328"/>
      <c r="F708" s="328"/>
      <c r="G708" s="328"/>
      <c r="H708" s="328"/>
      <c r="I708" s="328"/>
      <c r="J708" s="328"/>
      <c r="K708" s="328"/>
      <c r="L708" s="328"/>
      <c r="M708" s="328"/>
      <c r="N708" s="328"/>
      <c r="O708" s="328"/>
      <c r="P708" s="328"/>
      <c r="Q708" s="328"/>
      <c r="R708" s="328"/>
      <c r="S708" s="328"/>
      <c r="T708" s="328"/>
      <c r="U708" s="328"/>
      <c r="V708" s="328"/>
    </row>
    <row r="709" ht="15.75" customHeight="1">
      <c r="A709" s="328"/>
      <c r="B709" s="328"/>
      <c r="C709" s="328"/>
      <c r="D709" s="328"/>
      <c r="E709" s="328"/>
      <c r="F709" s="328"/>
      <c r="G709" s="328"/>
      <c r="H709" s="328"/>
      <c r="I709" s="328"/>
      <c r="J709" s="328"/>
      <c r="K709" s="328"/>
      <c r="L709" s="328"/>
      <c r="M709" s="328"/>
      <c r="N709" s="328"/>
      <c r="O709" s="328"/>
      <c r="P709" s="328"/>
      <c r="Q709" s="328"/>
      <c r="R709" s="328"/>
      <c r="S709" s="328"/>
      <c r="T709" s="328"/>
      <c r="U709" s="328"/>
      <c r="V709" s="328"/>
    </row>
    <row r="710" ht="15.75" customHeight="1">
      <c r="A710" s="328"/>
      <c r="B710" s="328"/>
      <c r="C710" s="328"/>
      <c r="D710" s="328"/>
      <c r="E710" s="328"/>
      <c r="F710" s="328"/>
      <c r="G710" s="328"/>
      <c r="H710" s="328"/>
      <c r="I710" s="328"/>
      <c r="J710" s="328"/>
      <c r="K710" s="328"/>
      <c r="L710" s="328"/>
      <c r="M710" s="328"/>
      <c r="N710" s="328"/>
      <c r="O710" s="328"/>
      <c r="P710" s="328"/>
      <c r="Q710" s="328"/>
      <c r="R710" s="328"/>
      <c r="S710" s="328"/>
      <c r="T710" s="328"/>
      <c r="U710" s="328"/>
      <c r="V710" s="328"/>
    </row>
    <row r="711" ht="15.75" customHeight="1">
      <c r="A711" s="328"/>
      <c r="B711" s="328"/>
      <c r="C711" s="328"/>
      <c r="D711" s="328"/>
      <c r="E711" s="328"/>
      <c r="F711" s="328"/>
      <c r="G711" s="328"/>
      <c r="H711" s="328"/>
      <c r="I711" s="328"/>
      <c r="J711" s="328"/>
      <c r="K711" s="328"/>
      <c r="L711" s="328"/>
      <c r="M711" s="328"/>
      <c r="N711" s="328"/>
      <c r="O711" s="328"/>
      <c r="P711" s="328"/>
      <c r="Q711" s="328"/>
      <c r="R711" s="328"/>
      <c r="S711" s="328"/>
      <c r="T711" s="328"/>
      <c r="U711" s="328"/>
      <c r="V711" s="328"/>
    </row>
    <row r="712" ht="15.75" customHeight="1">
      <c r="A712" s="328"/>
      <c r="B712" s="328"/>
      <c r="C712" s="328"/>
      <c r="D712" s="328"/>
      <c r="E712" s="328"/>
      <c r="F712" s="328"/>
      <c r="G712" s="328"/>
      <c r="H712" s="328"/>
      <c r="I712" s="328"/>
      <c r="J712" s="328"/>
      <c r="K712" s="328"/>
      <c r="L712" s="328"/>
      <c r="M712" s="328"/>
      <c r="N712" s="328"/>
      <c r="O712" s="328"/>
      <c r="P712" s="328"/>
      <c r="Q712" s="328"/>
      <c r="R712" s="328"/>
      <c r="S712" s="328"/>
      <c r="T712" s="328"/>
      <c r="U712" s="328"/>
      <c r="V712" s="328"/>
    </row>
    <row r="713" ht="15.75" customHeight="1">
      <c r="A713" s="328"/>
      <c r="B713" s="328"/>
      <c r="C713" s="328"/>
      <c r="D713" s="328"/>
      <c r="E713" s="328"/>
      <c r="F713" s="328"/>
      <c r="G713" s="328"/>
      <c r="H713" s="328"/>
      <c r="I713" s="328"/>
      <c r="J713" s="328"/>
      <c r="K713" s="328"/>
      <c r="L713" s="328"/>
      <c r="M713" s="328"/>
      <c r="N713" s="328"/>
      <c r="O713" s="328"/>
      <c r="P713" s="328"/>
      <c r="Q713" s="328"/>
      <c r="R713" s="328"/>
      <c r="S713" s="328"/>
      <c r="T713" s="328"/>
      <c r="U713" s="328"/>
      <c r="V713" s="328"/>
    </row>
    <row r="714" ht="15.75" customHeight="1">
      <c r="A714" s="328"/>
      <c r="B714" s="328"/>
      <c r="C714" s="328"/>
      <c r="D714" s="328"/>
      <c r="E714" s="328"/>
      <c r="F714" s="328"/>
      <c r="G714" s="328"/>
      <c r="H714" s="328"/>
      <c r="I714" s="328"/>
      <c r="J714" s="328"/>
      <c r="K714" s="328"/>
      <c r="L714" s="328"/>
      <c r="M714" s="328"/>
      <c r="N714" s="328"/>
      <c r="O714" s="328"/>
      <c r="P714" s="328"/>
      <c r="Q714" s="328"/>
      <c r="R714" s="328"/>
      <c r="S714" s="328"/>
      <c r="T714" s="328"/>
      <c r="U714" s="328"/>
      <c r="V714" s="328"/>
    </row>
    <row r="715" ht="15.75" customHeight="1">
      <c r="A715" s="328"/>
      <c r="B715" s="328"/>
      <c r="C715" s="328"/>
      <c r="D715" s="328"/>
      <c r="E715" s="328"/>
      <c r="F715" s="328"/>
      <c r="G715" s="328"/>
      <c r="H715" s="328"/>
      <c r="I715" s="328"/>
      <c r="J715" s="328"/>
      <c r="K715" s="328"/>
      <c r="L715" s="328"/>
      <c r="M715" s="328"/>
      <c r="N715" s="328"/>
      <c r="O715" s="328"/>
      <c r="P715" s="328"/>
      <c r="Q715" s="328"/>
      <c r="R715" s="328"/>
      <c r="S715" s="328"/>
      <c r="T715" s="328"/>
      <c r="U715" s="328"/>
      <c r="V715" s="328"/>
    </row>
    <row r="716" ht="15.75" customHeight="1">
      <c r="A716" s="328"/>
      <c r="B716" s="328"/>
      <c r="C716" s="328"/>
      <c r="D716" s="328"/>
      <c r="E716" s="328"/>
      <c r="F716" s="328"/>
      <c r="G716" s="328"/>
      <c r="H716" s="328"/>
      <c r="I716" s="328"/>
      <c r="J716" s="328"/>
      <c r="K716" s="328"/>
      <c r="L716" s="328"/>
      <c r="M716" s="328"/>
      <c r="N716" s="328"/>
      <c r="O716" s="328"/>
      <c r="P716" s="328"/>
      <c r="Q716" s="328"/>
      <c r="R716" s="328"/>
      <c r="S716" s="328"/>
      <c r="T716" s="328"/>
      <c r="U716" s="328"/>
      <c r="V716" s="328"/>
    </row>
    <row r="717" ht="15.75" customHeight="1">
      <c r="A717" s="328"/>
      <c r="B717" s="328"/>
      <c r="C717" s="328"/>
      <c r="D717" s="328"/>
      <c r="E717" s="328"/>
      <c r="F717" s="328"/>
      <c r="G717" s="328"/>
      <c r="H717" s="328"/>
      <c r="I717" s="328"/>
      <c r="J717" s="328"/>
      <c r="K717" s="328"/>
      <c r="L717" s="328"/>
      <c r="M717" s="328"/>
      <c r="N717" s="328"/>
      <c r="O717" s="328"/>
      <c r="P717" s="328"/>
      <c r="Q717" s="328"/>
      <c r="R717" s="328"/>
      <c r="S717" s="328"/>
      <c r="T717" s="328"/>
      <c r="U717" s="328"/>
      <c r="V717" s="328"/>
    </row>
    <row r="718" ht="15.75" customHeight="1">
      <c r="A718" s="328"/>
      <c r="B718" s="328"/>
      <c r="C718" s="328"/>
      <c r="D718" s="328"/>
      <c r="E718" s="328"/>
      <c r="F718" s="328"/>
      <c r="G718" s="328"/>
      <c r="H718" s="328"/>
      <c r="I718" s="328"/>
      <c r="J718" s="328"/>
      <c r="K718" s="328"/>
      <c r="L718" s="328"/>
      <c r="M718" s="328"/>
      <c r="N718" s="328"/>
      <c r="O718" s="328"/>
      <c r="P718" s="328"/>
      <c r="Q718" s="328"/>
      <c r="R718" s="328"/>
      <c r="S718" s="328"/>
      <c r="T718" s="328"/>
      <c r="U718" s="328"/>
      <c r="V718" s="328"/>
    </row>
    <row r="719" ht="15.75" customHeight="1">
      <c r="A719" s="328"/>
      <c r="B719" s="328"/>
      <c r="C719" s="328"/>
      <c r="D719" s="328"/>
      <c r="E719" s="328"/>
      <c r="F719" s="328"/>
      <c r="G719" s="328"/>
      <c r="H719" s="328"/>
      <c r="I719" s="328"/>
      <c r="J719" s="328"/>
      <c r="K719" s="328"/>
      <c r="L719" s="328"/>
      <c r="M719" s="328"/>
      <c r="N719" s="328"/>
      <c r="O719" s="328"/>
      <c r="P719" s="328"/>
      <c r="Q719" s="328"/>
      <c r="R719" s="328"/>
      <c r="S719" s="328"/>
      <c r="T719" s="328"/>
      <c r="U719" s="328"/>
      <c r="V719" s="328"/>
    </row>
    <row r="720" ht="15.75" customHeight="1">
      <c r="A720" s="328"/>
      <c r="B720" s="328"/>
      <c r="C720" s="328"/>
      <c r="D720" s="328"/>
      <c r="E720" s="328"/>
      <c r="F720" s="328"/>
      <c r="G720" s="328"/>
      <c r="H720" s="328"/>
      <c r="I720" s="328"/>
      <c r="J720" s="328"/>
      <c r="K720" s="328"/>
      <c r="L720" s="328"/>
      <c r="M720" s="328"/>
      <c r="N720" s="328"/>
      <c r="O720" s="328"/>
      <c r="P720" s="328"/>
      <c r="Q720" s="328"/>
      <c r="R720" s="328"/>
      <c r="S720" s="328"/>
      <c r="T720" s="328"/>
      <c r="U720" s="328"/>
      <c r="V720" s="328"/>
    </row>
    <row r="721" ht="15.75" customHeight="1">
      <c r="A721" s="328"/>
      <c r="B721" s="328"/>
      <c r="C721" s="328"/>
      <c r="D721" s="328"/>
      <c r="E721" s="328"/>
      <c r="F721" s="328"/>
      <c r="G721" s="328"/>
      <c r="H721" s="328"/>
      <c r="I721" s="328"/>
      <c r="J721" s="328"/>
      <c r="K721" s="328"/>
      <c r="L721" s="328"/>
      <c r="M721" s="328"/>
      <c r="N721" s="328"/>
      <c r="O721" s="328"/>
      <c r="P721" s="328"/>
      <c r="Q721" s="328"/>
      <c r="R721" s="328"/>
      <c r="S721" s="328"/>
      <c r="T721" s="328"/>
      <c r="U721" s="328"/>
      <c r="V721" s="328"/>
    </row>
    <row r="722" ht="15.75" customHeight="1">
      <c r="A722" s="328"/>
      <c r="B722" s="328"/>
      <c r="C722" s="328"/>
      <c r="D722" s="328"/>
      <c r="E722" s="328"/>
      <c r="F722" s="328"/>
      <c r="G722" s="328"/>
      <c r="H722" s="328"/>
      <c r="I722" s="328"/>
      <c r="J722" s="328"/>
      <c r="K722" s="328"/>
      <c r="L722" s="328"/>
      <c r="M722" s="328"/>
      <c r="N722" s="328"/>
      <c r="O722" s="328"/>
      <c r="P722" s="328"/>
      <c r="Q722" s="328"/>
      <c r="R722" s="328"/>
      <c r="S722" s="328"/>
      <c r="T722" s="328"/>
      <c r="U722" s="328"/>
      <c r="V722" s="328"/>
    </row>
    <row r="723" ht="15.75" customHeight="1">
      <c r="A723" s="328"/>
      <c r="B723" s="328"/>
      <c r="C723" s="328"/>
      <c r="D723" s="328"/>
      <c r="E723" s="328"/>
      <c r="F723" s="328"/>
      <c r="G723" s="328"/>
      <c r="H723" s="328"/>
      <c r="I723" s="328"/>
      <c r="J723" s="328"/>
      <c r="K723" s="328"/>
      <c r="L723" s="328"/>
      <c r="M723" s="328"/>
      <c r="N723" s="328"/>
      <c r="O723" s="328"/>
      <c r="P723" s="328"/>
      <c r="Q723" s="328"/>
      <c r="R723" s="328"/>
      <c r="S723" s="328"/>
      <c r="T723" s="328"/>
      <c r="U723" s="328"/>
      <c r="V723" s="328"/>
    </row>
    <row r="724" ht="15.75" customHeight="1">
      <c r="A724" s="328"/>
      <c r="B724" s="328"/>
      <c r="C724" s="328"/>
      <c r="D724" s="328"/>
      <c r="E724" s="328"/>
      <c r="F724" s="328"/>
      <c r="G724" s="328"/>
      <c r="H724" s="328"/>
      <c r="I724" s="328"/>
      <c r="J724" s="328"/>
      <c r="K724" s="328"/>
      <c r="L724" s="328"/>
      <c r="M724" s="328"/>
      <c r="N724" s="328"/>
      <c r="O724" s="328"/>
      <c r="P724" s="328"/>
      <c r="Q724" s="328"/>
      <c r="R724" s="328"/>
      <c r="S724" s="328"/>
      <c r="T724" s="328"/>
      <c r="U724" s="328"/>
      <c r="V724" s="328"/>
    </row>
    <row r="725" ht="15.75" customHeight="1">
      <c r="A725" s="328"/>
      <c r="B725" s="328"/>
      <c r="C725" s="328"/>
      <c r="D725" s="328"/>
      <c r="E725" s="328"/>
      <c r="F725" s="328"/>
      <c r="G725" s="328"/>
      <c r="H725" s="328"/>
      <c r="I725" s="328"/>
      <c r="J725" s="328"/>
      <c r="K725" s="328"/>
      <c r="L725" s="328"/>
      <c r="M725" s="328"/>
      <c r="N725" s="328"/>
      <c r="O725" s="328"/>
      <c r="P725" s="328"/>
      <c r="Q725" s="328"/>
      <c r="R725" s="328"/>
      <c r="S725" s="328"/>
      <c r="T725" s="328"/>
      <c r="U725" s="328"/>
      <c r="V725" s="328"/>
    </row>
    <row r="726" ht="15.75" customHeight="1">
      <c r="A726" s="328"/>
      <c r="B726" s="328"/>
      <c r="C726" s="328"/>
      <c r="D726" s="328"/>
      <c r="E726" s="328"/>
      <c r="F726" s="328"/>
      <c r="G726" s="328"/>
      <c r="H726" s="328"/>
      <c r="I726" s="328"/>
      <c r="J726" s="328"/>
      <c r="K726" s="328"/>
      <c r="L726" s="328"/>
      <c r="M726" s="328"/>
      <c r="N726" s="328"/>
      <c r="O726" s="328"/>
      <c r="P726" s="328"/>
      <c r="Q726" s="328"/>
      <c r="R726" s="328"/>
      <c r="S726" s="328"/>
      <c r="T726" s="328"/>
      <c r="U726" s="328"/>
      <c r="V726" s="328"/>
    </row>
    <row r="727" ht="15.75" customHeight="1">
      <c r="A727" s="328"/>
      <c r="B727" s="328"/>
      <c r="C727" s="328"/>
      <c r="D727" s="328"/>
      <c r="E727" s="328"/>
      <c r="F727" s="328"/>
      <c r="G727" s="328"/>
      <c r="H727" s="328"/>
      <c r="I727" s="328"/>
      <c r="J727" s="328"/>
      <c r="K727" s="328"/>
      <c r="L727" s="328"/>
      <c r="M727" s="328"/>
      <c r="N727" s="328"/>
      <c r="O727" s="328"/>
      <c r="P727" s="328"/>
      <c r="Q727" s="328"/>
      <c r="R727" s="328"/>
      <c r="S727" s="328"/>
      <c r="T727" s="328"/>
      <c r="U727" s="328"/>
      <c r="V727" s="328"/>
    </row>
    <row r="728" ht="15.75" customHeight="1">
      <c r="A728" s="328"/>
      <c r="B728" s="328"/>
      <c r="C728" s="328"/>
      <c r="D728" s="328"/>
      <c r="E728" s="328"/>
      <c r="F728" s="328"/>
      <c r="G728" s="328"/>
      <c r="H728" s="328"/>
      <c r="I728" s="328"/>
      <c r="J728" s="328"/>
      <c r="K728" s="328"/>
      <c r="L728" s="328"/>
      <c r="M728" s="328"/>
      <c r="N728" s="328"/>
      <c r="O728" s="328"/>
      <c r="P728" s="328"/>
      <c r="Q728" s="328"/>
      <c r="R728" s="328"/>
      <c r="S728" s="328"/>
      <c r="T728" s="328"/>
      <c r="U728" s="328"/>
      <c r="V728" s="328"/>
    </row>
    <row r="729" ht="15.75" customHeight="1">
      <c r="A729" s="328"/>
      <c r="B729" s="328"/>
      <c r="C729" s="328"/>
      <c r="D729" s="328"/>
      <c r="E729" s="328"/>
      <c r="F729" s="328"/>
      <c r="G729" s="328"/>
      <c r="H729" s="328"/>
      <c r="I729" s="328"/>
      <c r="J729" s="328"/>
      <c r="K729" s="328"/>
      <c r="L729" s="328"/>
      <c r="M729" s="328"/>
      <c r="N729" s="328"/>
      <c r="O729" s="328"/>
      <c r="P729" s="328"/>
      <c r="Q729" s="328"/>
      <c r="R729" s="328"/>
      <c r="S729" s="328"/>
      <c r="T729" s="328"/>
      <c r="U729" s="328"/>
      <c r="V729" s="328"/>
    </row>
    <row r="730" ht="15.75" customHeight="1">
      <c r="A730" s="328"/>
      <c r="B730" s="328"/>
      <c r="C730" s="328"/>
      <c r="D730" s="328"/>
      <c r="E730" s="328"/>
      <c r="F730" s="328"/>
      <c r="G730" s="328"/>
      <c r="H730" s="328"/>
      <c r="I730" s="328"/>
      <c r="J730" s="328"/>
      <c r="K730" s="328"/>
      <c r="L730" s="328"/>
      <c r="M730" s="328"/>
      <c r="N730" s="328"/>
      <c r="O730" s="328"/>
      <c r="P730" s="328"/>
      <c r="Q730" s="328"/>
      <c r="R730" s="328"/>
      <c r="S730" s="328"/>
      <c r="T730" s="328"/>
      <c r="U730" s="328"/>
      <c r="V730" s="328"/>
    </row>
    <row r="731" ht="15.75" customHeight="1">
      <c r="A731" s="328"/>
      <c r="B731" s="328"/>
      <c r="C731" s="328"/>
      <c r="D731" s="328"/>
      <c r="E731" s="328"/>
      <c r="F731" s="328"/>
      <c r="G731" s="328"/>
      <c r="H731" s="328"/>
      <c r="I731" s="328"/>
      <c r="J731" s="328"/>
      <c r="K731" s="328"/>
      <c r="L731" s="328"/>
      <c r="M731" s="328"/>
      <c r="N731" s="328"/>
      <c r="O731" s="328"/>
      <c r="P731" s="328"/>
      <c r="Q731" s="328"/>
      <c r="R731" s="328"/>
      <c r="S731" s="328"/>
      <c r="T731" s="328"/>
      <c r="U731" s="328"/>
      <c r="V731" s="328"/>
    </row>
    <row r="732" ht="15.75" customHeight="1">
      <c r="A732" s="328"/>
      <c r="B732" s="328"/>
      <c r="C732" s="328"/>
      <c r="D732" s="328"/>
      <c r="E732" s="328"/>
      <c r="F732" s="328"/>
      <c r="G732" s="328"/>
      <c r="H732" s="328"/>
      <c r="I732" s="328"/>
      <c r="J732" s="328"/>
      <c r="K732" s="328"/>
      <c r="L732" s="328"/>
      <c r="M732" s="328"/>
      <c r="N732" s="328"/>
      <c r="O732" s="328"/>
      <c r="P732" s="328"/>
      <c r="Q732" s="328"/>
      <c r="R732" s="328"/>
      <c r="S732" s="328"/>
      <c r="T732" s="328"/>
      <c r="U732" s="328"/>
      <c r="V732" s="328"/>
    </row>
    <row r="733" ht="15.75" customHeight="1">
      <c r="A733" s="328"/>
      <c r="B733" s="328"/>
      <c r="C733" s="328"/>
      <c r="D733" s="328"/>
      <c r="E733" s="328"/>
      <c r="F733" s="328"/>
      <c r="G733" s="328"/>
      <c r="H733" s="328"/>
      <c r="I733" s="328"/>
      <c r="J733" s="328"/>
      <c r="K733" s="328"/>
      <c r="L733" s="328"/>
      <c r="M733" s="328"/>
      <c r="N733" s="328"/>
      <c r="O733" s="328"/>
      <c r="P733" s="328"/>
      <c r="Q733" s="328"/>
      <c r="R733" s="328"/>
      <c r="S733" s="328"/>
      <c r="T733" s="328"/>
      <c r="U733" s="328"/>
      <c r="V733" s="328"/>
    </row>
    <row r="734" ht="15.75" customHeight="1">
      <c r="A734" s="328"/>
      <c r="B734" s="328"/>
      <c r="C734" s="328"/>
      <c r="D734" s="328"/>
      <c r="E734" s="328"/>
      <c r="F734" s="328"/>
      <c r="G734" s="328"/>
      <c r="H734" s="328"/>
      <c r="I734" s="328"/>
      <c r="J734" s="328"/>
      <c r="K734" s="328"/>
      <c r="L734" s="328"/>
      <c r="M734" s="328"/>
      <c r="N734" s="328"/>
      <c r="O734" s="328"/>
      <c r="P734" s="328"/>
      <c r="Q734" s="328"/>
      <c r="R734" s="328"/>
      <c r="S734" s="328"/>
      <c r="T734" s="328"/>
      <c r="U734" s="328"/>
      <c r="V734" s="328"/>
    </row>
    <row r="735" ht="15.75" customHeight="1">
      <c r="A735" s="328"/>
      <c r="B735" s="328"/>
      <c r="C735" s="328"/>
      <c r="D735" s="328"/>
      <c r="E735" s="328"/>
      <c r="F735" s="328"/>
      <c r="G735" s="328"/>
      <c r="H735" s="328"/>
      <c r="I735" s="328"/>
      <c r="J735" s="328"/>
      <c r="K735" s="328"/>
      <c r="L735" s="328"/>
      <c r="M735" s="328"/>
      <c r="N735" s="328"/>
      <c r="O735" s="328"/>
      <c r="P735" s="328"/>
      <c r="Q735" s="328"/>
      <c r="R735" s="328"/>
      <c r="S735" s="328"/>
      <c r="T735" s="328"/>
      <c r="U735" s="328"/>
      <c r="V735" s="328"/>
    </row>
    <row r="736" ht="15.75" customHeight="1">
      <c r="A736" s="328"/>
      <c r="B736" s="328"/>
      <c r="C736" s="328"/>
      <c r="D736" s="328"/>
      <c r="E736" s="328"/>
      <c r="F736" s="328"/>
      <c r="G736" s="328"/>
      <c r="H736" s="328"/>
      <c r="I736" s="328"/>
      <c r="J736" s="328"/>
      <c r="K736" s="328"/>
      <c r="L736" s="328"/>
      <c r="M736" s="328"/>
      <c r="N736" s="328"/>
      <c r="O736" s="328"/>
      <c r="P736" s="328"/>
      <c r="Q736" s="328"/>
      <c r="R736" s="328"/>
      <c r="S736" s="328"/>
      <c r="T736" s="328"/>
      <c r="U736" s="328"/>
      <c r="V736" s="328"/>
    </row>
    <row r="737" ht="15.75" customHeight="1">
      <c r="A737" s="328"/>
      <c r="B737" s="328"/>
      <c r="C737" s="328"/>
      <c r="D737" s="328"/>
      <c r="E737" s="328"/>
      <c r="F737" s="328"/>
      <c r="G737" s="328"/>
      <c r="H737" s="328"/>
      <c r="I737" s="328"/>
      <c r="J737" s="328"/>
      <c r="K737" s="328"/>
      <c r="L737" s="328"/>
      <c r="M737" s="328"/>
      <c r="N737" s="328"/>
      <c r="O737" s="328"/>
      <c r="P737" s="328"/>
      <c r="Q737" s="328"/>
      <c r="R737" s="328"/>
      <c r="S737" s="328"/>
      <c r="T737" s="328"/>
      <c r="U737" s="328"/>
      <c r="V737" s="328"/>
    </row>
    <row r="738" ht="15.75" customHeight="1">
      <c r="A738" s="328"/>
      <c r="B738" s="328"/>
      <c r="C738" s="328"/>
      <c r="D738" s="328"/>
      <c r="E738" s="328"/>
      <c r="F738" s="328"/>
      <c r="G738" s="328"/>
      <c r="H738" s="328"/>
      <c r="I738" s="328"/>
      <c r="J738" s="328"/>
      <c r="K738" s="328"/>
      <c r="L738" s="328"/>
      <c r="M738" s="328"/>
      <c r="N738" s="328"/>
      <c r="O738" s="328"/>
      <c r="P738" s="328"/>
      <c r="Q738" s="328"/>
      <c r="R738" s="328"/>
      <c r="S738" s="328"/>
      <c r="T738" s="328"/>
      <c r="U738" s="328"/>
      <c r="V738" s="328"/>
    </row>
    <row r="739" ht="15.75" customHeight="1">
      <c r="A739" s="328"/>
      <c r="B739" s="328"/>
      <c r="C739" s="328"/>
      <c r="D739" s="328"/>
      <c r="E739" s="328"/>
      <c r="F739" s="328"/>
      <c r="G739" s="328"/>
      <c r="H739" s="328"/>
      <c r="I739" s="328"/>
      <c r="J739" s="328"/>
      <c r="K739" s="328"/>
      <c r="L739" s="328"/>
      <c r="M739" s="328"/>
      <c r="N739" s="328"/>
      <c r="O739" s="328"/>
      <c r="P739" s="328"/>
      <c r="Q739" s="328"/>
      <c r="R739" s="328"/>
      <c r="S739" s="328"/>
      <c r="T739" s="328"/>
      <c r="U739" s="328"/>
      <c r="V739" s="328"/>
    </row>
    <row r="740" ht="15.75" customHeight="1">
      <c r="A740" s="328"/>
      <c r="B740" s="328"/>
      <c r="C740" s="328"/>
      <c r="D740" s="328"/>
      <c r="E740" s="328"/>
      <c r="F740" s="328"/>
      <c r="G740" s="328"/>
      <c r="H740" s="328"/>
      <c r="I740" s="328"/>
      <c r="J740" s="328"/>
      <c r="K740" s="328"/>
      <c r="L740" s="328"/>
      <c r="M740" s="328"/>
      <c r="N740" s="328"/>
      <c r="O740" s="328"/>
      <c r="P740" s="328"/>
      <c r="Q740" s="328"/>
      <c r="R740" s="328"/>
      <c r="S740" s="328"/>
      <c r="T740" s="328"/>
      <c r="U740" s="328"/>
      <c r="V740" s="328"/>
    </row>
    <row r="741" ht="15.75" customHeight="1">
      <c r="A741" s="328"/>
      <c r="B741" s="328"/>
      <c r="C741" s="328"/>
      <c r="D741" s="328"/>
      <c r="E741" s="328"/>
      <c r="F741" s="328"/>
      <c r="G741" s="328"/>
      <c r="H741" s="328"/>
      <c r="I741" s="328"/>
      <c r="J741" s="328"/>
      <c r="K741" s="328"/>
      <c r="L741" s="328"/>
      <c r="M741" s="328"/>
      <c r="N741" s="328"/>
      <c r="O741" s="328"/>
      <c r="P741" s="328"/>
      <c r="Q741" s="328"/>
      <c r="R741" s="328"/>
      <c r="S741" s="328"/>
      <c r="T741" s="328"/>
      <c r="U741" s="328"/>
      <c r="V741" s="328"/>
    </row>
    <row r="742" ht="15.75" customHeight="1">
      <c r="A742" s="328"/>
      <c r="B742" s="328"/>
      <c r="C742" s="328"/>
      <c r="D742" s="328"/>
      <c r="E742" s="328"/>
      <c r="F742" s="328"/>
      <c r="G742" s="328"/>
      <c r="H742" s="328"/>
      <c r="I742" s="328"/>
      <c r="J742" s="328"/>
      <c r="K742" s="328"/>
      <c r="L742" s="328"/>
      <c r="M742" s="328"/>
      <c r="N742" s="328"/>
      <c r="O742" s="328"/>
      <c r="P742" s="328"/>
      <c r="Q742" s="328"/>
      <c r="R742" s="328"/>
      <c r="S742" s="328"/>
      <c r="T742" s="328"/>
      <c r="U742" s="328"/>
      <c r="V742" s="328"/>
    </row>
    <row r="743" ht="15.75" customHeight="1">
      <c r="A743" s="328"/>
      <c r="B743" s="328"/>
      <c r="C743" s="328"/>
      <c r="D743" s="328"/>
      <c r="E743" s="328"/>
      <c r="F743" s="328"/>
      <c r="G743" s="328"/>
      <c r="H743" s="328"/>
      <c r="I743" s="328"/>
      <c r="J743" s="328"/>
      <c r="K743" s="328"/>
      <c r="L743" s="328"/>
      <c r="M743" s="328"/>
      <c r="N743" s="328"/>
      <c r="O743" s="328"/>
      <c r="P743" s="328"/>
      <c r="Q743" s="328"/>
      <c r="R743" s="328"/>
      <c r="S743" s="328"/>
      <c r="T743" s="328"/>
      <c r="U743" s="328"/>
      <c r="V743" s="328"/>
    </row>
    <row r="744" ht="15.75" customHeight="1">
      <c r="A744" s="328"/>
      <c r="B744" s="328"/>
      <c r="C744" s="328"/>
      <c r="D744" s="328"/>
      <c r="E744" s="328"/>
      <c r="F744" s="328"/>
      <c r="G744" s="328"/>
      <c r="H744" s="328"/>
      <c r="I744" s="328"/>
      <c r="J744" s="328"/>
      <c r="K744" s="328"/>
      <c r="L744" s="328"/>
      <c r="M744" s="328"/>
      <c r="N744" s="328"/>
      <c r="O744" s="328"/>
      <c r="P744" s="328"/>
      <c r="Q744" s="328"/>
      <c r="R744" s="328"/>
      <c r="S744" s="328"/>
      <c r="T744" s="328"/>
      <c r="U744" s="328"/>
      <c r="V744" s="328"/>
    </row>
    <row r="745" ht="15.75" customHeight="1">
      <c r="A745" s="328"/>
      <c r="B745" s="328"/>
      <c r="C745" s="328"/>
      <c r="D745" s="328"/>
      <c r="E745" s="328"/>
      <c r="F745" s="328"/>
      <c r="G745" s="328"/>
      <c r="H745" s="328"/>
      <c r="I745" s="328"/>
      <c r="J745" s="328"/>
      <c r="K745" s="328"/>
      <c r="L745" s="328"/>
      <c r="M745" s="328"/>
      <c r="N745" s="328"/>
      <c r="O745" s="328"/>
      <c r="P745" s="328"/>
      <c r="Q745" s="328"/>
      <c r="R745" s="328"/>
      <c r="S745" s="328"/>
      <c r="T745" s="328"/>
      <c r="U745" s="328"/>
      <c r="V745" s="328"/>
    </row>
    <row r="746" ht="15.75" customHeight="1">
      <c r="A746" s="328"/>
      <c r="B746" s="328"/>
      <c r="C746" s="328"/>
      <c r="D746" s="328"/>
      <c r="E746" s="328"/>
      <c r="F746" s="328"/>
      <c r="G746" s="328"/>
      <c r="H746" s="328"/>
      <c r="I746" s="328"/>
      <c r="J746" s="328"/>
      <c r="K746" s="328"/>
      <c r="L746" s="328"/>
      <c r="M746" s="328"/>
      <c r="N746" s="328"/>
      <c r="O746" s="328"/>
      <c r="P746" s="328"/>
      <c r="Q746" s="328"/>
      <c r="R746" s="328"/>
      <c r="S746" s="328"/>
      <c r="T746" s="328"/>
      <c r="U746" s="328"/>
      <c r="V746" s="328"/>
    </row>
    <row r="747" ht="15.75" customHeight="1">
      <c r="A747" s="328"/>
      <c r="B747" s="328"/>
      <c r="C747" s="328"/>
      <c r="D747" s="328"/>
      <c r="E747" s="328"/>
      <c r="F747" s="328"/>
      <c r="G747" s="328"/>
      <c r="H747" s="328"/>
      <c r="I747" s="328"/>
      <c r="J747" s="328"/>
      <c r="K747" s="328"/>
      <c r="L747" s="328"/>
      <c r="M747" s="328"/>
      <c r="N747" s="328"/>
      <c r="O747" s="328"/>
      <c r="P747" s="328"/>
      <c r="Q747" s="328"/>
      <c r="R747" s="328"/>
      <c r="S747" s="328"/>
      <c r="T747" s="328"/>
      <c r="U747" s="328"/>
      <c r="V747" s="328"/>
    </row>
    <row r="748" ht="15.75" customHeight="1">
      <c r="A748" s="328"/>
      <c r="B748" s="328"/>
      <c r="C748" s="328"/>
      <c r="D748" s="328"/>
      <c r="E748" s="328"/>
      <c r="F748" s="328"/>
      <c r="G748" s="328"/>
      <c r="H748" s="328"/>
      <c r="I748" s="328"/>
      <c r="J748" s="328"/>
      <c r="K748" s="328"/>
      <c r="L748" s="328"/>
      <c r="M748" s="328"/>
      <c r="N748" s="328"/>
      <c r="O748" s="328"/>
      <c r="P748" s="328"/>
      <c r="Q748" s="328"/>
      <c r="R748" s="328"/>
      <c r="S748" s="328"/>
      <c r="T748" s="328"/>
      <c r="U748" s="328"/>
      <c r="V748" s="328"/>
    </row>
    <row r="749" ht="15.75" customHeight="1">
      <c r="A749" s="328"/>
      <c r="B749" s="328"/>
      <c r="C749" s="328"/>
      <c r="D749" s="328"/>
      <c r="E749" s="328"/>
      <c r="F749" s="328"/>
      <c r="G749" s="328"/>
      <c r="H749" s="328"/>
      <c r="I749" s="328"/>
      <c r="J749" s="328"/>
      <c r="K749" s="328"/>
      <c r="L749" s="328"/>
      <c r="M749" s="328"/>
      <c r="N749" s="328"/>
      <c r="O749" s="328"/>
      <c r="P749" s="328"/>
      <c r="Q749" s="328"/>
      <c r="R749" s="328"/>
      <c r="S749" s="328"/>
      <c r="T749" s="328"/>
      <c r="U749" s="328"/>
      <c r="V749" s="328"/>
    </row>
    <row r="750" ht="15.75" customHeight="1">
      <c r="A750" s="328"/>
      <c r="B750" s="328"/>
      <c r="C750" s="328"/>
      <c r="D750" s="328"/>
      <c r="E750" s="328"/>
      <c r="F750" s="328"/>
      <c r="G750" s="328"/>
      <c r="H750" s="328"/>
      <c r="I750" s="328"/>
      <c r="J750" s="328"/>
      <c r="K750" s="328"/>
      <c r="L750" s="328"/>
      <c r="M750" s="328"/>
      <c r="N750" s="328"/>
      <c r="O750" s="328"/>
      <c r="P750" s="328"/>
      <c r="Q750" s="328"/>
      <c r="R750" s="328"/>
      <c r="S750" s="328"/>
      <c r="T750" s="328"/>
      <c r="U750" s="328"/>
      <c r="V750" s="328"/>
    </row>
    <row r="751" ht="15.75" customHeight="1">
      <c r="A751" s="328"/>
      <c r="B751" s="328"/>
      <c r="C751" s="328"/>
      <c r="D751" s="328"/>
      <c r="E751" s="328"/>
      <c r="F751" s="328"/>
      <c r="G751" s="328"/>
      <c r="H751" s="328"/>
      <c r="I751" s="328"/>
      <c r="J751" s="328"/>
      <c r="K751" s="328"/>
      <c r="L751" s="328"/>
      <c r="M751" s="328"/>
      <c r="N751" s="328"/>
      <c r="O751" s="328"/>
      <c r="P751" s="328"/>
      <c r="Q751" s="328"/>
      <c r="R751" s="328"/>
      <c r="S751" s="328"/>
      <c r="T751" s="328"/>
      <c r="U751" s="328"/>
      <c r="V751" s="328"/>
    </row>
    <row r="752" ht="15.75" customHeight="1">
      <c r="A752" s="328"/>
      <c r="B752" s="328"/>
      <c r="C752" s="328"/>
      <c r="D752" s="328"/>
      <c r="E752" s="328"/>
      <c r="F752" s="328"/>
      <c r="G752" s="328"/>
      <c r="H752" s="328"/>
      <c r="I752" s="328"/>
      <c r="J752" s="328"/>
      <c r="K752" s="328"/>
      <c r="L752" s="328"/>
      <c r="M752" s="328"/>
      <c r="N752" s="328"/>
      <c r="O752" s="328"/>
      <c r="P752" s="328"/>
      <c r="Q752" s="328"/>
      <c r="R752" s="328"/>
      <c r="S752" s="328"/>
      <c r="T752" s="328"/>
      <c r="U752" s="328"/>
      <c r="V752" s="328"/>
    </row>
    <row r="753" ht="15.75" customHeight="1">
      <c r="A753" s="328"/>
      <c r="B753" s="328"/>
      <c r="C753" s="328"/>
      <c r="D753" s="328"/>
      <c r="E753" s="328"/>
      <c r="F753" s="328"/>
      <c r="G753" s="328"/>
      <c r="H753" s="328"/>
      <c r="I753" s="328"/>
      <c r="J753" s="328"/>
      <c r="K753" s="328"/>
      <c r="L753" s="328"/>
      <c r="M753" s="328"/>
      <c r="N753" s="328"/>
      <c r="O753" s="328"/>
      <c r="P753" s="328"/>
      <c r="Q753" s="328"/>
      <c r="R753" s="328"/>
      <c r="S753" s="328"/>
      <c r="T753" s="328"/>
      <c r="U753" s="328"/>
      <c r="V753" s="328"/>
    </row>
    <row r="754" ht="15.75" customHeight="1">
      <c r="A754" s="328"/>
      <c r="B754" s="328"/>
      <c r="C754" s="328"/>
      <c r="D754" s="328"/>
      <c r="E754" s="328"/>
      <c r="F754" s="328"/>
      <c r="G754" s="328"/>
      <c r="H754" s="328"/>
      <c r="I754" s="328"/>
      <c r="J754" s="328"/>
      <c r="K754" s="328"/>
      <c r="L754" s="328"/>
      <c r="M754" s="328"/>
      <c r="N754" s="328"/>
      <c r="O754" s="328"/>
      <c r="P754" s="328"/>
      <c r="Q754" s="328"/>
      <c r="R754" s="328"/>
      <c r="S754" s="328"/>
      <c r="T754" s="328"/>
      <c r="U754" s="328"/>
      <c r="V754" s="328"/>
    </row>
    <row r="755" ht="15.75" customHeight="1">
      <c r="A755" s="328"/>
      <c r="B755" s="328"/>
      <c r="C755" s="328"/>
      <c r="D755" s="328"/>
      <c r="E755" s="328"/>
      <c r="F755" s="328"/>
      <c r="G755" s="328"/>
      <c r="H755" s="328"/>
      <c r="I755" s="328"/>
      <c r="J755" s="328"/>
      <c r="K755" s="328"/>
      <c r="L755" s="328"/>
      <c r="M755" s="328"/>
      <c r="N755" s="328"/>
      <c r="O755" s="328"/>
      <c r="P755" s="328"/>
      <c r="Q755" s="328"/>
      <c r="R755" s="328"/>
      <c r="S755" s="328"/>
      <c r="T755" s="328"/>
      <c r="U755" s="328"/>
      <c r="V755" s="328"/>
    </row>
    <row r="756" ht="15.75" customHeight="1">
      <c r="A756" s="328"/>
      <c r="B756" s="328"/>
      <c r="C756" s="328"/>
      <c r="D756" s="328"/>
      <c r="E756" s="328"/>
      <c r="F756" s="328"/>
      <c r="G756" s="328"/>
      <c r="H756" s="328"/>
      <c r="I756" s="328"/>
      <c r="J756" s="328"/>
      <c r="K756" s="328"/>
      <c r="L756" s="328"/>
      <c r="M756" s="328"/>
      <c r="N756" s="328"/>
      <c r="O756" s="328"/>
      <c r="P756" s="328"/>
      <c r="Q756" s="328"/>
      <c r="R756" s="328"/>
      <c r="S756" s="328"/>
      <c r="T756" s="328"/>
      <c r="U756" s="328"/>
      <c r="V756" s="328"/>
    </row>
    <row r="757" ht="15.75" customHeight="1">
      <c r="A757" s="328"/>
      <c r="B757" s="328"/>
      <c r="C757" s="328"/>
      <c r="D757" s="328"/>
      <c r="E757" s="328"/>
      <c r="F757" s="328"/>
      <c r="G757" s="328"/>
      <c r="H757" s="328"/>
      <c r="I757" s="328"/>
      <c r="J757" s="328"/>
      <c r="K757" s="328"/>
      <c r="L757" s="328"/>
      <c r="M757" s="328"/>
      <c r="N757" s="328"/>
      <c r="O757" s="328"/>
      <c r="P757" s="328"/>
      <c r="Q757" s="328"/>
      <c r="R757" s="328"/>
      <c r="S757" s="328"/>
      <c r="T757" s="328"/>
      <c r="U757" s="328"/>
      <c r="V757" s="328"/>
    </row>
    <row r="758" ht="15.75" customHeight="1">
      <c r="A758" s="328"/>
      <c r="B758" s="328"/>
      <c r="C758" s="328"/>
      <c r="D758" s="328"/>
      <c r="E758" s="328"/>
      <c r="F758" s="328"/>
      <c r="G758" s="328"/>
      <c r="H758" s="328"/>
      <c r="I758" s="328"/>
      <c r="J758" s="328"/>
      <c r="K758" s="328"/>
      <c r="L758" s="328"/>
      <c r="M758" s="328"/>
      <c r="N758" s="328"/>
      <c r="O758" s="328"/>
      <c r="P758" s="328"/>
      <c r="Q758" s="328"/>
      <c r="R758" s="328"/>
      <c r="S758" s="328"/>
      <c r="T758" s="328"/>
      <c r="U758" s="328"/>
      <c r="V758" s="328"/>
    </row>
    <row r="759" ht="15.75" customHeight="1">
      <c r="A759" s="328"/>
      <c r="B759" s="328"/>
      <c r="C759" s="328"/>
      <c r="D759" s="328"/>
      <c r="E759" s="328"/>
      <c r="F759" s="328"/>
      <c r="G759" s="328"/>
      <c r="H759" s="328"/>
      <c r="I759" s="328"/>
      <c r="J759" s="328"/>
      <c r="K759" s="328"/>
      <c r="L759" s="328"/>
      <c r="M759" s="328"/>
      <c r="N759" s="328"/>
      <c r="O759" s="328"/>
      <c r="P759" s="328"/>
      <c r="Q759" s="328"/>
      <c r="R759" s="328"/>
      <c r="S759" s="328"/>
      <c r="T759" s="328"/>
      <c r="U759" s="328"/>
      <c r="V759" s="328"/>
    </row>
    <row r="760" ht="15.75" customHeight="1">
      <c r="A760" s="328"/>
      <c r="B760" s="328"/>
      <c r="C760" s="328"/>
      <c r="D760" s="328"/>
      <c r="E760" s="328"/>
      <c r="F760" s="328"/>
      <c r="G760" s="328"/>
      <c r="H760" s="328"/>
      <c r="I760" s="328"/>
      <c r="J760" s="328"/>
      <c r="K760" s="328"/>
      <c r="L760" s="328"/>
      <c r="M760" s="328"/>
      <c r="N760" s="328"/>
      <c r="O760" s="328"/>
      <c r="P760" s="328"/>
      <c r="Q760" s="328"/>
      <c r="R760" s="328"/>
      <c r="S760" s="328"/>
      <c r="T760" s="328"/>
      <c r="U760" s="328"/>
      <c r="V760" s="328"/>
    </row>
    <row r="761" ht="15.75" customHeight="1">
      <c r="A761" s="328"/>
      <c r="B761" s="328"/>
      <c r="C761" s="328"/>
      <c r="D761" s="328"/>
      <c r="E761" s="328"/>
      <c r="F761" s="328"/>
      <c r="G761" s="328"/>
      <c r="H761" s="328"/>
      <c r="I761" s="328"/>
      <c r="J761" s="328"/>
      <c r="K761" s="328"/>
      <c r="L761" s="328"/>
      <c r="M761" s="328"/>
      <c r="N761" s="328"/>
      <c r="O761" s="328"/>
      <c r="P761" s="328"/>
      <c r="Q761" s="328"/>
      <c r="R761" s="328"/>
      <c r="S761" s="328"/>
      <c r="T761" s="328"/>
      <c r="U761" s="328"/>
      <c r="V761" s="328"/>
    </row>
    <row r="762" ht="15.75" customHeight="1">
      <c r="A762" s="328"/>
      <c r="B762" s="328"/>
      <c r="C762" s="328"/>
      <c r="D762" s="328"/>
      <c r="E762" s="328"/>
      <c r="F762" s="328"/>
      <c r="G762" s="328"/>
      <c r="H762" s="328"/>
      <c r="I762" s="328"/>
      <c r="J762" s="328"/>
      <c r="K762" s="328"/>
      <c r="L762" s="328"/>
      <c r="M762" s="328"/>
      <c r="N762" s="328"/>
      <c r="O762" s="328"/>
      <c r="P762" s="328"/>
      <c r="Q762" s="328"/>
      <c r="R762" s="328"/>
      <c r="S762" s="328"/>
      <c r="T762" s="328"/>
      <c r="U762" s="328"/>
      <c r="V762" s="328"/>
    </row>
    <row r="763" ht="15.75" customHeight="1">
      <c r="A763" s="328"/>
      <c r="B763" s="328"/>
      <c r="C763" s="328"/>
      <c r="D763" s="328"/>
      <c r="E763" s="328"/>
      <c r="F763" s="328"/>
      <c r="G763" s="328"/>
      <c r="H763" s="328"/>
      <c r="I763" s="328"/>
      <c r="J763" s="328"/>
      <c r="K763" s="328"/>
      <c r="L763" s="328"/>
      <c r="M763" s="328"/>
      <c r="N763" s="328"/>
      <c r="O763" s="328"/>
      <c r="P763" s="328"/>
      <c r="Q763" s="328"/>
      <c r="R763" s="328"/>
      <c r="S763" s="328"/>
      <c r="T763" s="328"/>
      <c r="U763" s="328"/>
      <c r="V763" s="328"/>
    </row>
    <row r="764" ht="15.75" customHeight="1">
      <c r="A764" s="328"/>
      <c r="B764" s="328"/>
      <c r="C764" s="328"/>
      <c r="D764" s="328"/>
      <c r="E764" s="328"/>
      <c r="F764" s="328"/>
      <c r="G764" s="328"/>
      <c r="H764" s="328"/>
      <c r="I764" s="328"/>
      <c r="J764" s="328"/>
      <c r="K764" s="328"/>
      <c r="L764" s="328"/>
      <c r="M764" s="328"/>
      <c r="N764" s="328"/>
      <c r="O764" s="328"/>
      <c r="P764" s="328"/>
      <c r="Q764" s="328"/>
      <c r="R764" s="328"/>
      <c r="S764" s="328"/>
      <c r="T764" s="328"/>
      <c r="U764" s="328"/>
      <c r="V764" s="328"/>
    </row>
    <row r="765" ht="15.75" customHeight="1">
      <c r="A765" s="328"/>
      <c r="B765" s="328"/>
      <c r="C765" s="328"/>
      <c r="D765" s="328"/>
      <c r="E765" s="328"/>
      <c r="F765" s="328"/>
      <c r="G765" s="328"/>
      <c r="H765" s="328"/>
      <c r="I765" s="328"/>
      <c r="J765" s="328"/>
      <c r="K765" s="328"/>
      <c r="L765" s="328"/>
      <c r="M765" s="328"/>
      <c r="N765" s="328"/>
      <c r="O765" s="328"/>
      <c r="P765" s="328"/>
      <c r="Q765" s="328"/>
      <c r="R765" s="328"/>
      <c r="S765" s="328"/>
      <c r="T765" s="328"/>
      <c r="U765" s="328"/>
      <c r="V765" s="328"/>
    </row>
    <row r="766" ht="15.75" customHeight="1">
      <c r="A766" s="328"/>
      <c r="B766" s="328"/>
      <c r="C766" s="328"/>
      <c r="D766" s="328"/>
      <c r="E766" s="328"/>
      <c r="F766" s="328"/>
      <c r="G766" s="328"/>
      <c r="H766" s="328"/>
      <c r="I766" s="328"/>
      <c r="J766" s="328"/>
      <c r="K766" s="328"/>
      <c r="L766" s="328"/>
      <c r="M766" s="328"/>
      <c r="N766" s="328"/>
      <c r="O766" s="328"/>
      <c r="P766" s="328"/>
      <c r="Q766" s="328"/>
      <c r="R766" s="328"/>
      <c r="S766" s="328"/>
      <c r="T766" s="328"/>
      <c r="U766" s="328"/>
      <c r="V766" s="328"/>
    </row>
    <row r="767" ht="15.75" customHeight="1">
      <c r="A767" s="328"/>
      <c r="B767" s="328"/>
      <c r="C767" s="328"/>
      <c r="D767" s="328"/>
      <c r="E767" s="328"/>
      <c r="F767" s="328"/>
      <c r="G767" s="328"/>
      <c r="H767" s="328"/>
      <c r="I767" s="328"/>
      <c r="J767" s="328"/>
      <c r="K767" s="328"/>
      <c r="L767" s="328"/>
      <c r="M767" s="328"/>
      <c r="N767" s="328"/>
      <c r="O767" s="328"/>
      <c r="P767" s="328"/>
      <c r="Q767" s="328"/>
      <c r="R767" s="328"/>
      <c r="S767" s="328"/>
      <c r="T767" s="328"/>
      <c r="U767" s="328"/>
      <c r="V767" s="328"/>
    </row>
    <row r="768" ht="15.75" customHeight="1">
      <c r="A768" s="328"/>
      <c r="B768" s="328"/>
      <c r="C768" s="328"/>
      <c r="D768" s="328"/>
      <c r="E768" s="328"/>
      <c r="F768" s="328"/>
      <c r="G768" s="328"/>
      <c r="H768" s="328"/>
      <c r="I768" s="328"/>
      <c r="J768" s="328"/>
      <c r="K768" s="328"/>
      <c r="L768" s="328"/>
      <c r="M768" s="328"/>
      <c r="N768" s="328"/>
      <c r="O768" s="328"/>
      <c r="P768" s="328"/>
      <c r="Q768" s="328"/>
      <c r="R768" s="328"/>
      <c r="S768" s="328"/>
      <c r="T768" s="328"/>
      <c r="U768" s="328"/>
      <c r="V768" s="328"/>
    </row>
    <row r="769" ht="15.75" customHeight="1">
      <c r="A769" s="328"/>
      <c r="B769" s="328"/>
      <c r="C769" s="328"/>
      <c r="D769" s="328"/>
      <c r="E769" s="328"/>
      <c r="F769" s="328"/>
      <c r="G769" s="328"/>
      <c r="H769" s="328"/>
      <c r="I769" s="328"/>
      <c r="J769" s="328"/>
      <c r="K769" s="328"/>
      <c r="L769" s="328"/>
      <c r="M769" s="328"/>
      <c r="N769" s="328"/>
      <c r="O769" s="328"/>
      <c r="P769" s="328"/>
      <c r="Q769" s="328"/>
      <c r="R769" s="328"/>
      <c r="S769" s="328"/>
      <c r="T769" s="328"/>
      <c r="U769" s="328"/>
      <c r="V769" s="328"/>
    </row>
    <row r="770" ht="15.75" customHeight="1">
      <c r="A770" s="328"/>
      <c r="B770" s="328"/>
      <c r="C770" s="328"/>
      <c r="D770" s="328"/>
      <c r="E770" s="328"/>
      <c r="F770" s="328"/>
      <c r="G770" s="328"/>
      <c r="H770" s="328"/>
      <c r="I770" s="328"/>
      <c r="J770" s="328"/>
      <c r="K770" s="328"/>
      <c r="L770" s="328"/>
      <c r="M770" s="328"/>
      <c r="N770" s="328"/>
      <c r="O770" s="328"/>
      <c r="P770" s="328"/>
      <c r="Q770" s="328"/>
      <c r="R770" s="328"/>
      <c r="S770" s="328"/>
      <c r="T770" s="328"/>
      <c r="U770" s="328"/>
      <c r="V770" s="328"/>
    </row>
    <row r="771" ht="15.75" customHeight="1">
      <c r="A771" s="328"/>
      <c r="B771" s="328"/>
      <c r="C771" s="328"/>
      <c r="D771" s="328"/>
      <c r="E771" s="328"/>
      <c r="F771" s="328"/>
      <c r="G771" s="328"/>
      <c r="H771" s="328"/>
      <c r="I771" s="328"/>
      <c r="J771" s="328"/>
      <c r="K771" s="328"/>
      <c r="L771" s="328"/>
      <c r="M771" s="328"/>
      <c r="N771" s="328"/>
      <c r="O771" s="328"/>
      <c r="P771" s="328"/>
      <c r="Q771" s="328"/>
      <c r="R771" s="328"/>
      <c r="S771" s="328"/>
      <c r="T771" s="328"/>
      <c r="U771" s="328"/>
      <c r="V771" s="328"/>
    </row>
    <row r="772" ht="15.75" customHeight="1">
      <c r="A772" s="328"/>
      <c r="B772" s="328"/>
      <c r="C772" s="328"/>
      <c r="D772" s="328"/>
      <c r="E772" s="328"/>
      <c r="F772" s="328"/>
      <c r="G772" s="328"/>
      <c r="H772" s="328"/>
      <c r="I772" s="328"/>
      <c r="J772" s="328"/>
      <c r="K772" s="328"/>
      <c r="L772" s="328"/>
      <c r="M772" s="328"/>
      <c r="N772" s="328"/>
      <c r="O772" s="328"/>
      <c r="P772" s="328"/>
      <c r="Q772" s="328"/>
      <c r="R772" s="328"/>
      <c r="S772" s="328"/>
      <c r="T772" s="328"/>
      <c r="U772" s="328"/>
      <c r="V772" s="328"/>
    </row>
    <row r="773" ht="15.75" customHeight="1">
      <c r="A773" s="328"/>
      <c r="B773" s="328"/>
      <c r="C773" s="328"/>
      <c r="D773" s="328"/>
      <c r="E773" s="328"/>
      <c r="F773" s="328"/>
      <c r="G773" s="328"/>
      <c r="H773" s="328"/>
      <c r="I773" s="328"/>
      <c r="J773" s="328"/>
      <c r="K773" s="328"/>
      <c r="L773" s="328"/>
      <c r="M773" s="328"/>
      <c r="N773" s="328"/>
      <c r="O773" s="328"/>
      <c r="P773" s="328"/>
      <c r="Q773" s="328"/>
      <c r="R773" s="328"/>
      <c r="S773" s="328"/>
      <c r="T773" s="328"/>
      <c r="U773" s="328"/>
      <c r="V773" s="328"/>
    </row>
    <row r="774" ht="15.75" customHeight="1">
      <c r="A774" s="328"/>
      <c r="B774" s="328"/>
      <c r="C774" s="328"/>
      <c r="D774" s="328"/>
      <c r="E774" s="328"/>
      <c r="F774" s="328"/>
      <c r="G774" s="328"/>
      <c r="H774" s="328"/>
      <c r="I774" s="328"/>
      <c r="J774" s="328"/>
      <c r="K774" s="328"/>
      <c r="L774" s="328"/>
      <c r="M774" s="328"/>
      <c r="N774" s="328"/>
      <c r="O774" s="328"/>
      <c r="P774" s="328"/>
      <c r="Q774" s="328"/>
      <c r="R774" s="328"/>
      <c r="S774" s="328"/>
      <c r="T774" s="328"/>
      <c r="U774" s="328"/>
      <c r="V774" s="328"/>
    </row>
    <row r="775" ht="15.75" customHeight="1">
      <c r="A775" s="328"/>
      <c r="B775" s="328"/>
      <c r="C775" s="328"/>
      <c r="D775" s="328"/>
      <c r="E775" s="328"/>
      <c r="F775" s="328"/>
      <c r="G775" s="328"/>
      <c r="H775" s="328"/>
      <c r="I775" s="328"/>
      <c r="J775" s="328"/>
      <c r="K775" s="328"/>
      <c r="L775" s="328"/>
      <c r="M775" s="328"/>
      <c r="N775" s="328"/>
      <c r="O775" s="328"/>
      <c r="P775" s="328"/>
      <c r="Q775" s="328"/>
      <c r="R775" s="328"/>
      <c r="S775" s="328"/>
      <c r="T775" s="328"/>
      <c r="U775" s="328"/>
      <c r="V775" s="328"/>
    </row>
    <row r="776" ht="15.75" customHeight="1">
      <c r="A776" s="328"/>
      <c r="B776" s="328"/>
      <c r="C776" s="328"/>
      <c r="D776" s="328"/>
      <c r="E776" s="328"/>
      <c r="F776" s="328"/>
      <c r="G776" s="328"/>
      <c r="H776" s="328"/>
      <c r="I776" s="328"/>
      <c r="J776" s="328"/>
      <c r="K776" s="328"/>
      <c r="L776" s="328"/>
      <c r="M776" s="328"/>
      <c r="N776" s="328"/>
      <c r="O776" s="328"/>
      <c r="P776" s="328"/>
      <c r="Q776" s="328"/>
      <c r="R776" s="328"/>
      <c r="S776" s="328"/>
      <c r="T776" s="328"/>
      <c r="U776" s="328"/>
      <c r="V776" s="328"/>
    </row>
    <row r="777" ht="15.75" customHeight="1">
      <c r="A777" s="328"/>
      <c r="B777" s="328"/>
      <c r="C777" s="328"/>
      <c r="D777" s="328"/>
      <c r="E777" s="328"/>
      <c r="F777" s="328"/>
      <c r="G777" s="328"/>
      <c r="H777" s="328"/>
      <c r="I777" s="328"/>
      <c r="J777" s="328"/>
      <c r="K777" s="328"/>
      <c r="L777" s="328"/>
      <c r="M777" s="328"/>
      <c r="N777" s="328"/>
      <c r="O777" s="328"/>
      <c r="P777" s="328"/>
      <c r="Q777" s="328"/>
      <c r="R777" s="328"/>
      <c r="S777" s="328"/>
      <c r="T777" s="328"/>
      <c r="U777" s="328"/>
      <c r="V777" s="328"/>
    </row>
    <row r="778" ht="15.75" customHeight="1">
      <c r="A778" s="328"/>
      <c r="B778" s="328"/>
      <c r="C778" s="328"/>
      <c r="D778" s="328"/>
      <c r="E778" s="328"/>
      <c r="F778" s="328"/>
      <c r="G778" s="328"/>
      <c r="H778" s="328"/>
      <c r="I778" s="328"/>
      <c r="J778" s="328"/>
      <c r="K778" s="328"/>
      <c r="L778" s="328"/>
      <c r="M778" s="328"/>
      <c r="N778" s="328"/>
      <c r="O778" s="328"/>
      <c r="P778" s="328"/>
      <c r="Q778" s="328"/>
      <c r="R778" s="328"/>
      <c r="S778" s="328"/>
      <c r="T778" s="328"/>
      <c r="U778" s="328"/>
      <c r="V778" s="328"/>
    </row>
    <row r="779" ht="15.75" customHeight="1">
      <c r="A779" s="328"/>
      <c r="B779" s="328"/>
      <c r="C779" s="328"/>
      <c r="D779" s="328"/>
      <c r="E779" s="328"/>
      <c r="F779" s="328"/>
      <c r="G779" s="328"/>
      <c r="H779" s="328"/>
      <c r="I779" s="328"/>
      <c r="J779" s="328"/>
      <c r="K779" s="328"/>
      <c r="L779" s="328"/>
      <c r="M779" s="328"/>
      <c r="N779" s="328"/>
      <c r="O779" s="328"/>
      <c r="P779" s="328"/>
      <c r="Q779" s="328"/>
      <c r="R779" s="328"/>
      <c r="S779" s="328"/>
      <c r="T779" s="328"/>
      <c r="U779" s="328"/>
      <c r="V779" s="328"/>
    </row>
    <row r="780" ht="15.75" customHeight="1">
      <c r="A780" s="328"/>
      <c r="B780" s="328"/>
      <c r="C780" s="328"/>
      <c r="D780" s="328"/>
      <c r="E780" s="328"/>
      <c r="F780" s="328"/>
      <c r="G780" s="328"/>
      <c r="H780" s="328"/>
      <c r="I780" s="328"/>
      <c r="J780" s="328"/>
      <c r="K780" s="328"/>
      <c r="L780" s="328"/>
      <c r="M780" s="328"/>
      <c r="N780" s="328"/>
      <c r="O780" s="328"/>
      <c r="P780" s="328"/>
      <c r="Q780" s="328"/>
      <c r="R780" s="328"/>
      <c r="S780" s="328"/>
      <c r="T780" s="328"/>
      <c r="U780" s="328"/>
      <c r="V780" s="328"/>
    </row>
    <row r="781" ht="15.75" customHeight="1">
      <c r="A781" s="328"/>
      <c r="B781" s="328"/>
      <c r="C781" s="328"/>
      <c r="D781" s="328"/>
      <c r="E781" s="328"/>
      <c r="F781" s="328"/>
      <c r="G781" s="328"/>
      <c r="H781" s="328"/>
      <c r="I781" s="328"/>
      <c r="J781" s="328"/>
      <c r="K781" s="328"/>
      <c r="L781" s="328"/>
      <c r="M781" s="328"/>
      <c r="N781" s="328"/>
      <c r="O781" s="328"/>
      <c r="P781" s="328"/>
      <c r="Q781" s="328"/>
      <c r="R781" s="328"/>
      <c r="S781" s="328"/>
      <c r="T781" s="328"/>
      <c r="U781" s="328"/>
      <c r="V781" s="328"/>
    </row>
    <row r="782" ht="15.75" customHeight="1">
      <c r="A782" s="328"/>
      <c r="B782" s="328"/>
      <c r="C782" s="328"/>
      <c r="D782" s="328"/>
      <c r="E782" s="328"/>
      <c r="F782" s="328"/>
      <c r="G782" s="328"/>
      <c r="H782" s="328"/>
      <c r="I782" s="328"/>
      <c r="J782" s="328"/>
      <c r="K782" s="328"/>
      <c r="L782" s="328"/>
      <c r="M782" s="328"/>
      <c r="N782" s="328"/>
      <c r="O782" s="328"/>
      <c r="P782" s="328"/>
      <c r="Q782" s="328"/>
      <c r="R782" s="328"/>
      <c r="S782" s="328"/>
      <c r="T782" s="328"/>
      <c r="U782" s="328"/>
      <c r="V782" s="328"/>
    </row>
    <row r="783" ht="15.75" customHeight="1">
      <c r="A783" s="328"/>
      <c r="B783" s="328"/>
      <c r="C783" s="328"/>
      <c r="D783" s="328"/>
      <c r="E783" s="328"/>
      <c r="F783" s="328"/>
      <c r="G783" s="328"/>
      <c r="H783" s="328"/>
      <c r="I783" s="328"/>
      <c r="J783" s="328"/>
      <c r="K783" s="328"/>
      <c r="L783" s="328"/>
      <c r="M783" s="328"/>
      <c r="N783" s="328"/>
      <c r="O783" s="328"/>
      <c r="P783" s="328"/>
      <c r="Q783" s="328"/>
      <c r="R783" s="328"/>
      <c r="S783" s="328"/>
      <c r="T783" s="328"/>
      <c r="U783" s="328"/>
      <c r="V783" s="328"/>
    </row>
    <row r="784" ht="15.75" customHeight="1">
      <c r="A784" s="328"/>
      <c r="B784" s="328"/>
      <c r="C784" s="328"/>
      <c r="D784" s="328"/>
      <c r="E784" s="328"/>
      <c r="F784" s="328"/>
      <c r="G784" s="328"/>
      <c r="H784" s="328"/>
      <c r="I784" s="328"/>
      <c r="J784" s="328"/>
      <c r="K784" s="328"/>
      <c r="L784" s="328"/>
      <c r="M784" s="328"/>
      <c r="N784" s="328"/>
      <c r="O784" s="328"/>
      <c r="P784" s="328"/>
      <c r="Q784" s="328"/>
      <c r="R784" s="328"/>
      <c r="S784" s="328"/>
      <c r="T784" s="328"/>
      <c r="U784" s="328"/>
      <c r="V784" s="328"/>
    </row>
    <row r="785" ht="15.75" customHeight="1">
      <c r="A785" s="328"/>
      <c r="B785" s="328"/>
      <c r="C785" s="328"/>
      <c r="D785" s="328"/>
      <c r="E785" s="328"/>
      <c r="F785" s="328"/>
      <c r="G785" s="328"/>
      <c r="H785" s="328"/>
      <c r="I785" s="328"/>
      <c r="J785" s="328"/>
      <c r="K785" s="328"/>
      <c r="L785" s="328"/>
      <c r="M785" s="328"/>
      <c r="N785" s="328"/>
      <c r="O785" s="328"/>
      <c r="P785" s="328"/>
      <c r="Q785" s="328"/>
      <c r="R785" s="328"/>
      <c r="S785" s="328"/>
      <c r="T785" s="328"/>
      <c r="U785" s="328"/>
      <c r="V785" s="328"/>
    </row>
    <row r="786" ht="15.75" customHeight="1">
      <c r="A786" s="328"/>
      <c r="B786" s="328"/>
      <c r="C786" s="328"/>
      <c r="D786" s="328"/>
      <c r="E786" s="328"/>
      <c r="F786" s="328"/>
      <c r="G786" s="328"/>
      <c r="H786" s="328"/>
      <c r="I786" s="328"/>
      <c r="J786" s="328"/>
      <c r="K786" s="328"/>
      <c r="L786" s="328"/>
      <c r="M786" s="328"/>
      <c r="N786" s="328"/>
      <c r="O786" s="328"/>
      <c r="P786" s="328"/>
      <c r="Q786" s="328"/>
      <c r="R786" s="328"/>
      <c r="S786" s="328"/>
      <c r="T786" s="328"/>
      <c r="U786" s="328"/>
      <c r="V786" s="328"/>
    </row>
    <row r="787" ht="15.75" customHeight="1">
      <c r="A787" s="328"/>
      <c r="B787" s="328"/>
      <c r="C787" s="328"/>
      <c r="D787" s="328"/>
      <c r="E787" s="328"/>
      <c r="F787" s="328"/>
      <c r="G787" s="328"/>
      <c r="H787" s="328"/>
      <c r="I787" s="328"/>
      <c r="J787" s="328"/>
      <c r="K787" s="328"/>
      <c r="L787" s="328"/>
      <c r="M787" s="328"/>
      <c r="N787" s="328"/>
      <c r="O787" s="328"/>
      <c r="P787" s="328"/>
      <c r="Q787" s="328"/>
      <c r="R787" s="328"/>
      <c r="S787" s="328"/>
      <c r="T787" s="328"/>
      <c r="U787" s="328"/>
      <c r="V787" s="328"/>
    </row>
    <row r="788" ht="15.75" customHeight="1">
      <c r="A788" s="328"/>
      <c r="B788" s="328"/>
      <c r="C788" s="328"/>
      <c r="D788" s="328"/>
      <c r="E788" s="328"/>
      <c r="F788" s="328"/>
      <c r="G788" s="328"/>
      <c r="H788" s="328"/>
      <c r="I788" s="328"/>
      <c r="J788" s="328"/>
      <c r="K788" s="328"/>
      <c r="L788" s="328"/>
      <c r="M788" s="328"/>
      <c r="N788" s="328"/>
      <c r="O788" s="328"/>
      <c r="P788" s="328"/>
      <c r="Q788" s="328"/>
      <c r="R788" s="328"/>
      <c r="S788" s="328"/>
      <c r="T788" s="328"/>
      <c r="U788" s="328"/>
      <c r="V788" s="328"/>
    </row>
    <row r="789" ht="15.75" customHeight="1">
      <c r="A789" s="328"/>
      <c r="B789" s="328"/>
      <c r="C789" s="328"/>
      <c r="D789" s="328"/>
      <c r="E789" s="328"/>
      <c r="F789" s="328"/>
      <c r="G789" s="328"/>
      <c r="H789" s="328"/>
      <c r="I789" s="328"/>
      <c r="J789" s="328"/>
      <c r="K789" s="328"/>
      <c r="L789" s="328"/>
      <c r="M789" s="328"/>
      <c r="N789" s="328"/>
      <c r="O789" s="328"/>
      <c r="P789" s="328"/>
      <c r="Q789" s="328"/>
      <c r="R789" s="328"/>
      <c r="S789" s="328"/>
      <c r="T789" s="328"/>
      <c r="U789" s="328"/>
      <c r="V789" s="328"/>
    </row>
    <row r="790" ht="15.75" customHeight="1">
      <c r="A790" s="328"/>
      <c r="B790" s="328"/>
      <c r="C790" s="328"/>
      <c r="D790" s="328"/>
      <c r="E790" s="328"/>
      <c r="F790" s="328"/>
      <c r="G790" s="328"/>
      <c r="H790" s="328"/>
      <c r="I790" s="328"/>
      <c r="J790" s="328"/>
      <c r="K790" s="328"/>
      <c r="L790" s="328"/>
      <c r="M790" s="328"/>
      <c r="N790" s="328"/>
      <c r="O790" s="328"/>
      <c r="P790" s="328"/>
      <c r="Q790" s="328"/>
      <c r="R790" s="328"/>
      <c r="S790" s="328"/>
      <c r="T790" s="328"/>
      <c r="U790" s="328"/>
      <c r="V790" s="328"/>
    </row>
    <row r="791" ht="15.75" customHeight="1">
      <c r="A791" s="328"/>
      <c r="B791" s="328"/>
      <c r="C791" s="328"/>
      <c r="D791" s="328"/>
      <c r="E791" s="328"/>
      <c r="F791" s="328"/>
      <c r="G791" s="328"/>
      <c r="H791" s="328"/>
      <c r="I791" s="328"/>
      <c r="J791" s="328"/>
      <c r="K791" s="328"/>
      <c r="L791" s="328"/>
      <c r="M791" s="328"/>
      <c r="N791" s="328"/>
      <c r="O791" s="328"/>
      <c r="P791" s="328"/>
      <c r="Q791" s="328"/>
      <c r="R791" s="328"/>
      <c r="S791" s="328"/>
      <c r="T791" s="328"/>
      <c r="U791" s="328"/>
      <c r="V791" s="328"/>
    </row>
    <row r="792" ht="15.75" customHeight="1">
      <c r="A792" s="328"/>
      <c r="B792" s="328"/>
      <c r="C792" s="328"/>
      <c r="D792" s="328"/>
      <c r="E792" s="328"/>
      <c r="F792" s="328"/>
      <c r="G792" s="328"/>
      <c r="H792" s="328"/>
      <c r="I792" s="328"/>
      <c r="J792" s="328"/>
      <c r="K792" s="328"/>
      <c r="L792" s="328"/>
      <c r="M792" s="328"/>
      <c r="N792" s="328"/>
      <c r="O792" s="328"/>
      <c r="P792" s="328"/>
      <c r="Q792" s="328"/>
      <c r="R792" s="328"/>
      <c r="S792" s="328"/>
      <c r="T792" s="328"/>
      <c r="U792" s="328"/>
      <c r="V792" s="328"/>
    </row>
    <row r="793" ht="15.75" customHeight="1">
      <c r="A793" s="328"/>
      <c r="B793" s="328"/>
      <c r="C793" s="328"/>
      <c r="D793" s="328"/>
      <c r="E793" s="328"/>
      <c r="F793" s="328"/>
      <c r="G793" s="328"/>
      <c r="H793" s="328"/>
      <c r="I793" s="328"/>
      <c r="J793" s="328"/>
      <c r="K793" s="328"/>
      <c r="L793" s="328"/>
      <c r="M793" s="328"/>
      <c r="N793" s="328"/>
      <c r="O793" s="328"/>
      <c r="P793" s="328"/>
      <c r="Q793" s="328"/>
      <c r="R793" s="328"/>
      <c r="S793" s="328"/>
      <c r="T793" s="328"/>
      <c r="U793" s="328"/>
      <c r="V793" s="328"/>
    </row>
    <row r="794" ht="15.75" customHeight="1">
      <c r="A794" s="328"/>
      <c r="B794" s="328"/>
      <c r="C794" s="328"/>
      <c r="D794" s="328"/>
      <c r="E794" s="328"/>
      <c r="F794" s="328"/>
      <c r="G794" s="328"/>
      <c r="H794" s="328"/>
      <c r="I794" s="328"/>
      <c r="J794" s="328"/>
      <c r="K794" s="328"/>
      <c r="L794" s="328"/>
      <c r="M794" s="328"/>
      <c r="N794" s="328"/>
      <c r="O794" s="328"/>
      <c r="P794" s="328"/>
      <c r="Q794" s="328"/>
      <c r="R794" s="328"/>
      <c r="S794" s="328"/>
      <c r="T794" s="328"/>
      <c r="U794" s="328"/>
      <c r="V794" s="328"/>
    </row>
    <row r="795" ht="15.75" customHeight="1">
      <c r="A795" s="328"/>
      <c r="B795" s="328"/>
      <c r="C795" s="328"/>
      <c r="D795" s="328"/>
      <c r="E795" s="328"/>
      <c r="F795" s="328"/>
      <c r="G795" s="328"/>
      <c r="H795" s="328"/>
      <c r="I795" s="328"/>
      <c r="J795" s="328"/>
      <c r="K795" s="328"/>
      <c r="L795" s="328"/>
      <c r="M795" s="328"/>
      <c r="N795" s="328"/>
      <c r="O795" s="328"/>
      <c r="P795" s="328"/>
      <c r="Q795" s="328"/>
      <c r="R795" s="328"/>
      <c r="S795" s="328"/>
      <c r="T795" s="328"/>
      <c r="U795" s="328"/>
      <c r="V795" s="328"/>
    </row>
    <row r="796" ht="15.75" customHeight="1">
      <c r="A796" s="328"/>
      <c r="B796" s="328"/>
      <c r="C796" s="328"/>
      <c r="D796" s="328"/>
      <c r="E796" s="328"/>
      <c r="F796" s="328"/>
      <c r="G796" s="328"/>
      <c r="H796" s="328"/>
      <c r="I796" s="328"/>
      <c r="J796" s="328"/>
      <c r="K796" s="328"/>
      <c r="L796" s="328"/>
      <c r="M796" s="328"/>
      <c r="N796" s="328"/>
      <c r="O796" s="328"/>
      <c r="P796" s="328"/>
      <c r="Q796" s="328"/>
      <c r="R796" s="328"/>
      <c r="S796" s="328"/>
      <c r="T796" s="328"/>
      <c r="U796" s="328"/>
      <c r="V796" s="328"/>
    </row>
    <row r="797" ht="15.75" customHeight="1">
      <c r="A797" s="328"/>
      <c r="B797" s="328"/>
      <c r="C797" s="328"/>
      <c r="D797" s="328"/>
      <c r="E797" s="328"/>
      <c r="F797" s="328"/>
      <c r="G797" s="328"/>
      <c r="H797" s="328"/>
      <c r="I797" s="328"/>
      <c r="J797" s="328"/>
      <c r="K797" s="328"/>
      <c r="L797" s="328"/>
      <c r="M797" s="328"/>
      <c r="N797" s="328"/>
      <c r="O797" s="328"/>
      <c r="P797" s="328"/>
      <c r="Q797" s="328"/>
      <c r="R797" s="328"/>
      <c r="S797" s="328"/>
      <c r="T797" s="328"/>
      <c r="U797" s="328"/>
      <c r="V797" s="328"/>
    </row>
    <row r="798" ht="15.75" customHeight="1">
      <c r="A798" s="328"/>
      <c r="B798" s="328"/>
      <c r="C798" s="328"/>
      <c r="D798" s="328"/>
      <c r="E798" s="328"/>
      <c r="F798" s="328"/>
      <c r="G798" s="328"/>
      <c r="H798" s="328"/>
      <c r="I798" s="328"/>
      <c r="J798" s="328"/>
      <c r="K798" s="328"/>
      <c r="L798" s="328"/>
      <c r="M798" s="328"/>
      <c r="N798" s="328"/>
      <c r="O798" s="328"/>
      <c r="P798" s="328"/>
      <c r="Q798" s="328"/>
      <c r="R798" s="328"/>
      <c r="S798" s="328"/>
      <c r="T798" s="328"/>
      <c r="U798" s="328"/>
      <c r="V798" s="328"/>
    </row>
    <row r="799" ht="15.75" customHeight="1">
      <c r="A799" s="328"/>
      <c r="B799" s="328"/>
      <c r="C799" s="328"/>
      <c r="D799" s="328"/>
      <c r="E799" s="328"/>
      <c r="F799" s="328"/>
      <c r="G799" s="328"/>
      <c r="H799" s="328"/>
      <c r="I799" s="328"/>
      <c r="J799" s="328"/>
      <c r="K799" s="328"/>
      <c r="L799" s="328"/>
      <c r="M799" s="328"/>
      <c r="N799" s="328"/>
      <c r="O799" s="328"/>
      <c r="P799" s="328"/>
      <c r="Q799" s="328"/>
      <c r="R799" s="328"/>
      <c r="S799" s="328"/>
      <c r="T799" s="328"/>
      <c r="U799" s="328"/>
      <c r="V799" s="328"/>
    </row>
    <row r="800" ht="15.75" customHeight="1">
      <c r="A800" s="328"/>
      <c r="B800" s="328"/>
      <c r="C800" s="328"/>
      <c r="D800" s="328"/>
      <c r="E800" s="328"/>
      <c r="F800" s="328"/>
      <c r="G800" s="328"/>
      <c r="H800" s="328"/>
      <c r="I800" s="328"/>
      <c r="J800" s="328"/>
      <c r="K800" s="328"/>
      <c r="L800" s="328"/>
      <c r="M800" s="328"/>
      <c r="N800" s="328"/>
      <c r="O800" s="328"/>
      <c r="P800" s="328"/>
      <c r="Q800" s="328"/>
      <c r="R800" s="328"/>
      <c r="S800" s="328"/>
      <c r="T800" s="328"/>
      <c r="U800" s="328"/>
      <c r="V800" s="328"/>
    </row>
    <row r="801" ht="15.75" customHeight="1">
      <c r="A801" s="328"/>
      <c r="B801" s="328"/>
      <c r="C801" s="328"/>
      <c r="D801" s="328"/>
      <c r="E801" s="328"/>
      <c r="F801" s="328"/>
      <c r="G801" s="328"/>
      <c r="H801" s="328"/>
      <c r="I801" s="328"/>
      <c r="J801" s="328"/>
      <c r="K801" s="328"/>
      <c r="L801" s="328"/>
      <c r="M801" s="328"/>
      <c r="N801" s="328"/>
      <c r="O801" s="328"/>
      <c r="P801" s="328"/>
      <c r="Q801" s="328"/>
      <c r="R801" s="328"/>
      <c r="S801" s="328"/>
      <c r="T801" s="328"/>
      <c r="U801" s="328"/>
      <c r="V801" s="328"/>
    </row>
    <row r="802" ht="15.75" customHeight="1">
      <c r="A802" s="328"/>
      <c r="B802" s="328"/>
      <c r="C802" s="328"/>
      <c r="D802" s="328"/>
      <c r="E802" s="328"/>
      <c r="F802" s="328"/>
      <c r="G802" s="328"/>
      <c r="H802" s="328"/>
      <c r="I802" s="328"/>
      <c r="J802" s="328"/>
      <c r="K802" s="328"/>
      <c r="L802" s="328"/>
      <c r="M802" s="328"/>
      <c r="N802" s="328"/>
      <c r="O802" s="328"/>
      <c r="P802" s="328"/>
      <c r="Q802" s="328"/>
      <c r="R802" s="328"/>
      <c r="S802" s="328"/>
      <c r="T802" s="328"/>
      <c r="U802" s="328"/>
      <c r="V802" s="328"/>
    </row>
    <row r="803" ht="15.75" customHeight="1">
      <c r="A803" s="328"/>
      <c r="B803" s="328"/>
      <c r="C803" s="328"/>
      <c r="D803" s="328"/>
      <c r="E803" s="328"/>
      <c r="F803" s="328"/>
      <c r="G803" s="328"/>
      <c r="H803" s="328"/>
      <c r="I803" s="328"/>
      <c r="J803" s="328"/>
      <c r="K803" s="328"/>
      <c r="L803" s="328"/>
      <c r="M803" s="328"/>
      <c r="N803" s="328"/>
      <c r="O803" s="328"/>
      <c r="P803" s="328"/>
      <c r="Q803" s="328"/>
      <c r="R803" s="328"/>
      <c r="S803" s="328"/>
      <c r="T803" s="328"/>
      <c r="U803" s="328"/>
      <c r="V803" s="328"/>
    </row>
    <row r="804" ht="15.75" customHeight="1">
      <c r="A804" s="328"/>
      <c r="B804" s="328"/>
      <c r="C804" s="328"/>
      <c r="D804" s="328"/>
      <c r="E804" s="328"/>
      <c r="F804" s="328"/>
      <c r="G804" s="328"/>
      <c r="H804" s="328"/>
      <c r="I804" s="328"/>
      <c r="J804" s="328"/>
      <c r="K804" s="328"/>
      <c r="L804" s="328"/>
      <c r="M804" s="328"/>
      <c r="N804" s="328"/>
      <c r="O804" s="328"/>
      <c r="P804" s="328"/>
      <c r="Q804" s="328"/>
      <c r="R804" s="328"/>
      <c r="S804" s="328"/>
      <c r="T804" s="328"/>
      <c r="U804" s="328"/>
      <c r="V804" s="328"/>
    </row>
    <row r="805" ht="15.75" customHeight="1">
      <c r="A805" s="328"/>
      <c r="B805" s="328"/>
      <c r="C805" s="328"/>
      <c r="D805" s="328"/>
      <c r="E805" s="328"/>
      <c r="F805" s="328"/>
      <c r="G805" s="328"/>
      <c r="H805" s="328"/>
      <c r="I805" s="328"/>
      <c r="J805" s="328"/>
      <c r="K805" s="328"/>
      <c r="L805" s="328"/>
      <c r="M805" s="328"/>
      <c r="N805" s="328"/>
      <c r="O805" s="328"/>
      <c r="P805" s="328"/>
      <c r="Q805" s="328"/>
      <c r="R805" s="328"/>
      <c r="S805" s="328"/>
      <c r="T805" s="328"/>
      <c r="U805" s="328"/>
      <c r="V805" s="328"/>
    </row>
    <row r="806" ht="15.75" customHeight="1">
      <c r="A806" s="328"/>
      <c r="B806" s="328"/>
      <c r="C806" s="328"/>
      <c r="D806" s="328"/>
      <c r="E806" s="328"/>
      <c r="F806" s="328"/>
      <c r="G806" s="328"/>
      <c r="H806" s="328"/>
      <c r="I806" s="328"/>
      <c r="J806" s="328"/>
      <c r="K806" s="328"/>
      <c r="L806" s="328"/>
      <c r="M806" s="328"/>
      <c r="N806" s="328"/>
      <c r="O806" s="328"/>
      <c r="P806" s="328"/>
      <c r="Q806" s="328"/>
      <c r="R806" s="328"/>
      <c r="S806" s="328"/>
      <c r="T806" s="328"/>
      <c r="U806" s="328"/>
      <c r="V806" s="328"/>
    </row>
    <row r="807" ht="15.75" customHeight="1">
      <c r="A807" s="328"/>
      <c r="B807" s="328"/>
      <c r="C807" s="328"/>
      <c r="D807" s="328"/>
      <c r="E807" s="328"/>
      <c r="F807" s="328"/>
      <c r="G807" s="328"/>
      <c r="H807" s="328"/>
      <c r="I807" s="328"/>
      <c r="J807" s="328"/>
      <c r="K807" s="328"/>
      <c r="L807" s="328"/>
      <c r="M807" s="328"/>
      <c r="N807" s="328"/>
      <c r="O807" s="328"/>
      <c r="P807" s="328"/>
      <c r="Q807" s="328"/>
      <c r="R807" s="328"/>
      <c r="S807" s="328"/>
      <c r="T807" s="328"/>
      <c r="U807" s="328"/>
      <c r="V807" s="328"/>
    </row>
    <row r="808" ht="15.75" customHeight="1">
      <c r="A808" s="328"/>
      <c r="B808" s="328"/>
      <c r="C808" s="328"/>
      <c r="D808" s="328"/>
      <c r="E808" s="328"/>
      <c r="F808" s="328"/>
      <c r="G808" s="328"/>
      <c r="H808" s="328"/>
      <c r="I808" s="328"/>
      <c r="J808" s="328"/>
      <c r="K808" s="328"/>
      <c r="L808" s="328"/>
      <c r="M808" s="328"/>
      <c r="N808" s="328"/>
      <c r="O808" s="328"/>
      <c r="P808" s="328"/>
      <c r="Q808" s="328"/>
      <c r="R808" s="328"/>
      <c r="S808" s="328"/>
      <c r="T808" s="328"/>
      <c r="U808" s="328"/>
      <c r="V808" s="328"/>
    </row>
    <row r="809" ht="15.75" customHeight="1">
      <c r="A809" s="328"/>
      <c r="B809" s="328"/>
      <c r="C809" s="328"/>
      <c r="D809" s="328"/>
      <c r="E809" s="328"/>
      <c r="F809" s="328"/>
      <c r="G809" s="328"/>
      <c r="H809" s="328"/>
      <c r="I809" s="328"/>
      <c r="J809" s="328"/>
      <c r="K809" s="328"/>
      <c r="L809" s="328"/>
      <c r="M809" s="328"/>
      <c r="N809" s="328"/>
      <c r="O809" s="328"/>
      <c r="P809" s="328"/>
      <c r="Q809" s="328"/>
      <c r="R809" s="328"/>
      <c r="S809" s="328"/>
      <c r="T809" s="328"/>
      <c r="U809" s="328"/>
      <c r="V809" s="328"/>
    </row>
    <row r="810" ht="15.75" customHeight="1">
      <c r="A810" s="328"/>
      <c r="B810" s="328"/>
      <c r="C810" s="328"/>
      <c r="D810" s="328"/>
      <c r="E810" s="328"/>
      <c r="F810" s="328"/>
      <c r="G810" s="328"/>
      <c r="H810" s="328"/>
      <c r="I810" s="328"/>
      <c r="J810" s="328"/>
      <c r="K810" s="328"/>
      <c r="L810" s="328"/>
      <c r="M810" s="328"/>
      <c r="N810" s="328"/>
      <c r="O810" s="328"/>
      <c r="P810" s="328"/>
      <c r="Q810" s="328"/>
      <c r="R810" s="328"/>
      <c r="S810" s="328"/>
      <c r="T810" s="328"/>
      <c r="U810" s="328"/>
      <c r="V810" s="328"/>
    </row>
    <row r="811" ht="15.75" customHeight="1">
      <c r="A811" s="328"/>
      <c r="B811" s="328"/>
      <c r="C811" s="328"/>
      <c r="D811" s="328"/>
      <c r="E811" s="328"/>
      <c r="F811" s="328"/>
      <c r="G811" s="328"/>
      <c r="H811" s="328"/>
      <c r="I811" s="328"/>
      <c r="J811" s="328"/>
      <c r="K811" s="328"/>
      <c r="L811" s="328"/>
      <c r="M811" s="328"/>
      <c r="N811" s="328"/>
      <c r="O811" s="328"/>
      <c r="P811" s="328"/>
      <c r="Q811" s="328"/>
      <c r="R811" s="328"/>
      <c r="S811" s="328"/>
      <c r="T811" s="328"/>
      <c r="U811" s="328"/>
      <c r="V811" s="328"/>
    </row>
    <row r="812" ht="15.75" customHeight="1">
      <c r="A812" s="328"/>
      <c r="B812" s="328"/>
      <c r="C812" s="328"/>
      <c r="D812" s="328"/>
      <c r="E812" s="328"/>
      <c r="F812" s="328"/>
      <c r="G812" s="328"/>
      <c r="H812" s="328"/>
      <c r="I812" s="328"/>
      <c r="J812" s="328"/>
      <c r="K812" s="328"/>
      <c r="L812" s="328"/>
      <c r="M812" s="328"/>
      <c r="N812" s="328"/>
      <c r="O812" s="328"/>
      <c r="P812" s="328"/>
      <c r="Q812" s="328"/>
      <c r="R812" s="328"/>
      <c r="S812" s="328"/>
      <c r="T812" s="328"/>
      <c r="U812" s="328"/>
      <c r="V812" s="328"/>
    </row>
    <row r="813" ht="15.75" customHeight="1">
      <c r="A813" s="328"/>
      <c r="B813" s="328"/>
      <c r="C813" s="328"/>
      <c r="D813" s="328"/>
      <c r="E813" s="328"/>
      <c r="F813" s="328"/>
      <c r="G813" s="328"/>
      <c r="H813" s="328"/>
      <c r="I813" s="328"/>
      <c r="J813" s="328"/>
      <c r="K813" s="328"/>
      <c r="L813" s="328"/>
      <c r="M813" s="328"/>
      <c r="N813" s="328"/>
      <c r="O813" s="328"/>
      <c r="P813" s="328"/>
      <c r="Q813" s="328"/>
      <c r="R813" s="328"/>
      <c r="S813" s="328"/>
      <c r="T813" s="328"/>
      <c r="U813" s="328"/>
      <c r="V813" s="328"/>
    </row>
    <row r="814" ht="15.75" customHeight="1">
      <c r="A814" s="328"/>
      <c r="B814" s="328"/>
      <c r="C814" s="328"/>
      <c r="D814" s="328"/>
      <c r="E814" s="328"/>
      <c r="F814" s="328"/>
      <c r="G814" s="328"/>
      <c r="H814" s="328"/>
      <c r="I814" s="328"/>
      <c r="J814" s="328"/>
      <c r="K814" s="328"/>
      <c r="L814" s="328"/>
      <c r="M814" s="328"/>
      <c r="N814" s="328"/>
      <c r="O814" s="328"/>
      <c r="P814" s="328"/>
      <c r="Q814" s="328"/>
      <c r="R814" s="328"/>
      <c r="S814" s="328"/>
      <c r="T814" s="328"/>
      <c r="U814" s="328"/>
      <c r="V814" s="328"/>
    </row>
    <row r="815" ht="15.75" customHeight="1">
      <c r="A815" s="328"/>
      <c r="B815" s="328"/>
      <c r="C815" s="328"/>
      <c r="D815" s="328"/>
      <c r="E815" s="328"/>
      <c r="F815" s="328"/>
      <c r="G815" s="328"/>
      <c r="H815" s="328"/>
      <c r="I815" s="328"/>
      <c r="J815" s="328"/>
      <c r="K815" s="328"/>
      <c r="L815" s="328"/>
      <c r="M815" s="328"/>
      <c r="N815" s="328"/>
      <c r="O815" s="328"/>
      <c r="P815" s="328"/>
      <c r="Q815" s="328"/>
      <c r="R815" s="328"/>
      <c r="S815" s="328"/>
      <c r="T815" s="328"/>
      <c r="U815" s="328"/>
      <c r="V815" s="328"/>
    </row>
    <row r="816" ht="15.75" customHeight="1">
      <c r="A816" s="328"/>
      <c r="B816" s="328"/>
      <c r="C816" s="328"/>
      <c r="D816" s="328"/>
      <c r="E816" s="328"/>
      <c r="F816" s="328"/>
      <c r="G816" s="328"/>
      <c r="H816" s="328"/>
      <c r="I816" s="328"/>
      <c r="J816" s="328"/>
      <c r="K816" s="328"/>
      <c r="L816" s="328"/>
      <c r="M816" s="328"/>
      <c r="N816" s="328"/>
      <c r="O816" s="328"/>
      <c r="P816" s="328"/>
      <c r="Q816" s="328"/>
      <c r="R816" s="328"/>
      <c r="S816" s="328"/>
      <c r="T816" s="328"/>
      <c r="U816" s="328"/>
      <c r="V816" s="328"/>
    </row>
    <row r="817" ht="15.75" customHeight="1">
      <c r="A817" s="328"/>
      <c r="B817" s="328"/>
      <c r="C817" s="328"/>
      <c r="D817" s="328"/>
      <c r="E817" s="328"/>
      <c r="F817" s="328"/>
      <c r="G817" s="328"/>
      <c r="H817" s="328"/>
      <c r="I817" s="328"/>
      <c r="J817" s="328"/>
      <c r="K817" s="328"/>
      <c r="L817" s="328"/>
      <c r="M817" s="328"/>
      <c r="N817" s="328"/>
      <c r="O817" s="328"/>
      <c r="P817" s="328"/>
      <c r="Q817" s="328"/>
      <c r="R817" s="328"/>
      <c r="S817" s="328"/>
      <c r="T817" s="328"/>
      <c r="U817" s="328"/>
      <c r="V817" s="328"/>
    </row>
    <row r="818" ht="15.75" customHeight="1">
      <c r="A818" s="328"/>
      <c r="B818" s="328"/>
      <c r="C818" s="328"/>
      <c r="D818" s="328"/>
      <c r="E818" s="328"/>
      <c r="F818" s="328"/>
      <c r="G818" s="328"/>
      <c r="H818" s="328"/>
      <c r="I818" s="328"/>
      <c r="J818" s="328"/>
      <c r="K818" s="328"/>
      <c r="L818" s="328"/>
      <c r="M818" s="328"/>
      <c r="N818" s="328"/>
      <c r="O818" s="328"/>
      <c r="P818" s="328"/>
      <c r="Q818" s="328"/>
      <c r="R818" s="328"/>
      <c r="S818" s="328"/>
      <c r="T818" s="328"/>
      <c r="U818" s="328"/>
      <c r="V818" s="328"/>
    </row>
    <row r="819" ht="15.75" customHeight="1">
      <c r="A819" s="328"/>
      <c r="B819" s="328"/>
      <c r="C819" s="328"/>
      <c r="D819" s="328"/>
      <c r="E819" s="328"/>
      <c r="F819" s="328"/>
      <c r="G819" s="328"/>
      <c r="H819" s="328"/>
      <c r="I819" s="328"/>
      <c r="J819" s="328"/>
      <c r="K819" s="328"/>
      <c r="L819" s="328"/>
      <c r="M819" s="328"/>
      <c r="N819" s="328"/>
      <c r="O819" s="328"/>
      <c r="P819" s="328"/>
      <c r="Q819" s="328"/>
      <c r="R819" s="328"/>
      <c r="S819" s="328"/>
      <c r="T819" s="328"/>
      <c r="U819" s="328"/>
      <c r="V819" s="328"/>
    </row>
    <row r="820" ht="15.75" customHeight="1">
      <c r="A820" s="328"/>
      <c r="B820" s="328"/>
      <c r="C820" s="328"/>
      <c r="D820" s="328"/>
      <c r="E820" s="328"/>
      <c r="F820" s="328"/>
      <c r="G820" s="328"/>
      <c r="H820" s="328"/>
      <c r="I820" s="328"/>
      <c r="J820" s="328"/>
      <c r="K820" s="328"/>
      <c r="L820" s="328"/>
      <c r="M820" s="328"/>
      <c r="N820" s="328"/>
      <c r="O820" s="328"/>
      <c r="P820" s="328"/>
      <c r="Q820" s="328"/>
      <c r="R820" s="328"/>
      <c r="S820" s="328"/>
      <c r="T820" s="328"/>
      <c r="U820" s="328"/>
      <c r="V820" s="328"/>
    </row>
    <row r="821" ht="15.75" customHeight="1">
      <c r="A821" s="328"/>
      <c r="B821" s="328"/>
      <c r="C821" s="328"/>
      <c r="D821" s="328"/>
      <c r="E821" s="328"/>
      <c r="F821" s="328"/>
      <c r="G821" s="328"/>
      <c r="H821" s="328"/>
      <c r="I821" s="328"/>
      <c r="J821" s="328"/>
      <c r="K821" s="328"/>
      <c r="L821" s="328"/>
      <c r="M821" s="328"/>
      <c r="N821" s="328"/>
      <c r="O821" s="328"/>
      <c r="P821" s="328"/>
      <c r="Q821" s="328"/>
      <c r="R821" s="328"/>
      <c r="S821" s="328"/>
      <c r="T821" s="328"/>
      <c r="U821" s="328"/>
      <c r="V821" s="328"/>
    </row>
    <row r="822" ht="15.75" customHeight="1">
      <c r="A822" s="328"/>
      <c r="B822" s="328"/>
      <c r="C822" s="328"/>
      <c r="D822" s="328"/>
      <c r="E822" s="328"/>
      <c r="F822" s="328"/>
      <c r="G822" s="328"/>
      <c r="H822" s="328"/>
      <c r="I822" s="328"/>
      <c r="J822" s="328"/>
      <c r="K822" s="328"/>
      <c r="L822" s="328"/>
      <c r="M822" s="328"/>
      <c r="N822" s="328"/>
      <c r="O822" s="328"/>
      <c r="P822" s="328"/>
      <c r="Q822" s="328"/>
      <c r="R822" s="328"/>
      <c r="S822" s="328"/>
      <c r="T822" s="328"/>
      <c r="U822" s="328"/>
      <c r="V822" s="328"/>
    </row>
    <row r="823" ht="15.75" customHeight="1">
      <c r="A823" s="328"/>
      <c r="B823" s="328"/>
      <c r="C823" s="328"/>
      <c r="D823" s="328"/>
      <c r="E823" s="328"/>
      <c r="F823" s="328"/>
      <c r="G823" s="328"/>
      <c r="H823" s="328"/>
      <c r="I823" s="328"/>
      <c r="J823" s="328"/>
      <c r="K823" s="328"/>
      <c r="L823" s="328"/>
      <c r="M823" s="328"/>
      <c r="N823" s="328"/>
      <c r="O823" s="328"/>
      <c r="P823" s="328"/>
      <c r="Q823" s="328"/>
      <c r="R823" s="328"/>
      <c r="S823" s="328"/>
      <c r="T823" s="328"/>
      <c r="U823" s="328"/>
      <c r="V823" s="328"/>
    </row>
    <row r="824" ht="15.75" customHeight="1">
      <c r="A824" s="328"/>
      <c r="B824" s="328"/>
      <c r="C824" s="328"/>
      <c r="D824" s="328"/>
      <c r="E824" s="328"/>
      <c r="F824" s="328"/>
      <c r="G824" s="328"/>
      <c r="H824" s="328"/>
      <c r="I824" s="328"/>
      <c r="J824" s="328"/>
      <c r="K824" s="328"/>
      <c r="L824" s="328"/>
      <c r="M824" s="328"/>
      <c r="N824" s="328"/>
      <c r="O824" s="328"/>
      <c r="P824" s="328"/>
      <c r="Q824" s="328"/>
      <c r="R824" s="328"/>
      <c r="S824" s="328"/>
      <c r="T824" s="328"/>
      <c r="U824" s="328"/>
      <c r="V824" s="328"/>
    </row>
    <row r="825" ht="15.75" customHeight="1">
      <c r="A825" s="328"/>
      <c r="B825" s="328"/>
      <c r="C825" s="328"/>
      <c r="D825" s="328"/>
      <c r="E825" s="328"/>
      <c r="F825" s="328"/>
      <c r="G825" s="328"/>
      <c r="H825" s="328"/>
      <c r="I825" s="328"/>
      <c r="J825" s="328"/>
      <c r="K825" s="328"/>
      <c r="L825" s="328"/>
      <c r="M825" s="328"/>
      <c r="N825" s="328"/>
      <c r="O825" s="328"/>
      <c r="P825" s="328"/>
      <c r="Q825" s="328"/>
      <c r="R825" s="328"/>
      <c r="S825" s="328"/>
      <c r="T825" s="328"/>
      <c r="U825" s="328"/>
      <c r="V825" s="328"/>
    </row>
    <row r="826" ht="15.75" customHeight="1">
      <c r="A826" s="328"/>
      <c r="B826" s="328"/>
      <c r="C826" s="328"/>
      <c r="D826" s="328"/>
      <c r="E826" s="328"/>
      <c r="F826" s="328"/>
      <c r="G826" s="328"/>
      <c r="H826" s="328"/>
      <c r="I826" s="328"/>
      <c r="J826" s="328"/>
      <c r="K826" s="328"/>
      <c r="L826" s="328"/>
      <c r="M826" s="328"/>
      <c r="N826" s="328"/>
      <c r="O826" s="328"/>
      <c r="P826" s="328"/>
      <c r="Q826" s="328"/>
      <c r="R826" s="328"/>
      <c r="S826" s="328"/>
      <c r="T826" s="328"/>
      <c r="U826" s="328"/>
      <c r="V826" s="328"/>
    </row>
    <row r="827" ht="15.75" customHeight="1">
      <c r="A827" s="328"/>
      <c r="B827" s="328"/>
      <c r="C827" s="328"/>
      <c r="D827" s="328"/>
      <c r="E827" s="328"/>
      <c r="F827" s="328"/>
      <c r="G827" s="328"/>
      <c r="H827" s="328"/>
      <c r="I827" s="328"/>
      <c r="J827" s="328"/>
      <c r="K827" s="328"/>
      <c r="L827" s="328"/>
      <c r="M827" s="328"/>
      <c r="N827" s="328"/>
      <c r="O827" s="328"/>
      <c r="P827" s="328"/>
      <c r="Q827" s="328"/>
      <c r="R827" s="328"/>
      <c r="S827" s="328"/>
      <c r="T827" s="328"/>
      <c r="U827" s="328"/>
      <c r="V827" s="328"/>
    </row>
    <row r="828" ht="15.75" customHeight="1">
      <c r="A828" s="328"/>
      <c r="B828" s="328"/>
      <c r="C828" s="328"/>
      <c r="D828" s="328"/>
      <c r="E828" s="328"/>
      <c r="F828" s="328"/>
      <c r="G828" s="328"/>
      <c r="H828" s="328"/>
      <c r="I828" s="328"/>
      <c r="J828" s="328"/>
      <c r="K828" s="328"/>
      <c r="L828" s="328"/>
      <c r="M828" s="328"/>
      <c r="N828" s="328"/>
      <c r="O828" s="328"/>
      <c r="P828" s="328"/>
      <c r="Q828" s="328"/>
      <c r="R828" s="328"/>
      <c r="S828" s="328"/>
      <c r="T828" s="328"/>
      <c r="U828" s="328"/>
      <c r="V828" s="328"/>
    </row>
    <row r="829" ht="15.75" customHeight="1">
      <c r="A829" s="328"/>
      <c r="B829" s="328"/>
      <c r="C829" s="328"/>
      <c r="D829" s="328"/>
      <c r="E829" s="328"/>
      <c r="F829" s="328"/>
      <c r="G829" s="328"/>
      <c r="H829" s="328"/>
      <c r="I829" s="328"/>
      <c r="J829" s="328"/>
      <c r="K829" s="328"/>
      <c r="L829" s="328"/>
      <c r="M829" s="328"/>
      <c r="N829" s="328"/>
      <c r="O829" s="328"/>
      <c r="P829" s="328"/>
      <c r="Q829" s="328"/>
      <c r="R829" s="328"/>
      <c r="S829" s="328"/>
      <c r="T829" s="328"/>
      <c r="U829" s="328"/>
      <c r="V829" s="328"/>
    </row>
    <row r="830" ht="15.75" customHeight="1">
      <c r="A830" s="328"/>
      <c r="B830" s="328"/>
      <c r="C830" s="328"/>
      <c r="D830" s="328"/>
      <c r="E830" s="328"/>
      <c r="F830" s="328"/>
      <c r="G830" s="328"/>
      <c r="H830" s="328"/>
      <c r="I830" s="328"/>
      <c r="J830" s="328"/>
      <c r="K830" s="328"/>
      <c r="L830" s="328"/>
      <c r="M830" s="328"/>
      <c r="N830" s="328"/>
      <c r="O830" s="328"/>
      <c r="P830" s="328"/>
      <c r="Q830" s="328"/>
      <c r="R830" s="328"/>
      <c r="S830" s="328"/>
      <c r="T830" s="328"/>
      <c r="U830" s="328"/>
      <c r="V830" s="328"/>
    </row>
    <row r="831" ht="15.75" customHeight="1">
      <c r="A831" s="328"/>
      <c r="B831" s="328"/>
      <c r="C831" s="328"/>
      <c r="D831" s="328"/>
      <c r="E831" s="328"/>
      <c r="F831" s="328"/>
      <c r="G831" s="328"/>
      <c r="H831" s="328"/>
      <c r="I831" s="328"/>
      <c r="J831" s="328"/>
      <c r="K831" s="328"/>
      <c r="L831" s="328"/>
      <c r="M831" s="328"/>
      <c r="N831" s="328"/>
      <c r="O831" s="328"/>
      <c r="P831" s="328"/>
      <c r="Q831" s="328"/>
      <c r="R831" s="328"/>
      <c r="S831" s="328"/>
      <c r="T831" s="328"/>
      <c r="U831" s="328"/>
      <c r="V831" s="328"/>
    </row>
    <row r="832" ht="15.75" customHeight="1">
      <c r="A832" s="328"/>
      <c r="B832" s="328"/>
      <c r="C832" s="328"/>
      <c r="D832" s="328"/>
      <c r="E832" s="328"/>
      <c r="F832" s="328"/>
      <c r="G832" s="328"/>
      <c r="H832" s="328"/>
      <c r="I832" s="328"/>
      <c r="J832" s="328"/>
      <c r="K832" s="328"/>
      <c r="L832" s="328"/>
      <c r="M832" s="328"/>
      <c r="N832" s="328"/>
      <c r="O832" s="328"/>
      <c r="P832" s="328"/>
      <c r="Q832" s="328"/>
      <c r="R832" s="328"/>
      <c r="S832" s="328"/>
      <c r="T832" s="328"/>
      <c r="U832" s="328"/>
      <c r="V832" s="328"/>
    </row>
    <row r="833" ht="15.75" customHeight="1">
      <c r="A833" s="328"/>
      <c r="B833" s="328"/>
      <c r="C833" s="328"/>
      <c r="D833" s="328"/>
      <c r="E833" s="328"/>
      <c r="F833" s="328"/>
      <c r="G833" s="328"/>
      <c r="H833" s="328"/>
      <c r="I833" s="328"/>
      <c r="J833" s="328"/>
      <c r="K833" s="328"/>
      <c r="L833" s="328"/>
      <c r="M833" s="328"/>
      <c r="N833" s="328"/>
      <c r="O833" s="328"/>
      <c r="P833" s="328"/>
      <c r="Q833" s="328"/>
      <c r="R833" s="328"/>
      <c r="S833" s="328"/>
      <c r="T833" s="328"/>
      <c r="U833" s="328"/>
      <c r="V833" s="328"/>
    </row>
    <row r="834" ht="15.75" customHeight="1">
      <c r="A834" s="328"/>
      <c r="B834" s="328"/>
      <c r="C834" s="328"/>
      <c r="D834" s="328"/>
      <c r="E834" s="328"/>
      <c r="F834" s="328"/>
      <c r="G834" s="328"/>
      <c r="H834" s="328"/>
      <c r="I834" s="328"/>
      <c r="J834" s="328"/>
      <c r="K834" s="328"/>
      <c r="L834" s="328"/>
      <c r="M834" s="328"/>
      <c r="N834" s="328"/>
      <c r="O834" s="328"/>
      <c r="P834" s="328"/>
      <c r="Q834" s="328"/>
      <c r="R834" s="328"/>
      <c r="S834" s="328"/>
      <c r="T834" s="328"/>
      <c r="U834" s="328"/>
      <c r="V834" s="328"/>
    </row>
    <row r="835" ht="15.75" customHeight="1">
      <c r="A835" s="328"/>
      <c r="B835" s="328"/>
      <c r="C835" s="328"/>
      <c r="D835" s="328"/>
      <c r="E835" s="328"/>
      <c r="F835" s="328"/>
      <c r="G835" s="328"/>
      <c r="H835" s="328"/>
      <c r="I835" s="328"/>
      <c r="J835" s="328"/>
      <c r="K835" s="328"/>
      <c r="L835" s="328"/>
      <c r="M835" s="328"/>
      <c r="N835" s="328"/>
      <c r="O835" s="328"/>
      <c r="P835" s="328"/>
      <c r="Q835" s="328"/>
      <c r="R835" s="328"/>
      <c r="S835" s="328"/>
      <c r="T835" s="328"/>
      <c r="U835" s="328"/>
      <c r="V835" s="328"/>
    </row>
    <row r="836" ht="15.75" customHeight="1">
      <c r="A836" s="328"/>
      <c r="B836" s="328"/>
      <c r="C836" s="328"/>
      <c r="D836" s="328"/>
      <c r="E836" s="328"/>
      <c r="F836" s="328"/>
      <c r="G836" s="328"/>
      <c r="H836" s="328"/>
      <c r="I836" s="328"/>
      <c r="J836" s="328"/>
      <c r="K836" s="328"/>
      <c r="L836" s="328"/>
      <c r="M836" s="328"/>
      <c r="N836" s="328"/>
      <c r="O836" s="328"/>
      <c r="P836" s="328"/>
      <c r="Q836" s="328"/>
      <c r="R836" s="328"/>
      <c r="S836" s="328"/>
      <c r="T836" s="328"/>
      <c r="U836" s="328"/>
      <c r="V836" s="328"/>
    </row>
    <row r="837" ht="15.75" customHeight="1">
      <c r="A837" s="328"/>
      <c r="B837" s="328"/>
      <c r="C837" s="328"/>
      <c r="D837" s="328"/>
      <c r="E837" s="328"/>
      <c r="F837" s="328"/>
      <c r="G837" s="328"/>
      <c r="H837" s="328"/>
      <c r="I837" s="328"/>
      <c r="J837" s="328"/>
      <c r="K837" s="328"/>
      <c r="L837" s="328"/>
      <c r="M837" s="328"/>
      <c r="N837" s="328"/>
      <c r="O837" s="328"/>
      <c r="P837" s="328"/>
      <c r="Q837" s="328"/>
      <c r="R837" s="328"/>
      <c r="S837" s="328"/>
      <c r="T837" s="328"/>
      <c r="U837" s="328"/>
      <c r="V837" s="328"/>
    </row>
    <row r="838" ht="15.75" customHeight="1">
      <c r="A838" s="328"/>
      <c r="B838" s="328"/>
      <c r="C838" s="328"/>
      <c r="D838" s="328"/>
      <c r="E838" s="328"/>
      <c r="F838" s="328"/>
      <c r="G838" s="328"/>
      <c r="H838" s="328"/>
      <c r="I838" s="328"/>
      <c r="J838" s="328"/>
      <c r="K838" s="328"/>
      <c r="L838" s="328"/>
      <c r="M838" s="328"/>
      <c r="N838" s="328"/>
      <c r="O838" s="328"/>
      <c r="P838" s="328"/>
      <c r="Q838" s="328"/>
      <c r="R838" s="328"/>
      <c r="S838" s="328"/>
      <c r="T838" s="328"/>
      <c r="U838" s="328"/>
      <c r="V838" s="328"/>
    </row>
    <row r="839" ht="15.75" customHeight="1">
      <c r="A839" s="328"/>
      <c r="B839" s="328"/>
      <c r="C839" s="328"/>
      <c r="D839" s="328"/>
      <c r="E839" s="328"/>
      <c r="F839" s="328"/>
      <c r="G839" s="328"/>
      <c r="H839" s="328"/>
      <c r="I839" s="328"/>
      <c r="J839" s="328"/>
      <c r="K839" s="328"/>
      <c r="L839" s="328"/>
      <c r="M839" s="328"/>
      <c r="N839" s="328"/>
      <c r="O839" s="328"/>
      <c r="P839" s="328"/>
      <c r="Q839" s="328"/>
      <c r="R839" s="328"/>
      <c r="S839" s="328"/>
      <c r="T839" s="328"/>
      <c r="U839" s="328"/>
      <c r="V839" s="328"/>
    </row>
    <row r="840" ht="15.75" customHeight="1">
      <c r="A840" s="328"/>
      <c r="B840" s="328"/>
      <c r="C840" s="328"/>
      <c r="D840" s="328"/>
      <c r="E840" s="328"/>
      <c r="F840" s="328"/>
      <c r="G840" s="328"/>
      <c r="H840" s="328"/>
      <c r="I840" s="328"/>
      <c r="J840" s="328"/>
      <c r="K840" s="328"/>
      <c r="L840" s="328"/>
      <c r="M840" s="328"/>
      <c r="N840" s="328"/>
      <c r="O840" s="328"/>
      <c r="P840" s="328"/>
      <c r="Q840" s="328"/>
      <c r="R840" s="328"/>
      <c r="S840" s="328"/>
      <c r="T840" s="328"/>
      <c r="U840" s="328"/>
      <c r="V840" s="328"/>
    </row>
    <row r="841" ht="15.75" customHeight="1">
      <c r="A841" s="328"/>
      <c r="B841" s="328"/>
      <c r="C841" s="328"/>
      <c r="D841" s="328"/>
      <c r="E841" s="328"/>
      <c r="F841" s="328"/>
      <c r="G841" s="328"/>
      <c r="H841" s="328"/>
      <c r="I841" s="328"/>
      <c r="J841" s="328"/>
      <c r="K841" s="328"/>
      <c r="L841" s="328"/>
      <c r="M841" s="328"/>
      <c r="N841" s="328"/>
      <c r="O841" s="328"/>
      <c r="P841" s="328"/>
      <c r="Q841" s="328"/>
      <c r="R841" s="328"/>
      <c r="S841" s="328"/>
      <c r="T841" s="328"/>
      <c r="U841" s="328"/>
      <c r="V841" s="328"/>
    </row>
    <row r="842" ht="15.75" customHeight="1">
      <c r="A842" s="328"/>
      <c r="B842" s="328"/>
      <c r="C842" s="328"/>
      <c r="D842" s="328"/>
      <c r="E842" s="328"/>
      <c r="F842" s="328"/>
      <c r="G842" s="328"/>
      <c r="H842" s="328"/>
      <c r="I842" s="328"/>
      <c r="J842" s="328"/>
      <c r="K842" s="328"/>
      <c r="L842" s="328"/>
      <c r="M842" s="328"/>
      <c r="N842" s="328"/>
      <c r="O842" s="328"/>
      <c r="P842" s="328"/>
      <c r="Q842" s="328"/>
      <c r="R842" s="328"/>
      <c r="S842" s="328"/>
      <c r="T842" s="328"/>
      <c r="U842" s="328"/>
      <c r="V842" s="328"/>
    </row>
    <row r="843" ht="15.75" customHeight="1">
      <c r="A843" s="328"/>
      <c r="B843" s="328"/>
      <c r="C843" s="328"/>
      <c r="D843" s="328"/>
      <c r="E843" s="328"/>
      <c r="F843" s="328"/>
      <c r="G843" s="328"/>
      <c r="H843" s="328"/>
      <c r="I843" s="328"/>
      <c r="J843" s="328"/>
      <c r="K843" s="328"/>
      <c r="L843" s="328"/>
      <c r="M843" s="328"/>
      <c r="N843" s="328"/>
      <c r="O843" s="328"/>
      <c r="P843" s="328"/>
      <c r="Q843" s="328"/>
      <c r="R843" s="328"/>
      <c r="S843" s="328"/>
      <c r="T843" s="328"/>
      <c r="U843" s="328"/>
      <c r="V843" s="328"/>
    </row>
    <row r="844" ht="15.75" customHeight="1">
      <c r="A844" s="328"/>
      <c r="B844" s="328"/>
      <c r="C844" s="328"/>
      <c r="D844" s="328"/>
      <c r="E844" s="328"/>
      <c r="F844" s="328"/>
      <c r="G844" s="328"/>
      <c r="H844" s="328"/>
      <c r="I844" s="328"/>
      <c r="J844" s="328"/>
      <c r="K844" s="328"/>
      <c r="L844" s="328"/>
      <c r="M844" s="328"/>
      <c r="N844" s="328"/>
      <c r="O844" s="328"/>
      <c r="P844" s="328"/>
      <c r="Q844" s="328"/>
      <c r="R844" s="328"/>
      <c r="S844" s="328"/>
      <c r="T844" s="328"/>
      <c r="U844" s="328"/>
      <c r="V844" s="328"/>
    </row>
    <row r="845" ht="15.75" customHeight="1">
      <c r="A845" s="328"/>
      <c r="B845" s="328"/>
      <c r="C845" s="328"/>
      <c r="D845" s="328"/>
      <c r="E845" s="328"/>
      <c r="F845" s="328"/>
      <c r="G845" s="328"/>
      <c r="H845" s="328"/>
      <c r="I845" s="328"/>
      <c r="J845" s="328"/>
      <c r="K845" s="328"/>
      <c r="L845" s="328"/>
      <c r="M845" s="328"/>
      <c r="N845" s="328"/>
      <c r="O845" s="328"/>
      <c r="P845" s="328"/>
      <c r="Q845" s="328"/>
      <c r="R845" s="328"/>
      <c r="S845" s="328"/>
      <c r="T845" s="328"/>
      <c r="U845" s="328"/>
      <c r="V845" s="328"/>
    </row>
    <row r="846" ht="15.75" customHeight="1">
      <c r="A846" s="328"/>
      <c r="B846" s="328"/>
      <c r="C846" s="328"/>
      <c r="D846" s="328"/>
      <c r="E846" s="328"/>
      <c r="F846" s="328"/>
      <c r="G846" s="328"/>
      <c r="H846" s="328"/>
      <c r="I846" s="328"/>
      <c r="J846" s="328"/>
      <c r="K846" s="328"/>
      <c r="L846" s="328"/>
      <c r="M846" s="328"/>
      <c r="N846" s="328"/>
      <c r="O846" s="328"/>
      <c r="P846" s="328"/>
      <c r="Q846" s="328"/>
      <c r="R846" s="328"/>
      <c r="S846" s="328"/>
      <c r="T846" s="328"/>
      <c r="U846" s="328"/>
      <c r="V846" s="328"/>
    </row>
    <row r="847" ht="15.75" customHeight="1">
      <c r="A847" s="328"/>
      <c r="B847" s="328"/>
      <c r="C847" s="328"/>
      <c r="D847" s="328"/>
      <c r="E847" s="328"/>
      <c r="F847" s="328"/>
      <c r="G847" s="328"/>
      <c r="H847" s="328"/>
      <c r="I847" s="328"/>
      <c r="J847" s="328"/>
      <c r="K847" s="328"/>
      <c r="L847" s="328"/>
      <c r="M847" s="328"/>
      <c r="N847" s="328"/>
      <c r="O847" s="328"/>
      <c r="P847" s="328"/>
      <c r="Q847" s="328"/>
      <c r="R847" s="328"/>
      <c r="S847" s="328"/>
      <c r="T847" s="328"/>
      <c r="U847" s="328"/>
      <c r="V847" s="328"/>
    </row>
    <row r="848" ht="15.75" customHeight="1">
      <c r="A848" s="328"/>
      <c r="B848" s="328"/>
      <c r="C848" s="328"/>
      <c r="D848" s="328"/>
      <c r="E848" s="328"/>
      <c r="F848" s="328"/>
      <c r="G848" s="328"/>
      <c r="H848" s="328"/>
      <c r="I848" s="328"/>
      <c r="J848" s="328"/>
      <c r="K848" s="328"/>
      <c r="L848" s="328"/>
      <c r="M848" s="328"/>
      <c r="N848" s="328"/>
      <c r="O848" s="328"/>
      <c r="P848" s="328"/>
      <c r="Q848" s="328"/>
      <c r="R848" s="328"/>
      <c r="S848" s="328"/>
      <c r="T848" s="328"/>
      <c r="U848" s="328"/>
      <c r="V848" s="328"/>
    </row>
    <row r="849" ht="15.75" customHeight="1">
      <c r="A849" s="328"/>
      <c r="B849" s="328"/>
      <c r="C849" s="328"/>
      <c r="D849" s="328"/>
      <c r="E849" s="328"/>
      <c r="F849" s="328"/>
      <c r="G849" s="328"/>
      <c r="H849" s="328"/>
      <c r="I849" s="328"/>
      <c r="J849" s="328"/>
      <c r="K849" s="328"/>
      <c r="L849" s="328"/>
      <c r="M849" s="328"/>
      <c r="N849" s="328"/>
      <c r="O849" s="328"/>
      <c r="P849" s="328"/>
      <c r="Q849" s="328"/>
      <c r="R849" s="328"/>
      <c r="S849" s="328"/>
      <c r="T849" s="328"/>
      <c r="U849" s="328"/>
      <c r="V849" s="328"/>
    </row>
    <row r="850" ht="15.75" customHeight="1">
      <c r="A850" s="328"/>
      <c r="B850" s="328"/>
      <c r="C850" s="328"/>
      <c r="D850" s="328"/>
      <c r="E850" s="328"/>
      <c r="F850" s="328"/>
      <c r="G850" s="328"/>
      <c r="H850" s="328"/>
      <c r="I850" s="328"/>
      <c r="J850" s="328"/>
      <c r="K850" s="328"/>
      <c r="L850" s="328"/>
      <c r="M850" s="328"/>
      <c r="N850" s="328"/>
      <c r="O850" s="328"/>
      <c r="P850" s="328"/>
      <c r="Q850" s="328"/>
      <c r="R850" s="328"/>
      <c r="S850" s="328"/>
      <c r="T850" s="328"/>
      <c r="U850" s="328"/>
      <c r="V850" s="328"/>
    </row>
    <row r="851" ht="15.75" customHeight="1">
      <c r="A851" s="328"/>
      <c r="B851" s="328"/>
      <c r="C851" s="328"/>
      <c r="D851" s="328"/>
      <c r="E851" s="328"/>
      <c r="F851" s="328"/>
      <c r="G851" s="328"/>
      <c r="H851" s="328"/>
      <c r="I851" s="328"/>
      <c r="J851" s="328"/>
      <c r="K851" s="328"/>
      <c r="L851" s="328"/>
      <c r="M851" s="328"/>
      <c r="N851" s="328"/>
      <c r="O851" s="328"/>
      <c r="P851" s="328"/>
      <c r="Q851" s="328"/>
      <c r="R851" s="328"/>
      <c r="S851" s="328"/>
      <c r="T851" s="328"/>
      <c r="U851" s="328"/>
      <c r="V851" s="328"/>
    </row>
    <row r="852" ht="15.75" customHeight="1">
      <c r="A852" s="328"/>
      <c r="B852" s="328"/>
      <c r="C852" s="328"/>
      <c r="D852" s="328"/>
      <c r="E852" s="328"/>
      <c r="F852" s="328"/>
      <c r="G852" s="328"/>
      <c r="H852" s="328"/>
      <c r="I852" s="328"/>
      <c r="J852" s="328"/>
      <c r="K852" s="328"/>
      <c r="L852" s="328"/>
      <c r="M852" s="328"/>
      <c r="N852" s="328"/>
      <c r="O852" s="328"/>
      <c r="P852" s="328"/>
      <c r="Q852" s="328"/>
      <c r="R852" s="328"/>
      <c r="S852" s="328"/>
      <c r="T852" s="328"/>
      <c r="U852" s="328"/>
      <c r="V852" s="328"/>
    </row>
    <row r="853" ht="15.75" customHeight="1">
      <c r="A853" s="328"/>
      <c r="B853" s="328"/>
      <c r="C853" s="328"/>
      <c r="D853" s="328"/>
      <c r="E853" s="328"/>
      <c r="F853" s="328"/>
      <c r="G853" s="328"/>
      <c r="H853" s="328"/>
      <c r="I853" s="328"/>
      <c r="J853" s="328"/>
      <c r="K853" s="328"/>
      <c r="L853" s="328"/>
      <c r="M853" s="328"/>
      <c r="N853" s="328"/>
      <c r="O853" s="328"/>
      <c r="P853" s="328"/>
      <c r="Q853" s="328"/>
      <c r="R853" s="328"/>
      <c r="S853" s="328"/>
      <c r="T853" s="328"/>
      <c r="U853" s="328"/>
      <c r="V853" s="328"/>
    </row>
    <row r="854" ht="15.75" customHeight="1">
      <c r="A854" s="328"/>
      <c r="B854" s="328"/>
      <c r="C854" s="328"/>
      <c r="D854" s="328"/>
      <c r="E854" s="328"/>
      <c r="F854" s="328"/>
      <c r="G854" s="328"/>
      <c r="H854" s="328"/>
      <c r="I854" s="328"/>
      <c r="J854" s="328"/>
      <c r="K854" s="328"/>
      <c r="L854" s="328"/>
      <c r="M854" s="328"/>
      <c r="N854" s="328"/>
      <c r="O854" s="328"/>
      <c r="P854" s="328"/>
      <c r="Q854" s="328"/>
      <c r="R854" s="328"/>
      <c r="S854" s="328"/>
      <c r="T854" s="328"/>
      <c r="U854" s="328"/>
      <c r="V854" s="328"/>
    </row>
    <row r="855" ht="15.75" customHeight="1">
      <c r="A855" s="328"/>
      <c r="B855" s="328"/>
      <c r="C855" s="328"/>
      <c r="D855" s="328"/>
      <c r="E855" s="328"/>
      <c r="F855" s="328"/>
      <c r="G855" s="328"/>
      <c r="H855" s="328"/>
      <c r="I855" s="328"/>
      <c r="J855" s="328"/>
      <c r="K855" s="328"/>
      <c r="L855" s="328"/>
      <c r="M855" s="328"/>
      <c r="N855" s="328"/>
      <c r="O855" s="328"/>
      <c r="P855" s="328"/>
      <c r="Q855" s="328"/>
      <c r="R855" s="328"/>
      <c r="S855" s="328"/>
      <c r="T855" s="328"/>
      <c r="U855" s="328"/>
      <c r="V855" s="328"/>
    </row>
    <row r="856" ht="15.75" customHeight="1">
      <c r="A856" s="328"/>
      <c r="B856" s="328"/>
      <c r="C856" s="328"/>
      <c r="D856" s="328"/>
      <c r="E856" s="328"/>
      <c r="F856" s="328"/>
      <c r="G856" s="328"/>
      <c r="H856" s="328"/>
      <c r="I856" s="328"/>
      <c r="J856" s="328"/>
      <c r="K856" s="328"/>
      <c r="L856" s="328"/>
      <c r="M856" s="328"/>
      <c r="N856" s="328"/>
      <c r="O856" s="328"/>
      <c r="P856" s="328"/>
      <c r="Q856" s="328"/>
      <c r="R856" s="328"/>
      <c r="S856" s="328"/>
      <c r="T856" s="328"/>
      <c r="U856" s="328"/>
      <c r="V856" s="328"/>
    </row>
    <row r="857" ht="15.75" customHeight="1">
      <c r="A857" s="328"/>
      <c r="B857" s="328"/>
      <c r="C857" s="328"/>
      <c r="D857" s="328"/>
      <c r="E857" s="328"/>
      <c r="F857" s="328"/>
      <c r="G857" s="328"/>
      <c r="H857" s="328"/>
      <c r="I857" s="328"/>
      <c r="J857" s="328"/>
      <c r="K857" s="328"/>
      <c r="L857" s="328"/>
      <c r="M857" s="328"/>
      <c r="N857" s="328"/>
      <c r="O857" s="328"/>
      <c r="P857" s="328"/>
      <c r="Q857" s="328"/>
      <c r="R857" s="328"/>
      <c r="S857" s="328"/>
      <c r="T857" s="328"/>
      <c r="U857" s="328"/>
      <c r="V857" s="328"/>
    </row>
    <row r="858" ht="15.75" customHeight="1">
      <c r="A858" s="328"/>
      <c r="B858" s="328"/>
      <c r="C858" s="328"/>
      <c r="D858" s="328"/>
      <c r="E858" s="328"/>
      <c r="F858" s="328"/>
      <c r="G858" s="328"/>
      <c r="H858" s="328"/>
      <c r="I858" s="328"/>
      <c r="J858" s="328"/>
      <c r="K858" s="328"/>
      <c r="L858" s="328"/>
      <c r="M858" s="328"/>
      <c r="N858" s="328"/>
      <c r="O858" s="328"/>
      <c r="P858" s="328"/>
      <c r="Q858" s="328"/>
      <c r="R858" s="328"/>
      <c r="S858" s="328"/>
      <c r="T858" s="328"/>
      <c r="U858" s="328"/>
      <c r="V858" s="328"/>
    </row>
    <row r="859" ht="15.75" customHeight="1">
      <c r="A859" s="328"/>
      <c r="B859" s="328"/>
      <c r="C859" s="328"/>
      <c r="D859" s="328"/>
      <c r="E859" s="328"/>
      <c r="F859" s="328"/>
      <c r="G859" s="328"/>
      <c r="H859" s="328"/>
      <c r="I859" s="328"/>
      <c r="J859" s="328"/>
      <c r="K859" s="328"/>
      <c r="L859" s="328"/>
      <c r="M859" s="328"/>
      <c r="N859" s="328"/>
      <c r="O859" s="328"/>
      <c r="P859" s="328"/>
      <c r="Q859" s="328"/>
      <c r="R859" s="328"/>
      <c r="S859" s="328"/>
      <c r="T859" s="328"/>
      <c r="U859" s="328"/>
      <c r="V859" s="328"/>
    </row>
    <row r="860" ht="15.75" customHeight="1">
      <c r="A860" s="328"/>
      <c r="B860" s="328"/>
      <c r="C860" s="328"/>
      <c r="D860" s="328"/>
      <c r="E860" s="328"/>
      <c r="F860" s="328"/>
      <c r="G860" s="328"/>
      <c r="H860" s="328"/>
      <c r="I860" s="328"/>
      <c r="J860" s="328"/>
      <c r="K860" s="328"/>
      <c r="L860" s="328"/>
      <c r="M860" s="328"/>
      <c r="N860" s="328"/>
      <c r="O860" s="328"/>
      <c r="P860" s="328"/>
      <c r="Q860" s="328"/>
      <c r="R860" s="328"/>
      <c r="S860" s="328"/>
      <c r="T860" s="328"/>
      <c r="U860" s="328"/>
      <c r="V860" s="328"/>
    </row>
    <row r="861" ht="15.75" customHeight="1">
      <c r="A861" s="328"/>
      <c r="B861" s="328"/>
      <c r="C861" s="328"/>
      <c r="D861" s="328"/>
      <c r="E861" s="328"/>
      <c r="F861" s="328"/>
      <c r="G861" s="328"/>
      <c r="H861" s="328"/>
      <c r="I861" s="328"/>
      <c r="J861" s="328"/>
      <c r="K861" s="328"/>
      <c r="L861" s="328"/>
      <c r="M861" s="328"/>
      <c r="N861" s="328"/>
      <c r="O861" s="328"/>
      <c r="P861" s="328"/>
      <c r="Q861" s="328"/>
      <c r="R861" s="328"/>
      <c r="S861" s="328"/>
      <c r="T861" s="328"/>
      <c r="U861" s="328"/>
      <c r="V861" s="328"/>
    </row>
    <row r="862" ht="15.75" customHeight="1">
      <c r="A862" s="328"/>
      <c r="B862" s="328"/>
      <c r="C862" s="328"/>
      <c r="D862" s="328"/>
      <c r="E862" s="328"/>
      <c r="F862" s="328"/>
      <c r="G862" s="328"/>
      <c r="H862" s="328"/>
      <c r="I862" s="328"/>
      <c r="J862" s="328"/>
      <c r="K862" s="328"/>
      <c r="L862" s="328"/>
      <c r="M862" s="328"/>
      <c r="N862" s="328"/>
      <c r="O862" s="328"/>
      <c r="P862" s="328"/>
      <c r="Q862" s="328"/>
      <c r="R862" s="328"/>
      <c r="S862" s="328"/>
      <c r="T862" s="328"/>
      <c r="U862" s="328"/>
      <c r="V862" s="328"/>
    </row>
    <row r="863" ht="15.75" customHeight="1">
      <c r="A863" s="328"/>
      <c r="B863" s="328"/>
      <c r="C863" s="328"/>
      <c r="D863" s="328"/>
      <c r="E863" s="328"/>
      <c r="F863" s="328"/>
      <c r="G863" s="328"/>
      <c r="H863" s="328"/>
      <c r="I863" s="328"/>
      <c r="J863" s="328"/>
      <c r="K863" s="328"/>
      <c r="L863" s="328"/>
      <c r="M863" s="328"/>
      <c r="N863" s="328"/>
      <c r="O863" s="328"/>
      <c r="P863" s="328"/>
      <c r="Q863" s="328"/>
      <c r="R863" s="328"/>
      <c r="S863" s="328"/>
      <c r="T863" s="328"/>
      <c r="U863" s="328"/>
      <c r="V863" s="328"/>
    </row>
    <row r="864" ht="15.75" customHeight="1">
      <c r="A864" s="328"/>
      <c r="B864" s="328"/>
      <c r="C864" s="328"/>
      <c r="D864" s="328"/>
      <c r="E864" s="328"/>
      <c r="F864" s="328"/>
      <c r="G864" s="328"/>
      <c r="H864" s="328"/>
      <c r="I864" s="328"/>
      <c r="J864" s="328"/>
      <c r="K864" s="328"/>
      <c r="L864" s="328"/>
      <c r="M864" s="328"/>
      <c r="N864" s="328"/>
      <c r="O864" s="328"/>
      <c r="P864" s="328"/>
      <c r="Q864" s="328"/>
      <c r="R864" s="328"/>
      <c r="S864" s="328"/>
      <c r="T864" s="328"/>
      <c r="U864" s="328"/>
      <c r="V864" s="328"/>
    </row>
    <row r="865" ht="15.75" customHeight="1">
      <c r="A865" s="328"/>
      <c r="B865" s="328"/>
      <c r="C865" s="328"/>
      <c r="D865" s="328"/>
      <c r="E865" s="328"/>
      <c r="F865" s="328"/>
      <c r="G865" s="328"/>
      <c r="H865" s="328"/>
      <c r="I865" s="328"/>
      <c r="J865" s="328"/>
      <c r="K865" s="328"/>
      <c r="L865" s="328"/>
      <c r="M865" s="328"/>
      <c r="N865" s="328"/>
      <c r="O865" s="328"/>
      <c r="P865" s="328"/>
      <c r="Q865" s="328"/>
      <c r="R865" s="328"/>
      <c r="S865" s="328"/>
      <c r="T865" s="328"/>
      <c r="U865" s="328"/>
      <c r="V865" s="328"/>
    </row>
    <row r="866" ht="15.75" customHeight="1">
      <c r="A866" s="328"/>
      <c r="B866" s="328"/>
      <c r="C866" s="328"/>
      <c r="D866" s="328"/>
      <c r="E866" s="328"/>
      <c r="F866" s="328"/>
      <c r="G866" s="328"/>
      <c r="H866" s="328"/>
      <c r="I866" s="328"/>
      <c r="J866" s="328"/>
      <c r="K866" s="328"/>
      <c r="L866" s="328"/>
      <c r="M866" s="328"/>
      <c r="N866" s="328"/>
      <c r="O866" s="328"/>
      <c r="P866" s="328"/>
      <c r="Q866" s="328"/>
      <c r="R866" s="328"/>
      <c r="S866" s="328"/>
      <c r="T866" s="328"/>
      <c r="U866" s="328"/>
      <c r="V866" s="328"/>
    </row>
    <row r="867" ht="15.75" customHeight="1">
      <c r="A867" s="328"/>
      <c r="B867" s="328"/>
      <c r="C867" s="328"/>
      <c r="D867" s="328"/>
      <c r="E867" s="328"/>
      <c r="F867" s="328"/>
      <c r="G867" s="328"/>
      <c r="H867" s="328"/>
      <c r="I867" s="328"/>
      <c r="J867" s="328"/>
      <c r="K867" s="328"/>
      <c r="L867" s="328"/>
      <c r="M867" s="328"/>
      <c r="N867" s="328"/>
      <c r="O867" s="328"/>
      <c r="P867" s="328"/>
      <c r="Q867" s="328"/>
      <c r="R867" s="328"/>
      <c r="S867" s="328"/>
      <c r="T867" s="328"/>
      <c r="U867" s="328"/>
      <c r="V867" s="328"/>
    </row>
    <row r="868" ht="15.75" customHeight="1">
      <c r="A868" s="328"/>
      <c r="B868" s="328"/>
      <c r="C868" s="328"/>
      <c r="D868" s="328"/>
      <c r="E868" s="328"/>
      <c r="F868" s="328"/>
      <c r="G868" s="328"/>
      <c r="H868" s="328"/>
      <c r="I868" s="328"/>
      <c r="J868" s="328"/>
      <c r="K868" s="328"/>
      <c r="L868" s="328"/>
      <c r="M868" s="328"/>
      <c r="N868" s="328"/>
      <c r="O868" s="328"/>
      <c r="P868" s="328"/>
      <c r="Q868" s="328"/>
      <c r="R868" s="328"/>
      <c r="S868" s="328"/>
      <c r="T868" s="328"/>
      <c r="U868" s="328"/>
      <c r="V868" s="328"/>
    </row>
    <row r="869" ht="15.75" customHeight="1">
      <c r="A869" s="328"/>
      <c r="B869" s="328"/>
      <c r="C869" s="328"/>
      <c r="D869" s="328"/>
      <c r="E869" s="328"/>
      <c r="F869" s="328"/>
      <c r="G869" s="328"/>
      <c r="H869" s="328"/>
      <c r="I869" s="328"/>
      <c r="J869" s="328"/>
      <c r="K869" s="328"/>
      <c r="L869" s="328"/>
      <c r="M869" s="328"/>
      <c r="N869" s="328"/>
      <c r="O869" s="328"/>
      <c r="P869" s="328"/>
      <c r="Q869" s="328"/>
      <c r="R869" s="328"/>
      <c r="S869" s="328"/>
      <c r="T869" s="328"/>
      <c r="U869" s="328"/>
      <c r="V869" s="328"/>
    </row>
    <row r="870" ht="15.75" customHeight="1">
      <c r="A870" s="328"/>
      <c r="B870" s="328"/>
      <c r="C870" s="328"/>
      <c r="D870" s="328"/>
      <c r="E870" s="328"/>
      <c r="F870" s="328"/>
      <c r="G870" s="328"/>
      <c r="H870" s="328"/>
      <c r="I870" s="328"/>
      <c r="J870" s="328"/>
      <c r="K870" s="328"/>
      <c r="L870" s="328"/>
      <c r="M870" s="328"/>
      <c r="N870" s="328"/>
      <c r="O870" s="328"/>
      <c r="P870" s="328"/>
      <c r="Q870" s="328"/>
      <c r="R870" s="328"/>
      <c r="S870" s="328"/>
      <c r="T870" s="328"/>
      <c r="U870" s="328"/>
      <c r="V870" s="328"/>
    </row>
    <row r="871" ht="15.75" customHeight="1">
      <c r="A871" s="328"/>
      <c r="B871" s="328"/>
      <c r="C871" s="328"/>
      <c r="D871" s="328"/>
      <c r="E871" s="328"/>
      <c r="F871" s="328"/>
      <c r="G871" s="328"/>
      <c r="H871" s="328"/>
      <c r="I871" s="328"/>
      <c r="J871" s="328"/>
      <c r="K871" s="328"/>
      <c r="L871" s="328"/>
      <c r="M871" s="328"/>
      <c r="N871" s="328"/>
      <c r="O871" s="328"/>
      <c r="P871" s="328"/>
      <c r="Q871" s="328"/>
      <c r="R871" s="328"/>
      <c r="S871" s="328"/>
      <c r="T871" s="328"/>
      <c r="U871" s="328"/>
      <c r="V871" s="328"/>
    </row>
    <row r="872" ht="15.75" customHeight="1">
      <c r="A872" s="328"/>
      <c r="B872" s="328"/>
      <c r="C872" s="328"/>
      <c r="D872" s="328"/>
      <c r="E872" s="328"/>
      <c r="F872" s="328"/>
      <c r="G872" s="328"/>
      <c r="H872" s="328"/>
      <c r="I872" s="328"/>
      <c r="J872" s="328"/>
      <c r="K872" s="328"/>
      <c r="L872" s="328"/>
      <c r="M872" s="328"/>
      <c r="N872" s="328"/>
      <c r="O872" s="328"/>
      <c r="P872" s="328"/>
      <c r="Q872" s="328"/>
      <c r="R872" s="328"/>
      <c r="S872" s="328"/>
      <c r="T872" s="328"/>
      <c r="U872" s="328"/>
      <c r="V872" s="328"/>
    </row>
    <row r="873" ht="15.75" customHeight="1">
      <c r="A873" s="328"/>
      <c r="B873" s="328"/>
      <c r="C873" s="328"/>
      <c r="D873" s="328"/>
      <c r="E873" s="328"/>
      <c r="F873" s="328"/>
      <c r="G873" s="328"/>
      <c r="H873" s="328"/>
      <c r="I873" s="328"/>
      <c r="J873" s="328"/>
      <c r="K873" s="328"/>
      <c r="L873" s="328"/>
      <c r="M873" s="328"/>
      <c r="N873" s="328"/>
      <c r="O873" s="328"/>
      <c r="P873" s="328"/>
      <c r="Q873" s="328"/>
      <c r="R873" s="328"/>
      <c r="S873" s="328"/>
      <c r="T873" s="328"/>
      <c r="U873" s="328"/>
      <c r="V873" s="328"/>
    </row>
    <row r="874" ht="15.75" customHeight="1">
      <c r="A874" s="328"/>
      <c r="B874" s="328"/>
      <c r="C874" s="328"/>
      <c r="D874" s="328"/>
      <c r="E874" s="328"/>
      <c r="F874" s="328"/>
      <c r="G874" s="328"/>
      <c r="H874" s="328"/>
      <c r="I874" s="328"/>
      <c r="J874" s="328"/>
      <c r="K874" s="328"/>
      <c r="L874" s="328"/>
      <c r="M874" s="328"/>
      <c r="N874" s="328"/>
      <c r="O874" s="328"/>
      <c r="P874" s="328"/>
      <c r="Q874" s="328"/>
      <c r="R874" s="328"/>
      <c r="S874" s="328"/>
      <c r="T874" s="328"/>
      <c r="U874" s="328"/>
      <c r="V874" s="328"/>
    </row>
    <row r="875" ht="15.75" customHeight="1">
      <c r="A875" s="328"/>
      <c r="B875" s="328"/>
      <c r="C875" s="328"/>
      <c r="D875" s="328"/>
      <c r="E875" s="328"/>
      <c r="F875" s="328"/>
      <c r="G875" s="328"/>
      <c r="H875" s="328"/>
      <c r="I875" s="328"/>
      <c r="J875" s="328"/>
      <c r="K875" s="328"/>
      <c r="L875" s="328"/>
      <c r="M875" s="328"/>
      <c r="N875" s="328"/>
      <c r="O875" s="328"/>
      <c r="P875" s="328"/>
      <c r="Q875" s="328"/>
      <c r="R875" s="328"/>
      <c r="S875" s="328"/>
      <c r="T875" s="328"/>
      <c r="U875" s="328"/>
      <c r="V875" s="328"/>
    </row>
    <row r="876" ht="15.75" customHeight="1">
      <c r="A876" s="328"/>
      <c r="B876" s="328"/>
      <c r="C876" s="328"/>
      <c r="D876" s="328"/>
      <c r="E876" s="328"/>
      <c r="F876" s="328"/>
      <c r="G876" s="328"/>
      <c r="H876" s="328"/>
      <c r="I876" s="328"/>
      <c r="J876" s="328"/>
      <c r="K876" s="328"/>
      <c r="L876" s="328"/>
      <c r="M876" s="328"/>
      <c r="N876" s="328"/>
      <c r="O876" s="328"/>
      <c r="P876" s="328"/>
      <c r="Q876" s="328"/>
      <c r="R876" s="328"/>
      <c r="S876" s="328"/>
      <c r="T876" s="328"/>
      <c r="U876" s="328"/>
      <c r="V876" s="328"/>
    </row>
    <row r="877" ht="15.75" customHeight="1">
      <c r="A877" s="328"/>
      <c r="B877" s="328"/>
      <c r="C877" s="328"/>
      <c r="D877" s="328"/>
      <c r="E877" s="328"/>
      <c r="F877" s="328"/>
      <c r="G877" s="328"/>
      <c r="H877" s="328"/>
      <c r="I877" s="328"/>
      <c r="J877" s="328"/>
      <c r="K877" s="328"/>
      <c r="L877" s="328"/>
      <c r="M877" s="328"/>
      <c r="N877" s="328"/>
      <c r="O877" s="328"/>
      <c r="P877" s="328"/>
      <c r="Q877" s="328"/>
      <c r="R877" s="328"/>
      <c r="S877" s="328"/>
      <c r="T877" s="328"/>
      <c r="U877" s="328"/>
      <c r="V877" s="328"/>
    </row>
    <row r="878" ht="15.75" customHeight="1">
      <c r="A878" s="328"/>
      <c r="B878" s="328"/>
      <c r="C878" s="328"/>
      <c r="D878" s="328"/>
      <c r="E878" s="328"/>
      <c r="F878" s="328"/>
      <c r="G878" s="328"/>
      <c r="H878" s="328"/>
      <c r="I878" s="328"/>
      <c r="J878" s="328"/>
      <c r="K878" s="328"/>
      <c r="L878" s="328"/>
      <c r="M878" s="328"/>
      <c r="N878" s="328"/>
      <c r="O878" s="328"/>
      <c r="P878" s="328"/>
      <c r="Q878" s="328"/>
      <c r="R878" s="328"/>
      <c r="S878" s="328"/>
      <c r="T878" s="328"/>
      <c r="U878" s="328"/>
      <c r="V878" s="328"/>
    </row>
    <row r="879" ht="15.75" customHeight="1">
      <c r="A879" s="328"/>
      <c r="B879" s="328"/>
      <c r="C879" s="328"/>
      <c r="D879" s="328"/>
      <c r="E879" s="328"/>
      <c r="F879" s="328"/>
      <c r="G879" s="328"/>
      <c r="H879" s="328"/>
      <c r="I879" s="328"/>
      <c r="J879" s="328"/>
      <c r="K879" s="328"/>
      <c r="L879" s="328"/>
      <c r="M879" s="328"/>
      <c r="N879" s="328"/>
      <c r="O879" s="328"/>
      <c r="P879" s="328"/>
      <c r="Q879" s="328"/>
      <c r="R879" s="328"/>
      <c r="S879" s="328"/>
      <c r="T879" s="328"/>
      <c r="U879" s="328"/>
      <c r="V879" s="328"/>
    </row>
    <row r="880" ht="15.75" customHeight="1">
      <c r="A880" s="328"/>
      <c r="B880" s="328"/>
      <c r="C880" s="328"/>
      <c r="D880" s="328"/>
      <c r="E880" s="328"/>
      <c r="F880" s="328"/>
      <c r="G880" s="328"/>
      <c r="H880" s="328"/>
      <c r="I880" s="328"/>
      <c r="J880" s="328"/>
      <c r="K880" s="328"/>
      <c r="L880" s="328"/>
      <c r="M880" s="328"/>
      <c r="N880" s="328"/>
      <c r="O880" s="328"/>
      <c r="P880" s="328"/>
      <c r="Q880" s="328"/>
      <c r="R880" s="328"/>
      <c r="S880" s="328"/>
      <c r="T880" s="328"/>
      <c r="U880" s="328"/>
      <c r="V880" s="328"/>
    </row>
    <row r="881" ht="15.75" customHeight="1">
      <c r="A881" s="328"/>
      <c r="B881" s="328"/>
      <c r="C881" s="328"/>
      <c r="D881" s="328"/>
      <c r="E881" s="328"/>
      <c r="F881" s="328"/>
      <c r="G881" s="328"/>
      <c r="H881" s="328"/>
      <c r="I881" s="328"/>
      <c r="J881" s="328"/>
      <c r="K881" s="328"/>
      <c r="L881" s="328"/>
      <c r="M881" s="328"/>
      <c r="N881" s="328"/>
      <c r="O881" s="328"/>
      <c r="P881" s="328"/>
      <c r="Q881" s="328"/>
      <c r="R881" s="328"/>
      <c r="S881" s="328"/>
      <c r="T881" s="328"/>
      <c r="U881" s="328"/>
      <c r="V881" s="328"/>
    </row>
    <row r="882" ht="15.75" customHeight="1">
      <c r="A882" s="328"/>
      <c r="B882" s="328"/>
      <c r="C882" s="328"/>
      <c r="D882" s="328"/>
      <c r="E882" s="328"/>
      <c r="F882" s="328"/>
      <c r="G882" s="328"/>
      <c r="H882" s="328"/>
      <c r="I882" s="328"/>
      <c r="J882" s="328"/>
      <c r="K882" s="328"/>
      <c r="L882" s="328"/>
      <c r="M882" s="328"/>
      <c r="N882" s="328"/>
      <c r="O882" s="328"/>
      <c r="P882" s="328"/>
      <c r="Q882" s="328"/>
      <c r="R882" s="328"/>
      <c r="S882" s="328"/>
      <c r="T882" s="328"/>
      <c r="U882" s="328"/>
      <c r="V882" s="328"/>
    </row>
    <row r="883" ht="15.75" customHeight="1">
      <c r="A883" s="328"/>
      <c r="B883" s="328"/>
      <c r="C883" s="328"/>
      <c r="D883" s="328"/>
      <c r="E883" s="328"/>
      <c r="F883" s="328"/>
      <c r="G883" s="328"/>
      <c r="H883" s="328"/>
      <c r="I883" s="328"/>
      <c r="J883" s="328"/>
      <c r="K883" s="328"/>
      <c r="L883" s="328"/>
      <c r="M883" s="328"/>
      <c r="N883" s="328"/>
      <c r="O883" s="328"/>
      <c r="P883" s="328"/>
      <c r="Q883" s="328"/>
      <c r="R883" s="328"/>
      <c r="S883" s="328"/>
      <c r="T883" s="328"/>
      <c r="U883" s="328"/>
      <c r="V883" s="328"/>
    </row>
    <row r="884" ht="15.75" customHeight="1">
      <c r="A884" s="328"/>
      <c r="B884" s="328"/>
      <c r="C884" s="328"/>
      <c r="D884" s="328"/>
      <c r="E884" s="328"/>
      <c r="F884" s="328"/>
      <c r="G884" s="328"/>
      <c r="H884" s="328"/>
      <c r="I884" s="328"/>
      <c r="J884" s="328"/>
      <c r="K884" s="328"/>
      <c r="L884" s="328"/>
      <c r="M884" s="328"/>
      <c r="N884" s="328"/>
      <c r="O884" s="328"/>
      <c r="P884" s="328"/>
      <c r="Q884" s="328"/>
      <c r="R884" s="328"/>
      <c r="S884" s="328"/>
      <c r="T884" s="328"/>
      <c r="U884" s="328"/>
      <c r="V884" s="328"/>
    </row>
    <row r="885" ht="15.75" customHeight="1">
      <c r="A885" s="328"/>
      <c r="B885" s="328"/>
      <c r="C885" s="328"/>
      <c r="D885" s="328"/>
      <c r="E885" s="328"/>
      <c r="F885" s="328"/>
      <c r="G885" s="328"/>
      <c r="H885" s="328"/>
      <c r="I885" s="328"/>
      <c r="J885" s="328"/>
      <c r="K885" s="328"/>
      <c r="L885" s="328"/>
      <c r="M885" s="328"/>
      <c r="N885" s="328"/>
      <c r="O885" s="328"/>
      <c r="P885" s="328"/>
      <c r="Q885" s="328"/>
      <c r="R885" s="328"/>
      <c r="S885" s="328"/>
      <c r="T885" s="328"/>
      <c r="U885" s="328"/>
      <c r="V885" s="328"/>
    </row>
    <row r="886" ht="15.75" customHeight="1">
      <c r="A886" s="328"/>
      <c r="B886" s="328"/>
      <c r="C886" s="328"/>
      <c r="D886" s="328"/>
      <c r="E886" s="328"/>
      <c r="F886" s="328"/>
      <c r="G886" s="328"/>
      <c r="H886" s="328"/>
      <c r="I886" s="328"/>
      <c r="J886" s="328"/>
      <c r="K886" s="328"/>
      <c r="L886" s="328"/>
      <c r="M886" s="328"/>
      <c r="N886" s="328"/>
      <c r="O886" s="328"/>
      <c r="P886" s="328"/>
      <c r="Q886" s="328"/>
      <c r="R886" s="328"/>
      <c r="S886" s="328"/>
      <c r="T886" s="328"/>
      <c r="U886" s="328"/>
      <c r="V886" s="328"/>
    </row>
    <row r="887" ht="15.75" customHeight="1">
      <c r="A887" s="328"/>
      <c r="B887" s="328"/>
      <c r="C887" s="328"/>
      <c r="D887" s="328"/>
      <c r="E887" s="328"/>
      <c r="F887" s="328"/>
      <c r="G887" s="328"/>
      <c r="H887" s="328"/>
      <c r="I887" s="328"/>
      <c r="J887" s="328"/>
      <c r="K887" s="328"/>
      <c r="L887" s="328"/>
      <c r="M887" s="328"/>
      <c r="N887" s="328"/>
      <c r="O887" s="328"/>
      <c r="P887" s="328"/>
      <c r="Q887" s="328"/>
      <c r="R887" s="328"/>
      <c r="S887" s="328"/>
      <c r="T887" s="328"/>
      <c r="U887" s="328"/>
      <c r="V887" s="328"/>
    </row>
    <row r="888" ht="15.75" customHeight="1">
      <c r="A888" s="328"/>
      <c r="B888" s="328"/>
      <c r="C888" s="328"/>
      <c r="D888" s="328"/>
      <c r="E888" s="328"/>
      <c r="F888" s="328"/>
      <c r="G888" s="328"/>
      <c r="H888" s="328"/>
      <c r="I888" s="328"/>
      <c r="J888" s="328"/>
      <c r="K888" s="328"/>
      <c r="L888" s="328"/>
      <c r="M888" s="328"/>
      <c r="N888" s="328"/>
      <c r="O888" s="328"/>
      <c r="P888" s="328"/>
      <c r="Q888" s="328"/>
      <c r="R888" s="328"/>
      <c r="S888" s="328"/>
      <c r="T888" s="328"/>
      <c r="U888" s="328"/>
      <c r="V888" s="328"/>
    </row>
    <row r="889" ht="15.75" customHeight="1">
      <c r="A889" s="328"/>
      <c r="B889" s="328"/>
      <c r="C889" s="328"/>
      <c r="D889" s="328"/>
      <c r="E889" s="328"/>
      <c r="F889" s="328"/>
      <c r="G889" s="328"/>
      <c r="H889" s="328"/>
      <c r="I889" s="328"/>
      <c r="J889" s="328"/>
      <c r="K889" s="328"/>
      <c r="L889" s="328"/>
      <c r="M889" s="328"/>
      <c r="N889" s="328"/>
      <c r="O889" s="328"/>
      <c r="P889" s="328"/>
      <c r="Q889" s="328"/>
      <c r="R889" s="328"/>
      <c r="S889" s="328"/>
      <c r="T889" s="328"/>
      <c r="U889" s="328"/>
      <c r="V889" s="328"/>
    </row>
    <row r="890" ht="15.75" customHeight="1">
      <c r="A890" s="328"/>
      <c r="B890" s="328"/>
      <c r="C890" s="328"/>
      <c r="D890" s="328"/>
      <c r="E890" s="328"/>
      <c r="F890" s="328"/>
      <c r="G890" s="328"/>
      <c r="H890" s="328"/>
      <c r="I890" s="328"/>
      <c r="J890" s="328"/>
      <c r="K890" s="328"/>
      <c r="L890" s="328"/>
      <c r="M890" s="328"/>
      <c r="N890" s="328"/>
      <c r="O890" s="328"/>
      <c r="P890" s="328"/>
      <c r="Q890" s="328"/>
      <c r="R890" s="328"/>
      <c r="S890" s="328"/>
      <c r="T890" s="328"/>
      <c r="U890" s="328"/>
      <c r="V890" s="328"/>
    </row>
    <row r="891" ht="15.75" customHeight="1">
      <c r="A891" s="328"/>
      <c r="B891" s="328"/>
      <c r="C891" s="328"/>
      <c r="D891" s="328"/>
      <c r="E891" s="328"/>
      <c r="F891" s="328"/>
      <c r="G891" s="328"/>
      <c r="H891" s="328"/>
      <c r="I891" s="328"/>
      <c r="J891" s="328"/>
      <c r="K891" s="328"/>
      <c r="L891" s="328"/>
      <c r="M891" s="328"/>
      <c r="N891" s="328"/>
      <c r="O891" s="328"/>
      <c r="P891" s="328"/>
      <c r="Q891" s="328"/>
      <c r="R891" s="328"/>
      <c r="S891" s="328"/>
      <c r="T891" s="328"/>
      <c r="U891" s="328"/>
      <c r="V891" s="328"/>
    </row>
    <row r="892" ht="15.75" customHeight="1">
      <c r="A892" s="328"/>
      <c r="B892" s="328"/>
      <c r="C892" s="328"/>
      <c r="D892" s="328"/>
      <c r="E892" s="328"/>
      <c r="F892" s="328"/>
      <c r="G892" s="328"/>
      <c r="H892" s="328"/>
      <c r="I892" s="328"/>
      <c r="J892" s="328"/>
      <c r="K892" s="328"/>
      <c r="L892" s="328"/>
      <c r="M892" s="328"/>
      <c r="N892" s="328"/>
      <c r="O892" s="328"/>
      <c r="P892" s="328"/>
      <c r="Q892" s="328"/>
      <c r="R892" s="328"/>
      <c r="S892" s="328"/>
      <c r="T892" s="328"/>
      <c r="U892" s="328"/>
      <c r="V892" s="328"/>
    </row>
    <row r="893" ht="15.75" customHeight="1">
      <c r="A893" s="328"/>
      <c r="B893" s="328"/>
      <c r="C893" s="328"/>
      <c r="D893" s="328"/>
      <c r="E893" s="328"/>
      <c r="F893" s="328"/>
      <c r="G893" s="328"/>
      <c r="H893" s="328"/>
      <c r="I893" s="328"/>
      <c r="J893" s="328"/>
      <c r="K893" s="328"/>
      <c r="L893" s="328"/>
      <c r="M893" s="328"/>
      <c r="N893" s="328"/>
      <c r="O893" s="328"/>
      <c r="P893" s="328"/>
      <c r="Q893" s="328"/>
      <c r="R893" s="328"/>
      <c r="S893" s="328"/>
      <c r="T893" s="328"/>
      <c r="U893" s="328"/>
      <c r="V893" s="328"/>
    </row>
    <row r="894" ht="15.75" customHeight="1">
      <c r="A894" s="328"/>
      <c r="B894" s="328"/>
      <c r="C894" s="328"/>
      <c r="D894" s="328"/>
      <c r="E894" s="328"/>
      <c r="F894" s="328"/>
      <c r="G894" s="328"/>
      <c r="H894" s="328"/>
      <c r="I894" s="328"/>
      <c r="J894" s="328"/>
      <c r="K894" s="328"/>
      <c r="L894" s="328"/>
      <c r="M894" s="328"/>
      <c r="N894" s="328"/>
      <c r="O894" s="328"/>
      <c r="P894" s="328"/>
      <c r="Q894" s="328"/>
      <c r="R894" s="328"/>
      <c r="S894" s="328"/>
      <c r="T894" s="328"/>
      <c r="U894" s="328"/>
      <c r="V894" s="328"/>
    </row>
    <row r="895" ht="15.75" customHeight="1">
      <c r="A895" s="328"/>
      <c r="B895" s="328"/>
      <c r="C895" s="328"/>
      <c r="D895" s="328"/>
      <c r="E895" s="328"/>
      <c r="F895" s="328"/>
      <c r="G895" s="328"/>
      <c r="H895" s="328"/>
      <c r="I895" s="328"/>
      <c r="J895" s="328"/>
      <c r="K895" s="328"/>
      <c r="L895" s="328"/>
      <c r="M895" s="328"/>
      <c r="N895" s="328"/>
      <c r="O895" s="328"/>
      <c r="P895" s="328"/>
      <c r="Q895" s="328"/>
      <c r="R895" s="328"/>
      <c r="S895" s="328"/>
      <c r="T895" s="328"/>
      <c r="U895" s="328"/>
      <c r="V895" s="328"/>
    </row>
    <row r="896" ht="15.75" customHeight="1">
      <c r="A896" s="328"/>
      <c r="B896" s="328"/>
      <c r="C896" s="328"/>
      <c r="D896" s="328"/>
      <c r="E896" s="328"/>
      <c r="F896" s="328"/>
      <c r="G896" s="328"/>
      <c r="H896" s="328"/>
      <c r="I896" s="328"/>
      <c r="J896" s="328"/>
      <c r="K896" s="328"/>
      <c r="L896" s="328"/>
      <c r="M896" s="328"/>
      <c r="N896" s="328"/>
      <c r="O896" s="328"/>
      <c r="P896" s="328"/>
      <c r="Q896" s="328"/>
      <c r="R896" s="328"/>
      <c r="S896" s="328"/>
      <c r="T896" s="328"/>
      <c r="U896" s="328"/>
      <c r="V896" s="328"/>
    </row>
    <row r="897" ht="15.75" customHeight="1">
      <c r="A897" s="328"/>
      <c r="B897" s="328"/>
      <c r="C897" s="328"/>
      <c r="D897" s="328"/>
      <c r="E897" s="328"/>
      <c r="F897" s="328"/>
      <c r="G897" s="328"/>
      <c r="H897" s="328"/>
      <c r="I897" s="328"/>
      <c r="J897" s="328"/>
      <c r="K897" s="328"/>
      <c r="L897" s="328"/>
      <c r="M897" s="328"/>
      <c r="N897" s="328"/>
      <c r="O897" s="328"/>
      <c r="P897" s="328"/>
      <c r="Q897" s="328"/>
      <c r="R897" s="328"/>
      <c r="S897" s="328"/>
      <c r="T897" s="328"/>
      <c r="U897" s="328"/>
      <c r="V897" s="328"/>
    </row>
    <row r="898" ht="15.75" customHeight="1">
      <c r="A898" s="328"/>
      <c r="B898" s="328"/>
      <c r="C898" s="328"/>
      <c r="D898" s="328"/>
      <c r="E898" s="328"/>
      <c r="F898" s="328"/>
      <c r="G898" s="328"/>
      <c r="H898" s="328"/>
      <c r="I898" s="328"/>
      <c r="J898" s="328"/>
      <c r="K898" s="328"/>
      <c r="L898" s="328"/>
      <c r="M898" s="328"/>
      <c r="N898" s="328"/>
      <c r="O898" s="328"/>
      <c r="P898" s="328"/>
      <c r="Q898" s="328"/>
      <c r="R898" s="328"/>
      <c r="S898" s="328"/>
      <c r="T898" s="328"/>
      <c r="U898" s="328"/>
      <c r="V898" s="328"/>
    </row>
    <row r="899" ht="15.75" customHeight="1">
      <c r="A899" s="328"/>
      <c r="B899" s="328"/>
      <c r="C899" s="328"/>
      <c r="D899" s="328"/>
      <c r="E899" s="328"/>
      <c r="F899" s="328"/>
      <c r="G899" s="328"/>
      <c r="H899" s="328"/>
      <c r="I899" s="328"/>
      <c r="J899" s="328"/>
      <c r="K899" s="328"/>
      <c r="L899" s="328"/>
      <c r="M899" s="328"/>
      <c r="N899" s="328"/>
      <c r="O899" s="328"/>
      <c r="P899" s="328"/>
      <c r="Q899" s="328"/>
      <c r="R899" s="328"/>
      <c r="S899" s="328"/>
      <c r="T899" s="328"/>
      <c r="U899" s="328"/>
      <c r="V899" s="328"/>
    </row>
    <row r="900" ht="15.75" customHeight="1">
      <c r="A900" s="328"/>
      <c r="B900" s="328"/>
      <c r="C900" s="328"/>
      <c r="D900" s="328"/>
      <c r="E900" s="328"/>
      <c r="F900" s="328"/>
      <c r="G900" s="328"/>
      <c r="H900" s="328"/>
      <c r="I900" s="328"/>
      <c r="J900" s="328"/>
      <c r="K900" s="328"/>
      <c r="L900" s="328"/>
      <c r="M900" s="328"/>
      <c r="N900" s="328"/>
      <c r="O900" s="328"/>
      <c r="P900" s="328"/>
      <c r="Q900" s="328"/>
      <c r="R900" s="328"/>
      <c r="S900" s="328"/>
      <c r="T900" s="328"/>
      <c r="U900" s="328"/>
      <c r="V900" s="328"/>
    </row>
    <row r="901" ht="15.75" customHeight="1">
      <c r="A901" s="328"/>
      <c r="B901" s="328"/>
      <c r="C901" s="328"/>
      <c r="D901" s="328"/>
      <c r="E901" s="328"/>
      <c r="F901" s="328"/>
      <c r="G901" s="328"/>
      <c r="H901" s="328"/>
      <c r="I901" s="328"/>
      <c r="J901" s="328"/>
      <c r="K901" s="328"/>
      <c r="L901" s="328"/>
      <c r="M901" s="328"/>
      <c r="N901" s="328"/>
      <c r="O901" s="328"/>
      <c r="P901" s="328"/>
      <c r="Q901" s="328"/>
      <c r="R901" s="328"/>
      <c r="S901" s="328"/>
      <c r="T901" s="328"/>
      <c r="U901" s="328"/>
      <c r="V901" s="328"/>
    </row>
    <row r="902" ht="15.75" customHeight="1">
      <c r="A902" s="328"/>
      <c r="B902" s="328"/>
      <c r="C902" s="328"/>
      <c r="D902" s="328"/>
      <c r="E902" s="328"/>
      <c r="F902" s="328"/>
      <c r="G902" s="328"/>
      <c r="H902" s="328"/>
      <c r="I902" s="328"/>
      <c r="J902" s="328"/>
      <c r="K902" s="328"/>
      <c r="L902" s="328"/>
      <c r="M902" s="328"/>
      <c r="N902" s="328"/>
      <c r="O902" s="328"/>
      <c r="P902" s="328"/>
      <c r="Q902" s="328"/>
      <c r="R902" s="328"/>
      <c r="S902" s="328"/>
      <c r="T902" s="328"/>
      <c r="U902" s="328"/>
      <c r="V902" s="328"/>
    </row>
    <row r="903" ht="15.75" customHeight="1">
      <c r="A903" s="328"/>
      <c r="B903" s="328"/>
      <c r="C903" s="328"/>
      <c r="D903" s="328"/>
      <c r="E903" s="328"/>
      <c r="F903" s="328"/>
      <c r="G903" s="328"/>
      <c r="H903" s="328"/>
      <c r="I903" s="328"/>
      <c r="J903" s="328"/>
      <c r="K903" s="328"/>
      <c r="L903" s="328"/>
      <c r="M903" s="328"/>
      <c r="N903" s="328"/>
      <c r="O903" s="328"/>
      <c r="P903" s="328"/>
      <c r="Q903" s="328"/>
      <c r="R903" s="328"/>
      <c r="S903" s="328"/>
      <c r="T903" s="328"/>
      <c r="U903" s="328"/>
      <c r="V903" s="328"/>
    </row>
    <row r="904" ht="15.75" customHeight="1">
      <c r="A904" s="328"/>
      <c r="B904" s="328"/>
      <c r="C904" s="328"/>
      <c r="D904" s="328"/>
      <c r="E904" s="328"/>
      <c r="F904" s="328"/>
      <c r="G904" s="328"/>
      <c r="H904" s="328"/>
      <c r="I904" s="328"/>
      <c r="J904" s="328"/>
      <c r="K904" s="328"/>
      <c r="L904" s="328"/>
      <c r="M904" s="328"/>
      <c r="N904" s="328"/>
      <c r="O904" s="328"/>
      <c r="P904" s="328"/>
      <c r="Q904" s="328"/>
      <c r="R904" s="328"/>
      <c r="S904" s="328"/>
      <c r="T904" s="328"/>
      <c r="U904" s="328"/>
      <c r="V904" s="328"/>
    </row>
    <row r="905" ht="15.75" customHeight="1">
      <c r="A905" s="328"/>
      <c r="B905" s="328"/>
      <c r="C905" s="328"/>
      <c r="D905" s="328"/>
      <c r="E905" s="328"/>
      <c r="F905" s="328"/>
      <c r="G905" s="328"/>
      <c r="H905" s="328"/>
      <c r="I905" s="328"/>
      <c r="J905" s="328"/>
      <c r="K905" s="328"/>
      <c r="L905" s="328"/>
      <c r="M905" s="328"/>
      <c r="N905" s="328"/>
      <c r="O905" s="328"/>
      <c r="P905" s="328"/>
      <c r="Q905" s="328"/>
      <c r="R905" s="328"/>
      <c r="S905" s="328"/>
      <c r="T905" s="328"/>
      <c r="U905" s="328"/>
      <c r="V905" s="328"/>
    </row>
    <row r="906" ht="15.75" customHeight="1">
      <c r="A906" s="328"/>
      <c r="B906" s="328"/>
      <c r="C906" s="328"/>
      <c r="D906" s="328"/>
      <c r="E906" s="328"/>
      <c r="F906" s="328"/>
      <c r="G906" s="328"/>
      <c r="H906" s="328"/>
      <c r="I906" s="328"/>
      <c r="J906" s="328"/>
      <c r="K906" s="328"/>
      <c r="L906" s="328"/>
      <c r="M906" s="328"/>
      <c r="N906" s="328"/>
      <c r="O906" s="328"/>
      <c r="P906" s="328"/>
      <c r="Q906" s="328"/>
      <c r="R906" s="328"/>
      <c r="S906" s="328"/>
      <c r="T906" s="328"/>
      <c r="U906" s="328"/>
      <c r="V906" s="328"/>
    </row>
    <row r="907" ht="15.75" customHeight="1">
      <c r="A907" s="328"/>
      <c r="B907" s="328"/>
      <c r="C907" s="328"/>
      <c r="D907" s="328"/>
      <c r="E907" s="328"/>
      <c r="F907" s="328"/>
      <c r="G907" s="328"/>
      <c r="H907" s="328"/>
      <c r="I907" s="328"/>
      <c r="J907" s="328"/>
      <c r="K907" s="328"/>
      <c r="L907" s="328"/>
      <c r="M907" s="328"/>
      <c r="N907" s="328"/>
      <c r="O907" s="328"/>
      <c r="P907" s="328"/>
      <c r="Q907" s="328"/>
      <c r="R907" s="328"/>
      <c r="S907" s="328"/>
      <c r="T907" s="328"/>
      <c r="U907" s="328"/>
      <c r="V907" s="328"/>
    </row>
    <row r="908" ht="15.75" customHeight="1">
      <c r="A908" s="328"/>
      <c r="B908" s="328"/>
      <c r="C908" s="328"/>
      <c r="D908" s="328"/>
      <c r="E908" s="328"/>
      <c r="F908" s="328"/>
      <c r="G908" s="328"/>
      <c r="H908" s="328"/>
      <c r="I908" s="328"/>
      <c r="J908" s="328"/>
      <c r="K908" s="328"/>
      <c r="L908" s="328"/>
      <c r="M908" s="328"/>
      <c r="N908" s="328"/>
      <c r="O908" s="328"/>
      <c r="P908" s="328"/>
      <c r="Q908" s="328"/>
      <c r="R908" s="328"/>
      <c r="S908" s="328"/>
      <c r="T908" s="328"/>
      <c r="U908" s="328"/>
      <c r="V908" s="328"/>
    </row>
    <row r="909" ht="15.75" customHeight="1">
      <c r="A909" s="328"/>
      <c r="B909" s="328"/>
      <c r="C909" s="328"/>
      <c r="D909" s="328"/>
      <c r="E909" s="328"/>
      <c r="F909" s="328"/>
      <c r="G909" s="328"/>
      <c r="H909" s="328"/>
      <c r="I909" s="328"/>
      <c r="J909" s="328"/>
      <c r="K909" s="328"/>
      <c r="L909" s="328"/>
      <c r="M909" s="328"/>
      <c r="N909" s="328"/>
      <c r="O909" s="328"/>
      <c r="P909" s="328"/>
      <c r="Q909" s="328"/>
      <c r="R909" s="328"/>
      <c r="S909" s="328"/>
      <c r="T909" s="328"/>
      <c r="U909" s="328"/>
      <c r="V909" s="328"/>
    </row>
    <row r="910" ht="15.75" customHeight="1">
      <c r="A910" s="328"/>
      <c r="B910" s="328"/>
      <c r="C910" s="328"/>
      <c r="D910" s="328"/>
      <c r="E910" s="328"/>
      <c r="F910" s="328"/>
      <c r="G910" s="328"/>
      <c r="H910" s="328"/>
      <c r="I910" s="328"/>
      <c r="J910" s="328"/>
      <c r="K910" s="328"/>
      <c r="L910" s="328"/>
      <c r="M910" s="328"/>
      <c r="N910" s="328"/>
      <c r="O910" s="328"/>
      <c r="P910" s="328"/>
      <c r="Q910" s="328"/>
      <c r="R910" s="328"/>
      <c r="S910" s="328"/>
      <c r="T910" s="328"/>
      <c r="U910" s="328"/>
      <c r="V910" s="328"/>
    </row>
    <row r="911" ht="15.75" customHeight="1">
      <c r="A911" s="328"/>
      <c r="B911" s="328"/>
      <c r="C911" s="328"/>
      <c r="D911" s="328"/>
      <c r="E911" s="328"/>
      <c r="F911" s="328"/>
      <c r="G911" s="328"/>
      <c r="H911" s="328"/>
      <c r="I911" s="328"/>
      <c r="J911" s="328"/>
      <c r="K911" s="328"/>
      <c r="L911" s="328"/>
      <c r="M911" s="328"/>
      <c r="N911" s="328"/>
      <c r="O911" s="328"/>
      <c r="P911" s="328"/>
      <c r="Q911" s="328"/>
      <c r="R911" s="328"/>
      <c r="S911" s="328"/>
      <c r="T911" s="328"/>
      <c r="U911" s="328"/>
      <c r="V911" s="328"/>
    </row>
    <row r="912" ht="15.75" customHeight="1">
      <c r="A912" s="328"/>
      <c r="B912" s="328"/>
      <c r="C912" s="328"/>
      <c r="D912" s="328"/>
      <c r="E912" s="328"/>
      <c r="F912" s="328"/>
      <c r="G912" s="328"/>
      <c r="H912" s="328"/>
      <c r="I912" s="328"/>
      <c r="J912" s="328"/>
      <c r="K912" s="328"/>
      <c r="L912" s="328"/>
      <c r="M912" s="328"/>
      <c r="N912" s="328"/>
      <c r="O912" s="328"/>
      <c r="P912" s="328"/>
      <c r="Q912" s="328"/>
      <c r="R912" s="328"/>
      <c r="S912" s="328"/>
      <c r="T912" s="328"/>
      <c r="U912" s="328"/>
      <c r="V912" s="328"/>
    </row>
    <row r="913" ht="15.75" customHeight="1">
      <c r="A913" s="328"/>
      <c r="B913" s="328"/>
      <c r="C913" s="328"/>
      <c r="D913" s="328"/>
      <c r="E913" s="328"/>
      <c r="F913" s="328"/>
      <c r="G913" s="328"/>
      <c r="H913" s="328"/>
      <c r="I913" s="328"/>
      <c r="J913" s="328"/>
      <c r="K913" s="328"/>
      <c r="L913" s="328"/>
      <c r="M913" s="328"/>
      <c r="N913" s="328"/>
      <c r="O913" s="328"/>
      <c r="P913" s="328"/>
      <c r="Q913" s="328"/>
      <c r="R913" s="328"/>
      <c r="S913" s="328"/>
      <c r="T913" s="328"/>
      <c r="U913" s="328"/>
      <c r="V913" s="328"/>
    </row>
    <row r="914" ht="15.75" customHeight="1">
      <c r="A914" s="328"/>
      <c r="B914" s="328"/>
      <c r="C914" s="328"/>
      <c r="D914" s="328"/>
      <c r="E914" s="328"/>
      <c r="F914" s="328"/>
      <c r="G914" s="328"/>
      <c r="H914" s="328"/>
      <c r="I914" s="328"/>
      <c r="J914" s="328"/>
      <c r="K914" s="328"/>
      <c r="L914" s="328"/>
      <c r="M914" s="328"/>
      <c r="N914" s="328"/>
      <c r="O914" s="328"/>
      <c r="P914" s="328"/>
      <c r="Q914" s="328"/>
      <c r="R914" s="328"/>
      <c r="S914" s="328"/>
      <c r="T914" s="328"/>
      <c r="U914" s="328"/>
      <c r="V914" s="328"/>
    </row>
    <row r="915" ht="15.75" customHeight="1">
      <c r="A915" s="328"/>
      <c r="B915" s="328"/>
      <c r="C915" s="328"/>
      <c r="D915" s="328"/>
      <c r="E915" s="328"/>
      <c r="F915" s="328"/>
      <c r="G915" s="328"/>
      <c r="H915" s="328"/>
      <c r="I915" s="328"/>
      <c r="J915" s="328"/>
      <c r="K915" s="328"/>
      <c r="L915" s="328"/>
      <c r="M915" s="328"/>
      <c r="N915" s="328"/>
      <c r="O915" s="328"/>
      <c r="P915" s="328"/>
      <c r="Q915" s="328"/>
      <c r="R915" s="328"/>
      <c r="S915" s="328"/>
      <c r="T915" s="328"/>
      <c r="U915" s="328"/>
      <c r="V915" s="328"/>
    </row>
    <row r="916" ht="15.75" customHeight="1">
      <c r="A916" s="328"/>
      <c r="B916" s="328"/>
      <c r="C916" s="328"/>
      <c r="D916" s="328"/>
      <c r="E916" s="328"/>
      <c r="F916" s="328"/>
      <c r="G916" s="328"/>
      <c r="H916" s="328"/>
      <c r="I916" s="328"/>
      <c r="J916" s="328"/>
      <c r="K916" s="328"/>
      <c r="L916" s="328"/>
      <c r="M916" s="328"/>
      <c r="N916" s="328"/>
      <c r="O916" s="328"/>
      <c r="P916" s="328"/>
      <c r="Q916" s="328"/>
      <c r="R916" s="328"/>
      <c r="S916" s="328"/>
      <c r="T916" s="328"/>
      <c r="U916" s="328"/>
      <c r="V916" s="328"/>
    </row>
    <row r="917" ht="15.75" customHeight="1">
      <c r="A917" s="328"/>
      <c r="B917" s="328"/>
      <c r="C917" s="328"/>
      <c r="D917" s="328"/>
      <c r="E917" s="328"/>
      <c r="F917" s="328"/>
      <c r="G917" s="328"/>
      <c r="H917" s="328"/>
      <c r="I917" s="328"/>
      <c r="J917" s="328"/>
      <c r="K917" s="328"/>
      <c r="L917" s="328"/>
      <c r="M917" s="328"/>
      <c r="N917" s="328"/>
      <c r="O917" s="328"/>
      <c r="P917" s="328"/>
      <c r="Q917" s="328"/>
      <c r="R917" s="328"/>
      <c r="S917" s="328"/>
      <c r="T917" s="328"/>
      <c r="U917" s="328"/>
      <c r="V917" s="328"/>
    </row>
    <row r="918" ht="15.75" customHeight="1">
      <c r="A918" s="328"/>
      <c r="B918" s="328"/>
      <c r="C918" s="328"/>
      <c r="D918" s="328"/>
      <c r="E918" s="328"/>
      <c r="F918" s="328"/>
      <c r="G918" s="328"/>
      <c r="H918" s="328"/>
      <c r="I918" s="328"/>
      <c r="J918" s="328"/>
      <c r="K918" s="328"/>
      <c r="L918" s="328"/>
      <c r="M918" s="328"/>
      <c r="N918" s="328"/>
      <c r="O918" s="328"/>
      <c r="P918" s="328"/>
      <c r="Q918" s="328"/>
      <c r="R918" s="328"/>
      <c r="S918" s="328"/>
      <c r="T918" s="328"/>
      <c r="U918" s="328"/>
      <c r="V918" s="328"/>
    </row>
    <row r="919" ht="15.75" customHeight="1">
      <c r="A919" s="328"/>
      <c r="B919" s="328"/>
      <c r="C919" s="328"/>
      <c r="D919" s="328"/>
      <c r="E919" s="328"/>
      <c r="F919" s="328"/>
      <c r="G919" s="328"/>
      <c r="H919" s="328"/>
      <c r="I919" s="328"/>
      <c r="J919" s="328"/>
      <c r="K919" s="328"/>
      <c r="L919" s="328"/>
      <c r="M919" s="328"/>
      <c r="N919" s="328"/>
      <c r="O919" s="328"/>
      <c r="P919" s="328"/>
      <c r="Q919" s="328"/>
      <c r="R919" s="328"/>
      <c r="S919" s="328"/>
      <c r="T919" s="328"/>
      <c r="U919" s="328"/>
      <c r="V919" s="328"/>
    </row>
    <row r="920" ht="15.75" customHeight="1">
      <c r="A920" s="328"/>
      <c r="B920" s="328"/>
      <c r="C920" s="328"/>
      <c r="D920" s="328"/>
      <c r="E920" s="328"/>
      <c r="F920" s="328"/>
      <c r="G920" s="328"/>
      <c r="H920" s="328"/>
      <c r="I920" s="328"/>
      <c r="J920" s="328"/>
      <c r="K920" s="328"/>
      <c r="L920" s="328"/>
      <c r="M920" s="328"/>
      <c r="N920" s="328"/>
      <c r="O920" s="328"/>
      <c r="P920" s="328"/>
      <c r="Q920" s="328"/>
      <c r="R920" s="328"/>
      <c r="S920" s="328"/>
      <c r="T920" s="328"/>
      <c r="U920" s="328"/>
      <c r="V920" s="328"/>
    </row>
    <row r="921" ht="15.75" customHeight="1">
      <c r="A921" s="328"/>
      <c r="B921" s="328"/>
      <c r="C921" s="328"/>
      <c r="D921" s="328"/>
      <c r="E921" s="328"/>
      <c r="F921" s="328"/>
      <c r="G921" s="328"/>
      <c r="H921" s="328"/>
      <c r="I921" s="328"/>
      <c r="J921" s="328"/>
      <c r="K921" s="328"/>
      <c r="L921" s="328"/>
      <c r="M921" s="328"/>
      <c r="N921" s="328"/>
      <c r="O921" s="328"/>
      <c r="P921" s="328"/>
      <c r="Q921" s="328"/>
      <c r="R921" s="328"/>
      <c r="S921" s="328"/>
      <c r="T921" s="328"/>
      <c r="U921" s="328"/>
      <c r="V921" s="328"/>
    </row>
    <row r="922" ht="15.75" customHeight="1">
      <c r="A922" s="328"/>
      <c r="B922" s="328"/>
      <c r="C922" s="328"/>
      <c r="D922" s="328"/>
      <c r="E922" s="328"/>
      <c r="F922" s="328"/>
      <c r="G922" s="328"/>
      <c r="H922" s="328"/>
      <c r="I922" s="328"/>
      <c r="J922" s="328"/>
      <c r="K922" s="328"/>
      <c r="L922" s="328"/>
      <c r="M922" s="328"/>
      <c r="N922" s="328"/>
      <c r="O922" s="328"/>
      <c r="P922" s="328"/>
      <c r="Q922" s="328"/>
      <c r="R922" s="328"/>
      <c r="S922" s="328"/>
      <c r="T922" s="328"/>
      <c r="U922" s="328"/>
      <c r="V922" s="328"/>
    </row>
    <row r="923" ht="15.75" customHeight="1">
      <c r="A923" s="328"/>
      <c r="B923" s="328"/>
      <c r="C923" s="328"/>
      <c r="D923" s="328"/>
      <c r="E923" s="328"/>
      <c r="F923" s="328"/>
      <c r="G923" s="328"/>
      <c r="H923" s="328"/>
      <c r="I923" s="328"/>
      <c r="J923" s="328"/>
      <c r="K923" s="328"/>
      <c r="L923" s="328"/>
      <c r="M923" s="328"/>
      <c r="N923" s="328"/>
      <c r="O923" s="328"/>
      <c r="P923" s="328"/>
      <c r="Q923" s="328"/>
      <c r="R923" s="328"/>
      <c r="S923" s="328"/>
      <c r="T923" s="328"/>
      <c r="U923" s="328"/>
      <c r="V923" s="328"/>
    </row>
    <row r="924" ht="15.75" customHeight="1">
      <c r="A924" s="328"/>
      <c r="B924" s="328"/>
      <c r="C924" s="328"/>
      <c r="D924" s="328"/>
      <c r="E924" s="328"/>
      <c r="F924" s="328"/>
      <c r="G924" s="328"/>
      <c r="H924" s="328"/>
      <c r="I924" s="328"/>
      <c r="J924" s="328"/>
      <c r="K924" s="328"/>
      <c r="L924" s="328"/>
      <c r="M924" s="328"/>
      <c r="N924" s="328"/>
      <c r="O924" s="328"/>
      <c r="P924" s="328"/>
      <c r="Q924" s="328"/>
      <c r="R924" s="328"/>
      <c r="S924" s="328"/>
      <c r="T924" s="328"/>
      <c r="U924" s="328"/>
      <c r="V924" s="328"/>
    </row>
    <row r="925" ht="15.75" customHeight="1">
      <c r="A925" s="328"/>
      <c r="B925" s="328"/>
      <c r="C925" s="328"/>
      <c r="D925" s="328"/>
      <c r="E925" s="328"/>
      <c r="F925" s="328"/>
      <c r="G925" s="328"/>
      <c r="H925" s="328"/>
      <c r="I925" s="328"/>
      <c r="J925" s="328"/>
      <c r="K925" s="328"/>
      <c r="L925" s="328"/>
      <c r="M925" s="328"/>
      <c r="N925" s="328"/>
      <c r="O925" s="328"/>
      <c r="P925" s="328"/>
      <c r="Q925" s="328"/>
      <c r="R925" s="328"/>
      <c r="S925" s="328"/>
      <c r="T925" s="328"/>
      <c r="U925" s="328"/>
      <c r="V925" s="328"/>
    </row>
    <row r="926" ht="15.75" customHeight="1">
      <c r="A926" s="328"/>
      <c r="B926" s="328"/>
      <c r="C926" s="328"/>
      <c r="D926" s="328"/>
      <c r="E926" s="328"/>
      <c r="F926" s="328"/>
      <c r="G926" s="328"/>
      <c r="H926" s="328"/>
      <c r="I926" s="328"/>
      <c r="J926" s="328"/>
      <c r="K926" s="328"/>
      <c r="L926" s="328"/>
      <c r="M926" s="328"/>
      <c r="N926" s="328"/>
      <c r="O926" s="328"/>
      <c r="P926" s="328"/>
      <c r="Q926" s="328"/>
      <c r="R926" s="328"/>
      <c r="S926" s="328"/>
      <c r="T926" s="328"/>
      <c r="U926" s="328"/>
      <c r="V926" s="328"/>
    </row>
    <row r="927" ht="15.75" customHeight="1">
      <c r="A927" s="328"/>
      <c r="B927" s="328"/>
      <c r="C927" s="328"/>
      <c r="D927" s="328"/>
      <c r="E927" s="328"/>
      <c r="F927" s="328"/>
      <c r="G927" s="328"/>
      <c r="H927" s="328"/>
      <c r="I927" s="328"/>
      <c r="J927" s="328"/>
      <c r="K927" s="328"/>
      <c r="L927" s="328"/>
      <c r="M927" s="328"/>
      <c r="N927" s="328"/>
      <c r="O927" s="328"/>
      <c r="P927" s="328"/>
      <c r="Q927" s="328"/>
      <c r="R927" s="328"/>
      <c r="S927" s="328"/>
      <c r="T927" s="328"/>
      <c r="U927" s="328"/>
      <c r="V927" s="328"/>
    </row>
    <row r="928" ht="15.75" customHeight="1">
      <c r="A928" s="328"/>
      <c r="B928" s="328"/>
      <c r="C928" s="328"/>
      <c r="D928" s="328"/>
      <c r="E928" s="328"/>
      <c r="F928" s="328"/>
      <c r="G928" s="328"/>
      <c r="H928" s="328"/>
      <c r="I928" s="328"/>
      <c r="J928" s="328"/>
      <c r="K928" s="328"/>
      <c r="L928" s="328"/>
      <c r="M928" s="328"/>
      <c r="N928" s="328"/>
      <c r="O928" s="328"/>
      <c r="P928" s="328"/>
      <c r="Q928" s="328"/>
      <c r="R928" s="328"/>
      <c r="S928" s="328"/>
      <c r="T928" s="328"/>
      <c r="U928" s="328"/>
      <c r="V928" s="328"/>
    </row>
    <row r="929" ht="15.75" customHeight="1">
      <c r="A929" s="328"/>
      <c r="B929" s="328"/>
      <c r="C929" s="328"/>
      <c r="D929" s="328"/>
      <c r="E929" s="328"/>
      <c r="F929" s="328"/>
      <c r="G929" s="328"/>
      <c r="H929" s="328"/>
      <c r="I929" s="328"/>
      <c r="J929" s="328"/>
      <c r="K929" s="328"/>
      <c r="L929" s="328"/>
      <c r="M929" s="328"/>
      <c r="N929" s="328"/>
      <c r="O929" s="328"/>
      <c r="P929" s="328"/>
      <c r="Q929" s="328"/>
      <c r="R929" s="328"/>
      <c r="S929" s="328"/>
      <c r="T929" s="328"/>
      <c r="U929" s="328"/>
      <c r="V929" s="328"/>
    </row>
    <row r="930" ht="15.75" customHeight="1">
      <c r="A930" s="328"/>
      <c r="B930" s="328"/>
      <c r="C930" s="328"/>
      <c r="D930" s="328"/>
      <c r="E930" s="328"/>
      <c r="F930" s="328"/>
      <c r="G930" s="328"/>
      <c r="H930" s="328"/>
      <c r="I930" s="328"/>
      <c r="J930" s="328"/>
      <c r="K930" s="328"/>
      <c r="L930" s="328"/>
      <c r="M930" s="328"/>
      <c r="N930" s="328"/>
      <c r="O930" s="328"/>
      <c r="P930" s="328"/>
      <c r="Q930" s="328"/>
      <c r="R930" s="328"/>
      <c r="S930" s="328"/>
      <c r="T930" s="328"/>
      <c r="U930" s="328"/>
      <c r="V930" s="328"/>
    </row>
    <row r="931" ht="15.75" customHeight="1">
      <c r="A931" s="328"/>
      <c r="B931" s="328"/>
      <c r="C931" s="328"/>
      <c r="D931" s="328"/>
      <c r="E931" s="328"/>
      <c r="F931" s="328"/>
      <c r="G931" s="328"/>
      <c r="H931" s="328"/>
      <c r="I931" s="328"/>
      <c r="J931" s="328"/>
      <c r="K931" s="328"/>
      <c r="L931" s="328"/>
      <c r="M931" s="328"/>
      <c r="N931" s="328"/>
      <c r="O931" s="328"/>
      <c r="P931" s="328"/>
      <c r="Q931" s="328"/>
      <c r="R931" s="328"/>
      <c r="S931" s="328"/>
      <c r="T931" s="328"/>
      <c r="U931" s="328"/>
      <c r="V931" s="328"/>
    </row>
    <row r="932" ht="15.75" customHeight="1">
      <c r="A932" s="328"/>
      <c r="B932" s="328"/>
      <c r="C932" s="328"/>
      <c r="D932" s="328"/>
      <c r="E932" s="328"/>
      <c r="F932" s="328"/>
      <c r="G932" s="328"/>
      <c r="H932" s="328"/>
      <c r="I932" s="328"/>
      <c r="J932" s="328"/>
      <c r="K932" s="328"/>
      <c r="L932" s="328"/>
      <c r="M932" s="328"/>
      <c r="N932" s="328"/>
      <c r="O932" s="328"/>
      <c r="P932" s="328"/>
      <c r="Q932" s="328"/>
      <c r="R932" s="328"/>
      <c r="S932" s="328"/>
      <c r="T932" s="328"/>
      <c r="U932" s="328"/>
      <c r="V932" s="328"/>
    </row>
    <row r="933" ht="15.75" customHeight="1">
      <c r="A933" s="328"/>
      <c r="B933" s="328"/>
      <c r="C933" s="328"/>
      <c r="D933" s="328"/>
      <c r="E933" s="328"/>
      <c r="F933" s="328"/>
      <c r="G933" s="328"/>
      <c r="H933" s="328"/>
      <c r="I933" s="328"/>
      <c r="J933" s="328"/>
      <c r="K933" s="328"/>
      <c r="L933" s="328"/>
      <c r="M933" s="328"/>
      <c r="N933" s="328"/>
      <c r="O933" s="328"/>
      <c r="P933" s="328"/>
      <c r="Q933" s="328"/>
      <c r="R933" s="328"/>
      <c r="S933" s="328"/>
      <c r="T933" s="328"/>
      <c r="U933" s="328"/>
      <c r="V933" s="328"/>
    </row>
    <row r="934" ht="15.75" customHeight="1">
      <c r="A934" s="328"/>
      <c r="B934" s="328"/>
      <c r="C934" s="328"/>
      <c r="D934" s="328"/>
      <c r="E934" s="328"/>
      <c r="F934" s="328"/>
      <c r="G934" s="328"/>
      <c r="H934" s="328"/>
      <c r="I934" s="328"/>
      <c r="J934" s="328"/>
      <c r="K934" s="328"/>
      <c r="L934" s="328"/>
      <c r="M934" s="328"/>
      <c r="N934" s="328"/>
      <c r="O934" s="328"/>
      <c r="P934" s="328"/>
      <c r="Q934" s="328"/>
      <c r="R934" s="328"/>
      <c r="S934" s="328"/>
      <c r="T934" s="328"/>
      <c r="U934" s="328"/>
      <c r="V934" s="328"/>
    </row>
    <row r="935" ht="15.75" customHeight="1">
      <c r="A935" s="328"/>
      <c r="B935" s="328"/>
      <c r="C935" s="328"/>
      <c r="D935" s="328"/>
      <c r="E935" s="328"/>
      <c r="F935" s="328"/>
      <c r="G935" s="328"/>
      <c r="H935" s="328"/>
      <c r="I935" s="328"/>
      <c r="J935" s="328"/>
      <c r="K935" s="328"/>
      <c r="L935" s="328"/>
      <c r="M935" s="328"/>
      <c r="N935" s="328"/>
      <c r="O935" s="328"/>
      <c r="P935" s="328"/>
      <c r="Q935" s="328"/>
      <c r="R935" s="328"/>
      <c r="S935" s="328"/>
      <c r="T935" s="328"/>
      <c r="U935" s="328"/>
      <c r="V935" s="328"/>
    </row>
    <row r="936" ht="15.75" customHeight="1">
      <c r="A936" s="328"/>
      <c r="B936" s="328"/>
      <c r="C936" s="328"/>
      <c r="D936" s="328"/>
      <c r="E936" s="328"/>
      <c r="F936" s="328"/>
      <c r="G936" s="328"/>
      <c r="H936" s="328"/>
      <c r="I936" s="328"/>
      <c r="J936" s="328"/>
      <c r="K936" s="328"/>
      <c r="L936" s="328"/>
      <c r="M936" s="328"/>
      <c r="N936" s="328"/>
      <c r="O936" s="328"/>
      <c r="P936" s="328"/>
      <c r="Q936" s="328"/>
      <c r="R936" s="328"/>
      <c r="S936" s="328"/>
      <c r="T936" s="328"/>
      <c r="U936" s="328"/>
      <c r="V936" s="328"/>
    </row>
    <row r="937" ht="15.75" customHeight="1">
      <c r="A937" s="328"/>
      <c r="B937" s="328"/>
      <c r="C937" s="328"/>
      <c r="D937" s="328"/>
      <c r="E937" s="328"/>
      <c r="F937" s="328"/>
      <c r="G937" s="328"/>
      <c r="H937" s="328"/>
      <c r="I937" s="328"/>
      <c r="J937" s="328"/>
      <c r="K937" s="328"/>
      <c r="L937" s="328"/>
      <c r="M937" s="328"/>
      <c r="N937" s="328"/>
      <c r="O937" s="328"/>
      <c r="P937" s="328"/>
      <c r="Q937" s="328"/>
      <c r="R937" s="328"/>
      <c r="S937" s="328"/>
      <c r="T937" s="328"/>
      <c r="U937" s="328"/>
      <c r="V937" s="328"/>
    </row>
    <row r="938" ht="15.75" customHeight="1">
      <c r="A938" s="328"/>
      <c r="B938" s="328"/>
      <c r="C938" s="328"/>
      <c r="D938" s="328"/>
      <c r="E938" s="328"/>
      <c r="F938" s="328"/>
      <c r="G938" s="328"/>
      <c r="H938" s="328"/>
      <c r="I938" s="328"/>
      <c r="J938" s="328"/>
      <c r="K938" s="328"/>
      <c r="L938" s="328"/>
      <c r="M938" s="328"/>
      <c r="N938" s="328"/>
      <c r="O938" s="328"/>
      <c r="P938" s="328"/>
      <c r="Q938" s="328"/>
      <c r="R938" s="328"/>
      <c r="S938" s="328"/>
      <c r="T938" s="328"/>
      <c r="U938" s="328"/>
      <c r="V938" s="328"/>
    </row>
    <row r="939" ht="15.75" customHeight="1">
      <c r="A939" s="328"/>
      <c r="B939" s="328"/>
      <c r="C939" s="328"/>
      <c r="D939" s="328"/>
      <c r="E939" s="328"/>
      <c r="F939" s="328"/>
      <c r="G939" s="328"/>
      <c r="H939" s="328"/>
      <c r="I939" s="328"/>
      <c r="J939" s="328"/>
      <c r="K939" s="328"/>
      <c r="L939" s="328"/>
      <c r="M939" s="328"/>
      <c r="N939" s="328"/>
      <c r="O939" s="328"/>
      <c r="P939" s="328"/>
      <c r="Q939" s="328"/>
      <c r="R939" s="328"/>
      <c r="S939" s="328"/>
      <c r="T939" s="328"/>
      <c r="U939" s="328"/>
      <c r="V939" s="328"/>
    </row>
    <row r="940" ht="15.75" customHeight="1">
      <c r="A940" s="328"/>
      <c r="B940" s="328"/>
      <c r="C940" s="328"/>
      <c r="D940" s="328"/>
      <c r="E940" s="328"/>
      <c r="F940" s="328"/>
      <c r="G940" s="328"/>
      <c r="H940" s="328"/>
      <c r="I940" s="328"/>
      <c r="J940" s="328"/>
      <c r="K940" s="328"/>
      <c r="L940" s="328"/>
      <c r="M940" s="328"/>
      <c r="N940" s="328"/>
      <c r="O940" s="328"/>
      <c r="P940" s="328"/>
      <c r="Q940" s="328"/>
      <c r="R940" s="328"/>
      <c r="S940" s="328"/>
      <c r="T940" s="328"/>
      <c r="U940" s="328"/>
      <c r="V940" s="328"/>
    </row>
    <row r="941" ht="15.75" customHeight="1">
      <c r="A941" s="328"/>
      <c r="B941" s="328"/>
      <c r="C941" s="328"/>
      <c r="D941" s="328"/>
      <c r="E941" s="328"/>
      <c r="F941" s="328"/>
      <c r="G941" s="328"/>
      <c r="H941" s="328"/>
      <c r="I941" s="328"/>
      <c r="J941" s="328"/>
      <c r="K941" s="328"/>
      <c r="L941" s="328"/>
      <c r="M941" s="328"/>
      <c r="N941" s="328"/>
      <c r="O941" s="328"/>
      <c r="P941" s="328"/>
      <c r="Q941" s="328"/>
      <c r="R941" s="328"/>
      <c r="S941" s="328"/>
      <c r="T941" s="328"/>
      <c r="U941" s="328"/>
      <c r="V941" s="328"/>
    </row>
    <row r="942" ht="15.75" customHeight="1">
      <c r="A942" s="328"/>
      <c r="B942" s="328"/>
      <c r="C942" s="328"/>
      <c r="D942" s="328"/>
      <c r="E942" s="328"/>
      <c r="F942" s="328"/>
      <c r="G942" s="328"/>
      <c r="H942" s="328"/>
      <c r="I942" s="328"/>
      <c r="J942" s="328"/>
      <c r="K942" s="328"/>
      <c r="L942" s="328"/>
      <c r="M942" s="328"/>
      <c r="N942" s="328"/>
      <c r="O942" s="328"/>
      <c r="P942" s="328"/>
      <c r="Q942" s="328"/>
      <c r="R942" s="328"/>
      <c r="S942" s="328"/>
      <c r="T942" s="328"/>
      <c r="U942" s="328"/>
      <c r="V942" s="328"/>
    </row>
    <row r="943" ht="15.75" customHeight="1">
      <c r="A943" s="328"/>
      <c r="B943" s="328"/>
      <c r="C943" s="328"/>
      <c r="D943" s="328"/>
      <c r="E943" s="328"/>
      <c r="F943" s="328"/>
      <c r="G943" s="328"/>
      <c r="H943" s="328"/>
      <c r="I943" s="328"/>
      <c r="J943" s="328"/>
      <c r="K943" s="328"/>
      <c r="L943" s="328"/>
      <c r="M943" s="328"/>
      <c r="N943" s="328"/>
      <c r="O943" s="328"/>
      <c r="P943" s="328"/>
      <c r="Q943" s="328"/>
      <c r="R943" s="328"/>
      <c r="S943" s="328"/>
      <c r="T943" s="328"/>
      <c r="U943" s="328"/>
      <c r="V943" s="328"/>
    </row>
    <row r="944" ht="15.75" customHeight="1">
      <c r="A944" s="328"/>
      <c r="B944" s="328"/>
      <c r="C944" s="328"/>
      <c r="D944" s="328"/>
      <c r="E944" s="328"/>
      <c r="F944" s="328"/>
      <c r="G944" s="328"/>
      <c r="H944" s="328"/>
      <c r="I944" s="328"/>
      <c r="J944" s="328"/>
      <c r="K944" s="328"/>
      <c r="L944" s="328"/>
      <c r="M944" s="328"/>
      <c r="N944" s="328"/>
      <c r="O944" s="328"/>
      <c r="P944" s="328"/>
      <c r="Q944" s="328"/>
      <c r="R944" s="328"/>
      <c r="S944" s="328"/>
      <c r="T944" s="328"/>
      <c r="U944" s="328"/>
      <c r="V944" s="328"/>
    </row>
    <row r="945" ht="15.75" customHeight="1">
      <c r="A945" s="328"/>
      <c r="B945" s="328"/>
      <c r="C945" s="328"/>
      <c r="D945" s="328"/>
      <c r="E945" s="328"/>
      <c r="F945" s="328"/>
      <c r="G945" s="328"/>
      <c r="H945" s="328"/>
      <c r="I945" s="328"/>
      <c r="J945" s="328"/>
      <c r="K945" s="328"/>
      <c r="L945" s="328"/>
      <c r="M945" s="328"/>
      <c r="N945" s="328"/>
      <c r="O945" s="328"/>
      <c r="P945" s="328"/>
      <c r="Q945" s="328"/>
      <c r="R945" s="328"/>
      <c r="S945" s="328"/>
      <c r="T945" s="328"/>
      <c r="U945" s="328"/>
      <c r="V945" s="328"/>
    </row>
    <row r="946" ht="15.75" customHeight="1">
      <c r="A946" s="328"/>
      <c r="B946" s="328"/>
      <c r="C946" s="328"/>
      <c r="D946" s="328"/>
      <c r="E946" s="328"/>
      <c r="F946" s="328"/>
      <c r="G946" s="328"/>
      <c r="H946" s="328"/>
      <c r="I946" s="328"/>
      <c r="J946" s="328"/>
      <c r="K946" s="328"/>
      <c r="L946" s="328"/>
      <c r="M946" s="328"/>
      <c r="N946" s="328"/>
      <c r="O946" s="328"/>
      <c r="P946" s="328"/>
      <c r="Q946" s="328"/>
      <c r="R946" s="328"/>
      <c r="S946" s="328"/>
      <c r="T946" s="328"/>
      <c r="U946" s="328"/>
      <c r="V946" s="328"/>
    </row>
    <row r="947" ht="15.75" customHeight="1">
      <c r="A947" s="328"/>
      <c r="B947" s="328"/>
      <c r="C947" s="328"/>
      <c r="D947" s="328"/>
      <c r="E947" s="328"/>
      <c r="F947" s="328"/>
      <c r="G947" s="328"/>
      <c r="H947" s="328"/>
      <c r="I947" s="328"/>
      <c r="J947" s="328"/>
      <c r="K947" s="328"/>
      <c r="L947" s="328"/>
      <c r="M947" s="328"/>
      <c r="N947" s="328"/>
      <c r="O947" s="328"/>
      <c r="P947" s="328"/>
      <c r="Q947" s="328"/>
      <c r="R947" s="328"/>
      <c r="S947" s="328"/>
      <c r="T947" s="328"/>
      <c r="U947" s="328"/>
      <c r="V947" s="328"/>
    </row>
    <row r="948" ht="15.75" customHeight="1">
      <c r="A948" s="328"/>
      <c r="B948" s="328"/>
      <c r="C948" s="328"/>
      <c r="D948" s="328"/>
      <c r="E948" s="328"/>
      <c r="F948" s="328"/>
      <c r="G948" s="328"/>
      <c r="H948" s="328"/>
      <c r="I948" s="328"/>
      <c r="J948" s="328"/>
      <c r="K948" s="328"/>
      <c r="L948" s="328"/>
      <c r="M948" s="328"/>
      <c r="N948" s="328"/>
      <c r="O948" s="328"/>
      <c r="P948" s="328"/>
      <c r="Q948" s="328"/>
      <c r="R948" s="328"/>
      <c r="S948" s="328"/>
      <c r="T948" s="328"/>
      <c r="U948" s="328"/>
      <c r="V948" s="328"/>
    </row>
    <row r="949" ht="15.75" customHeight="1">
      <c r="A949" s="328"/>
      <c r="B949" s="328"/>
      <c r="C949" s="328"/>
      <c r="D949" s="328"/>
      <c r="E949" s="328"/>
      <c r="F949" s="328"/>
      <c r="G949" s="328"/>
      <c r="H949" s="328"/>
      <c r="I949" s="328"/>
      <c r="J949" s="328"/>
      <c r="K949" s="328"/>
      <c r="L949" s="328"/>
      <c r="M949" s="328"/>
      <c r="N949" s="328"/>
      <c r="O949" s="328"/>
      <c r="P949" s="328"/>
      <c r="Q949" s="328"/>
      <c r="R949" s="328"/>
      <c r="S949" s="328"/>
      <c r="T949" s="328"/>
      <c r="U949" s="328"/>
      <c r="V949" s="328"/>
    </row>
    <row r="950" ht="15.75" customHeight="1">
      <c r="A950" s="328"/>
      <c r="B950" s="328"/>
      <c r="C950" s="328"/>
      <c r="D950" s="328"/>
      <c r="E950" s="328"/>
      <c r="F950" s="328"/>
      <c r="G950" s="328"/>
      <c r="H950" s="328"/>
      <c r="I950" s="328"/>
      <c r="J950" s="328"/>
      <c r="K950" s="328"/>
      <c r="L950" s="328"/>
      <c r="M950" s="328"/>
      <c r="N950" s="328"/>
      <c r="O950" s="328"/>
      <c r="P950" s="328"/>
      <c r="Q950" s="328"/>
      <c r="R950" s="328"/>
      <c r="S950" s="328"/>
      <c r="T950" s="328"/>
      <c r="U950" s="328"/>
      <c r="V950" s="328"/>
    </row>
    <row r="951" ht="15.75" customHeight="1">
      <c r="A951" s="328"/>
      <c r="B951" s="328"/>
      <c r="C951" s="328"/>
      <c r="D951" s="328"/>
      <c r="E951" s="328"/>
      <c r="F951" s="328"/>
      <c r="G951" s="328"/>
      <c r="H951" s="328"/>
      <c r="I951" s="328"/>
      <c r="J951" s="328"/>
      <c r="K951" s="328"/>
      <c r="L951" s="328"/>
      <c r="M951" s="328"/>
      <c r="N951" s="328"/>
      <c r="O951" s="328"/>
      <c r="P951" s="328"/>
      <c r="Q951" s="328"/>
      <c r="R951" s="328"/>
      <c r="S951" s="328"/>
      <c r="T951" s="328"/>
      <c r="U951" s="328"/>
      <c r="V951" s="328"/>
    </row>
    <row r="952" ht="15.75" customHeight="1">
      <c r="A952" s="328"/>
      <c r="B952" s="328"/>
      <c r="C952" s="328"/>
      <c r="D952" s="328"/>
      <c r="E952" s="328"/>
      <c r="F952" s="328"/>
      <c r="G952" s="328"/>
      <c r="H952" s="328"/>
      <c r="I952" s="328"/>
      <c r="J952" s="328"/>
      <c r="K952" s="328"/>
      <c r="L952" s="328"/>
      <c r="M952" s="328"/>
      <c r="N952" s="328"/>
      <c r="O952" s="328"/>
      <c r="P952" s="328"/>
      <c r="Q952" s="328"/>
      <c r="R952" s="328"/>
      <c r="S952" s="328"/>
      <c r="T952" s="328"/>
      <c r="U952" s="328"/>
      <c r="V952" s="328"/>
    </row>
    <row r="953" ht="15.75" customHeight="1">
      <c r="A953" s="328"/>
      <c r="B953" s="328"/>
      <c r="C953" s="328"/>
      <c r="D953" s="328"/>
      <c r="E953" s="328"/>
      <c r="F953" s="328"/>
      <c r="G953" s="328"/>
      <c r="H953" s="328"/>
      <c r="I953" s="328"/>
      <c r="J953" s="328"/>
      <c r="K953" s="328"/>
      <c r="L953" s="328"/>
      <c r="M953" s="328"/>
      <c r="N953" s="328"/>
      <c r="O953" s="328"/>
      <c r="P953" s="328"/>
      <c r="Q953" s="328"/>
      <c r="R953" s="328"/>
      <c r="S953" s="328"/>
      <c r="T953" s="328"/>
      <c r="U953" s="328"/>
      <c r="V953" s="328"/>
    </row>
    <row r="954" ht="15.75" customHeight="1">
      <c r="A954" s="328"/>
      <c r="B954" s="328"/>
      <c r="C954" s="328"/>
      <c r="D954" s="328"/>
      <c r="E954" s="328"/>
      <c r="F954" s="328"/>
      <c r="G954" s="328"/>
      <c r="H954" s="328"/>
      <c r="I954" s="328"/>
      <c r="J954" s="328"/>
      <c r="K954" s="328"/>
      <c r="L954" s="328"/>
      <c r="M954" s="328"/>
      <c r="N954" s="328"/>
      <c r="O954" s="328"/>
      <c r="P954" s="328"/>
      <c r="Q954" s="328"/>
      <c r="R954" s="328"/>
      <c r="S954" s="328"/>
      <c r="T954" s="328"/>
      <c r="U954" s="328"/>
      <c r="V954" s="328"/>
    </row>
    <row r="955" ht="15.75" customHeight="1">
      <c r="A955" s="328"/>
      <c r="B955" s="328"/>
      <c r="C955" s="328"/>
      <c r="D955" s="328"/>
      <c r="E955" s="328"/>
      <c r="F955" s="328"/>
      <c r="G955" s="328"/>
      <c r="H955" s="328"/>
      <c r="I955" s="328"/>
      <c r="J955" s="328"/>
      <c r="K955" s="328"/>
      <c r="L955" s="328"/>
      <c r="M955" s="328"/>
      <c r="N955" s="328"/>
      <c r="O955" s="328"/>
      <c r="P955" s="328"/>
      <c r="Q955" s="328"/>
      <c r="R955" s="328"/>
      <c r="S955" s="328"/>
      <c r="T955" s="328"/>
      <c r="U955" s="328"/>
      <c r="V955" s="328"/>
    </row>
    <row r="956" ht="15.75" customHeight="1">
      <c r="A956" s="328"/>
      <c r="B956" s="328"/>
      <c r="C956" s="328"/>
      <c r="D956" s="328"/>
      <c r="E956" s="328"/>
      <c r="F956" s="328"/>
      <c r="G956" s="328"/>
      <c r="H956" s="328"/>
      <c r="I956" s="328"/>
      <c r="J956" s="328"/>
      <c r="K956" s="328"/>
      <c r="L956" s="328"/>
      <c r="M956" s="328"/>
      <c r="N956" s="328"/>
      <c r="O956" s="328"/>
      <c r="P956" s="328"/>
      <c r="Q956" s="328"/>
      <c r="R956" s="328"/>
      <c r="S956" s="328"/>
      <c r="T956" s="328"/>
      <c r="U956" s="328"/>
      <c r="V956" s="328"/>
    </row>
    <row r="957" ht="15.75" customHeight="1">
      <c r="A957" s="328"/>
      <c r="B957" s="328"/>
      <c r="C957" s="328"/>
      <c r="D957" s="328"/>
      <c r="E957" s="328"/>
      <c r="F957" s="328"/>
      <c r="G957" s="328"/>
      <c r="H957" s="328"/>
      <c r="I957" s="328"/>
      <c r="J957" s="328"/>
      <c r="K957" s="328"/>
      <c r="L957" s="328"/>
      <c r="M957" s="328"/>
      <c r="N957" s="328"/>
      <c r="O957" s="328"/>
      <c r="P957" s="328"/>
      <c r="Q957" s="328"/>
      <c r="R957" s="328"/>
      <c r="S957" s="328"/>
      <c r="T957" s="328"/>
      <c r="U957" s="328"/>
      <c r="V957" s="328"/>
    </row>
    <row r="958" ht="15.75" customHeight="1">
      <c r="A958" s="328"/>
      <c r="B958" s="328"/>
      <c r="C958" s="328"/>
      <c r="D958" s="328"/>
      <c r="E958" s="328"/>
      <c r="F958" s="328"/>
      <c r="G958" s="328"/>
      <c r="H958" s="328"/>
      <c r="I958" s="328"/>
      <c r="J958" s="328"/>
      <c r="K958" s="328"/>
      <c r="L958" s="328"/>
      <c r="M958" s="328"/>
      <c r="N958" s="328"/>
      <c r="O958" s="328"/>
      <c r="P958" s="328"/>
      <c r="Q958" s="328"/>
      <c r="R958" s="328"/>
      <c r="S958" s="328"/>
      <c r="T958" s="328"/>
      <c r="U958" s="328"/>
      <c r="V958" s="328"/>
    </row>
    <row r="959" ht="15.75" customHeight="1">
      <c r="A959" s="328"/>
      <c r="B959" s="328"/>
      <c r="C959" s="328"/>
      <c r="D959" s="328"/>
      <c r="E959" s="328"/>
      <c r="F959" s="328"/>
      <c r="G959" s="328"/>
      <c r="H959" s="328"/>
      <c r="I959" s="328"/>
      <c r="J959" s="328"/>
      <c r="K959" s="328"/>
      <c r="L959" s="328"/>
      <c r="M959" s="328"/>
      <c r="N959" s="328"/>
      <c r="O959" s="328"/>
      <c r="P959" s="328"/>
      <c r="Q959" s="328"/>
      <c r="R959" s="328"/>
      <c r="S959" s="328"/>
      <c r="T959" s="328"/>
      <c r="U959" s="328"/>
      <c r="V959" s="328"/>
    </row>
    <row r="960" ht="15.75" customHeight="1">
      <c r="A960" s="328"/>
      <c r="B960" s="328"/>
      <c r="C960" s="328"/>
      <c r="D960" s="328"/>
      <c r="E960" s="328"/>
      <c r="F960" s="328"/>
      <c r="G960" s="328"/>
      <c r="H960" s="328"/>
      <c r="I960" s="328"/>
      <c r="J960" s="328"/>
      <c r="K960" s="328"/>
      <c r="L960" s="328"/>
      <c r="M960" s="328"/>
      <c r="N960" s="328"/>
      <c r="O960" s="328"/>
      <c r="P960" s="328"/>
      <c r="Q960" s="328"/>
      <c r="R960" s="328"/>
      <c r="S960" s="328"/>
      <c r="T960" s="328"/>
      <c r="U960" s="328"/>
      <c r="V960" s="328"/>
    </row>
    <row r="961" ht="15.75" customHeight="1">
      <c r="A961" s="328"/>
      <c r="B961" s="328"/>
      <c r="C961" s="328"/>
      <c r="D961" s="328"/>
      <c r="E961" s="328"/>
      <c r="F961" s="328"/>
      <c r="G961" s="328"/>
      <c r="H961" s="328"/>
      <c r="I961" s="328"/>
      <c r="J961" s="328"/>
      <c r="K961" s="328"/>
      <c r="L961" s="328"/>
      <c r="M961" s="328"/>
      <c r="N961" s="328"/>
      <c r="O961" s="328"/>
      <c r="P961" s="328"/>
      <c r="Q961" s="328"/>
      <c r="R961" s="328"/>
      <c r="S961" s="328"/>
      <c r="T961" s="328"/>
      <c r="U961" s="328"/>
      <c r="V961" s="328"/>
    </row>
    <row r="962" ht="15.75" customHeight="1">
      <c r="A962" s="328"/>
      <c r="B962" s="328"/>
      <c r="C962" s="328"/>
      <c r="D962" s="328"/>
      <c r="E962" s="328"/>
      <c r="F962" s="328"/>
      <c r="G962" s="328"/>
      <c r="H962" s="328"/>
      <c r="I962" s="328"/>
      <c r="J962" s="328"/>
      <c r="K962" s="328"/>
      <c r="L962" s="328"/>
      <c r="M962" s="328"/>
      <c r="N962" s="328"/>
      <c r="O962" s="328"/>
      <c r="P962" s="328"/>
      <c r="Q962" s="328"/>
      <c r="R962" s="328"/>
      <c r="S962" s="328"/>
      <c r="T962" s="328"/>
      <c r="U962" s="328"/>
      <c r="V962" s="328"/>
    </row>
    <row r="963" ht="15.75" customHeight="1">
      <c r="A963" s="328"/>
      <c r="B963" s="328"/>
      <c r="C963" s="328"/>
      <c r="D963" s="328"/>
      <c r="E963" s="328"/>
      <c r="F963" s="328"/>
      <c r="G963" s="328"/>
      <c r="H963" s="328"/>
      <c r="I963" s="328"/>
      <c r="J963" s="328"/>
      <c r="K963" s="328"/>
      <c r="L963" s="328"/>
      <c r="M963" s="328"/>
      <c r="N963" s="328"/>
      <c r="O963" s="328"/>
      <c r="P963" s="328"/>
      <c r="Q963" s="328"/>
      <c r="R963" s="328"/>
      <c r="S963" s="328"/>
      <c r="T963" s="328"/>
      <c r="U963" s="328"/>
      <c r="V963" s="328"/>
    </row>
    <row r="964" ht="15.75" customHeight="1">
      <c r="A964" s="328"/>
      <c r="B964" s="328"/>
      <c r="C964" s="328"/>
      <c r="D964" s="328"/>
      <c r="E964" s="328"/>
      <c r="F964" s="328"/>
      <c r="G964" s="328"/>
      <c r="H964" s="328"/>
      <c r="I964" s="328"/>
      <c r="J964" s="328"/>
      <c r="K964" s="328"/>
      <c r="L964" s="328"/>
      <c r="M964" s="328"/>
      <c r="N964" s="328"/>
      <c r="O964" s="328"/>
      <c r="P964" s="328"/>
      <c r="Q964" s="328"/>
      <c r="R964" s="328"/>
      <c r="S964" s="328"/>
      <c r="T964" s="328"/>
      <c r="U964" s="328"/>
      <c r="V964" s="328"/>
    </row>
    <row r="965" ht="15.75" customHeight="1">
      <c r="A965" s="328"/>
      <c r="B965" s="328"/>
      <c r="C965" s="328"/>
      <c r="D965" s="328"/>
      <c r="E965" s="328"/>
      <c r="F965" s="328"/>
      <c r="G965" s="328"/>
      <c r="H965" s="328"/>
      <c r="I965" s="328"/>
      <c r="J965" s="328"/>
      <c r="K965" s="328"/>
      <c r="L965" s="328"/>
      <c r="M965" s="328"/>
      <c r="N965" s="328"/>
      <c r="O965" s="328"/>
      <c r="P965" s="328"/>
      <c r="Q965" s="328"/>
      <c r="R965" s="328"/>
      <c r="S965" s="328"/>
      <c r="T965" s="328"/>
      <c r="U965" s="328"/>
      <c r="V965" s="328"/>
    </row>
    <row r="966" ht="15.75" customHeight="1">
      <c r="A966" s="328"/>
      <c r="B966" s="328"/>
      <c r="C966" s="328"/>
      <c r="D966" s="328"/>
      <c r="E966" s="328"/>
      <c r="F966" s="328"/>
      <c r="G966" s="328"/>
      <c r="H966" s="328"/>
      <c r="I966" s="328"/>
      <c r="J966" s="328"/>
      <c r="K966" s="328"/>
      <c r="L966" s="328"/>
      <c r="M966" s="328"/>
      <c r="N966" s="328"/>
      <c r="O966" s="328"/>
      <c r="P966" s="328"/>
      <c r="Q966" s="328"/>
      <c r="R966" s="328"/>
      <c r="S966" s="328"/>
      <c r="T966" s="328"/>
      <c r="U966" s="328"/>
      <c r="V966" s="328"/>
    </row>
    <row r="967" ht="15.75" customHeight="1">
      <c r="A967" s="328"/>
      <c r="B967" s="328"/>
      <c r="C967" s="328"/>
      <c r="D967" s="328"/>
      <c r="E967" s="328"/>
      <c r="F967" s="328"/>
      <c r="G967" s="328"/>
      <c r="H967" s="328"/>
      <c r="I967" s="328"/>
      <c r="J967" s="328"/>
      <c r="K967" s="328"/>
      <c r="L967" s="328"/>
      <c r="M967" s="328"/>
      <c r="N967" s="328"/>
      <c r="O967" s="328"/>
      <c r="P967" s="328"/>
      <c r="Q967" s="328"/>
      <c r="R967" s="328"/>
      <c r="S967" s="328"/>
      <c r="T967" s="328"/>
      <c r="U967" s="328"/>
      <c r="V967" s="328"/>
    </row>
    <row r="968" ht="15.75" customHeight="1">
      <c r="A968" s="328"/>
      <c r="B968" s="328"/>
      <c r="C968" s="328"/>
      <c r="D968" s="328"/>
      <c r="E968" s="328"/>
      <c r="F968" s="328"/>
      <c r="G968" s="328"/>
      <c r="H968" s="328"/>
      <c r="I968" s="328"/>
      <c r="J968" s="328"/>
      <c r="K968" s="328"/>
      <c r="L968" s="328"/>
      <c r="M968" s="328"/>
      <c r="N968" s="328"/>
      <c r="O968" s="328"/>
      <c r="P968" s="328"/>
      <c r="Q968" s="328"/>
      <c r="R968" s="328"/>
      <c r="S968" s="328"/>
      <c r="T968" s="328"/>
      <c r="U968" s="328"/>
      <c r="V968" s="328"/>
    </row>
    <row r="969" ht="15.75" customHeight="1">
      <c r="A969" s="328"/>
      <c r="B969" s="328"/>
      <c r="C969" s="328"/>
      <c r="D969" s="328"/>
      <c r="E969" s="328"/>
      <c r="F969" s="328"/>
      <c r="G969" s="328"/>
      <c r="H969" s="328"/>
      <c r="I969" s="328"/>
      <c r="J969" s="328"/>
      <c r="K969" s="328"/>
      <c r="L969" s="328"/>
      <c r="M969" s="328"/>
      <c r="N969" s="328"/>
      <c r="O969" s="328"/>
      <c r="P969" s="328"/>
      <c r="Q969" s="328"/>
      <c r="R969" s="328"/>
      <c r="S969" s="328"/>
      <c r="T969" s="328"/>
      <c r="U969" s="328"/>
      <c r="V969" s="328"/>
    </row>
    <row r="970" ht="15.75" customHeight="1">
      <c r="A970" s="328"/>
      <c r="B970" s="328"/>
      <c r="C970" s="328"/>
      <c r="D970" s="328"/>
      <c r="E970" s="328"/>
      <c r="F970" s="328"/>
      <c r="G970" s="328"/>
      <c r="H970" s="328"/>
      <c r="I970" s="328"/>
      <c r="J970" s="328"/>
      <c r="K970" s="328"/>
      <c r="L970" s="328"/>
      <c r="M970" s="328"/>
      <c r="N970" s="328"/>
      <c r="O970" s="328"/>
      <c r="P970" s="328"/>
      <c r="Q970" s="328"/>
      <c r="R970" s="328"/>
      <c r="S970" s="328"/>
      <c r="T970" s="328"/>
      <c r="U970" s="328"/>
      <c r="V970" s="328"/>
    </row>
    <row r="971" ht="15.75" customHeight="1">
      <c r="A971" s="328"/>
      <c r="B971" s="328"/>
      <c r="C971" s="328"/>
      <c r="D971" s="328"/>
      <c r="E971" s="328"/>
      <c r="F971" s="328"/>
      <c r="G971" s="328"/>
      <c r="H971" s="328"/>
      <c r="I971" s="328"/>
      <c r="J971" s="328"/>
      <c r="K971" s="328"/>
      <c r="L971" s="328"/>
      <c r="M971" s="328"/>
      <c r="N971" s="328"/>
      <c r="O971" s="328"/>
      <c r="P971" s="328"/>
      <c r="Q971" s="328"/>
      <c r="R971" s="328"/>
      <c r="S971" s="328"/>
      <c r="T971" s="328"/>
      <c r="U971" s="328"/>
      <c r="V971" s="328"/>
    </row>
    <row r="972" ht="15.75" customHeight="1">
      <c r="A972" s="328"/>
      <c r="B972" s="328"/>
      <c r="C972" s="328"/>
      <c r="D972" s="328"/>
      <c r="E972" s="328"/>
      <c r="F972" s="328"/>
      <c r="G972" s="328"/>
      <c r="H972" s="328"/>
      <c r="I972" s="328"/>
      <c r="J972" s="328"/>
      <c r="K972" s="328"/>
      <c r="L972" s="328"/>
      <c r="M972" s="328"/>
      <c r="N972" s="328"/>
      <c r="O972" s="328"/>
      <c r="P972" s="328"/>
      <c r="Q972" s="328"/>
      <c r="R972" s="328"/>
      <c r="S972" s="328"/>
      <c r="T972" s="328"/>
      <c r="U972" s="328"/>
      <c r="V972" s="328"/>
    </row>
    <row r="973" ht="15.75" customHeight="1">
      <c r="A973" s="328"/>
      <c r="B973" s="328"/>
      <c r="C973" s="328"/>
      <c r="D973" s="328"/>
      <c r="E973" s="328"/>
      <c r="F973" s="328"/>
      <c r="G973" s="328"/>
      <c r="H973" s="328"/>
      <c r="I973" s="328"/>
      <c r="J973" s="328"/>
      <c r="K973" s="328"/>
      <c r="L973" s="328"/>
      <c r="M973" s="328"/>
      <c r="N973" s="328"/>
      <c r="O973" s="328"/>
      <c r="P973" s="328"/>
      <c r="Q973" s="328"/>
      <c r="R973" s="328"/>
      <c r="S973" s="328"/>
      <c r="T973" s="328"/>
      <c r="U973" s="328"/>
      <c r="V973" s="328"/>
    </row>
    <row r="974" ht="15.75" customHeight="1">
      <c r="A974" s="328"/>
      <c r="B974" s="328"/>
      <c r="C974" s="328"/>
      <c r="D974" s="328"/>
      <c r="E974" s="328"/>
      <c r="F974" s="328"/>
      <c r="G974" s="328"/>
      <c r="H974" s="328"/>
      <c r="I974" s="328"/>
      <c r="J974" s="328"/>
      <c r="K974" s="328"/>
      <c r="L974" s="328"/>
      <c r="M974" s="328"/>
      <c r="N974" s="328"/>
      <c r="O974" s="328"/>
      <c r="P974" s="328"/>
      <c r="Q974" s="328"/>
      <c r="R974" s="328"/>
      <c r="S974" s="328"/>
      <c r="T974" s="328"/>
      <c r="U974" s="328"/>
      <c r="V974" s="328"/>
    </row>
    <row r="975" ht="15.75" customHeight="1">
      <c r="A975" s="328"/>
      <c r="B975" s="328"/>
      <c r="C975" s="328"/>
      <c r="D975" s="328"/>
      <c r="E975" s="328"/>
      <c r="F975" s="328"/>
      <c r="G975" s="328"/>
      <c r="H975" s="328"/>
      <c r="I975" s="328"/>
      <c r="J975" s="328"/>
      <c r="K975" s="328"/>
      <c r="L975" s="328"/>
      <c r="M975" s="328"/>
      <c r="N975" s="328"/>
      <c r="O975" s="328"/>
      <c r="P975" s="328"/>
      <c r="Q975" s="328"/>
      <c r="R975" s="328"/>
      <c r="S975" s="328"/>
      <c r="T975" s="328"/>
      <c r="U975" s="328"/>
      <c r="V975" s="328"/>
    </row>
    <row r="976" ht="15.75" customHeight="1">
      <c r="A976" s="328"/>
      <c r="B976" s="328"/>
      <c r="C976" s="328"/>
      <c r="D976" s="328"/>
      <c r="E976" s="328"/>
      <c r="F976" s="328"/>
      <c r="G976" s="328"/>
      <c r="H976" s="328"/>
      <c r="I976" s="328"/>
      <c r="J976" s="328"/>
      <c r="K976" s="328"/>
      <c r="L976" s="328"/>
      <c r="M976" s="328"/>
      <c r="N976" s="328"/>
      <c r="O976" s="328"/>
      <c r="P976" s="328"/>
      <c r="Q976" s="328"/>
      <c r="R976" s="328"/>
      <c r="S976" s="328"/>
      <c r="T976" s="328"/>
      <c r="U976" s="328"/>
      <c r="V976" s="328"/>
    </row>
    <row r="977" ht="15.75" customHeight="1">
      <c r="A977" s="328"/>
      <c r="B977" s="328"/>
      <c r="C977" s="328"/>
      <c r="D977" s="328"/>
      <c r="E977" s="328"/>
      <c r="F977" s="328"/>
      <c r="G977" s="328"/>
      <c r="H977" s="328"/>
      <c r="I977" s="328"/>
      <c r="J977" s="328"/>
      <c r="K977" s="328"/>
      <c r="L977" s="328"/>
      <c r="M977" s="328"/>
      <c r="N977" s="328"/>
      <c r="O977" s="328"/>
      <c r="P977" s="328"/>
      <c r="Q977" s="328"/>
      <c r="R977" s="328"/>
      <c r="S977" s="328"/>
      <c r="T977" s="328"/>
      <c r="U977" s="328"/>
      <c r="V977" s="328"/>
    </row>
    <row r="978" ht="15.75" customHeight="1">
      <c r="A978" s="328"/>
      <c r="B978" s="328"/>
      <c r="C978" s="328"/>
      <c r="D978" s="328"/>
      <c r="E978" s="328"/>
      <c r="F978" s="328"/>
      <c r="G978" s="328"/>
      <c r="H978" s="328"/>
      <c r="I978" s="328"/>
      <c r="J978" s="328"/>
      <c r="K978" s="328"/>
      <c r="L978" s="328"/>
      <c r="M978" s="328"/>
      <c r="N978" s="328"/>
      <c r="O978" s="328"/>
      <c r="P978" s="328"/>
      <c r="Q978" s="328"/>
      <c r="R978" s="328"/>
      <c r="S978" s="328"/>
      <c r="T978" s="328"/>
      <c r="U978" s="328"/>
      <c r="V978" s="328"/>
    </row>
    <row r="979" ht="15.75" customHeight="1">
      <c r="A979" s="328"/>
      <c r="B979" s="328"/>
      <c r="C979" s="328"/>
      <c r="D979" s="328"/>
      <c r="E979" s="328"/>
      <c r="F979" s="328"/>
      <c r="G979" s="328"/>
      <c r="H979" s="328"/>
      <c r="I979" s="328"/>
      <c r="J979" s="328"/>
      <c r="K979" s="328"/>
      <c r="L979" s="328"/>
      <c r="M979" s="328"/>
      <c r="N979" s="328"/>
      <c r="O979" s="328"/>
      <c r="P979" s="328"/>
      <c r="Q979" s="328"/>
      <c r="R979" s="328"/>
      <c r="S979" s="328"/>
      <c r="T979" s="328"/>
      <c r="U979" s="328"/>
      <c r="V979" s="328"/>
    </row>
    <row r="980" ht="15.75" customHeight="1">
      <c r="A980" s="328"/>
      <c r="B980" s="328"/>
      <c r="C980" s="328"/>
      <c r="D980" s="328"/>
      <c r="E980" s="328"/>
      <c r="F980" s="328"/>
      <c r="G980" s="328"/>
      <c r="H980" s="328"/>
      <c r="I980" s="328"/>
      <c r="J980" s="328"/>
      <c r="K980" s="328"/>
      <c r="L980" s="328"/>
      <c r="M980" s="328"/>
      <c r="N980" s="328"/>
      <c r="O980" s="328"/>
      <c r="P980" s="328"/>
      <c r="Q980" s="328"/>
      <c r="R980" s="328"/>
      <c r="S980" s="328"/>
      <c r="T980" s="328"/>
      <c r="U980" s="328"/>
      <c r="V980" s="328"/>
    </row>
    <row r="981" ht="15.75" customHeight="1">
      <c r="A981" s="328"/>
      <c r="B981" s="328"/>
      <c r="C981" s="328"/>
      <c r="D981" s="328"/>
      <c r="E981" s="328"/>
      <c r="F981" s="328"/>
      <c r="G981" s="328"/>
      <c r="H981" s="328"/>
      <c r="I981" s="328"/>
      <c r="J981" s="328"/>
      <c r="K981" s="328"/>
      <c r="L981" s="328"/>
      <c r="M981" s="328"/>
      <c r="N981" s="328"/>
      <c r="O981" s="328"/>
      <c r="P981" s="328"/>
      <c r="Q981" s="328"/>
      <c r="R981" s="328"/>
      <c r="S981" s="328"/>
      <c r="T981" s="328"/>
      <c r="U981" s="328"/>
      <c r="V981" s="328"/>
    </row>
    <row r="982" ht="15.75" customHeight="1">
      <c r="A982" s="328"/>
      <c r="B982" s="328"/>
      <c r="C982" s="328"/>
      <c r="D982" s="328"/>
      <c r="E982" s="328"/>
      <c r="F982" s="328"/>
      <c r="G982" s="328"/>
      <c r="H982" s="328"/>
      <c r="I982" s="328"/>
      <c r="J982" s="328"/>
      <c r="K982" s="328"/>
      <c r="L982" s="328"/>
      <c r="M982" s="328"/>
      <c r="N982" s="328"/>
      <c r="O982" s="328"/>
      <c r="P982" s="328"/>
      <c r="Q982" s="328"/>
      <c r="R982" s="328"/>
      <c r="S982" s="328"/>
      <c r="T982" s="328"/>
      <c r="U982" s="328"/>
      <c r="V982" s="328"/>
    </row>
    <row r="983" ht="15.75" customHeight="1">
      <c r="A983" s="328"/>
      <c r="B983" s="328"/>
      <c r="C983" s="328"/>
      <c r="D983" s="328"/>
      <c r="E983" s="328"/>
      <c r="F983" s="328"/>
      <c r="G983" s="328"/>
      <c r="H983" s="328"/>
      <c r="I983" s="328"/>
      <c r="J983" s="328"/>
      <c r="K983" s="328"/>
      <c r="L983" s="328"/>
      <c r="M983" s="328"/>
      <c r="N983" s="328"/>
      <c r="O983" s="328"/>
      <c r="P983" s="328"/>
      <c r="Q983" s="328"/>
      <c r="R983" s="328"/>
      <c r="S983" s="328"/>
      <c r="T983" s="328"/>
      <c r="U983" s="328"/>
      <c r="V983" s="328"/>
    </row>
    <row r="984" ht="15.75" customHeight="1">
      <c r="A984" s="328"/>
      <c r="B984" s="328"/>
      <c r="C984" s="328"/>
      <c r="D984" s="328"/>
      <c r="E984" s="328"/>
      <c r="F984" s="328"/>
      <c r="G984" s="328"/>
      <c r="H984" s="328"/>
      <c r="I984" s="328"/>
      <c r="J984" s="328"/>
      <c r="K984" s="328"/>
      <c r="L984" s="328"/>
      <c r="M984" s="328"/>
      <c r="N984" s="328"/>
      <c r="O984" s="328"/>
      <c r="P984" s="328"/>
      <c r="Q984" s="328"/>
      <c r="R984" s="328"/>
      <c r="S984" s="328"/>
      <c r="T984" s="328"/>
      <c r="U984" s="328"/>
      <c r="V984" s="328"/>
    </row>
    <row r="985" ht="15.75" customHeight="1">
      <c r="A985" s="328"/>
      <c r="B985" s="328"/>
      <c r="C985" s="328"/>
      <c r="D985" s="328"/>
      <c r="E985" s="328"/>
      <c r="F985" s="328"/>
      <c r="G985" s="328"/>
      <c r="H985" s="328"/>
      <c r="I985" s="328"/>
      <c r="J985" s="328"/>
      <c r="K985" s="328"/>
      <c r="L985" s="328"/>
      <c r="M985" s="328"/>
      <c r="N985" s="328"/>
      <c r="O985" s="328"/>
      <c r="P985" s="328"/>
      <c r="Q985" s="328"/>
      <c r="R985" s="328"/>
      <c r="S985" s="328"/>
      <c r="T985" s="328"/>
      <c r="U985" s="328"/>
      <c r="V985" s="328"/>
    </row>
    <row r="986" ht="15.75" customHeight="1">
      <c r="A986" s="328"/>
      <c r="B986" s="328"/>
      <c r="C986" s="328"/>
      <c r="D986" s="328"/>
      <c r="E986" s="328"/>
      <c r="F986" s="328"/>
      <c r="G986" s="328"/>
      <c r="H986" s="328"/>
      <c r="I986" s="328"/>
      <c r="J986" s="328"/>
      <c r="K986" s="328"/>
      <c r="L986" s="328"/>
      <c r="M986" s="328"/>
      <c r="N986" s="328"/>
      <c r="O986" s="328"/>
      <c r="P986" s="328"/>
      <c r="Q986" s="328"/>
      <c r="R986" s="328"/>
      <c r="S986" s="328"/>
      <c r="T986" s="328"/>
      <c r="U986" s="328"/>
      <c r="V986" s="328"/>
    </row>
    <row r="987" ht="15.75" customHeight="1">
      <c r="A987" s="328"/>
      <c r="B987" s="328"/>
      <c r="C987" s="328"/>
      <c r="D987" s="328"/>
      <c r="E987" s="328"/>
      <c r="F987" s="328"/>
      <c r="G987" s="328"/>
      <c r="H987" s="328"/>
      <c r="I987" s="328"/>
      <c r="J987" s="328"/>
      <c r="K987" s="328"/>
      <c r="L987" s="328"/>
      <c r="M987" s="328"/>
      <c r="N987" s="328"/>
      <c r="O987" s="328"/>
      <c r="P987" s="328"/>
      <c r="Q987" s="328"/>
      <c r="R987" s="328"/>
      <c r="S987" s="328"/>
      <c r="T987" s="328"/>
      <c r="U987" s="328"/>
      <c r="V987" s="328"/>
    </row>
    <row r="988" ht="15.75" customHeight="1">
      <c r="A988" s="328"/>
      <c r="B988" s="328"/>
      <c r="C988" s="328"/>
      <c r="D988" s="328"/>
      <c r="E988" s="328"/>
      <c r="F988" s="328"/>
      <c r="G988" s="328"/>
      <c r="H988" s="328"/>
      <c r="I988" s="328"/>
      <c r="J988" s="328"/>
      <c r="K988" s="328"/>
      <c r="L988" s="328"/>
      <c r="M988" s="328"/>
      <c r="N988" s="328"/>
      <c r="O988" s="328"/>
      <c r="P988" s="328"/>
      <c r="Q988" s="328"/>
      <c r="R988" s="328"/>
      <c r="S988" s="328"/>
      <c r="T988" s="328"/>
      <c r="U988" s="328"/>
      <c r="V988" s="328"/>
    </row>
    <row r="989" ht="15.75" customHeight="1">
      <c r="A989" s="328"/>
      <c r="B989" s="328"/>
      <c r="C989" s="328"/>
      <c r="D989" s="328"/>
      <c r="E989" s="328"/>
      <c r="F989" s="328"/>
      <c r="G989" s="328"/>
      <c r="H989" s="328"/>
      <c r="I989" s="328"/>
      <c r="J989" s="328"/>
      <c r="K989" s="328"/>
      <c r="L989" s="328"/>
      <c r="M989" s="328"/>
      <c r="N989" s="328"/>
      <c r="O989" s="328"/>
      <c r="P989" s="328"/>
      <c r="Q989" s="328"/>
      <c r="R989" s="328"/>
      <c r="S989" s="328"/>
      <c r="T989" s="328"/>
      <c r="U989" s="328"/>
      <c r="V989" s="328"/>
    </row>
    <row r="990" ht="15.75" customHeight="1">
      <c r="A990" s="328"/>
      <c r="B990" s="328"/>
      <c r="C990" s="328"/>
      <c r="D990" s="328"/>
      <c r="E990" s="328"/>
      <c r="F990" s="328"/>
      <c r="G990" s="328"/>
      <c r="H990" s="328"/>
      <c r="I990" s="328"/>
      <c r="J990" s="328"/>
      <c r="K990" s="328"/>
      <c r="L990" s="328"/>
      <c r="M990" s="328"/>
      <c r="N990" s="328"/>
      <c r="O990" s="328"/>
      <c r="P990" s="328"/>
      <c r="Q990" s="328"/>
      <c r="R990" s="328"/>
      <c r="S990" s="328"/>
      <c r="T990" s="328"/>
      <c r="U990" s="328"/>
      <c r="V990" s="328"/>
    </row>
    <row r="991" ht="15.75" customHeight="1">
      <c r="A991" s="328"/>
      <c r="B991" s="328"/>
      <c r="C991" s="328"/>
      <c r="D991" s="328"/>
      <c r="E991" s="328"/>
      <c r="F991" s="328"/>
      <c r="G991" s="328"/>
      <c r="H991" s="328"/>
      <c r="I991" s="328"/>
      <c r="J991" s="328"/>
      <c r="K991" s="328"/>
      <c r="L991" s="328"/>
      <c r="M991" s="328"/>
      <c r="N991" s="328"/>
      <c r="O991" s="328"/>
      <c r="P991" s="328"/>
      <c r="Q991" s="328"/>
      <c r="R991" s="328"/>
      <c r="S991" s="328"/>
      <c r="T991" s="328"/>
      <c r="U991" s="328"/>
      <c r="V991" s="328"/>
    </row>
    <row r="992" ht="15.75" customHeight="1">
      <c r="A992" s="328"/>
      <c r="B992" s="328"/>
      <c r="C992" s="328"/>
      <c r="D992" s="328"/>
      <c r="E992" s="328"/>
      <c r="F992" s="328"/>
      <c r="G992" s="328"/>
      <c r="H992" s="328"/>
      <c r="I992" s="328"/>
      <c r="J992" s="328"/>
      <c r="K992" s="328"/>
      <c r="L992" s="328"/>
      <c r="M992" s="328"/>
      <c r="N992" s="328"/>
      <c r="O992" s="328"/>
      <c r="P992" s="328"/>
      <c r="Q992" s="328"/>
      <c r="R992" s="328"/>
      <c r="S992" s="328"/>
      <c r="T992" s="328"/>
      <c r="U992" s="328"/>
      <c r="V992" s="328"/>
    </row>
    <row r="993" ht="15.75" customHeight="1">
      <c r="A993" s="328"/>
      <c r="B993" s="328"/>
      <c r="C993" s="328"/>
      <c r="D993" s="328"/>
      <c r="E993" s="328"/>
      <c r="F993" s="328"/>
      <c r="G993" s="328"/>
      <c r="H993" s="328"/>
      <c r="I993" s="328"/>
      <c r="J993" s="328"/>
      <c r="K993" s="328"/>
      <c r="L993" s="328"/>
      <c r="M993" s="328"/>
      <c r="N993" s="328"/>
      <c r="O993" s="328"/>
      <c r="P993" s="328"/>
      <c r="Q993" s="328"/>
      <c r="R993" s="328"/>
      <c r="S993" s="328"/>
      <c r="T993" s="328"/>
      <c r="U993" s="328"/>
      <c r="V993" s="328"/>
    </row>
    <row r="994" ht="15.75" customHeight="1">
      <c r="A994" s="328"/>
      <c r="B994" s="328"/>
      <c r="C994" s="328"/>
      <c r="D994" s="328"/>
      <c r="E994" s="328"/>
      <c r="F994" s="328"/>
      <c r="G994" s="328"/>
      <c r="H994" s="328"/>
      <c r="I994" s="328"/>
      <c r="J994" s="328"/>
      <c r="K994" s="328"/>
      <c r="L994" s="328"/>
      <c r="M994" s="328"/>
      <c r="N994" s="328"/>
      <c r="O994" s="328"/>
      <c r="P994" s="328"/>
      <c r="Q994" s="328"/>
      <c r="R994" s="328"/>
      <c r="S994" s="328"/>
      <c r="T994" s="328"/>
      <c r="U994" s="328"/>
      <c r="V994" s="328"/>
    </row>
    <row r="995" ht="15.75" customHeight="1">
      <c r="A995" s="328"/>
      <c r="B995" s="328"/>
      <c r="C995" s="328"/>
      <c r="D995" s="328"/>
      <c r="E995" s="328"/>
      <c r="F995" s="328"/>
      <c r="G995" s="328"/>
      <c r="H995" s="328"/>
      <c r="I995" s="328"/>
      <c r="J995" s="328"/>
      <c r="K995" s="328"/>
      <c r="L995" s="328"/>
      <c r="M995" s="328"/>
      <c r="N995" s="328"/>
      <c r="O995" s="328"/>
      <c r="P995" s="328"/>
      <c r="Q995" s="328"/>
      <c r="R995" s="328"/>
      <c r="S995" s="328"/>
      <c r="T995" s="328"/>
      <c r="U995" s="328"/>
      <c r="V995" s="328"/>
    </row>
    <row r="996" ht="15.75" customHeight="1">
      <c r="A996" s="328"/>
      <c r="B996" s="328"/>
      <c r="C996" s="328"/>
      <c r="D996" s="328"/>
      <c r="E996" s="328"/>
      <c r="F996" s="328"/>
      <c r="G996" s="328"/>
      <c r="H996" s="328"/>
      <c r="I996" s="328"/>
      <c r="J996" s="328"/>
      <c r="K996" s="328"/>
      <c r="L996" s="328"/>
      <c r="M996" s="328"/>
      <c r="N996" s="328"/>
      <c r="O996" s="328"/>
      <c r="P996" s="328"/>
      <c r="Q996" s="328"/>
      <c r="R996" s="328"/>
      <c r="S996" s="328"/>
      <c r="T996" s="328"/>
      <c r="U996" s="328"/>
      <c r="V996" s="328"/>
    </row>
    <row r="997" ht="15.75" customHeight="1">
      <c r="A997" s="328"/>
      <c r="B997" s="328"/>
      <c r="C997" s="328"/>
      <c r="D997" s="328"/>
      <c r="E997" s="328"/>
      <c r="F997" s="328"/>
      <c r="G997" s="328"/>
      <c r="H997" s="328"/>
      <c r="I997" s="328"/>
      <c r="J997" s="328"/>
      <c r="K997" s="328"/>
      <c r="L997" s="328"/>
      <c r="M997" s="328"/>
      <c r="N997" s="328"/>
      <c r="O997" s="328"/>
      <c r="P997" s="328"/>
      <c r="Q997" s="328"/>
      <c r="R997" s="328"/>
      <c r="S997" s="328"/>
      <c r="T997" s="328"/>
      <c r="U997" s="328"/>
      <c r="V997" s="328"/>
    </row>
    <row r="998" ht="15.75" customHeight="1">
      <c r="A998" s="328"/>
      <c r="B998" s="328"/>
      <c r="C998" s="328"/>
      <c r="D998" s="328"/>
      <c r="E998" s="328"/>
      <c r="F998" s="328"/>
      <c r="G998" s="328"/>
      <c r="H998" s="328"/>
      <c r="I998" s="328"/>
      <c r="J998" s="328"/>
      <c r="K998" s="328"/>
      <c r="L998" s="328"/>
      <c r="M998" s="328"/>
      <c r="N998" s="328"/>
      <c r="O998" s="328"/>
      <c r="P998" s="328"/>
      <c r="Q998" s="328"/>
      <c r="R998" s="328"/>
      <c r="S998" s="328"/>
      <c r="T998" s="328"/>
      <c r="U998" s="328"/>
      <c r="V998" s="328"/>
    </row>
    <row r="999" ht="15.75" customHeight="1">
      <c r="A999" s="328"/>
      <c r="B999" s="328"/>
      <c r="C999" s="328"/>
      <c r="D999" s="328"/>
      <c r="E999" s="328"/>
      <c r="F999" s="328"/>
      <c r="G999" s="328"/>
      <c r="H999" s="328"/>
      <c r="I999" s="328"/>
      <c r="J999" s="328"/>
      <c r="K999" s="328"/>
      <c r="L999" s="328"/>
      <c r="M999" s="328"/>
      <c r="N999" s="328"/>
      <c r="O999" s="328"/>
      <c r="P999" s="328"/>
      <c r="Q999" s="328"/>
      <c r="R999" s="328"/>
      <c r="S999" s="328"/>
      <c r="T999" s="328"/>
      <c r="U999" s="328"/>
      <c r="V999" s="328"/>
    </row>
    <row r="1000" ht="15.75" customHeight="1">
      <c r="A1000" s="328"/>
      <c r="B1000" s="328"/>
      <c r="C1000" s="328"/>
      <c r="D1000" s="328"/>
      <c r="E1000" s="328"/>
      <c r="F1000" s="328"/>
      <c r="G1000" s="328"/>
      <c r="H1000" s="328"/>
      <c r="I1000" s="328"/>
      <c r="J1000" s="328"/>
      <c r="K1000" s="328"/>
      <c r="L1000" s="328"/>
      <c r="M1000" s="328"/>
      <c r="N1000" s="328"/>
      <c r="O1000" s="328"/>
      <c r="P1000" s="328"/>
      <c r="Q1000" s="328"/>
      <c r="R1000" s="328"/>
      <c r="S1000" s="328"/>
      <c r="T1000" s="328"/>
      <c r="U1000" s="328"/>
      <c r="V1000" s="328"/>
    </row>
  </sheetData>
  <conditionalFormatting sqref="B16:V22">
    <cfRule type="cellIs" dxfId="4" priority="1" stopIfTrue="1" operator="greaterThan">
      <formula>0</formula>
    </cfRule>
  </conditionalFormatting>
  <conditionalFormatting sqref="B26:V28">
    <cfRule type="cellIs" dxfId="4" priority="2" stopIfTrue="1" operator="greaterThan">
      <formula>0</formula>
    </cfRule>
  </conditionalFormatting>
  <conditionalFormatting sqref="A16:V22">
    <cfRule type="expression" dxfId="5" priority="3">
      <formula>ISEVEN(ROW()-ROW($A$16)+1)</formula>
    </cfRule>
  </conditionalFormatting>
  <conditionalFormatting sqref="A26:V28">
    <cfRule type="expression" dxfId="5" priority="4">
      <formula>ISEVEN(ROW()-ROW($A$26)+1)</formula>
    </cfRule>
  </conditionalFormatting>
  <conditionalFormatting sqref="A1:D1000">
    <cfRule type="expression" dxfId="3" priority="5">
      <formula>ISFORMULA(A1)</formula>
    </cfRule>
  </conditionalFormatting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10.5"/>
    <col customWidth="1" min="36" max="36" width="20.13"/>
    <col customWidth="1" min="37" max="37" width="10.5"/>
    <col customWidth="1" min="38" max="38" width="20.13"/>
    <col customWidth="1" min="39" max="39" width="10.5"/>
    <col customWidth="1" min="40" max="40" width="20.13"/>
    <col customWidth="1" min="41" max="41" width="10.5"/>
    <col customWidth="1" min="42" max="42" width="20.13"/>
    <col customWidth="1" min="43" max="43" width="10.5"/>
    <col customWidth="1" min="44" max="44" width="20.13"/>
  </cols>
  <sheetData>
    <row r="1" ht="21.75" customHeight="1">
      <c r="A1" s="379" t="s">
        <v>361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AH1" s="222" t="s">
        <v>176</v>
      </c>
    </row>
    <row r="2" ht="19.5" customHeight="1">
      <c r="A2" s="352" t="s">
        <v>106</v>
      </c>
      <c r="B2" s="352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AH2" s="223" t="s">
        <v>177</v>
      </c>
      <c r="AI2" s="224" t="s">
        <v>362</v>
      </c>
      <c r="AK2" s="1" t="s">
        <v>363</v>
      </c>
    </row>
    <row r="3">
      <c r="A3" s="151" t="s">
        <v>169</v>
      </c>
      <c r="B3" s="154">
        <v>4.0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AH3" s="223" t="s">
        <v>179</v>
      </c>
      <c r="AI3" s="224" t="s">
        <v>180</v>
      </c>
    </row>
    <row r="4">
      <c r="A4" s="353"/>
      <c r="B4" s="355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</row>
    <row r="5">
      <c r="A5" s="353"/>
      <c r="B5" s="355"/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  <c r="AH5" s="226" t="s">
        <v>181</v>
      </c>
      <c r="AI5" s="226" t="s">
        <v>182</v>
      </c>
      <c r="AJ5" s="226" t="s">
        <v>183</v>
      </c>
      <c r="AK5" s="226" t="s">
        <v>184</v>
      </c>
      <c r="AL5" s="226" t="s">
        <v>185</v>
      </c>
      <c r="AM5" s="226" t="s">
        <v>187</v>
      </c>
      <c r="AN5" s="226" t="s">
        <v>188</v>
      </c>
      <c r="AO5" s="226" t="s">
        <v>189</v>
      </c>
      <c r="AP5" s="226" t="s">
        <v>191</v>
      </c>
      <c r="AQ5" s="226" t="s">
        <v>192</v>
      </c>
      <c r="AR5" s="226" t="s">
        <v>194</v>
      </c>
    </row>
    <row r="6">
      <c r="A6" s="353"/>
      <c r="B6" s="355"/>
      <c r="C6" s="328"/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AH6" s="227">
        <f>IF(1&lt;=$B$3,1,"")</f>
        <v>1</v>
      </c>
      <c r="AI6" s="237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2</v>
      </c>
      <c r="AJ6" s="238" t="str">
        <f t="array" ref="AJ6">IF($AH6="","",IF(AI6=0,"{}",LET(m,AI6,s,MMULT(SEQUENCE(1,m,1,0),N($E$16:$Y$45)),"{"&amp;TEXTJOIN(", ",TRUE,IF(s&gt;0,$E$15:$Y$15&amp;": "&amp;ROUND(s,2),""))&amp;"}")))</f>
        <v>{Coins: 10, Red: 1}</v>
      </c>
      <c r="AK6" s="237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8</v>
      </c>
      <c r="AL6" s="238" t="str">
        <f t="array" ref="AL6">IF($AH6="","",IF(AK6=0,"{}",LET(m,AK6,s,MMULT(SEQUENCE(1,m,1,0),N($E$16:$Y$45)),"{"&amp;TEXTJOIN(", ",TRUE,IF(s&gt;0,$E$15:$Y$15&amp;": "&amp;ROUND(s,2),""))&amp;"}")))</f>
        <v>{Coins: 10, SPT: 40, Red: 2, Chuck: 2, Unlimited Lives: 25}</v>
      </c>
      <c r="AM6" s="237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12</v>
      </c>
      <c r="AN6" s="238" t="str">
        <f t="array" ref="AN6">IF($AH6="","",IF(AM6=0,"{}",LET(m,AM6,s,MMULT(SEQUENCE(1,m,1,0),N($E$16:$Y$45)),"{"&amp;TEXTJOIN(", ",TRUE,IF(s&gt;0,$E$15:$Y$15&amp;": "&amp;ROUND(s,2),""))&amp;"}")))</f>
        <v>{Coins: 30, SPT: 90, Red: 2, Chuck: 2, Shuffle: 1, Comet: 1, Unlimited Lives: 55}</v>
      </c>
      <c r="AO6" s="237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17</v>
      </c>
      <c r="AP6" s="238" t="str">
        <f t="array" ref="AP6">IF($AH6="","",IF(AO6=0,"{}",LET(m,AO6,s,MMULT(SEQUENCE(1,m,1,0),N($E$16:$Y$45)),"{"&amp;TEXTJOIN(", ",TRUE,IF(s&gt;0,$E$15:$Y$15&amp;": "&amp;ROUND(s,2),""))&amp;"}")))</f>
        <v>{Coins: 80, SPT: 290, Red: 2, Chuck: 2, Bomb: 2, Shuffle: 1, Comet: 1, Unlimited Lives: 55, Unlimited Red: 10}</v>
      </c>
      <c r="AQ6" s="237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20</v>
      </c>
      <c r="AR6" s="238" t="str">
        <f t="array" ref="AR6">IF($AH6="","",IF(AQ6=0,"{}",LET(m,AQ6,s,MMULT(SEQUENCE(1,m,1,0),N($E$16:$Y$45)),"{"&amp;TEXTJOIN(", ",TRUE,IF(s&gt;0,$E$15:$Y$15&amp;": "&amp;ROUND(s,2),""))&amp;"}")))</f>
        <v>{Coins: 230, SPT: 290, Red: 4, Chuck: 2, Bomb: 2, Shuffle: 2, Comet: 1, Unlimited Lives: 100, Unlimited Red: 10}</v>
      </c>
    </row>
    <row r="7">
      <c r="A7" s="353"/>
      <c r="B7" s="355"/>
      <c r="C7" s="328"/>
      <c r="D7" s="328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AH7" s="227">
        <f>IF(2&lt;=$B$3,2,"")</f>
        <v>2</v>
      </c>
      <c r="AI7" s="237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5</v>
      </c>
      <c r="AJ7" s="238" t="str">
        <f t="array" ref="AJ7">IF($AH7="","",IF(AI7=0,"{}",LET(m,AI7,s,MMULT(SEQUENCE(1,m,1,0),N($E$16:$Y$45)),"{"&amp;TEXTJOIN(", ",TRUE,IF(s&gt;0,$E$15:$Y$15&amp;": "&amp;ROUND(s,2),""))&amp;"}")))</f>
        <v>{Coins: 10, SPT: 10, Red: 1, Chuck: 1, Unlimited Lives: 10}</v>
      </c>
      <c r="AK7" s="237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11</v>
      </c>
      <c r="AL7" s="238" t="str">
        <f t="array" ref="AL7">IF($AH7="","",IF(AK7=0,"{}",LET(m,AK7,s,MMULT(SEQUENCE(1,m,1,0),N($E$16:$Y$45)),"{"&amp;TEXTJOIN(", ",TRUE,IF(s&gt;0,$E$15:$Y$15&amp;": "&amp;ROUND(s,2),""))&amp;"}")))</f>
        <v>{Coins: 30, SPT: 90, Red: 2, Chuck: 2, Shuffle: 1, Unlimited Lives: 25}</v>
      </c>
      <c r="AM7" s="237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15</v>
      </c>
      <c r="AN7" s="238" t="str">
        <f t="array" ref="AN7">IF($AH7="","",IF(AM7=0,"{}",LET(m,AM7,s,MMULT(SEQUENCE(1,m,1,0),N($E$16:$Y$45)),"{"&amp;TEXTJOIN(", ",TRUE,IF(s&gt;0,$E$15:$Y$15&amp;": "&amp;ROUND(s,2),""))&amp;"}")))</f>
        <v>{Coins: 30, SPT: 165, Red: 2, Chuck: 2, Bomb: 1, Shuffle: 1, Comet: 1, Unlimited Lives: 55, Unlimited Red: 10}</v>
      </c>
      <c r="AO7" s="237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21</v>
      </c>
      <c r="AP7" s="238" t="str">
        <f t="array" ref="AP7">IF($AH7="","",IF(AO7=0,"{}",LET(m,AO7,s,MMULT(SEQUENCE(1,m,1,0),N($E$16:$Y$45)),"{"&amp;TEXTJOIN(", ",TRUE,IF(s&gt;0,$E$15:$Y$15&amp;": "&amp;ROUND(s,2),""))&amp;"}")))</f>
        <v>{Coins: 230, SPT: 490, Red: 4, Chuck: 2, Bomb: 2, Shuffle: 2, Comet: 1, Unlimited Lives: 100, Unlimited Red: 10}</v>
      </c>
      <c r="AQ7" s="237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25</v>
      </c>
      <c r="AR7" s="238" t="str">
        <f t="array" ref="AR7">IF($AH7="","",IF(AQ7=0,"{}",LET(m,AQ7,s,MMULT(SEQUENCE(1,m,1,0),N($E$16:$Y$45)),"{"&amp;TEXTJOIN(", ",TRUE,IF(s&gt;0,$E$15:$Y$15&amp;": "&amp;ROUND(s,2),""))&amp;"}")))</f>
        <v>{Coins: 580, SPT: 840, Red: 4, Chuck: 4, Bomb: 2, Shuffle: 3, Comet: 2, Unlimited Lives: 160, Unlimited Red: 10, Unlimited Chuck: 10}</v>
      </c>
    </row>
    <row r="8">
      <c r="A8" s="353"/>
      <c r="B8" s="355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AH8" s="227">
        <f>IF(3&lt;=$B$3,3,"")</f>
        <v>3</v>
      </c>
      <c r="AI8" s="237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5</v>
      </c>
      <c r="AJ8" s="238" t="str">
        <f t="array" ref="AJ8">IF($AH8="","",IF(AI8=0,"{}",LET(m,AI8,s,MMULT(SEQUENCE(1,m,1,0),N($E$16:$Y$45)),"{"&amp;TEXTJOIN(", ",TRUE,IF(s&gt;0,$E$15:$Y$15&amp;": "&amp;ROUND(s,2),""))&amp;"}")))</f>
        <v>{Coins: 10, SPT: 10, Red: 1, Chuck: 1, Unlimited Lives: 10}</v>
      </c>
      <c r="AK8" s="237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13</v>
      </c>
      <c r="AL8" s="238" t="str">
        <f t="array" ref="AL8">IF($AH8="","",IF(AK8=0,"{}",LET(m,AK8,s,MMULT(SEQUENCE(1,m,1,0),N($E$16:$Y$45)),"{"&amp;TEXTJOIN(", ",TRUE,IF(s&gt;0,$E$15:$Y$15&amp;": "&amp;ROUND(s,2),""))&amp;"}")))</f>
        <v>{Coins: 30, SPT: 90, Red: 2, Chuck: 2, Bomb: 1, Shuffle: 1, Comet: 1, Unlimited Lives: 55}</v>
      </c>
      <c r="AM8" s="237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17</v>
      </c>
      <c r="AN8" s="238" t="str">
        <f t="array" ref="AN8">IF($AH8="","",IF(AM8=0,"{}",LET(m,AM8,s,MMULT(SEQUENCE(1,m,1,0),N($E$16:$Y$45)),"{"&amp;TEXTJOIN(", ",TRUE,IF(s&gt;0,$E$15:$Y$15&amp;": "&amp;ROUND(s,2),""))&amp;"}")))</f>
        <v>{Coins: 80, SPT: 290, Red: 2, Chuck: 2, Bomb: 2, Shuffle: 1, Comet: 1, Unlimited Lives: 55, Unlimited Red: 10}</v>
      </c>
      <c r="AO8" s="237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24</v>
      </c>
      <c r="AP8" s="238" t="str">
        <f t="array" ref="AP8">IF($AH8="","",IF(AO8=0,"{}",LET(m,AO8,s,MMULT(SEQUENCE(1,m,1,0),N($E$16:$Y$45)),"{"&amp;TEXTJOIN(", ",TRUE,IF(s&gt;0,$E$15:$Y$15&amp;": "&amp;ROUND(s,2),""))&amp;"}")))</f>
        <v>{Coins: 580, SPT: 840, Red: 4, Chuck: 4, Bomb: 2, Shuffle: 3, Comet: 2, Unlimited Lives: 100, Unlimited Red: 10, Unlimited Chuck: 10}</v>
      </c>
      <c r="AQ8" s="237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28</v>
      </c>
      <c r="AR8" s="238" t="str">
        <f t="array" ref="AR8">IF($AH8="","",IF(AQ8=0,"{}",LET(m,AQ8,s,MMULT(SEQUENCE(1,m,1,0),N($E$16:$Y$45)),"{"&amp;TEXTJOIN(", ",TRUE,IF(s&gt;0,$E$15:$Y$15&amp;": "&amp;ROUND(s,2),""))&amp;"}")))</f>
        <v>{Coins: 580, SPT: 1440, Red: 4, Chuck: 4, Bomb: 4, Shuffle: 3, Comet: 2, Unlimited Lives: 220, Unlimited Red: 10, Unlimited Chuck: 10}</v>
      </c>
    </row>
    <row r="9">
      <c r="A9" s="353"/>
      <c r="B9" s="355"/>
      <c r="C9" s="328"/>
      <c r="D9" s="328"/>
      <c r="E9" s="328"/>
      <c r="F9" s="328"/>
      <c r="G9" s="328"/>
      <c r="H9" s="328"/>
      <c r="I9" s="328"/>
      <c r="J9" s="328"/>
      <c r="K9" s="328"/>
      <c r="L9" s="328"/>
      <c r="M9" s="328"/>
      <c r="N9" s="328"/>
      <c r="O9" s="328"/>
      <c r="P9" s="328"/>
      <c r="Q9" s="328"/>
      <c r="R9" s="328"/>
      <c r="S9" s="328"/>
      <c r="T9" s="328"/>
      <c r="U9" s="328"/>
      <c r="V9" s="328"/>
      <c r="AH9" s="227">
        <f>IF(4&lt;=$B$3,4,"")</f>
        <v>4</v>
      </c>
      <c r="AI9" s="237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7</v>
      </c>
      <c r="AJ9" s="238" t="str">
        <f t="array" ref="AJ9">IF($AH9="","",IF(AI9=0,"{}",LET(m,AI9,s,MMULT(SEQUENCE(1,m,1,0),N($E$16:$Y$45)),"{"&amp;TEXTJOIN(", ",TRUE,IF(s&gt;0,$E$15:$Y$15&amp;": "&amp;ROUND(s,2),""))&amp;"}")))</f>
        <v>{Coins: 10, SPT: 40, Red: 2, Chuck: 1, Unlimited Lives: 25}</v>
      </c>
      <c r="AK9" s="237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14</v>
      </c>
      <c r="AL9" s="238" t="str">
        <f t="array" ref="AL9">IF($AH9="","",IF(AK9=0,"{}",LET(m,AK9,s,MMULT(SEQUENCE(1,m,1,0),N($E$16:$Y$45)),"{"&amp;TEXTJOIN(", ",TRUE,IF(s&gt;0,$E$15:$Y$15&amp;": "&amp;ROUND(s,2),""))&amp;"}")))</f>
        <v>{Coins: 30, SPT: 90, Red: 2, Chuck: 2, Bomb: 1, Shuffle: 1, Comet: 1, Unlimited Lives: 55, Unlimited Red: 10}</v>
      </c>
      <c r="AM9" s="237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20</v>
      </c>
      <c r="AN9" s="238" t="str">
        <f t="array" ref="AN9">IF($AH9="","",IF(AM9=0,"{}",LET(m,AM9,s,MMULT(SEQUENCE(1,m,1,0),N($E$16:$Y$45)),"{"&amp;TEXTJOIN(", ",TRUE,IF(s&gt;0,$E$15:$Y$15&amp;": "&amp;ROUND(s,2),""))&amp;"}")))</f>
        <v>{Coins: 230, SPT: 290, Red: 4, Chuck: 2, Bomb: 2, Shuffle: 2, Comet: 1, Unlimited Lives: 100, Unlimited Red: 10}</v>
      </c>
      <c r="AO9" s="237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26</v>
      </c>
      <c r="AP9" s="238" t="str">
        <f t="array" ref="AP9">IF($AH9="","",IF(AO9=0,"{}",LET(m,AO9,s,MMULT(SEQUENCE(1,m,1,0),N($E$16:$Y$45)),"{"&amp;TEXTJOIN(", ",TRUE,IF(s&gt;0,$E$15:$Y$15&amp;": "&amp;ROUND(s,2),""))&amp;"}")))</f>
        <v>{Coins: 580, SPT: 840, Red: 4, Chuck: 4, Bomb: 4, Shuffle: 3, Comet: 2, Unlimited Lives: 160, Unlimited Red: 10, Unlimited Chuck: 10}</v>
      </c>
      <c r="AQ9" s="237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29</v>
      </c>
      <c r="AR9" s="238" t="str">
        <f t="array" ref="AR9">IF($AH9="","",IF(AQ9=0,"{}",LET(m,AQ9,s,MMULT(SEQUENCE(1,m,1,0),N($E$16:$Y$45)),"{"&amp;TEXTJOIN(", ",TRUE,IF(s&gt;0,$E$15:$Y$15&amp;": "&amp;ROUND(s,2),""))&amp;"}")))</f>
        <v>{Coins: 580, SPT: 1440, Red: 4, Chuck: 4, Bomb: 7, Shuffle: 3, Comet: 2, Unlimited Lives: 220, Unlimited Red: 10, Unlimited Chuck: 10}</v>
      </c>
    </row>
    <row r="10">
      <c r="A10" s="353"/>
      <c r="B10" s="355"/>
      <c r="C10" s="328"/>
      <c r="D10" s="328"/>
      <c r="E10" s="328"/>
      <c r="F10" s="328"/>
      <c r="G10" s="328"/>
      <c r="H10" s="328"/>
      <c r="I10" s="328"/>
      <c r="J10" s="328"/>
      <c r="K10" s="328"/>
      <c r="L10" s="328"/>
      <c r="M10" s="328"/>
      <c r="N10" s="328"/>
      <c r="O10" s="328"/>
      <c r="P10" s="328"/>
      <c r="Q10" s="328"/>
      <c r="R10" s="328"/>
      <c r="S10" s="328"/>
      <c r="T10" s="328"/>
      <c r="U10" s="328"/>
      <c r="V10" s="328"/>
      <c r="AH10" s="227" t="str">
        <f>IF(5&lt;=$B$3,5,"")</f>
        <v/>
      </c>
      <c r="AI10" s="237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38" t="str">
        <f t="array" ref="AJ10">IF($AH10="","",IF(AI10=0,"{}",LET(m,AI10,s,MMULT(SEQUENCE(1,m,1,0),$E$16:$Y$45),"{"&amp;TEXTJOIN(", ",TRUE,IF(s&gt;0,$E$15:$Y$15&amp;": "&amp;ROUND(s,2),""))&amp;"}")))</f>
        <v/>
      </c>
      <c r="AK10" s="237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38" t="str">
        <f t="array" ref="AL10">IF($AH10="","",IF(AK10=0,"{}",LET(m,AK10,s,MMULT(SEQUENCE(1,m,1,0),$E$16:$Y$45),"{"&amp;TEXTJOIN(", ",TRUE,IF(s&gt;0,$E$15:$Y$15&amp;": "&amp;ROUND(s,2),""))&amp;"}")))</f>
        <v/>
      </c>
      <c r="AM10" s="237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38" t="str">
        <f t="array" ref="AN10">IF($AH10="","",IF(AM10=0,"{}",LET(m,AM10,s,MMULT(SEQUENCE(1,m,1,0),$E$16:$Y$45),"{"&amp;TEXTJOIN(", ",TRUE,IF(s&gt;0,$E$15:$Y$15&amp;": "&amp;ROUND(s,2),""))&amp;"}")))</f>
        <v/>
      </c>
      <c r="AO10" s="237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38" t="str">
        <f t="array" ref="AP10">IF($AH10="","",IF(AO10=0,"{}",LET(m,AO10,s,MMULT(SEQUENCE(1,m,1,0),$E$16:$Y$45),"{"&amp;TEXTJOIN(", ",TRUE,IF(s&gt;0,$E$15:$Y$15&amp;": "&amp;ROUND(s,2),""))&amp;"}")))</f>
        <v/>
      </c>
      <c r="AQ10" s="237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38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53"/>
      <c r="B11" s="355"/>
      <c r="C11" s="328"/>
      <c r="D11" s="328"/>
      <c r="E11" s="328"/>
      <c r="F11" s="328"/>
      <c r="G11" s="328"/>
      <c r="H11" s="328"/>
      <c r="I11" s="328"/>
      <c r="J11" s="328"/>
      <c r="K11" s="328"/>
      <c r="L11" s="328"/>
      <c r="M11" s="328"/>
      <c r="N11" s="328"/>
      <c r="O11" s="328"/>
      <c r="P11" s="328"/>
      <c r="Q11" s="328"/>
      <c r="R11" s="328"/>
      <c r="S11" s="328"/>
      <c r="T11" s="328"/>
      <c r="U11" s="328"/>
      <c r="V11" s="328"/>
      <c r="AH11" s="227" t="str">
        <f>IF(6&lt;=$B$3,6,"")</f>
        <v/>
      </c>
      <c r="AI11" s="237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38" t="str">
        <f t="array" ref="AJ11">IF($AH11="","",IF(AI11=0,"{}",LET(m,AI11,s,MMULT(SEQUENCE(1,m,1,0),$E$16:$Y$45),"{"&amp;TEXTJOIN(", ",TRUE,IF(s&gt;0,$E$15:$Y$15&amp;": "&amp;ROUND(s,2),""))&amp;"}")))</f>
        <v/>
      </c>
      <c r="AK11" s="237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38" t="str">
        <f t="array" ref="AL11">IF($AH11="","",IF(AK11=0,"{}",LET(m,AK11,s,MMULT(SEQUENCE(1,m,1,0),$E$16:$Y$45),"{"&amp;TEXTJOIN(", ",TRUE,IF(s&gt;0,$E$15:$Y$15&amp;": "&amp;ROUND(s,2),""))&amp;"}")))</f>
        <v/>
      </c>
      <c r="AM11" s="237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38" t="str">
        <f t="array" ref="AN11">IF($AH11="","",IF(AM11=0,"{}",LET(m,AM11,s,MMULT(SEQUENCE(1,m,1,0),$E$16:$Y$45),"{"&amp;TEXTJOIN(", ",TRUE,IF(s&gt;0,$E$15:$Y$15&amp;": "&amp;ROUND(s,2),""))&amp;"}")))</f>
        <v/>
      </c>
      <c r="AO11" s="237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38" t="str">
        <f t="array" ref="AP11">IF($AH11="","",IF(AO11=0,"{}",LET(m,AO11,s,MMULT(SEQUENCE(1,m,1,0),$E$16:$Y$45),"{"&amp;TEXTJOIN(", ",TRUE,IF(s&gt;0,$E$15:$Y$15&amp;": "&amp;ROUND(s,2),""))&amp;"}")))</f>
        <v/>
      </c>
      <c r="AQ11" s="237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38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53"/>
      <c r="B12" s="355"/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328"/>
      <c r="O12" s="328"/>
      <c r="P12" s="328"/>
      <c r="Q12" s="328"/>
      <c r="R12" s="328"/>
      <c r="S12" s="328"/>
      <c r="T12" s="328"/>
      <c r="U12" s="328"/>
      <c r="V12" s="328"/>
      <c r="AH12" s="227" t="str">
        <f>IF(7&lt;=$B$3,7,"")</f>
        <v/>
      </c>
      <c r="AI12" s="237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38" t="str">
        <f t="array" ref="AJ12">IF($AH12="","",IF(AI12=0,"{}",LET(m,AI12,s,MMULT(SEQUENCE(1,m,1,0),$E$16:$Y$45),"{"&amp;TEXTJOIN(", ",TRUE,IF(s&gt;0,$E$15:$Y$15&amp;": "&amp;ROUND(s,2),""))&amp;"}")))</f>
        <v/>
      </c>
      <c r="AK12" s="237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38" t="str">
        <f t="array" ref="AL12">IF($AH12="","",IF(AK12=0,"{}",LET(m,AK12,s,MMULT(SEQUENCE(1,m,1,0),$E$16:$Y$45),"{"&amp;TEXTJOIN(", ",TRUE,IF(s&gt;0,$E$15:$Y$15&amp;": "&amp;ROUND(s,2),""))&amp;"}")))</f>
        <v/>
      </c>
      <c r="AM12" s="237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38" t="str">
        <f t="array" ref="AN12">IF($AH12="","",IF(AM12=0,"{}",LET(m,AM12,s,MMULT(SEQUENCE(1,m,1,0),$E$16:$Y$45),"{"&amp;TEXTJOIN(", ",TRUE,IF(s&gt;0,$E$15:$Y$15&amp;": "&amp;ROUND(s,2),""))&amp;"}")))</f>
        <v/>
      </c>
      <c r="AO12" s="237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38" t="str">
        <f t="array" ref="AP12">IF($AH12="","",IF(AO12=0,"{}",LET(m,AO12,s,MMULT(SEQUENCE(1,m,1,0),$E$16:$Y$45),"{"&amp;TEXTJOIN(", ",TRUE,IF(s&gt;0,$E$15:$Y$15&amp;": "&amp;ROUND(s,2),""))&amp;"}")))</f>
        <v/>
      </c>
      <c r="AQ12" s="237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38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28"/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328"/>
      <c r="O13" s="328"/>
      <c r="P13" s="328"/>
      <c r="Q13" s="328"/>
      <c r="R13" s="328"/>
      <c r="S13" s="328"/>
      <c r="T13" s="328"/>
      <c r="U13" s="328"/>
      <c r="V13" s="328"/>
    </row>
    <row r="14" ht="19.5" customHeight="1">
      <c r="A14" s="392" t="s">
        <v>367</v>
      </c>
      <c r="B14" s="352"/>
      <c r="C14" s="352"/>
      <c r="D14" s="352"/>
      <c r="E14" s="352"/>
      <c r="F14" s="352"/>
      <c r="G14" s="352"/>
      <c r="H14" s="352"/>
      <c r="I14" s="352"/>
      <c r="J14" s="352"/>
      <c r="K14" s="352"/>
      <c r="L14" s="352"/>
      <c r="M14" s="352"/>
      <c r="N14" s="352"/>
      <c r="O14" s="352"/>
      <c r="P14" s="352"/>
      <c r="Q14" s="352"/>
      <c r="R14" s="352"/>
      <c r="S14" s="352"/>
      <c r="T14" s="352"/>
      <c r="U14" s="352"/>
      <c r="V14" s="352"/>
      <c r="W14" s="352"/>
      <c r="X14" s="352"/>
      <c r="Y14" s="352"/>
    </row>
    <row r="15" ht="90.75" customHeight="1">
      <c r="A15" s="356" t="s">
        <v>174</v>
      </c>
      <c r="B15" s="163" t="s">
        <v>368</v>
      </c>
      <c r="C15" s="163" t="s">
        <v>369</v>
      </c>
      <c r="D15" s="163" t="s">
        <v>370</v>
      </c>
      <c r="E15" s="357" t="s">
        <v>76</v>
      </c>
      <c r="F15" s="246" t="s">
        <v>46</v>
      </c>
      <c r="G15" s="246" t="s">
        <v>121</v>
      </c>
      <c r="H15" s="246" t="s">
        <v>47</v>
      </c>
      <c r="I15" s="246" t="s">
        <v>48</v>
      </c>
      <c r="J15" s="246" t="s">
        <v>50</v>
      </c>
      <c r="K15" s="246" t="s">
        <v>52</v>
      </c>
      <c r="L15" s="246" t="s">
        <v>53</v>
      </c>
      <c r="M15" s="246" t="s">
        <v>54</v>
      </c>
      <c r="N15" s="246" t="s">
        <v>55</v>
      </c>
      <c r="O15" s="246" t="s">
        <v>56</v>
      </c>
      <c r="P15" s="246" t="s">
        <v>57</v>
      </c>
      <c r="Q15" s="246" t="s">
        <v>58</v>
      </c>
      <c r="R15" s="246" t="s">
        <v>135</v>
      </c>
      <c r="S15" s="246" t="s">
        <v>122</v>
      </c>
      <c r="T15" s="246" t="s">
        <v>123</v>
      </c>
      <c r="U15" s="246" t="s">
        <v>124</v>
      </c>
      <c r="V15" s="246" t="s">
        <v>125</v>
      </c>
      <c r="W15" s="246" t="s">
        <v>126</v>
      </c>
      <c r="X15" s="246" t="s">
        <v>127</v>
      </c>
      <c r="Y15" s="246" t="s">
        <v>128</v>
      </c>
      <c r="AA15" s="393" t="s">
        <v>371</v>
      </c>
      <c r="AJ15" s="394"/>
    </row>
    <row r="16" ht="15.75" customHeight="1">
      <c r="A16" s="347">
        <v>1.0</v>
      </c>
      <c r="B16" s="347">
        <v>160.0</v>
      </c>
      <c r="C16" s="347">
        <v>160.0</v>
      </c>
      <c r="D16" s="395" t="b">
        <f>IFERROR(__xludf.DUMMYFUNCTION("if(countif($E16:$Y16, ""&lt;&gt;0"")&lt;1, ""NO REWARD!"", if(counta(filter($E16:$Y16, $E16:$Y16&lt;&gt;0))&gt;1, TRUE, FALSE))"),FALSE)</f>
        <v>0</v>
      </c>
      <c r="E16" s="311">
        <v>0.0</v>
      </c>
      <c r="F16" s="311">
        <v>0.0</v>
      </c>
      <c r="G16" s="311">
        <v>0.0</v>
      </c>
      <c r="H16" s="311">
        <v>1.0</v>
      </c>
      <c r="I16" s="311">
        <v>0.0</v>
      </c>
      <c r="J16" s="311">
        <v>0.0</v>
      </c>
      <c r="K16" s="311">
        <v>0.0</v>
      </c>
      <c r="L16" s="311">
        <v>0.0</v>
      </c>
      <c r="M16" s="311">
        <v>0.0</v>
      </c>
      <c r="N16" s="311">
        <v>0.0</v>
      </c>
      <c r="O16" s="311">
        <v>0.0</v>
      </c>
      <c r="P16" s="311">
        <v>0.0</v>
      </c>
      <c r="Q16" s="311">
        <v>0.0</v>
      </c>
      <c r="R16" s="311">
        <v>0.0</v>
      </c>
      <c r="S16" s="311">
        <v>0.0</v>
      </c>
      <c r="T16" s="311">
        <v>0.0</v>
      </c>
      <c r="U16" s="311">
        <v>0.0</v>
      </c>
      <c r="V16" s="311">
        <v>0.0</v>
      </c>
      <c r="W16" s="311">
        <v>0.0</v>
      </c>
      <c r="X16" s="311">
        <v>0.0</v>
      </c>
      <c r="Y16" s="311">
        <v>0.0</v>
      </c>
      <c r="AA16" s="249">
        <f t="shared" ref="AA16:AA45" si="1">C16/500</f>
        <v>0.32</v>
      </c>
      <c r="AD16" s="250">
        <f t="shared" ref="AD16:AD45" si="2">sum(E$16:E16)/AA16</f>
        <v>0</v>
      </c>
    </row>
    <row r="17" ht="15.75" customHeight="1">
      <c r="A17" s="347">
        <v>2.0</v>
      </c>
      <c r="B17" s="347">
        <v>300.0</v>
      </c>
      <c r="C17" s="347">
        <v>460.0</v>
      </c>
      <c r="D17" s="396" t="b">
        <f>IFERROR(__xludf.DUMMYFUNCTION("if(countif($E17:$Y17, ""&lt;&gt;0"")&lt;1, ""NO REWARD!"", if(counta(filter($E17:$Y17, $E17:$Y17&lt;&gt;0))&gt;1, TRUE, FALSE))"),FALSE)</f>
        <v>0</v>
      </c>
      <c r="E17" s="311">
        <v>10.0</v>
      </c>
      <c r="F17" s="311">
        <v>0.0</v>
      </c>
      <c r="G17" s="311">
        <v>0.0</v>
      </c>
      <c r="H17" s="311">
        <v>0.0</v>
      </c>
      <c r="I17" s="311">
        <v>0.0</v>
      </c>
      <c r="J17" s="311">
        <v>0.0</v>
      </c>
      <c r="K17" s="311">
        <v>0.0</v>
      </c>
      <c r="L17" s="311">
        <v>0.0</v>
      </c>
      <c r="M17" s="311">
        <v>0.0</v>
      </c>
      <c r="N17" s="311">
        <v>0.0</v>
      </c>
      <c r="O17" s="311">
        <v>0.0</v>
      </c>
      <c r="P17" s="311">
        <v>0.0</v>
      </c>
      <c r="Q17" s="311">
        <v>0.0</v>
      </c>
      <c r="R17" s="311">
        <v>0.0</v>
      </c>
      <c r="S17" s="311">
        <v>0.0</v>
      </c>
      <c r="T17" s="311">
        <v>0.0</v>
      </c>
      <c r="U17" s="311">
        <v>0.0</v>
      </c>
      <c r="V17" s="311">
        <v>0.0</v>
      </c>
      <c r="W17" s="311">
        <v>0.0</v>
      </c>
      <c r="X17" s="311">
        <v>0.0</v>
      </c>
      <c r="Y17" s="311">
        <v>0.0</v>
      </c>
      <c r="AA17" s="249">
        <f t="shared" si="1"/>
        <v>0.92</v>
      </c>
      <c r="AD17" s="250">
        <f t="shared" si="2"/>
        <v>10.86956522</v>
      </c>
    </row>
    <row r="18" ht="15.75" customHeight="1">
      <c r="A18" s="347">
        <v>3.0</v>
      </c>
      <c r="B18" s="347">
        <v>1000.0</v>
      </c>
      <c r="C18" s="347">
        <v>1460.0</v>
      </c>
      <c r="D18" s="397" t="b">
        <f>IFERROR(__xludf.DUMMYFUNCTION("if(countif($E18:$Y18, ""&lt;&gt;0"")&lt;1, ""NO REWARD!"", if(counta(filter($E18:$Y18, $E18:$Y18&lt;&gt;0))&gt;1, TRUE, FALSE))"),FALSE)</f>
        <v>0</v>
      </c>
      <c r="E18" s="311">
        <v>0.0</v>
      </c>
      <c r="F18" s="311">
        <v>0.0</v>
      </c>
      <c r="G18" s="311">
        <v>0.0</v>
      </c>
      <c r="H18" s="311">
        <v>0.0</v>
      </c>
      <c r="I18" s="311">
        <v>0.0</v>
      </c>
      <c r="J18" s="311">
        <v>0.0</v>
      </c>
      <c r="K18" s="311">
        <v>0.0</v>
      </c>
      <c r="L18" s="311">
        <v>0.0</v>
      </c>
      <c r="M18" s="311">
        <v>0.0</v>
      </c>
      <c r="N18" s="311">
        <v>10.0</v>
      </c>
      <c r="O18" s="311">
        <v>0.0</v>
      </c>
      <c r="P18" s="311">
        <v>0.0</v>
      </c>
      <c r="Q18" s="311">
        <v>0.0</v>
      </c>
      <c r="R18" s="311">
        <v>0.0</v>
      </c>
      <c r="S18" s="311">
        <v>0.0</v>
      </c>
      <c r="T18" s="311">
        <v>0.0</v>
      </c>
      <c r="U18" s="311">
        <v>0.0</v>
      </c>
      <c r="V18" s="311">
        <v>0.0</v>
      </c>
      <c r="W18" s="311">
        <v>0.0</v>
      </c>
      <c r="X18" s="311">
        <v>0.0</v>
      </c>
      <c r="Y18" s="311">
        <v>0.0</v>
      </c>
      <c r="AA18" s="249">
        <f t="shared" si="1"/>
        <v>2.92</v>
      </c>
      <c r="AD18" s="250">
        <f t="shared" si="2"/>
        <v>3.424657534</v>
      </c>
    </row>
    <row r="19" ht="15.75" customHeight="1">
      <c r="A19" s="347">
        <v>4.0</v>
      </c>
      <c r="B19" s="347">
        <v>250.0</v>
      </c>
      <c r="C19" s="347">
        <v>1710.0</v>
      </c>
      <c r="D19" s="396" t="b">
        <f>IFERROR(__xludf.DUMMYFUNCTION("if(countif($E19:$Y19, ""&lt;&gt;0"")&lt;1, ""NO REWARD!"", if(counta(filter($E19:$Y19, $E19:$Y19&lt;&gt;0))&gt;1, TRUE, FALSE))"),FALSE)</f>
        <v>0</v>
      </c>
      <c r="E19" s="311">
        <v>0.0</v>
      </c>
      <c r="F19" s="311">
        <v>10.0</v>
      </c>
      <c r="G19" s="311">
        <v>0.0</v>
      </c>
      <c r="H19" s="311">
        <v>0.0</v>
      </c>
      <c r="I19" s="311">
        <v>0.0</v>
      </c>
      <c r="J19" s="311">
        <v>0.0</v>
      </c>
      <c r="K19" s="311">
        <v>0.0</v>
      </c>
      <c r="L19" s="311">
        <v>0.0</v>
      </c>
      <c r="M19" s="311">
        <v>0.0</v>
      </c>
      <c r="N19" s="311">
        <v>0.0</v>
      </c>
      <c r="O19" s="311">
        <v>0.0</v>
      </c>
      <c r="P19" s="311">
        <v>0.0</v>
      </c>
      <c r="Q19" s="311">
        <v>0.0</v>
      </c>
      <c r="R19" s="311">
        <v>0.0</v>
      </c>
      <c r="S19" s="311">
        <v>0.0</v>
      </c>
      <c r="T19" s="311">
        <v>0.0</v>
      </c>
      <c r="U19" s="311">
        <v>0.0</v>
      </c>
      <c r="V19" s="311">
        <v>0.0</v>
      </c>
      <c r="W19" s="311">
        <v>0.0</v>
      </c>
      <c r="X19" s="311">
        <v>0.0</v>
      </c>
      <c r="Y19" s="311">
        <v>0.0</v>
      </c>
      <c r="AA19" s="249">
        <f t="shared" si="1"/>
        <v>3.42</v>
      </c>
      <c r="AD19" s="250">
        <f t="shared" si="2"/>
        <v>2.923976608</v>
      </c>
    </row>
    <row r="20" ht="15.75" customHeight="1">
      <c r="A20" s="347">
        <v>5.0</v>
      </c>
      <c r="B20" s="347">
        <v>500.0</v>
      </c>
      <c r="C20" s="347">
        <v>2210.0</v>
      </c>
      <c r="D20" s="397" t="b">
        <f>IFERROR(__xludf.DUMMYFUNCTION("if(countif($E20:$Y20, ""&lt;&gt;0"")&lt;1, ""NO REWARD!"", if(counta(filter($E20:$Y20, $E20:$Y20&lt;&gt;0))&gt;1, TRUE, FALSE))"),FALSE)</f>
        <v>0</v>
      </c>
      <c r="E20" s="311">
        <v>0.0</v>
      </c>
      <c r="F20" s="311">
        <v>0.0</v>
      </c>
      <c r="G20" s="311">
        <v>0.0</v>
      </c>
      <c r="H20" s="311">
        <v>0.0</v>
      </c>
      <c r="I20" s="311">
        <v>1.0</v>
      </c>
      <c r="J20" s="311">
        <v>0.0</v>
      </c>
      <c r="K20" s="311">
        <v>0.0</v>
      </c>
      <c r="L20" s="311">
        <v>0.0</v>
      </c>
      <c r="M20" s="311">
        <v>0.0</v>
      </c>
      <c r="N20" s="311">
        <v>0.0</v>
      </c>
      <c r="O20" s="311">
        <v>0.0</v>
      </c>
      <c r="P20" s="311">
        <v>0.0</v>
      </c>
      <c r="Q20" s="311">
        <v>0.0</v>
      </c>
      <c r="R20" s="311">
        <v>0.0</v>
      </c>
      <c r="S20" s="311">
        <v>0.0</v>
      </c>
      <c r="T20" s="311">
        <v>0.0</v>
      </c>
      <c r="U20" s="311">
        <v>0.0</v>
      </c>
      <c r="V20" s="311">
        <v>0.0</v>
      </c>
      <c r="W20" s="311">
        <v>0.0</v>
      </c>
      <c r="X20" s="311">
        <v>0.0</v>
      </c>
      <c r="Y20" s="311">
        <v>0.0</v>
      </c>
      <c r="AA20" s="249">
        <f t="shared" si="1"/>
        <v>4.42</v>
      </c>
      <c r="AD20" s="250">
        <f t="shared" si="2"/>
        <v>2.262443439</v>
      </c>
    </row>
    <row r="21" ht="15.75" customHeight="1">
      <c r="A21" s="347">
        <v>6.0</v>
      </c>
      <c r="B21" s="347">
        <v>1600.0</v>
      </c>
      <c r="C21" s="347">
        <v>3810.0</v>
      </c>
      <c r="D21" s="396" t="b">
        <f>IFERROR(__xludf.DUMMYFUNCTION("if(countif($E21:$Y21, ""&lt;&gt;0"")&lt;1, ""NO REWARD!"", if(counta(filter($E21:$Y21, $E21:$Y21&lt;&gt;0))&gt;1, TRUE, FALSE))"),TRUE)</f>
        <v>1</v>
      </c>
      <c r="E21" s="311">
        <v>0.0</v>
      </c>
      <c r="F21" s="311">
        <v>0.0</v>
      </c>
      <c r="G21" s="311">
        <v>0.0</v>
      </c>
      <c r="H21" s="311">
        <v>1.0</v>
      </c>
      <c r="I21" s="311">
        <v>0.0</v>
      </c>
      <c r="J21" s="311">
        <v>0.0</v>
      </c>
      <c r="K21" s="311">
        <v>0.0</v>
      </c>
      <c r="L21" s="311">
        <v>0.0</v>
      </c>
      <c r="M21" s="311">
        <v>0.0</v>
      </c>
      <c r="N21" s="311">
        <v>15.0</v>
      </c>
      <c r="O21" s="311">
        <v>0.0</v>
      </c>
      <c r="P21" s="311">
        <v>0.0</v>
      </c>
      <c r="Q21" s="311">
        <v>0.0</v>
      </c>
      <c r="R21" s="311">
        <v>0.0</v>
      </c>
      <c r="S21" s="311">
        <v>0.0</v>
      </c>
      <c r="T21" s="311">
        <v>0.0</v>
      </c>
      <c r="U21" s="311">
        <v>0.0</v>
      </c>
      <c r="V21" s="311">
        <v>0.0</v>
      </c>
      <c r="W21" s="311">
        <v>0.0</v>
      </c>
      <c r="X21" s="311">
        <v>0.0</v>
      </c>
      <c r="Y21" s="311">
        <v>0.0</v>
      </c>
      <c r="AA21" s="249">
        <f t="shared" si="1"/>
        <v>7.62</v>
      </c>
      <c r="AD21" s="250">
        <f t="shared" si="2"/>
        <v>1.312335958</v>
      </c>
    </row>
    <row r="22" ht="15.75" customHeight="1">
      <c r="A22" s="347">
        <v>7.0</v>
      </c>
      <c r="B22" s="347">
        <v>500.0</v>
      </c>
      <c r="C22" s="347">
        <v>4310.0</v>
      </c>
      <c r="D22" s="397" t="b">
        <f>IFERROR(__xludf.DUMMYFUNCTION("if(countif($E22:$Y22, ""&lt;&gt;0"")&lt;1, ""NO REWARD!"", if(counta(filter($E22:$Y22, $E22:$Y22&lt;&gt;0))&gt;1, TRUE, FALSE))"),FALSE)</f>
        <v>0</v>
      </c>
      <c r="E22" s="311">
        <v>0.0</v>
      </c>
      <c r="F22" s="311">
        <v>30.0</v>
      </c>
      <c r="G22" s="311">
        <v>0.0</v>
      </c>
      <c r="H22" s="311">
        <v>0.0</v>
      </c>
      <c r="I22" s="311">
        <v>0.0</v>
      </c>
      <c r="J22" s="311">
        <v>0.0</v>
      </c>
      <c r="K22" s="311">
        <v>0.0</v>
      </c>
      <c r="L22" s="311">
        <v>0.0</v>
      </c>
      <c r="M22" s="311">
        <v>0.0</v>
      </c>
      <c r="N22" s="311">
        <v>0.0</v>
      </c>
      <c r="O22" s="311">
        <v>0.0</v>
      </c>
      <c r="P22" s="311">
        <v>0.0</v>
      </c>
      <c r="Q22" s="311">
        <v>0.0</v>
      </c>
      <c r="R22" s="311">
        <v>0.0</v>
      </c>
      <c r="S22" s="311">
        <v>0.0</v>
      </c>
      <c r="T22" s="311">
        <v>0.0</v>
      </c>
      <c r="U22" s="311">
        <v>0.0</v>
      </c>
      <c r="V22" s="311">
        <v>0.0</v>
      </c>
      <c r="W22" s="311">
        <v>0.0</v>
      </c>
      <c r="X22" s="311">
        <v>0.0</v>
      </c>
      <c r="Y22" s="311">
        <v>0.0</v>
      </c>
      <c r="AA22" s="249">
        <f t="shared" si="1"/>
        <v>8.62</v>
      </c>
      <c r="AD22" s="250">
        <f t="shared" si="2"/>
        <v>1.160092807</v>
      </c>
    </row>
    <row r="23" ht="15.75" customHeight="1">
      <c r="A23" s="347">
        <v>8.0</v>
      </c>
      <c r="B23" s="347">
        <v>1000.0</v>
      </c>
      <c r="C23" s="347">
        <v>5310.0</v>
      </c>
      <c r="D23" s="396" t="b">
        <f>IFERROR(__xludf.DUMMYFUNCTION("if(countif($E23:$Y23, ""&lt;&gt;0"")&lt;1, ""NO REWARD!"", if(counta(filter($E23:$Y23, $E23:$Y23&lt;&gt;0))&gt;1, TRUE, FALSE))"),FALSE)</f>
        <v>0</v>
      </c>
      <c r="E23" s="311">
        <v>0.0</v>
      </c>
      <c r="F23" s="311">
        <v>0.0</v>
      </c>
      <c r="G23" s="311">
        <v>0.0</v>
      </c>
      <c r="H23" s="311">
        <v>0.0</v>
      </c>
      <c r="I23" s="311">
        <v>1.0</v>
      </c>
      <c r="J23" s="311">
        <v>0.0</v>
      </c>
      <c r="K23" s="311">
        <v>0.0</v>
      </c>
      <c r="L23" s="311">
        <v>0.0</v>
      </c>
      <c r="M23" s="311">
        <v>0.0</v>
      </c>
      <c r="N23" s="311">
        <v>0.0</v>
      </c>
      <c r="O23" s="311">
        <v>0.0</v>
      </c>
      <c r="P23" s="311">
        <v>0.0</v>
      </c>
      <c r="Q23" s="311">
        <v>0.0</v>
      </c>
      <c r="R23" s="311">
        <v>0.0</v>
      </c>
      <c r="S23" s="311">
        <v>0.0</v>
      </c>
      <c r="T23" s="311">
        <v>0.0</v>
      </c>
      <c r="U23" s="311">
        <v>0.0</v>
      </c>
      <c r="V23" s="311">
        <v>0.0</v>
      </c>
      <c r="W23" s="311">
        <v>0.0</v>
      </c>
      <c r="X23" s="311">
        <v>0.0</v>
      </c>
      <c r="Y23" s="311">
        <v>0.0</v>
      </c>
      <c r="AA23" s="249">
        <f t="shared" si="1"/>
        <v>10.62</v>
      </c>
      <c r="AD23" s="250">
        <f t="shared" si="2"/>
        <v>0.9416195857</v>
      </c>
    </row>
    <row r="24" ht="15.75" customHeight="1">
      <c r="A24" s="347">
        <v>9.0</v>
      </c>
      <c r="B24" s="347">
        <v>3300.0</v>
      </c>
      <c r="C24" s="347">
        <v>8610.0</v>
      </c>
      <c r="D24" s="397" t="b">
        <f>IFERROR(__xludf.DUMMYFUNCTION("if(countif($E24:$Y24, ""&lt;&gt;0"")&lt;1, ""NO REWARD!"", if(counta(filter($E24:$Y24, $E24:$Y24&lt;&gt;0))&gt;1, TRUE, FALSE))"),FALSE)</f>
        <v>0</v>
      </c>
      <c r="E24" s="311">
        <v>20.0</v>
      </c>
      <c r="F24" s="311">
        <v>0.0</v>
      </c>
      <c r="G24" s="311">
        <v>0.0</v>
      </c>
      <c r="H24" s="311">
        <v>0.0</v>
      </c>
      <c r="I24" s="311">
        <v>0.0</v>
      </c>
      <c r="J24" s="311">
        <v>0.0</v>
      </c>
      <c r="K24" s="311">
        <v>0.0</v>
      </c>
      <c r="L24" s="311">
        <v>0.0</v>
      </c>
      <c r="M24" s="311">
        <v>0.0</v>
      </c>
      <c r="N24" s="311">
        <v>0.0</v>
      </c>
      <c r="O24" s="311">
        <v>0.0</v>
      </c>
      <c r="P24" s="311">
        <v>0.0</v>
      </c>
      <c r="Q24" s="311">
        <v>0.0</v>
      </c>
      <c r="R24" s="311">
        <v>0.0</v>
      </c>
      <c r="S24" s="311">
        <v>0.0</v>
      </c>
      <c r="T24" s="311">
        <v>0.0</v>
      </c>
      <c r="U24" s="311">
        <v>0.0</v>
      </c>
      <c r="V24" s="311">
        <v>0.0</v>
      </c>
      <c r="W24" s="311">
        <v>0.0</v>
      </c>
      <c r="X24" s="311">
        <v>0.0</v>
      </c>
      <c r="Y24" s="311">
        <v>0.0</v>
      </c>
      <c r="AA24" s="249">
        <f t="shared" si="1"/>
        <v>17.22</v>
      </c>
      <c r="AD24" s="250">
        <f t="shared" si="2"/>
        <v>1.742160279</v>
      </c>
    </row>
    <row r="25" ht="15.75" customHeight="1">
      <c r="A25" s="347">
        <v>10.0</v>
      </c>
      <c r="B25" s="347">
        <v>1100.0</v>
      </c>
      <c r="C25" s="347">
        <v>9710.0</v>
      </c>
      <c r="D25" s="396" t="b">
        <f>IFERROR(__xludf.DUMMYFUNCTION("if(countif($E25:$Y25, ""&lt;&gt;0"")&lt;1, ""NO REWARD!"", if(counta(filter($E25:$Y25, $E25:$Y25&lt;&gt;0))&gt;1, TRUE, FALSE))"),FALSE)</f>
        <v>0</v>
      </c>
      <c r="E25" s="311">
        <v>0.0</v>
      </c>
      <c r="F25" s="311">
        <v>50.0</v>
      </c>
      <c r="G25" s="311">
        <v>0.0</v>
      </c>
      <c r="H25" s="311">
        <v>0.0</v>
      </c>
      <c r="I25" s="311">
        <v>0.0</v>
      </c>
      <c r="J25" s="311">
        <v>0.0</v>
      </c>
      <c r="K25" s="311">
        <v>0.0</v>
      </c>
      <c r="L25" s="311">
        <v>0.0</v>
      </c>
      <c r="M25" s="311">
        <v>0.0</v>
      </c>
      <c r="N25" s="311">
        <v>0.0</v>
      </c>
      <c r="O25" s="311">
        <v>0.0</v>
      </c>
      <c r="P25" s="311">
        <v>0.0</v>
      </c>
      <c r="Q25" s="311">
        <v>0.0</v>
      </c>
      <c r="R25" s="311">
        <v>0.0</v>
      </c>
      <c r="S25" s="311">
        <v>0.0</v>
      </c>
      <c r="T25" s="311">
        <v>0.0</v>
      </c>
      <c r="U25" s="311">
        <v>0.0</v>
      </c>
      <c r="V25" s="311">
        <v>0.0</v>
      </c>
      <c r="W25" s="311">
        <v>0.0</v>
      </c>
      <c r="X25" s="311">
        <v>0.0</v>
      </c>
      <c r="Y25" s="311">
        <v>0.0</v>
      </c>
      <c r="AA25" s="249">
        <f t="shared" si="1"/>
        <v>19.42</v>
      </c>
      <c r="AD25" s="250">
        <f t="shared" si="2"/>
        <v>1.544799176</v>
      </c>
    </row>
    <row r="26" ht="15.75" customHeight="1">
      <c r="A26" s="347">
        <v>11.0</v>
      </c>
      <c r="B26" s="347">
        <v>2200.0</v>
      </c>
      <c r="C26" s="347">
        <v>11910.0</v>
      </c>
      <c r="D26" s="397" t="b">
        <f>IFERROR(__xludf.DUMMYFUNCTION("if(countif($E26:$Y26, ""&lt;&gt;0"")&lt;1, ""NO REWARD!"", if(counta(filter($E26:$Y26, $E26:$Y26&lt;&gt;0))&gt;1, TRUE, FALSE))"),FALSE)</f>
        <v>0</v>
      </c>
      <c r="E26" s="311">
        <v>0.0</v>
      </c>
      <c r="F26" s="311">
        <v>0.0</v>
      </c>
      <c r="G26" s="311">
        <v>0.0</v>
      </c>
      <c r="H26" s="311">
        <v>0.0</v>
      </c>
      <c r="I26" s="311">
        <v>0.0</v>
      </c>
      <c r="J26" s="311">
        <v>0.0</v>
      </c>
      <c r="K26" s="311">
        <v>0.0</v>
      </c>
      <c r="L26" s="311">
        <v>1.0</v>
      </c>
      <c r="M26" s="311">
        <v>0.0</v>
      </c>
      <c r="N26" s="311">
        <v>0.0</v>
      </c>
      <c r="O26" s="311">
        <v>0.0</v>
      </c>
      <c r="P26" s="311">
        <v>0.0</v>
      </c>
      <c r="Q26" s="311">
        <v>0.0</v>
      </c>
      <c r="R26" s="311">
        <v>0.0</v>
      </c>
      <c r="S26" s="311">
        <v>0.0</v>
      </c>
      <c r="T26" s="311">
        <v>0.0</v>
      </c>
      <c r="U26" s="311">
        <v>0.0</v>
      </c>
      <c r="V26" s="311">
        <v>0.0</v>
      </c>
      <c r="W26" s="311">
        <v>0.0</v>
      </c>
      <c r="X26" s="311">
        <v>0.0</v>
      </c>
      <c r="Y26" s="311">
        <v>0.0</v>
      </c>
      <c r="AA26" s="249">
        <f t="shared" si="1"/>
        <v>23.82</v>
      </c>
      <c r="AD26" s="250">
        <f t="shared" si="2"/>
        <v>1.259445844</v>
      </c>
    </row>
    <row r="27" ht="15.75" customHeight="1">
      <c r="A27" s="347">
        <v>12.0</v>
      </c>
      <c r="B27" s="347">
        <v>6500.0</v>
      </c>
      <c r="C27" s="347">
        <v>18410.0</v>
      </c>
      <c r="D27" s="395" t="b">
        <f>IFERROR(__xludf.DUMMYFUNCTION("if(countif($E27:$Y27, ""&lt;&gt;0"")&lt;1, ""NO REWARD!"", if(counta(filter($E27:$Y27, $E27:$Y27&lt;&gt;0))&gt;1, TRUE, FALSE))"),TRUE)</f>
        <v>1</v>
      </c>
      <c r="E27" s="311">
        <v>0.0</v>
      </c>
      <c r="F27" s="311">
        <v>0.0</v>
      </c>
      <c r="G27" s="311">
        <v>0.0</v>
      </c>
      <c r="H27" s="311">
        <v>0.0</v>
      </c>
      <c r="I27" s="311">
        <v>0.0</v>
      </c>
      <c r="J27" s="311">
        <v>0.0</v>
      </c>
      <c r="K27" s="311">
        <v>0.0</v>
      </c>
      <c r="L27" s="311">
        <v>0.0</v>
      </c>
      <c r="M27" s="311">
        <v>1.0</v>
      </c>
      <c r="N27" s="311">
        <v>30.0</v>
      </c>
      <c r="O27" s="311">
        <v>0.0</v>
      </c>
      <c r="P27" s="311">
        <v>0.0</v>
      </c>
      <c r="Q27" s="311">
        <v>0.0</v>
      </c>
      <c r="R27" s="311">
        <v>0.0</v>
      </c>
      <c r="S27" s="311">
        <v>0.0</v>
      </c>
      <c r="T27" s="311">
        <v>0.0</v>
      </c>
      <c r="U27" s="311">
        <v>0.0</v>
      </c>
      <c r="V27" s="311">
        <v>0.0</v>
      </c>
      <c r="W27" s="311">
        <v>0.0</v>
      </c>
      <c r="X27" s="311">
        <v>0.0</v>
      </c>
      <c r="Y27" s="311">
        <v>0.0</v>
      </c>
      <c r="AA27" s="249">
        <f t="shared" si="1"/>
        <v>36.82</v>
      </c>
      <c r="AD27" s="250">
        <f t="shared" si="2"/>
        <v>0.814774579</v>
      </c>
    </row>
    <row r="28" ht="15.75" customHeight="1">
      <c r="A28" s="347">
        <v>13.0</v>
      </c>
      <c r="B28" s="347">
        <v>2200.0</v>
      </c>
      <c r="C28" s="347">
        <v>20610.0</v>
      </c>
      <c r="D28" s="397" t="b">
        <f>IFERROR(__xludf.DUMMYFUNCTION("if(countif($E28:$Y28, ""&lt;&gt;0"")&lt;1, ""NO REWARD!"", if(counta(filter($E28:$Y28, $E28:$Y28&lt;&gt;0))&gt;1, TRUE, FALSE))"),FALSE)</f>
        <v>0</v>
      </c>
      <c r="E28" s="311">
        <v>0.0</v>
      </c>
      <c r="F28" s="311">
        <v>0.0</v>
      </c>
      <c r="G28" s="311">
        <v>0.0</v>
      </c>
      <c r="H28" s="311">
        <v>0.0</v>
      </c>
      <c r="I28" s="311">
        <v>0.0</v>
      </c>
      <c r="J28" s="311">
        <v>1.0</v>
      </c>
      <c r="K28" s="311">
        <v>0.0</v>
      </c>
      <c r="L28" s="311">
        <v>0.0</v>
      </c>
      <c r="M28" s="311">
        <v>0.0</v>
      </c>
      <c r="N28" s="311">
        <v>0.0</v>
      </c>
      <c r="O28" s="311">
        <v>0.0</v>
      </c>
      <c r="P28" s="311">
        <v>0.0</v>
      </c>
      <c r="Q28" s="311">
        <v>0.0</v>
      </c>
      <c r="R28" s="311">
        <v>0.0</v>
      </c>
      <c r="S28" s="311">
        <v>0.0</v>
      </c>
      <c r="T28" s="311">
        <v>0.0</v>
      </c>
      <c r="U28" s="311">
        <v>0.0</v>
      </c>
      <c r="V28" s="311">
        <v>0.0</v>
      </c>
      <c r="W28" s="311">
        <v>0.0</v>
      </c>
      <c r="X28" s="311">
        <v>0.0</v>
      </c>
      <c r="Y28" s="311">
        <v>0.0</v>
      </c>
      <c r="AA28" s="249">
        <f t="shared" si="1"/>
        <v>41.22</v>
      </c>
      <c r="AD28" s="250">
        <f t="shared" si="2"/>
        <v>0.7278020378</v>
      </c>
    </row>
    <row r="29" ht="15.75" customHeight="1">
      <c r="A29" s="347">
        <v>14.0</v>
      </c>
      <c r="B29" s="347">
        <v>4400.0</v>
      </c>
      <c r="C29" s="347">
        <v>25010.0</v>
      </c>
      <c r="D29" s="396" t="b">
        <f>IFERROR(__xludf.DUMMYFUNCTION("if(countif($E29:$Y29, ""&lt;&gt;0"")&lt;1, ""NO REWARD!"", if(counta(filter($E29:$Y29, $E29:$Y29&lt;&gt;0))&gt;1, TRUE, FALSE))"),FALSE)</f>
        <v>0</v>
      </c>
      <c r="E29" s="311">
        <v>0.0</v>
      </c>
      <c r="F29" s="311">
        <v>0.0</v>
      </c>
      <c r="G29" s="311">
        <v>0.0</v>
      </c>
      <c r="H29" s="311">
        <v>0.0</v>
      </c>
      <c r="I29" s="311">
        <v>0.0</v>
      </c>
      <c r="J29" s="311">
        <v>0.0</v>
      </c>
      <c r="K29" s="311">
        <v>0.0</v>
      </c>
      <c r="L29" s="311">
        <v>0.0</v>
      </c>
      <c r="M29" s="311">
        <v>0.0</v>
      </c>
      <c r="N29" s="311">
        <v>0.0</v>
      </c>
      <c r="O29" s="311">
        <v>10.0</v>
      </c>
      <c r="P29" s="311">
        <v>0.0</v>
      </c>
      <c r="Q29" s="311">
        <v>0.0</v>
      </c>
      <c r="R29" s="311">
        <v>0.0</v>
      </c>
      <c r="S29" s="311">
        <v>0.0</v>
      </c>
      <c r="T29" s="311">
        <v>0.0</v>
      </c>
      <c r="U29" s="311">
        <v>0.0</v>
      </c>
      <c r="V29" s="311">
        <v>0.0</v>
      </c>
      <c r="W29" s="311">
        <v>0.0</v>
      </c>
      <c r="X29" s="311">
        <v>0.0</v>
      </c>
      <c r="Y29" s="311">
        <v>0.0</v>
      </c>
      <c r="AA29" s="249">
        <f t="shared" si="1"/>
        <v>50.02</v>
      </c>
      <c r="AD29" s="250">
        <f t="shared" si="2"/>
        <v>0.599760096</v>
      </c>
    </row>
    <row r="30" ht="15.75" customHeight="1">
      <c r="A30" s="347">
        <v>15.0</v>
      </c>
      <c r="B30" s="347">
        <v>13250.0</v>
      </c>
      <c r="C30" s="347">
        <v>38260.0</v>
      </c>
      <c r="D30" s="397" t="b">
        <f>IFERROR(__xludf.DUMMYFUNCTION("if(countif($E30:$Y30, ""&lt;&gt;0"")&lt;1, ""NO REWARD!"", if(counta(filter($E30:$Y30, $E30:$Y30&lt;&gt;0))&gt;1, TRUE, FALSE))"),FALSE)</f>
        <v>0</v>
      </c>
      <c r="E30" s="311">
        <v>0.0</v>
      </c>
      <c r="F30" s="311">
        <v>75.0</v>
      </c>
      <c r="G30" s="311">
        <v>0.0</v>
      </c>
      <c r="H30" s="311">
        <v>0.0</v>
      </c>
      <c r="I30" s="311">
        <v>0.0</v>
      </c>
      <c r="J30" s="311">
        <v>0.0</v>
      </c>
      <c r="K30" s="311">
        <v>0.0</v>
      </c>
      <c r="L30" s="311">
        <v>0.0</v>
      </c>
      <c r="M30" s="311">
        <v>0.0</v>
      </c>
      <c r="N30" s="311">
        <v>0.0</v>
      </c>
      <c r="O30" s="311">
        <v>0.0</v>
      </c>
      <c r="P30" s="311">
        <v>0.0</v>
      </c>
      <c r="Q30" s="311">
        <v>0.0</v>
      </c>
      <c r="R30" s="311">
        <v>0.0</v>
      </c>
      <c r="S30" s="311">
        <v>0.0</v>
      </c>
      <c r="T30" s="311">
        <v>0.0</v>
      </c>
      <c r="U30" s="311">
        <v>0.0</v>
      </c>
      <c r="V30" s="311">
        <v>0.0</v>
      </c>
      <c r="W30" s="311">
        <v>0.0</v>
      </c>
      <c r="X30" s="311">
        <v>0.0</v>
      </c>
      <c r="Y30" s="311">
        <v>0.0</v>
      </c>
      <c r="AA30" s="249">
        <f t="shared" si="1"/>
        <v>76.52</v>
      </c>
      <c r="AD30" s="250">
        <f t="shared" si="2"/>
        <v>0.3920543649</v>
      </c>
    </row>
    <row r="31" ht="15.75" customHeight="1">
      <c r="A31" s="347">
        <v>16.0</v>
      </c>
      <c r="B31" s="347">
        <v>3300.0</v>
      </c>
      <c r="C31" s="347">
        <v>41560.0</v>
      </c>
      <c r="D31" s="395" t="b">
        <f>IFERROR(__xludf.DUMMYFUNCTION("if(countif($E31:$Y31, ""&lt;&gt;0"")&lt;1, ""NO REWARD!"", if(counta(filter($E31:$Y31, $E31:$Y31&lt;&gt;0))&gt;1, TRUE, FALSE))"),TRUE)</f>
        <v>1</v>
      </c>
      <c r="E31" s="311">
        <v>50.0</v>
      </c>
      <c r="F31" s="311">
        <v>0.0</v>
      </c>
      <c r="G31" s="311">
        <v>0.0</v>
      </c>
      <c r="H31" s="311">
        <v>0.0</v>
      </c>
      <c r="I31" s="311">
        <v>0.0</v>
      </c>
      <c r="J31" s="311">
        <v>1.0</v>
      </c>
      <c r="K31" s="311">
        <v>0.0</v>
      </c>
      <c r="L31" s="311">
        <v>0.0</v>
      </c>
      <c r="M31" s="311">
        <v>0.0</v>
      </c>
      <c r="N31" s="311">
        <v>0.0</v>
      </c>
      <c r="O31" s="311">
        <v>0.0</v>
      </c>
      <c r="P31" s="311">
        <v>0.0</v>
      </c>
      <c r="Q31" s="311">
        <v>0.0</v>
      </c>
      <c r="R31" s="311">
        <v>0.0</v>
      </c>
      <c r="S31" s="311">
        <v>0.0</v>
      </c>
      <c r="T31" s="311">
        <v>0.0</v>
      </c>
      <c r="U31" s="311">
        <v>0.0</v>
      </c>
      <c r="V31" s="311">
        <v>0.0</v>
      </c>
      <c r="W31" s="311">
        <v>0.0</v>
      </c>
      <c r="X31" s="311">
        <v>0.0</v>
      </c>
      <c r="Y31" s="311">
        <v>0.0</v>
      </c>
      <c r="AA31" s="249">
        <f t="shared" si="1"/>
        <v>83.12</v>
      </c>
      <c r="AD31" s="250">
        <f t="shared" si="2"/>
        <v>0.9624639076</v>
      </c>
    </row>
    <row r="32" ht="15.75" customHeight="1">
      <c r="A32" s="347">
        <v>17.0</v>
      </c>
      <c r="B32" s="347">
        <v>6500.0</v>
      </c>
      <c r="C32" s="347">
        <v>48060.0</v>
      </c>
      <c r="D32" s="397" t="b">
        <f>IFERROR(__xludf.DUMMYFUNCTION("if(countif($E32:$Y32, ""&lt;&gt;0"")&lt;1, ""NO REWARD!"", if(counta(filter($E32:$Y32, $E32:$Y32&lt;&gt;0))&gt;1, TRUE, FALSE))"),FALSE)</f>
        <v>0</v>
      </c>
      <c r="E32" s="311">
        <v>0.0</v>
      </c>
      <c r="F32" s="311">
        <v>125.0</v>
      </c>
      <c r="G32" s="311">
        <v>0.0</v>
      </c>
      <c r="H32" s="311">
        <v>0.0</v>
      </c>
      <c r="I32" s="311">
        <v>0.0</v>
      </c>
      <c r="J32" s="311">
        <v>0.0</v>
      </c>
      <c r="K32" s="311">
        <v>0.0</v>
      </c>
      <c r="L32" s="311">
        <v>0.0</v>
      </c>
      <c r="M32" s="311">
        <v>0.0</v>
      </c>
      <c r="N32" s="311">
        <v>0.0</v>
      </c>
      <c r="O32" s="311">
        <v>0.0</v>
      </c>
      <c r="P32" s="311">
        <v>0.0</v>
      </c>
      <c r="Q32" s="311">
        <v>0.0</v>
      </c>
      <c r="R32" s="311">
        <v>0.0</v>
      </c>
      <c r="S32" s="311">
        <v>0.0</v>
      </c>
      <c r="T32" s="311">
        <v>0.0</v>
      </c>
      <c r="U32" s="311">
        <v>0.0</v>
      </c>
      <c r="V32" s="311">
        <v>0.0</v>
      </c>
      <c r="W32" s="311">
        <v>0.0</v>
      </c>
      <c r="X32" s="311">
        <v>0.0</v>
      </c>
      <c r="Y32" s="311">
        <v>0.0</v>
      </c>
      <c r="AA32" s="249">
        <f t="shared" si="1"/>
        <v>96.12</v>
      </c>
      <c r="AD32" s="250">
        <f t="shared" si="2"/>
        <v>0.8322929671</v>
      </c>
    </row>
    <row r="33" ht="15.75" customHeight="1">
      <c r="A33" s="347">
        <v>18.0</v>
      </c>
      <c r="B33" s="347">
        <v>19750.0</v>
      </c>
      <c r="C33" s="347">
        <v>67810.0</v>
      </c>
      <c r="D33" s="396" t="b">
        <f>IFERROR(__xludf.DUMMYFUNCTION("if(countif($E33:$Y33, ""&lt;&gt;0"")&lt;1, ""NO REWARD!"", if(counta(filter($E33:$Y33, $E33:$Y33&lt;&gt;0))&gt;1, TRUE, FALSE))"),FALSE)</f>
        <v>0</v>
      </c>
      <c r="E33" s="311">
        <v>0.0</v>
      </c>
      <c r="F33" s="311">
        <v>0.0</v>
      </c>
      <c r="G33" s="311">
        <v>0.0</v>
      </c>
      <c r="H33" s="311">
        <v>0.0</v>
      </c>
      <c r="I33" s="311">
        <v>0.0</v>
      </c>
      <c r="J33" s="311">
        <v>0.0</v>
      </c>
      <c r="K33" s="311">
        <v>0.0</v>
      </c>
      <c r="L33" s="311">
        <v>1.0</v>
      </c>
      <c r="M33" s="311">
        <v>0.0</v>
      </c>
      <c r="N33" s="311">
        <v>0.0</v>
      </c>
      <c r="O33" s="311">
        <v>0.0</v>
      </c>
      <c r="P33" s="311">
        <v>0.0</v>
      </c>
      <c r="Q33" s="311">
        <v>0.0</v>
      </c>
      <c r="R33" s="311">
        <v>0.0</v>
      </c>
      <c r="S33" s="311">
        <v>0.0</v>
      </c>
      <c r="T33" s="311">
        <v>0.0</v>
      </c>
      <c r="U33" s="311">
        <v>0.0</v>
      </c>
      <c r="V33" s="311">
        <v>0.0</v>
      </c>
      <c r="W33" s="311">
        <v>0.0</v>
      </c>
      <c r="X33" s="311">
        <v>0.0</v>
      </c>
      <c r="Y33" s="311">
        <v>0.0</v>
      </c>
      <c r="AA33" s="249">
        <f t="shared" si="1"/>
        <v>135.62</v>
      </c>
      <c r="AD33" s="250">
        <f t="shared" si="2"/>
        <v>0.589883498</v>
      </c>
    </row>
    <row r="34" ht="15.75" customHeight="1">
      <c r="A34" s="347">
        <v>19.0</v>
      </c>
      <c r="B34" s="347">
        <v>4200.0</v>
      </c>
      <c r="C34" s="347">
        <v>72010.0</v>
      </c>
      <c r="D34" s="397" t="b">
        <f>IFERROR(__xludf.DUMMYFUNCTION("if(countif($E34:$Y34, ""&lt;&gt;0"")&lt;1, ""NO REWARD!"", if(counta(filter($E34:$Y34, $E34:$Y34&lt;&gt;0))&gt;1, TRUE, FALSE))"),FALSE)</f>
        <v>0</v>
      </c>
      <c r="E34" s="311">
        <v>0.0</v>
      </c>
      <c r="F34" s="311">
        <v>0.0</v>
      </c>
      <c r="G34" s="311">
        <v>0.0</v>
      </c>
      <c r="H34" s="311">
        <v>0.0</v>
      </c>
      <c r="I34" s="311">
        <v>0.0</v>
      </c>
      <c r="J34" s="311">
        <v>0.0</v>
      </c>
      <c r="K34" s="311">
        <v>0.0</v>
      </c>
      <c r="L34" s="311">
        <v>0.0</v>
      </c>
      <c r="M34" s="311">
        <v>0.0</v>
      </c>
      <c r="N34" s="311">
        <v>45.0</v>
      </c>
      <c r="O34" s="311">
        <v>0.0</v>
      </c>
      <c r="P34" s="311">
        <v>0.0</v>
      </c>
      <c r="Q34" s="311">
        <v>0.0</v>
      </c>
      <c r="R34" s="311">
        <v>0.0</v>
      </c>
      <c r="S34" s="311">
        <v>0.0</v>
      </c>
      <c r="T34" s="311">
        <v>0.0</v>
      </c>
      <c r="U34" s="311">
        <v>0.0</v>
      </c>
      <c r="V34" s="311">
        <v>0.0</v>
      </c>
      <c r="W34" s="311">
        <v>0.0</v>
      </c>
      <c r="X34" s="311">
        <v>0.0</v>
      </c>
      <c r="Y34" s="311">
        <v>0.0</v>
      </c>
      <c r="AA34" s="249">
        <f t="shared" si="1"/>
        <v>144.02</v>
      </c>
      <c r="AD34" s="250">
        <f t="shared" si="2"/>
        <v>0.5554784058</v>
      </c>
    </row>
    <row r="35" ht="15.75" customHeight="1">
      <c r="A35" s="347">
        <v>20.0</v>
      </c>
      <c r="B35" s="347">
        <v>8250.0</v>
      </c>
      <c r="C35" s="347">
        <v>80260.0</v>
      </c>
      <c r="D35" s="395" t="b">
        <f>IFERROR(__xludf.DUMMYFUNCTION("if(countif($E35:$Y35, ""&lt;&gt;0"")&lt;1, ""NO REWARD!"", if(counta(filter($E35:$Y35, $E35:$Y35&lt;&gt;0))&gt;1, TRUE, FALSE))"),TRUE)</f>
        <v>1</v>
      </c>
      <c r="E35" s="311">
        <v>150.0</v>
      </c>
      <c r="F35" s="311">
        <v>0.0</v>
      </c>
      <c r="G35" s="311">
        <v>0.0</v>
      </c>
      <c r="H35" s="311">
        <v>2.0</v>
      </c>
      <c r="I35" s="311">
        <v>0.0</v>
      </c>
      <c r="J35" s="311">
        <v>0.0</v>
      </c>
      <c r="K35" s="311">
        <v>0.0</v>
      </c>
      <c r="L35" s="311">
        <v>0.0</v>
      </c>
      <c r="M35" s="311">
        <v>0.0</v>
      </c>
      <c r="N35" s="311">
        <v>0.0</v>
      </c>
      <c r="O35" s="311">
        <v>0.0</v>
      </c>
      <c r="P35" s="311">
        <v>0.0</v>
      </c>
      <c r="Q35" s="311">
        <v>0.0</v>
      </c>
      <c r="R35" s="311">
        <v>0.0</v>
      </c>
      <c r="S35" s="311">
        <v>0.0</v>
      </c>
      <c r="T35" s="311">
        <v>0.0</v>
      </c>
      <c r="U35" s="311">
        <v>0.0</v>
      </c>
      <c r="V35" s="311">
        <v>0.0</v>
      </c>
      <c r="W35" s="311">
        <v>0.0</v>
      </c>
      <c r="X35" s="311">
        <v>0.0</v>
      </c>
      <c r="Y35" s="311">
        <v>0.0</v>
      </c>
      <c r="AA35" s="249">
        <f t="shared" si="1"/>
        <v>160.52</v>
      </c>
      <c r="AD35" s="250">
        <f t="shared" si="2"/>
        <v>1.432843259</v>
      </c>
    </row>
    <row r="36" ht="15.75" customHeight="1">
      <c r="A36" s="347">
        <v>21.0</v>
      </c>
      <c r="B36" s="347">
        <v>22000.0</v>
      </c>
      <c r="C36" s="347">
        <v>102260.0</v>
      </c>
      <c r="D36" s="397" t="b">
        <f>IFERROR(__xludf.DUMMYFUNCTION("if(countif($E36:$Y36, ""&lt;&gt;0"")&lt;1, ""NO REWARD!"", if(counta(filter($E36:$Y36, $E36:$Y36&lt;&gt;0))&gt;1, TRUE, FALSE))"),FALSE)</f>
        <v>0</v>
      </c>
      <c r="E36" s="311">
        <v>0.0</v>
      </c>
      <c r="F36" s="311">
        <v>200.0</v>
      </c>
      <c r="G36" s="311">
        <v>0.0</v>
      </c>
      <c r="H36" s="311">
        <v>0.0</v>
      </c>
      <c r="I36" s="311">
        <v>0.0</v>
      </c>
      <c r="J36" s="311">
        <v>0.0</v>
      </c>
      <c r="K36" s="311">
        <v>0.0</v>
      </c>
      <c r="L36" s="311">
        <v>0.0</v>
      </c>
      <c r="M36" s="311">
        <v>0.0</v>
      </c>
      <c r="N36" s="311">
        <v>0.0</v>
      </c>
      <c r="O36" s="311">
        <v>0.0</v>
      </c>
      <c r="P36" s="311">
        <v>0.0</v>
      </c>
      <c r="Q36" s="311">
        <v>0.0</v>
      </c>
      <c r="R36" s="311">
        <v>0.0</v>
      </c>
      <c r="S36" s="311">
        <v>0.0</v>
      </c>
      <c r="T36" s="311">
        <v>0.0</v>
      </c>
      <c r="U36" s="311">
        <v>0.0</v>
      </c>
      <c r="V36" s="311">
        <v>0.0</v>
      </c>
      <c r="W36" s="311">
        <v>0.0</v>
      </c>
      <c r="X36" s="311">
        <v>0.0</v>
      </c>
      <c r="Y36" s="311">
        <v>0.0</v>
      </c>
      <c r="AA36" s="249">
        <f t="shared" si="1"/>
        <v>204.52</v>
      </c>
      <c r="AD36" s="250">
        <f t="shared" si="2"/>
        <v>1.124584393</v>
      </c>
    </row>
    <row r="37" ht="15.75" customHeight="1">
      <c r="A37" s="347">
        <v>22.0</v>
      </c>
      <c r="B37" s="347">
        <v>6000.0</v>
      </c>
      <c r="C37" s="347">
        <v>108260.0</v>
      </c>
      <c r="D37" s="396" t="b">
        <f>IFERROR(__xludf.DUMMYFUNCTION("if(countif($E37:$Y37, ""&lt;&gt;0"")&lt;1, ""NO REWARD!"", if(counta(filter($E37:$Y37, $E37:$Y37&lt;&gt;0))&gt;1, TRUE, FALSE))"),FALSE)</f>
        <v>0</v>
      </c>
      <c r="E37" s="311">
        <v>0.0</v>
      </c>
      <c r="F37" s="311">
        <v>0.0</v>
      </c>
      <c r="G37" s="311">
        <v>0.0</v>
      </c>
      <c r="H37" s="311">
        <v>0.0</v>
      </c>
      <c r="I37" s="311">
        <v>0.0</v>
      </c>
      <c r="J37" s="311">
        <v>0.0</v>
      </c>
      <c r="K37" s="311">
        <v>0.0</v>
      </c>
      <c r="L37" s="311">
        <v>0.0</v>
      </c>
      <c r="M37" s="311">
        <v>0.0</v>
      </c>
      <c r="N37" s="311">
        <v>0.0</v>
      </c>
      <c r="O37" s="311">
        <v>0.0</v>
      </c>
      <c r="P37" s="311">
        <v>10.0</v>
      </c>
      <c r="Q37" s="311">
        <v>0.0</v>
      </c>
      <c r="R37" s="311">
        <v>0.0</v>
      </c>
      <c r="S37" s="311">
        <v>0.0</v>
      </c>
      <c r="T37" s="311">
        <v>0.0</v>
      </c>
      <c r="U37" s="311">
        <v>0.0</v>
      </c>
      <c r="V37" s="311">
        <v>0.0</v>
      </c>
      <c r="W37" s="311">
        <v>0.0</v>
      </c>
      <c r="X37" s="311">
        <v>0.0</v>
      </c>
      <c r="Y37" s="311">
        <v>0.0</v>
      </c>
      <c r="AA37" s="249">
        <f t="shared" si="1"/>
        <v>216.52</v>
      </c>
      <c r="AD37" s="250">
        <f t="shared" si="2"/>
        <v>1.062257528</v>
      </c>
    </row>
    <row r="38" ht="15.75" customHeight="1">
      <c r="A38" s="347">
        <v>23.0</v>
      </c>
      <c r="B38" s="347">
        <v>10500.0</v>
      </c>
      <c r="C38" s="347">
        <v>118760.0</v>
      </c>
      <c r="D38" s="397" t="b">
        <f>IFERROR(__xludf.DUMMYFUNCTION("if(countif($E38:$Y38, ""&lt;&gt;0"")&lt;1, ""NO REWARD!"", if(counta(filter($E38:$Y38, $E38:$Y38&lt;&gt;0))&gt;1, TRUE, FALSE))"),FALSE)</f>
        <v>0</v>
      </c>
      <c r="E38" s="311">
        <v>0.0</v>
      </c>
      <c r="F38" s="311">
        <v>0.0</v>
      </c>
      <c r="G38" s="311">
        <v>0.0</v>
      </c>
      <c r="H38" s="311">
        <v>0.0</v>
      </c>
      <c r="I38" s="311">
        <v>2.0</v>
      </c>
      <c r="J38" s="311">
        <v>0.0</v>
      </c>
      <c r="K38" s="311">
        <v>0.0</v>
      </c>
      <c r="L38" s="311">
        <v>0.0</v>
      </c>
      <c r="M38" s="311">
        <v>0.0</v>
      </c>
      <c r="N38" s="311">
        <v>0.0</v>
      </c>
      <c r="O38" s="311">
        <v>0.0</v>
      </c>
      <c r="P38" s="311">
        <v>0.0</v>
      </c>
      <c r="Q38" s="311">
        <v>0.0</v>
      </c>
      <c r="R38" s="311">
        <v>0.0</v>
      </c>
      <c r="S38" s="311">
        <v>0.0</v>
      </c>
      <c r="T38" s="311">
        <v>0.0</v>
      </c>
      <c r="U38" s="311">
        <v>0.0</v>
      </c>
      <c r="V38" s="311">
        <v>0.0</v>
      </c>
      <c r="W38" s="311">
        <v>0.0</v>
      </c>
      <c r="X38" s="311">
        <v>0.0</v>
      </c>
      <c r="Y38" s="311">
        <v>0.0</v>
      </c>
      <c r="AA38" s="249">
        <f t="shared" si="1"/>
        <v>237.52</v>
      </c>
      <c r="AD38" s="250">
        <f t="shared" si="2"/>
        <v>0.9683395083</v>
      </c>
    </row>
    <row r="39" ht="15.75" customHeight="1">
      <c r="A39" s="347">
        <v>24.0</v>
      </c>
      <c r="B39" s="347">
        <v>33000.0</v>
      </c>
      <c r="C39" s="347">
        <v>151760.0</v>
      </c>
      <c r="D39" s="395" t="b">
        <f>IFERROR(__xludf.DUMMYFUNCTION("if(countif($E39:$Y39, ""&lt;&gt;0"")&lt;1, ""NO REWARD!"", if(counta(filter($E39:$Y39, $E39:$Y39&lt;&gt;0))&gt;1, TRUE, FALSE))"),TRUE)</f>
        <v>1</v>
      </c>
      <c r="E39" s="311">
        <v>350.0</v>
      </c>
      <c r="F39" s="311">
        <v>350.0</v>
      </c>
      <c r="G39" s="311">
        <v>0.0</v>
      </c>
      <c r="H39" s="311">
        <v>0.0</v>
      </c>
      <c r="I39" s="311">
        <v>0.0</v>
      </c>
      <c r="J39" s="311">
        <v>0.0</v>
      </c>
      <c r="K39" s="311">
        <v>0.0</v>
      </c>
      <c r="L39" s="311">
        <v>1.0</v>
      </c>
      <c r="M39" s="311">
        <v>1.0</v>
      </c>
      <c r="N39" s="311">
        <v>0.0</v>
      </c>
      <c r="O39" s="311">
        <v>0.0</v>
      </c>
      <c r="P39" s="311">
        <v>0.0</v>
      </c>
      <c r="Q39" s="311">
        <v>0.0</v>
      </c>
      <c r="R39" s="311">
        <v>0.0</v>
      </c>
      <c r="S39" s="311">
        <v>0.0</v>
      </c>
      <c r="T39" s="311">
        <v>0.0</v>
      </c>
      <c r="U39" s="311">
        <v>0.0</v>
      </c>
      <c r="V39" s="311">
        <v>0.0</v>
      </c>
      <c r="W39" s="311">
        <v>0.0</v>
      </c>
      <c r="X39" s="311">
        <v>0.0</v>
      </c>
      <c r="Y39" s="311">
        <v>0.0</v>
      </c>
      <c r="AA39" s="249">
        <f t="shared" si="1"/>
        <v>303.52</v>
      </c>
      <c r="AD39" s="250">
        <f t="shared" si="2"/>
        <v>1.910911966</v>
      </c>
    </row>
    <row r="40" ht="15.75" customHeight="1">
      <c r="A40" s="347">
        <v>25.0</v>
      </c>
      <c r="B40" s="347">
        <v>8750.0</v>
      </c>
      <c r="C40" s="347">
        <v>160510.0</v>
      </c>
      <c r="D40" s="397" t="b">
        <f>IFERROR(__xludf.DUMMYFUNCTION("if(countif($E40:$Y40, ""&lt;&gt;0"")&lt;1, ""NO REWARD!"", if(counta(filter($E40:$Y40, $E40:$Y40&lt;&gt;0))&gt;1, TRUE, FALSE))"),FALSE)</f>
        <v>0</v>
      </c>
      <c r="E40" s="311">
        <v>0.0</v>
      </c>
      <c r="F40" s="311">
        <v>0.0</v>
      </c>
      <c r="G40" s="311">
        <v>0.0</v>
      </c>
      <c r="H40" s="311">
        <v>0.0</v>
      </c>
      <c r="I40" s="311">
        <v>0.0</v>
      </c>
      <c r="J40" s="311">
        <v>0.0</v>
      </c>
      <c r="K40" s="311">
        <v>0.0</v>
      </c>
      <c r="L40" s="311">
        <v>0.0</v>
      </c>
      <c r="M40" s="311">
        <v>0.0</v>
      </c>
      <c r="N40" s="311">
        <v>60.0</v>
      </c>
      <c r="O40" s="311">
        <v>0.0</v>
      </c>
      <c r="P40" s="311">
        <v>0.0</v>
      </c>
      <c r="Q40" s="311">
        <v>0.0</v>
      </c>
      <c r="R40" s="311">
        <v>0.0</v>
      </c>
      <c r="S40" s="311">
        <v>0.0</v>
      </c>
      <c r="T40" s="311">
        <v>0.0</v>
      </c>
      <c r="U40" s="311">
        <v>0.0</v>
      </c>
      <c r="V40" s="311">
        <v>0.0</v>
      </c>
      <c r="W40" s="311">
        <v>0.0</v>
      </c>
      <c r="X40" s="311">
        <v>0.0</v>
      </c>
      <c r="Y40" s="311">
        <v>0.0</v>
      </c>
      <c r="AA40" s="249">
        <f t="shared" si="1"/>
        <v>321.02</v>
      </c>
      <c r="AD40" s="250">
        <f t="shared" si="2"/>
        <v>1.806741013</v>
      </c>
    </row>
    <row r="41" ht="15.75" customHeight="1">
      <c r="A41" s="347">
        <v>26.0</v>
      </c>
      <c r="B41" s="347">
        <v>14250.0</v>
      </c>
      <c r="C41" s="347">
        <v>174760.0</v>
      </c>
      <c r="D41" s="396" t="b">
        <f>IFERROR(__xludf.DUMMYFUNCTION("if(countif($E41:$Y41, ""&lt;&gt;0"")&lt;1, ""NO REWARD!"", if(counta(filter($E41:$Y41, $E41:$Y41&lt;&gt;0))&gt;1, TRUE, FALSE))"),FALSE)</f>
        <v>0</v>
      </c>
      <c r="E41" s="311">
        <v>0.0</v>
      </c>
      <c r="F41" s="311">
        <v>0.0</v>
      </c>
      <c r="G41" s="311">
        <v>0.0</v>
      </c>
      <c r="H41" s="311">
        <v>0.0</v>
      </c>
      <c r="I41" s="311">
        <v>0.0</v>
      </c>
      <c r="J41" s="311">
        <v>2.0</v>
      </c>
      <c r="K41" s="311">
        <v>0.0</v>
      </c>
      <c r="L41" s="311">
        <v>0.0</v>
      </c>
      <c r="M41" s="311">
        <v>0.0</v>
      </c>
      <c r="N41" s="311">
        <v>0.0</v>
      </c>
      <c r="O41" s="311">
        <v>0.0</v>
      </c>
      <c r="P41" s="311">
        <v>0.0</v>
      </c>
      <c r="Q41" s="311">
        <v>0.0</v>
      </c>
      <c r="R41" s="311">
        <v>0.0</v>
      </c>
      <c r="S41" s="311">
        <v>0.0</v>
      </c>
      <c r="T41" s="311">
        <v>0.0</v>
      </c>
      <c r="U41" s="311">
        <v>0.0</v>
      </c>
      <c r="V41" s="311">
        <v>0.0</v>
      </c>
      <c r="W41" s="311">
        <v>0.0</v>
      </c>
      <c r="X41" s="311">
        <v>0.0</v>
      </c>
      <c r="Y41" s="311">
        <v>0.0</v>
      </c>
      <c r="AA41" s="249">
        <f t="shared" si="1"/>
        <v>349.52</v>
      </c>
      <c r="AD41" s="250">
        <f t="shared" si="2"/>
        <v>1.659418631</v>
      </c>
    </row>
    <row r="42" ht="15.75" customHeight="1">
      <c r="A42" s="347">
        <v>27.0</v>
      </c>
      <c r="B42" s="347">
        <v>44000.0</v>
      </c>
      <c r="C42" s="347">
        <v>218760.0</v>
      </c>
      <c r="D42" s="397" t="b">
        <f>IFERROR(__xludf.DUMMYFUNCTION("if(countif($E42:$Y42, ""&lt;&gt;0"")&lt;1, ""NO REWARD!"", if(counta(filter($E42:$Y42, $E42:$Y42&lt;&gt;0))&gt;1, TRUE, FALSE))"),FALSE)</f>
        <v>0</v>
      </c>
      <c r="E42" s="311">
        <v>0.0</v>
      </c>
      <c r="F42" s="311">
        <v>600.0</v>
      </c>
      <c r="G42" s="311">
        <v>0.0</v>
      </c>
      <c r="H42" s="311">
        <v>0.0</v>
      </c>
      <c r="I42" s="311">
        <v>0.0</v>
      </c>
      <c r="J42" s="311">
        <v>0.0</v>
      </c>
      <c r="K42" s="311">
        <v>0.0</v>
      </c>
      <c r="L42" s="311">
        <v>0.0</v>
      </c>
      <c r="M42" s="311">
        <v>0.0</v>
      </c>
      <c r="N42" s="311">
        <v>0.0</v>
      </c>
      <c r="O42" s="311">
        <v>0.0</v>
      </c>
      <c r="P42" s="311">
        <v>0.0</v>
      </c>
      <c r="Q42" s="311">
        <v>0.0</v>
      </c>
      <c r="R42" s="311">
        <v>0.0</v>
      </c>
      <c r="S42" s="311">
        <v>0.0</v>
      </c>
      <c r="T42" s="311">
        <v>0.0</v>
      </c>
      <c r="U42" s="311">
        <v>0.0</v>
      </c>
      <c r="V42" s="311">
        <v>0.0</v>
      </c>
      <c r="W42" s="311">
        <v>0.0</v>
      </c>
      <c r="X42" s="311">
        <v>0.0</v>
      </c>
      <c r="Y42" s="311">
        <v>0.0</v>
      </c>
      <c r="AA42" s="249">
        <f t="shared" si="1"/>
        <v>437.52</v>
      </c>
      <c r="AD42" s="250">
        <f t="shared" si="2"/>
        <v>1.325653684</v>
      </c>
    </row>
    <row r="43" ht="15.75" customHeight="1">
      <c r="A43" s="347">
        <v>28.0</v>
      </c>
      <c r="B43" s="347">
        <v>16500.0</v>
      </c>
      <c r="C43" s="347">
        <v>235260.0</v>
      </c>
      <c r="D43" s="396" t="b">
        <f>IFERROR(__xludf.DUMMYFUNCTION("if(countif($E43:$Y43, ""&lt;&gt;0"")&lt;1, ""NO REWARD!"", if(counta(filter($E43:$Y43, $E43:$Y43&lt;&gt;0))&gt;1, TRUE, FALSE))"),FALSE)</f>
        <v>0</v>
      </c>
      <c r="E43" s="311">
        <v>0.0</v>
      </c>
      <c r="F43" s="311">
        <v>0.0</v>
      </c>
      <c r="G43" s="311">
        <v>0.0</v>
      </c>
      <c r="H43" s="311">
        <v>0.0</v>
      </c>
      <c r="I43" s="311">
        <v>0.0</v>
      </c>
      <c r="J43" s="311">
        <v>0.0</v>
      </c>
      <c r="K43" s="311">
        <v>0.0</v>
      </c>
      <c r="L43" s="311">
        <v>0.0</v>
      </c>
      <c r="M43" s="311">
        <v>0.0</v>
      </c>
      <c r="N43" s="311">
        <v>60.0</v>
      </c>
      <c r="O43" s="311">
        <v>0.0</v>
      </c>
      <c r="P43" s="311">
        <v>0.0</v>
      </c>
      <c r="Q43" s="311">
        <v>0.0</v>
      </c>
      <c r="R43" s="311">
        <v>0.0</v>
      </c>
      <c r="S43" s="311">
        <v>0.0</v>
      </c>
      <c r="T43" s="311">
        <v>0.0</v>
      </c>
      <c r="U43" s="311">
        <v>0.0</v>
      </c>
      <c r="V43" s="311">
        <v>0.0</v>
      </c>
      <c r="W43" s="311">
        <v>0.0</v>
      </c>
      <c r="X43" s="311">
        <v>0.0</v>
      </c>
      <c r="Y43" s="311">
        <v>0.0</v>
      </c>
      <c r="AA43" s="249">
        <f t="shared" si="1"/>
        <v>470.52</v>
      </c>
      <c r="AD43" s="250">
        <f t="shared" si="2"/>
        <v>1.232678738</v>
      </c>
    </row>
    <row r="44" ht="15.75" customHeight="1">
      <c r="A44" s="347">
        <v>29.0</v>
      </c>
      <c r="B44" s="347">
        <v>34000.0</v>
      </c>
      <c r="C44" s="347">
        <v>269260.0</v>
      </c>
      <c r="D44" s="397" t="b">
        <f>IFERROR(__xludf.DUMMYFUNCTION("if(countif($E44:$Y44, ""&lt;&gt;0"")&lt;1, ""NO REWARD!"", if(counta(filter($E44:$Y44, $E44:$Y44&lt;&gt;0))&gt;1, TRUE, FALSE))"),FALSE)</f>
        <v>0</v>
      </c>
      <c r="E44" s="311">
        <v>0.0</v>
      </c>
      <c r="F44" s="311">
        <v>0.0</v>
      </c>
      <c r="G44" s="311">
        <v>0.0</v>
      </c>
      <c r="H44" s="311">
        <v>0.0</v>
      </c>
      <c r="I44" s="311">
        <v>0.0</v>
      </c>
      <c r="J44" s="311">
        <v>3.0</v>
      </c>
      <c r="K44" s="311">
        <v>0.0</v>
      </c>
      <c r="L44" s="311">
        <v>0.0</v>
      </c>
      <c r="M44" s="311">
        <v>0.0</v>
      </c>
      <c r="N44" s="311">
        <v>0.0</v>
      </c>
      <c r="O44" s="311">
        <v>0.0</v>
      </c>
      <c r="P44" s="311">
        <v>0.0</v>
      </c>
      <c r="Q44" s="311">
        <v>0.0</v>
      </c>
      <c r="R44" s="311">
        <v>0.0</v>
      </c>
      <c r="S44" s="311">
        <v>0.0</v>
      </c>
      <c r="T44" s="311">
        <v>0.0</v>
      </c>
      <c r="U44" s="311">
        <v>0.0</v>
      </c>
      <c r="V44" s="311">
        <v>0.0</v>
      </c>
      <c r="W44" s="311">
        <v>0.0</v>
      </c>
      <c r="X44" s="311">
        <v>0.0</v>
      </c>
      <c r="Y44" s="311">
        <v>0.0</v>
      </c>
      <c r="AA44" s="249">
        <f t="shared" si="1"/>
        <v>538.52</v>
      </c>
      <c r="AD44" s="250">
        <f t="shared" si="2"/>
        <v>1.077025923</v>
      </c>
    </row>
    <row r="45" ht="15.75" customHeight="1">
      <c r="A45" s="347">
        <v>30.0</v>
      </c>
      <c r="B45" s="347">
        <v>83000.0</v>
      </c>
      <c r="C45" s="347">
        <v>352260.0</v>
      </c>
      <c r="D45" s="395" t="b">
        <f>IFERROR(__xludf.DUMMYFUNCTION("if(countif($E45:$Y45, ""&lt;&gt;0"")&lt;1, ""NO REWARD!"", if(counta(filter($E45:$Y45, $E45:$Y45&lt;&gt;0))&gt;1, TRUE, FALSE))"),TRUE)</f>
        <v>1</v>
      </c>
      <c r="E45" s="311">
        <v>600.0</v>
      </c>
      <c r="F45" s="311">
        <v>0.0</v>
      </c>
      <c r="G45" s="311">
        <v>0.0</v>
      </c>
      <c r="H45" s="311">
        <v>0.0</v>
      </c>
      <c r="I45" s="311">
        <v>0.0</v>
      </c>
      <c r="J45" s="311">
        <v>0.0</v>
      </c>
      <c r="K45" s="311">
        <v>3.0</v>
      </c>
      <c r="L45" s="311">
        <v>3.0</v>
      </c>
      <c r="M45" s="311">
        <v>3.0</v>
      </c>
      <c r="N45" s="311">
        <v>0.0</v>
      </c>
      <c r="O45" s="311">
        <v>0.0</v>
      </c>
      <c r="P45" s="311">
        <v>0.0</v>
      </c>
      <c r="Q45" s="311">
        <v>0.0</v>
      </c>
      <c r="R45" s="311">
        <v>0.0</v>
      </c>
      <c r="S45" s="311">
        <v>0.0</v>
      </c>
      <c r="T45" s="311">
        <v>0.0</v>
      </c>
      <c r="U45" s="311">
        <v>0.0</v>
      </c>
      <c r="V45" s="311">
        <v>0.0</v>
      </c>
      <c r="W45" s="311">
        <v>0.0</v>
      </c>
      <c r="X45" s="311">
        <v>0.0</v>
      </c>
      <c r="Y45" s="311">
        <v>0.0</v>
      </c>
      <c r="AA45" s="249">
        <f t="shared" si="1"/>
        <v>704.52</v>
      </c>
      <c r="AD45" s="250">
        <f t="shared" si="2"/>
        <v>1.674899222</v>
      </c>
    </row>
    <row r="46" ht="15.75" customHeight="1">
      <c r="A46" s="328"/>
      <c r="B46" s="328"/>
      <c r="C46" s="328"/>
      <c r="D46" s="328"/>
      <c r="E46" s="328"/>
      <c r="F46" s="328"/>
      <c r="G46" s="328"/>
      <c r="H46" s="32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</row>
    <row r="47" ht="15.75" customHeight="1">
      <c r="A47" s="328"/>
      <c r="B47" s="328"/>
      <c r="C47" s="328"/>
      <c r="D47" s="328"/>
      <c r="E47" s="328"/>
      <c r="F47" s="328"/>
      <c r="G47" s="328"/>
      <c r="H47" s="32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</row>
    <row r="48" ht="15.75" customHeight="1">
      <c r="A48" s="328"/>
      <c r="B48" s="328"/>
      <c r="C48" s="328"/>
      <c r="D48" s="328"/>
      <c r="E48" s="328"/>
      <c r="F48" s="328"/>
      <c r="G48" s="328"/>
      <c r="H48" s="328"/>
      <c r="I48" s="328"/>
      <c r="J48" s="328"/>
      <c r="K48" s="328"/>
      <c r="L48" s="328"/>
      <c r="M48" s="328"/>
      <c r="N48" s="328"/>
      <c r="O48" s="328"/>
      <c r="P48" s="328"/>
      <c r="Q48" s="328"/>
      <c r="R48" s="328"/>
      <c r="S48" s="328"/>
      <c r="T48" s="328"/>
      <c r="U48" s="328"/>
      <c r="V48" s="328"/>
    </row>
    <row r="49" ht="15.75" customHeight="1">
      <c r="A49" s="328"/>
      <c r="B49" s="328"/>
      <c r="C49" s="328"/>
      <c r="D49" s="328"/>
      <c r="E49" s="328"/>
      <c r="F49" s="328"/>
      <c r="G49" s="328"/>
      <c r="H49" s="32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</row>
    <row r="50" ht="15.75" customHeight="1">
      <c r="A50" s="328"/>
      <c r="B50" s="328"/>
      <c r="C50" s="328"/>
      <c r="D50" s="328"/>
      <c r="E50" s="328"/>
      <c r="F50" s="328"/>
      <c r="G50" s="328"/>
      <c r="H50" s="328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</row>
  </sheetData>
  <conditionalFormatting sqref="E16:Y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Y45">
    <cfRule type="cellIs" dxfId="4" priority="4" stopIfTrue="1" operator="greaterThan">
      <formula>0</formula>
    </cfRule>
  </conditionalFormatting>
  <conditionalFormatting sqref="E16:Y45">
    <cfRule type="expression" dxfId="5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5.75"/>
    <col customWidth="1" min="36" max="36" width="20.13"/>
    <col customWidth="1" min="37" max="37" width="5.75"/>
    <col customWidth="1" min="38" max="38" width="20.13"/>
    <col customWidth="1" min="39" max="39" width="5.75"/>
    <col customWidth="1" min="40" max="40" width="20.13"/>
    <col customWidth="1" min="41" max="41" width="5.75"/>
    <col customWidth="1" min="42" max="42" width="20.13"/>
    <col customWidth="1" min="43" max="43" width="5.75"/>
    <col customWidth="1" min="44" max="44" width="20.13"/>
  </cols>
  <sheetData>
    <row r="1" ht="21.75" customHeight="1">
      <c r="A1" s="379" t="s">
        <v>365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AH1" s="222" t="s">
        <v>176</v>
      </c>
    </row>
    <row r="2" ht="19.5" customHeight="1">
      <c r="A2" s="352" t="s">
        <v>106</v>
      </c>
      <c r="B2" s="352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AH2" s="223" t="s">
        <v>177</v>
      </c>
      <c r="AI2" s="224" t="s">
        <v>178</v>
      </c>
    </row>
    <row r="3">
      <c r="A3" s="151" t="s">
        <v>169</v>
      </c>
      <c r="B3" s="154">
        <v>4.0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AH3" s="223" t="s">
        <v>179</v>
      </c>
      <c r="AI3" s="224" t="s">
        <v>180</v>
      </c>
    </row>
    <row r="4">
      <c r="A4" s="353"/>
      <c r="B4" s="355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</row>
    <row r="5">
      <c r="A5" s="353"/>
      <c r="B5" s="355"/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  <c r="AH5" s="226" t="s">
        <v>181</v>
      </c>
      <c r="AI5" s="226" t="s">
        <v>182</v>
      </c>
      <c r="AJ5" s="226" t="s">
        <v>183</v>
      </c>
      <c r="AK5" s="226" t="s">
        <v>184</v>
      </c>
      <c r="AL5" s="226" t="s">
        <v>185</v>
      </c>
      <c r="AM5" s="226" t="s">
        <v>187</v>
      </c>
      <c r="AN5" s="226" t="s">
        <v>188</v>
      </c>
      <c r="AO5" s="226" t="s">
        <v>189</v>
      </c>
      <c r="AP5" s="226" t="s">
        <v>191</v>
      </c>
      <c r="AQ5" s="226" t="s">
        <v>192</v>
      </c>
      <c r="AR5" s="226" t="s">
        <v>194</v>
      </c>
    </row>
    <row r="6">
      <c r="A6" s="353"/>
      <c r="B6" s="355"/>
      <c r="C6" s="328"/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AH6" s="227">
        <f>IF(1&lt;=$B$3,1,"")</f>
        <v>1</v>
      </c>
      <c r="AI6" s="237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1</v>
      </c>
      <c r="AJ6" s="238" t="str">
        <f t="array" ref="AJ6">IF($AH6="","",IF(AI6=0,"{}",LET(m,AI6,s,MMULT(SEQUENCE(1,m,1,0),N($E$16:$Y$45)),"{"&amp;TEXTJOIN(", ",TRUE,IF(s&gt;0,$E$15:$Y$15&amp;": "&amp;ROUND(s,2),""))&amp;"}")))</f>
        <v>{Red: 1}</v>
      </c>
      <c r="AK6" s="237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4</v>
      </c>
      <c r="AL6" s="238" t="str">
        <f t="array" ref="AL6">IF($AH6="","",IF(AK6=0,"{}",LET(m,AK6,s,MMULT(SEQUENCE(1,m,1,0),N($E$16:$Y$45)),"{"&amp;TEXTJOIN(", ",TRUE,IF(s&gt;0,$E$15:$Y$15&amp;": "&amp;ROUND(s,2),""))&amp;"}")))</f>
        <v>{Coins: 10, SPT: 10, Red: 1, Unlimited Lives: 10}</v>
      </c>
      <c r="AM6" s="237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8</v>
      </c>
      <c r="AN6" s="238" t="str">
        <f t="array" ref="AN6">IF($AH6="","",IF(AM6=0,"{}",LET(m,AM6,s,MMULT(SEQUENCE(1,m,1,0),N($E$16:$Y$45)),"{"&amp;TEXTJOIN(", ",TRUE,IF(s&gt;0,$E$15:$Y$15&amp;": "&amp;ROUND(s,2),""))&amp;"}")))</f>
        <v>{Coins: 10, SPT: 40, SPT x2: 10, Red: 1, Chuck: 2, Unlimited Lives: 25}</v>
      </c>
      <c r="AO6" s="237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12</v>
      </c>
      <c r="AP6" s="238" t="str">
        <f t="array" ref="AP6">IF($AH6="","",IF(AO6=0,"{}",LET(m,AO6,s,MMULT(SEQUENCE(1,m,1,0),N($E$16:$Y$45)),"{"&amp;TEXTJOIN(", ",TRUE,IF(s&gt;0,$E$15:$Y$15&amp;": "&amp;ROUND(s,2),""))&amp;"}")))</f>
        <v>{Coins: 30, SPT: 90, SPT x2: 10, Red: 1, Chuck: 2, Shuffle: 1, Comet: 1, Unlimited Lives: 55}</v>
      </c>
      <c r="AQ6" s="237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15</v>
      </c>
      <c r="AR6" s="238" t="str">
        <f t="array" ref="AR6">IF($AH6="","",IF(AQ6=0,"{}",LET(m,AQ6,s,MMULT(SEQUENCE(1,m,1,0),N($E$16:$Y$45)),"{"&amp;TEXTJOIN(", ",TRUE,IF(s&gt;0,$E$15:$Y$15&amp;": "&amp;ROUND(s,2),""))&amp;"}")))</f>
        <v>{Coins: 30, SPT: 165, SPT x2: 10, Red: 1, Chuck: 2, Bomb: 1, Shuffle: 1, Comet: 1, Unlimited Lives: 55, Unlimited Red: 10}</v>
      </c>
    </row>
    <row r="7">
      <c r="A7" s="353"/>
      <c r="B7" s="355"/>
      <c r="C7" s="328"/>
      <c r="D7" s="328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AH7" s="227">
        <f>IF(2&lt;=$B$3,2,"")</f>
        <v>2</v>
      </c>
      <c r="AI7" s="237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2</v>
      </c>
      <c r="AJ7" s="238" t="str">
        <f t="array" ref="AJ7">IF($AH7="","",IF(AI7=0,"{}",LET(m,AI7,s,MMULT(SEQUENCE(1,m,1,0),N($E$16:$Y$45)),"{"&amp;TEXTJOIN(", ",TRUE,IF(s&gt;0,$E$15:$Y$15&amp;": "&amp;ROUND(s,2),""))&amp;"}")))</f>
        <v>{Coins: 10, Red: 1}</v>
      </c>
      <c r="AK7" s="237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6</v>
      </c>
      <c r="AL7" s="238" t="str">
        <f t="array" ref="AL7">IF($AH7="","",IF(AK7=0,"{}",LET(m,AK7,s,MMULT(SEQUENCE(1,m,1,0),N($E$16:$Y$45)),"{"&amp;TEXTJOIN(", ",TRUE,IF(s&gt;0,$E$15:$Y$15&amp;": "&amp;ROUND(s,2),""))&amp;"}")))</f>
        <v>{Coins: 10, SPT: 10, SPT x2: 10, Red: 1, Chuck: 1, Unlimited Lives: 25}</v>
      </c>
      <c r="AM7" s="237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10</v>
      </c>
      <c r="AN7" s="238" t="str">
        <f t="array" ref="AN7">IF($AH7="","",IF(AM7=0,"{}",LET(m,AM7,s,MMULT(SEQUENCE(1,m,1,0),N($E$16:$Y$45)),"{"&amp;TEXTJOIN(", ",TRUE,IF(s&gt;0,$E$15:$Y$15&amp;": "&amp;ROUND(s,2),""))&amp;"}")))</f>
        <v>{Coins: 30, SPT: 90, SPT x2: 10, Red: 1, Chuck: 2, Unlimited Lives: 25}</v>
      </c>
      <c r="AO7" s="237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15</v>
      </c>
      <c r="AP7" s="238" t="str">
        <f t="array" ref="AP7">IF($AH7="","",IF(AO7=0,"{}",LET(m,AO7,s,MMULT(SEQUENCE(1,m,1,0),N($E$16:$Y$45)),"{"&amp;TEXTJOIN(", ",TRUE,IF(s&gt;0,$E$15:$Y$15&amp;": "&amp;ROUND(s,2),""))&amp;"}")))</f>
        <v>{Coins: 30, SPT: 165, SPT x2: 10, Red: 1, Chuck: 2, Bomb: 1, Shuffle: 1, Comet: 1, Unlimited Lives: 55, Unlimited Red: 10}</v>
      </c>
      <c r="AQ7" s="237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20</v>
      </c>
      <c r="AR7" s="238" t="str">
        <f t="array" ref="AR7">IF($AH7="","",IF(AQ7=0,"{}",LET(m,AQ7,s,MMULT(SEQUENCE(1,m,1,0),N($E$16:$Y$45)),"{"&amp;TEXTJOIN(", ",TRUE,IF(s&gt;0,$E$15:$Y$15&amp;": "&amp;ROUND(s,2),""))&amp;"}")))</f>
        <v>{Coins: 230, SPT: 290, SPT x2: 30, Red: 3, Chuck: 2, Bomb: 2, Shuffle: 2, Comet: 1, Unlimited Lives: 55, Unlimited Red: 10}</v>
      </c>
    </row>
    <row r="8">
      <c r="A8" s="353"/>
      <c r="B8" s="355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AH8" s="227">
        <f>IF(3&lt;=$B$3,3,"")</f>
        <v>3</v>
      </c>
      <c r="AI8" s="237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2</v>
      </c>
      <c r="AJ8" s="238" t="str">
        <f t="array" ref="AJ8">IF($AH8="","",IF(AI8=0,"{}",LET(m,AI8,s,MMULT(SEQUENCE(1,m,1,0),N($E$16:$Y$45)),"{"&amp;TEXTJOIN(", ",TRUE,IF(s&gt;0,$E$15:$Y$15&amp;": "&amp;ROUND(s,2),""))&amp;"}")))</f>
        <v>{Coins: 10, Red: 1}</v>
      </c>
      <c r="AK8" s="237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8</v>
      </c>
      <c r="AL8" s="238" t="str">
        <f t="array" ref="AL8">IF($AH8="","",IF(AK8=0,"{}",LET(m,AK8,s,MMULT(SEQUENCE(1,m,1,0),N($E$16:$Y$45)),"{"&amp;TEXTJOIN(", ",TRUE,IF(s&gt;0,$E$15:$Y$15&amp;": "&amp;ROUND(s,2),""))&amp;"}")))</f>
        <v>{Coins: 10, SPT: 40, SPT x2: 10, Red: 1, Chuck: 2, Unlimited Lives: 25}</v>
      </c>
      <c r="AM8" s="237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11</v>
      </c>
      <c r="AN8" s="238" t="str">
        <f t="array" ref="AN8">IF($AH8="","",IF(AM8=0,"{}",LET(m,AM8,s,MMULT(SEQUENCE(1,m,1,0),N($E$16:$Y$45)),"{"&amp;TEXTJOIN(", ",TRUE,IF(s&gt;0,$E$15:$Y$15&amp;": "&amp;ROUND(s,2),""))&amp;"}")))</f>
        <v>{Coins: 30, SPT: 90, SPT x2: 10, Red: 1, Chuck: 2, Shuffle: 1, Unlimited Lives: 25}</v>
      </c>
      <c r="AO8" s="237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17</v>
      </c>
      <c r="AP8" s="238" t="str">
        <f t="array" ref="AP8">IF($AH8="","",IF(AO8=0,"{}",LET(m,AO8,s,MMULT(SEQUENCE(1,m,1,0),N($E$16:$Y$45)),"{"&amp;TEXTJOIN(", ",TRUE,IF(s&gt;0,$E$15:$Y$15&amp;": "&amp;ROUND(s,2),""))&amp;"}")))</f>
        <v>{Coins: 80, SPT: 290, SPT x2: 10, Red: 1, Chuck: 2, Bomb: 2, Shuffle: 1, Comet: 1, Unlimited Lives: 55, Unlimited Red: 10}</v>
      </c>
      <c r="AQ8" s="237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23</v>
      </c>
      <c r="AR8" s="238" t="str">
        <f t="array" ref="AR8">IF($AH8="","",IF(AQ8=0,"{}",LET(m,AQ8,s,MMULT(SEQUENCE(1,m,1,0),N($E$16:$Y$45)),"{"&amp;TEXTJOIN(", ",TRUE,IF(s&gt;0,$E$15:$Y$15&amp;": "&amp;ROUND(s,2),""))&amp;"}")))</f>
        <v>{Coins: 230, SPT: 490, SPT x2: 30, Red: 3, Chuck: 4, Bomb: 2, Shuffle: 2, Comet: 1, Unlimited Lives: 55, Unlimited Red: 10, Unlimited Chuck: 10}</v>
      </c>
    </row>
    <row r="9">
      <c r="A9" s="353"/>
      <c r="B9" s="355"/>
      <c r="C9" s="328"/>
      <c r="D9" s="328"/>
      <c r="E9" s="328"/>
      <c r="F9" s="328"/>
      <c r="G9" s="328"/>
      <c r="H9" s="328"/>
      <c r="I9" s="328"/>
      <c r="J9" s="328"/>
      <c r="K9" s="328"/>
      <c r="L9" s="328"/>
      <c r="M9" s="328"/>
      <c r="N9" s="328"/>
      <c r="O9" s="328"/>
      <c r="P9" s="328"/>
      <c r="Q9" s="328"/>
      <c r="R9" s="328"/>
      <c r="S9" s="328"/>
      <c r="T9" s="328"/>
      <c r="U9" s="328"/>
      <c r="V9" s="328"/>
      <c r="AH9" s="227">
        <f>IF(4&lt;=$B$3,4,"")</f>
        <v>4</v>
      </c>
      <c r="AI9" s="237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2</v>
      </c>
      <c r="AJ9" s="238" t="str">
        <f t="array" ref="AJ9">IF($AH9="","",IF(AI9=0,"{}",LET(m,AI9,s,MMULT(SEQUENCE(1,m,1,0),N($E$16:$Y$45)),"{"&amp;TEXTJOIN(", ",TRUE,IF(s&gt;0,$E$15:$Y$15&amp;": "&amp;ROUND(s,2),""))&amp;"}")))</f>
        <v>{Coins: 10, Red: 1}</v>
      </c>
      <c r="AK9" s="237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8</v>
      </c>
      <c r="AL9" s="238" t="str">
        <f t="array" ref="AL9">IF($AH9="","",IF(AK9=0,"{}",LET(m,AK9,s,MMULT(SEQUENCE(1,m,1,0),N($E$16:$Y$45)),"{"&amp;TEXTJOIN(", ",TRUE,IF(s&gt;0,$E$15:$Y$15&amp;": "&amp;ROUND(s,2),""))&amp;"}")))</f>
        <v>{Coins: 10, SPT: 40, SPT x2: 10, Red: 1, Chuck: 2, Unlimited Lives: 25}</v>
      </c>
      <c r="AM9" s="237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13</v>
      </c>
      <c r="AN9" s="238" t="str">
        <f t="array" ref="AN9">IF($AH9="","",IF(AM9=0,"{}",LET(m,AM9,s,MMULT(SEQUENCE(1,m,1,0),N($E$16:$Y$45)),"{"&amp;TEXTJOIN(", ",TRUE,IF(s&gt;0,$E$15:$Y$15&amp;": "&amp;ROUND(s,2),""))&amp;"}")))</f>
        <v>{Coins: 30, SPT: 90, SPT x2: 10, Red: 1, Chuck: 2, Bomb: 1, Shuffle: 1, Comet: 1, Unlimited Lives: 55}</v>
      </c>
      <c r="AO9" s="237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19</v>
      </c>
      <c r="AP9" s="238" t="str">
        <f t="array" ref="AP9">IF($AH9="","",IF(AO9=0,"{}",LET(m,AO9,s,MMULT(SEQUENCE(1,m,1,0),N($E$16:$Y$45)),"{"&amp;TEXTJOIN(", ",TRUE,IF(s&gt;0,$E$15:$Y$15&amp;": "&amp;ROUND(s,2),""))&amp;"}")))</f>
        <v>{Coins: 80, SPT: 290, SPT x2: 30, Red: 3, Chuck: 2, Bomb: 2, Shuffle: 1, Comet: 1, Unlimited Lives: 55, Unlimited Red: 10}</v>
      </c>
      <c r="AQ9" s="237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25</v>
      </c>
      <c r="AR9" s="238" t="str">
        <f t="array" ref="AR9">IF($AH9="","",IF(AQ9=0,"{}",LET(m,AQ9,s,MMULT(SEQUENCE(1,m,1,0),N($E$16:$Y$45)),"{"&amp;TEXTJOIN(", ",TRUE,IF(s&gt;0,$E$15:$Y$15&amp;": "&amp;ROUND(s,2),""))&amp;"}")))</f>
        <v>{Coins: 580, SPT: 840, SPT x2: 30, Red: 3, Chuck: 4, Bomb: 2, Shuffle: 3, Comet: 2, Unlimited Lives: 115, Unlimited Red: 10, Unlimited Chuck: 10}</v>
      </c>
    </row>
    <row r="10">
      <c r="A10" s="353"/>
      <c r="B10" s="355"/>
      <c r="C10" s="328"/>
      <c r="D10" s="328"/>
      <c r="E10" s="328"/>
      <c r="F10" s="328"/>
      <c r="G10" s="328"/>
      <c r="H10" s="328"/>
      <c r="I10" s="328"/>
      <c r="J10" s="328"/>
      <c r="K10" s="328"/>
      <c r="L10" s="328"/>
      <c r="M10" s="328"/>
      <c r="N10" s="328"/>
      <c r="O10" s="328"/>
      <c r="P10" s="328"/>
      <c r="Q10" s="328"/>
      <c r="R10" s="328"/>
      <c r="S10" s="328"/>
      <c r="T10" s="328"/>
      <c r="U10" s="328"/>
      <c r="V10" s="328"/>
      <c r="AH10" s="227" t="str">
        <f>IF(5&lt;=$B$3,5,"")</f>
        <v/>
      </c>
      <c r="AI10" s="237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38" t="str">
        <f t="array" ref="AJ10">IF($AH10="","",IF(AI10=0,"{}",LET(m,AI10,s,MMULT(SEQUENCE(1,m,1,0),$E$16:$Y$45),"{"&amp;TEXTJOIN(", ",TRUE,IF(s&gt;0,$E$15:$Y$15&amp;": "&amp;ROUND(s,2),""))&amp;"}")))</f>
        <v/>
      </c>
      <c r="AK10" s="237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38" t="str">
        <f t="array" ref="AL10">IF($AH10="","",IF(AK10=0,"{}",LET(m,AK10,s,MMULT(SEQUENCE(1,m,1,0),$E$16:$Y$45),"{"&amp;TEXTJOIN(", ",TRUE,IF(s&gt;0,$E$15:$Y$15&amp;": "&amp;ROUND(s,2),""))&amp;"}")))</f>
        <v/>
      </c>
      <c r="AM10" s="237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38" t="str">
        <f t="array" ref="AN10">IF($AH10="","",IF(AM10=0,"{}",LET(m,AM10,s,MMULT(SEQUENCE(1,m,1,0),$E$16:$Y$45),"{"&amp;TEXTJOIN(", ",TRUE,IF(s&gt;0,$E$15:$Y$15&amp;": "&amp;ROUND(s,2),""))&amp;"}")))</f>
        <v/>
      </c>
      <c r="AO10" s="237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38" t="str">
        <f t="array" ref="AP10">IF($AH10="","",IF(AO10=0,"{}",LET(m,AO10,s,MMULT(SEQUENCE(1,m,1,0),$E$16:$Y$45),"{"&amp;TEXTJOIN(", ",TRUE,IF(s&gt;0,$E$15:$Y$15&amp;": "&amp;ROUND(s,2),""))&amp;"}")))</f>
        <v/>
      </c>
      <c r="AQ10" s="237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38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53"/>
      <c r="B11" s="355"/>
      <c r="C11" s="328"/>
      <c r="D11" s="328"/>
      <c r="E11" s="328"/>
      <c r="F11" s="328"/>
      <c r="G11" s="328"/>
      <c r="H11" s="328"/>
      <c r="I11" s="328"/>
      <c r="J11" s="328"/>
      <c r="K11" s="328"/>
      <c r="L11" s="328"/>
      <c r="M11" s="328"/>
      <c r="N11" s="328"/>
      <c r="O11" s="328"/>
      <c r="P11" s="328"/>
      <c r="Q11" s="328"/>
      <c r="R11" s="328"/>
      <c r="S11" s="328"/>
      <c r="T11" s="328"/>
      <c r="U11" s="328"/>
      <c r="V11" s="328"/>
      <c r="AH11" s="227" t="str">
        <f>IF(6&lt;=$B$3,6,"")</f>
        <v/>
      </c>
      <c r="AI11" s="237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38" t="str">
        <f t="array" ref="AJ11">IF($AH11="","",IF(AI11=0,"{}",LET(m,AI11,s,MMULT(SEQUENCE(1,m,1,0),$E$16:$Y$45),"{"&amp;TEXTJOIN(", ",TRUE,IF(s&gt;0,$E$15:$Y$15&amp;": "&amp;ROUND(s,2),""))&amp;"}")))</f>
        <v/>
      </c>
      <c r="AK11" s="237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38" t="str">
        <f t="array" ref="AL11">IF($AH11="","",IF(AK11=0,"{}",LET(m,AK11,s,MMULT(SEQUENCE(1,m,1,0),$E$16:$Y$45),"{"&amp;TEXTJOIN(", ",TRUE,IF(s&gt;0,$E$15:$Y$15&amp;": "&amp;ROUND(s,2),""))&amp;"}")))</f>
        <v/>
      </c>
      <c r="AM11" s="237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38" t="str">
        <f t="array" ref="AN11">IF($AH11="","",IF(AM11=0,"{}",LET(m,AM11,s,MMULT(SEQUENCE(1,m,1,0),$E$16:$Y$45),"{"&amp;TEXTJOIN(", ",TRUE,IF(s&gt;0,$E$15:$Y$15&amp;": "&amp;ROUND(s,2),""))&amp;"}")))</f>
        <v/>
      </c>
      <c r="AO11" s="237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38" t="str">
        <f t="array" ref="AP11">IF($AH11="","",IF(AO11=0,"{}",LET(m,AO11,s,MMULT(SEQUENCE(1,m,1,0),$E$16:$Y$45),"{"&amp;TEXTJOIN(", ",TRUE,IF(s&gt;0,$E$15:$Y$15&amp;": "&amp;ROUND(s,2),""))&amp;"}")))</f>
        <v/>
      </c>
      <c r="AQ11" s="237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38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53"/>
      <c r="B12" s="355"/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328"/>
      <c r="O12" s="328"/>
      <c r="P12" s="328"/>
      <c r="Q12" s="328"/>
      <c r="R12" s="328"/>
      <c r="S12" s="328"/>
      <c r="T12" s="328"/>
      <c r="U12" s="328"/>
      <c r="V12" s="328"/>
      <c r="AH12" s="227" t="str">
        <f>IF(7&lt;=$B$3,7,"")</f>
        <v/>
      </c>
      <c r="AI12" s="237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38" t="str">
        <f t="array" ref="AJ12">IF($AH12="","",IF(AI12=0,"{}",LET(m,AI12,s,MMULT(SEQUENCE(1,m,1,0),$E$16:$Y$45),"{"&amp;TEXTJOIN(", ",TRUE,IF(s&gt;0,$E$15:$Y$15&amp;": "&amp;ROUND(s,2),""))&amp;"}")))</f>
        <v/>
      </c>
      <c r="AK12" s="237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38" t="str">
        <f t="array" ref="AL12">IF($AH12="","",IF(AK12=0,"{}",LET(m,AK12,s,MMULT(SEQUENCE(1,m,1,0),$E$16:$Y$45),"{"&amp;TEXTJOIN(", ",TRUE,IF(s&gt;0,$E$15:$Y$15&amp;": "&amp;ROUND(s,2),""))&amp;"}")))</f>
        <v/>
      </c>
      <c r="AM12" s="237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38" t="str">
        <f t="array" ref="AN12">IF($AH12="","",IF(AM12=0,"{}",LET(m,AM12,s,MMULT(SEQUENCE(1,m,1,0),$E$16:$Y$45),"{"&amp;TEXTJOIN(", ",TRUE,IF(s&gt;0,$E$15:$Y$15&amp;": "&amp;ROUND(s,2),""))&amp;"}")))</f>
        <v/>
      </c>
      <c r="AO12" s="237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38" t="str">
        <f t="array" ref="AP12">IF($AH12="","",IF(AO12=0,"{}",LET(m,AO12,s,MMULT(SEQUENCE(1,m,1,0),$E$16:$Y$45),"{"&amp;TEXTJOIN(", ",TRUE,IF(s&gt;0,$E$15:$Y$15&amp;": "&amp;ROUND(s,2),""))&amp;"}")))</f>
        <v/>
      </c>
      <c r="AQ12" s="237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38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28"/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328"/>
      <c r="O13" s="328"/>
      <c r="P13" s="328"/>
      <c r="Q13" s="328"/>
      <c r="R13" s="328"/>
      <c r="S13" s="328"/>
      <c r="T13" s="328"/>
      <c r="U13" s="328"/>
      <c r="V13" s="328"/>
    </row>
    <row r="14" ht="19.5" customHeight="1">
      <c r="A14" s="392" t="s">
        <v>367</v>
      </c>
      <c r="B14" s="352"/>
      <c r="C14" s="352"/>
      <c r="D14" s="352"/>
      <c r="E14" s="352"/>
      <c r="F14" s="352"/>
      <c r="G14" s="352"/>
      <c r="H14" s="352"/>
      <c r="I14" s="352"/>
      <c r="J14" s="352"/>
      <c r="K14" s="352"/>
      <c r="L14" s="352"/>
      <c r="M14" s="352"/>
      <c r="N14" s="352"/>
      <c r="O14" s="352"/>
      <c r="P14" s="352"/>
      <c r="Q14" s="352"/>
      <c r="R14" s="352"/>
      <c r="S14" s="352"/>
      <c r="T14" s="352"/>
      <c r="U14" s="352"/>
      <c r="V14" s="352"/>
      <c r="W14" s="352"/>
      <c r="X14" s="352"/>
      <c r="Y14" s="352"/>
    </row>
    <row r="15" ht="90.75" customHeight="1">
      <c r="A15" s="356" t="s">
        <v>174</v>
      </c>
      <c r="B15" s="163" t="s">
        <v>368</v>
      </c>
      <c r="C15" s="163" t="s">
        <v>369</v>
      </c>
      <c r="D15" s="163" t="s">
        <v>370</v>
      </c>
      <c r="E15" s="357" t="s">
        <v>76</v>
      </c>
      <c r="F15" s="246" t="s">
        <v>46</v>
      </c>
      <c r="G15" s="246" t="s">
        <v>121</v>
      </c>
      <c r="H15" s="246" t="s">
        <v>47</v>
      </c>
      <c r="I15" s="246" t="s">
        <v>48</v>
      </c>
      <c r="J15" s="246" t="s">
        <v>50</v>
      </c>
      <c r="K15" s="246" t="s">
        <v>52</v>
      </c>
      <c r="L15" s="246" t="s">
        <v>53</v>
      </c>
      <c r="M15" s="246" t="s">
        <v>54</v>
      </c>
      <c r="N15" s="246" t="s">
        <v>55</v>
      </c>
      <c r="O15" s="246" t="s">
        <v>56</v>
      </c>
      <c r="P15" s="246" t="s">
        <v>57</v>
      </c>
      <c r="Q15" s="246" t="s">
        <v>58</v>
      </c>
      <c r="R15" s="246" t="s">
        <v>135</v>
      </c>
      <c r="S15" s="246" t="s">
        <v>122</v>
      </c>
      <c r="T15" s="246" t="s">
        <v>123</v>
      </c>
      <c r="U15" s="246" t="s">
        <v>124</v>
      </c>
      <c r="V15" s="246" t="s">
        <v>125</v>
      </c>
      <c r="W15" s="246" t="s">
        <v>126</v>
      </c>
      <c r="X15" s="246" t="s">
        <v>127</v>
      </c>
      <c r="Y15" s="246" t="s">
        <v>128</v>
      </c>
      <c r="AA15" s="398" t="s">
        <v>371</v>
      </c>
      <c r="AJ15" s="394"/>
    </row>
    <row r="16" ht="15.75" customHeight="1">
      <c r="A16" s="347">
        <v>1.0</v>
      </c>
      <c r="B16" s="347">
        <v>160.0</v>
      </c>
      <c r="C16" s="347">
        <v>160.0</v>
      </c>
      <c r="D16" s="395" t="b">
        <f>IFERROR(__xludf.DUMMYFUNCTION("if(countif($E16:$Y16, ""&lt;&gt;0"")&lt;1, ""NO REWARD!"", if(counta(filter($E16:$Y16, $E16:$Y16&lt;&gt;0))&gt;1, TRUE, FALSE))"),FALSE)</f>
        <v>0</v>
      </c>
      <c r="E16" s="399">
        <v>0.0</v>
      </c>
      <c r="F16" s="400">
        <v>0.0</v>
      </c>
      <c r="G16" s="400">
        <v>0.0</v>
      </c>
      <c r="H16" s="401">
        <v>1.0</v>
      </c>
      <c r="I16" s="400">
        <v>0.0</v>
      </c>
      <c r="J16" s="400">
        <v>0.0</v>
      </c>
      <c r="K16" s="400">
        <v>0.0</v>
      </c>
      <c r="L16" s="400">
        <v>0.0</v>
      </c>
      <c r="M16" s="400">
        <v>0.0</v>
      </c>
      <c r="N16" s="400">
        <v>0.0</v>
      </c>
      <c r="O16" s="400">
        <v>0.0</v>
      </c>
      <c r="P16" s="400">
        <v>0.0</v>
      </c>
      <c r="Q16" s="400">
        <v>0.0</v>
      </c>
      <c r="R16" s="400">
        <v>0.0</v>
      </c>
      <c r="S16" s="400">
        <v>0.0</v>
      </c>
      <c r="T16" s="400">
        <v>0.0</v>
      </c>
      <c r="U16" s="400">
        <v>0.0</v>
      </c>
      <c r="V16" s="400">
        <v>0.0</v>
      </c>
      <c r="W16" s="400">
        <v>0.0</v>
      </c>
      <c r="X16" s="400">
        <v>0.0</v>
      </c>
      <c r="Y16" s="400">
        <v>0.0</v>
      </c>
      <c r="AA16" s="249">
        <f t="shared" ref="AA16:AA45" si="1">C16/500</f>
        <v>0.32</v>
      </c>
    </row>
    <row r="17" ht="15.75" customHeight="1">
      <c r="A17" s="347">
        <v>2.0</v>
      </c>
      <c r="B17" s="347">
        <v>300.0</v>
      </c>
      <c r="C17" s="347">
        <v>460.0</v>
      </c>
      <c r="D17" s="396" t="b">
        <f>IFERROR(__xludf.DUMMYFUNCTION("if(countif($E17:$Y17, ""&lt;&gt;0"")&lt;1, ""NO REWARD!"", if(counta(filter($E17:$Y17, $E17:$Y17&lt;&gt;0))&gt;1, TRUE, FALSE))"),FALSE)</f>
        <v>0</v>
      </c>
      <c r="E17" s="402">
        <v>10.0</v>
      </c>
      <c r="F17" s="400">
        <v>0.0</v>
      </c>
      <c r="G17" s="400">
        <v>0.0</v>
      </c>
      <c r="H17" s="400">
        <v>0.0</v>
      </c>
      <c r="I17" s="400">
        <v>0.0</v>
      </c>
      <c r="J17" s="400">
        <v>0.0</v>
      </c>
      <c r="K17" s="400">
        <v>0.0</v>
      </c>
      <c r="L17" s="400">
        <v>0.0</v>
      </c>
      <c r="M17" s="400">
        <v>0.0</v>
      </c>
      <c r="N17" s="400">
        <v>0.0</v>
      </c>
      <c r="O17" s="400">
        <v>0.0</v>
      </c>
      <c r="P17" s="400">
        <v>0.0</v>
      </c>
      <c r="Q17" s="400">
        <v>0.0</v>
      </c>
      <c r="R17" s="400">
        <v>0.0</v>
      </c>
      <c r="S17" s="400">
        <v>0.0</v>
      </c>
      <c r="T17" s="400">
        <v>0.0</v>
      </c>
      <c r="U17" s="400">
        <v>0.0</v>
      </c>
      <c r="V17" s="400">
        <v>0.0</v>
      </c>
      <c r="W17" s="400">
        <v>0.0</v>
      </c>
      <c r="X17" s="400">
        <v>0.0</v>
      </c>
      <c r="Y17" s="400">
        <v>0.0</v>
      </c>
      <c r="AA17" s="249">
        <f t="shared" si="1"/>
        <v>0.92</v>
      </c>
    </row>
    <row r="18" ht="15.75" customHeight="1">
      <c r="A18" s="347">
        <v>3.0</v>
      </c>
      <c r="B18" s="347">
        <v>1000.0</v>
      </c>
      <c r="C18" s="347">
        <v>1460.0</v>
      </c>
      <c r="D18" s="397" t="b">
        <f>IFERROR(__xludf.DUMMYFUNCTION("if(countif($E18:$Y18, ""&lt;&gt;0"")&lt;1, ""NO REWARD!"", if(counta(filter($E18:$Y18, $E18:$Y18&lt;&gt;0))&gt;1, TRUE, FALSE))"),FALSE)</f>
        <v>0</v>
      </c>
      <c r="E18" s="399">
        <v>0.0</v>
      </c>
      <c r="F18" s="400">
        <v>0.0</v>
      </c>
      <c r="G18" s="400">
        <v>0.0</v>
      </c>
      <c r="H18" s="400">
        <v>0.0</v>
      </c>
      <c r="I18" s="400">
        <v>0.0</v>
      </c>
      <c r="J18" s="400">
        <v>0.0</v>
      </c>
      <c r="K18" s="400">
        <v>0.0</v>
      </c>
      <c r="L18" s="400">
        <v>0.0</v>
      </c>
      <c r="M18" s="400">
        <v>0.0</v>
      </c>
      <c r="N18" s="401">
        <v>10.0</v>
      </c>
      <c r="O18" s="400">
        <v>0.0</v>
      </c>
      <c r="P18" s="400">
        <v>0.0</v>
      </c>
      <c r="Q18" s="400">
        <v>0.0</v>
      </c>
      <c r="R18" s="400">
        <v>0.0</v>
      </c>
      <c r="S18" s="400">
        <v>0.0</v>
      </c>
      <c r="T18" s="400">
        <v>0.0</v>
      </c>
      <c r="U18" s="400">
        <v>0.0</v>
      </c>
      <c r="V18" s="400">
        <v>0.0</v>
      </c>
      <c r="W18" s="400">
        <v>0.0</v>
      </c>
      <c r="X18" s="400">
        <v>0.0</v>
      </c>
      <c r="Y18" s="400">
        <v>0.0</v>
      </c>
      <c r="AA18" s="249">
        <f t="shared" si="1"/>
        <v>2.92</v>
      </c>
    </row>
    <row r="19" ht="15.75" customHeight="1">
      <c r="A19" s="347">
        <v>4.0</v>
      </c>
      <c r="B19" s="347">
        <v>250.0</v>
      </c>
      <c r="C19" s="347">
        <v>1710.0</v>
      </c>
      <c r="D19" s="396" t="b">
        <f>IFERROR(__xludf.DUMMYFUNCTION("if(countif($E19:$Y19, ""&lt;&gt;0"")&lt;1, ""NO REWARD!"", if(counta(filter($E19:$Y19, $E19:$Y19&lt;&gt;0))&gt;1, TRUE, FALSE))"),FALSE)</f>
        <v>0</v>
      </c>
      <c r="E19" s="399">
        <v>0.0</v>
      </c>
      <c r="F19" s="401">
        <v>10.0</v>
      </c>
      <c r="G19" s="400">
        <v>0.0</v>
      </c>
      <c r="H19" s="400">
        <v>0.0</v>
      </c>
      <c r="I19" s="400">
        <v>0.0</v>
      </c>
      <c r="J19" s="400">
        <v>0.0</v>
      </c>
      <c r="K19" s="400">
        <v>0.0</v>
      </c>
      <c r="L19" s="400">
        <v>0.0</v>
      </c>
      <c r="M19" s="400">
        <v>0.0</v>
      </c>
      <c r="N19" s="400">
        <v>0.0</v>
      </c>
      <c r="O19" s="400">
        <v>0.0</v>
      </c>
      <c r="P19" s="400">
        <v>0.0</v>
      </c>
      <c r="Q19" s="400">
        <v>0.0</v>
      </c>
      <c r="R19" s="400">
        <v>0.0</v>
      </c>
      <c r="S19" s="400">
        <v>0.0</v>
      </c>
      <c r="T19" s="400">
        <v>0.0</v>
      </c>
      <c r="U19" s="400">
        <v>0.0</v>
      </c>
      <c r="V19" s="400">
        <v>0.0</v>
      </c>
      <c r="W19" s="400">
        <v>0.0</v>
      </c>
      <c r="X19" s="400">
        <v>0.0</v>
      </c>
      <c r="Y19" s="400">
        <v>0.0</v>
      </c>
      <c r="AA19" s="249">
        <f t="shared" si="1"/>
        <v>3.42</v>
      </c>
    </row>
    <row r="20" ht="15.75" customHeight="1">
      <c r="A20" s="347">
        <v>5.0</v>
      </c>
      <c r="B20" s="347">
        <v>500.0</v>
      </c>
      <c r="C20" s="347">
        <v>2210.0</v>
      </c>
      <c r="D20" s="397" t="b">
        <f>IFERROR(__xludf.DUMMYFUNCTION("if(countif($E20:$Y20, ""&lt;&gt;0"")&lt;1, ""NO REWARD!"", if(counta(filter($E20:$Y20, $E20:$Y20&lt;&gt;0))&gt;1, TRUE, FALSE))"),FALSE)</f>
        <v>0</v>
      </c>
      <c r="E20" s="399">
        <v>0.0</v>
      </c>
      <c r="F20" s="400">
        <v>0.0</v>
      </c>
      <c r="G20" s="400">
        <v>0.0</v>
      </c>
      <c r="H20" s="400">
        <v>0.0</v>
      </c>
      <c r="I20" s="401">
        <v>1.0</v>
      </c>
      <c r="J20" s="400">
        <v>0.0</v>
      </c>
      <c r="K20" s="400">
        <v>0.0</v>
      </c>
      <c r="L20" s="400">
        <v>0.0</v>
      </c>
      <c r="M20" s="400">
        <v>0.0</v>
      </c>
      <c r="N20" s="400">
        <v>0.0</v>
      </c>
      <c r="O20" s="400">
        <v>0.0</v>
      </c>
      <c r="P20" s="400">
        <v>0.0</v>
      </c>
      <c r="Q20" s="400">
        <v>0.0</v>
      </c>
      <c r="R20" s="400">
        <v>0.0</v>
      </c>
      <c r="S20" s="400">
        <v>0.0</v>
      </c>
      <c r="T20" s="400">
        <v>0.0</v>
      </c>
      <c r="U20" s="400">
        <v>0.0</v>
      </c>
      <c r="V20" s="400">
        <v>0.0</v>
      </c>
      <c r="W20" s="400">
        <v>0.0</v>
      </c>
      <c r="X20" s="400">
        <v>0.0</v>
      </c>
      <c r="Y20" s="400">
        <v>0.0</v>
      </c>
      <c r="AA20" s="249">
        <f t="shared" si="1"/>
        <v>4.42</v>
      </c>
    </row>
    <row r="21" ht="15.75" customHeight="1">
      <c r="A21" s="347">
        <v>6.0</v>
      </c>
      <c r="B21" s="347">
        <v>1600.0</v>
      </c>
      <c r="C21" s="347">
        <v>3810.0</v>
      </c>
      <c r="D21" s="396" t="b">
        <f>IFERROR(__xludf.DUMMYFUNCTION("if(countif($E21:$Y21, ""&lt;&gt;0"")&lt;1, ""NO REWARD!"", if(counta(filter($E21:$Y21, $E21:$Y21&lt;&gt;0))&gt;1, TRUE, FALSE))"),TRUE)</f>
        <v>1</v>
      </c>
      <c r="E21" s="399">
        <v>0.0</v>
      </c>
      <c r="F21" s="400">
        <v>0.0</v>
      </c>
      <c r="G21" s="401">
        <v>10.0</v>
      </c>
      <c r="H21" s="400">
        <v>0.0</v>
      </c>
      <c r="I21" s="400">
        <v>0.0</v>
      </c>
      <c r="J21" s="400">
        <v>0.0</v>
      </c>
      <c r="K21" s="401">
        <v>0.0</v>
      </c>
      <c r="L21" s="400">
        <v>0.0</v>
      </c>
      <c r="M21" s="400">
        <v>0.0</v>
      </c>
      <c r="N21" s="400">
        <v>15.0</v>
      </c>
      <c r="O21" s="400">
        <v>0.0</v>
      </c>
      <c r="P21" s="400">
        <v>0.0</v>
      </c>
      <c r="Q21" s="400">
        <v>0.0</v>
      </c>
      <c r="R21" s="400">
        <v>0.0</v>
      </c>
      <c r="S21" s="400">
        <v>0.0</v>
      </c>
      <c r="T21" s="400">
        <v>0.0</v>
      </c>
      <c r="U21" s="400">
        <v>0.0</v>
      </c>
      <c r="V21" s="400">
        <v>0.0</v>
      </c>
      <c r="W21" s="400">
        <v>0.0</v>
      </c>
      <c r="X21" s="400">
        <v>0.0</v>
      </c>
      <c r="Y21" s="400">
        <v>0.0</v>
      </c>
      <c r="AA21" s="249">
        <f t="shared" si="1"/>
        <v>7.62</v>
      </c>
    </row>
    <row r="22" ht="15.75" customHeight="1">
      <c r="A22" s="347">
        <v>7.0</v>
      </c>
      <c r="B22" s="347">
        <v>500.0</v>
      </c>
      <c r="C22" s="347">
        <v>4310.0</v>
      </c>
      <c r="D22" s="397" t="b">
        <f>IFERROR(__xludf.DUMMYFUNCTION("if(countif($E22:$Y22, ""&lt;&gt;0"")&lt;1, ""NO REWARD!"", if(counta(filter($E22:$Y22, $E22:$Y22&lt;&gt;0))&gt;1, TRUE, FALSE))"),FALSE)</f>
        <v>0</v>
      </c>
      <c r="E22" s="399">
        <v>0.0</v>
      </c>
      <c r="F22" s="401">
        <v>30.0</v>
      </c>
      <c r="G22" s="400">
        <v>0.0</v>
      </c>
      <c r="H22" s="400">
        <v>0.0</v>
      </c>
      <c r="I22" s="400">
        <v>0.0</v>
      </c>
      <c r="J22" s="400">
        <v>0.0</v>
      </c>
      <c r="K22" s="400">
        <v>0.0</v>
      </c>
      <c r="L22" s="400">
        <v>0.0</v>
      </c>
      <c r="M22" s="400">
        <v>0.0</v>
      </c>
      <c r="N22" s="400">
        <v>0.0</v>
      </c>
      <c r="O22" s="400">
        <v>0.0</v>
      </c>
      <c r="P22" s="400">
        <v>0.0</v>
      </c>
      <c r="Q22" s="400">
        <v>0.0</v>
      </c>
      <c r="R22" s="400">
        <v>0.0</v>
      </c>
      <c r="S22" s="400">
        <v>0.0</v>
      </c>
      <c r="T22" s="400">
        <v>0.0</v>
      </c>
      <c r="U22" s="400">
        <v>0.0</v>
      </c>
      <c r="V22" s="400">
        <v>0.0</v>
      </c>
      <c r="W22" s="400">
        <v>0.0</v>
      </c>
      <c r="X22" s="400">
        <v>0.0</v>
      </c>
      <c r="Y22" s="400">
        <v>0.0</v>
      </c>
      <c r="AA22" s="249">
        <f t="shared" si="1"/>
        <v>8.62</v>
      </c>
    </row>
    <row r="23" ht="15.75" customHeight="1">
      <c r="A23" s="347">
        <v>8.0</v>
      </c>
      <c r="B23" s="347">
        <v>1000.0</v>
      </c>
      <c r="C23" s="347">
        <v>5310.0</v>
      </c>
      <c r="D23" s="396" t="b">
        <f>IFERROR(__xludf.DUMMYFUNCTION("if(countif($E23:$Y23, ""&lt;&gt;0"")&lt;1, ""NO REWARD!"", if(counta(filter($E23:$Y23, $E23:$Y23&lt;&gt;0))&gt;1, TRUE, FALSE))"),FALSE)</f>
        <v>0</v>
      </c>
      <c r="E23" s="399">
        <v>0.0</v>
      </c>
      <c r="F23" s="400">
        <v>0.0</v>
      </c>
      <c r="G23" s="400">
        <v>0.0</v>
      </c>
      <c r="H23" s="400">
        <v>0.0</v>
      </c>
      <c r="I23" s="400">
        <v>1.0</v>
      </c>
      <c r="J23" s="400">
        <v>0.0</v>
      </c>
      <c r="K23" s="401">
        <v>0.0</v>
      </c>
      <c r="L23" s="400">
        <v>0.0</v>
      </c>
      <c r="M23" s="400">
        <v>0.0</v>
      </c>
      <c r="N23" s="400">
        <v>0.0</v>
      </c>
      <c r="O23" s="400">
        <v>0.0</v>
      </c>
      <c r="P23" s="400">
        <v>0.0</v>
      </c>
      <c r="Q23" s="400">
        <v>0.0</v>
      </c>
      <c r="R23" s="400">
        <v>0.0</v>
      </c>
      <c r="S23" s="400">
        <v>0.0</v>
      </c>
      <c r="T23" s="400">
        <v>0.0</v>
      </c>
      <c r="U23" s="400">
        <v>0.0</v>
      </c>
      <c r="V23" s="400">
        <v>0.0</v>
      </c>
      <c r="W23" s="400">
        <v>0.0</v>
      </c>
      <c r="X23" s="400">
        <v>0.0</v>
      </c>
      <c r="Y23" s="400">
        <v>0.0</v>
      </c>
      <c r="AA23" s="249">
        <f t="shared" si="1"/>
        <v>10.62</v>
      </c>
    </row>
    <row r="24" ht="15.75" customHeight="1">
      <c r="A24" s="347">
        <v>9.0</v>
      </c>
      <c r="B24" s="347">
        <v>3300.0</v>
      </c>
      <c r="C24" s="347">
        <v>8610.0</v>
      </c>
      <c r="D24" s="397" t="b">
        <f>IFERROR(__xludf.DUMMYFUNCTION("if(countif($E24:$Y24, ""&lt;&gt;0"")&lt;1, ""NO REWARD!"", if(counta(filter($E24:$Y24, $E24:$Y24&lt;&gt;0))&gt;1, TRUE, FALSE))"),FALSE)</f>
        <v>0</v>
      </c>
      <c r="E24" s="402">
        <v>20.0</v>
      </c>
      <c r="F24" s="400">
        <v>0.0</v>
      </c>
      <c r="G24" s="400">
        <v>0.0</v>
      </c>
      <c r="H24" s="400">
        <v>0.0</v>
      </c>
      <c r="I24" s="400">
        <v>0.0</v>
      </c>
      <c r="J24" s="400">
        <v>0.0</v>
      </c>
      <c r="K24" s="400">
        <v>0.0</v>
      </c>
      <c r="L24" s="400">
        <v>0.0</v>
      </c>
      <c r="M24" s="400">
        <v>0.0</v>
      </c>
      <c r="N24" s="400">
        <v>0.0</v>
      </c>
      <c r="O24" s="400">
        <v>0.0</v>
      </c>
      <c r="P24" s="400">
        <v>0.0</v>
      </c>
      <c r="Q24" s="400">
        <v>0.0</v>
      </c>
      <c r="R24" s="400">
        <v>0.0</v>
      </c>
      <c r="S24" s="400">
        <v>0.0</v>
      </c>
      <c r="T24" s="400">
        <v>0.0</v>
      </c>
      <c r="U24" s="400">
        <v>0.0</v>
      </c>
      <c r="V24" s="400">
        <v>0.0</v>
      </c>
      <c r="W24" s="400">
        <v>0.0</v>
      </c>
      <c r="X24" s="400">
        <v>0.0</v>
      </c>
      <c r="Y24" s="400">
        <v>0.0</v>
      </c>
      <c r="AA24" s="249">
        <f t="shared" si="1"/>
        <v>17.22</v>
      </c>
    </row>
    <row r="25" ht="15.75" customHeight="1">
      <c r="A25" s="347">
        <v>10.0</v>
      </c>
      <c r="B25" s="347">
        <v>1100.0</v>
      </c>
      <c r="C25" s="347">
        <v>9710.0</v>
      </c>
      <c r="D25" s="396" t="b">
        <f>IFERROR(__xludf.DUMMYFUNCTION("if(countif($E25:$Y25, ""&lt;&gt;0"")&lt;1, ""NO REWARD!"", if(counta(filter($E25:$Y25, $E25:$Y25&lt;&gt;0))&gt;1, TRUE, FALSE))"),FALSE)</f>
        <v>0</v>
      </c>
      <c r="E25" s="399">
        <v>0.0</v>
      </c>
      <c r="F25" s="401">
        <v>50.0</v>
      </c>
      <c r="G25" s="400">
        <v>0.0</v>
      </c>
      <c r="H25" s="400">
        <v>0.0</v>
      </c>
      <c r="I25" s="400">
        <v>0.0</v>
      </c>
      <c r="J25" s="400">
        <v>0.0</v>
      </c>
      <c r="K25" s="400">
        <v>0.0</v>
      </c>
      <c r="L25" s="400">
        <v>0.0</v>
      </c>
      <c r="M25" s="400">
        <v>0.0</v>
      </c>
      <c r="N25" s="400">
        <v>0.0</v>
      </c>
      <c r="O25" s="400">
        <v>0.0</v>
      </c>
      <c r="P25" s="400">
        <v>0.0</v>
      </c>
      <c r="Q25" s="400">
        <v>0.0</v>
      </c>
      <c r="R25" s="400">
        <v>0.0</v>
      </c>
      <c r="S25" s="400">
        <v>0.0</v>
      </c>
      <c r="T25" s="400">
        <v>0.0</v>
      </c>
      <c r="U25" s="400">
        <v>0.0</v>
      </c>
      <c r="V25" s="400">
        <v>0.0</v>
      </c>
      <c r="W25" s="400">
        <v>0.0</v>
      </c>
      <c r="X25" s="400">
        <v>0.0</v>
      </c>
      <c r="Y25" s="400">
        <v>0.0</v>
      </c>
      <c r="AA25" s="249">
        <f t="shared" si="1"/>
        <v>19.42</v>
      </c>
    </row>
    <row r="26" ht="15.75" customHeight="1">
      <c r="A26" s="347">
        <v>11.0</v>
      </c>
      <c r="B26" s="347">
        <v>2200.0</v>
      </c>
      <c r="C26" s="347">
        <v>11910.0</v>
      </c>
      <c r="D26" s="397" t="b">
        <f>IFERROR(__xludf.DUMMYFUNCTION("if(countif($E26:$Y26, ""&lt;&gt;0"")&lt;1, ""NO REWARD!"", if(counta(filter($E26:$Y26, $E26:$Y26&lt;&gt;0))&gt;1, TRUE, FALSE))"),FALSE)</f>
        <v>0</v>
      </c>
      <c r="E26" s="399">
        <v>0.0</v>
      </c>
      <c r="F26" s="400">
        <v>0.0</v>
      </c>
      <c r="G26" s="400">
        <v>0.0</v>
      </c>
      <c r="H26" s="400">
        <v>0.0</v>
      </c>
      <c r="I26" s="400">
        <v>0.0</v>
      </c>
      <c r="J26" s="400">
        <v>0.0</v>
      </c>
      <c r="K26" s="400">
        <v>0.0</v>
      </c>
      <c r="L26" s="401">
        <v>1.0</v>
      </c>
      <c r="M26" s="400">
        <v>0.0</v>
      </c>
      <c r="N26" s="400">
        <v>0.0</v>
      </c>
      <c r="O26" s="400">
        <v>0.0</v>
      </c>
      <c r="P26" s="400">
        <v>0.0</v>
      </c>
      <c r="Q26" s="400">
        <v>0.0</v>
      </c>
      <c r="R26" s="400">
        <v>0.0</v>
      </c>
      <c r="S26" s="400">
        <v>0.0</v>
      </c>
      <c r="T26" s="400">
        <v>0.0</v>
      </c>
      <c r="U26" s="400">
        <v>0.0</v>
      </c>
      <c r="V26" s="400">
        <v>0.0</v>
      </c>
      <c r="W26" s="400">
        <v>0.0</v>
      </c>
      <c r="X26" s="400">
        <v>0.0</v>
      </c>
      <c r="Y26" s="400">
        <v>0.0</v>
      </c>
      <c r="AA26" s="249">
        <f t="shared" si="1"/>
        <v>23.82</v>
      </c>
    </row>
    <row r="27" ht="15.75" customHeight="1">
      <c r="A27" s="347">
        <v>12.0</v>
      </c>
      <c r="B27" s="347">
        <v>6500.0</v>
      </c>
      <c r="C27" s="347">
        <v>18410.0</v>
      </c>
      <c r="D27" s="395" t="b">
        <f>IFERROR(__xludf.DUMMYFUNCTION("if(countif($E27:$Y27, ""&lt;&gt;0"")&lt;1, ""NO REWARD!"", if(counta(filter($E27:$Y27, $E27:$Y27&lt;&gt;0))&gt;1, TRUE, FALSE))"),TRUE)</f>
        <v>1</v>
      </c>
      <c r="E27" s="399">
        <v>0.0</v>
      </c>
      <c r="F27" s="400">
        <v>0.0</v>
      </c>
      <c r="G27" s="400">
        <v>0.0</v>
      </c>
      <c r="H27" s="400">
        <v>0.0</v>
      </c>
      <c r="I27" s="400">
        <v>0.0</v>
      </c>
      <c r="J27" s="400">
        <v>0.0</v>
      </c>
      <c r="K27" s="400">
        <v>0.0</v>
      </c>
      <c r="L27" s="400">
        <v>0.0</v>
      </c>
      <c r="M27" s="401">
        <v>1.0</v>
      </c>
      <c r="N27" s="401">
        <v>30.0</v>
      </c>
      <c r="O27" s="400">
        <v>0.0</v>
      </c>
      <c r="P27" s="400">
        <v>0.0</v>
      </c>
      <c r="Q27" s="400">
        <v>0.0</v>
      </c>
      <c r="R27" s="400">
        <v>0.0</v>
      </c>
      <c r="S27" s="400">
        <v>0.0</v>
      </c>
      <c r="T27" s="400">
        <v>0.0</v>
      </c>
      <c r="U27" s="400">
        <v>0.0</v>
      </c>
      <c r="V27" s="400">
        <v>0.0</v>
      </c>
      <c r="W27" s="400">
        <v>0.0</v>
      </c>
      <c r="X27" s="400">
        <v>0.0</v>
      </c>
      <c r="Y27" s="400">
        <v>0.0</v>
      </c>
      <c r="AA27" s="249">
        <f t="shared" si="1"/>
        <v>36.82</v>
      </c>
    </row>
    <row r="28" ht="15.75" customHeight="1">
      <c r="A28" s="347">
        <v>13.0</v>
      </c>
      <c r="B28" s="347">
        <v>2200.0</v>
      </c>
      <c r="C28" s="347">
        <v>20610.0</v>
      </c>
      <c r="D28" s="397" t="b">
        <f>IFERROR(__xludf.DUMMYFUNCTION("if(countif($E28:$Y28, ""&lt;&gt;0"")&lt;1, ""NO REWARD!"", if(counta(filter($E28:$Y28, $E28:$Y28&lt;&gt;0))&gt;1, TRUE, FALSE))"),FALSE)</f>
        <v>0</v>
      </c>
      <c r="E28" s="399">
        <v>0.0</v>
      </c>
      <c r="F28" s="400">
        <v>0.0</v>
      </c>
      <c r="G28" s="400">
        <v>0.0</v>
      </c>
      <c r="H28" s="400">
        <v>0.0</v>
      </c>
      <c r="I28" s="400">
        <v>0.0</v>
      </c>
      <c r="J28" s="400">
        <v>1.0</v>
      </c>
      <c r="K28" s="400">
        <v>0.0</v>
      </c>
      <c r="L28" s="400">
        <v>0.0</v>
      </c>
      <c r="M28" s="400">
        <v>0.0</v>
      </c>
      <c r="N28" s="400">
        <v>0.0</v>
      </c>
      <c r="O28" s="403">
        <v>0.0</v>
      </c>
      <c r="P28" s="400">
        <v>0.0</v>
      </c>
      <c r="Q28" s="400">
        <v>0.0</v>
      </c>
      <c r="R28" s="400">
        <v>0.0</v>
      </c>
      <c r="S28" s="400">
        <v>0.0</v>
      </c>
      <c r="T28" s="400">
        <v>0.0</v>
      </c>
      <c r="U28" s="400">
        <v>0.0</v>
      </c>
      <c r="V28" s="400">
        <v>0.0</v>
      </c>
      <c r="W28" s="400">
        <v>0.0</v>
      </c>
      <c r="X28" s="400">
        <v>0.0</v>
      </c>
      <c r="Y28" s="400">
        <v>0.0</v>
      </c>
      <c r="AA28" s="249">
        <f t="shared" si="1"/>
        <v>41.22</v>
      </c>
    </row>
    <row r="29" ht="15.75" customHeight="1">
      <c r="A29" s="347">
        <v>14.0</v>
      </c>
      <c r="B29" s="347">
        <v>4400.0</v>
      </c>
      <c r="C29" s="347">
        <v>25010.0</v>
      </c>
      <c r="D29" s="396" t="b">
        <f>IFERROR(__xludf.DUMMYFUNCTION("if(countif($E29:$Y29, ""&lt;&gt;0"")&lt;1, ""NO REWARD!"", if(counta(filter($E29:$Y29, $E29:$Y29&lt;&gt;0))&gt;1, TRUE, FALSE))"),FALSE)</f>
        <v>0</v>
      </c>
      <c r="E29" s="399">
        <v>0.0</v>
      </c>
      <c r="F29" s="401">
        <v>0.0</v>
      </c>
      <c r="G29" s="400">
        <v>0.0</v>
      </c>
      <c r="H29" s="400">
        <v>0.0</v>
      </c>
      <c r="I29" s="400">
        <v>0.0</v>
      </c>
      <c r="J29" s="400">
        <v>0.0</v>
      </c>
      <c r="K29" s="400">
        <v>0.0</v>
      </c>
      <c r="L29" s="400">
        <v>0.0</v>
      </c>
      <c r="M29" s="400">
        <v>0.0</v>
      </c>
      <c r="N29" s="400">
        <v>0.0</v>
      </c>
      <c r="O29" s="8">
        <v>10.0</v>
      </c>
      <c r="P29" s="400">
        <v>0.0</v>
      </c>
      <c r="Q29" s="400">
        <v>0.0</v>
      </c>
      <c r="R29" s="400">
        <v>0.0</v>
      </c>
      <c r="S29" s="400">
        <v>0.0</v>
      </c>
      <c r="T29" s="400">
        <v>0.0</v>
      </c>
      <c r="U29" s="400">
        <v>0.0</v>
      </c>
      <c r="V29" s="400">
        <v>0.0</v>
      </c>
      <c r="W29" s="400">
        <v>0.0</v>
      </c>
      <c r="X29" s="400">
        <v>0.0</v>
      </c>
      <c r="Y29" s="400">
        <v>0.0</v>
      </c>
      <c r="AA29" s="249">
        <f t="shared" si="1"/>
        <v>50.02</v>
      </c>
    </row>
    <row r="30" ht="15.75" customHeight="1">
      <c r="A30" s="347">
        <v>15.0</v>
      </c>
      <c r="B30" s="347">
        <v>13250.0</v>
      </c>
      <c r="C30" s="347">
        <v>38260.0</v>
      </c>
      <c r="D30" s="397" t="b">
        <f>IFERROR(__xludf.DUMMYFUNCTION("if(countif($E30:$Y30, ""&lt;&gt;0"")&lt;1, ""NO REWARD!"", if(counta(filter($E30:$Y30, $E30:$Y30&lt;&gt;0))&gt;1, TRUE, FALSE))"),FALSE)</f>
        <v>0</v>
      </c>
      <c r="E30" s="399">
        <v>0.0</v>
      </c>
      <c r="F30" s="400">
        <v>75.0</v>
      </c>
      <c r="G30" s="400">
        <v>0.0</v>
      </c>
      <c r="H30" s="400">
        <v>0.0</v>
      </c>
      <c r="I30" s="400">
        <v>0.0</v>
      </c>
      <c r="J30" s="401">
        <v>0.0</v>
      </c>
      <c r="K30" s="400">
        <v>0.0</v>
      </c>
      <c r="L30" s="400">
        <v>0.0</v>
      </c>
      <c r="M30" s="400">
        <v>0.0</v>
      </c>
      <c r="N30" s="400">
        <v>0.0</v>
      </c>
      <c r="O30" s="8">
        <v>0.0</v>
      </c>
      <c r="P30" s="400">
        <v>0.0</v>
      </c>
      <c r="Q30" s="400">
        <v>0.0</v>
      </c>
      <c r="R30" s="400">
        <v>0.0</v>
      </c>
      <c r="S30" s="400">
        <v>0.0</v>
      </c>
      <c r="T30" s="400">
        <v>0.0</v>
      </c>
      <c r="U30" s="400">
        <v>0.0</v>
      </c>
      <c r="V30" s="400">
        <v>0.0</v>
      </c>
      <c r="W30" s="400">
        <v>0.0</v>
      </c>
      <c r="X30" s="400">
        <v>0.0</v>
      </c>
      <c r="Y30" s="400">
        <v>0.0</v>
      </c>
      <c r="AA30" s="249">
        <f t="shared" si="1"/>
        <v>76.52</v>
      </c>
    </row>
    <row r="31" ht="15.75" customHeight="1">
      <c r="A31" s="347">
        <v>16.0</v>
      </c>
      <c r="B31" s="347">
        <v>3300.0</v>
      </c>
      <c r="C31" s="347">
        <v>41560.0</v>
      </c>
      <c r="D31" s="395" t="b">
        <f>IFERROR(__xludf.DUMMYFUNCTION("if(countif($E31:$Y31, ""&lt;&gt;0"")&lt;1, ""NO REWARD!"", if(counta(filter($E31:$Y31, $E31:$Y31&lt;&gt;0))&gt;1, TRUE, FALSE))"),TRUE)</f>
        <v>1</v>
      </c>
      <c r="E31" s="399">
        <v>50.0</v>
      </c>
      <c r="F31" s="400">
        <v>0.0</v>
      </c>
      <c r="G31" s="400">
        <v>0.0</v>
      </c>
      <c r="H31" s="400">
        <v>0.0</v>
      </c>
      <c r="I31" s="400">
        <v>0.0</v>
      </c>
      <c r="J31" s="400">
        <v>1.0</v>
      </c>
      <c r="K31" s="401">
        <v>0.0</v>
      </c>
      <c r="L31" s="400">
        <v>0.0</v>
      </c>
      <c r="M31" s="400">
        <v>0.0</v>
      </c>
      <c r="N31" s="400">
        <v>0.0</v>
      </c>
      <c r="O31" s="8">
        <v>0.0</v>
      </c>
      <c r="P31" s="400">
        <v>0.0</v>
      </c>
      <c r="Q31" s="400">
        <v>0.0</v>
      </c>
      <c r="R31" s="400">
        <v>0.0</v>
      </c>
      <c r="S31" s="400">
        <v>0.0</v>
      </c>
      <c r="T31" s="400">
        <v>0.0</v>
      </c>
      <c r="U31" s="400">
        <v>0.0</v>
      </c>
      <c r="V31" s="400">
        <v>0.0</v>
      </c>
      <c r="W31" s="400">
        <v>0.0</v>
      </c>
      <c r="X31" s="400">
        <v>0.0</v>
      </c>
      <c r="Y31" s="400">
        <v>0.0</v>
      </c>
      <c r="AA31" s="249">
        <f t="shared" si="1"/>
        <v>83.12</v>
      </c>
    </row>
    <row r="32" ht="15.75" customHeight="1">
      <c r="A32" s="347">
        <v>17.0</v>
      </c>
      <c r="B32" s="347">
        <v>6500.0</v>
      </c>
      <c r="C32" s="347">
        <v>48060.0</v>
      </c>
      <c r="D32" s="397" t="b">
        <f>IFERROR(__xludf.DUMMYFUNCTION("if(countif($E32:$Y32, ""&lt;&gt;0"")&lt;1, ""NO REWARD!"", if(counta(filter($E32:$Y32, $E32:$Y32&lt;&gt;0))&gt;1, TRUE, FALSE))"),FALSE)</f>
        <v>0</v>
      </c>
      <c r="E32" s="399">
        <v>0.0</v>
      </c>
      <c r="F32" s="401">
        <v>125.0</v>
      </c>
      <c r="G32" s="400">
        <v>0.0</v>
      </c>
      <c r="H32" s="400">
        <v>0.0</v>
      </c>
      <c r="I32" s="400">
        <v>0.0</v>
      </c>
      <c r="J32" s="400">
        <v>0.0</v>
      </c>
      <c r="K32" s="400">
        <v>0.0</v>
      </c>
      <c r="L32" s="400">
        <v>0.0</v>
      </c>
      <c r="M32" s="400">
        <v>0.0</v>
      </c>
      <c r="N32" s="400">
        <v>0.0</v>
      </c>
      <c r="O32" s="8">
        <v>0.0</v>
      </c>
      <c r="P32" s="400">
        <v>0.0</v>
      </c>
      <c r="Q32" s="400">
        <v>0.0</v>
      </c>
      <c r="R32" s="400">
        <v>0.0</v>
      </c>
      <c r="S32" s="400">
        <v>0.0</v>
      </c>
      <c r="T32" s="400">
        <v>0.0</v>
      </c>
      <c r="U32" s="400">
        <v>0.0</v>
      </c>
      <c r="V32" s="400">
        <v>0.0</v>
      </c>
      <c r="W32" s="400">
        <v>0.0</v>
      </c>
      <c r="X32" s="400">
        <v>0.0</v>
      </c>
      <c r="Y32" s="400">
        <v>0.0</v>
      </c>
      <c r="AA32" s="249">
        <f t="shared" si="1"/>
        <v>96.12</v>
      </c>
    </row>
    <row r="33" ht="15.75" customHeight="1">
      <c r="A33" s="347">
        <v>18.0</v>
      </c>
      <c r="B33" s="347">
        <v>19750.0</v>
      </c>
      <c r="C33" s="347">
        <v>67810.0</v>
      </c>
      <c r="D33" s="396" t="b">
        <f>IFERROR(__xludf.DUMMYFUNCTION("if(countif($E33:$Y33, ""&lt;&gt;0"")&lt;1, ""NO REWARD!"", if(counta(filter($E33:$Y33, $E33:$Y33&lt;&gt;0))&gt;1, TRUE, FALSE))"),FALSE)</f>
        <v>0</v>
      </c>
      <c r="E33" s="402">
        <v>0.0</v>
      </c>
      <c r="F33" s="400">
        <v>0.0</v>
      </c>
      <c r="G33" s="400">
        <v>0.0</v>
      </c>
      <c r="H33" s="400">
        <v>2.0</v>
      </c>
      <c r="I33" s="400">
        <v>0.0</v>
      </c>
      <c r="J33" s="400">
        <v>0.0</v>
      </c>
      <c r="K33" s="400">
        <v>0.0</v>
      </c>
      <c r="L33" s="401">
        <v>0.0</v>
      </c>
      <c r="M33" s="400">
        <v>0.0</v>
      </c>
      <c r="N33" s="400">
        <v>0.0</v>
      </c>
      <c r="O33" s="8">
        <v>0.0</v>
      </c>
      <c r="P33" s="400">
        <v>0.0</v>
      </c>
      <c r="Q33" s="400">
        <v>0.0</v>
      </c>
      <c r="R33" s="400">
        <v>0.0</v>
      </c>
      <c r="S33" s="400">
        <v>0.0</v>
      </c>
      <c r="T33" s="400">
        <v>0.0</v>
      </c>
      <c r="U33" s="400">
        <v>0.0</v>
      </c>
      <c r="V33" s="400">
        <v>0.0</v>
      </c>
      <c r="W33" s="400">
        <v>0.0</v>
      </c>
      <c r="X33" s="400">
        <v>0.0</v>
      </c>
      <c r="Y33" s="400">
        <v>0.0</v>
      </c>
      <c r="AA33" s="249">
        <f t="shared" si="1"/>
        <v>135.62</v>
      </c>
    </row>
    <row r="34" ht="15.75" customHeight="1">
      <c r="A34" s="347">
        <v>19.0</v>
      </c>
      <c r="B34" s="347">
        <v>4200.0</v>
      </c>
      <c r="C34" s="347">
        <v>72010.0</v>
      </c>
      <c r="D34" s="397" t="b">
        <f>IFERROR(__xludf.DUMMYFUNCTION("if(countif($E34:$Y34, ""&lt;&gt;0"")&lt;1, ""NO REWARD!"", if(counta(filter($E34:$Y34, $E34:$Y34&lt;&gt;0))&gt;1, TRUE, FALSE))"),FALSE)</f>
        <v>0</v>
      </c>
      <c r="E34" s="399">
        <v>0.0</v>
      </c>
      <c r="F34" s="400">
        <v>0.0</v>
      </c>
      <c r="G34" s="401">
        <v>20.0</v>
      </c>
      <c r="H34" s="400">
        <v>0.0</v>
      </c>
      <c r="I34" s="400">
        <v>0.0</v>
      </c>
      <c r="J34" s="400">
        <v>0.0</v>
      </c>
      <c r="K34" s="400">
        <v>0.0</v>
      </c>
      <c r="L34" s="400">
        <v>0.0</v>
      </c>
      <c r="M34" s="400">
        <v>0.0</v>
      </c>
      <c r="N34" s="400">
        <v>0.0</v>
      </c>
      <c r="O34" s="8">
        <v>0.0</v>
      </c>
      <c r="P34" s="400">
        <v>0.0</v>
      </c>
      <c r="Q34" s="400">
        <v>0.0</v>
      </c>
      <c r="R34" s="400">
        <v>0.0</v>
      </c>
      <c r="S34" s="400">
        <v>0.0</v>
      </c>
      <c r="T34" s="400">
        <v>0.0</v>
      </c>
      <c r="U34" s="400">
        <v>0.0</v>
      </c>
      <c r="V34" s="400">
        <v>0.0</v>
      </c>
      <c r="W34" s="400">
        <v>0.0</v>
      </c>
      <c r="X34" s="400">
        <v>0.0</v>
      </c>
      <c r="Y34" s="400">
        <v>0.0</v>
      </c>
      <c r="AA34" s="249">
        <f t="shared" si="1"/>
        <v>144.02</v>
      </c>
    </row>
    <row r="35" ht="15.75" customHeight="1">
      <c r="A35" s="347">
        <v>20.0</v>
      </c>
      <c r="B35" s="347">
        <v>8250.0</v>
      </c>
      <c r="C35" s="347">
        <v>80260.0</v>
      </c>
      <c r="D35" s="395" t="b">
        <f>IFERROR(__xludf.DUMMYFUNCTION("if(countif($E35:$Y35, ""&lt;&gt;0"")&lt;1, ""NO REWARD!"", if(counta(filter($E35:$Y35, $E35:$Y35&lt;&gt;0))&gt;1, TRUE, FALSE))"),TRUE)</f>
        <v>1</v>
      </c>
      <c r="E35" s="399">
        <v>150.0</v>
      </c>
      <c r="F35" s="400">
        <v>0.0</v>
      </c>
      <c r="G35" s="400">
        <v>0.0</v>
      </c>
      <c r="H35" s="401">
        <v>0.0</v>
      </c>
      <c r="I35" s="400">
        <v>0.0</v>
      </c>
      <c r="J35" s="400">
        <v>0.0</v>
      </c>
      <c r="K35" s="400">
        <v>0.0</v>
      </c>
      <c r="L35" s="400">
        <v>1.0</v>
      </c>
      <c r="M35" s="400">
        <v>0.0</v>
      </c>
      <c r="N35" s="400">
        <v>0.0</v>
      </c>
      <c r="O35" s="8">
        <v>0.0</v>
      </c>
      <c r="P35" s="400">
        <v>0.0</v>
      </c>
      <c r="Q35" s="400">
        <v>0.0</v>
      </c>
      <c r="R35" s="400">
        <v>0.0</v>
      </c>
      <c r="S35" s="400">
        <v>0.0</v>
      </c>
      <c r="T35" s="400">
        <v>0.0</v>
      </c>
      <c r="U35" s="400">
        <v>0.0</v>
      </c>
      <c r="V35" s="400">
        <v>0.0</v>
      </c>
      <c r="W35" s="400">
        <v>0.0</v>
      </c>
      <c r="X35" s="400">
        <v>0.0</v>
      </c>
      <c r="Y35" s="400">
        <v>0.0</v>
      </c>
      <c r="AA35" s="249">
        <f t="shared" si="1"/>
        <v>160.52</v>
      </c>
    </row>
    <row r="36" ht="15.75" customHeight="1">
      <c r="A36" s="347">
        <v>21.0</v>
      </c>
      <c r="B36" s="347">
        <v>22000.0</v>
      </c>
      <c r="C36" s="347">
        <v>102260.0</v>
      </c>
      <c r="D36" s="397" t="b">
        <f>IFERROR(__xludf.DUMMYFUNCTION("if(countif($E36:$Y36, ""&lt;&gt;0"")&lt;1, ""NO REWARD!"", if(counta(filter($E36:$Y36, $E36:$Y36&lt;&gt;0))&gt;1, TRUE, FALSE))"),FALSE)</f>
        <v>0</v>
      </c>
      <c r="E36" s="399">
        <v>0.0</v>
      </c>
      <c r="F36" s="401">
        <v>200.0</v>
      </c>
      <c r="G36" s="400">
        <v>0.0</v>
      </c>
      <c r="H36" s="400">
        <v>0.0</v>
      </c>
      <c r="I36" s="400">
        <v>0.0</v>
      </c>
      <c r="J36" s="400">
        <v>0.0</v>
      </c>
      <c r="K36" s="400">
        <v>0.0</v>
      </c>
      <c r="L36" s="400">
        <v>0.0</v>
      </c>
      <c r="M36" s="400">
        <v>0.0</v>
      </c>
      <c r="N36" s="400">
        <v>0.0</v>
      </c>
      <c r="O36" s="8">
        <v>0.0</v>
      </c>
      <c r="P36" s="400">
        <v>0.0</v>
      </c>
      <c r="Q36" s="400">
        <v>0.0</v>
      </c>
      <c r="R36" s="400">
        <v>0.0</v>
      </c>
      <c r="S36" s="400">
        <v>0.0</v>
      </c>
      <c r="T36" s="400">
        <v>0.0</v>
      </c>
      <c r="U36" s="400">
        <v>0.0</v>
      </c>
      <c r="V36" s="400">
        <v>0.0</v>
      </c>
      <c r="W36" s="400">
        <v>0.0</v>
      </c>
      <c r="X36" s="400">
        <v>0.0</v>
      </c>
      <c r="Y36" s="400">
        <v>0.0</v>
      </c>
      <c r="AA36" s="249">
        <f t="shared" si="1"/>
        <v>204.52</v>
      </c>
    </row>
    <row r="37" ht="15.75" customHeight="1">
      <c r="A37" s="347">
        <v>22.0</v>
      </c>
      <c r="B37" s="347">
        <v>6000.0</v>
      </c>
      <c r="C37" s="347">
        <v>108260.0</v>
      </c>
      <c r="D37" s="396" t="b">
        <f>IFERROR(__xludf.DUMMYFUNCTION("if(countif($E37:$Y37, ""&lt;&gt;0"")&lt;1, ""NO REWARD!"", if(counta(filter($E37:$Y37, $E37:$Y37&lt;&gt;0))&gt;1, TRUE, FALSE))"),FALSE)</f>
        <v>0</v>
      </c>
      <c r="E37" s="399">
        <v>0.0</v>
      </c>
      <c r="F37" s="400">
        <v>0.0</v>
      </c>
      <c r="G37" s="400">
        <v>0.0</v>
      </c>
      <c r="H37" s="400">
        <v>0.0</v>
      </c>
      <c r="I37" s="400">
        <v>0.0</v>
      </c>
      <c r="J37" s="400">
        <v>0.0</v>
      </c>
      <c r="K37" s="400">
        <v>0.0</v>
      </c>
      <c r="L37" s="400">
        <v>0.0</v>
      </c>
      <c r="M37" s="400">
        <v>0.0</v>
      </c>
      <c r="N37" s="400">
        <v>0.0</v>
      </c>
      <c r="O37" s="8">
        <v>0.0</v>
      </c>
      <c r="P37" s="401">
        <v>10.0</v>
      </c>
      <c r="Q37" s="400">
        <v>0.0</v>
      </c>
      <c r="R37" s="400">
        <v>0.0</v>
      </c>
      <c r="S37" s="400">
        <v>0.0</v>
      </c>
      <c r="T37" s="400">
        <v>0.0</v>
      </c>
      <c r="U37" s="400">
        <v>0.0</v>
      </c>
      <c r="V37" s="400">
        <v>0.0</v>
      </c>
      <c r="W37" s="400">
        <v>0.0</v>
      </c>
      <c r="X37" s="400">
        <v>0.0</v>
      </c>
      <c r="Y37" s="400">
        <v>0.0</v>
      </c>
      <c r="AA37" s="249">
        <f t="shared" si="1"/>
        <v>216.52</v>
      </c>
    </row>
    <row r="38" ht="15.75" customHeight="1">
      <c r="A38" s="347">
        <v>23.0</v>
      </c>
      <c r="B38" s="347">
        <v>10500.0</v>
      </c>
      <c r="C38" s="347">
        <v>118760.0</v>
      </c>
      <c r="D38" s="397" t="b">
        <f>IFERROR(__xludf.DUMMYFUNCTION("if(countif($E38:$Y38, ""&lt;&gt;0"")&lt;1, ""NO REWARD!"", if(counta(filter($E38:$Y38, $E38:$Y38&lt;&gt;0))&gt;1, TRUE, FALSE))"),FALSE)</f>
        <v>0</v>
      </c>
      <c r="E38" s="399">
        <v>0.0</v>
      </c>
      <c r="F38" s="400">
        <v>0.0</v>
      </c>
      <c r="G38" s="400">
        <v>0.0</v>
      </c>
      <c r="H38" s="400">
        <v>0.0</v>
      </c>
      <c r="I38" s="401">
        <v>2.0</v>
      </c>
      <c r="J38" s="400">
        <v>0.0</v>
      </c>
      <c r="K38" s="400">
        <v>0.0</v>
      </c>
      <c r="L38" s="400">
        <v>0.0</v>
      </c>
      <c r="M38" s="400">
        <v>0.0</v>
      </c>
      <c r="N38" s="400">
        <v>0.0</v>
      </c>
      <c r="O38" s="400">
        <v>0.0</v>
      </c>
      <c r="P38" s="400">
        <v>0.0</v>
      </c>
      <c r="Q38" s="400">
        <v>0.0</v>
      </c>
      <c r="R38" s="400">
        <v>0.0</v>
      </c>
      <c r="S38" s="400">
        <v>0.0</v>
      </c>
      <c r="T38" s="400">
        <v>0.0</v>
      </c>
      <c r="U38" s="400">
        <v>0.0</v>
      </c>
      <c r="V38" s="400">
        <v>0.0</v>
      </c>
      <c r="W38" s="400">
        <v>0.0</v>
      </c>
      <c r="X38" s="400">
        <v>0.0</v>
      </c>
      <c r="Y38" s="400">
        <v>0.0</v>
      </c>
      <c r="AA38" s="249">
        <f t="shared" si="1"/>
        <v>237.52</v>
      </c>
    </row>
    <row r="39" ht="15.75" customHeight="1">
      <c r="A39" s="347">
        <v>24.0</v>
      </c>
      <c r="B39" s="347">
        <v>33000.0</v>
      </c>
      <c r="C39" s="347">
        <v>151760.0</v>
      </c>
      <c r="D39" s="395" t="b">
        <f>IFERROR(__xludf.DUMMYFUNCTION("if(countif($E39:$Y39, ""&lt;&gt;0"")&lt;1, ""NO REWARD!"", if(counta(filter($E39:$Y39, $E39:$Y39&lt;&gt;0))&gt;1, TRUE, FALSE))"),TRUE)</f>
        <v>1</v>
      </c>
      <c r="E39" s="402">
        <v>350.0</v>
      </c>
      <c r="F39" s="401">
        <v>350.0</v>
      </c>
      <c r="G39" s="400">
        <v>0.0</v>
      </c>
      <c r="H39" s="400">
        <v>0.0</v>
      </c>
      <c r="I39" s="400">
        <v>0.0</v>
      </c>
      <c r="J39" s="400">
        <v>0.0</v>
      </c>
      <c r="K39" s="400">
        <v>0.0</v>
      </c>
      <c r="L39" s="401">
        <v>1.0</v>
      </c>
      <c r="M39" s="401">
        <v>1.0</v>
      </c>
      <c r="N39" s="400">
        <v>0.0</v>
      </c>
      <c r="O39" s="400">
        <v>0.0</v>
      </c>
      <c r="P39" s="400">
        <v>0.0</v>
      </c>
      <c r="Q39" s="400">
        <v>0.0</v>
      </c>
      <c r="R39" s="400">
        <v>0.0</v>
      </c>
      <c r="S39" s="400">
        <v>0.0</v>
      </c>
      <c r="T39" s="400">
        <v>0.0</v>
      </c>
      <c r="U39" s="400">
        <v>0.0</v>
      </c>
      <c r="V39" s="400">
        <v>0.0</v>
      </c>
      <c r="W39" s="400">
        <v>0.0</v>
      </c>
      <c r="X39" s="400">
        <v>0.0</v>
      </c>
      <c r="Y39" s="400">
        <v>0.0</v>
      </c>
      <c r="AA39" s="249">
        <f t="shared" si="1"/>
        <v>303.52</v>
      </c>
    </row>
    <row r="40" ht="15.75" customHeight="1">
      <c r="A40" s="347">
        <v>25.0</v>
      </c>
      <c r="B40" s="347">
        <v>8750.0</v>
      </c>
      <c r="C40" s="347">
        <v>160510.0</v>
      </c>
      <c r="D40" s="397" t="b">
        <f>IFERROR(__xludf.DUMMYFUNCTION("if(countif($E40:$Y40, ""&lt;&gt;0"")&lt;1, ""NO REWARD!"", if(counta(filter($E40:$Y40, $E40:$Y40&lt;&gt;0))&gt;1, TRUE, FALSE))"),FALSE)</f>
        <v>0</v>
      </c>
      <c r="E40" s="399">
        <v>0.0</v>
      </c>
      <c r="F40" s="400">
        <v>0.0</v>
      </c>
      <c r="G40" s="400">
        <v>0.0</v>
      </c>
      <c r="H40" s="400">
        <v>0.0</v>
      </c>
      <c r="I40" s="400">
        <v>0.0</v>
      </c>
      <c r="J40" s="400">
        <v>0.0</v>
      </c>
      <c r="K40" s="400">
        <v>0.0</v>
      </c>
      <c r="L40" s="400">
        <v>0.0</v>
      </c>
      <c r="M40" s="400">
        <v>0.0</v>
      </c>
      <c r="N40" s="401">
        <v>60.0</v>
      </c>
      <c r="O40" s="400">
        <v>0.0</v>
      </c>
      <c r="P40" s="400">
        <v>0.0</v>
      </c>
      <c r="Q40" s="400">
        <v>0.0</v>
      </c>
      <c r="R40" s="400">
        <v>0.0</v>
      </c>
      <c r="S40" s="400">
        <v>0.0</v>
      </c>
      <c r="T40" s="400">
        <v>0.0</v>
      </c>
      <c r="U40" s="400">
        <v>0.0</v>
      </c>
      <c r="V40" s="400">
        <v>0.0</v>
      </c>
      <c r="W40" s="400">
        <v>0.0</v>
      </c>
      <c r="X40" s="400">
        <v>0.0</v>
      </c>
      <c r="Y40" s="400">
        <v>0.0</v>
      </c>
      <c r="AA40" s="249">
        <f t="shared" si="1"/>
        <v>321.02</v>
      </c>
    </row>
    <row r="41" ht="15.75" customHeight="1">
      <c r="A41" s="347">
        <v>26.0</v>
      </c>
      <c r="B41" s="347">
        <v>14250.0</v>
      </c>
      <c r="C41" s="347">
        <v>174760.0</v>
      </c>
      <c r="D41" s="396" t="b">
        <f>IFERROR(__xludf.DUMMYFUNCTION("if(countif($E41:$Y41, ""&lt;&gt;0"")&lt;1, ""NO REWARD!"", if(counta(filter($E41:$Y41, $E41:$Y41&lt;&gt;0))&gt;1, TRUE, FALSE))"),FALSE)</f>
        <v>0</v>
      </c>
      <c r="E41" s="399">
        <v>0.0</v>
      </c>
      <c r="F41" s="400">
        <v>0.0</v>
      </c>
      <c r="G41" s="400">
        <v>0.0</v>
      </c>
      <c r="H41" s="400">
        <v>0.0</v>
      </c>
      <c r="I41" s="400">
        <v>0.0</v>
      </c>
      <c r="J41" s="401">
        <v>2.0</v>
      </c>
      <c r="K41" s="400">
        <v>0.0</v>
      </c>
      <c r="L41" s="400">
        <v>0.0</v>
      </c>
      <c r="M41" s="400">
        <v>0.0</v>
      </c>
      <c r="N41" s="400">
        <v>0.0</v>
      </c>
      <c r="O41" s="400">
        <v>0.0</v>
      </c>
      <c r="P41" s="400">
        <v>0.0</v>
      </c>
      <c r="Q41" s="400">
        <v>0.0</v>
      </c>
      <c r="R41" s="400">
        <v>0.0</v>
      </c>
      <c r="S41" s="400">
        <v>0.0</v>
      </c>
      <c r="T41" s="400">
        <v>0.0</v>
      </c>
      <c r="U41" s="400">
        <v>0.0</v>
      </c>
      <c r="V41" s="400">
        <v>0.0</v>
      </c>
      <c r="W41" s="400">
        <v>0.0</v>
      </c>
      <c r="X41" s="400">
        <v>0.0</v>
      </c>
      <c r="Y41" s="400">
        <v>0.0</v>
      </c>
      <c r="AA41" s="249">
        <f t="shared" si="1"/>
        <v>349.52</v>
      </c>
    </row>
    <row r="42" ht="15.75" customHeight="1">
      <c r="A42" s="347">
        <v>27.0</v>
      </c>
      <c r="B42" s="347">
        <v>44000.0</v>
      </c>
      <c r="C42" s="347">
        <v>218760.0</v>
      </c>
      <c r="D42" s="397" t="b">
        <f>IFERROR(__xludf.DUMMYFUNCTION("if(countif($E42:$Y42, ""&lt;&gt;0"")&lt;1, ""NO REWARD!"", if(counta(filter($E42:$Y42, $E42:$Y42&lt;&gt;0))&gt;1, TRUE, FALSE))"),FALSE)</f>
        <v>0</v>
      </c>
      <c r="E42" s="399">
        <v>0.0</v>
      </c>
      <c r="F42" s="401">
        <v>600.0</v>
      </c>
      <c r="G42" s="400">
        <v>0.0</v>
      </c>
      <c r="H42" s="400">
        <v>0.0</v>
      </c>
      <c r="I42" s="400">
        <v>0.0</v>
      </c>
      <c r="J42" s="400">
        <v>0.0</v>
      </c>
      <c r="K42" s="400">
        <v>0.0</v>
      </c>
      <c r="L42" s="400">
        <v>0.0</v>
      </c>
      <c r="M42" s="400">
        <v>0.0</v>
      </c>
      <c r="N42" s="400">
        <v>0.0</v>
      </c>
      <c r="O42" s="400">
        <v>0.0</v>
      </c>
      <c r="P42" s="400">
        <v>0.0</v>
      </c>
      <c r="Q42" s="400">
        <v>0.0</v>
      </c>
      <c r="R42" s="400">
        <v>0.0</v>
      </c>
      <c r="S42" s="400">
        <v>0.0</v>
      </c>
      <c r="T42" s="400">
        <v>0.0</v>
      </c>
      <c r="U42" s="400">
        <v>0.0</v>
      </c>
      <c r="V42" s="400">
        <v>0.0</v>
      </c>
      <c r="W42" s="400">
        <v>0.0</v>
      </c>
      <c r="X42" s="400">
        <v>0.0</v>
      </c>
      <c r="Y42" s="400">
        <v>0.0</v>
      </c>
      <c r="AA42" s="249">
        <f t="shared" si="1"/>
        <v>437.52</v>
      </c>
    </row>
    <row r="43" ht="15.75" customHeight="1">
      <c r="A43" s="347">
        <v>28.0</v>
      </c>
      <c r="B43" s="347">
        <v>16500.0</v>
      </c>
      <c r="C43" s="347">
        <v>235260.0</v>
      </c>
      <c r="D43" s="396" t="b">
        <f>IFERROR(__xludf.DUMMYFUNCTION("if(countif($E43:$Y43, ""&lt;&gt;0"")&lt;1, ""NO REWARD!"", if(counta(filter($E43:$Y43, $E43:$Y43&lt;&gt;0))&gt;1, TRUE, FALSE))"),FALSE)</f>
        <v>0</v>
      </c>
      <c r="E43" s="399">
        <v>0.0</v>
      </c>
      <c r="F43" s="400">
        <v>0.0</v>
      </c>
      <c r="G43" s="400">
        <v>0.0</v>
      </c>
      <c r="H43" s="400">
        <v>0.0</v>
      </c>
      <c r="I43" s="400">
        <v>0.0</v>
      </c>
      <c r="J43" s="400">
        <v>0.0</v>
      </c>
      <c r="K43" s="400">
        <v>0.0</v>
      </c>
      <c r="L43" s="400">
        <v>0.0</v>
      </c>
      <c r="M43" s="400">
        <v>0.0</v>
      </c>
      <c r="N43" s="401">
        <v>60.0</v>
      </c>
      <c r="O43" s="400">
        <v>0.0</v>
      </c>
      <c r="P43" s="400">
        <v>0.0</v>
      </c>
      <c r="Q43" s="400">
        <v>0.0</v>
      </c>
      <c r="R43" s="400">
        <v>0.0</v>
      </c>
      <c r="S43" s="400">
        <v>0.0</v>
      </c>
      <c r="T43" s="400">
        <v>0.0</v>
      </c>
      <c r="U43" s="400">
        <v>0.0</v>
      </c>
      <c r="V43" s="400">
        <v>0.0</v>
      </c>
      <c r="W43" s="400">
        <v>0.0</v>
      </c>
      <c r="X43" s="400">
        <v>0.0</v>
      </c>
      <c r="Y43" s="400">
        <v>0.0</v>
      </c>
      <c r="AA43" s="249">
        <f t="shared" si="1"/>
        <v>470.52</v>
      </c>
    </row>
    <row r="44" ht="15.75" customHeight="1">
      <c r="A44" s="347">
        <v>29.0</v>
      </c>
      <c r="B44" s="347">
        <v>34000.0</v>
      </c>
      <c r="C44" s="347">
        <v>269260.0</v>
      </c>
      <c r="D44" s="397" t="b">
        <f>IFERROR(__xludf.DUMMYFUNCTION("if(countif($E44:$Y44, ""&lt;&gt;0"")&lt;1, ""NO REWARD!"", if(counta(filter($E44:$Y44, $E44:$Y44&lt;&gt;0))&gt;1, TRUE, FALSE))"),FALSE)</f>
        <v>0</v>
      </c>
      <c r="E44" s="399">
        <v>0.0</v>
      </c>
      <c r="F44" s="400">
        <v>0.0</v>
      </c>
      <c r="G44" s="400">
        <v>0.0</v>
      </c>
      <c r="H44" s="400">
        <v>0.0</v>
      </c>
      <c r="I44" s="400">
        <v>0.0</v>
      </c>
      <c r="J44" s="401">
        <v>3.0</v>
      </c>
      <c r="K44" s="400">
        <v>0.0</v>
      </c>
      <c r="L44" s="400">
        <v>0.0</v>
      </c>
      <c r="M44" s="400">
        <v>0.0</v>
      </c>
      <c r="N44" s="400">
        <v>0.0</v>
      </c>
      <c r="O44" s="400">
        <v>0.0</v>
      </c>
      <c r="P44" s="400">
        <v>0.0</v>
      </c>
      <c r="Q44" s="400">
        <v>0.0</v>
      </c>
      <c r="R44" s="400">
        <v>0.0</v>
      </c>
      <c r="S44" s="400">
        <v>0.0</v>
      </c>
      <c r="T44" s="400">
        <v>0.0</v>
      </c>
      <c r="U44" s="400">
        <v>0.0</v>
      </c>
      <c r="V44" s="400">
        <v>0.0</v>
      </c>
      <c r="W44" s="400">
        <v>0.0</v>
      </c>
      <c r="X44" s="400">
        <v>0.0</v>
      </c>
      <c r="Y44" s="400">
        <v>0.0</v>
      </c>
      <c r="AA44" s="249">
        <f t="shared" si="1"/>
        <v>538.52</v>
      </c>
    </row>
    <row r="45" ht="15.75" customHeight="1">
      <c r="A45" s="347">
        <v>30.0</v>
      </c>
      <c r="B45" s="347">
        <v>83000.0</v>
      </c>
      <c r="C45" s="347">
        <v>352260.0</v>
      </c>
      <c r="D45" s="395" t="b">
        <f>IFERROR(__xludf.DUMMYFUNCTION("if(countif($E45:$Y45, ""&lt;&gt;0"")&lt;1, ""NO REWARD!"", if(counta(filter($E45:$Y45, $E45:$Y45&lt;&gt;0))&gt;1, TRUE, FALSE))"),TRUE)</f>
        <v>1</v>
      </c>
      <c r="E45" s="402">
        <v>600.0</v>
      </c>
      <c r="F45" s="400">
        <v>0.0</v>
      </c>
      <c r="G45" s="400">
        <v>0.0</v>
      </c>
      <c r="H45" s="400">
        <v>0.0</v>
      </c>
      <c r="I45" s="400">
        <v>0.0</v>
      </c>
      <c r="J45" s="400">
        <v>0.0</v>
      </c>
      <c r="K45" s="401">
        <v>3.0</v>
      </c>
      <c r="L45" s="401">
        <v>3.0</v>
      </c>
      <c r="M45" s="401">
        <v>3.0</v>
      </c>
      <c r="N45" s="400">
        <v>0.0</v>
      </c>
      <c r="O45" s="400">
        <v>0.0</v>
      </c>
      <c r="P45" s="400">
        <v>0.0</v>
      </c>
      <c r="Q45" s="400">
        <v>0.0</v>
      </c>
      <c r="R45" s="400">
        <v>0.0</v>
      </c>
      <c r="S45" s="400">
        <v>0.0</v>
      </c>
      <c r="T45" s="400">
        <v>0.0</v>
      </c>
      <c r="U45" s="400">
        <v>0.0</v>
      </c>
      <c r="V45" s="400">
        <v>0.0</v>
      </c>
      <c r="W45" s="400">
        <v>0.0</v>
      </c>
      <c r="X45" s="400">
        <v>0.0</v>
      </c>
      <c r="Y45" s="400">
        <v>0.0</v>
      </c>
      <c r="AA45" s="249">
        <f t="shared" si="1"/>
        <v>704.52</v>
      </c>
    </row>
    <row r="46" ht="15.75" customHeight="1">
      <c r="A46" s="328"/>
      <c r="B46" s="328"/>
      <c r="C46" s="328"/>
      <c r="D46" s="328"/>
      <c r="E46" s="328"/>
      <c r="F46" s="328"/>
      <c r="G46" s="328"/>
      <c r="H46" s="32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</row>
    <row r="47" ht="15.75" customHeight="1">
      <c r="A47" s="328"/>
      <c r="B47" s="328"/>
      <c r="C47" s="328"/>
      <c r="D47" s="328"/>
      <c r="E47" s="328"/>
      <c r="F47" s="328"/>
      <c r="G47" s="328"/>
      <c r="H47" s="32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</row>
    <row r="48" ht="15.75" customHeight="1">
      <c r="A48" s="328"/>
      <c r="B48" s="328"/>
      <c r="C48" s="328"/>
      <c r="D48" s="328"/>
      <c r="E48" s="328"/>
      <c r="F48" s="328"/>
      <c r="G48" s="328"/>
      <c r="H48" s="328"/>
      <c r="I48" s="328"/>
      <c r="J48" s="328"/>
      <c r="K48" s="328"/>
      <c r="L48" s="328"/>
      <c r="M48" s="328"/>
      <c r="N48" s="328"/>
      <c r="O48" s="328"/>
      <c r="P48" s="328"/>
      <c r="Q48" s="328"/>
      <c r="R48" s="328"/>
      <c r="S48" s="328"/>
      <c r="T48" s="328"/>
      <c r="U48" s="328"/>
      <c r="V48" s="328"/>
    </row>
    <row r="49" ht="15.75" customHeight="1">
      <c r="A49" s="328"/>
      <c r="B49" s="328"/>
      <c r="C49" s="328"/>
      <c r="D49" s="328"/>
      <c r="E49" s="328"/>
      <c r="F49" s="328"/>
      <c r="G49" s="328"/>
      <c r="H49" s="32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</row>
    <row r="50" ht="15.75" customHeight="1">
      <c r="A50" s="328"/>
      <c r="B50" s="328"/>
      <c r="C50" s="328"/>
      <c r="D50" s="328"/>
      <c r="E50" s="328"/>
      <c r="F50" s="328"/>
      <c r="G50" s="328"/>
      <c r="H50" s="328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</row>
  </sheetData>
  <conditionalFormatting sqref="E16:Y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Y45">
    <cfRule type="cellIs" dxfId="4" priority="4" stopIfTrue="1" operator="greaterThan">
      <formula>0</formula>
    </cfRule>
  </conditionalFormatting>
  <conditionalFormatting sqref="E16:Y45">
    <cfRule type="expression" dxfId="5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10.5"/>
    <col customWidth="1" min="36" max="36" width="20.13"/>
    <col customWidth="1" min="37" max="37" width="10.5"/>
    <col customWidth="1" min="38" max="38" width="20.13"/>
    <col customWidth="1" min="39" max="39" width="10.5"/>
    <col customWidth="1" min="40" max="40" width="20.13"/>
    <col customWidth="1" min="41" max="41" width="10.5"/>
    <col customWidth="1" min="42" max="42" width="20.13"/>
    <col customWidth="1" min="43" max="43" width="10.5"/>
    <col customWidth="1" min="44" max="44" width="20.13"/>
  </cols>
  <sheetData>
    <row r="1" ht="21.75" customHeight="1">
      <c r="A1" s="381" t="s">
        <v>361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382" t="s">
        <v>176</v>
      </c>
      <c r="AI1" s="172"/>
      <c r="AJ1" s="172"/>
      <c r="AK1" s="172"/>
      <c r="AL1" s="172"/>
      <c r="AM1" s="172"/>
      <c r="AN1" s="172"/>
      <c r="AO1" s="172"/>
      <c r="AP1" s="172"/>
      <c r="AQ1" s="172"/>
      <c r="AR1" s="172"/>
    </row>
    <row r="2" ht="19.5" customHeight="1">
      <c r="A2" s="352" t="s">
        <v>106</v>
      </c>
      <c r="B2" s="352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383" t="s">
        <v>177</v>
      </c>
      <c r="AI2" s="384" t="s">
        <v>362</v>
      </c>
      <c r="AJ2" s="172"/>
      <c r="AK2" s="153" t="s">
        <v>366</v>
      </c>
      <c r="AL2" s="172"/>
      <c r="AM2" s="172"/>
      <c r="AN2" s="172"/>
      <c r="AO2" s="172"/>
      <c r="AP2" s="172"/>
      <c r="AQ2" s="172"/>
      <c r="AR2" s="172"/>
    </row>
    <row r="3">
      <c r="A3" s="176" t="s">
        <v>169</v>
      </c>
      <c r="B3" s="225">
        <v>4.0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383" t="s">
        <v>179</v>
      </c>
      <c r="AI3" s="385" t="s">
        <v>180</v>
      </c>
      <c r="AJ3" s="172"/>
      <c r="AK3" s="172"/>
      <c r="AL3" s="172"/>
      <c r="AM3" s="172"/>
      <c r="AN3" s="172"/>
      <c r="AO3" s="172"/>
      <c r="AP3" s="172"/>
      <c r="AQ3" s="172"/>
      <c r="AR3" s="172"/>
    </row>
    <row r="4">
      <c r="A4" s="386"/>
      <c r="B4" s="387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  <c r="W4" s="172"/>
      <c r="X4" s="172"/>
      <c r="Y4" s="172"/>
      <c r="Z4" s="172"/>
      <c r="AA4" s="172"/>
      <c r="AB4" s="172"/>
      <c r="AC4" s="172"/>
      <c r="AD4" s="172"/>
      <c r="AE4" s="172"/>
      <c r="AF4" s="172"/>
      <c r="AG4" s="172"/>
      <c r="AH4" s="172"/>
      <c r="AI4" s="172"/>
      <c r="AJ4" s="172"/>
      <c r="AK4" s="172"/>
      <c r="AL4" s="172"/>
      <c r="AM4" s="172"/>
      <c r="AN4" s="172"/>
      <c r="AO4" s="172"/>
      <c r="AP4" s="172"/>
      <c r="AQ4" s="172"/>
      <c r="AR4" s="172"/>
    </row>
    <row r="5">
      <c r="A5" s="386"/>
      <c r="B5" s="387"/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388" t="s">
        <v>181</v>
      </c>
      <c r="AI5" s="388" t="s">
        <v>182</v>
      </c>
      <c r="AJ5" s="388" t="s">
        <v>183</v>
      </c>
      <c r="AK5" s="388" t="s">
        <v>184</v>
      </c>
      <c r="AL5" s="388" t="s">
        <v>185</v>
      </c>
      <c r="AM5" s="388" t="s">
        <v>187</v>
      </c>
      <c r="AN5" s="388" t="s">
        <v>188</v>
      </c>
      <c r="AO5" s="388" t="s">
        <v>189</v>
      </c>
      <c r="AP5" s="388" t="s">
        <v>191</v>
      </c>
      <c r="AQ5" s="388" t="s">
        <v>192</v>
      </c>
      <c r="AR5" s="388" t="s">
        <v>194</v>
      </c>
    </row>
    <row r="6">
      <c r="A6" s="386"/>
      <c r="B6" s="387"/>
      <c r="C6" s="328"/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172"/>
      <c r="X6" s="172"/>
      <c r="Y6" s="172"/>
      <c r="Z6" s="172"/>
      <c r="AA6" s="172"/>
      <c r="AB6" s="172"/>
      <c r="AC6" s="172"/>
      <c r="AD6" s="172"/>
      <c r="AE6" s="172"/>
      <c r="AF6" s="172"/>
      <c r="AG6" s="172"/>
      <c r="AH6" s="389">
        <f>IF(1&lt;=$B$3,1,"")</f>
        <v>1</v>
      </c>
      <c r="AI6" s="390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2</v>
      </c>
      <c r="AJ6" s="391" t="str">
        <f t="array" ref="AJ6">IF($AH6="","",IF(AI6=0,"{}",LET(m,AI6,s,MMULT(SEQUENCE(1,m,1,0),N($E$16:$Y$45)),"{"&amp;TEXTJOIN(", ",TRUE,IF(s&gt;0,$E$15:$Y$15&amp;": "&amp;ROUND(s,2),""))&amp;"}")))</f>
        <v>{Coins: 10, Red: 1}</v>
      </c>
      <c r="AK6" s="390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8</v>
      </c>
      <c r="AL6" s="391" t="str">
        <f t="array" ref="AL6">IF($AH6="","",IF(AK6=0,"{}",LET(m,AK6,s,MMULT(SEQUENCE(1,m,1,0),N($E$16:$Y$45)),"{"&amp;TEXTJOIN(", ",TRUE,IF(s&gt;0,$E$15:$Y$15&amp;": "&amp;ROUND(s,2),""))&amp;"}")))</f>
        <v>{Coins: 10, SPT: 40, Red: 2, Chuck: 2, Unlimited Lives: 25}</v>
      </c>
      <c r="AM6" s="390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12</v>
      </c>
      <c r="AN6" s="391" t="str">
        <f t="array" ref="AN6">IF($AH6="","",IF(AM6=0,"{}",LET(m,AM6,s,MMULT(SEQUENCE(1,m,1,0),N($E$16:$Y$45)),"{"&amp;TEXTJOIN(", ",TRUE,IF(s&gt;0,$E$15:$Y$15&amp;": "&amp;ROUND(s,2),""))&amp;"}")))</f>
        <v>{Coins: 30, SPT: 90, Red: 2, Chuck: 2, Shuffle: 1, Comet: 1, Unlimited Lives: 55}</v>
      </c>
      <c r="AO6" s="390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17</v>
      </c>
      <c r="AP6" s="391" t="str">
        <f t="array" ref="AP6">IF($AH6="","",IF(AO6=0,"{}",LET(m,AO6,s,MMULT(SEQUENCE(1,m,1,0),N($E$16:$Y$45)),"{"&amp;TEXTJOIN(", ",TRUE,IF(s&gt;0,$E$15:$Y$15&amp;": "&amp;ROUND(s,2),""))&amp;"}")))</f>
        <v>{Coins: 80, SPT: 290, Red: 2, Chuck: 2, Bomb: 2, Shuffle: 1, Comet: 1, Unlimited Lives: 55, Unlimited Red: 10}</v>
      </c>
      <c r="AQ6" s="390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20</v>
      </c>
      <c r="AR6" s="391" t="str">
        <f t="array" ref="AR6">IF($AH6="","",IF(AQ6=0,"{}",LET(m,AQ6,s,MMULT(SEQUENCE(1,m,1,0),N($E$16:$Y$45)),"{"&amp;TEXTJOIN(", ",TRUE,IF(s&gt;0,$E$15:$Y$15&amp;": "&amp;ROUND(s,2),""))&amp;"}")))</f>
        <v>{Coins: 230, SPT: 290, Red: 4, Chuck: 2, Bomb: 2, Shuffle: 2, Comet: 1, Unlimited Lives: 100, Unlimited Red: 10}</v>
      </c>
    </row>
    <row r="7">
      <c r="A7" s="386"/>
      <c r="B7" s="387"/>
      <c r="C7" s="328"/>
      <c r="D7" s="328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172"/>
      <c r="X7" s="172"/>
      <c r="Y7" s="172"/>
      <c r="Z7" s="172"/>
      <c r="AA7" s="172"/>
      <c r="AB7" s="172"/>
      <c r="AC7" s="172"/>
      <c r="AD7" s="172"/>
      <c r="AE7" s="172"/>
      <c r="AF7" s="172"/>
      <c r="AG7" s="172"/>
      <c r="AH7" s="389">
        <f>IF(2&lt;=$B$3,2,"")</f>
        <v>2</v>
      </c>
      <c r="AI7" s="390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5</v>
      </c>
      <c r="AJ7" s="391" t="str">
        <f t="array" ref="AJ7">IF($AH7="","",IF(AI7=0,"{}",LET(m,AI7,s,MMULT(SEQUENCE(1,m,1,0),N($E$16:$Y$45)),"{"&amp;TEXTJOIN(", ",TRUE,IF(s&gt;0,$E$15:$Y$15&amp;": "&amp;ROUND(s,2),""))&amp;"}")))</f>
        <v>{Coins: 10, SPT: 10, Red: 1, Chuck: 1, Unlimited Lives: 10}</v>
      </c>
      <c r="AK7" s="390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11</v>
      </c>
      <c r="AL7" s="391" t="str">
        <f t="array" ref="AL7">IF($AH7="","",IF(AK7=0,"{}",LET(m,AK7,s,MMULT(SEQUENCE(1,m,1,0),N($E$16:$Y$45)),"{"&amp;TEXTJOIN(", ",TRUE,IF(s&gt;0,$E$15:$Y$15&amp;": "&amp;ROUND(s,2),""))&amp;"}")))</f>
        <v>{Coins: 30, SPT: 90, Red: 2, Chuck: 2, Shuffle: 1, Unlimited Lives: 25}</v>
      </c>
      <c r="AM7" s="390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15</v>
      </c>
      <c r="AN7" s="391" t="str">
        <f t="array" ref="AN7">IF($AH7="","",IF(AM7=0,"{}",LET(m,AM7,s,MMULT(SEQUENCE(1,m,1,0),N($E$16:$Y$45)),"{"&amp;TEXTJOIN(", ",TRUE,IF(s&gt;0,$E$15:$Y$15&amp;": "&amp;ROUND(s,2),""))&amp;"}")))</f>
        <v>{Coins: 30, SPT: 165, Red: 2, Chuck: 2, Bomb: 1, Shuffle: 1, Comet: 1, Unlimited Lives: 55, Unlimited Red: 10}</v>
      </c>
      <c r="AO7" s="390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21</v>
      </c>
      <c r="AP7" s="391" t="str">
        <f t="array" ref="AP7">IF($AH7="","",IF(AO7=0,"{}",LET(m,AO7,s,MMULT(SEQUENCE(1,m,1,0),N($E$16:$Y$45)),"{"&amp;TEXTJOIN(", ",TRUE,IF(s&gt;0,$E$15:$Y$15&amp;": "&amp;ROUND(s,2),""))&amp;"}")))</f>
        <v>{Coins: 230, SPT: 490, Red: 4, Chuck: 2, Bomb: 2, Shuffle: 2, Comet: 1, Unlimited Lives: 100, Unlimited Red: 10}</v>
      </c>
      <c r="AQ7" s="390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25</v>
      </c>
      <c r="AR7" s="391" t="str">
        <f t="array" ref="AR7">IF($AH7="","",IF(AQ7=0,"{}",LET(m,AQ7,s,MMULT(SEQUENCE(1,m,1,0),N($E$16:$Y$45)),"{"&amp;TEXTJOIN(", ",TRUE,IF(s&gt;0,$E$15:$Y$15&amp;": "&amp;ROUND(s,2),""))&amp;"}")))</f>
        <v>{Coins: 580, SPT: 840, Red: 4, Chuck: 4, Bomb: 2, Shuffle: 3, Comet: 2, Unlimited Lives: 160, Unlimited Red: 10, Unlimited Chuck: 10}</v>
      </c>
    </row>
    <row r="8">
      <c r="A8" s="386"/>
      <c r="B8" s="387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172"/>
      <c r="X8" s="172"/>
      <c r="Y8" s="172"/>
      <c r="Z8" s="172"/>
      <c r="AA8" s="172"/>
      <c r="AB8" s="172"/>
      <c r="AC8" s="172"/>
      <c r="AD8" s="172"/>
      <c r="AE8" s="172"/>
      <c r="AF8" s="172"/>
      <c r="AG8" s="172"/>
      <c r="AH8" s="389">
        <f>IF(3&lt;=$B$3,3,"")</f>
        <v>3</v>
      </c>
      <c r="AI8" s="390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5</v>
      </c>
      <c r="AJ8" s="391" t="str">
        <f t="array" ref="AJ8">IF($AH8="","",IF(AI8=0,"{}",LET(m,AI8,s,MMULT(SEQUENCE(1,m,1,0),N($E$16:$Y$45)),"{"&amp;TEXTJOIN(", ",TRUE,IF(s&gt;0,$E$15:$Y$15&amp;": "&amp;ROUND(s,2),""))&amp;"}")))</f>
        <v>{Coins: 10, SPT: 10, Red: 1, Chuck: 1, Unlimited Lives: 10}</v>
      </c>
      <c r="AK8" s="390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13</v>
      </c>
      <c r="AL8" s="391" t="str">
        <f t="array" ref="AL8">IF($AH8="","",IF(AK8=0,"{}",LET(m,AK8,s,MMULT(SEQUENCE(1,m,1,0),N($E$16:$Y$45)),"{"&amp;TEXTJOIN(", ",TRUE,IF(s&gt;0,$E$15:$Y$15&amp;": "&amp;ROUND(s,2),""))&amp;"}")))</f>
        <v>{Coins: 30, SPT: 90, Red: 2, Chuck: 2, Bomb: 1, Shuffle: 1, Comet: 1, Unlimited Lives: 55}</v>
      </c>
      <c r="AM8" s="390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17</v>
      </c>
      <c r="AN8" s="391" t="str">
        <f t="array" ref="AN8">IF($AH8="","",IF(AM8=0,"{}",LET(m,AM8,s,MMULT(SEQUENCE(1,m,1,0),N($E$16:$Y$45)),"{"&amp;TEXTJOIN(", ",TRUE,IF(s&gt;0,$E$15:$Y$15&amp;": "&amp;ROUND(s,2),""))&amp;"}")))</f>
        <v>{Coins: 80, SPT: 290, Red: 2, Chuck: 2, Bomb: 2, Shuffle: 1, Comet: 1, Unlimited Lives: 55, Unlimited Red: 10}</v>
      </c>
      <c r="AO8" s="390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24</v>
      </c>
      <c r="AP8" s="391" t="str">
        <f t="array" ref="AP8">IF($AH8="","",IF(AO8=0,"{}",LET(m,AO8,s,MMULT(SEQUENCE(1,m,1,0),N($E$16:$Y$45)),"{"&amp;TEXTJOIN(", ",TRUE,IF(s&gt;0,$E$15:$Y$15&amp;": "&amp;ROUND(s,2),""))&amp;"}")))</f>
        <v>{Coins: 580, SPT: 840, Red: 4, Chuck: 4, Bomb: 2, Shuffle: 3, Comet: 2, Unlimited Lives: 100, Unlimited Red: 10, Unlimited Chuck: 10}</v>
      </c>
      <c r="AQ8" s="390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28</v>
      </c>
      <c r="AR8" s="391" t="str">
        <f t="array" ref="AR8">IF($AH8="","",IF(AQ8=0,"{}",LET(m,AQ8,s,MMULT(SEQUENCE(1,m,1,0),N($E$16:$Y$45)),"{"&amp;TEXTJOIN(", ",TRUE,IF(s&gt;0,$E$15:$Y$15&amp;": "&amp;ROUND(s,2),""))&amp;"}")))</f>
        <v>{Coins: 580, SPT: 1440, Red: 4, Chuck: 4, Bomb: 4, Shuffle: 3, Comet: 2, Unlimited Lives: 220, Unlimited Red: 10, Unlimited Chuck: 10}</v>
      </c>
    </row>
    <row r="9">
      <c r="A9" s="386"/>
      <c r="B9" s="387"/>
      <c r="C9" s="328"/>
      <c r="D9" s="328"/>
      <c r="E9" s="328"/>
      <c r="F9" s="328"/>
      <c r="G9" s="328"/>
      <c r="H9" s="328"/>
      <c r="I9" s="328"/>
      <c r="J9" s="328"/>
      <c r="K9" s="328"/>
      <c r="L9" s="328"/>
      <c r="M9" s="328"/>
      <c r="N9" s="328"/>
      <c r="O9" s="328"/>
      <c r="P9" s="328"/>
      <c r="Q9" s="328"/>
      <c r="R9" s="328"/>
      <c r="S9" s="328"/>
      <c r="T9" s="328"/>
      <c r="U9" s="328"/>
      <c r="V9" s="328"/>
      <c r="W9" s="172"/>
      <c r="X9" s="172"/>
      <c r="Y9" s="172"/>
      <c r="Z9" s="172"/>
      <c r="AA9" s="172"/>
      <c r="AB9" s="172"/>
      <c r="AC9" s="172"/>
      <c r="AD9" s="172"/>
      <c r="AE9" s="172"/>
      <c r="AF9" s="172"/>
      <c r="AG9" s="172"/>
      <c r="AH9" s="389">
        <f>IF(4&lt;=$B$3,4,"")</f>
        <v>4</v>
      </c>
      <c r="AI9" s="390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7</v>
      </c>
      <c r="AJ9" s="391" t="str">
        <f t="array" ref="AJ9">IF($AH9="","",IF(AI9=0,"{}",LET(m,AI9,s,MMULT(SEQUENCE(1,m,1,0),N($E$16:$Y$45)),"{"&amp;TEXTJOIN(", ",TRUE,IF(s&gt;0,$E$15:$Y$15&amp;": "&amp;ROUND(s,2),""))&amp;"}")))</f>
        <v>{Coins: 10, SPT: 40, Red: 2, Chuck: 1, Unlimited Lives: 25}</v>
      </c>
      <c r="AK9" s="390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14</v>
      </c>
      <c r="AL9" s="391" t="str">
        <f t="array" ref="AL9">IF($AH9="","",IF(AK9=0,"{}",LET(m,AK9,s,MMULT(SEQUENCE(1,m,1,0),N($E$16:$Y$45)),"{"&amp;TEXTJOIN(", ",TRUE,IF(s&gt;0,$E$15:$Y$15&amp;": "&amp;ROUND(s,2),""))&amp;"}")))</f>
        <v>{Coins: 30, SPT: 90, Red: 2, Chuck: 2, Bomb: 1, Shuffle: 1, Comet: 1, Unlimited Lives: 55, Unlimited Red: 10}</v>
      </c>
      <c r="AM9" s="390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20</v>
      </c>
      <c r="AN9" s="391" t="str">
        <f t="array" ref="AN9">IF($AH9="","",IF(AM9=0,"{}",LET(m,AM9,s,MMULT(SEQUENCE(1,m,1,0),N($E$16:$Y$45)),"{"&amp;TEXTJOIN(", ",TRUE,IF(s&gt;0,$E$15:$Y$15&amp;": "&amp;ROUND(s,2),""))&amp;"}")))</f>
        <v>{Coins: 230, SPT: 290, Red: 4, Chuck: 2, Bomb: 2, Shuffle: 2, Comet: 1, Unlimited Lives: 100, Unlimited Red: 10}</v>
      </c>
      <c r="AO9" s="390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26</v>
      </c>
      <c r="AP9" s="391" t="str">
        <f t="array" ref="AP9">IF($AH9="","",IF(AO9=0,"{}",LET(m,AO9,s,MMULT(SEQUENCE(1,m,1,0),N($E$16:$Y$45)),"{"&amp;TEXTJOIN(", ",TRUE,IF(s&gt;0,$E$15:$Y$15&amp;": "&amp;ROUND(s,2),""))&amp;"}")))</f>
        <v>{Coins: 580, SPT: 840, Red: 4, Chuck: 4, Bomb: 4, Shuffle: 3, Comet: 2, Unlimited Lives: 160, Unlimited Red: 10, Unlimited Chuck: 10}</v>
      </c>
      <c r="AQ9" s="390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29</v>
      </c>
      <c r="AR9" s="391" t="str">
        <f t="array" ref="AR9">IF($AH9="","",IF(AQ9=0,"{}",LET(m,AQ9,s,MMULT(SEQUENCE(1,m,1,0),N($E$16:$Y$45)),"{"&amp;TEXTJOIN(", ",TRUE,IF(s&gt;0,$E$15:$Y$15&amp;": "&amp;ROUND(s,2),""))&amp;"}")))</f>
        <v>{Coins: 580, SPT: 1440, Red: 4, Chuck: 4, Bomb: 7, Shuffle: 3, Comet: 2, Unlimited Lives: 220, Unlimited Red: 10, Unlimited Chuck: 10}</v>
      </c>
    </row>
    <row r="10">
      <c r="A10" s="386"/>
      <c r="B10" s="387"/>
      <c r="C10" s="328"/>
      <c r="D10" s="328"/>
      <c r="E10" s="328"/>
      <c r="F10" s="328"/>
      <c r="G10" s="328"/>
      <c r="H10" s="328"/>
      <c r="I10" s="328"/>
      <c r="J10" s="328"/>
      <c r="K10" s="328"/>
      <c r="L10" s="328"/>
      <c r="M10" s="328"/>
      <c r="N10" s="328"/>
      <c r="O10" s="328"/>
      <c r="P10" s="328"/>
      <c r="Q10" s="328"/>
      <c r="R10" s="328"/>
      <c r="S10" s="328"/>
      <c r="T10" s="328"/>
      <c r="U10" s="328"/>
      <c r="V10" s="328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389" t="str">
        <f>IF(5&lt;=$B$3,5,"")</f>
        <v/>
      </c>
      <c r="AI10" s="390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391" t="str">
        <f t="array" ref="AJ10">IF($AH10="","",IF(AI10=0,"{}",LET(m,AI10,s,MMULT(SEQUENCE(1,m,1,0),$E$16:$Y$45),"{"&amp;TEXTJOIN(", ",TRUE,IF(s&gt;0,$E$15:$Y$15&amp;": "&amp;ROUND(s,2),""))&amp;"}")))</f>
        <v/>
      </c>
      <c r="AK10" s="390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391" t="str">
        <f t="array" ref="AL10">IF($AH10="","",IF(AK10=0,"{}",LET(m,AK10,s,MMULT(SEQUENCE(1,m,1,0),$E$16:$Y$45),"{"&amp;TEXTJOIN(", ",TRUE,IF(s&gt;0,$E$15:$Y$15&amp;": "&amp;ROUND(s,2),""))&amp;"}")))</f>
        <v/>
      </c>
      <c r="AM10" s="390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391" t="str">
        <f t="array" ref="AN10">IF($AH10="","",IF(AM10=0,"{}",LET(m,AM10,s,MMULT(SEQUENCE(1,m,1,0),$E$16:$Y$45),"{"&amp;TEXTJOIN(", ",TRUE,IF(s&gt;0,$E$15:$Y$15&amp;": "&amp;ROUND(s,2),""))&amp;"}")))</f>
        <v/>
      </c>
      <c r="AO10" s="390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391" t="str">
        <f t="array" ref="AP10">IF($AH10="","",IF(AO10=0,"{}",LET(m,AO10,s,MMULT(SEQUENCE(1,m,1,0),$E$16:$Y$45),"{"&amp;TEXTJOIN(", ",TRUE,IF(s&gt;0,$E$15:$Y$15&amp;": "&amp;ROUND(s,2),""))&amp;"}")))</f>
        <v/>
      </c>
      <c r="AQ10" s="390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391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86"/>
      <c r="B11" s="387"/>
      <c r="C11" s="328"/>
      <c r="D11" s="328"/>
      <c r="E11" s="328"/>
      <c r="F11" s="328"/>
      <c r="G11" s="328"/>
      <c r="H11" s="328"/>
      <c r="I11" s="328"/>
      <c r="J11" s="328"/>
      <c r="K11" s="328"/>
      <c r="L11" s="328"/>
      <c r="M11" s="328"/>
      <c r="N11" s="328"/>
      <c r="O11" s="328"/>
      <c r="P11" s="328"/>
      <c r="Q11" s="328"/>
      <c r="R11" s="328"/>
      <c r="S11" s="328"/>
      <c r="T11" s="328"/>
      <c r="U11" s="328"/>
      <c r="V11" s="328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389" t="str">
        <f>IF(6&lt;=$B$3,6,"")</f>
        <v/>
      </c>
      <c r="AI11" s="390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391" t="str">
        <f t="array" ref="AJ11">IF($AH11="","",IF(AI11=0,"{}",LET(m,AI11,s,MMULT(SEQUENCE(1,m,1,0),$E$16:$Y$45),"{"&amp;TEXTJOIN(", ",TRUE,IF(s&gt;0,$E$15:$Y$15&amp;": "&amp;ROUND(s,2),""))&amp;"}")))</f>
        <v/>
      </c>
      <c r="AK11" s="390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391" t="str">
        <f t="array" ref="AL11">IF($AH11="","",IF(AK11=0,"{}",LET(m,AK11,s,MMULT(SEQUENCE(1,m,1,0),$E$16:$Y$45),"{"&amp;TEXTJOIN(", ",TRUE,IF(s&gt;0,$E$15:$Y$15&amp;": "&amp;ROUND(s,2),""))&amp;"}")))</f>
        <v/>
      </c>
      <c r="AM11" s="390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391" t="str">
        <f t="array" ref="AN11">IF($AH11="","",IF(AM11=0,"{}",LET(m,AM11,s,MMULT(SEQUENCE(1,m,1,0),$E$16:$Y$45),"{"&amp;TEXTJOIN(", ",TRUE,IF(s&gt;0,$E$15:$Y$15&amp;": "&amp;ROUND(s,2),""))&amp;"}")))</f>
        <v/>
      </c>
      <c r="AO11" s="390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391" t="str">
        <f t="array" ref="AP11">IF($AH11="","",IF(AO11=0,"{}",LET(m,AO11,s,MMULT(SEQUENCE(1,m,1,0),$E$16:$Y$45),"{"&amp;TEXTJOIN(", ",TRUE,IF(s&gt;0,$E$15:$Y$15&amp;": "&amp;ROUND(s,2),""))&amp;"}")))</f>
        <v/>
      </c>
      <c r="AQ11" s="390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391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86"/>
      <c r="B12" s="387"/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328"/>
      <c r="O12" s="328"/>
      <c r="P12" s="328"/>
      <c r="Q12" s="328"/>
      <c r="R12" s="328"/>
      <c r="S12" s="328"/>
      <c r="T12" s="328"/>
      <c r="U12" s="328"/>
      <c r="V12" s="328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172"/>
      <c r="AH12" s="389" t="str">
        <f>IF(7&lt;=$B$3,7,"")</f>
        <v/>
      </c>
      <c r="AI12" s="390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391" t="str">
        <f t="array" ref="AJ12">IF($AH12="","",IF(AI12=0,"{}",LET(m,AI12,s,MMULT(SEQUENCE(1,m,1,0),$E$16:$Y$45),"{"&amp;TEXTJOIN(", ",TRUE,IF(s&gt;0,$E$15:$Y$15&amp;": "&amp;ROUND(s,2),""))&amp;"}")))</f>
        <v/>
      </c>
      <c r="AK12" s="390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391" t="str">
        <f t="array" ref="AL12">IF($AH12="","",IF(AK12=0,"{}",LET(m,AK12,s,MMULT(SEQUENCE(1,m,1,0),$E$16:$Y$45),"{"&amp;TEXTJOIN(", ",TRUE,IF(s&gt;0,$E$15:$Y$15&amp;": "&amp;ROUND(s,2),""))&amp;"}")))</f>
        <v/>
      </c>
      <c r="AM12" s="390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391" t="str">
        <f t="array" ref="AN12">IF($AH12="","",IF(AM12=0,"{}",LET(m,AM12,s,MMULT(SEQUENCE(1,m,1,0),$E$16:$Y$45),"{"&amp;TEXTJOIN(", ",TRUE,IF(s&gt;0,$E$15:$Y$15&amp;": "&amp;ROUND(s,2),""))&amp;"}")))</f>
        <v/>
      </c>
      <c r="AO12" s="390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391" t="str">
        <f t="array" ref="AP12">IF($AH12="","",IF(AO12=0,"{}",LET(m,AO12,s,MMULT(SEQUENCE(1,m,1,0),$E$16:$Y$45),"{"&amp;TEXTJOIN(", ",TRUE,IF(s&gt;0,$E$15:$Y$15&amp;": "&amp;ROUND(s,2),""))&amp;"}")))</f>
        <v/>
      </c>
      <c r="AQ12" s="390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391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28"/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328"/>
      <c r="O13" s="328"/>
      <c r="P13" s="328"/>
      <c r="Q13" s="328"/>
      <c r="R13" s="328"/>
      <c r="S13" s="328"/>
      <c r="T13" s="328"/>
      <c r="U13" s="328"/>
      <c r="V13" s="328"/>
      <c r="W13" s="172"/>
      <c r="X13" s="172"/>
      <c r="Y13" s="172"/>
      <c r="Z13" s="172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2"/>
    </row>
    <row r="14" ht="19.5" customHeight="1">
      <c r="A14" s="392" t="s">
        <v>367</v>
      </c>
      <c r="B14" s="352"/>
      <c r="C14" s="352"/>
      <c r="D14" s="352"/>
      <c r="E14" s="352"/>
      <c r="F14" s="352"/>
      <c r="G14" s="352"/>
      <c r="H14" s="352"/>
      <c r="I14" s="352"/>
      <c r="J14" s="352"/>
      <c r="K14" s="352"/>
      <c r="L14" s="352"/>
      <c r="M14" s="352"/>
      <c r="N14" s="352"/>
      <c r="O14" s="352"/>
      <c r="P14" s="352"/>
      <c r="Q14" s="352"/>
      <c r="R14" s="352"/>
      <c r="S14" s="352"/>
      <c r="T14" s="352"/>
      <c r="U14" s="352"/>
      <c r="V14" s="352"/>
      <c r="W14" s="352"/>
      <c r="X14" s="352"/>
      <c r="Y14" s="352"/>
      <c r="Z14" s="172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2"/>
    </row>
    <row r="15" ht="90.75" customHeight="1">
      <c r="A15" s="419" t="s">
        <v>174</v>
      </c>
      <c r="B15" s="185" t="s">
        <v>368</v>
      </c>
      <c r="C15" s="185" t="s">
        <v>369</v>
      </c>
      <c r="D15" s="185" t="s">
        <v>370</v>
      </c>
      <c r="E15" s="374" t="s">
        <v>76</v>
      </c>
      <c r="F15" s="257" t="s">
        <v>46</v>
      </c>
      <c r="G15" s="257" t="s">
        <v>121</v>
      </c>
      <c r="H15" s="257" t="s">
        <v>47</v>
      </c>
      <c r="I15" s="257" t="s">
        <v>48</v>
      </c>
      <c r="J15" s="257" t="s">
        <v>50</v>
      </c>
      <c r="K15" s="257" t="s">
        <v>52</v>
      </c>
      <c r="L15" s="257" t="s">
        <v>53</v>
      </c>
      <c r="M15" s="257" t="s">
        <v>54</v>
      </c>
      <c r="N15" s="257" t="s">
        <v>55</v>
      </c>
      <c r="O15" s="257" t="s">
        <v>56</v>
      </c>
      <c r="P15" s="257" t="s">
        <v>57</v>
      </c>
      <c r="Q15" s="257" t="s">
        <v>58</v>
      </c>
      <c r="R15" s="257" t="s">
        <v>135</v>
      </c>
      <c r="S15" s="257" t="s">
        <v>122</v>
      </c>
      <c r="T15" s="257" t="s">
        <v>123</v>
      </c>
      <c r="U15" s="257" t="s">
        <v>124</v>
      </c>
      <c r="V15" s="257" t="s">
        <v>125</v>
      </c>
      <c r="W15" s="257" t="s">
        <v>126</v>
      </c>
      <c r="X15" s="257" t="s">
        <v>127</v>
      </c>
      <c r="Y15" s="257" t="s">
        <v>128</v>
      </c>
      <c r="Z15" s="172"/>
      <c r="AA15" s="420" t="s">
        <v>371</v>
      </c>
      <c r="AB15" s="421"/>
      <c r="AC15" s="172"/>
      <c r="AD15" s="172"/>
      <c r="AE15" s="172"/>
      <c r="AF15" s="172"/>
      <c r="AG15" s="172"/>
      <c r="AH15" s="172"/>
      <c r="AI15" s="172"/>
      <c r="AJ15" s="422"/>
      <c r="AK15" s="172"/>
      <c r="AL15" s="172"/>
      <c r="AM15" s="172"/>
      <c r="AN15" s="172"/>
      <c r="AO15" s="172"/>
      <c r="AP15" s="172"/>
      <c r="AQ15" s="172"/>
      <c r="AR15" s="172"/>
    </row>
    <row r="16" ht="15.75" customHeight="1">
      <c r="A16" s="368">
        <v>1.0</v>
      </c>
      <c r="B16" s="423">
        <v>880.0</v>
      </c>
      <c r="C16" s="368">
        <v>160.0</v>
      </c>
      <c r="D16" s="395" t="b">
        <f>IFERROR(__xludf.DUMMYFUNCTION("if(countif($E16:$Y16, ""&lt;&gt;0"")&lt;1, ""NO REWARD!"", if(counta(filter($E16:$Y16, $E16:$Y16&lt;&gt;0))&gt;1, TRUE, FALSE))"),FALSE)</f>
        <v>0</v>
      </c>
      <c r="E16" s="377">
        <v>0.0</v>
      </c>
      <c r="F16" s="248">
        <v>0.0</v>
      </c>
      <c r="G16" s="248">
        <v>0.0</v>
      </c>
      <c r="H16" s="248">
        <v>1.0</v>
      </c>
      <c r="I16" s="248">
        <v>0.0</v>
      </c>
      <c r="J16" s="248">
        <v>0.0</v>
      </c>
      <c r="K16" s="248">
        <v>0.0</v>
      </c>
      <c r="L16" s="248">
        <v>0.0</v>
      </c>
      <c r="M16" s="248">
        <v>0.0</v>
      </c>
      <c r="N16" s="248">
        <v>0.0</v>
      </c>
      <c r="O16" s="248">
        <v>0.0</v>
      </c>
      <c r="P16" s="248">
        <v>0.0</v>
      </c>
      <c r="Q16" s="248">
        <v>0.0</v>
      </c>
      <c r="R16" s="248">
        <v>0.0</v>
      </c>
      <c r="S16" s="248">
        <v>0.0</v>
      </c>
      <c r="T16" s="248">
        <v>0.0</v>
      </c>
      <c r="U16" s="248">
        <v>0.0</v>
      </c>
      <c r="V16" s="248">
        <v>0.0</v>
      </c>
      <c r="W16" s="248">
        <v>0.0</v>
      </c>
      <c r="X16" s="248">
        <v>0.0</v>
      </c>
      <c r="Y16" s="248">
        <v>0.0</v>
      </c>
      <c r="Z16" s="172"/>
      <c r="AA16" s="424">
        <f t="shared" ref="AA16:AA45" si="1">C16/500</f>
        <v>0.32</v>
      </c>
      <c r="AB16" s="172"/>
      <c r="AC16" s="172"/>
      <c r="AD16" s="172"/>
      <c r="AE16" s="172"/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2"/>
    </row>
    <row r="17" ht="15.75" customHeight="1">
      <c r="A17" s="368">
        <v>2.0</v>
      </c>
      <c r="B17" s="423">
        <v>1100.0</v>
      </c>
      <c r="C17" s="368">
        <v>460.0</v>
      </c>
      <c r="D17" s="396" t="b">
        <f>IFERROR(__xludf.DUMMYFUNCTION("if(countif($E17:$Y17, ""&lt;&gt;0"")&lt;1, ""NO REWARD!"", if(counta(filter($E17:$Y17, $E17:$Y17&lt;&gt;0))&gt;1, TRUE, FALSE))"),FALSE)</f>
        <v>0</v>
      </c>
      <c r="E17" s="377">
        <v>10.0</v>
      </c>
      <c r="F17" s="248">
        <v>0.0</v>
      </c>
      <c r="G17" s="248">
        <v>0.0</v>
      </c>
      <c r="H17" s="248">
        <v>0.0</v>
      </c>
      <c r="I17" s="248">
        <v>0.0</v>
      </c>
      <c r="J17" s="248">
        <v>0.0</v>
      </c>
      <c r="K17" s="248">
        <v>0.0</v>
      </c>
      <c r="L17" s="248">
        <v>0.0</v>
      </c>
      <c r="M17" s="248">
        <v>0.0</v>
      </c>
      <c r="N17" s="248">
        <v>0.0</v>
      </c>
      <c r="O17" s="248">
        <v>0.0</v>
      </c>
      <c r="P17" s="248">
        <v>0.0</v>
      </c>
      <c r="Q17" s="248">
        <v>0.0</v>
      </c>
      <c r="R17" s="248">
        <v>0.0</v>
      </c>
      <c r="S17" s="248">
        <v>0.0</v>
      </c>
      <c r="T17" s="248">
        <v>0.0</v>
      </c>
      <c r="U17" s="248">
        <v>0.0</v>
      </c>
      <c r="V17" s="248">
        <v>0.0</v>
      </c>
      <c r="W17" s="248">
        <v>0.0</v>
      </c>
      <c r="X17" s="248">
        <v>0.0</v>
      </c>
      <c r="Y17" s="248">
        <v>0.0</v>
      </c>
      <c r="Z17" s="172"/>
      <c r="AA17" s="424">
        <f t="shared" si="1"/>
        <v>0.92</v>
      </c>
      <c r="AB17" s="172"/>
      <c r="AC17" s="172"/>
      <c r="AD17" s="172"/>
      <c r="AE17" s="172"/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2"/>
    </row>
    <row r="18" ht="15.75" customHeight="1">
      <c r="A18" s="368">
        <v>3.0</v>
      </c>
      <c r="B18" s="423">
        <v>2630.0</v>
      </c>
      <c r="C18" s="368">
        <v>1460.0</v>
      </c>
      <c r="D18" s="397" t="b">
        <f>IFERROR(__xludf.DUMMYFUNCTION("if(countif($E18:$Y18, ""&lt;&gt;0"")&lt;1, ""NO REWARD!"", if(counta(filter($E18:$Y18, $E18:$Y18&lt;&gt;0))&gt;1, TRUE, FALSE))"),FALSE)</f>
        <v>0</v>
      </c>
      <c r="E18" s="377">
        <v>0.0</v>
      </c>
      <c r="F18" s="248">
        <v>0.0</v>
      </c>
      <c r="G18" s="248">
        <v>0.0</v>
      </c>
      <c r="H18" s="248">
        <v>0.0</v>
      </c>
      <c r="I18" s="248">
        <v>0.0</v>
      </c>
      <c r="J18" s="248">
        <v>0.0</v>
      </c>
      <c r="K18" s="248">
        <v>0.0</v>
      </c>
      <c r="L18" s="248">
        <v>0.0</v>
      </c>
      <c r="M18" s="248">
        <v>0.0</v>
      </c>
      <c r="N18" s="248">
        <v>10.0</v>
      </c>
      <c r="O18" s="248">
        <v>0.0</v>
      </c>
      <c r="P18" s="248">
        <v>0.0</v>
      </c>
      <c r="Q18" s="248">
        <v>0.0</v>
      </c>
      <c r="R18" s="248">
        <v>0.0</v>
      </c>
      <c r="S18" s="248">
        <v>0.0</v>
      </c>
      <c r="T18" s="248">
        <v>0.0</v>
      </c>
      <c r="U18" s="248">
        <v>0.0</v>
      </c>
      <c r="V18" s="248">
        <v>0.0</v>
      </c>
      <c r="W18" s="248">
        <v>0.0</v>
      </c>
      <c r="X18" s="248">
        <v>0.0</v>
      </c>
      <c r="Y18" s="248">
        <v>0.0</v>
      </c>
      <c r="Z18" s="172"/>
      <c r="AA18" s="424">
        <f t="shared" si="1"/>
        <v>2.92</v>
      </c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</row>
    <row r="19" ht="15.75" customHeight="1">
      <c r="A19" s="368">
        <v>4.0</v>
      </c>
      <c r="B19" s="423">
        <v>880.0</v>
      </c>
      <c r="C19" s="368">
        <v>1710.0</v>
      </c>
      <c r="D19" s="396" t="b">
        <f>IFERROR(__xludf.DUMMYFUNCTION("if(countif($E19:$Y19, ""&lt;&gt;0"")&lt;1, ""NO REWARD!"", if(counta(filter($E19:$Y19, $E19:$Y19&lt;&gt;0))&gt;1, TRUE, FALSE))"),FALSE)</f>
        <v>0</v>
      </c>
      <c r="E19" s="377">
        <v>0.0</v>
      </c>
      <c r="F19" s="248">
        <v>10.0</v>
      </c>
      <c r="G19" s="248">
        <v>0.0</v>
      </c>
      <c r="H19" s="248">
        <v>0.0</v>
      </c>
      <c r="I19" s="248">
        <v>0.0</v>
      </c>
      <c r="J19" s="248">
        <v>0.0</v>
      </c>
      <c r="K19" s="248">
        <v>0.0</v>
      </c>
      <c r="L19" s="248">
        <v>0.0</v>
      </c>
      <c r="M19" s="248">
        <v>0.0</v>
      </c>
      <c r="N19" s="248">
        <v>0.0</v>
      </c>
      <c r="O19" s="248">
        <v>0.0</v>
      </c>
      <c r="P19" s="248">
        <v>0.0</v>
      </c>
      <c r="Q19" s="248">
        <v>0.0</v>
      </c>
      <c r="R19" s="248">
        <v>0.0</v>
      </c>
      <c r="S19" s="248">
        <v>0.0</v>
      </c>
      <c r="T19" s="248">
        <v>0.0</v>
      </c>
      <c r="U19" s="248">
        <v>0.0</v>
      </c>
      <c r="V19" s="248">
        <v>0.0</v>
      </c>
      <c r="W19" s="248">
        <v>0.0</v>
      </c>
      <c r="X19" s="248">
        <v>0.0</v>
      </c>
      <c r="Y19" s="248">
        <v>0.0</v>
      </c>
      <c r="Z19" s="172"/>
      <c r="AA19" s="424">
        <f t="shared" si="1"/>
        <v>3.42</v>
      </c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2"/>
    </row>
    <row r="20" ht="15.75" customHeight="1">
      <c r="A20" s="368">
        <v>5.0</v>
      </c>
      <c r="B20" s="423">
        <v>1100.0</v>
      </c>
      <c r="C20" s="368">
        <v>2210.0</v>
      </c>
      <c r="D20" s="397" t="b">
        <f>IFERROR(__xludf.DUMMYFUNCTION("if(countif($E20:$Y20, ""&lt;&gt;0"")&lt;1, ""NO REWARD!"", if(counta(filter($E20:$Y20, $E20:$Y20&lt;&gt;0))&gt;1, TRUE, FALSE))"),FALSE)</f>
        <v>0</v>
      </c>
      <c r="E20" s="377">
        <v>0.0</v>
      </c>
      <c r="F20" s="248">
        <v>0.0</v>
      </c>
      <c r="G20" s="248">
        <v>0.0</v>
      </c>
      <c r="H20" s="248">
        <v>0.0</v>
      </c>
      <c r="I20" s="248">
        <v>1.0</v>
      </c>
      <c r="J20" s="248">
        <v>0.0</v>
      </c>
      <c r="K20" s="248">
        <v>0.0</v>
      </c>
      <c r="L20" s="248">
        <v>0.0</v>
      </c>
      <c r="M20" s="248">
        <v>0.0</v>
      </c>
      <c r="N20" s="248">
        <v>0.0</v>
      </c>
      <c r="O20" s="248">
        <v>0.0</v>
      </c>
      <c r="P20" s="248">
        <v>0.0</v>
      </c>
      <c r="Q20" s="248">
        <v>0.0</v>
      </c>
      <c r="R20" s="248">
        <v>0.0</v>
      </c>
      <c r="S20" s="248">
        <v>0.0</v>
      </c>
      <c r="T20" s="248">
        <v>0.0</v>
      </c>
      <c r="U20" s="248">
        <v>0.0</v>
      </c>
      <c r="V20" s="248">
        <v>0.0</v>
      </c>
      <c r="W20" s="248">
        <v>0.0</v>
      </c>
      <c r="X20" s="248">
        <v>0.0</v>
      </c>
      <c r="Y20" s="248">
        <v>0.0</v>
      </c>
      <c r="Z20" s="172"/>
      <c r="AA20" s="424">
        <f t="shared" si="1"/>
        <v>4.42</v>
      </c>
      <c r="AB20" s="172"/>
      <c r="AC20" s="172"/>
      <c r="AD20" s="172"/>
      <c r="AE20" s="172"/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2"/>
    </row>
    <row r="21" ht="15.75" customHeight="1">
      <c r="A21" s="368">
        <v>6.0</v>
      </c>
      <c r="B21" s="423">
        <v>2630.0</v>
      </c>
      <c r="C21" s="368">
        <v>3810.0</v>
      </c>
      <c r="D21" s="396" t="b">
        <f>IFERROR(__xludf.DUMMYFUNCTION("if(countif($E21:$Y21, ""&lt;&gt;0"")&lt;1, ""NO REWARD!"", if(counta(filter($E21:$Y21, $E21:$Y21&lt;&gt;0))&gt;1, TRUE, FALSE))"),TRUE)</f>
        <v>1</v>
      </c>
      <c r="E21" s="377">
        <v>0.0</v>
      </c>
      <c r="F21" s="248">
        <v>0.0</v>
      </c>
      <c r="G21" s="248">
        <v>0.0</v>
      </c>
      <c r="H21" s="248">
        <v>1.0</v>
      </c>
      <c r="I21" s="248">
        <v>0.0</v>
      </c>
      <c r="J21" s="248">
        <v>0.0</v>
      </c>
      <c r="K21" s="248">
        <v>0.0</v>
      </c>
      <c r="L21" s="248">
        <v>0.0</v>
      </c>
      <c r="M21" s="248">
        <v>0.0</v>
      </c>
      <c r="N21" s="248">
        <v>15.0</v>
      </c>
      <c r="O21" s="248">
        <v>0.0</v>
      </c>
      <c r="P21" s="248">
        <v>0.0</v>
      </c>
      <c r="Q21" s="248">
        <v>0.0</v>
      </c>
      <c r="R21" s="248">
        <v>0.0</v>
      </c>
      <c r="S21" s="248">
        <v>0.0</v>
      </c>
      <c r="T21" s="248">
        <v>0.0</v>
      </c>
      <c r="U21" s="248">
        <v>0.0</v>
      </c>
      <c r="V21" s="248">
        <v>0.0</v>
      </c>
      <c r="W21" s="248">
        <v>0.0</v>
      </c>
      <c r="X21" s="248">
        <v>0.0</v>
      </c>
      <c r="Y21" s="248">
        <v>0.0</v>
      </c>
      <c r="Z21" s="172"/>
      <c r="AA21" s="424">
        <f t="shared" si="1"/>
        <v>7.62</v>
      </c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2"/>
    </row>
    <row r="22" ht="15.75" customHeight="1">
      <c r="A22" s="368">
        <v>7.0</v>
      </c>
      <c r="B22" s="423">
        <v>880.0</v>
      </c>
      <c r="C22" s="368">
        <v>4310.0</v>
      </c>
      <c r="D22" s="397" t="b">
        <f>IFERROR(__xludf.DUMMYFUNCTION("if(countif($E22:$Y22, ""&lt;&gt;0"")&lt;1, ""NO REWARD!"", if(counta(filter($E22:$Y22, $E22:$Y22&lt;&gt;0))&gt;1, TRUE, FALSE))"),FALSE)</f>
        <v>0</v>
      </c>
      <c r="E22" s="377">
        <v>0.0</v>
      </c>
      <c r="F22" s="248">
        <v>30.0</v>
      </c>
      <c r="G22" s="248">
        <v>0.0</v>
      </c>
      <c r="H22" s="248">
        <v>0.0</v>
      </c>
      <c r="I22" s="248">
        <v>0.0</v>
      </c>
      <c r="J22" s="248">
        <v>0.0</v>
      </c>
      <c r="K22" s="248">
        <v>0.0</v>
      </c>
      <c r="L22" s="248">
        <v>0.0</v>
      </c>
      <c r="M22" s="248">
        <v>0.0</v>
      </c>
      <c r="N22" s="248">
        <v>0.0</v>
      </c>
      <c r="O22" s="248">
        <v>0.0</v>
      </c>
      <c r="P22" s="248">
        <v>0.0</v>
      </c>
      <c r="Q22" s="248">
        <v>0.0</v>
      </c>
      <c r="R22" s="248">
        <v>0.0</v>
      </c>
      <c r="S22" s="248">
        <v>0.0</v>
      </c>
      <c r="T22" s="248">
        <v>0.0</v>
      </c>
      <c r="U22" s="248">
        <v>0.0</v>
      </c>
      <c r="V22" s="248">
        <v>0.0</v>
      </c>
      <c r="W22" s="248">
        <v>0.0</v>
      </c>
      <c r="X22" s="248">
        <v>0.0</v>
      </c>
      <c r="Y22" s="248">
        <v>0.0</v>
      </c>
      <c r="Z22" s="172"/>
      <c r="AA22" s="424">
        <f t="shared" si="1"/>
        <v>8.62</v>
      </c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</row>
    <row r="23" ht="15.75" customHeight="1">
      <c r="A23" s="368">
        <v>8.0</v>
      </c>
      <c r="B23" s="423">
        <v>1100.0</v>
      </c>
      <c r="C23" s="368">
        <v>5310.0</v>
      </c>
      <c r="D23" s="396" t="b">
        <f>IFERROR(__xludf.DUMMYFUNCTION("if(countif($E23:$Y23, ""&lt;&gt;0"")&lt;1, ""NO REWARD!"", if(counta(filter($E23:$Y23, $E23:$Y23&lt;&gt;0))&gt;1, TRUE, FALSE))"),FALSE)</f>
        <v>0</v>
      </c>
      <c r="E23" s="377">
        <v>0.0</v>
      </c>
      <c r="F23" s="248">
        <v>0.0</v>
      </c>
      <c r="G23" s="248">
        <v>0.0</v>
      </c>
      <c r="H23" s="248">
        <v>0.0</v>
      </c>
      <c r="I23" s="248">
        <v>1.0</v>
      </c>
      <c r="J23" s="248">
        <v>0.0</v>
      </c>
      <c r="K23" s="248">
        <v>0.0</v>
      </c>
      <c r="L23" s="248">
        <v>0.0</v>
      </c>
      <c r="M23" s="248">
        <v>0.0</v>
      </c>
      <c r="N23" s="248">
        <v>0.0</v>
      </c>
      <c r="O23" s="248">
        <v>0.0</v>
      </c>
      <c r="P23" s="248">
        <v>0.0</v>
      </c>
      <c r="Q23" s="248">
        <v>0.0</v>
      </c>
      <c r="R23" s="248">
        <v>0.0</v>
      </c>
      <c r="S23" s="248">
        <v>0.0</v>
      </c>
      <c r="T23" s="248">
        <v>0.0</v>
      </c>
      <c r="U23" s="248">
        <v>0.0</v>
      </c>
      <c r="V23" s="248">
        <v>0.0</v>
      </c>
      <c r="W23" s="248">
        <v>0.0</v>
      </c>
      <c r="X23" s="248">
        <v>0.0</v>
      </c>
      <c r="Y23" s="248">
        <v>0.0</v>
      </c>
      <c r="Z23" s="172"/>
      <c r="AA23" s="424">
        <f t="shared" si="1"/>
        <v>10.62</v>
      </c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</row>
    <row r="24" ht="15.75" customHeight="1">
      <c r="A24" s="368">
        <v>9.0</v>
      </c>
      <c r="B24" s="423">
        <v>2630.0</v>
      </c>
      <c r="C24" s="368">
        <v>8610.0</v>
      </c>
      <c r="D24" s="397" t="b">
        <f>IFERROR(__xludf.DUMMYFUNCTION("if(countif($E24:$Y24, ""&lt;&gt;0"")&lt;1, ""NO REWARD!"", if(counta(filter($E24:$Y24, $E24:$Y24&lt;&gt;0))&gt;1, TRUE, FALSE))"),FALSE)</f>
        <v>0</v>
      </c>
      <c r="E24" s="377">
        <v>20.0</v>
      </c>
      <c r="F24" s="248">
        <v>0.0</v>
      </c>
      <c r="G24" s="248">
        <v>0.0</v>
      </c>
      <c r="H24" s="248">
        <v>0.0</v>
      </c>
      <c r="I24" s="248">
        <v>0.0</v>
      </c>
      <c r="J24" s="248">
        <v>0.0</v>
      </c>
      <c r="K24" s="248">
        <v>0.0</v>
      </c>
      <c r="L24" s="248">
        <v>0.0</v>
      </c>
      <c r="M24" s="248">
        <v>0.0</v>
      </c>
      <c r="N24" s="248">
        <v>0.0</v>
      </c>
      <c r="O24" s="248">
        <v>0.0</v>
      </c>
      <c r="P24" s="248">
        <v>0.0</v>
      </c>
      <c r="Q24" s="248">
        <v>0.0</v>
      </c>
      <c r="R24" s="248">
        <v>0.0</v>
      </c>
      <c r="S24" s="248">
        <v>0.0</v>
      </c>
      <c r="T24" s="248">
        <v>0.0</v>
      </c>
      <c r="U24" s="248">
        <v>0.0</v>
      </c>
      <c r="V24" s="248">
        <v>0.0</v>
      </c>
      <c r="W24" s="248">
        <v>0.0</v>
      </c>
      <c r="X24" s="248">
        <v>0.0</v>
      </c>
      <c r="Y24" s="248">
        <v>0.0</v>
      </c>
      <c r="Z24" s="172"/>
      <c r="AA24" s="424">
        <f t="shared" si="1"/>
        <v>17.22</v>
      </c>
      <c r="AB24" s="172"/>
      <c r="AC24" s="172"/>
      <c r="AD24" s="172"/>
      <c r="AE24" s="172"/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2"/>
    </row>
    <row r="25" ht="15.75" customHeight="1">
      <c r="A25" s="368">
        <v>10.0</v>
      </c>
      <c r="B25" s="423">
        <v>880.0</v>
      </c>
      <c r="C25" s="368">
        <v>9710.0</v>
      </c>
      <c r="D25" s="396" t="b">
        <f>IFERROR(__xludf.DUMMYFUNCTION("if(countif($E25:$Y25, ""&lt;&gt;0"")&lt;1, ""NO REWARD!"", if(counta(filter($E25:$Y25, $E25:$Y25&lt;&gt;0))&gt;1, TRUE, FALSE))"),FALSE)</f>
        <v>0</v>
      </c>
      <c r="E25" s="377">
        <v>0.0</v>
      </c>
      <c r="F25" s="248">
        <v>50.0</v>
      </c>
      <c r="G25" s="248">
        <v>0.0</v>
      </c>
      <c r="H25" s="248">
        <v>0.0</v>
      </c>
      <c r="I25" s="248">
        <v>0.0</v>
      </c>
      <c r="J25" s="248">
        <v>0.0</v>
      </c>
      <c r="K25" s="248">
        <v>0.0</v>
      </c>
      <c r="L25" s="248">
        <v>0.0</v>
      </c>
      <c r="M25" s="248">
        <v>0.0</v>
      </c>
      <c r="N25" s="248">
        <v>0.0</v>
      </c>
      <c r="O25" s="248">
        <v>0.0</v>
      </c>
      <c r="P25" s="248">
        <v>0.0</v>
      </c>
      <c r="Q25" s="248">
        <v>0.0</v>
      </c>
      <c r="R25" s="248">
        <v>0.0</v>
      </c>
      <c r="S25" s="248">
        <v>0.0</v>
      </c>
      <c r="T25" s="248">
        <v>0.0</v>
      </c>
      <c r="U25" s="248">
        <v>0.0</v>
      </c>
      <c r="V25" s="248">
        <v>0.0</v>
      </c>
      <c r="W25" s="248">
        <v>0.0</v>
      </c>
      <c r="X25" s="248">
        <v>0.0</v>
      </c>
      <c r="Y25" s="248">
        <v>0.0</v>
      </c>
      <c r="Z25" s="172"/>
      <c r="AA25" s="424">
        <f t="shared" si="1"/>
        <v>19.42</v>
      </c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</row>
    <row r="26" ht="15.75" customHeight="1">
      <c r="A26" s="368">
        <v>11.0</v>
      </c>
      <c r="B26" s="423">
        <v>1100.0</v>
      </c>
      <c r="C26" s="368">
        <v>11910.0</v>
      </c>
      <c r="D26" s="397" t="b">
        <f>IFERROR(__xludf.DUMMYFUNCTION("if(countif($E26:$Y26, ""&lt;&gt;0"")&lt;1, ""NO REWARD!"", if(counta(filter($E26:$Y26, $E26:$Y26&lt;&gt;0))&gt;1, TRUE, FALSE))"),FALSE)</f>
        <v>0</v>
      </c>
      <c r="E26" s="377">
        <v>0.0</v>
      </c>
      <c r="F26" s="248">
        <v>0.0</v>
      </c>
      <c r="G26" s="248">
        <v>0.0</v>
      </c>
      <c r="H26" s="248">
        <v>0.0</v>
      </c>
      <c r="I26" s="248">
        <v>0.0</v>
      </c>
      <c r="J26" s="248">
        <v>0.0</v>
      </c>
      <c r="K26" s="248">
        <v>0.0</v>
      </c>
      <c r="L26" s="248">
        <v>1.0</v>
      </c>
      <c r="M26" s="248">
        <v>0.0</v>
      </c>
      <c r="N26" s="248">
        <v>0.0</v>
      </c>
      <c r="O26" s="248">
        <v>0.0</v>
      </c>
      <c r="P26" s="248">
        <v>0.0</v>
      </c>
      <c r="Q26" s="248">
        <v>0.0</v>
      </c>
      <c r="R26" s="248">
        <v>0.0</v>
      </c>
      <c r="S26" s="248">
        <v>0.0</v>
      </c>
      <c r="T26" s="248">
        <v>0.0</v>
      </c>
      <c r="U26" s="248">
        <v>0.0</v>
      </c>
      <c r="V26" s="248">
        <v>0.0</v>
      </c>
      <c r="W26" s="248">
        <v>0.0</v>
      </c>
      <c r="X26" s="248">
        <v>0.0</v>
      </c>
      <c r="Y26" s="248">
        <v>0.0</v>
      </c>
      <c r="Z26" s="172"/>
      <c r="AA26" s="424">
        <f t="shared" si="1"/>
        <v>23.82</v>
      </c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2"/>
    </row>
    <row r="27" ht="15.75" customHeight="1">
      <c r="A27" s="368">
        <v>12.0</v>
      </c>
      <c r="B27" s="423">
        <v>2630.0</v>
      </c>
      <c r="C27" s="368">
        <v>18410.0</v>
      </c>
      <c r="D27" s="395" t="b">
        <f>IFERROR(__xludf.DUMMYFUNCTION("if(countif($E27:$Y27, ""&lt;&gt;0"")&lt;1, ""NO REWARD!"", if(counta(filter($E27:$Y27, $E27:$Y27&lt;&gt;0))&gt;1, TRUE, FALSE))"),TRUE)</f>
        <v>1</v>
      </c>
      <c r="E27" s="377">
        <v>0.0</v>
      </c>
      <c r="F27" s="248">
        <v>0.0</v>
      </c>
      <c r="G27" s="248">
        <v>0.0</v>
      </c>
      <c r="H27" s="248">
        <v>0.0</v>
      </c>
      <c r="I27" s="248">
        <v>0.0</v>
      </c>
      <c r="J27" s="248">
        <v>0.0</v>
      </c>
      <c r="K27" s="248">
        <v>0.0</v>
      </c>
      <c r="L27" s="248">
        <v>0.0</v>
      </c>
      <c r="M27" s="248">
        <v>1.0</v>
      </c>
      <c r="N27" s="248">
        <v>30.0</v>
      </c>
      <c r="O27" s="248">
        <v>0.0</v>
      </c>
      <c r="P27" s="248">
        <v>0.0</v>
      </c>
      <c r="Q27" s="248">
        <v>0.0</v>
      </c>
      <c r="R27" s="248">
        <v>0.0</v>
      </c>
      <c r="S27" s="248">
        <v>0.0</v>
      </c>
      <c r="T27" s="248">
        <v>0.0</v>
      </c>
      <c r="U27" s="248">
        <v>0.0</v>
      </c>
      <c r="V27" s="248">
        <v>0.0</v>
      </c>
      <c r="W27" s="248">
        <v>0.0</v>
      </c>
      <c r="X27" s="248">
        <v>0.0</v>
      </c>
      <c r="Y27" s="248">
        <v>0.0</v>
      </c>
      <c r="Z27" s="172"/>
      <c r="AA27" s="424">
        <f t="shared" si="1"/>
        <v>36.82</v>
      </c>
      <c r="AB27" s="172"/>
      <c r="AC27" s="172"/>
      <c r="AD27" s="172"/>
      <c r="AE27" s="172"/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2"/>
    </row>
    <row r="28" ht="15.75" customHeight="1">
      <c r="A28" s="368">
        <v>13.0</v>
      </c>
      <c r="B28" s="423">
        <v>10600.0</v>
      </c>
      <c r="C28" s="368">
        <v>20610.0</v>
      </c>
      <c r="D28" s="397" t="b">
        <f>IFERROR(__xludf.DUMMYFUNCTION("if(countif($E28:$Y28, ""&lt;&gt;0"")&lt;1, ""NO REWARD!"", if(counta(filter($E28:$Y28, $E28:$Y28&lt;&gt;0))&gt;1, TRUE, FALSE))"),FALSE)</f>
        <v>0</v>
      </c>
      <c r="E28" s="377">
        <v>0.0</v>
      </c>
      <c r="F28" s="248">
        <v>0.0</v>
      </c>
      <c r="G28" s="248">
        <v>0.0</v>
      </c>
      <c r="H28" s="248">
        <v>0.0</v>
      </c>
      <c r="I28" s="248">
        <v>0.0</v>
      </c>
      <c r="J28" s="248">
        <v>1.0</v>
      </c>
      <c r="K28" s="248">
        <v>0.0</v>
      </c>
      <c r="L28" s="248">
        <v>0.0</v>
      </c>
      <c r="M28" s="248">
        <v>0.0</v>
      </c>
      <c r="N28" s="248">
        <v>0.0</v>
      </c>
      <c r="O28" s="425">
        <v>0.0</v>
      </c>
      <c r="P28" s="248">
        <v>0.0</v>
      </c>
      <c r="Q28" s="248">
        <v>0.0</v>
      </c>
      <c r="R28" s="248">
        <v>0.0</v>
      </c>
      <c r="S28" s="248">
        <v>0.0</v>
      </c>
      <c r="T28" s="248">
        <v>0.0</v>
      </c>
      <c r="U28" s="248">
        <v>0.0</v>
      </c>
      <c r="V28" s="248">
        <v>0.0</v>
      </c>
      <c r="W28" s="248">
        <v>0.0</v>
      </c>
      <c r="X28" s="248">
        <v>0.0</v>
      </c>
      <c r="Y28" s="248">
        <v>0.0</v>
      </c>
      <c r="Z28" s="172"/>
      <c r="AA28" s="424">
        <f t="shared" si="1"/>
        <v>41.22</v>
      </c>
      <c r="AB28" s="172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</row>
    <row r="29" ht="15.75" customHeight="1">
      <c r="A29" s="368">
        <v>14.0</v>
      </c>
      <c r="B29" s="423">
        <v>13250.0</v>
      </c>
      <c r="C29" s="368">
        <v>25010.0</v>
      </c>
      <c r="D29" s="396" t="b">
        <f>IFERROR(__xludf.DUMMYFUNCTION("if(countif($E29:$Y29, ""&lt;&gt;0"")&lt;1, ""NO REWARD!"", if(counta(filter($E29:$Y29, $E29:$Y29&lt;&gt;0))&gt;1, TRUE, FALSE))"),FALSE)</f>
        <v>0</v>
      </c>
      <c r="E29" s="377">
        <v>0.0</v>
      </c>
      <c r="F29" s="248">
        <v>0.0</v>
      </c>
      <c r="G29" s="248">
        <v>0.0</v>
      </c>
      <c r="H29" s="248">
        <v>0.0</v>
      </c>
      <c r="I29" s="248">
        <v>0.0</v>
      </c>
      <c r="J29" s="248">
        <v>0.0</v>
      </c>
      <c r="K29" s="248">
        <v>0.0</v>
      </c>
      <c r="L29" s="248">
        <v>0.0</v>
      </c>
      <c r="M29" s="248">
        <v>0.0</v>
      </c>
      <c r="N29" s="248">
        <v>0.0</v>
      </c>
      <c r="O29" s="425">
        <v>10.0</v>
      </c>
      <c r="P29" s="248">
        <v>0.0</v>
      </c>
      <c r="Q29" s="248">
        <v>0.0</v>
      </c>
      <c r="R29" s="248">
        <v>0.0</v>
      </c>
      <c r="S29" s="248">
        <v>0.0</v>
      </c>
      <c r="T29" s="248">
        <v>0.0</v>
      </c>
      <c r="U29" s="248">
        <v>0.0</v>
      </c>
      <c r="V29" s="248">
        <v>0.0</v>
      </c>
      <c r="W29" s="248">
        <v>0.0</v>
      </c>
      <c r="X29" s="248">
        <v>0.0</v>
      </c>
      <c r="Y29" s="248">
        <v>0.0</v>
      </c>
      <c r="Z29" s="172"/>
      <c r="AA29" s="424">
        <f t="shared" si="1"/>
        <v>50.02</v>
      </c>
      <c r="AB29" s="172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</row>
    <row r="30" ht="15.75" customHeight="1">
      <c r="A30" s="368">
        <v>15.0</v>
      </c>
      <c r="B30" s="423">
        <v>31800.0</v>
      </c>
      <c r="C30" s="368">
        <v>38260.0</v>
      </c>
      <c r="D30" s="397" t="b">
        <f>IFERROR(__xludf.DUMMYFUNCTION("if(countif($E30:$Y30, ""&lt;&gt;0"")&lt;1, ""NO REWARD!"", if(counta(filter($E30:$Y30, $E30:$Y30&lt;&gt;0))&gt;1, TRUE, FALSE))"),FALSE)</f>
        <v>0</v>
      </c>
      <c r="E30" s="377">
        <v>0.0</v>
      </c>
      <c r="F30" s="248">
        <v>75.0</v>
      </c>
      <c r="G30" s="248">
        <v>0.0</v>
      </c>
      <c r="H30" s="248">
        <v>0.0</v>
      </c>
      <c r="I30" s="248">
        <v>0.0</v>
      </c>
      <c r="J30" s="248">
        <v>0.0</v>
      </c>
      <c r="K30" s="248">
        <v>0.0</v>
      </c>
      <c r="L30" s="248">
        <v>0.0</v>
      </c>
      <c r="M30" s="248">
        <v>0.0</v>
      </c>
      <c r="N30" s="248">
        <v>0.0</v>
      </c>
      <c r="O30" s="425">
        <v>0.0</v>
      </c>
      <c r="P30" s="248">
        <v>0.0</v>
      </c>
      <c r="Q30" s="248">
        <v>0.0</v>
      </c>
      <c r="R30" s="248">
        <v>0.0</v>
      </c>
      <c r="S30" s="248">
        <v>0.0</v>
      </c>
      <c r="T30" s="248">
        <v>0.0</v>
      </c>
      <c r="U30" s="248">
        <v>0.0</v>
      </c>
      <c r="V30" s="248">
        <v>0.0</v>
      </c>
      <c r="W30" s="248">
        <v>0.0</v>
      </c>
      <c r="X30" s="248">
        <v>0.0</v>
      </c>
      <c r="Y30" s="248">
        <v>0.0</v>
      </c>
      <c r="Z30" s="172"/>
      <c r="AA30" s="424">
        <f t="shared" si="1"/>
        <v>76.52</v>
      </c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</row>
    <row r="31" ht="15.75" customHeight="1">
      <c r="A31" s="368">
        <v>16.0</v>
      </c>
      <c r="B31" s="423">
        <v>10600.0</v>
      </c>
      <c r="C31" s="368">
        <v>41560.0</v>
      </c>
      <c r="D31" s="395" t="b">
        <f>IFERROR(__xludf.DUMMYFUNCTION("if(countif($E31:$Y31, ""&lt;&gt;0"")&lt;1, ""NO REWARD!"", if(counta(filter($E31:$Y31, $E31:$Y31&lt;&gt;0))&gt;1, TRUE, FALSE))"),TRUE)</f>
        <v>1</v>
      </c>
      <c r="E31" s="377">
        <v>50.0</v>
      </c>
      <c r="F31" s="248">
        <v>0.0</v>
      </c>
      <c r="G31" s="248">
        <v>0.0</v>
      </c>
      <c r="H31" s="248">
        <v>0.0</v>
      </c>
      <c r="I31" s="248">
        <v>0.0</v>
      </c>
      <c r="J31" s="248">
        <v>1.0</v>
      </c>
      <c r="K31" s="248">
        <v>0.0</v>
      </c>
      <c r="L31" s="248">
        <v>0.0</v>
      </c>
      <c r="M31" s="248">
        <v>0.0</v>
      </c>
      <c r="N31" s="248">
        <v>0.0</v>
      </c>
      <c r="O31" s="425">
        <v>0.0</v>
      </c>
      <c r="P31" s="248">
        <v>0.0</v>
      </c>
      <c r="Q31" s="248">
        <v>0.0</v>
      </c>
      <c r="R31" s="248">
        <v>0.0</v>
      </c>
      <c r="S31" s="248">
        <v>0.0</v>
      </c>
      <c r="T31" s="248">
        <v>0.0</v>
      </c>
      <c r="U31" s="248">
        <v>0.0</v>
      </c>
      <c r="V31" s="248">
        <v>0.0</v>
      </c>
      <c r="W31" s="248">
        <v>0.0</v>
      </c>
      <c r="X31" s="248">
        <v>0.0</v>
      </c>
      <c r="Y31" s="248">
        <v>0.0</v>
      </c>
      <c r="Z31" s="172"/>
      <c r="AA31" s="424">
        <f t="shared" si="1"/>
        <v>83.12</v>
      </c>
      <c r="AB31" s="172"/>
      <c r="AC31" s="172"/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</row>
    <row r="32" ht="15.75" customHeight="1">
      <c r="A32" s="368">
        <v>17.0</v>
      </c>
      <c r="B32" s="423">
        <v>13250.0</v>
      </c>
      <c r="C32" s="368">
        <v>48060.0</v>
      </c>
      <c r="D32" s="397" t="b">
        <f>IFERROR(__xludf.DUMMYFUNCTION("if(countif($E32:$Y32, ""&lt;&gt;0"")&lt;1, ""NO REWARD!"", if(counta(filter($E32:$Y32, $E32:$Y32&lt;&gt;0))&gt;1, TRUE, FALSE))"),FALSE)</f>
        <v>0</v>
      </c>
      <c r="E32" s="377">
        <v>0.0</v>
      </c>
      <c r="F32" s="248">
        <v>125.0</v>
      </c>
      <c r="G32" s="248">
        <v>0.0</v>
      </c>
      <c r="H32" s="248">
        <v>0.0</v>
      </c>
      <c r="I32" s="248">
        <v>0.0</v>
      </c>
      <c r="J32" s="248">
        <v>0.0</v>
      </c>
      <c r="K32" s="248">
        <v>0.0</v>
      </c>
      <c r="L32" s="248">
        <v>0.0</v>
      </c>
      <c r="M32" s="248">
        <v>0.0</v>
      </c>
      <c r="N32" s="248">
        <v>0.0</v>
      </c>
      <c r="O32" s="425">
        <v>0.0</v>
      </c>
      <c r="P32" s="248">
        <v>0.0</v>
      </c>
      <c r="Q32" s="248">
        <v>0.0</v>
      </c>
      <c r="R32" s="248">
        <v>0.0</v>
      </c>
      <c r="S32" s="248">
        <v>0.0</v>
      </c>
      <c r="T32" s="248">
        <v>0.0</v>
      </c>
      <c r="U32" s="248">
        <v>0.0</v>
      </c>
      <c r="V32" s="248">
        <v>0.0</v>
      </c>
      <c r="W32" s="248">
        <v>0.0</v>
      </c>
      <c r="X32" s="248">
        <v>0.0</v>
      </c>
      <c r="Y32" s="248">
        <v>0.0</v>
      </c>
      <c r="Z32" s="172"/>
      <c r="AA32" s="424">
        <f t="shared" si="1"/>
        <v>96.12</v>
      </c>
      <c r="AB32" s="172"/>
      <c r="AC32" s="172"/>
      <c r="AD32" s="172"/>
      <c r="AE32" s="172"/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2"/>
    </row>
    <row r="33" ht="15.75" customHeight="1">
      <c r="A33" s="368">
        <v>18.0</v>
      </c>
      <c r="B33" s="423">
        <v>31800.0</v>
      </c>
      <c r="C33" s="368">
        <v>67810.0</v>
      </c>
      <c r="D33" s="396" t="b">
        <f>IFERROR(__xludf.DUMMYFUNCTION("if(countif($E33:$Y33, ""&lt;&gt;0"")&lt;1, ""NO REWARD!"", if(counta(filter($E33:$Y33, $E33:$Y33&lt;&gt;0))&gt;1, TRUE, FALSE))"),FALSE)</f>
        <v>0</v>
      </c>
      <c r="E33" s="377">
        <v>0.0</v>
      </c>
      <c r="F33" s="248">
        <v>0.0</v>
      </c>
      <c r="G33" s="248">
        <v>0.0</v>
      </c>
      <c r="H33" s="248">
        <v>0.0</v>
      </c>
      <c r="I33" s="248">
        <v>0.0</v>
      </c>
      <c r="J33" s="248">
        <v>0.0</v>
      </c>
      <c r="K33" s="248">
        <v>0.0</v>
      </c>
      <c r="L33" s="248">
        <v>1.0</v>
      </c>
      <c r="M33" s="248">
        <v>0.0</v>
      </c>
      <c r="N33" s="248">
        <v>0.0</v>
      </c>
      <c r="O33" s="425">
        <v>0.0</v>
      </c>
      <c r="P33" s="248">
        <v>0.0</v>
      </c>
      <c r="Q33" s="248">
        <v>0.0</v>
      </c>
      <c r="R33" s="248">
        <v>0.0</v>
      </c>
      <c r="S33" s="248">
        <v>0.0</v>
      </c>
      <c r="T33" s="248">
        <v>0.0</v>
      </c>
      <c r="U33" s="248">
        <v>0.0</v>
      </c>
      <c r="V33" s="248">
        <v>0.0</v>
      </c>
      <c r="W33" s="248">
        <v>0.0</v>
      </c>
      <c r="X33" s="248">
        <v>0.0</v>
      </c>
      <c r="Y33" s="248">
        <v>0.0</v>
      </c>
      <c r="Z33" s="172"/>
      <c r="AA33" s="424">
        <f t="shared" si="1"/>
        <v>135.62</v>
      </c>
      <c r="AB33" s="172"/>
      <c r="AC33" s="172"/>
      <c r="AD33" s="172"/>
      <c r="AE33" s="172"/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2"/>
    </row>
    <row r="34" ht="15.75" customHeight="1">
      <c r="A34" s="368">
        <v>19.0</v>
      </c>
      <c r="B34" s="423">
        <v>10600.0</v>
      </c>
      <c r="C34" s="368">
        <v>72010.0</v>
      </c>
      <c r="D34" s="397" t="b">
        <f>IFERROR(__xludf.DUMMYFUNCTION("if(countif($E34:$Y34, ""&lt;&gt;0"")&lt;1, ""NO REWARD!"", if(counta(filter($E34:$Y34, $E34:$Y34&lt;&gt;0))&gt;1, TRUE, FALSE))"),FALSE)</f>
        <v>0</v>
      </c>
      <c r="E34" s="377">
        <v>0.0</v>
      </c>
      <c r="F34" s="248">
        <v>0.0</v>
      </c>
      <c r="G34" s="248">
        <v>0.0</v>
      </c>
      <c r="H34" s="248">
        <v>0.0</v>
      </c>
      <c r="I34" s="248">
        <v>0.0</v>
      </c>
      <c r="J34" s="248">
        <v>0.0</v>
      </c>
      <c r="K34" s="248">
        <v>0.0</v>
      </c>
      <c r="L34" s="248">
        <v>0.0</v>
      </c>
      <c r="M34" s="248">
        <v>0.0</v>
      </c>
      <c r="N34" s="248">
        <v>45.0</v>
      </c>
      <c r="O34" s="425">
        <v>0.0</v>
      </c>
      <c r="P34" s="248">
        <v>0.0</v>
      </c>
      <c r="Q34" s="248">
        <v>0.0</v>
      </c>
      <c r="R34" s="248">
        <v>0.0</v>
      </c>
      <c r="S34" s="248">
        <v>0.0</v>
      </c>
      <c r="T34" s="248">
        <v>0.0</v>
      </c>
      <c r="U34" s="248">
        <v>0.0</v>
      </c>
      <c r="V34" s="248">
        <v>0.0</v>
      </c>
      <c r="W34" s="248">
        <v>0.0</v>
      </c>
      <c r="X34" s="248">
        <v>0.0</v>
      </c>
      <c r="Y34" s="248">
        <v>0.0</v>
      </c>
      <c r="Z34" s="172"/>
      <c r="AA34" s="424">
        <f t="shared" si="1"/>
        <v>144.02</v>
      </c>
      <c r="AB34" s="172"/>
      <c r="AC34" s="172"/>
      <c r="AD34" s="172"/>
      <c r="AE34" s="172"/>
      <c r="AF34" s="172"/>
      <c r="AG34" s="172"/>
      <c r="AH34" s="172"/>
      <c r="AI34" s="172"/>
      <c r="AJ34" s="172"/>
      <c r="AK34" s="172"/>
      <c r="AL34" s="172"/>
      <c r="AM34" s="172"/>
      <c r="AN34" s="172"/>
      <c r="AO34" s="172"/>
      <c r="AP34" s="172"/>
      <c r="AQ34" s="172"/>
      <c r="AR34" s="172"/>
    </row>
    <row r="35" ht="15.75" customHeight="1">
      <c r="A35" s="368">
        <v>20.0</v>
      </c>
      <c r="B35" s="423">
        <v>13250.0</v>
      </c>
      <c r="C35" s="368">
        <v>80260.0</v>
      </c>
      <c r="D35" s="395" t="b">
        <f>IFERROR(__xludf.DUMMYFUNCTION("if(countif($E35:$Y35, ""&lt;&gt;0"")&lt;1, ""NO REWARD!"", if(counta(filter($E35:$Y35, $E35:$Y35&lt;&gt;0))&gt;1, TRUE, FALSE))"),TRUE)</f>
        <v>1</v>
      </c>
      <c r="E35" s="377">
        <v>150.0</v>
      </c>
      <c r="F35" s="248">
        <v>0.0</v>
      </c>
      <c r="G35" s="248">
        <v>0.0</v>
      </c>
      <c r="H35" s="248">
        <v>2.0</v>
      </c>
      <c r="I35" s="248">
        <v>0.0</v>
      </c>
      <c r="J35" s="248">
        <v>0.0</v>
      </c>
      <c r="K35" s="248">
        <v>0.0</v>
      </c>
      <c r="L35" s="248">
        <v>0.0</v>
      </c>
      <c r="M35" s="248">
        <v>0.0</v>
      </c>
      <c r="N35" s="248">
        <v>0.0</v>
      </c>
      <c r="O35" s="425">
        <v>0.0</v>
      </c>
      <c r="P35" s="248">
        <v>0.0</v>
      </c>
      <c r="Q35" s="248">
        <v>0.0</v>
      </c>
      <c r="R35" s="248">
        <v>0.0</v>
      </c>
      <c r="S35" s="248">
        <v>0.0</v>
      </c>
      <c r="T35" s="248">
        <v>0.0</v>
      </c>
      <c r="U35" s="248">
        <v>0.0</v>
      </c>
      <c r="V35" s="248">
        <v>0.0</v>
      </c>
      <c r="W35" s="248">
        <v>0.0</v>
      </c>
      <c r="X35" s="248">
        <v>0.0</v>
      </c>
      <c r="Y35" s="248">
        <v>0.0</v>
      </c>
      <c r="Z35" s="172"/>
      <c r="AA35" s="424">
        <f t="shared" si="1"/>
        <v>160.52</v>
      </c>
      <c r="AB35" s="172"/>
      <c r="AC35" s="172"/>
      <c r="AD35" s="172"/>
      <c r="AE35" s="172"/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72"/>
      <c r="AQ35" s="172"/>
      <c r="AR35" s="172"/>
    </row>
    <row r="36" ht="15.75" customHeight="1">
      <c r="A36" s="368">
        <v>21.0</v>
      </c>
      <c r="B36" s="423">
        <v>31800.0</v>
      </c>
      <c r="C36" s="368">
        <v>102260.0</v>
      </c>
      <c r="D36" s="397" t="b">
        <f>IFERROR(__xludf.DUMMYFUNCTION("if(countif($E36:$Y36, ""&lt;&gt;0"")&lt;1, ""NO REWARD!"", if(counta(filter($E36:$Y36, $E36:$Y36&lt;&gt;0))&gt;1, TRUE, FALSE))"),FALSE)</f>
        <v>0</v>
      </c>
      <c r="E36" s="377">
        <v>0.0</v>
      </c>
      <c r="F36" s="248">
        <v>200.0</v>
      </c>
      <c r="G36" s="248">
        <v>0.0</v>
      </c>
      <c r="H36" s="248">
        <v>0.0</v>
      </c>
      <c r="I36" s="248">
        <v>0.0</v>
      </c>
      <c r="J36" s="248">
        <v>0.0</v>
      </c>
      <c r="K36" s="248">
        <v>0.0</v>
      </c>
      <c r="L36" s="248">
        <v>0.0</v>
      </c>
      <c r="M36" s="248">
        <v>0.0</v>
      </c>
      <c r="N36" s="248">
        <v>0.0</v>
      </c>
      <c r="O36" s="425">
        <v>0.0</v>
      </c>
      <c r="P36" s="248">
        <v>0.0</v>
      </c>
      <c r="Q36" s="248">
        <v>0.0</v>
      </c>
      <c r="R36" s="248">
        <v>0.0</v>
      </c>
      <c r="S36" s="248">
        <v>0.0</v>
      </c>
      <c r="T36" s="248">
        <v>0.0</v>
      </c>
      <c r="U36" s="248">
        <v>0.0</v>
      </c>
      <c r="V36" s="248">
        <v>0.0</v>
      </c>
      <c r="W36" s="248">
        <v>0.0</v>
      </c>
      <c r="X36" s="248">
        <v>0.0</v>
      </c>
      <c r="Y36" s="248">
        <v>0.0</v>
      </c>
      <c r="Z36" s="172"/>
      <c r="AA36" s="424">
        <f t="shared" si="1"/>
        <v>204.52</v>
      </c>
      <c r="AB36" s="172"/>
      <c r="AC36" s="172"/>
      <c r="AD36" s="172"/>
      <c r="AE36" s="172"/>
      <c r="AF36" s="172"/>
      <c r="AG36" s="172"/>
      <c r="AH36" s="172"/>
      <c r="AI36" s="172"/>
      <c r="AJ36" s="172"/>
      <c r="AK36" s="172"/>
      <c r="AL36" s="172"/>
      <c r="AM36" s="172"/>
      <c r="AN36" s="172"/>
      <c r="AO36" s="172"/>
      <c r="AP36" s="172"/>
      <c r="AQ36" s="172"/>
      <c r="AR36" s="172"/>
    </row>
    <row r="37" ht="15.75" customHeight="1">
      <c r="A37" s="368">
        <v>22.0</v>
      </c>
      <c r="B37" s="423">
        <v>10600.0</v>
      </c>
      <c r="C37" s="368">
        <v>108260.0</v>
      </c>
      <c r="D37" s="396" t="b">
        <f>IFERROR(__xludf.DUMMYFUNCTION("if(countif($E37:$Y37, ""&lt;&gt;0"")&lt;1, ""NO REWARD!"", if(counta(filter($E37:$Y37, $E37:$Y37&lt;&gt;0))&gt;1, TRUE, FALSE))"),FALSE)</f>
        <v>0</v>
      </c>
      <c r="E37" s="377">
        <v>0.0</v>
      </c>
      <c r="F37" s="248">
        <v>0.0</v>
      </c>
      <c r="G37" s="248">
        <v>0.0</v>
      </c>
      <c r="H37" s="248">
        <v>0.0</v>
      </c>
      <c r="I37" s="248">
        <v>0.0</v>
      </c>
      <c r="J37" s="248">
        <v>0.0</v>
      </c>
      <c r="K37" s="248">
        <v>0.0</v>
      </c>
      <c r="L37" s="248">
        <v>0.0</v>
      </c>
      <c r="M37" s="248">
        <v>0.0</v>
      </c>
      <c r="N37" s="248">
        <v>0.0</v>
      </c>
      <c r="O37" s="425">
        <v>0.0</v>
      </c>
      <c r="P37" s="248">
        <v>10.0</v>
      </c>
      <c r="Q37" s="248">
        <v>0.0</v>
      </c>
      <c r="R37" s="248">
        <v>0.0</v>
      </c>
      <c r="S37" s="248">
        <v>0.0</v>
      </c>
      <c r="T37" s="248">
        <v>0.0</v>
      </c>
      <c r="U37" s="248">
        <v>0.0</v>
      </c>
      <c r="V37" s="248">
        <v>0.0</v>
      </c>
      <c r="W37" s="248">
        <v>0.0</v>
      </c>
      <c r="X37" s="248">
        <v>0.0</v>
      </c>
      <c r="Y37" s="248">
        <v>0.0</v>
      </c>
      <c r="Z37" s="172"/>
      <c r="AA37" s="424">
        <f t="shared" si="1"/>
        <v>216.52</v>
      </c>
      <c r="AB37" s="172"/>
      <c r="AC37" s="172"/>
      <c r="AD37" s="172"/>
      <c r="AE37" s="172"/>
      <c r="AF37" s="172"/>
      <c r="AG37" s="172"/>
      <c r="AH37" s="172"/>
      <c r="AI37" s="172"/>
      <c r="AJ37" s="172"/>
      <c r="AK37" s="172"/>
      <c r="AL37" s="172"/>
      <c r="AM37" s="172"/>
      <c r="AN37" s="172"/>
      <c r="AO37" s="172"/>
      <c r="AP37" s="172"/>
      <c r="AQ37" s="172"/>
      <c r="AR37" s="172"/>
    </row>
    <row r="38" ht="15.75" customHeight="1">
      <c r="A38" s="368">
        <v>23.0</v>
      </c>
      <c r="B38" s="423">
        <v>13250.0</v>
      </c>
      <c r="C38" s="368">
        <v>118760.0</v>
      </c>
      <c r="D38" s="397" t="b">
        <f>IFERROR(__xludf.DUMMYFUNCTION("if(countif($E38:$Y38, ""&lt;&gt;0"")&lt;1, ""NO REWARD!"", if(counta(filter($E38:$Y38, $E38:$Y38&lt;&gt;0))&gt;1, TRUE, FALSE))"),FALSE)</f>
        <v>0</v>
      </c>
      <c r="E38" s="377">
        <v>0.0</v>
      </c>
      <c r="F38" s="248">
        <v>0.0</v>
      </c>
      <c r="G38" s="248">
        <v>0.0</v>
      </c>
      <c r="H38" s="248">
        <v>0.0</v>
      </c>
      <c r="I38" s="248">
        <v>2.0</v>
      </c>
      <c r="J38" s="248">
        <v>0.0</v>
      </c>
      <c r="K38" s="248">
        <v>0.0</v>
      </c>
      <c r="L38" s="248">
        <v>0.0</v>
      </c>
      <c r="M38" s="248">
        <v>0.0</v>
      </c>
      <c r="N38" s="248">
        <v>0.0</v>
      </c>
      <c r="O38" s="248">
        <v>0.0</v>
      </c>
      <c r="P38" s="248">
        <v>0.0</v>
      </c>
      <c r="Q38" s="248">
        <v>0.0</v>
      </c>
      <c r="R38" s="248">
        <v>0.0</v>
      </c>
      <c r="S38" s="248">
        <v>0.0</v>
      </c>
      <c r="T38" s="248">
        <v>0.0</v>
      </c>
      <c r="U38" s="248">
        <v>0.0</v>
      </c>
      <c r="V38" s="248">
        <v>0.0</v>
      </c>
      <c r="W38" s="248">
        <v>0.0</v>
      </c>
      <c r="X38" s="248">
        <v>0.0</v>
      </c>
      <c r="Y38" s="248">
        <v>0.0</v>
      </c>
      <c r="Z38" s="172"/>
      <c r="AA38" s="424">
        <f t="shared" si="1"/>
        <v>237.52</v>
      </c>
      <c r="AB38" s="172"/>
      <c r="AC38" s="172"/>
      <c r="AD38" s="172"/>
      <c r="AE38" s="172"/>
      <c r="AF38" s="172"/>
      <c r="AG38" s="172"/>
      <c r="AH38" s="172"/>
      <c r="AI38" s="172"/>
      <c r="AJ38" s="172"/>
      <c r="AK38" s="172"/>
      <c r="AL38" s="172"/>
      <c r="AM38" s="172"/>
      <c r="AN38" s="172"/>
      <c r="AO38" s="172"/>
      <c r="AP38" s="172"/>
      <c r="AQ38" s="172"/>
      <c r="AR38" s="172"/>
    </row>
    <row r="39" ht="15.75" customHeight="1">
      <c r="A39" s="368">
        <v>24.0</v>
      </c>
      <c r="B39" s="423">
        <v>31800.0</v>
      </c>
      <c r="C39" s="368">
        <v>151760.0</v>
      </c>
      <c r="D39" s="395" t="b">
        <f>IFERROR(__xludf.DUMMYFUNCTION("if(countif($E39:$Y39, ""&lt;&gt;0"")&lt;1, ""NO REWARD!"", if(counta(filter($E39:$Y39, $E39:$Y39&lt;&gt;0))&gt;1, TRUE, FALSE))"),TRUE)</f>
        <v>1</v>
      </c>
      <c r="E39" s="377">
        <v>350.0</v>
      </c>
      <c r="F39" s="248">
        <v>350.0</v>
      </c>
      <c r="G39" s="248">
        <v>0.0</v>
      </c>
      <c r="H39" s="248">
        <v>0.0</v>
      </c>
      <c r="I39" s="248">
        <v>0.0</v>
      </c>
      <c r="J39" s="248">
        <v>0.0</v>
      </c>
      <c r="K39" s="248">
        <v>0.0</v>
      </c>
      <c r="L39" s="248">
        <v>1.0</v>
      </c>
      <c r="M39" s="248">
        <v>1.0</v>
      </c>
      <c r="N39" s="248">
        <v>0.0</v>
      </c>
      <c r="O39" s="248">
        <v>0.0</v>
      </c>
      <c r="P39" s="248">
        <v>0.0</v>
      </c>
      <c r="Q39" s="248">
        <v>0.0</v>
      </c>
      <c r="R39" s="248">
        <v>0.0</v>
      </c>
      <c r="S39" s="248">
        <v>0.0</v>
      </c>
      <c r="T39" s="248">
        <v>0.0</v>
      </c>
      <c r="U39" s="248">
        <v>0.0</v>
      </c>
      <c r="V39" s="248">
        <v>0.0</v>
      </c>
      <c r="W39" s="248">
        <v>0.0</v>
      </c>
      <c r="X39" s="248">
        <v>0.0</v>
      </c>
      <c r="Y39" s="248">
        <v>0.0</v>
      </c>
      <c r="Z39" s="172"/>
      <c r="AA39" s="424">
        <f t="shared" si="1"/>
        <v>303.52</v>
      </c>
      <c r="AB39" s="172"/>
      <c r="AC39" s="172"/>
      <c r="AD39" s="172"/>
      <c r="AE39" s="172"/>
      <c r="AF39" s="172"/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2"/>
    </row>
    <row r="40" ht="15.75" customHeight="1">
      <c r="A40" s="368">
        <v>25.0</v>
      </c>
      <c r="B40" s="423">
        <v>10600.0</v>
      </c>
      <c r="C40" s="368">
        <v>160510.0</v>
      </c>
      <c r="D40" s="397" t="b">
        <f>IFERROR(__xludf.DUMMYFUNCTION("if(countif($E40:$Y40, ""&lt;&gt;0"")&lt;1, ""NO REWARD!"", if(counta(filter($E40:$Y40, $E40:$Y40&lt;&gt;0))&gt;1, TRUE, FALSE))"),FALSE)</f>
        <v>0</v>
      </c>
      <c r="E40" s="377">
        <v>0.0</v>
      </c>
      <c r="F40" s="248">
        <v>0.0</v>
      </c>
      <c r="G40" s="248">
        <v>0.0</v>
      </c>
      <c r="H40" s="248">
        <v>0.0</v>
      </c>
      <c r="I40" s="248">
        <v>0.0</v>
      </c>
      <c r="J40" s="248">
        <v>0.0</v>
      </c>
      <c r="K40" s="248">
        <v>0.0</v>
      </c>
      <c r="L40" s="248">
        <v>0.0</v>
      </c>
      <c r="M40" s="248">
        <v>0.0</v>
      </c>
      <c r="N40" s="248">
        <v>60.0</v>
      </c>
      <c r="O40" s="248">
        <v>0.0</v>
      </c>
      <c r="P40" s="248">
        <v>0.0</v>
      </c>
      <c r="Q40" s="248">
        <v>0.0</v>
      </c>
      <c r="R40" s="248">
        <v>0.0</v>
      </c>
      <c r="S40" s="248">
        <v>0.0</v>
      </c>
      <c r="T40" s="248">
        <v>0.0</v>
      </c>
      <c r="U40" s="248">
        <v>0.0</v>
      </c>
      <c r="V40" s="248">
        <v>0.0</v>
      </c>
      <c r="W40" s="248">
        <v>0.0</v>
      </c>
      <c r="X40" s="248">
        <v>0.0</v>
      </c>
      <c r="Y40" s="248">
        <v>0.0</v>
      </c>
      <c r="Z40" s="172"/>
      <c r="AA40" s="424">
        <f t="shared" si="1"/>
        <v>321.02</v>
      </c>
      <c r="AB40" s="172"/>
      <c r="AC40" s="172"/>
      <c r="AD40" s="172"/>
      <c r="AE40" s="172"/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2"/>
    </row>
    <row r="41" ht="15.75" customHeight="1">
      <c r="A41" s="368">
        <v>26.0</v>
      </c>
      <c r="B41" s="423">
        <v>13250.0</v>
      </c>
      <c r="C41" s="368">
        <v>174760.0</v>
      </c>
      <c r="D41" s="396" t="b">
        <f>IFERROR(__xludf.DUMMYFUNCTION("if(countif($E41:$Y41, ""&lt;&gt;0"")&lt;1, ""NO REWARD!"", if(counta(filter($E41:$Y41, $E41:$Y41&lt;&gt;0))&gt;1, TRUE, FALSE))"),FALSE)</f>
        <v>0</v>
      </c>
      <c r="E41" s="377">
        <v>0.0</v>
      </c>
      <c r="F41" s="248">
        <v>0.0</v>
      </c>
      <c r="G41" s="248">
        <v>0.0</v>
      </c>
      <c r="H41" s="248">
        <v>0.0</v>
      </c>
      <c r="I41" s="248">
        <v>0.0</v>
      </c>
      <c r="J41" s="248">
        <v>2.0</v>
      </c>
      <c r="K41" s="248">
        <v>0.0</v>
      </c>
      <c r="L41" s="248">
        <v>0.0</v>
      </c>
      <c r="M41" s="248">
        <v>0.0</v>
      </c>
      <c r="N41" s="248">
        <v>0.0</v>
      </c>
      <c r="O41" s="248">
        <v>0.0</v>
      </c>
      <c r="P41" s="248">
        <v>0.0</v>
      </c>
      <c r="Q41" s="248">
        <v>0.0</v>
      </c>
      <c r="R41" s="248">
        <v>0.0</v>
      </c>
      <c r="S41" s="248">
        <v>0.0</v>
      </c>
      <c r="T41" s="248">
        <v>0.0</v>
      </c>
      <c r="U41" s="248">
        <v>0.0</v>
      </c>
      <c r="V41" s="248">
        <v>0.0</v>
      </c>
      <c r="W41" s="248">
        <v>0.0</v>
      </c>
      <c r="X41" s="248">
        <v>0.0</v>
      </c>
      <c r="Y41" s="248">
        <v>0.0</v>
      </c>
      <c r="Z41" s="172"/>
      <c r="AA41" s="424">
        <f t="shared" si="1"/>
        <v>349.52</v>
      </c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/>
      <c r="AR41" s="172"/>
    </row>
    <row r="42" ht="15.75" customHeight="1">
      <c r="A42" s="368">
        <v>27.0</v>
      </c>
      <c r="B42" s="423">
        <v>31800.0</v>
      </c>
      <c r="C42" s="368">
        <v>218760.0</v>
      </c>
      <c r="D42" s="397" t="b">
        <f>IFERROR(__xludf.DUMMYFUNCTION("if(countif($E42:$Y42, ""&lt;&gt;0"")&lt;1, ""NO REWARD!"", if(counta(filter($E42:$Y42, $E42:$Y42&lt;&gt;0))&gt;1, TRUE, FALSE))"),FALSE)</f>
        <v>0</v>
      </c>
      <c r="E42" s="377">
        <v>0.0</v>
      </c>
      <c r="F42" s="248">
        <v>600.0</v>
      </c>
      <c r="G42" s="248">
        <v>0.0</v>
      </c>
      <c r="H42" s="248">
        <v>0.0</v>
      </c>
      <c r="I42" s="248">
        <v>0.0</v>
      </c>
      <c r="J42" s="248">
        <v>0.0</v>
      </c>
      <c r="K42" s="248">
        <v>0.0</v>
      </c>
      <c r="L42" s="248">
        <v>0.0</v>
      </c>
      <c r="M42" s="248">
        <v>0.0</v>
      </c>
      <c r="N42" s="248">
        <v>0.0</v>
      </c>
      <c r="O42" s="248">
        <v>0.0</v>
      </c>
      <c r="P42" s="248">
        <v>0.0</v>
      </c>
      <c r="Q42" s="248">
        <v>0.0</v>
      </c>
      <c r="R42" s="248">
        <v>0.0</v>
      </c>
      <c r="S42" s="248">
        <v>0.0</v>
      </c>
      <c r="T42" s="248">
        <v>0.0</v>
      </c>
      <c r="U42" s="248">
        <v>0.0</v>
      </c>
      <c r="V42" s="248">
        <v>0.0</v>
      </c>
      <c r="W42" s="248">
        <v>0.0</v>
      </c>
      <c r="X42" s="248">
        <v>0.0</v>
      </c>
      <c r="Y42" s="248">
        <v>0.0</v>
      </c>
      <c r="Z42" s="172"/>
      <c r="AA42" s="424">
        <f t="shared" si="1"/>
        <v>437.52</v>
      </c>
      <c r="AB42" s="172"/>
      <c r="AC42" s="172"/>
      <c r="AD42" s="172"/>
      <c r="AE42" s="172"/>
      <c r="AF42" s="172"/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2"/>
    </row>
    <row r="43" ht="15.75" customHeight="1">
      <c r="A43" s="368">
        <v>28.0</v>
      </c>
      <c r="B43" s="423">
        <v>10600.0</v>
      </c>
      <c r="C43" s="368">
        <v>235260.0</v>
      </c>
      <c r="D43" s="396" t="b">
        <f>IFERROR(__xludf.DUMMYFUNCTION("if(countif($E43:$Y43, ""&lt;&gt;0"")&lt;1, ""NO REWARD!"", if(counta(filter($E43:$Y43, $E43:$Y43&lt;&gt;0))&gt;1, TRUE, FALSE))"),FALSE)</f>
        <v>0</v>
      </c>
      <c r="E43" s="377">
        <v>0.0</v>
      </c>
      <c r="F43" s="248">
        <v>0.0</v>
      </c>
      <c r="G43" s="248">
        <v>0.0</v>
      </c>
      <c r="H43" s="248">
        <v>0.0</v>
      </c>
      <c r="I43" s="248">
        <v>0.0</v>
      </c>
      <c r="J43" s="248">
        <v>0.0</v>
      </c>
      <c r="K43" s="248">
        <v>0.0</v>
      </c>
      <c r="L43" s="248">
        <v>0.0</v>
      </c>
      <c r="M43" s="248">
        <v>0.0</v>
      </c>
      <c r="N43" s="248">
        <v>60.0</v>
      </c>
      <c r="O43" s="248">
        <v>0.0</v>
      </c>
      <c r="P43" s="248">
        <v>0.0</v>
      </c>
      <c r="Q43" s="248">
        <v>0.0</v>
      </c>
      <c r="R43" s="248">
        <v>0.0</v>
      </c>
      <c r="S43" s="248">
        <v>0.0</v>
      </c>
      <c r="T43" s="248">
        <v>0.0</v>
      </c>
      <c r="U43" s="248">
        <v>0.0</v>
      </c>
      <c r="V43" s="248">
        <v>0.0</v>
      </c>
      <c r="W43" s="248">
        <v>0.0</v>
      </c>
      <c r="X43" s="248">
        <v>0.0</v>
      </c>
      <c r="Y43" s="248">
        <v>0.0</v>
      </c>
      <c r="Z43" s="172"/>
      <c r="AA43" s="424">
        <f t="shared" si="1"/>
        <v>470.52</v>
      </c>
      <c r="AB43" s="172"/>
      <c r="AC43" s="172"/>
      <c r="AD43" s="172"/>
      <c r="AE43" s="172"/>
      <c r="AF43" s="172"/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2"/>
    </row>
    <row r="44" ht="15.75" customHeight="1">
      <c r="A44" s="368">
        <v>29.0</v>
      </c>
      <c r="B44" s="423">
        <v>13250.0</v>
      </c>
      <c r="C44" s="368">
        <v>269260.0</v>
      </c>
      <c r="D44" s="397" t="b">
        <f>IFERROR(__xludf.DUMMYFUNCTION("if(countif($E44:$Y44, ""&lt;&gt;0"")&lt;1, ""NO REWARD!"", if(counta(filter($E44:$Y44, $E44:$Y44&lt;&gt;0))&gt;1, TRUE, FALSE))"),FALSE)</f>
        <v>0</v>
      </c>
      <c r="E44" s="377">
        <v>0.0</v>
      </c>
      <c r="F44" s="248">
        <v>0.0</v>
      </c>
      <c r="G44" s="248">
        <v>0.0</v>
      </c>
      <c r="H44" s="248">
        <v>0.0</v>
      </c>
      <c r="I44" s="248">
        <v>0.0</v>
      </c>
      <c r="J44" s="248">
        <v>3.0</v>
      </c>
      <c r="K44" s="248">
        <v>0.0</v>
      </c>
      <c r="L44" s="248">
        <v>0.0</v>
      </c>
      <c r="M44" s="248">
        <v>0.0</v>
      </c>
      <c r="N44" s="248">
        <v>0.0</v>
      </c>
      <c r="O44" s="248">
        <v>0.0</v>
      </c>
      <c r="P44" s="248">
        <v>0.0</v>
      </c>
      <c r="Q44" s="248">
        <v>0.0</v>
      </c>
      <c r="R44" s="248">
        <v>0.0</v>
      </c>
      <c r="S44" s="248">
        <v>0.0</v>
      </c>
      <c r="T44" s="248">
        <v>0.0</v>
      </c>
      <c r="U44" s="248">
        <v>0.0</v>
      </c>
      <c r="V44" s="248">
        <v>0.0</v>
      </c>
      <c r="W44" s="248">
        <v>0.0</v>
      </c>
      <c r="X44" s="248">
        <v>0.0</v>
      </c>
      <c r="Y44" s="248">
        <v>0.0</v>
      </c>
      <c r="Z44" s="172"/>
      <c r="AA44" s="424">
        <f t="shared" si="1"/>
        <v>538.52</v>
      </c>
      <c r="AB44" s="172"/>
      <c r="AC44" s="172"/>
      <c r="AD44" s="172"/>
      <c r="AE44" s="172"/>
      <c r="AF44" s="172"/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</row>
    <row r="45" ht="15.75" customHeight="1">
      <c r="A45" s="368">
        <v>30.0</v>
      </c>
      <c r="B45" s="423">
        <v>31800.0</v>
      </c>
      <c r="C45" s="368">
        <v>352260.0</v>
      </c>
      <c r="D45" s="395" t="b">
        <f>IFERROR(__xludf.DUMMYFUNCTION("if(countif($E45:$Y45, ""&lt;&gt;0"")&lt;1, ""NO REWARD!"", if(counta(filter($E45:$Y45, $E45:$Y45&lt;&gt;0))&gt;1, TRUE, FALSE))"),TRUE)</f>
        <v>1</v>
      </c>
      <c r="E45" s="377">
        <v>600.0</v>
      </c>
      <c r="F45" s="248">
        <v>0.0</v>
      </c>
      <c r="G45" s="248">
        <v>0.0</v>
      </c>
      <c r="H45" s="248">
        <v>0.0</v>
      </c>
      <c r="I45" s="248">
        <v>0.0</v>
      </c>
      <c r="J45" s="248">
        <v>0.0</v>
      </c>
      <c r="K45" s="248">
        <v>3.0</v>
      </c>
      <c r="L45" s="248">
        <v>3.0</v>
      </c>
      <c r="M45" s="248">
        <v>3.0</v>
      </c>
      <c r="N45" s="248">
        <v>0.0</v>
      </c>
      <c r="O45" s="248">
        <v>0.0</v>
      </c>
      <c r="P45" s="248">
        <v>0.0</v>
      </c>
      <c r="Q45" s="248">
        <v>0.0</v>
      </c>
      <c r="R45" s="248">
        <v>0.0</v>
      </c>
      <c r="S45" s="248">
        <v>0.0</v>
      </c>
      <c r="T45" s="248">
        <v>0.0</v>
      </c>
      <c r="U45" s="248">
        <v>0.0</v>
      </c>
      <c r="V45" s="248">
        <v>0.0</v>
      </c>
      <c r="W45" s="248">
        <v>0.0</v>
      </c>
      <c r="X45" s="248">
        <v>0.0</v>
      </c>
      <c r="Y45" s="248">
        <v>0.0</v>
      </c>
      <c r="Z45" s="172"/>
      <c r="AA45" s="424">
        <f t="shared" si="1"/>
        <v>704.52</v>
      </c>
      <c r="AB45" s="172"/>
      <c r="AC45" s="172"/>
      <c r="AD45" s="172"/>
      <c r="AE45" s="172"/>
      <c r="AF45" s="172"/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</row>
    <row r="46" ht="15.75" customHeight="1">
      <c r="A46" s="328"/>
      <c r="B46" s="328"/>
      <c r="C46" s="328"/>
      <c r="D46" s="328"/>
      <c r="E46" s="328"/>
      <c r="F46" s="328"/>
      <c r="G46" s="328"/>
      <c r="H46" s="32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</row>
  </sheetData>
  <conditionalFormatting sqref="E16:Y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Y45">
    <cfRule type="cellIs" dxfId="4" priority="4" stopIfTrue="1" operator="greaterThan">
      <formula>0</formula>
    </cfRule>
  </conditionalFormatting>
  <conditionalFormatting sqref="E16:Y45">
    <cfRule type="expression" dxfId="5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19.0"/>
    <col customWidth="1" min="35" max="35" width="5.75"/>
    <col customWidth="1" min="36" max="36" width="20.13"/>
    <col customWidth="1" min="37" max="37" width="5.75"/>
    <col customWidth="1" min="38" max="38" width="20.13"/>
    <col customWidth="1" min="39" max="39" width="5.75"/>
    <col customWidth="1" min="40" max="40" width="20.13"/>
    <col customWidth="1" min="41" max="41" width="5.75"/>
    <col customWidth="1" min="42" max="42" width="20.13"/>
    <col customWidth="1" min="43" max="43" width="5.75"/>
    <col customWidth="1" min="44" max="44" width="20.13"/>
  </cols>
  <sheetData>
    <row r="1" ht="21.75" customHeight="1">
      <c r="A1" s="381" t="s">
        <v>365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382" t="s">
        <v>176</v>
      </c>
      <c r="AI1" s="172"/>
      <c r="AJ1" s="172"/>
      <c r="AK1" s="172"/>
      <c r="AL1" s="172"/>
      <c r="AM1" s="172"/>
      <c r="AN1" s="172"/>
      <c r="AO1" s="172"/>
      <c r="AP1" s="172"/>
      <c r="AQ1" s="172"/>
      <c r="AR1" s="172"/>
    </row>
    <row r="2" ht="19.5" customHeight="1">
      <c r="A2" s="352" t="s">
        <v>106</v>
      </c>
      <c r="B2" s="352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383" t="s">
        <v>177</v>
      </c>
      <c r="AI2" s="385" t="s">
        <v>178</v>
      </c>
      <c r="AJ2" s="172"/>
      <c r="AK2" s="172"/>
      <c r="AL2" s="172"/>
      <c r="AM2" s="172"/>
      <c r="AN2" s="172"/>
      <c r="AO2" s="172"/>
      <c r="AP2" s="172"/>
      <c r="AQ2" s="172"/>
      <c r="AR2" s="172"/>
    </row>
    <row r="3">
      <c r="A3" s="176" t="s">
        <v>169</v>
      </c>
      <c r="B3" s="225">
        <v>4.0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383" t="s">
        <v>179</v>
      </c>
      <c r="AI3" s="385" t="s">
        <v>180</v>
      </c>
      <c r="AJ3" s="172"/>
      <c r="AK3" s="172"/>
      <c r="AL3" s="172"/>
      <c r="AM3" s="172"/>
      <c r="AN3" s="172"/>
      <c r="AO3" s="172"/>
      <c r="AP3" s="172"/>
      <c r="AQ3" s="172"/>
      <c r="AR3" s="172"/>
    </row>
    <row r="4">
      <c r="A4" s="386"/>
      <c r="B4" s="387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  <c r="W4" s="172"/>
      <c r="X4" s="172"/>
      <c r="Y4" s="172"/>
      <c r="Z4" s="172"/>
      <c r="AA4" s="172"/>
      <c r="AB4" s="172"/>
      <c r="AC4" s="172"/>
      <c r="AD4" s="172"/>
      <c r="AE4" s="172"/>
      <c r="AF4" s="172"/>
      <c r="AG4" s="172"/>
      <c r="AH4" s="172"/>
      <c r="AI4" s="172"/>
      <c r="AJ4" s="172"/>
      <c r="AK4" s="172"/>
      <c r="AL4" s="172"/>
      <c r="AM4" s="172"/>
      <c r="AN4" s="172"/>
      <c r="AO4" s="172"/>
      <c r="AP4" s="172"/>
      <c r="AQ4" s="172"/>
      <c r="AR4" s="172"/>
    </row>
    <row r="5">
      <c r="A5" s="386"/>
      <c r="B5" s="387"/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388" t="s">
        <v>181</v>
      </c>
      <c r="AI5" s="388" t="s">
        <v>182</v>
      </c>
      <c r="AJ5" s="388" t="s">
        <v>183</v>
      </c>
      <c r="AK5" s="388" t="s">
        <v>184</v>
      </c>
      <c r="AL5" s="388" t="s">
        <v>185</v>
      </c>
      <c r="AM5" s="388" t="s">
        <v>187</v>
      </c>
      <c r="AN5" s="388" t="s">
        <v>188</v>
      </c>
      <c r="AO5" s="388" t="s">
        <v>189</v>
      </c>
      <c r="AP5" s="388" t="s">
        <v>191</v>
      </c>
      <c r="AQ5" s="388" t="s">
        <v>192</v>
      </c>
      <c r="AR5" s="388" t="s">
        <v>194</v>
      </c>
    </row>
    <row r="6">
      <c r="A6" s="386"/>
      <c r="B6" s="387"/>
      <c r="C6" s="328"/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172"/>
      <c r="X6" s="172"/>
      <c r="Y6" s="172"/>
      <c r="Z6" s="172"/>
      <c r="AA6" s="172"/>
      <c r="AB6" s="172"/>
      <c r="AC6" s="172"/>
      <c r="AD6" s="172"/>
      <c r="AE6" s="172"/>
      <c r="AF6" s="172"/>
      <c r="AG6" s="172"/>
      <c r="AH6" s="389">
        <f>IF(1&lt;=$B$3,1,"")</f>
        <v>1</v>
      </c>
      <c r="AI6" s="390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1</v>
      </c>
      <c r="AJ6" s="391" t="str">
        <f t="array" ref="AJ6">IF($AH6="","",IF(AI6=0,"{}",LET(m,AI6,s,MMULT(SEQUENCE(1,m,1,0),N($E$16:$Y$45)),"{"&amp;TEXTJOIN(", ",TRUE,IF(s&gt;0,$E$15:$Y$15&amp;": "&amp;ROUND(s,2),""))&amp;"}")))</f>
        <v>{Red: 1}</v>
      </c>
      <c r="AK6" s="390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4</v>
      </c>
      <c r="AL6" s="391" t="str">
        <f t="array" ref="AL6">IF($AH6="","",IF(AK6=0,"{}",LET(m,AK6,s,MMULT(SEQUENCE(1,m,1,0),N($E$16:$Y$45)),"{"&amp;TEXTJOIN(", ",TRUE,IF(s&gt;0,$E$15:$Y$15&amp;": "&amp;ROUND(s,2),""))&amp;"}")))</f>
        <v>{Coins: 10, SPT: 10, Red: 1, Unlimited Lives: 10}</v>
      </c>
      <c r="AM6" s="390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8</v>
      </c>
      <c r="AN6" s="391" t="str">
        <f t="array" ref="AN6">IF($AH6="","",IF(AM6=0,"{}",LET(m,AM6,s,MMULT(SEQUENCE(1,m,1,0),N($E$16:$Y$45)),"{"&amp;TEXTJOIN(", ",TRUE,IF(s&gt;0,$E$15:$Y$15&amp;": "&amp;ROUND(s,2),""))&amp;"}")))</f>
        <v>{Coins: 10, SPT: 40, SPT x2: 10, Red: 1, Chuck: 2, Unlimited Lives: 25}</v>
      </c>
      <c r="AO6" s="390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12</v>
      </c>
      <c r="AP6" s="391" t="str">
        <f t="array" ref="AP6">IF($AH6="","",IF(AO6=0,"{}",LET(m,AO6,s,MMULT(SEQUENCE(1,m,1,0),N($E$16:$Y$45)),"{"&amp;TEXTJOIN(", ",TRUE,IF(s&gt;0,$E$15:$Y$15&amp;": "&amp;ROUND(s,2),""))&amp;"}")))</f>
        <v>{Coins: 30, SPT: 90, SPT x2: 10, Red: 1, Chuck: 2, Shuffle: 1, Comet: 1, Unlimited Lives: 55}</v>
      </c>
      <c r="AQ6" s="390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15</v>
      </c>
      <c r="AR6" s="391" t="str">
        <f t="array" ref="AR6">IF($AH6="","",IF(AQ6=0,"{}",LET(m,AQ6,s,MMULT(SEQUENCE(1,m,1,0),N($E$16:$Y$45)),"{"&amp;TEXTJOIN(", ",TRUE,IF(s&gt;0,$E$15:$Y$15&amp;": "&amp;ROUND(s,2),""))&amp;"}")))</f>
        <v>{Coins: 30, SPT: 165, SPT x2: 10, Red: 1, Chuck: 2, Bomb: 1, Shuffle: 1, Comet: 1, Unlimited Lives: 55, Unlimited Red: 10}</v>
      </c>
    </row>
    <row r="7">
      <c r="A7" s="386"/>
      <c r="B7" s="387"/>
      <c r="C7" s="328"/>
      <c r="D7" s="328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172"/>
      <c r="X7" s="172"/>
      <c r="Y7" s="172"/>
      <c r="Z7" s="172"/>
      <c r="AA7" s="172"/>
      <c r="AB7" s="172"/>
      <c r="AC7" s="172"/>
      <c r="AD7" s="172"/>
      <c r="AE7" s="172"/>
      <c r="AF7" s="172"/>
      <c r="AG7" s="172"/>
      <c r="AH7" s="389">
        <f>IF(2&lt;=$B$3,2,"")</f>
        <v>2</v>
      </c>
      <c r="AI7" s="390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2</v>
      </c>
      <c r="AJ7" s="391" t="str">
        <f t="array" ref="AJ7">IF($AH7="","",IF(AI7=0,"{}",LET(m,AI7,s,MMULT(SEQUENCE(1,m,1,0),N($E$16:$Y$45)),"{"&amp;TEXTJOIN(", ",TRUE,IF(s&gt;0,$E$15:$Y$15&amp;": "&amp;ROUND(s,2),""))&amp;"}")))</f>
        <v>{Coins: 10, Red: 1}</v>
      </c>
      <c r="AK7" s="390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6</v>
      </c>
      <c r="AL7" s="391" t="str">
        <f t="array" ref="AL7">IF($AH7="","",IF(AK7=0,"{}",LET(m,AK7,s,MMULT(SEQUENCE(1,m,1,0),N($E$16:$Y$45)),"{"&amp;TEXTJOIN(", ",TRUE,IF(s&gt;0,$E$15:$Y$15&amp;": "&amp;ROUND(s,2),""))&amp;"}")))</f>
        <v>{Coins: 10, SPT: 10, SPT x2: 10, Red: 1, Chuck: 1, Unlimited Lives: 25}</v>
      </c>
      <c r="AM7" s="390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10</v>
      </c>
      <c r="AN7" s="391" t="str">
        <f t="array" ref="AN7">IF($AH7="","",IF(AM7=0,"{}",LET(m,AM7,s,MMULT(SEQUENCE(1,m,1,0),N($E$16:$Y$45)),"{"&amp;TEXTJOIN(", ",TRUE,IF(s&gt;0,$E$15:$Y$15&amp;": "&amp;ROUND(s,2),""))&amp;"}")))</f>
        <v>{Coins: 30, SPT: 90, SPT x2: 10, Red: 1, Chuck: 2, Unlimited Lives: 25}</v>
      </c>
      <c r="AO7" s="390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15</v>
      </c>
      <c r="AP7" s="391" t="str">
        <f t="array" ref="AP7">IF($AH7="","",IF(AO7=0,"{}",LET(m,AO7,s,MMULT(SEQUENCE(1,m,1,0),N($E$16:$Y$45)),"{"&amp;TEXTJOIN(", ",TRUE,IF(s&gt;0,$E$15:$Y$15&amp;": "&amp;ROUND(s,2),""))&amp;"}")))</f>
        <v>{Coins: 30, SPT: 165, SPT x2: 10, Red: 1, Chuck: 2, Bomb: 1, Shuffle: 1, Comet: 1, Unlimited Lives: 55, Unlimited Red: 10}</v>
      </c>
      <c r="AQ7" s="390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20</v>
      </c>
      <c r="AR7" s="391" t="str">
        <f t="array" ref="AR7">IF($AH7="","",IF(AQ7=0,"{}",LET(m,AQ7,s,MMULT(SEQUENCE(1,m,1,0),N($E$16:$Y$45)),"{"&amp;TEXTJOIN(", ",TRUE,IF(s&gt;0,$E$15:$Y$15&amp;": "&amp;ROUND(s,2),""))&amp;"}")))</f>
        <v>{Coins: 230, SPT: 290, SPT x2: 30, Red: 3, Chuck: 2, Bomb: 2, Shuffle: 2, Comet: 1, Unlimited Lives: 55, Unlimited Red: 10}</v>
      </c>
    </row>
    <row r="8">
      <c r="A8" s="386"/>
      <c r="B8" s="387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172"/>
      <c r="X8" s="172"/>
      <c r="Y8" s="172"/>
      <c r="Z8" s="172"/>
      <c r="AA8" s="172"/>
      <c r="AB8" s="172"/>
      <c r="AC8" s="172"/>
      <c r="AD8" s="172"/>
      <c r="AE8" s="172"/>
      <c r="AF8" s="172"/>
      <c r="AG8" s="172"/>
      <c r="AH8" s="389">
        <f>IF(3&lt;=$B$3,3,"")</f>
        <v>3</v>
      </c>
      <c r="AI8" s="390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2</v>
      </c>
      <c r="AJ8" s="391" t="str">
        <f t="array" ref="AJ8">IF($AH8="","",IF(AI8=0,"{}",LET(m,AI8,s,MMULT(SEQUENCE(1,m,1,0),N($E$16:$Y$45)),"{"&amp;TEXTJOIN(", ",TRUE,IF(s&gt;0,$E$15:$Y$15&amp;": "&amp;ROUND(s,2),""))&amp;"}")))</f>
        <v>{Coins: 10, Red: 1}</v>
      </c>
      <c r="AK8" s="390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8</v>
      </c>
      <c r="AL8" s="391" t="str">
        <f t="array" ref="AL8">IF($AH8="","",IF(AK8=0,"{}",LET(m,AK8,s,MMULT(SEQUENCE(1,m,1,0),N($E$16:$Y$45)),"{"&amp;TEXTJOIN(", ",TRUE,IF(s&gt;0,$E$15:$Y$15&amp;": "&amp;ROUND(s,2),""))&amp;"}")))</f>
        <v>{Coins: 10, SPT: 40, SPT x2: 10, Red: 1, Chuck: 2, Unlimited Lives: 25}</v>
      </c>
      <c r="AM8" s="390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11</v>
      </c>
      <c r="AN8" s="391" t="str">
        <f t="array" ref="AN8">IF($AH8="","",IF(AM8=0,"{}",LET(m,AM8,s,MMULT(SEQUENCE(1,m,1,0),N($E$16:$Y$45)),"{"&amp;TEXTJOIN(", ",TRUE,IF(s&gt;0,$E$15:$Y$15&amp;": "&amp;ROUND(s,2),""))&amp;"}")))</f>
        <v>{Coins: 30, SPT: 90, SPT x2: 10, Red: 1, Chuck: 2, Shuffle: 1, Unlimited Lives: 25}</v>
      </c>
      <c r="AO8" s="390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17</v>
      </c>
      <c r="AP8" s="391" t="str">
        <f t="array" ref="AP8">IF($AH8="","",IF(AO8=0,"{}",LET(m,AO8,s,MMULT(SEQUENCE(1,m,1,0),N($E$16:$Y$45)),"{"&amp;TEXTJOIN(", ",TRUE,IF(s&gt;0,$E$15:$Y$15&amp;": "&amp;ROUND(s,2),""))&amp;"}")))</f>
        <v>{Coins: 80, SPT: 290, SPT x2: 10, Red: 1, Chuck: 2, Bomb: 2, Shuffle: 1, Comet: 1, Unlimited Lives: 55, Unlimited Red: 10}</v>
      </c>
      <c r="AQ8" s="390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23</v>
      </c>
      <c r="AR8" s="391" t="str">
        <f t="array" ref="AR8">IF($AH8="","",IF(AQ8=0,"{}",LET(m,AQ8,s,MMULT(SEQUENCE(1,m,1,0),N($E$16:$Y$45)),"{"&amp;TEXTJOIN(", ",TRUE,IF(s&gt;0,$E$15:$Y$15&amp;": "&amp;ROUND(s,2),""))&amp;"}")))</f>
        <v>{Coins: 230, SPT: 490, SPT x2: 30, Red: 3, Chuck: 4, Bomb: 2, Shuffle: 2, Comet: 1, Unlimited Lives: 55, Unlimited Red: 10, Unlimited Chuck: 10}</v>
      </c>
    </row>
    <row r="9">
      <c r="A9" s="386"/>
      <c r="B9" s="387"/>
      <c r="C9" s="328"/>
      <c r="D9" s="328"/>
      <c r="E9" s="328"/>
      <c r="F9" s="328"/>
      <c r="G9" s="328"/>
      <c r="H9" s="328"/>
      <c r="I9" s="328"/>
      <c r="J9" s="328"/>
      <c r="K9" s="328"/>
      <c r="L9" s="328"/>
      <c r="M9" s="328"/>
      <c r="N9" s="328"/>
      <c r="O9" s="328"/>
      <c r="P9" s="328"/>
      <c r="Q9" s="328"/>
      <c r="R9" s="328"/>
      <c r="S9" s="328"/>
      <c r="T9" s="328"/>
      <c r="U9" s="328"/>
      <c r="V9" s="328"/>
      <c r="W9" s="172"/>
      <c r="X9" s="172"/>
      <c r="Y9" s="172"/>
      <c r="Z9" s="172"/>
      <c r="AA9" s="172"/>
      <c r="AB9" s="172"/>
      <c r="AC9" s="172"/>
      <c r="AD9" s="172"/>
      <c r="AE9" s="172"/>
      <c r="AF9" s="172"/>
      <c r="AG9" s="172"/>
      <c r="AH9" s="389">
        <f>IF(4&lt;=$B$3,4,"")</f>
        <v>4</v>
      </c>
      <c r="AI9" s="390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2</v>
      </c>
      <c r="AJ9" s="391" t="str">
        <f t="array" ref="AJ9">IF($AH9="","",IF(AI9=0,"{}",LET(m,AI9,s,MMULT(SEQUENCE(1,m,1,0),N($E$16:$Y$45)),"{"&amp;TEXTJOIN(", ",TRUE,IF(s&gt;0,$E$15:$Y$15&amp;": "&amp;ROUND(s,2),""))&amp;"}")))</f>
        <v>{Coins: 10, Red: 1}</v>
      </c>
      <c r="AK9" s="390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8</v>
      </c>
      <c r="AL9" s="391" t="str">
        <f t="array" ref="AL9">IF($AH9="","",IF(AK9=0,"{}",LET(m,AK9,s,MMULT(SEQUENCE(1,m,1,0),N($E$16:$Y$45)),"{"&amp;TEXTJOIN(", ",TRUE,IF(s&gt;0,$E$15:$Y$15&amp;": "&amp;ROUND(s,2),""))&amp;"}")))</f>
        <v>{Coins: 10, SPT: 40, SPT x2: 10, Red: 1, Chuck: 2, Unlimited Lives: 25}</v>
      </c>
      <c r="AM9" s="390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13</v>
      </c>
      <c r="AN9" s="391" t="str">
        <f t="array" ref="AN9">IF($AH9="","",IF(AM9=0,"{}",LET(m,AM9,s,MMULT(SEQUENCE(1,m,1,0),N($E$16:$Y$45)),"{"&amp;TEXTJOIN(", ",TRUE,IF(s&gt;0,$E$15:$Y$15&amp;": "&amp;ROUND(s,2),""))&amp;"}")))</f>
        <v>{Coins: 30, SPT: 90, SPT x2: 10, Red: 1, Chuck: 2, Bomb: 1, Shuffle: 1, Comet: 1, Unlimited Lives: 55}</v>
      </c>
      <c r="AO9" s="390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19</v>
      </c>
      <c r="AP9" s="391" t="str">
        <f t="array" ref="AP9">IF($AH9="","",IF(AO9=0,"{}",LET(m,AO9,s,MMULT(SEQUENCE(1,m,1,0),N($E$16:$Y$45)),"{"&amp;TEXTJOIN(", ",TRUE,IF(s&gt;0,$E$15:$Y$15&amp;": "&amp;ROUND(s,2),""))&amp;"}")))</f>
        <v>{Coins: 80, SPT: 290, SPT x2: 30, Red: 3, Chuck: 2, Bomb: 2, Shuffle: 1, Comet: 1, Unlimited Lives: 55, Unlimited Red: 10}</v>
      </c>
      <c r="AQ9" s="390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25</v>
      </c>
      <c r="AR9" s="391" t="str">
        <f t="array" ref="AR9">IF($AH9="","",IF(AQ9=0,"{}",LET(m,AQ9,s,MMULT(SEQUENCE(1,m,1,0),N($E$16:$Y$45)),"{"&amp;TEXTJOIN(", ",TRUE,IF(s&gt;0,$E$15:$Y$15&amp;": "&amp;ROUND(s,2),""))&amp;"}")))</f>
        <v>{Coins: 580, SPT: 840, SPT x2: 30, Red: 3, Chuck: 4, Bomb: 2, Shuffle: 3, Comet: 2, Unlimited Lives: 115, Unlimited Red: 10, Unlimited Chuck: 10}</v>
      </c>
    </row>
    <row r="10">
      <c r="A10" s="386"/>
      <c r="B10" s="387"/>
      <c r="C10" s="328"/>
      <c r="D10" s="328"/>
      <c r="E10" s="328"/>
      <c r="F10" s="328"/>
      <c r="G10" s="328"/>
      <c r="H10" s="328"/>
      <c r="I10" s="328"/>
      <c r="J10" s="328"/>
      <c r="K10" s="328"/>
      <c r="L10" s="328"/>
      <c r="M10" s="328"/>
      <c r="N10" s="328"/>
      <c r="O10" s="328"/>
      <c r="P10" s="328"/>
      <c r="Q10" s="328"/>
      <c r="R10" s="328"/>
      <c r="S10" s="328"/>
      <c r="T10" s="328"/>
      <c r="U10" s="328"/>
      <c r="V10" s="328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389" t="str">
        <f>IF(5&lt;=$B$3,5,"")</f>
        <v/>
      </c>
      <c r="AI10" s="390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391" t="str">
        <f t="array" ref="AJ10">IF($AH10="","",IF(AI10=0,"{}",LET(m,AI10,s,MMULT(SEQUENCE(1,m,1,0),$E$16:$Y$45),"{"&amp;TEXTJOIN(", ",TRUE,IF(s&gt;0,$E$15:$Y$15&amp;": "&amp;ROUND(s,2),""))&amp;"}")))</f>
        <v/>
      </c>
      <c r="AK10" s="390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391" t="str">
        <f t="array" ref="AL10">IF($AH10="","",IF(AK10=0,"{}",LET(m,AK10,s,MMULT(SEQUENCE(1,m,1,0),$E$16:$Y$45),"{"&amp;TEXTJOIN(", ",TRUE,IF(s&gt;0,$E$15:$Y$15&amp;": "&amp;ROUND(s,2),""))&amp;"}")))</f>
        <v/>
      </c>
      <c r="AM10" s="390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391" t="str">
        <f t="array" ref="AN10">IF($AH10="","",IF(AM10=0,"{}",LET(m,AM10,s,MMULT(SEQUENCE(1,m,1,0),$E$16:$Y$45),"{"&amp;TEXTJOIN(", ",TRUE,IF(s&gt;0,$E$15:$Y$15&amp;": "&amp;ROUND(s,2),""))&amp;"}")))</f>
        <v/>
      </c>
      <c r="AO10" s="390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391" t="str">
        <f t="array" ref="AP10">IF($AH10="","",IF(AO10=0,"{}",LET(m,AO10,s,MMULT(SEQUENCE(1,m,1,0),$E$16:$Y$45),"{"&amp;TEXTJOIN(", ",TRUE,IF(s&gt;0,$E$15:$Y$15&amp;": "&amp;ROUND(s,2),""))&amp;"}")))</f>
        <v/>
      </c>
      <c r="AQ10" s="390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391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86"/>
      <c r="B11" s="387"/>
      <c r="C11" s="328"/>
      <c r="D11" s="328"/>
      <c r="E11" s="328"/>
      <c r="F11" s="328"/>
      <c r="G11" s="328"/>
      <c r="H11" s="328"/>
      <c r="I11" s="328"/>
      <c r="J11" s="328"/>
      <c r="K11" s="328"/>
      <c r="L11" s="328"/>
      <c r="M11" s="328"/>
      <c r="N11" s="328"/>
      <c r="O11" s="328"/>
      <c r="P11" s="328"/>
      <c r="Q11" s="328"/>
      <c r="R11" s="328"/>
      <c r="S11" s="328"/>
      <c r="T11" s="328"/>
      <c r="U11" s="328"/>
      <c r="V11" s="328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389" t="str">
        <f>IF(6&lt;=$B$3,6,"")</f>
        <v/>
      </c>
      <c r="AI11" s="390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391" t="str">
        <f t="array" ref="AJ11">IF($AH11="","",IF(AI11=0,"{}",LET(m,AI11,s,MMULT(SEQUENCE(1,m,1,0),$E$16:$Y$45),"{"&amp;TEXTJOIN(", ",TRUE,IF(s&gt;0,$E$15:$Y$15&amp;": "&amp;ROUND(s,2),""))&amp;"}")))</f>
        <v/>
      </c>
      <c r="AK11" s="390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391" t="str">
        <f t="array" ref="AL11">IF($AH11="","",IF(AK11=0,"{}",LET(m,AK11,s,MMULT(SEQUENCE(1,m,1,0),$E$16:$Y$45),"{"&amp;TEXTJOIN(", ",TRUE,IF(s&gt;0,$E$15:$Y$15&amp;": "&amp;ROUND(s,2),""))&amp;"}")))</f>
        <v/>
      </c>
      <c r="AM11" s="390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391" t="str">
        <f t="array" ref="AN11">IF($AH11="","",IF(AM11=0,"{}",LET(m,AM11,s,MMULT(SEQUENCE(1,m,1,0),$E$16:$Y$45),"{"&amp;TEXTJOIN(", ",TRUE,IF(s&gt;0,$E$15:$Y$15&amp;": "&amp;ROUND(s,2),""))&amp;"}")))</f>
        <v/>
      </c>
      <c r="AO11" s="390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391" t="str">
        <f t="array" ref="AP11">IF($AH11="","",IF(AO11=0,"{}",LET(m,AO11,s,MMULT(SEQUENCE(1,m,1,0),$E$16:$Y$45),"{"&amp;TEXTJOIN(", ",TRUE,IF(s&gt;0,$E$15:$Y$15&amp;": "&amp;ROUND(s,2),""))&amp;"}")))</f>
        <v/>
      </c>
      <c r="AQ11" s="390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391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86"/>
      <c r="B12" s="387"/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328"/>
      <c r="O12" s="328"/>
      <c r="P12" s="328"/>
      <c r="Q12" s="328"/>
      <c r="R12" s="328"/>
      <c r="S12" s="328"/>
      <c r="T12" s="328"/>
      <c r="U12" s="328"/>
      <c r="V12" s="328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172"/>
      <c r="AH12" s="389" t="str">
        <f>IF(7&lt;=$B$3,7,"")</f>
        <v/>
      </c>
      <c r="AI12" s="390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391" t="str">
        <f t="array" ref="AJ12">IF($AH12="","",IF(AI12=0,"{}",LET(m,AI12,s,MMULT(SEQUENCE(1,m,1,0),$E$16:$Y$45),"{"&amp;TEXTJOIN(", ",TRUE,IF(s&gt;0,$E$15:$Y$15&amp;": "&amp;ROUND(s,2),""))&amp;"}")))</f>
        <v/>
      </c>
      <c r="AK12" s="390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391" t="str">
        <f t="array" ref="AL12">IF($AH12="","",IF(AK12=0,"{}",LET(m,AK12,s,MMULT(SEQUENCE(1,m,1,0),$E$16:$Y$45),"{"&amp;TEXTJOIN(", ",TRUE,IF(s&gt;0,$E$15:$Y$15&amp;": "&amp;ROUND(s,2),""))&amp;"}")))</f>
        <v/>
      </c>
      <c r="AM12" s="390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391" t="str">
        <f t="array" ref="AN12">IF($AH12="","",IF(AM12=0,"{}",LET(m,AM12,s,MMULT(SEQUENCE(1,m,1,0),$E$16:$Y$45),"{"&amp;TEXTJOIN(", ",TRUE,IF(s&gt;0,$E$15:$Y$15&amp;": "&amp;ROUND(s,2),""))&amp;"}")))</f>
        <v/>
      </c>
      <c r="AO12" s="390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391" t="str">
        <f t="array" ref="AP12">IF($AH12="","",IF(AO12=0,"{}",LET(m,AO12,s,MMULT(SEQUENCE(1,m,1,0),$E$16:$Y$45),"{"&amp;TEXTJOIN(", ",TRUE,IF(s&gt;0,$E$15:$Y$15&amp;": "&amp;ROUND(s,2),""))&amp;"}")))</f>
        <v/>
      </c>
      <c r="AQ12" s="390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391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28"/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328"/>
      <c r="O13" s="328"/>
      <c r="P13" s="328"/>
      <c r="Q13" s="328"/>
      <c r="R13" s="328"/>
      <c r="S13" s="328"/>
      <c r="T13" s="328"/>
      <c r="U13" s="328"/>
      <c r="V13" s="328"/>
      <c r="W13" s="172"/>
      <c r="X13" s="172"/>
      <c r="Y13" s="172"/>
      <c r="Z13" s="172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2"/>
    </row>
    <row r="14" ht="19.5" customHeight="1">
      <c r="A14" s="392" t="s">
        <v>367</v>
      </c>
      <c r="B14" s="352"/>
      <c r="C14" s="352"/>
      <c r="D14" s="352"/>
      <c r="E14" s="352"/>
      <c r="F14" s="352"/>
      <c r="G14" s="352"/>
      <c r="H14" s="352"/>
      <c r="I14" s="352"/>
      <c r="J14" s="352"/>
      <c r="K14" s="352"/>
      <c r="L14" s="352"/>
      <c r="M14" s="352"/>
      <c r="N14" s="352"/>
      <c r="O14" s="352"/>
      <c r="P14" s="352"/>
      <c r="Q14" s="352"/>
      <c r="R14" s="352"/>
      <c r="S14" s="352"/>
      <c r="T14" s="352"/>
      <c r="U14" s="352"/>
      <c r="V14" s="352"/>
      <c r="W14" s="352"/>
      <c r="X14" s="352"/>
      <c r="Y14" s="352"/>
      <c r="Z14" s="172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2"/>
    </row>
    <row r="15" ht="90.75" customHeight="1">
      <c r="A15" s="419" t="s">
        <v>174</v>
      </c>
      <c r="B15" s="185" t="s">
        <v>368</v>
      </c>
      <c r="C15" s="185" t="s">
        <v>369</v>
      </c>
      <c r="D15" s="185" t="s">
        <v>370</v>
      </c>
      <c r="E15" s="374" t="s">
        <v>76</v>
      </c>
      <c r="F15" s="257" t="s">
        <v>46</v>
      </c>
      <c r="G15" s="257" t="s">
        <v>121</v>
      </c>
      <c r="H15" s="257" t="s">
        <v>47</v>
      </c>
      <c r="I15" s="257" t="s">
        <v>48</v>
      </c>
      <c r="J15" s="257" t="s">
        <v>50</v>
      </c>
      <c r="K15" s="257" t="s">
        <v>52</v>
      </c>
      <c r="L15" s="257" t="s">
        <v>53</v>
      </c>
      <c r="M15" s="257" t="s">
        <v>54</v>
      </c>
      <c r="N15" s="257" t="s">
        <v>55</v>
      </c>
      <c r="O15" s="257" t="s">
        <v>56</v>
      </c>
      <c r="P15" s="257" t="s">
        <v>57</v>
      </c>
      <c r="Q15" s="257" t="s">
        <v>58</v>
      </c>
      <c r="R15" s="257" t="s">
        <v>135</v>
      </c>
      <c r="S15" s="257" t="s">
        <v>122</v>
      </c>
      <c r="T15" s="257" t="s">
        <v>123</v>
      </c>
      <c r="U15" s="257" t="s">
        <v>124</v>
      </c>
      <c r="V15" s="257" t="s">
        <v>125</v>
      </c>
      <c r="W15" s="257" t="s">
        <v>126</v>
      </c>
      <c r="X15" s="257" t="s">
        <v>127</v>
      </c>
      <c r="Y15" s="257" t="s">
        <v>128</v>
      </c>
      <c r="Z15" s="172"/>
      <c r="AA15" s="513" t="s">
        <v>371</v>
      </c>
      <c r="AB15" s="172"/>
      <c r="AC15" s="172"/>
      <c r="AD15" s="514" t="s">
        <v>779</v>
      </c>
      <c r="AE15" s="514" t="s">
        <v>780</v>
      </c>
      <c r="AF15" s="514" t="s">
        <v>781</v>
      </c>
      <c r="AG15" s="294"/>
      <c r="AM15" s="172"/>
      <c r="AN15" s="172"/>
      <c r="AO15" s="172"/>
      <c r="AP15" s="172"/>
      <c r="AQ15" s="172"/>
      <c r="AR15" s="172"/>
    </row>
    <row r="16" ht="15.75" customHeight="1">
      <c r="A16" s="368">
        <v>1.0</v>
      </c>
      <c r="B16" s="423">
        <v>880.0</v>
      </c>
      <c r="C16" s="368">
        <v>160.0</v>
      </c>
      <c r="D16" s="395" t="b">
        <f>IFERROR(__xludf.DUMMYFUNCTION("if(countif($E16:$Y16, ""&lt;&gt;0"")&lt;1, ""NO REWARD!"", if(counta(filter($E16:$Y16, $E16:$Y16&lt;&gt;0))&gt;1, TRUE, FALSE))"),FALSE)</f>
        <v>0</v>
      </c>
      <c r="E16" s="377">
        <v>0.0</v>
      </c>
      <c r="F16" s="248">
        <v>0.0</v>
      </c>
      <c r="G16" s="248">
        <v>0.0</v>
      </c>
      <c r="H16" s="248">
        <v>1.0</v>
      </c>
      <c r="I16" s="248">
        <v>0.0</v>
      </c>
      <c r="J16" s="248">
        <v>0.0</v>
      </c>
      <c r="K16" s="248">
        <v>0.0</v>
      </c>
      <c r="L16" s="248">
        <v>0.0</v>
      </c>
      <c r="M16" s="248">
        <v>0.0</v>
      </c>
      <c r="N16" s="248">
        <v>0.0</v>
      </c>
      <c r="O16" s="248">
        <v>0.0</v>
      </c>
      <c r="P16" s="248">
        <v>0.0</v>
      </c>
      <c r="Q16" s="248">
        <v>0.0</v>
      </c>
      <c r="R16" s="248">
        <v>0.0</v>
      </c>
      <c r="S16" s="248">
        <v>0.0</v>
      </c>
      <c r="T16" s="248">
        <v>0.0</v>
      </c>
      <c r="U16" s="248">
        <v>0.0</v>
      </c>
      <c r="V16" s="248">
        <v>0.0</v>
      </c>
      <c r="W16" s="248">
        <v>0.0</v>
      </c>
      <c r="X16" s="248">
        <v>0.0</v>
      </c>
      <c r="Y16" s="248">
        <v>0.0</v>
      </c>
      <c r="Z16" s="172"/>
      <c r="AA16" s="424">
        <f t="shared" ref="AA16:AA45" si="1">C16/500</f>
        <v>0.32</v>
      </c>
      <c r="AB16" s="172"/>
      <c r="AC16" s="172"/>
      <c r="AD16" s="371">
        <f t="shared" ref="AD16:AD45" si="2">ROUND((A16^IF(A16&lt;=$AK$16, $AI$16, $AI$17) - (A16-1)^IF(A16&lt;=$AK$16, $AI$16, $AI$17)) * CHOOSE(MOD(A16-1,3)+1, $AI$18, $AI$19, $AI$20) * IF(A16&lt;=$AK$16, $AK$20, $AK$21), -1)</f>
        <v>880</v>
      </c>
      <c r="AE16" s="371">
        <f t="shared" ref="AE16:AE45" si="3">SUM($AD$16:AD16)</f>
        <v>880</v>
      </c>
      <c r="AF16" s="371">
        <f t="shared" ref="AF16:AF45" si="4">AE16/$AI$21</f>
        <v>1.76</v>
      </c>
      <c r="AG16" s="294"/>
      <c r="AH16" s="516" t="s">
        <v>784</v>
      </c>
      <c r="AI16" s="517">
        <v>1.0</v>
      </c>
      <c r="AJ16" s="518" t="s">
        <v>785</v>
      </c>
      <c r="AK16" s="519">
        <v>12.0</v>
      </c>
      <c r="AM16" s="172"/>
      <c r="AN16" s="172"/>
      <c r="AO16" s="172"/>
      <c r="AP16" s="172"/>
      <c r="AQ16" s="172"/>
      <c r="AR16" s="172"/>
    </row>
    <row r="17" ht="15.75" customHeight="1">
      <c r="A17" s="368">
        <v>2.0</v>
      </c>
      <c r="B17" s="423">
        <v>1100.0</v>
      </c>
      <c r="C17" s="368">
        <v>460.0</v>
      </c>
      <c r="D17" s="396" t="b">
        <f>IFERROR(__xludf.DUMMYFUNCTION("if(countif($E17:$Y17, ""&lt;&gt;0"")&lt;1, ""NO REWARD!"", if(counta(filter($E17:$Y17, $E17:$Y17&lt;&gt;0))&gt;1, TRUE, FALSE))"),FALSE)</f>
        <v>0</v>
      </c>
      <c r="E17" s="377">
        <v>10.0</v>
      </c>
      <c r="F17" s="248">
        <v>0.0</v>
      </c>
      <c r="G17" s="248">
        <v>0.0</v>
      </c>
      <c r="H17" s="248">
        <v>0.0</v>
      </c>
      <c r="I17" s="248">
        <v>0.0</v>
      </c>
      <c r="J17" s="248">
        <v>0.0</v>
      </c>
      <c r="K17" s="248">
        <v>0.0</v>
      </c>
      <c r="L17" s="248">
        <v>0.0</v>
      </c>
      <c r="M17" s="248">
        <v>0.0</v>
      </c>
      <c r="N17" s="248">
        <v>0.0</v>
      </c>
      <c r="O17" s="248">
        <v>0.0</v>
      </c>
      <c r="P17" s="248">
        <v>0.0</v>
      </c>
      <c r="Q17" s="248">
        <v>0.0</v>
      </c>
      <c r="R17" s="248">
        <v>0.0</v>
      </c>
      <c r="S17" s="248">
        <v>0.0</v>
      </c>
      <c r="T17" s="248">
        <v>0.0</v>
      </c>
      <c r="U17" s="248">
        <v>0.0</v>
      </c>
      <c r="V17" s="248">
        <v>0.0</v>
      </c>
      <c r="W17" s="248">
        <v>0.0</v>
      </c>
      <c r="X17" s="248">
        <v>0.0</v>
      </c>
      <c r="Y17" s="248">
        <v>0.0</v>
      </c>
      <c r="Z17" s="172"/>
      <c r="AA17" s="424">
        <f t="shared" si="1"/>
        <v>0.92</v>
      </c>
      <c r="AB17" s="172"/>
      <c r="AC17" s="172"/>
      <c r="AD17" s="371">
        <f t="shared" si="2"/>
        <v>1100</v>
      </c>
      <c r="AE17" s="371">
        <f t="shared" si="3"/>
        <v>1980</v>
      </c>
      <c r="AF17" s="371">
        <f t="shared" si="4"/>
        <v>3.96</v>
      </c>
      <c r="AG17" s="294"/>
      <c r="AH17" s="518" t="s">
        <v>786</v>
      </c>
      <c r="AI17" s="517">
        <v>1.0</v>
      </c>
      <c r="AJ17" s="518" t="s">
        <v>787</v>
      </c>
      <c r="AK17" s="519">
        <v>18410.0</v>
      </c>
      <c r="AM17" s="172"/>
      <c r="AN17" s="172"/>
      <c r="AO17" s="172"/>
      <c r="AP17" s="172"/>
      <c r="AQ17" s="172"/>
      <c r="AR17" s="172"/>
    </row>
    <row r="18" ht="15.75" customHeight="1">
      <c r="A18" s="368">
        <v>3.0</v>
      </c>
      <c r="B18" s="423">
        <v>2630.0</v>
      </c>
      <c r="C18" s="368">
        <v>1460.0</v>
      </c>
      <c r="D18" s="397" t="b">
        <f>IFERROR(__xludf.DUMMYFUNCTION("if(countif($E18:$Y18, ""&lt;&gt;0"")&lt;1, ""NO REWARD!"", if(counta(filter($E18:$Y18, $E18:$Y18&lt;&gt;0))&gt;1, TRUE, FALSE))"),FALSE)</f>
        <v>0</v>
      </c>
      <c r="E18" s="377">
        <v>0.0</v>
      </c>
      <c r="F18" s="248">
        <v>0.0</v>
      </c>
      <c r="G18" s="248">
        <v>0.0</v>
      </c>
      <c r="H18" s="248">
        <v>0.0</v>
      </c>
      <c r="I18" s="248">
        <v>0.0</v>
      </c>
      <c r="J18" s="248">
        <v>0.0</v>
      </c>
      <c r="K18" s="248">
        <v>0.0</v>
      </c>
      <c r="L18" s="248">
        <v>0.0</v>
      </c>
      <c r="M18" s="248">
        <v>0.0</v>
      </c>
      <c r="N18" s="248">
        <v>10.0</v>
      </c>
      <c r="O18" s="248">
        <v>0.0</v>
      </c>
      <c r="P18" s="248">
        <v>0.0</v>
      </c>
      <c r="Q18" s="248">
        <v>0.0</v>
      </c>
      <c r="R18" s="248">
        <v>0.0</v>
      </c>
      <c r="S18" s="248">
        <v>0.0</v>
      </c>
      <c r="T18" s="248">
        <v>0.0</v>
      </c>
      <c r="U18" s="248">
        <v>0.0</v>
      </c>
      <c r="V18" s="248">
        <v>0.0</v>
      </c>
      <c r="W18" s="248">
        <v>0.0</v>
      </c>
      <c r="X18" s="248">
        <v>0.0</v>
      </c>
      <c r="Y18" s="248">
        <v>0.0</v>
      </c>
      <c r="Z18" s="172"/>
      <c r="AA18" s="424">
        <f t="shared" si="1"/>
        <v>2.92</v>
      </c>
      <c r="AB18" s="172"/>
      <c r="AC18" s="172"/>
      <c r="AD18" s="371">
        <f t="shared" si="2"/>
        <v>2630</v>
      </c>
      <c r="AE18" s="371">
        <f t="shared" si="3"/>
        <v>4610</v>
      </c>
      <c r="AF18" s="371">
        <f t="shared" si="4"/>
        <v>9.22</v>
      </c>
      <c r="AG18" s="294"/>
      <c r="AH18" s="520" t="s">
        <v>788</v>
      </c>
      <c r="AI18" s="521">
        <v>1.0</v>
      </c>
      <c r="AJ18" s="518" t="s">
        <v>789</v>
      </c>
      <c r="AK18" s="519">
        <v>352260.0</v>
      </c>
      <c r="AM18" s="172"/>
      <c r="AN18" s="172"/>
      <c r="AO18" s="172"/>
      <c r="AP18" s="172"/>
      <c r="AQ18" s="172"/>
      <c r="AR18" s="172"/>
    </row>
    <row r="19" ht="15.75" customHeight="1">
      <c r="A19" s="368">
        <v>4.0</v>
      </c>
      <c r="B19" s="423">
        <v>880.0</v>
      </c>
      <c r="C19" s="368">
        <v>1710.0</v>
      </c>
      <c r="D19" s="396" t="b">
        <f>IFERROR(__xludf.DUMMYFUNCTION("if(countif($E19:$Y19, ""&lt;&gt;0"")&lt;1, ""NO REWARD!"", if(counta(filter($E19:$Y19, $E19:$Y19&lt;&gt;0))&gt;1, TRUE, FALSE))"),FALSE)</f>
        <v>0</v>
      </c>
      <c r="E19" s="377">
        <v>0.0</v>
      </c>
      <c r="F19" s="248">
        <v>10.0</v>
      </c>
      <c r="G19" s="248">
        <v>0.0</v>
      </c>
      <c r="H19" s="248">
        <v>0.0</v>
      </c>
      <c r="I19" s="248">
        <v>0.0</v>
      </c>
      <c r="J19" s="248">
        <v>0.0</v>
      </c>
      <c r="K19" s="248">
        <v>0.0</v>
      </c>
      <c r="L19" s="248">
        <v>0.0</v>
      </c>
      <c r="M19" s="248">
        <v>0.0</v>
      </c>
      <c r="N19" s="248">
        <v>0.0</v>
      </c>
      <c r="O19" s="248">
        <v>0.0</v>
      </c>
      <c r="P19" s="248">
        <v>0.0</v>
      </c>
      <c r="Q19" s="248">
        <v>0.0</v>
      </c>
      <c r="R19" s="248">
        <v>0.0</v>
      </c>
      <c r="S19" s="248">
        <v>0.0</v>
      </c>
      <c r="T19" s="248">
        <v>0.0</v>
      </c>
      <c r="U19" s="248">
        <v>0.0</v>
      </c>
      <c r="V19" s="248">
        <v>0.0</v>
      </c>
      <c r="W19" s="248">
        <v>0.0</v>
      </c>
      <c r="X19" s="248">
        <v>0.0</v>
      </c>
      <c r="Y19" s="248">
        <v>0.0</v>
      </c>
      <c r="Z19" s="172"/>
      <c r="AA19" s="424">
        <f t="shared" si="1"/>
        <v>3.42</v>
      </c>
      <c r="AB19" s="172"/>
      <c r="AC19" s="172"/>
      <c r="AD19" s="371">
        <f t="shared" si="2"/>
        <v>880</v>
      </c>
      <c r="AE19" s="371">
        <f t="shared" si="3"/>
        <v>5490</v>
      </c>
      <c r="AF19" s="371">
        <f t="shared" si="4"/>
        <v>10.98</v>
      </c>
      <c r="AG19" s="294"/>
      <c r="AH19" s="520" t="s">
        <v>790</v>
      </c>
      <c r="AI19" s="521">
        <v>1.25</v>
      </c>
      <c r="AM19" s="172"/>
      <c r="AN19" s="172"/>
      <c r="AO19" s="172"/>
      <c r="AP19" s="172"/>
      <c r="AQ19" s="172"/>
      <c r="AR19" s="172"/>
    </row>
    <row r="20" ht="15.75" customHeight="1">
      <c r="A20" s="368">
        <v>5.0</v>
      </c>
      <c r="B20" s="423">
        <v>1100.0</v>
      </c>
      <c r="C20" s="368">
        <v>2210.0</v>
      </c>
      <c r="D20" s="397" t="b">
        <f>IFERROR(__xludf.DUMMYFUNCTION("if(countif($E20:$Y20, ""&lt;&gt;0"")&lt;1, ""NO REWARD!"", if(counta(filter($E20:$Y20, $E20:$Y20&lt;&gt;0))&gt;1, TRUE, FALSE))"),FALSE)</f>
        <v>0</v>
      </c>
      <c r="E20" s="377">
        <v>0.0</v>
      </c>
      <c r="F20" s="248">
        <v>0.0</v>
      </c>
      <c r="G20" s="248">
        <v>0.0</v>
      </c>
      <c r="H20" s="248">
        <v>0.0</v>
      </c>
      <c r="I20" s="248">
        <v>1.0</v>
      </c>
      <c r="J20" s="248">
        <v>0.0</v>
      </c>
      <c r="K20" s="248">
        <v>0.0</v>
      </c>
      <c r="L20" s="248">
        <v>0.0</v>
      </c>
      <c r="M20" s="248">
        <v>0.0</v>
      </c>
      <c r="N20" s="248">
        <v>0.0</v>
      </c>
      <c r="O20" s="248">
        <v>0.0</v>
      </c>
      <c r="P20" s="248">
        <v>0.0</v>
      </c>
      <c r="Q20" s="248">
        <v>0.0</v>
      </c>
      <c r="R20" s="248">
        <v>0.0</v>
      </c>
      <c r="S20" s="248">
        <v>0.0</v>
      </c>
      <c r="T20" s="248">
        <v>0.0</v>
      </c>
      <c r="U20" s="248">
        <v>0.0</v>
      </c>
      <c r="V20" s="248">
        <v>0.0</v>
      </c>
      <c r="W20" s="248">
        <v>0.0</v>
      </c>
      <c r="X20" s="248">
        <v>0.0</v>
      </c>
      <c r="Y20" s="248">
        <v>0.0</v>
      </c>
      <c r="Z20" s="172"/>
      <c r="AA20" s="424">
        <f t="shared" si="1"/>
        <v>4.42</v>
      </c>
      <c r="AB20" s="172"/>
      <c r="AC20" s="172"/>
      <c r="AD20" s="371">
        <f t="shared" si="2"/>
        <v>1100</v>
      </c>
      <c r="AE20" s="371">
        <f t="shared" si="3"/>
        <v>6590</v>
      </c>
      <c r="AF20" s="371">
        <f t="shared" si="4"/>
        <v>13.18</v>
      </c>
      <c r="AG20" s="294"/>
      <c r="AH20" s="520" t="s">
        <v>791</v>
      </c>
      <c r="AI20" s="521">
        <v>3.0</v>
      </c>
      <c r="AJ20" s="518" t="s">
        <v>792</v>
      </c>
      <c r="AK20" s="522">
        <f>AK17 / SUMPRODUCT(($A$16:$A$45&lt;=$AK$16) * ($A$16:$A$45^$AI$16 - ($A$16:$A$45-1)^$AI$16) * CHOOSE(MOD($A$16:$A$45-1,3)+1, $AI$18, $AI$19, $AI$20))</f>
        <v>876.6666667</v>
      </c>
      <c r="AM20" s="172"/>
      <c r="AN20" s="172"/>
      <c r="AO20" s="172"/>
      <c r="AP20" s="172"/>
      <c r="AQ20" s="172"/>
      <c r="AR20" s="172"/>
    </row>
    <row r="21" ht="15.75" customHeight="1">
      <c r="A21" s="368">
        <v>6.0</v>
      </c>
      <c r="B21" s="423">
        <v>2630.0</v>
      </c>
      <c r="C21" s="368">
        <v>3810.0</v>
      </c>
      <c r="D21" s="396" t="b">
        <f>IFERROR(__xludf.DUMMYFUNCTION("if(countif($E21:$Y21, ""&lt;&gt;0"")&lt;1, ""NO REWARD!"", if(counta(filter($E21:$Y21, $E21:$Y21&lt;&gt;0))&gt;1, TRUE, FALSE))"),TRUE)</f>
        <v>1</v>
      </c>
      <c r="E21" s="377">
        <v>0.0</v>
      </c>
      <c r="F21" s="248">
        <v>0.0</v>
      </c>
      <c r="G21" s="248">
        <v>10.0</v>
      </c>
      <c r="H21" s="248">
        <v>0.0</v>
      </c>
      <c r="I21" s="248">
        <v>0.0</v>
      </c>
      <c r="J21" s="248">
        <v>0.0</v>
      </c>
      <c r="K21" s="248">
        <v>0.0</v>
      </c>
      <c r="L21" s="248">
        <v>0.0</v>
      </c>
      <c r="M21" s="248">
        <v>0.0</v>
      </c>
      <c r="N21" s="248">
        <v>15.0</v>
      </c>
      <c r="O21" s="248">
        <v>0.0</v>
      </c>
      <c r="P21" s="248">
        <v>0.0</v>
      </c>
      <c r="Q21" s="248">
        <v>0.0</v>
      </c>
      <c r="R21" s="248">
        <v>0.0</v>
      </c>
      <c r="S21" s="248">
        <v>0.0</v>
      </c>
      <c r="T21" s="248">
        <v>0.0</v>
      </c>
      <c r="U21" s="248">
        <v>0.0</v>
      </c>
      <c r="V21" s="248">
        <v>0.0</v>
      </c>
      <c r="W21" s="248">
        <v>0.0</v>
      </c>
      <c r="X21" s="248">
        <v>0.0</v>
      </c>
      <c r="Y21" s="248">
        <v>0.0</v>
      </c>
      <c r="Z21" s="172"/>
      <c r="AA21" s="424">
        <f t="shared" si="1"/>
        <v>7.62</v>
      </c>
      <c r="AB21" s="172"/>
      <c r="AC21" s="172"/>
      <c r="AD21" s="371">
        <f t="shared" si="2"/>
        <v>2630</v>
      </c>
      <c r="AE21" s="371">
        <f t="shared" si="3"/>
        <v>9220</v>
      </c>
      <c r="AF21" s="371">
        <f t="shared" si="4"/>
        <v>18.44</v>
      </c>
      <c r="AG21" s="294"/>
      <c r="AH21" s="520" t="s">
        <v>796</v>
      </c>
      <c r="AI21" s="521">
        <v>500.0</v>
      </c>
      <c r="AJ21" s="518" t="s">
        <v>797</v>
      </c>
      <c r="AK21" s="522">
        <f>(AK18-AK17) / SUMPRODUCT(($A$16:$A$45&gt;$AK$16) * ($A$16:$A$45^$AI$17 - ($A$16:$A$45-1)^$AI$17) * CHOOSE(MOD($A$16:$A$45-1,3)+1, $AI$18, $AI$19, $AI$20))</f>
        <v>10598.4127</v>
      </c>
      <c r="AL21" s="172"/>
      <c r="AM21" s="172"/>
      <c r="AN21" s="172"/>
      <c r="AO21" s="172"/>
      <c r="AP21" s="172"/>
      <c r="AQ21" s="172"/>
      <c r="AR21" s="172"/>
    </row>
    <row r="22" ht="15.75" customHeight="1">
      <c r="A22" s="368">
        <v>7.0</v>
      </c>
      <c r="B22" s="423">
        <v>880.0</v>
      </c>
      <c r="C22" s="368">
        <v>4310.0</v>
      </c>
      <c r="D22" s="397" t="b">
        <f>IFERROR(__xludf.DUMMYFUNCTION("if(countif($E22:$Y22, ""&lt;&gt;0"")&lt;1, ""NO REWARD!"", if(counta(filter($E22:$Y22, $E22:$Y22&lt;&gt;0))&gt;1, TRUE, FALSE))"),FALSE)</f>
        <v>0</v>
      </c>
      <c r="E22" s="377">
        <v>0.0</v>
      </c>
      <c r="F22" s="248">
        <v>30.0</v>
      </c>
      <c r="G22" s="248">
        <v>0.0</v>
      </c>
      <c r="H22" s="248">
        <v>0.0</v>
      </c>
      <c r="I22" s="248">
        <v>0.0</v>
      </c>
      <c r="J22" s="248">
        <v>0.0</v>
      </c>
      <c r="K22" s="248">
        <v>0.0</v>
      </c>
      <c r="L22" s="248">
        <v>0.0</v>
      </c>
      <c r="M22" s="248">
        <v>0.0</v>
      </c>
      <c r="N22" s="248">
        <v>0.0</v>
      </c>
      <c r="O22" s="248">
        <v>0.0</v>
      </c>
      <c r="P22" s="248">
        <v>0.0</v>
      </c>
      <c r="Q22" s="248">
        <v>0.0</v>
      </c>
      <c r="R22" s="248">
        <v>0.0</v>
      </c>
      <c r="S22" s="248">
        <v>0.0</v>
      </c>
      <c r="T22" s="248">
        <v>0.0</v>
      </c>
      <c r="U22" s="248">
        <v>0.0</v>
      </c>
      <c r="V22" s="248">
        <v>0.0</v>
      </c>
      <c r="W22" s="248">
        <v>0.0</v>
      </c>
      <c r="X22" s="248">
        <v>0.0</v>
      </c>
      <c r="Y22" s="248">
        <v>0.0</v>
      </c>
      <c r="Z22" s="172"/>
      <c r="AA22" s="424">
        <f t="shared" si="1"/>
        <v>8.62</v>
      </c>
      <c r="AB22" s="172"/>
      <c r="AC22" s="172"/>
      <c r="AD22" s="371">
        <f t="shared" si="2"/>
        <v>880</v>
      </c>
      <c r="AE22" s="371">
        <f t="shared" si="3"/>
        <v>10100</v>
      </c>
      <c r="AF22" s="371">
        <f t="shared" si="4"/>
        <v>20.2</v>
      </c>
      <c r="AG22" s="294"/>
      <c r="AH22" s="294"/>
      <c r="AI22" s="294"/>
      <c r="AJ22" s="172"/>
      <c r="AK22" s="172"/>
      <c r="AL22" s="172"/>
      <c r="AM22" s="172"/>
      <c r="AN22" s="172"/>
      <c r="AO22" s="172"/>
      <c r="AP22" s="172"/>
      <c r="AQ22" s="172"/>
      <c r="AR22" s="172"/>
    </row>
    <row r="23" ht="15.75" customHeight="1">
      <c r="A23" s="368">
        <v>8.0</v>
      </c>
      <c r="B23" s="423">
        <v>1100.0</v>
      </c>
      <c r="C23" s="368">
        <v>5310.0</v>
      </c>
      <c r="D23" s="396" t="b">
        <f>IFERROR(__xludf.DUMMYFUNCTION("if(countif($E23:$Y23, ""&lt;&gt;0"")&lt;1, ""NO REWARD!"", if(counta(filter($E23:$Y23, $E23:$Y23&lt;&gt;0))&gt;1, TRUE, FALSE))"),FALSE)</f>
        <v>0</v>
      </c>
      <c r="E23" s="377">
        <v>0.0</v>
      </c>
      <c r="F23" s="248">
        <v>0.0</v>
      </c>
      <c r="G23" s="248">
        <v>0.0</v>
      </c>
      <c r="H23" s="248">
        <v>0.0</v>
      </c>
      <c r="I23" s="248">
        <v>1.0</v>
      </c>
      <c r="J23" s="248">
        <v>0.0</v>
      </c>
      <c r="K23" s="248">
        <v>0.0</v>
      </c>
      <c r="L23" s="248">
        <v>0.0</v>
      </c>
      <c r="M23" s="248">
        <v>0.0</v>
      </c>
      <c r="N23" s="248">
        <v>0.0</v>
      </c>
      <c r="O23" s="248">
        <v>0.0</v>
      </c>
      <c r="P23" s="248">
        <v>0.0</v>
      </c>
      <c r="Q23" s="248">
        <v>0.0</v>
      </c>
      <c r="R23" s="248">
        <v>0.0</v>
      </c>
      <c r="S23" s="248">
        <v>0.0</v>
      </c>
      <c r="T23" s="248">
        <v>0.0</v>
      </c>
      <c r="U23" s="248">
        <v>0.0</v>
      </c>
      <c r="V23" s="248">
        <v>0.0</v>
      </c>
      <c r="W23" s="248">
        <v>0.0</v>
      </c>
      <c r="X23" s="248">
        <v>0.0</v>
      </c>
      <c r="Y23" s="248">
        <v>0.0</v>
      </c>
      <c r="Z23" s="172"/>
      <c r="AA23" s="424">
        <f t="shared" si="1"/>
        <v>10.62</v>
      </c>
      <c r="AB23" s="172"/>
      <c r="AC23" s="172"/>
      <c r="AD23" s="371">
        <f t="shared" si="2"/>
        <v>1100</v>
      </c>
      <c r="AE23" s="371">
        <f t="shared" si="3"/>
        <v>11200</v>
      </c>
      <c r="AF23" s="371">
        <f t="shared" si="4"/>
        <v>22.4</v>
      </c>
      <c r="AG23" s="294"/>
      <c r="AH23" s="294"/>
      <c r="AI23" s="294"/>
      <c r="AJ23" s="172"/>
      <c r="AK23" s="172"/>
      <c r="AL23" s="172"/>
      <c r="AM23" s="172"/>
      <c r="AN23" s="172"/>
      <c r="AO23" s="172"/>
      <c r="AP23" s="172"/>
      <c r="AQ23" s="172"/>
      <c r="AR23" s="172"/>
    </row>
    <row r="24" ht="15.75" customHeight="1">
      <c r="A24" s="368">
        <v>9.0</v>
      </c>
      <c r="B24" s="423">
        <v>2630.0</v>
      </c>
      <c r="C24" s="368">
        <v>8610.0</v>
      </c>
      <c r="D24" s="397" t="b">
        <f>IFERROR(__xludf.DUMMYFUNCTION("if(countif($E24:$Y24, ""&lt;&gt;0"")&lt;1, ""NO REWARD!"", if(counta(filter($E24:$Y24, $E24:$Y24&lt;&gt;0))&gt;1, TRUE, FALSE))"),FALSE)</f>
        <v>0</v>
      </c>
      <c r="E24" s="377">
        <v>20.0</v>
      </c>
      <c r="F24" s="248">
        <v>0.0</v>
      </c>
      <c r="G24" s="248">
        <v>0.0</v>
      </c>
      <c r="H24" s="248">
        <v>0.0</v>
      </c>
      <c r="I24" s="248">
        <v>0.0</v>
      </c>
      <c r="J24" s="248">
        <v>0.0</v>
      </c>
      <c r="K24" s="248">
        <v>0.0</v>
      </c>
      <c r="L24" s="248">
        <v>0.0</v>
      </c>
      <c r="M24" s="248">
        <v>0.0</v>
      </c>
      <c r="N24" s="248">
        <v>0.0</v>
      </c>
      <c r="O24" s="248">
        <v>0.0</v>
      </c>
      <c r="P24" s="248">
        <v>0.0</v>
      </c>
      <c r="Q24" s="248">
        <v>0.0</v>
      </c>
      <c r="R24" s="248">
        <v>0.0</v>
      </c>
      <c r="S24" s="248">
        <v>0.0</v>
      </c>
      <c r="T24" s="248">
        <v>0.0</v>
      </c>
      <c r="U24" s="248">
        <v>0.0</v>
      </c>
      <c r="V24" s="248">
        <v>0.0</v>
      </c>
      <c r="W24" s="248">
        <v>0.0</v>
      </c>
      <c r="X24" s="248">
        <v>0.0</v>
      </c>
      <c r="Y24" s="248">
        <v>0.0</v>
      </c>
      <c r="Z24" s="172"/>
      <c r="AA24" s="424">
        <f t="shared" si="1"/>
        <v>17.22</v>
      </c>
      <c r="AB24" s="172"/>
      <c r="AC24" s="172"/>
      <c r="AD24" s="371">
        <f t="shared" si="2"/>
        <v>2630</v>
      </c>
      <c r="AE24" s="371">
        <f t="shared" si="3"/>
        <v>13830</v>
      </c>
      <c r="AF24" s="371">
        <f t="shared" si="4"/>
        <v>27.66</v>
      </c>
      <c r="AG24" s="294"/>
      <c r="AH24" s="294"/>
      <c r="AI24" s="294"/>
      <c r="AJ24" s="172"/>
      <c r="AK24" s="172"/>
      <c r="AL24" s="172"/>
      <c r="AM24" s="172"/>
      <c r="AN24" s="172"/>
      <c r="AO24" s="172"/>
      <c r="AP24" s="172"/>
      <c r="AQ24" s="172"/>
      <c r="AR24" s="172"/>
    </row>
    <row r="25" ht="15.75" customHeight="1">
      <c r="A25" s="368">
        <v>10.0</v>
      </c>
      <c r="B25" s="423">
        <v>880.0</v>
      </c>
      <c r="C25" s="368">
        <v>9710.0</v>
      </c>
      <c r="D25" s="396" t="b">
        <f>IFERROR(__xludf.DUMMYFUNCTION("if(countif($E25:$Y25, ""&lt;&gt;0"")&lt;1, ""NO REWARD!"", if(counta(filter($E25:$Y25, $E25:$Y25&lt;&gt;0))&gt;1, TRUE, FALSE))"),FALSE)</f>
        <v>0</v>
      </c>
      <c r="E25" s="377">
        <v>0.0</v>
      </c>
      <c r="F25" s="248">
        <v>50.0</v>
      </c>
      <c r="G25" s="248">
        <v>0.0</v>
      </c>
      <c r="H25" s="248">
        <v>0.0</v>
      </c>
      <c r="I25" s="248">
        <v>0.0</v>
      </c>
      <c r="J25" s="248">
        <v>0.0</v>
      </c>
      <c r="K25" s="248">
        <v>0.0</v>
      </c>
      <c r="L25" s="248">
        <v>0.0</v>
      </c>
      <c r="M25" s="248">
        <v>0.0</v>
      </c>
      <c r="N25" s="248">
        <v>0.0</v>
      </c>
      <c r="O25" s="248">
        <v>0.0</v>
      </c>
      <c r="P25" s="248">
        <v>0.0</v>
      </c>
      <c r="Q25" s="248">
        <v>0.0</v>
      </c>
      <c r="R25" s="248">
        <v>0.0</v>
      </c>
      <c r="S25" s="248">
        <v>0.0</v>
      </c>
      <c r="T25" s="248">
        <v>0.0</v>
      </c>
      <c r="U25" s="248">
        <v>0.0</v>
      </c>
      <c r="V25" s="248">
        <v>0.0</v>
      </c>
      <c r="W25" s="248">
        <v>0.0</v>
      </c>
      <c r="X25" s="248">
        <v>0.0</v>
      </c>
      <c r="Y25" s="248">
        <v>0.0</v>
      </c>
      <c r="Z25" s="172"/>
      <c r="AA25" s="424">
        <f t="shared" si="1"/>
        <v>19.42</v>
      </c>
      <c r="AB25" s="172"/>
      <c r="AC25" s="172"/>
      <c r="AD25" s="371">
        <f t="shared" si="2"/>
        <v>880</v>
      </c>
      <c r="AE25" s="371">
        <f t="shared" si="3"/>
        <v>14710</v>
      </c>
      <c r="AF25" s="371">
        <f t="shared" si="4"/>
        <v>29.42</v>
      </c>
      <c r="AG25" s="294"/>
      <c r="AH25" s="294"/>
      <c r="AI25" s="294"/>
      <c r="AJ25" s="172"/>
      <c r="AK25" s="172"/>
      <c r="AL25" s="172"/>
      <c r="AM25" s="172"/>
      <c r="AN25" s="172"/>
      <c r="AO25" s="172"/>
      <c r="AP25" s="172"/>
      <c r="AQ25" s="172"/>
      <c r="AR25" s="172"/>
    </row>
    <row r="26" ht="15.75" customHeight="1">
      <c r="A26" s="368">
        <v>11.0</v>
      </c>
      <c r="B26" s="423">
        <v>1100.0</v>
      </c>
      <c r="C26" s="368">
        <v>11910.0</v>
      </c>
      <c r="D26" s="397" t="b">
        <f>IFERROR(__xludf.DUMMYFUNCTION("if(countif($E26:$Y26, ""&lt;&gt;0"")&lt;1, ""NO REWARD!"", if(counta(filter($E26:$Y26, $E26:$Y26&lt;&gt;0))&gt;1, TRUE, FALSE))"),FALSE)</f>
        <v>0</v>
      </c>
      <c r="E26" s="377">
        <v>0.0</v>
      </c>
      <c r="F26" s="248">
        <v>0.0</v>
      </c>
      <c r="G26" s="248">
        <v>0.0</v>
      </c>
      <c r="H26" s="248">
        <v>0.0</v>
      </c>
      <c r="I26" s="248">
        <v>0.0</v>
      </c>
      <c r="J26" s="248">
        <v>0.0</v>
      </c>
      <c r="K26" s="248">
        <v>0.0</v>
      </c>
      <c r="L26" s="248">
        <v>1.0</v>
      </c>
      <c r="M26" s="248">
        <v>0.0</v>
      </c>
      <c r="N26" s="248">
        <v>0.0</v>
      </c>
      <c r="O26" s="248">
        <v>0.0</v>
      </c>
      <c r="P26" s="248">
        <v>0.0</v>
      </c>
      <c r="Q26" s="248">
        <v>0.0</v>
      </c>
      <c r="R26" s="248">
        <v>0.0</v>
      </c>
      <c r="S26" s="248">
        <v>0.0</v>
      </c>
      <c r="T26" s="248">
        <v>0.0</v>
      </c>
      <c r="U26" s="248">
        <v>0.0</v>
      </c>
      <c r="V26" s="248">
        <v>0.0</v>
      </c>
      <c r="W26" s="248">
        <v>0.0</v>
      </c>
      <c r="X26" s="248">
        <v>0.0</v>
      </c>
      <c r="Y26" s="248">
        <v>0.0</v>
      </c>
      <c r="Z26" s="172"/>
      <c r="AA26" s="424">
        <f t="shared" si="1"/>
        <v>23.82</v>
      </c>
      <c r="AB26" s="172"/>
      <c r="AC26" s="172"/>
      <c r="AD26" s="371">
        <f t="shared" si="2"/>
        <v>1100</v>
      </c>
      <c r="AE26" s="371">
        <f t="shared" si="3"/>
        <v>15810</v>
      </c>
      <c r="AF26" s="371">
        <f t="shared" si="4"/>
        <v>31.62</v>
      </c>
      <c r="AG26" s="294"/>
      <c r="AH26" s="294"/>
      <c r="AI26" s="294"/>
      <c r="AJ26" s="172"/>
      <c r="AK26" s="172"/>
      <c r="AL26" s="172"/>
      <c r="AM26" s="172"/>
      <c r="AN26" s="172"/>
      <c r="AO26" s="172"/>
      <c r="AP26" s="172"/>
      <c r="AQ26" s="172"/>
      <c r="AR26" s="172"/>
    </row>
    <row r="27" ht="15.75" customHeight="1">
      <c r="A27" s="368">
        <v>12.0</v>
      </c>
      <c r="B27" s="423">
        <v>2630.0</v>
      </c>
      <c r="C27" s="368">
        <v>18410.0</v>
      </c>
      <c r="D27" s="395" t="b">
        <f>IFERROR(__xludf.DUMMYFUNCTION("if(countif($E27:$Y27, ""&lt;&gt;0"")&lt;1, ""NO REWARD!"", if(counta(filter($E27:$Y27, $E27:$Y27&lt;&gt;0))&gt;1, TRUE, FALSE))"),TRUE)</f>
        <v>1</v>
      </c>
      <c r="E27" s="377">
        <v>0.0</v>
      </c>
      <c r="F27" s="248">
        <v>0.0</v>
      </c>
      <c r="G27" s="248">
        <v>0.0</v>
      </c>
      <c r="H27" s="248">
        <v>0.0</v>
      </c>
      <c r="I27" s="248">
        <v>0.0</v>
      </c>
      <c r="J27" s="248">
        <v>0.0</v>
      </c>
      <c r="K27" s="248">
        <v>0.0</v>
      </c>
      <c r="L27" s="248">
        <v>0.0</v>
      </c>
      <c r="M27" s="248">
        <v>1.0</v>
      </c>
      <c r="N27" s="248">
        <v>30.0</v>
      </c>
      <c r="O27" s="248">
        <v>0.0</v>
      </c>
      <c r="P27" s="248">
        <v>0.0</v>
      </c>
      <c r="Q27" s="248">
        <v>0.0</v>
      </c>
      <c r="R27" s="248">
        <v>0.0</v>
      </c>
      <c r="S27" s="248">
        <v>0.0</v>
      </c>
      <c r="T27" s="248">
        <v>0.0</v>
      </c>
      <c r="U27" s="248">
        <v>0.0</v>
      </c>
      <c r="V27" s="248">
        <v>0.0</v>
      </c>
      <c r="W27" s="248">
        <v>0.0</v>
      </c>
      <c r="X27" s="248">
        <v>0.0</v>
      </c>
      <c r="Y27" s="248">
        <v>0.0</v>
      </c>
      <c r="Z27" s="172"/>
      <c r="AA27" s="424">
        <f t="shared" si="1"/>
        <v>36.82</v>
      </c>
      <c r="AB27" s="172"/>
      <c r="AC27" s="172"/>
      <c r="AD27" s="371">
        <f t="shared" si="2"/>
        <v>2630</v>
      </c>
      <c r="AE27" s="371">
        <f t="shared" si="3"/>
        <v>18440</v>
      </c>
      <c r="AF27" s="371">
        <f t="shared" si="4"/>
        <v>36.88</v>
      </c>
      <c r="AG27" s="294"/>
      <c r="AH27" s="294"/>
      <c r="AI27" s="294"/>
      <c r="AJ27" s="172"/>
      <c r="AK27" s="172"/>
      <c r="AL27" s="172"/>
      <c r="AM27" s="172"/>
      <c r="AN27" s="172"/>
      <c r="AO27" s="172"/>
      <c r="AP27" s="172"/>
      <c r="AQ27" s="172"/>
      <c r="AR27" s="172"/>
    </row>
    <row r="28" ht="15.75" customHeight="1">
      <c r="A28" s="368">
        <v>13.0</v>
      </c>
      <c r="B28" s="423">
        <v>10600.0</v>
      </c>
      <c r="C28" s="368">
        <v>20610.0</v>
      </c>
      <c r="D28" s="397" t="b">
        <f>IFERROR(__xludf.DUMMYFUNCTION("if(countif($E28:$Y28, ""&lt;&gt;0"")&lt;1, ""NO REWARD!"", if(counta(filter($E28:$Y28, $E28:$Y28&lt;&gt;0))&gt;1, TRUE, FALSE))"),FALSE)</f>
        <v>0</v>
      </c>
      <c r="E28" s="377">
        <v>0.0</v>
      </c>
      <c r="F28" s="248">
        <v>0.0</v>
      </c>
      <c r="G28" s="248">
        <v>0.0</v>
      </c>
      <c r="H28" s="248">
        <v>0.0</v>
      </c>
      <c r="I28" s="248">
        <v>0.0</v>
      </c>
      <c r="J28" s="248">
        <v>1.0</v>
      </c>
      <c r="K28" s="248">
        <v>0.0</v>
      </c>
      <c r="L28" s="248">
        <v>0.0</v>
      </c>
      <c r="M28" s="248">
        <v>0.0</v>
      </c>
      <c r="N28" s="248">
        <v>0.0</v>
      </c>
      <c r="O28" s="425">
        <v>0.0</v>
      </c>
      <c r="P28" s="248">
        <v>0.0</v>
      </c>
      <c r="Q28" s="248">
        <v>0.0</v>
      </c>
      <c r="R28" s="248">
        <v>0.0</v>
      </c>
      <c r="S28" s="248">
        <v>0.0</v>
      </c>
      <c r="T28" s="248">
        <v>0.0</v>
      </c>
      <c r="U28" s="248">
        <v>0.0</v>
      </c>
      <c r="V28" s="248">
        <v>0.0</v>
      </c>
      <c r="W28" s="248">
        <v>0.0</v>
      </c>
      <c r="X28" s="248">
        <v>0.0</v>
      </c>
      <c r="Y28" s="248">
        <v>0.0</v>
      </c>
      <c r="Z28" s="172"/>
      <c r="AA28" s="424">
        <f t="shared" si="1"/>
        <v>41.22</v>
      </c>
      <c r="AB28" s="172"/>
      <c r="AC28" s="172"/>
      <c r="AD28" s="371">
        <f t="shared" si="2"/>
        <v>10600</v>
      </c>
      <c r="AE28" s="371">
        <f t="shared" si="3"/>
        <v>29040</v>
      </c>
      <c r="AF28" s="371">
        <f t="shared" si="4"/>
        <v>58.08</v>
      </c>
      <c r="AG28" s="294"/>
      <c r="AH28" s="294"/>
      <c r="AI28" s="294"/>
      <c r="AJ28" s="172"/>
      <c r="AK28" s="172"/>
      <c r="AL28" s="172"/>
      <c r="AM28" s="172"/>
      <c r="AN28" s="172"/>
      <c r="AO28" s="172"/>
      <c r="AP28" s="172"/>
      <c r="AQ28" s="172"/>
      <c r="AR28" s="172"/>
    </row>
    <row r="29" ht="15.75" customHeight="1">
      <c r="A29" s="368">
        <v>14.0</v>
      </c>
      <c r="B29" s="423">
        <v>13250.0</v>
      </c>
      <c r="C29" s="368">
        <v>25010.0</v>
      </c>
      <c r="D29" s="396" t="b">
        <f>IFERROR(__xludf.DUMMYFUNCTION("if(countif($E29:$Y29, ""&lt;&gt;0"")&lt;1, ""NO REWARD!"", if(counta(filter($E29:$Y29, $E29:$Y29&lt;&gt;0))&gt;1, TRUE, FALSE))"),FALSE)</f>
        <v>0</v>
      </c>
      <c r="E29" s="377">
        <v>0.0</v>
      </c>
      <c r="F29" s="248">
        <v>0.0</v>
      </c>
      <c r="G29" s="248">
        <v>0.0</v>
      </c>
      <c r="H29" s="248">
        <v>0.0</v>
      </c>
      <c r="I29" s="248">
        <v>0.0</v>
      </c>
      <c r="J29" s="248">
        <v>0.0</v>
      </c>
      <c r="K29" s="248">
        <v>0.0</v>
      </c>
      <c r="L29" s="248">
        <v>0.0</v>
      </c>
      <c r="M29" s="248">
        <v>0.0</v>
      </c>
      <c r="N29" s="248">
        <v>0.0</v>
      </c>
      <c r="O29" s="425">
        <v>10.0</v>
      </c>
      <c r="P29" s="248">
        <v>0.0</v>
      </c>
      <c r="Q29" s="248">
        <v>0.0</v>
      </c>
      <c r="R29" s="248">
        <v>0.0</v>
      </c>
      <c r="S29" s="248">
        <v>0.0</v>
      </c>
      <c r="T29" s="248">
        <v>0.0</v>
      </c>
      <c r="U29" s="248">
        <v>0.0</v>
      </c>
      <c r="V29" s="248">
        <v>0.0</v>
      </c>
      <c r="W29" s="248">
        <v>0.0</v>
      </c>
      <c r="X29" s="248">
        <v>0.0</v>
      </c>
      <c r="Y29" s="248">
        <v>0.0</v>
      </c>
      <c r="Z29" s="172"/>
      <c r="AA29" s="424">
        <f t="shared" si="1"/>
        <v>50.02</v>
      </c>
      <c r="AB29" s="172"/>
      <c r="AC29" s="172"/>
      <c r="AD29" s="371">
        <f t="shared" si="2"/>
        <v>13250</v>
      </c>
      <c r="AE29" s="371">
        <f t="shared" si="3"/>
        <v>42290</v>
      </c>
      <c r="AF29" s="371">
        <f t="shared" si="4"/>
        <v>84.58</v>
      </c>
      <c r="AG29" s="294"/>
      <c r="AH29" s="294"/>
      <c r="AI29" s="294"/>
      <c r="AJ29" s="172"/>
      <c r="AK29" s="172"/>
      <c r="AL29" s="172"/>
      <c r="AM29" s="172"/>
      <c r="AN29" s="172"/>
      <c r="AO29" s="172"/>
      <c r="AP29" s="172"/>
      <c r="AQ29" s="172"/>
      <c r="AR29" s="172"/>
    </row>
    <row r="30" ht="15.75" customHeight="1">
      <c r="A30" s="368">
        <v>15.0</v>
      </c>
      <c r="B30" s="423">
        <v>31800.0</v>
      </c>
      <c r="C30" s="368">
        <v>38260.0</v>
      </c>
      <c r="D30" s="397" t="b">
        <f>IFERROR(__xludf.DUMMYFUNCTION("if(countif($E30:$Y30, ""&lt;&gt;0"")&lt;1, ""NO REWARD!"", if(counta(filter($E30:$Y30, $E30:$Y30&lt;&gt;0))&gt;1, TRUE, FALSE))"),FALSE)</f>
        <v>0</v>
      </c>
      <c r="E30" s="377">
        <v>0.0</v>
      </c>
      <c r="F30" s="248">
        <v>75.0</v>
      </c>
      <c r="G30" s="248">
        <v>0.0</v>
      </c>
      <c r="H30" s="248">
        <v>0.0</v>
      </c>
      <c r="I30" s="248">
        <v>0.0</v>
      </c>
      <c r="J30" s="248">
        <v>0.0</v>
      </c>
      <c r="K30" s="248">
        <v>0.0</v>
      </c>
      <c r="L30" s="248">
        <v>0.0</v>
      </c>
      <c r="M30" s="248">
        <v>0.0</v>
      </c>
      <c r="N30" s="248">
        <v>0.0</v>
      </c>
      <c r="O30" s="425">
        <v>0.0</v>
      </c>
      <c r="P30" s="248">
        <v>0.0</v>
      </c>
      <c r="Q30" s="248">
        <v>0.0</v>
      </c>
      <c r="R30" s="248">
        <v>0.0</v>
      </c>
      <c r="S30" s="248">
        <v>0.0</v>
      </c>
      <c r="T30" s="248">
        <v>0.0</v>
      </c>
      <c r="U30" s="248">
        <v>0.0</v>
      </c>
      <c r="V30" s="248">
        <v>0.0</v>
      </c>
      <c r="W30" s="248">
        <v>0.0</v>
      </c>
      <c r="X30" s="248">
        <v>0.0</v>
      </c>
      <c r="Y30" s="248">
        <v>0.0</v>
      </c>
      <c r="Z30" s="172"/>
      <c r="AA30" s="424">
        <f t="shared" si="1"/>
        <v>76.52</v>
      </c>
      <c r="AB30" s="172"/>
      <c r="AC30" s="172"/>
      <c r="AD30" s="371">
        <f t="shared" si="2"/>
        <v>31800</v>
      </c>
      <c r="AE30" s="371">
        <f t="shared" si="3"/>
        <v>74090</v>
      </c>
      <c r="AF30" s="371">
        <f t="shared" si="4"/>
        <v>148.18</v>
      </c>
      <c r="AG30" s="294"/>
      <c r="AH30" s="294"/>
      <c r="AI30" s="294"/>
      <c r="AJ30" s="172"/>
      <c r="AK30" s="172"/>
      <c r="AL30" s="172"/>
      <c r="AM30" s="172"/>
      <c r="AN30" s="172"/>
      <c r="AO30" s="172"/>
      <c r="AP30" s="172"/>
      <c r="AQ30" s="172"/>
      <c r="AR30" s="172"/>
    </row>
    <row r="31" ht="15.75" customHeight="1">
      <c r="A31" s="368">
        <v>16.0</v>
      </c>
      <c r="B31" s="423">
        <v>10600.0</v>
      </c>
      <c r="C31" s="368">
        <v>41560.0</v>
      </c>
      <c r="D31" s="395" t="b">
        <f>IFERROR(__xludf.DUMMYFUNCTION("if(countif($E31:$Y31, ""&lt;&gt;0"")&lt;1, ""NO REWARD!"", if(counta(filter($E31:$Y31, $E31:$Y31&lt;&gt;0))&gt;1, TRUE, FALSE))"),TRUE)</f>
        <v>1</v>
      </c>
      <c r="E31" s="377">
        <v>50.0</v>
      </c>
      <c r="F31" s="248">
        <v>0.0</v>
      </c>
      <c r="G31" s="248">
        <v>0.0</v>
      </c>
      <c r="H31" s="248">
        <v>0.0</v>
      </c>
      <c r="I31" s="248">
        <v>0.0</v>
      </c>
      <c r="J31" s="248">
        <v>1.0</v>
      </c>
      <c r="K31" s="248">
        <v>0.0</v>
      </c>
      <c r="L31" s="248">
        <v>0.0</v>
      </c>
      <c r="M31" s="248">
        <v>0.0</v>
      </c>
      <c r="N31" s="248">
        <v>0.0</v>
      </c>
      <c r="O31" s="425">
        <v>0.0</v>
      </c>
      <c r="P31" s="248">
        <v>0.0</v>
      </c>
      <c r="Q31" s="248">
        <v>0.0</v>
      </c>
      <c r="R31" s="248">
        <v>0.0</v>
      </c>
      <c r="S31" s="248">
        <v>0.0</v>
      </c>
      <c r="T31" s="248">
        <v>0.0</v>
      </c>
      <c r="U31" s="248">
        <v>0.0</v>
      </c>
      <c r="V31" s="248">
        <v>0.0</v>
      </c>
      <c r="W31" s="248">
        <v>0.0</v>
      </c>
      <c r="X31" s="248">
        <v>0.0</v>
      </c>
      <c r="Y31" s="248">
        <v>0.0</v>
      </c>
      <c r="Z31" s="172"/>
      <c r="AA31" s="424">
        <f t="shared" si="1"/>
        <v>83.12</v>
      </c>
      <c r="AB31" s="172"/>
      <c r="AC31" s="172"/>
      <c r="AD31" s="371">
        <f t="shared" si="2"/>
        <v>10600</v>
      </c>
      <c r="AE31" s="371">
        <f t="shared" si="3"/>
        <v>84690</v>
      </c>
      <c r="AF31" s="371">
        <f t="shared" si="4"/>
        <v>169.38</v>
      </c>
      <c r="AG31" s="294"/>
      <c r="AH31" s="294"/>
      <c r="AI31" s="294"/>
      <c r="AJ31" s="172"/>
      <c r="AK31" s="172"/>
      <c r="AL31" s="172"/>
      <c r="AM31" s="172"/>
      <c r="AN31" s="172"/>
      <c r="AO31" s="172"/>
      <c r="AP31" s="172"/>
      <c r="AQ31" s="172"/>
      <c r="AR31" s="172"/>
    </row>
    <row r="32" ht="15.75" customHeight="1">
      <c r="A32" s="368">
        <v>17.0</v>
      </c>
      <c r="B32" s="423">
        <v>13250.0</v>
      </c>
      <c r="C32" s="368">
        <v>48060.0</v>
      </c>
      <c r="D32" s="397" t="b">
        <f>IFERROR(__xludf.DUMMYFUNCTION("if(countif($E32:$Y32, ""&lt;&gt;0"")&lt;1, ""NO REWARD!"", if(counta(filter($E32:$Y32, $E32:$Y32&lt;&gt;0))&gt;1, TRUE, FALSE))"),FALSE)</f>
        <v>0</v>
      </c>
      <c r="E32" s="377">
        <v>0.0</v>
      </c>
      <c r="F32" s="248">
        <v>125.0</v>
      </c>
      <c r="G32" s="248">
        <v>0.0</v>
      </c>
      <c r="H32" s="248">
        <v>0.0</v>
      </c>
      <c r="I32" s="248">
        <v>0.0</v>
      </c>
      <c r="J32" s="248">
        <v>0.0</v>
      </c>
      <c r="K32" s="248">
        <v>0.0</v>
      </c>
      <c r="L32" s="248">
        <v>0.0</v>
      </c>
      <c r="M32" s="248">
        <v>0.0</v>
      </c>
      <c r="N32" s="248">
        <v>0.0</v>
      </c>
      <c r="O32" s="425">
        <v>0.0</v>
      </c>
      <c r="P32" s="248">
        <v>0.0</v>
      </c>
      <c r="Q32" s="248">
        <v>0.0</v>
      </c>
      <c r="R32" s="248">
        <v>0.0</v>
      </c>
      <c r="S32" s="248">
        <v>0.0</v>
      </c>
      <c r="T32" s="248">
        <v>0.0</v>
      </c>
      <c r="U32" s="248">
        <v>0.0</v>
      </c>
      <c r="V32" s="248">
        <v>0.0</v>
      </c>
      <c r="W32" s="248">
        <v>0.0</v>
      </c>
      <c r="X32" s="248">
        <v>0.0</v>
      </c>
      <c r="Y32" s="248">
        <v>0.0</v>
      </c>
      <c r="Z32" s="172"/>
      <c r="AA32" s="424">
        <f t="shared" si="1"/>
        <v>96.12</v>
      </c>
      <c r="AB32" s="172"/>
      <c r="AC32" s="172"/>
      <c r="AD32" s="371">
        <f t="shared" si="2"/>
        <v>13250</v>
      </c>
      <c r="AE32" s="371">
        <f t="shared" si="3"/>
        <v>97940</v>
      </c>
      <c r="AF32" s="371">
        <f t="shared" si="4"/>
        <v>195.88</v>
      </c>
      <c r="AG32" s="294"/>
      <c r="AH32" s="294"/>
      <c r="AI32" s="294"/>
      <c r="AJ32" s="172"/>
      <c r="AK32" s="172"/>
      <c r="AL32" s="172"/>
      <c r="AM32" s="172"/>
      <c r="AN32" s="172"/>
      <c r="AO32" s="172"/>
      <c r="AP32" s="172"/>
      <c r="AQ32" s="172"/>
      <c r="AR32" s="172"/>
    </row>
    <row r="33" ht="15.75" customHeight="1">
      <c r="A33" s="368">
        <v>18.0</v>
      </c>
      <c r="B33" s="423">
        <v>31800.0</v>
      </c>
      <c r="C33" s="368">
        <v>67810.0</v>
      </c>
      <c r="D33" s="396" t="b">
        <f>IFERROR(__xludf.DUMMYFUNCTION("if(countif($E33:$Y33, ""&lt;&gt;0"")&lt;1, ""NO REWARD!"", if(counta(filter($E33:$Y33, $E33:$Y33&lt;&gt;0))&gt;1, TRUE, FALSE))"),FALSE)</f>
        <v>0</v>
      </c>
      <c r="E33" s="377">
        <v>0.0</v>
      </c>
      <c r="F33" s="248">
        <v>0.0</v>
      </c>
      <c r="G33" s="248">
        <v>0.0</v>
      </c>
      <c r="H33" s="248">
        <v>2.0</v>
      </c>
      <c r="I33" s="248">
        <v>0.0</v>
      </c>
      <c r="J33" s="248">
        <v>0.0</v>
      </c>
      <c r="K33" s="248">
        <v>0.0</v>
      </c>
      <c r="L33" s="248">
        <v>0.0</v>
      </c>
      <c r="M33" s="248">
        <v>0.0</v>
      </c>
      <c r="N33" s="248">
        <v>0.0</v>
      </c>
      <c r="O33" s="425">
        <v>0.0</v>
      </c>
      <c r="P33" s="248">
        <v>0.0</v>
      </c>
      <c r="Q33" s="248">
        <v>0.0</v>
      </c>
      <c r="R33" s="248">
        <v>0.0</v>
      </c>
      <c r="S33" s="248">
        <v>0.0</v>
      </c>
      <c r="T33" s="248">
        <v>0.0</v>
      </c>
      <c r="U33" s="248">
        <v>0.0</v>
      </c>
      <c r="V33" s="248">
        <v>0.0</v>
      </c>
      <c r="W33" s="248">
        <v>0.0</v>
      </c>
      <c r="X33" s="248">
        <v>0.0</v>
      </c>
      <c r="Y33" s="248">
        <v>0.0</v>
      </c>
      <c r="Z33" s="172"/>
      <c r="AA33" s="424">
        <f t="shared" si="1"/>
        <v>135.62</v>
      </c>
      <c r="AB33" s="172"/>
      <c r="AC33" s="172"/>
      <c r="AD33" s="371">
        <f t="shared" si="2"/>
        <v>31800</v>
      </c>
      <c r="AE33" s="371">
        <f t="shared" si="3"/>
        <v>129740</v>
      </c>
      <c r="AF33" s="371">
        <f t="shared" si="4"/>
        <v>259.48</v>
      </c>
      <c r="AG33" s="294"/>
      <c r="AH33" s="294"/>
      <c r="AI33" s="294"/>
      <c r="AJ33" s="172"/>
      <c r="AK33" s="172"/>
      <c r="AL33" s="172"/>
      <c r="AM33" s="172"/>
      <c r="AN33" s="172"/>
      <c r="AO33" s="172"/>
      <c r="AP33" s="172"/>
      <c r="AQ33" s="172"/>
      <c r="AR33" s="172"/>
    </row>
    <row r="34" ht="15.75" customHeight="1">
      <c r="A34" s="368">
        <v>19.0</v>
      </c>
      <c r="B34" s="423">
        <v>10600.0</v>
      </c>
      <c r="C34" s="368">
        <v>72010.0</v>
      </c>
      <c r="D34" s="397" t="b">
        <f>IFERROR(__xludf.DUMMYFUNCTION("if(countif($E34:$Y34, ""&lt;&gt;0"")&lt;1, ""NO REWARD!"", if(counta(filter($E34:$Y34, $E34:$Y34&lt;&gt;0))&gt;1, TRUE, FALSE))"),FALSE)</f>
        <v>0</v>
      </c>
      <c r="E34" s="377">
        <v>0.0</v>
      </c>
      <c r="F34" s="248">
        <v>0.0</v>
      </c>
      <c r="G34" s="248">
        <v>20.0</v>
      </c>
      <c r="H34" s="248">
        <v>0.0</v>
      </c>
      <c r="I34" s="248">
        <v>0.0</v>
      </c>
      <c r="J34" s="248">
        <v>0.0</v>
      </c>
      <c r="K34" s="248">
        <v>0.0</v>
      </c>
      <c r="L34" s="248">
        <v>0.0</v>
      </c>
      <c r="M34" s="248">
        <v>0.0</v>
      </c>
      <c r="N34" s="248">
        <v>0.0</v>
      </c>
      <c r="O34" s="425">
        <v>0.0</v>
      </c>
      <c r="P34" s="248">
        <v>0.0</v>
      </c>
      <c r="Q34" s="248">
        <v>0.0</v>
      </c>
      <c r="R34" s="248">
        <v>0.0</v>
      </c>
      <c r="S34" s="248">
        <v>0.0</v>
      </c>
      <c r="T34" s="248">
        <v>0.0</v>
      </c>
      <c r="U34" s="248">
        <v>0.0</v>
      </c>
      <c r="V34" s="248">
        <v>0.0</v>
      </c>
      <c r="W34" s="248">
        <v>0.0</v>
      </c>
      <c r="X34" s="248">
        <v>0.0</v>
      </c>
      <c r="Y34" s="248">
        <v>0.0</v>
      </c>
      <c r="Z34" s="172"/>
      <c r="AA34" s="424">
        <f t="shared" si="1"/>
        <v>144.02</v>
      </c>
      <c r="AB34" s="172"/>
      <c r="AC34" s="172"/>
      <c r="AD34" s="371">
        <f t="shared" si="2"/>
        <v>10600</v>
      </c>
      <c r="AE34" s="371">
        <f t="shared" si="3"/>
        <v>140340</v>
      </c>
      <c r="AF34" s="371">
        <f t="shared" si="4"/>
        <v>280.68</v>
      </c>
      <c r="AG34" s="294"/>
      <c r="AH34" s="294"/>
      <c r="AI34" s="294"/>
      <c r="AJ34" s="172"/>
      <c r="AK34" s="172"/>
      <c r="AL34" s="172"/>
      <c r="AM34" s="172"/>
      <c r="AN34" s="172"/>
      <c r="AO34" s="172"/>
      <c r="AP34" s="172"/>
      <c r="AQ34" s="172"/>
      <c r="AR34" s="172"/>
    </row>
    <row r="35" ht="15.75" customHeight="1">
      <c r="A35" s="368">
        <v>20.0</v>
      </c>
      <c r="B35" s="423">
        <v>13250.0</v>
      </c>
      <c r="C35" s="368">
        <v>80260.0</v>
      </c>
      <c r="D35" s="395" t="b">
        <f>IFERROR(__xludf.DUMMYFUNCTION("if(countif($E35:$Y35, ""&lt;&gt;0"")&lt;1, ""NO REWARD!"", if(counta(filter($E35:$Y35, $E35:$Y35&lt;&gt;0))&gt;1, TRUE, FALSE))"),TRUE)</f>
        <v>1</v>
      </c>
      <c r="E35" s="377">
        <v>150.0</v>
      </c>
      <c r="F35" s="248">
        <v>0.0</v>
      </c>
      <c r="G35" s="248">
        <v>0.0</v>
      </c>
      <c r="H35" s="248">
        <v>0.0</v>
      </c>
      <c r="I35" s="248">
        <v>0.0</v>
      </c>
      <c r="J35" s="248">
        <v>0.0</v>
      </c>
      <c r="K35" s="248">
        <v>0.0</v>
      </c>
      <c r="L35" s="248">
        <v>1.0</v>
      </c>
      <c r="M35" s="248">
        <v>0.0</v>
      </c>
      <c r="N35" s="248">
        <v>0.0</v>
      </c>
      <c r="O35" s="425">
        <v>0.0</v>
      </c>
      <c r="P35" s="248">
        <v>0.0</v>
      </c>
      <c r="Q35" s="248">
        <v>0.0</v>
      </c>
      <c r="R35" s="248">
        <v>0.0</v>
      </c>
      <c r="S35" s="248">
        <v>0.0</v>
      </c>
      <c r="T35" s="248">
        <v>0.0</v>
      </c>
      <c r="U35" s="248">
        <v>0.0</v>
      </c>
      <c r="V35" s="248">
        <v>0.0</v>
      </c>
      <c r="W35" s="248">
        <v>0.0</v>
      </c>
      <c r="X35" s="248">
        <v>0.0</v>
      </c>
      <c r="Y35" s="248">
        <v>0.0</v>
      </c>
      <c r="Z35" s="172"/>
      <c r="AA35" s="424">
        <f t="shared" si="1"/>
        <v>160.52</v>
      </c>
      <c r="AB35" s="172"/>
      <c r="AC35" s="172"/>
      <c r="AD35" s="371">
        <f t="shared" si="2"/>
        <v>13250</v>
      </c>
      <c r="AE35" s="371">
        <f t="shared" si="3"/>
        <v>153590</v>
      </c>
      <c r="AF35" s="371">
        <f t="shared" si="4"/>
        <v>307.18</v>
      </c>
      <c r="AG35" s="294"/>
      <c r="AH35" s="294"/>
      <c r="AI35" s="294"/>
      <c r="AJ35" s="172"/>
      <c r="AK35" s="172"/>
      <c r="AL35" s="172"/>
      <c r="AM35" s="172"/>
      <c r="AN35" s="172"/>
      <c r="AO35" s="172"/>
      <c r="AP35" s="172"/>
      <c r="AQ35" s="172"/>
      <c r="AR35" s="172"/>
    </row>
    <row r="36" ht="15.75" customHeight="1">
      <c r="A36" s="368">
        <v>21.0</v>
      </c>
      <c r="B36" s="423">
        <v>31800.0</v>
      </c>
      <c r="C36" s="368">
        <v>102260.0</v>
      </c>
      <c r="D36" s="397" t="b">
        <f>IFERROR(__xludf.DUMMYFUNCTION("if(countif($E36:$Y36, ""&lt;&gt;0"")&lt;1, ""NO REWARD!"", if(counta(filter($E36:$Y36, $E36:$Y36&lt;&gt;0))&gt;1, TRUE, FALSE))"),FALSE)</f>
        <v>0</v>
      </c>
      <c r="E36" s="377">
        <v>0.0</v>
      </c>
      <c r="F36" s="248">
        <v>200.0</v>
      </c>
      <c r="G36" s="248">
        <v>0.0</v>
      </c>
      <c r="H36" s="248">
        <v>0.0</v>
      </c>
      <c r="I36" s="248">
        <v>0.0</v>
      </c>
      <c r="J36" s="248">
        <v>0.0</v>
      </c>
      <c r="K36" s="248">
        <v>0.0</v>
      </c>
      <c r="L36" s="248">
        <v>0.0</v>
      </c>
      <c r="M36" s="248">
        <v>0.0</v>
      </c>
      <c r="N36" s="248">
        <v>0.0</v>
      </c>
      <c r="O36" s="425">
        <v>0.0</v>
      </c>
      <c r="P36" s="248">
        <v>0.0</v>
      </c>
      <c r="Q36" s="248">
        <v>0.0</v>
      </c>
      <c r="R36" s="248">
        <v>0.0</v>
      </c>
      <c r="S36" s="248">
        <v>0.0</v>
      </c>
      <c r="T36" s="248">
        <v>0.0</v>
      </c>
      <c r="U36" s="248">
        <v>0.0</v>
      </c>
      <c r="V36" s="248">
        <v>0.0</v>
      </c>
      <c r="W36" s="248">
        <v>0.0</v>
      </c>
      <c r="X36" s="248">
        <v>0.0</v>
      </c>
      <c r="Y36" s="248">
        <v>0.0</v>
      </c>
      <c r="Z36" s="172"/>
      <c r="AA36" s="424">
        <f t="shared" si="1"/>
        <v>204.52</v>
      </c>
      <c r="AB36" s="172"/>
      <c r="AC36" s="172"/>
      <c r="AD36" s="371">
        <f t="shared" si="2"/>
        <v>31800</v>
      </c>
      <c r="AE36" s="371">
        <f t="shared" si="3"/>
        <v>185390</v>
      </c>
      <c r="AF36" s="371">
        <f t="shared" si="4"/>
        <v>370.78</v>
      </c>
      <c r="AG36" s="294"/>
      <c r="AH36" s="294"/>
      <c r="AI36" s="294"/>
      <c r="AJ36" s="172"/>
      <c r="AK36" s="172"/>
      <c r="AL36" s="172"/>
      <c r="AM36" s="172"/>
      <c r="AN36" s="172"/>
      <c r="AO36" s="172"/>
      <c r="AP36" s="172"/>
      <c r="AQ36" s="172"/>
      <c r="AR36" s="172"/>
    </row>
    <row r="37" ht="15.75" customHeight="1">
      <c r="A37" s="368">
        <v>22.0</v>
      </c>
      <c r="B37" s="423">
        <v>10600.0</v>
      </c>
      <c r="C37" s="368">
        <v>108260.0</v>
      </c>
      <c r="D37" s="396" t="b">
        <f>IFERROR(__xludf.DUMMYFUNCTION("if(countif($E37:$Y37, ""&lt;&gt;0"")&lt;1, ""NO REWARD!"", if(counta(filter($E37:$Y37, $E37:$Y37&lt;&gt;0))&gt;1, TRUE, FALSE))"),FALSE)</f>
        <v>0</v>
      </c>
      <c r="E37" s="377">
        <v>0.0</v>
      </c>
      <c r="F37" s="248">
        <v>0.0</v>
      </c>
      <c r="G37" s="248">
        <v>0.0</v>
      </c>
      <c r="H37" s="248">
        <v>0.0</v>
      </c>
      <c r="I37" s="248">
        <v>0.0</v>
      </c>
      <c r="J37" s="248">
        <v>0.0</v>
      </c>
      <c r="K37" s="248">
        <v>0.0</v>
      </c>
      <c r="L37" s="248">
        <v>0.0</v>
      </c>
      <c r="M37" s="248">
        <v>0.0</v>
      </c>
      <c r="N37" s="248">
        <v>0.0</v>
      </c>
      <c r="O37" s="425">
        <v>0.0</v>
      </c>
      <c r="P37" s="248">
        <v>10.0</v>
      </c>
      <c r="Q37" s="248">
        <v>0.0</v>
      </c>
      <c r="R37" s="248">
        <v>0.0</v>
      </c>
      <c r="S37" s="248">
        <v>0.0</v>
      </c>
      <c r="T37" s="248">
        <v>0.0</v>
      </c>
      <c r="U37" s="248">
        <v>0.0</v>
      </c>
      <c r="V37" s="248">
        <v>0.0</v>
      </c>
      <c r="W37" s="248">
        <v>0.0</v>
      </c>
      <c r="X37" s="248">
        <v>0.0</v>
      </c>
      <c r="Y37" s="248">
        <v>0.0</v>
      </c>
      <c r="Z37" s="172"/>
      <c r="AA37" s="424">
        <f t="shared" si="1"/>
        <v>216.52</v>
      </c>
      <c r="AB37" s="172"/>
      <c r="AC37" s="172"/>
      <c r="AD37" s="371">
        <f t="shared" si="2"/>
        <v>10600</v>
      </c>
      <c r="AE37" s="371">
        <f t="shared" si="3"/>
        <v>195990</v>
      </c>
      <c r="AF37" s="371">
        <f t="shared" si="4"/>
        <v>391.98</v>
      </c>
      <c r="AG37" s="294"/>
      <c r="AH37" s="294"/>
      <c r="AI37" s="294"/>
      <c r="AJ37" s="172"/>
      <c r="AK37" s="172"/>
      <c r="AL37" s="172"/>
      <c r="AM37" s="172"/>
      <c r="AN37" s="172"/>
      <c r="AO37" s="172"/>
      <c r="AP37" s="172"/>
      <c r="AQ37" s="172"/>
      <c r="AR37" s="172"/>
    </row>
    <row r="38" ht="15.75" customHeight="1">
      <c r="A38" s="368">
        <v>23.0</v>
      </c>
      <c r="B38" s="423">
        <v>13250.0</v>
      </c>
      <c r="C38" s="368">
        <v>118760.0</v>
      </c>
      <c r="D38" s="397" t="b">
        <f>IFERROR(__xludf.DUMMYFUNCTION("if(countif($E38:$Y38, ""&lt;&gt;0"")&lt;1, ""NO REWARD!"", if(counta(filter($E38:$Y38, $E38:$Y38&lt;&gt;0))&gt;1, TRUE, FALSE))"),FALSE)</f>
        <v>0</v>
      </c>
      <c r="E38" s="377">
        <v>0.0</v>
      </c>
      <c r="F38" s="248">
        <v>0.0</v>
      </c>
      <c r="G38" s="248">
        <v>0.0</v>
      </c>
      <c r="H38" s="248">
        <v>0.0</v>
      </c>
      <c r="I38" s="248">
        <v>2.0</v>
      </c>
      <c r="J38" s="248">
        <v>0.0</v>
      </c>
      <c r="K38" s="248">
        <v>0.0</v>
      </c>
      <c r="L38" s="248">
        <v>0.0</v>
      </c>
      <c r="M38" s="248">
        <v>0.0</v>
      </c>
      <c r="N38" s="248">
        <v>0.0</v>
      </c>
      <c r="O38" s="248">
        <v>0.0</v>
      </c>
      <c r="P38" s="248">
        <v>0.0</v>
      </c>
      <c r="Q38" s="248">
        <v>0.0</v>
      </c>
      <c r="R38" s="248">
        <v>0.0</v>
      </c>
      <c r="S38" s="248">
        <v>0.0</v>
      </c>
      <c r="T38" s="248">
        <v>0.0</v>
      </c>
      <c r="U38" s="248">
        <v>0.0</v>
      </c>
      <c r="V38" s="248">
        <v>0.0</v>
      </c>
      <c r="W38" s="248">
        <v>0.0</v>
      </c>
      <c r="X38" s="248">
        <v>0.0</v>
      </c>
      <c r="Y38" s="248">
        <v>0.0</v>
      </c>
      <c r="Z38" s="172"/>
      <c r="AA38" s="424">
        <f t="shared" si="1"/>
        <v>237.52</v>
      </c>
      <c r="AB38" s="172"/>
      <c r="AC38" s="172"/>
      <c r="AD38" s="371">
        <f t="shared" si="2"/>
        <v>13250</v>
      </c>
      <c r="AE38" s="371">
        <f t="shared" si="3"/>
        <v>209240</v>
      </c>
      <c r="AF38" s="371">
        <f t="shared" si="4"/>
        <v>418.48</v>
      </c>
      <c r="AG38" s="294"/>
      <c r="AH38" s="294"/>
      <c r="AI38" s="294"/>
      <c r="AJ38" s="172"/>
      <c r="AK38" s="172"/>
      <c r="AL38" s="172"/>
      <c r="AM38" s="172"/>
      <c r="AN38" s="172"/>
      <c r="AO38" s="172"/>
      <c r="AP38" s="172"/>
      <c r="AQ38" s="172"/>
      <c r="AR38" s="172"/>
    </row>
    <row r="39" ht="15.75" customHeight="1">
      <c r="A39" s="368">
        <v>24.0</v>
      </c>
      <c r="B39" s="423">
        <v>31800.0</v>
      </c>
      <c r="C39" s="368">
        <v>151760.0</v>
      </c>
      <c r="D39" s="395" t="b">
        <f>IFERROR(__xludf.DUMMYFUNCTION("if(countif($E39:$Y39, ""&lt;&gt;0"")&lt;1, ""NO REWARD!"", if(counta(filter($E39:$Y39, $E39:$Y39&lt;&gt;0))&gt;1, TRUE, FALSE))"),TRUE)</f>
        <v>1</v>
      </c>
      <c r="E39" s="377">
        <v>350.0</v>
      </c>
      <c r="F39" s="248">
        <v>350.0</v>
      </c>
      <c r="G39" s="248">
        <v>0.0</v>
      </c>
      <c r="H39" s="248">
        <v>0.0</v>
      </c>
      <c r="I39" s="248">
        <v>0.0</v>
      </c>
      <c r="J39" s="248">
        <v>0.0</v>
      </c>
      <c r="K39" s="248">
        <v>0.0</v>
      </c>
      <c r="L39" s="248">
        <v>1.0</v>
      </c>
      <c r="M39" s="248">
        <v>1.0</v>
      </c>
      <c r="N39" s="248">
        <v>0.0</v>
      </c>
      <c r="O39" s="248">
        <v>0.0</v>
      </c>
      <c r="P39" s="248">
        <v>0.0</v>
      </c>
      <c r="Q39" s="248">
        <v>0.0</v>
      </c>
      <c r="R39" s="248">
        <v>0.0</v>
      </c>
      <c r="S39" s="248">
        <v>0.0</v>
      </c>
      <c r="T39" s="248">
        <v>0.0</v>
      </c>
      <c r="U39" s="248">
        <v>0.0</v>
      </c>
      <c r="V39" s="248">
        <v>0.0</v>
      </c>
      <c r="W39" s="248">
        <v>0.0</v>
      </c>
      <c r="X39" s="248">
        <v>0.0</v>
      </c>
      <c r="Y39" s="248">
        <v>0.0</v>
      </c>
      <c r="Z39" s="172"/>
      <c r="AA39" s="424">
        <f t="shared" si="1"/>
        <v>303.52</v>
      </c>
      <c r="AB39" s="172"/>
      <c r="AC39" s="172"/>
      <c r="AD39" s="371">
        <f t="shared" si="2"/>
        <v>31800</v>
      </c>
      <c r="AE39" s="371">
        <f t="shared" si="3"/>
        <v>241040</v>
      </c>
      <c r="AF39" s="371">
        <f t="shared" si="4"/>
        <v>482.08</v>
      </c>
      <c r="AG39" s="294"/>
      <c r="AH39" s="294"/>
      <c r="AI39" s="294"/>
      <c r="AJ39" s="172"/>
      <c r="AK39" s="172"/>
      <c r="AL39" s="172"/>
      <c r="AM39" s="172"/>
      <c r="AN39" s="172"/>
      <c r="AO39" s="172"/>
      <c r="AP39" s="172"/>
      <c r="AQ39" s="172"/>
      <c r="AR39" s="172"/>
    </row>
    <row r="40" ht="15.75" customHeight="1">
      <c r="A40" s="368">
        <v>25.0</v>
      </c>
      <c r="B40" s="423">
        <v>10600.0</v>
      </c>
      <c r="C40" s="368">
        <v>160510.0</v>
      </c>
      <c r="D40" s="397" t="b">
        <f>IFERROR(__xludf.DUMMYFUNCTION("if(countif($E40:$Y40, ""&lt;&gt;0"")&lt;1, ""NO REWARD!"", if(counta(filter($E40:$Y40, $E40:$Y40&lt;&gt;0))&gt;1, TRUE, FALSE))"),FALSE)</f>
        <v>0</v>
      </c>
      <c r="E40" s="377">
        <v>0.0</v>
      </c>
      <c r="F40" s="248">
        <v>0.0</v>
      </c>
      <c r="G40" s="248">
        <v>0.0</v>
      </c>
      <c r="H40" s="248">
        <v>0.0</v>
      </c>
      <c r="I40" s="248">
        <v>0.0</v>
      </c>
      <c r="J40" s="248">
        <v>0.0</v>
      </c>
      <c r="K40" s="248">
        <v>0.0</v>
      </c>
      <c r="L40" s="248">
        <v>0.0</v>
      </c>
      <c r="M40" s="248">
        <v>0.0</v>
      </c>
      <c r="N40" s="248">
        <v>60.0</v>
      </c>
      <c r="O40" s="248">
        <v>0.0</v>
      </c>
      <c r="P40" s="248">
        <v>0.0</v>
      </c>
      <c r="Q40" s="248">
        <v>0.0</v>
      </c>
      <c r="R40" s="248">
        <v>0.0</v>
      </c>
      <c r="S40" s="248">
        <v>0.0</v>
      </c>
      <c r="T40" s="248">
        <v>0.0</v>
      </c>
      <c r="U40" s="248">
        <v>0.0</v>
      </c>
      <c r="V40" s="248">
        <v>0.0</v>
      </c>
      <c r="W40" s="248">
        <v>0.0</v>
      </c>
      <c r="X40" s="248">
        <v>0.0</v>
      </c>
      <c r="Y40" s="248">
        <v>0.0</v>
      </c>
      <c r="Z40" s="172"/>
      <c r="AA40" s="424">
        <f t="shared" si="1"/>
        <v>321.02</v>
      </c>
      <c r="AB40" s="172"/>
      <c r="AC40" s="172"/>
      <c r="AD40" s="371">
        <f t="shared" si="2"/>
        <v>10600</v>
      </c>
      <c r="AE40" s="371">
        <f t="shared" si="3"/>
        <v>251640</v>
      </c>
      <c r="AF40" s="371">
        <f t="shared" si="4"/>
        <v>503.28</v>
      </c>
      <c r="AG40" s="294"/>
      <c r="AH40" s="294"/>
      <c r="AI40" s="294"/>
      <c r="AJ40" s="172"/>
      <c r="AK40" s="172"/>
      <c r="AL40" s="172"/>
      <c r="AM40" s="172"/>
      <c r="AN40" s="172"/>
      <c r="AO40" s="172"/>
      <c r="AP40" s="172"/>
      <c r="AQ40" s="172"/>
      <c r="AR40" s="172"/>
    </row>
    <row r="41" ht="15.75" customHeight="1">
      <c r="A41" s="368">
        <v>26.0</v>
      </c>
      <c r="B41" s="423">
        <v>13250.0</v>
      </c>
      <c r="C41" s="368">
        <v>174760.0</v>
      </c>
      <c r="D41" s="396" t="b">
        <f>IFERROR(__xludf.DUMMYFUNCTION("if(countif($E41:$Y41, ""&lt;&gt;0"")&lt;1, ""NO REWARD!"", if(counta(filter($E41:$Y41, $E41:$Y41&lt;&gt;0))&gt;1, TRUE, FALSE))"),FALSE)</f>
        <v>0</v>
      </c>
      <c r="E41" s="377">
        <v>0.0</v>
      </c>
      <c r="F41" s="248">
        <v>0.0</v>
      </c>
      <c r="G41" s="248">
        <v>0.0</v>
      </c>
      <c r="H41" s="248">
        <v>0.0</v>
      </c>
      <c r="I41" s="248">
        <v>0.0</v>
      </c>
      <c r="J41" s="248">
        <v>2.0</v>
      </c>
      <c r="K41" s="248">
        <v>0.0</v>
      </c>
      <c r="L41" s="248">
        <v>0.0</v>
      </c>
      <c r="M41" s="248">
        <v>0.0</v>
      </c>
      <c r="N41" s="248">
        <v>0.0</v>
      </c>
      <c r="O41" s="248">
        <v>0.0</v>
      </c>
      <c r="P41" s="248">
        <v>0.0</v>
      </c>
      <c r="Q41" s="248">
        <v>0.0</v>
      </c>
      <c r="R41" s="248">
        <v>0.0</v>
      </c>
      <c r="S41" s="248">
        <v>0.0</v>
      </c>
      <c r="T41" s="248">
        <v>0.0</v>
      </c>
      <c r="U41" s="248">
        <v>0.0</v>
      </c>
      <c r="V41" s="248">
        <v>0.0</v>
      </c>
      <c r="W41" s="248">
        <v>0.0</v>
      </c>
      <c r="X41" s="248">
        <v>0.0</v>
      </c>
      <c r="Y41" s="248">
        <v>0.0</v>
      </c>
      <c r="Z41" s="172"/>
      <c r="AA41" s="424">
        <f t="shared" si="1"/>
        <v>349.52</v>
      </c>
      <c r="AB41" s="172"/>
      <c r="AC41" s="172"/>
      <c r="AD41" s="371">
        <f t="shared" si="2"/>
        <v>13250</v>
      </c>
      <c r="AE41" s="371">
        <f t="shared" si="3"/>
        <v>264890</v>
      </c>
      <c r="AF41" s="371">
        <f t="shared" si="4"/>
        <v>529.78</v>
      </c>
      <c r="AG41" s="294"/>
      <c r="AH41" s="294"/>
      <c r="AI41" s="294"/>
      <c r="AJ41" s="172"/>
      <c r="AK41" s="172"/>
      <c r="AL41" s="172"/>
      <c r="AM41" s="172"/>
      <c r="AN41" s="172"/>
      <c r="AO41" s="172"/>
      <c r="AP41" s="172"/>
      <c r="AQ41" s="172"/>
      <c r="AR41" s="172"/>
    </row>
    <row r="42" ht="15.75" customHeight="1">
      <c r="A42" s="368">
        <v>27.0</v>
      </c>
      <c r="B42" s="423">
        <v>31800.0</v>
      </c>
      <c r="C42" s="368">
        <v>218760.0</v>
      </c>
      <c r="D42" s="397" t="b">
        <f>IFERROR(__xludf.DUMMYFUNCTION("if(countif($E42:$Y42, ""&lt;&gt;0"")&lt;1, ""NO REWARD!"", if(counta(filter($E42:$Y42, $E42:$Y42&lt;&gt;0))&gt;1, TRUE, FALSE))"),FALSE)</f>
        <v>0</v>
      </c>
      <c r="E42" s="377">
        <v>0.0</v>
      </c>
      <c r="F42" s="248">
        <v>600.0</v>
      </c>
      <c r="G42" s="248">
        <v>0.0</v>
      </c>
      <c r="H42" s="248">
        <v>0.0</v>
      </c>
      <c r="I42" s="248">
        <v>0.0</v>
      </c>
      <c r="J42" s="248">
        <v>0.0</v>
      </c>
      <c r="K42" s="248">
        <v>0.0</v>
      </c>
      <c r="L42" s="248">
        <v>0.0</v>
      </c>
      <c r="M42" s="248">
        <v>0.0</v>
      </c>
      <c r="N42" s="248">
        <v>0.0</v>
      </c>
      <c r="O42" s="248">
        <v>0.0</v>
      </c>
      <c r="P42" s="248">
        <v>0.0</v>
      </c>
      <c r="Q42" s="248">
        <v>0.0</v>
      </c>
      <c r="R42" s="248">
        <v>0.0</v>
      </c>
      <c r="S42" s="248">
        <v>0.0</v>
      </c>
      <c r="T42" s="248">
        <v>0.0</v>
      </c>
      <c r="U42" s="248">
        <v>0.0</v>
      </c>
      <c r="V42" s="248">
        <v>0.0</v>
      </c>
      <c r="W42" s="248">
        <v>0.0</v>
      </c>
      <c r="X42" s="248">
        <v>0.0</v>
      </c>
      <c r="Y42" s="248">
        <v>0.0</v>
      </c>
      <c r="Z42" s="172"/>
      <c r="AA42" s="424">
        <f t="shared" si="1"/>
        <v>437.52</v>
      </c>
      <c r="AB42" s="172"/>
      <c r="AC42" s="172"/>
      <c r="AD42" s="371">
        <f t="shared" si="2"/>
        <v>31800</v>
      </c>
      <c r="AE42" s="371">
        <f t="shared" si="3"/>
        <v>296690</v>
      </c>
      <c r="AF42" s="371">
        <f t="shared" si="4"/>
        <v>593.38</v>
      </c>
      <c r="AG42" s="294"/>
      <c r="AH42" s="294"/>
      <c r="AI42" s="294"/>
      <c r="AJ42" s="172"/>
      <c r="AK42" s="172"/>
      <c r="AL42" s="172"/>
      <c r="AM42" s="172"/>
      <c r="AN42" s="172"/>
      <c r="AO42" s="172"/>
      <c r="AP42" s="172"/>
      <c r="AQ42" s="172"/>
      <c r="AR42" s="172"/>
    </row>
    <row r="43" ht="15.75" customHeight="1">
      <c r="A43" s="368">
        <v>28.0</v>
      </c>
      <c r="B43" s="423">
        <v>10600.0</v>
      </c>
      <c r="C43" s="368">
        <v>235260.0</v>
      </c>
      <c r="D43" s="396" t="b">
        <f>IFERROR(__xludf.DUMMYFUNCTION("if(countif($E43:$Y43, ""&lt;&gt;0"")&lt;1, ""NO REWARD!"", if(counta(filter($E43:$Y43, $E43:$Y43&lt;&gt;0))&gt;1, TRUE, FALSE))"),FALSE)</f>
        <v>0</v>
      </c>
      <c r="E43" s="377">
        <v>0.0</v>
      </c>
      <c r="F43" s="248">
        <v>0.0</v>
      </c>
      <c r="G43" s="248">
        <v>0.0</v>
      </c>
      <c r="H43" s="248">
        <v>0.0</v>
      </c>
      <c r="I43" s="248">
        <v>0.0</v>
      </c>
      <c r="J43" s="248">
        <v>0.0</v>
      </c>
      <c r="K43" s="248">
        <v>0.0</v>
      </c>
      <c r="L43" s="248">
        <v>0.0</v>
      </c>
      <c r="M43" s="248">
        <v>0.0</v>
      </c>
      <c r="N43" s="248">
        <v>60.0</v>
      </c>
      <c r="O43" s="248">
        <v>0.0</v>
      </c>
      <c r="P43" s="248">
        <v>0.0</v>
      </c>
      <c r="Q43" s="248">
        <v>0.0</v>
      </c>
      <c r="R43" s="248">
        <v>0.0</v>
      </c>
      <c r="S43" s="248">
        <v>0.0</v>
      </c>
      <c r="T43" s="248">
        <v>0.0</v>
      </c>
      <c r="U43" s="248">
        <v>0.0</v>
      </c>
      <c r="V43" s="248">
        <v>0.0</v>
      </c>
      <c r="W43" s="248">
        <v>0.0</v>
      </c>
      <c r="X43" s="248">
        <v>0.0</v>
      </c>
      <c r="Y43" s="248">
        <v>0.0</v>
      </c>
      <c r="Z43" s="172"/>
      <c r="AA43" s="424">
        <f t="shared" si="1"/>
        <v>470.52</v>
      </c>
      <c r="AB43" s="172"/>
      <c r="AC43" s="172"/>
      <c r="AD43" s="371">
        <f t="shared" si="2"/>
        <v>10600</v>
      </c>
      <c r="AE43" s="371">
        <f t="shared" si="3"/>
        <v>307290</v>
      </c>
      <c r="AF43" s="371">
        <f t="shared" si="4"/>
        <v>614.58</v>
      </c>
      <c r="AG43" s="294"/>
      <c r="AH43" s="294"/>
      <c r="AI43" s="294"/>
      <c r="AJ43" s="172"/>
      <c r="AK43" s="172"/>
      <c r="AL43" s="172"/>
      <c r="AM43" s="172"/>
      <c r="AN43" s="172"/>
      <c r="AO43" s="172"/>
      <c r="AP43" s="172"/>
      <c r="AQ43" s="172"/>
      <c r="AR43" s="172"/>
    </row>
    <row r="44" ht="15.75" customHeight="1">
      <c r="A44" s="368">
        <v>29.0</v>
      </c>
      <c r="B44" s="423">
        <v>13250.0</v>
      </c>
      <c r="C44" s="368">
        <v>269260.0</v>
      </c>
      <c r="D44" s="397" t="b">
        <f>IFERROR(__xludf.DUMMYFUNCTION("if(countif($E44:$Y44, ""&lt;&gt;0"")&lt;1, ""NO REWARD!"", if(counta(filter($E44:$Y44, $E44:$Y44&lt;&gt;0))&gt;1, TRUE, FALSE))"),FALSE)</f>
        <v>0</v>
      </c>
      <c r="E44" s="377">
        <v>0.0</v>
      </c>
      <c r="F44" s="248">
        <v>0.0</v>
      </c>
      <c r="G44" s="248">
        <v>0.0</v>
      </c>
      <c r="H44" s="248">
        <v>0.0</v>
      </c>
      <c r="I44" s="248">
        <v>0.0</v>
      </c>
      <c r="J44" s="248">
        <v>3.0</v>
      </c>
      <c r="K44" s="248">
        <v>0.0</v>
      </c>
      <c r="L44" s="248">
        <v>0.0</v>
      </c>
      <c r="M44" s="248">
        <v>0.0</v>
      </c>
      <c r="N44" s="248">
        <v>0.0</v>
      </c>
      <c r="O44" s="248">
        <v>0.0</v>
      </c>
      <c r="P44" s="248">
        <v>0.0</v>
      </c>
      <c r="Q44" s="248">
        <v>0.0</v>
      </c>
      <c r="R44" s="248">
        <v>0.0</v>
      </c>
      <c r="S44" s="248">
        <v>0.0</v>
      </c>
      <c r="T44" s="248">
        <v>0.0</v>
      </c>
      <c r="U44" s="248">
        <v>0.0</v>
      </c>
      <c r="V44" s="248">
        <v>0.0</v>
      </c>
      <c r="W44" s="248">
        <v>0.0</v>
      </c>
      <c r="X44" s="248">
        <v>0.0</v>
      </c>
      <c r="Y44" s="248">
        <v>0.0</v>
      </c>
      <c r="Z44" s="172"/>
      <c r="AA44" s="424">
        <f t="shared" si="1"/>
        <v>538.52</v>
      </c>
      <c r="AB44" s="172"/>
      <c r="AC44" s="172"/>
      <c r="AD44" s="371">
        <f t="shared" si="2"/>
        <v>13250</v>
      </c>
      <c r="AE44" s="371">
        <f t="shared" si="3"/>
        <v>320540</v>
      </c>
      <c r="AF44" s="371">
        <f t="shared" si="4"/>
        <v>641.08</v>
      </c>
      <c r="AG44" s="294"/>
      <c r="AH44" s="294"/>
      <c r="AI44" s="294"/>
      <c r="AJ44" s="172"/>
      <c r="AK44" s="172"/>
      <c r="AL44" s="172"/>
      <c r="AM44" s="172"/>
      <c r="AN44" s="172"/>
      <c r="AO44" s="172"/>
      <c r="AP44" s="172"/>
      <c r="AQ44" s="172"/>
      <c r="AR44" s="172"/>
    </row>
    <row r="45" ht="15.75" customHeight="1">
      <c r="A45" s="368">
        <v>30.0</v>
      </c>
      <c r="B45" s="423">
        <v>31800.0</v>
      </c>
      <c r="C45" s="368">
        <v>352260.0</v>
      </c>
      <c r="D45" s="395" t="b">
        <f>IFERROR(__xludf.DUMMYFUNCTION("if(countif($E45:$Y45, ""&lt;&gt;0"")&lt;1, ""NO REWARD!"", if(counta(filter($E45:$Y45, $E45:$Y45&lt;&gt;0))&gt;1, TRUE, FALSE))"),TRUE)</f>
        <v>1</v>
      </c>
      <c r="E45" s="377">
        <v>600.0</v>
      </c>
      <c r="F45" s="248">
        <v>0.0</v>
      </c>
      <c r="G45" s="248">
        <v>0.0</v>
      </c>
      <c r="H45" s="248">
        <v>0.0</v>
      </c>
      <c r="I45" s="248">
        <v>0.0</v>
      </c>
      <c r="J45" s="248">
        <v>0.0</v>
      </c>
      <c r="K45" s="248">
        <v>3.0</v>
      </c>
      <c r="L45" s="248">
        <v>3.0</v>
      </c>
      <c r="M45" s="248">
        <v>3.0</v>
      </c>
      <c r="N45" s="248">
        <v>0.0</v>
      </c>
      <c r="O45" s="248">
        <v>0.0</v>
      </c>
      <c r="P45" s="248">
        <v>0.0</v>
      </c>
      <c r="Q45" s="248">
        <v>0.0</v>
      </c>
      <c r="R45" s="248">
        <v>0.0</v>
      </c>
      <c r="S45" s="248">
        <v>0.0</v>
      </c>
      <c r="T45" s="248">
        <v>0.0</v>
      </c>
      <c r="U45" s="248">
        <v>0.0</v>
      </c>
      <c r="V45" s="248">
        <v>0.0</v>
      </c>
      <c r="W45" s="248">
        <v>0.0</v>
      </c>
      <c r="X45" s="248">
        <v>0.0</v>
      </c>
      <c r="Y45" s="248">
        <v>0.0</v>
      </c>
      <c r="Z45" s="172"/>
      <c r="AA45" s="424">
        <f t="shared" si="1"/>
        <v>704.52</v>
      </c>
      <c r="AB45" s="172"/>
      <c r="AC45" s="172"/>
      <c r="AD45" s="371">
        <f t="shared" si="2"/>
        <v>31800</v>
      </c>
      <c r="AE45" s="371">
        <f t="shared" si="3"/>
        <v>352340</v>
      </c>
      <c r="AF45" s="371">
        <f t="shared" si="4"/>
        <v>704.68</v>
      </c>
      <c r="AG45" s="294"/>
      <c r="AH45" s="294"/>
      <c r="AI45" s="294"/>
      <c r="AJ45" s="172"/>
      <c r="AK45" s="172"/>
      <c r="AL45" s="172"/>
      <c r="AM45" s="172"/>
      <c r="AN45" s="172"/>
      <c r="AO45" s="172"/>
      <c r="AP45" s="172"/>
      <c r="AQ45" s="172"/>
      <c r="AR45" s="172"/>
    </row>
    <row r="46" ht="15.75" customHeight="1">
      <c r="A46" s="328"/>
      <c r="B46" s="328"/>
      <c r="C46" s="328"/>
      <c r="D46" s="328"/>
      <c r="E46" s="328"/>
      <c r="F46" s="328"/>
      <c r="G46" s="328"/>
      <c r="H46" s="32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</row>
  </sheetData>
  <conditionalFormatting sqref="E16:Y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Y45">
    <cfRule type="cellIs" dxfId="4" priority="4" stopIfTrue="1" operator="greaterThan">
      <formula>0</formula>
    </cfRule>
  </conditionalFormatting>
  <conditionalFormatting sqref="E16:Y45">
    <cfRule type="expression" dxfId="5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04">
        <v>46260.23837627315</v>
      </c>
      <c r="B1" s="1" t="s">
        <v>372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34" width="6.75"/>
  </cols>
  <sheetData>
    <row r="2">
      <c r="B2" s="405"/>
      <c r="C2" s="405"/>
      <c r="D2" s="406" t="s">
        <v>373</v>
      </c>
      <c r="E2" s="407"/>
      <c r="F2" s="408"/>
      <c r="G2" s="405"/>
      <c r="H2" s="405"/>
      <c r="I2" s="405"/>
      <c r="J2" s="405"/>
      <c r="K2" s="406" t="s">
        <v>373</v>
      </c>
      <c r="L2" s="407"/>
      <c r="M2" s="408"/>
      <c r="N2" s="405"/>
      <c r="O2" s="405"/>
      <c r="P2" s="405"/>
      <c r="Q2" s="405"/>
      <c r="R2" s="406" t="s">
        <v>373</v>
      </c>
      <c r="S2" s="407"/>
      <c r="T2" s="408"/>
      <c r="U2" s="405"/>
      <c r="V2" s="405"/>
      <c r="W2" s="405"/>
      <c r="X2" s="405"/>
      <c r="Y2" s="406" t="s">
        <v>373</v>
      </c>
      <c r="Z2" s="407"/>
      <c r="AA2" s="408"/>
      <c r="AB2" s="405"/>
      <c r="AC2" s="405"/>
      <c r="AD2" s="405"/>
      <c r="AE2" s="405"/>
      <c r="AF2" s="406" t="s">
        <v>373</v>
      </c>
      <c r="AG2" s="407"/>
      <c r="AH2" s="408"/>
    </row>
    <row r="3">
      <c r="B3" s="409" t="s">
        <v>374</v>
      </c>
      <c r="C3" s="409" t="s">
        <v>375</v>
      </c>
      <c r="D3" s="409" t="s">
        <v>376</v>
      </c>
      <c r="E3" s="409" t="s">
        <v>377</v>
      </c>
      <c r="F3" s="409" t="s">
        <v>378</v>
      </c>
      <c r="G3" s="409" t="s">
        <v>379</v>
      </c>
      <c r="H3" s="409" t="s">
        <v>380</v>
      </c>
      <c r="I3" s="409" t="s">
        <v>374</v>
      </c>
      <c r="J3" s="409" t="s">
        <v>375</v>
      </c>
      <c r="K3" s="409" t="s">
        <v>376</v>
      </c>
      <c r="L3" s="409" t="s">
        <v>377</v>
      </c>
      <c r="M3" s="409" t="s">
        <v>378</v>
      </c>
      <c r="N3" s="409" t="s">
        <v>379</v>
      </c>
      <c r="O3" s="409" t="s">
        <v>380</v>
      </c>
      <c r="P3" s="409" t="s">
        <v>374</v>
      </c>
      <c r="Q3" s="409" t="s">
        <v>375</v>
      </c>
      <c r="R3" s="409" t="s">
        <v>376</v>
      </c>
      <c r="S3" s="409" t="s">
        <v>377</v>
      </c>
      <c r="T3" s="409" t="s">
        <v>378</v>
      </c>
      <c r="U3" s="409" t="s">
        <v>379</v>
      </c>
      <c r="V3" s="409" t="s">
        <v>380</v>
      </c>
      <c r="W3" s="409" t="s">
        <v>374</v>
      </c>
      <c r="X3" s="409" t="s">
        <v>375</v>
      </c>
      <c r="Y3" s="409" t="s">
        <v>376</v>
      </c>
      <c r="Z3" s="409" t="s">
        <v>377</v>
      </c>
      <c r="AA3" s="409" t="s">
        <v>378</v>
      </c>
      <c r="AB3" s="409" t="s">
        <v>379</v>
      </c>
      <c r="AC3" s="409" t="s">
        <v>380</v>
      </c>
      <c r="AD3" s="409" t="s">
        <v>374</v>
      </c>
      <c r="AE3" s="409" t="s">
        <v>381</v>
      </c>
      <c r="AF3" s="409" t="s">
        <v>376</v>
      </c>
      <c r="AG3" s="409" t="s">
        <v>377</v>
      </c>
      <c r="AH3" s="409" t="s">
        <v>378</v>
      </c>
    </row>
    <row r="4">
      <c r="B4" s="410">
        <v>1.0</v>
      </c>
      <c r="C4" s="410">
        <v>2.0</v>
      </c>
      <c r="D4" s="410">
        <v>3.0</v>
      </c>
      <c r="E4" s="410">
        <v>4.0</v>
      </c>
      <c r="F4" s="410">
        <v>5.0</v>
      </c>
      <c r="G4" s="410">
        <v>6.0</v>
      </c>
      <c r="H4" s="410">
        <v>7.0</v>
      </c>
      <c r="I4" s="410">
        <v>8.0</v>
      </c>
      <c r="J4" s="410">
        <v>9.0</v>
      </c>
      <c r="K4" s="410">
        <v>10.0</v>
      </c>
      <c r="L4" s="410">
        <v>11.0</v>
      </c>
      <c r="M4" s="410">
        <v>12.0</v>
      </c>
      <c r="N4" s="410">
        <v>13.0</v>
      </c>
      <c r="O4" s="410">
        <v>14.0</v>
      </c>
      <c r="P4" s="410">
        <v>15.0</v>
      </c>
      <c r="Q4" s="410">
        <v>16.0</v>
      </c>
      <c r="R4" s="410">
        <v>17.0</v>
      </c>
      <c r="S4" s="410">
        <v>18.0</v>
      </c>
      <c r="T4" s="410">
        <v>19.0</v>
      </c>
      <c r="U4" s="410">
        <v>20.0</v>
      </c>
      <c r="V4" s="410">
        <v>21.0</v>
      </c>
      <c r="W4" s="410">
        <v>22.0</v>
      </c>
      <c r="X4" s="410">
        <v>23.0</v>
      </c>
      <c r="Y4" s="410">
        <v>24.0</v>
      </c>
      <c r="Z4" s="410">
        <v>25.0</v>
      </c>
      <c r="AA4" s="410">
        <v>26.0</v>
      </c>
      <c r="AB4" s="410">
        <v>27.0</v>
      </c>
      <c r="AC4" s="410">
        <v>28.0</v>
      </c>
      <c r="AD4" s="410">
        <v>29.0</v>
      </c>
      <c r="AE4" s="410">
        <v>30.0</v>
      </c>
      <c r="AF4" s="410">
        <v>1.0</v>
      </c>
      <c r="AG4" s="410">
        <v>2.0</v>
      </c>
      <c r="AH4" s="410">
        <v>3.0</v>
      </c>
    </row>
    <row r="5">
      <c r="B5" s="411" t="s">
        <v>37</v>
      </c>
      <c r="C5" s="407"/>
      <c r="D5" s="407"/>
      <c r="E5" s="407"/>
      <c r="F5" s="407"/>
      <c r="G5" s="407"/>
      <c r="H5" s="407"/>
      <c r="I5" s="407"/>
      <c r="J5" s="407"/>
      <c r="K5" s="407"/>
      <c r="L5" s="407"/>
      <c r="M5" s="407"/>
      <c r="N5" s="407"/>
      <c r="O5" s="407"/>
      <c r="P5" s="407"/>
      <c r="Q5" s="407"/>
      <c r="R5" s="407"/>
      <c r="S5" s="407"/>
      <c r="T5" s="407"/>
      <c r="U5" s="407"/>
      <c r="V5" s="407"/>
      <c r="W5" s="407"/>
      <c r="X5" s="407"/>
      <c r="Y5" s="407"/>
      <c r="Z5" s="407"/>
      <c r="AA5" s="407"/>
      <c r="AB5" s="407"/>
      <c r="AC5" s="407"/>
      <c r="AD5" s="407"/>
      <c r="AE5" s="408"/>
      <c r="AF5" s="411" t="s">
        <v>37</v>
      </c>
      <c r="AG5" s="407"/>
      <c r="AH5" s="408"/>
    </row>
    <row r="6">
      <c r="B6" s="405"/>
      <c r="C6" s="405"/>
      <c r="D6" s="411" t="s">
        <v>16</v>
      </c>
      <c r="E6" s="407"/>
      <c r="F6" s="408"/>
      <c r="G6" s="405"/>
      <c r="H6" s="405"/>
      <c r="I6" s="405"/>
      <c r="J6" s="405"/>
      <c r="K6" s="411" t="s">
        <v>16</v>
      </c>
      <c r="L6" s="407"/>
      <c r="M6" s="408"/>
      <c r="N6" s="405"/>
      <c r="O6" s="405"/>
      <c r="P6" s="405"/>
      <c r="Q6" s="405"/>
      <c r="R6" s="411" t="s">
        <v>16</v>
      </c>
      <c r="S6" s="407"/>
      <c r="T6" s="408"/>
      <c r="U6" s="405"/>
      <c r="V6" s="405"/>
      <c r="W6" s="405"/>
      <c r="X6" s="405"/>
      <c r="Y6" s="411" t="s">
        <v>16</v>
      </c>
      <c r="Z6" s="407"/>
      <c r="AA6" s="408"/>
      <c r="AB6" s="405"/>
      <c r="AC6" s="405"/>
      <c r="AD6" s="405"/>
      <c r="AE6" s="405"/>
      <c r="AF6" s="411" t="s">
        <v>16</v>
      </c>
      <c r="AG6" s="407"/>
      <c r="AH6" s="408"/>
    </row>
    <row r="7">
      <c r="B7" s="411" t="s">
        <v>15</v>
      </c>
      <c r="C7" s="408"/>
      <c r="D7" s="405"/>
      <c r="E7" s="405"/>
      <c r="F7" s="405"/>
      <c r="G7" s="411" t="s">
        <v>15</v>
      </c>
      <c r="H7" s="407"/>
      <c r="I7" s="407"/>
      <c r="J7" s="408"/>
      <c r="K7" s="405"/>
      <c r="L7" s="405"/>
      <c r="M7" s="405"/>
      <c r="N7" s="411" t="s">
        <v>15</v>
      </c>
      <c r="O7" s="407"/>
      <c r="P7" s="407"/>
      <c r="Q7" s="408"/>
      <c r="R7" s="405"/>
      <c r="S7" s="405"/>
      <c r="T7" s="405"/>
      <c r="U7" s="411" t="s">
        <v>15</v>
      </c>
      <c r="V7" s="407"/>
      <c r="W7" s="407"/>
      <c r="X7" s="408"/>
      <c r="Y7" s="405"/>
      <c r="Z7" s="405"/>
      <c r="AA7" s="405"/>
      <c r="AB7" s="411" t="s">
        <v>15</v>
      </c>
      <c r="AC7" s="407"/>
      <c r="AD7" s="407"/>
      <c r="AE7" s="408"/>
      <c r="AF7" s="405"/>
      <c r="AG7" s="405"/>
      <c r="AH7" s="405"/>
    </row>
    <row r="8">
      <c r="B8" s="411" t="s">
        <v>13</v>
      </c>
      <c r="C8" s="407"/>
      <c r="D8" s="407"/>
      <c r="E8" s="407"/>
      <c r="F8" s="408"/>
      <c r="G8" s="411" t="s">
        <v>13</v>
      </c>
      <c r="H8" s="407"/>
      <c r="I8" s="407"/>
      <c r="J8" s="407"/>
      <c r="K8" s="407"/>
      <c r="L8" s="407"/>
      <c r="M8" s="408"/>
      <c r="N8" s="411" t="s">
        <v>13</v>
      </c>
      <c r="O8" s="407"/>
      <c r="P8" s="407"/>
      <c r="Q8" s="407"/>
      <c r="R8" s="407"/>
      <c r="S8" s="407"/>
      <c r="T8" s="408"/>
      <c r="U8" s="411" t="s">
        <v>13</v>
      </c>
      <c r="V8" s="407"/>
      <c r="W8" s="407"/>
      <c r="X8" s="407"/>
      <c r="Y8" s="407"/>
      <c r="Z8" s="407"/>
      <c r="AA8" s="408"/>
      <c r="AB8" s="411" t="s">
        <v>13</v>
      </c>
      <c r="AC8" s="407"/>
      <c r="AD8" s="407"/>
      <c r="AE8" s="407"/>
      <c r="AF8" s="407"/>
      <c r="AG8" s="407"/>
      <c r="AH8" s="408"/>
    </row>
    <row r="9" ht="33.75" customHeight="1">
      <c r="B9" s="405"/>
      <c r="C9" s="405"/>
      <c r="D9" s="412" t="s">
        <v>382</v>
      </c>
      <c r="E9" s="412" t="s">
        <v>382</v>
      </c>
      <c r="F9" s="412" t="s">
        <v>382</v>
      </c>
      <c r="G9" s="405"/>
      <c r="H9" s="405"/>
      <c r="I9" s="405"/>
      <c r="J9" s="405"/>
      <c r="K9" s="412" t="s">
        <v>382</v>
      </c>
      <c r="L9" s="412" t="s">
        <v>382</v>
      </c>
      <c r="M9" s="412" t="s">
        <v>382</v>
      </c>
      <c r="N9" s="405"/>
      <c r="O9" s="405"/>
      <c r="P9" s="405"/>
      <c r="Q9" s="405"/>
      <c r="R9" s="412" t="s">
        <v>382</v>
      </c>
      <c r="S9" s="412" t="s">
        <v>382</v>
      </c>
      <c r="T9" s="412" t="s">
        <v>382</v>
      </c>
      <c r="U9" s="405"/>
      <c r="V9" s="405"/>
      <c r="W9" s="405"/>
      <c r="X9" s="405"/>
      <c r="Y9" s="412" t="s">
        <v>382</v>
      </c>
      <c r="Z9" s="412" t="s">
        <v>382</v>
      </c>
      <c r="AA9" s="412" t="s">
        <v>382</v>
      </c>
      <c r="AB9" s="405"/>
      <c r="AC9" s="405"/>
      <c r="AD9" s="405"/>
      <c r="AE9" s="405"/>
      <c r="AF9" s="412" t="s">
        <v>382</v>
      </c>
      <c r="AG9" s="412" t="s">
        <v>382</v>
      </c>
      <c r="AH9" s="412" t="s">
        <v>382</v>
      </c>
    </row>
    <row r="10" ht="33.75" customHeight="1">
      <c r="B10" s="405"/>
      <c r="C10" s="405"/>
      <c r="D10" s="405"/>
      <c r="E10" s="405"/>
      <c r="F10" s="405"/>
      <c r="G10" s="413" t="s">
        <v>18</v>
      </c>
      <c r="H10" s="408"/>
      <c r="I10" s="413" t="s">
        <v>18</v>
      </c>
      <c r="J10" s="408"/>
      <c r="K10" s="405"/>
      <c r="L10" s="405"/>
      <c r="M10" s="405"/>
      <c r="N10" s="405"/>
      <c r="O10" s="405"/>
      <c r="P10" s="405"/>
      <c r="Q10" s="405"/>
      <c r="R10" s="405"/>
      <c r="S10" s="405"/>
      <c r="T10" s="405"/>
      <c r="U10" s="405"/>
      <c r="V10" s="405"/>
      <c r="W10" s="405"/>
      <c r="X10" s="405"/>
      <c r="Y10" s="405"/>
      <c r="Z10" s="405"/>
      <c r="AA10" s="405"/>
      <c r="AB10" s="405"/>
      <c r="AC10" s="405"/>
      <c r="AD10" s="405"/>
      <c r="AE10" s="405"/>
      <c r="AF10" s="405"/>
      <c r="AG10" s="405"/>
      <c r="AH10" s="405"/>
    </row>
    <row r="11" ht="33.75" customHeight="1">
      <c r="B11" s="405"/>
      <c r="C11" s="405"/>
      <c r="D11" s="405"/>
      <c r="E11" s="405"/>
      <c r="F11" s="405"/>
      <c r="G11" s="405"/>
      <c r="H11" s="405"/>
      <c r="I11" s="405"/>
      <c r="J11" s="405"/>
      <c r="K11" s="405"/>
      <c r="L11" s="405"/>
      <c r="M11" s="405"/>
      <c r="N11" s="413" t="s">
        <v>40</v>
      </c>
      <c r="O11" s="408"/>
      <c r="P11" s="413" t="s">
        <v>40</v>
      </c>
      <c r="Q11" s="408"/>
      <c r="R11" s="405"/>
      <c r="S11" s="405"/>
      <c r="T11" s="405"/>
      <c r="U11" s="405"/>
      <c r="V11" s="405"/>
      <c r="W11" s="405"/>
      <c r="X11" s="405"/>
      <c r="Y11" s="405"/>
      <c r="Z11" s="405"/>
      <c r="AA11" s="405"/>
      <c r="AB11" s="405"/>
      <c r="AC11" s="405"/>
      <c r="AD11" s="405"/>
      <c r="AE11" s="405"/>
      <c r="AF11" s="405"/>
      <c r="AG11" s="405"/>
      <c r="AH11" s="405"/>
    </row>
    <row r="12" ht="33.75" customHeight="1">
      <c r="B12" s="414" t="s">
        <v>51</v>
      </c>
      <c r="C12" s="414" t="s">
        <v>51</v>
      </c>
      <c r="D12" s="405"/>
      <c r="E12" s="405"/>
      <c r="F12" s="405"/>
      <c r="G12" s="414" t="s">
        <v>51</v>
      </c>
      <c r="H12" s="414" t="s">
        <v>51</v>
      </c>
      <c r="I12" s="414" t="s">
        <v>51</v>
      </c>
      <c r="J12" s="414" t="s">
        <v>51</v>
      </c>
      <c r="K12" s="405"/>
      <c r="L12" s="405"/>
      <c r="M12" s="405"/>
      <c r="N12" s="414" t="s">
        <v>51</v>
      </c>
      <c r="O12" s="414" t="s">
        <v>51</v>
      </c>
      <c r="P12" s="414" t="s">
        <v>51</v>
      </c>
      <c r="Q12" s="414" t="s">
        <v>51</v>
      </c>
      <c r="R12" s="405"/>
      <c r="S12" s="405"/>
      <c r="T12" s="405"/>
      <c r="U12" s="414" t="s">
        <v>51</v>
      </c>
      <c r="V12" s="414" t="s">
        <v>51</v>
      </c>
      <c r="W12" s="414" t="s">
        <v>51</v>
      </c>
      <c r="X12" s="414" t="s">
        <v>51</v>
      </c>
      <c r="Y12" s="405"/>
      <c r="Z12" s="405"/>
      <c r="AA12" s="405"/>
      <c r="AB12" s="414" t="s">
        <v>51</v>
      </c>
      <c r="AC12" s="414" t="s">
        <v>51</v>
      </c>
      <c r="AD12" s="414" t="s">
        <v>51</v>
      </c>
      <c r="AE12" s="414" t="s">
        <v>51</v>
      </c>
      <c r="AF12" s="405"/>
      <c r="AG12" s="405"/>
      <c r="AH12" s="405"/>
    </row>
    <row r="13" ht="33.75" customHeight="1">
      <c r="B13" s="405"/>
      <c r="C13" s="405"/>
      <c r="D13" s="405"/>
      <c r="E13" s="405"/>
      <c r="F13" s="405"/>
      <c r="G13" s="405"/>
      <c r="H13" s="405"/>
      <c r="I13" s="405"/>
      <c r="J13" s="405"/>
      <c r="K13" s="405"/>
      <c r="L13" s="405"/>
      <c r="M13" s="405"/>
      <c r="N13" s="405"/>
      <c r="O13" s="405"/>
      <c r="P13" s="405"/>
      <c r="Q13" s="405"/>
      <c r="R13" s="405"/>
      <c r="S13" s="405"/>
      <c r="T13" s="405"/>
      <c r="U13" s="413" t="s">
        <v>20</v>
      </c>
      <c r="V13" s="408"/>
      <c r="W13" s="413" t="s">
        <v>20</v>
      </c>
      <c r="X13" s="408"/>
      <c r="Y13" s="405"/>
      <c r="Z13" s="405"/>
      <c r="AA13" s="405"/>
      <c r="AB13" s="405"/>
      <c r="AC13" s="405"/>
      <c r="AD13" s="405"/>
      <c r="AE13" s="405"/>
      <c r="AF13" s="405"/>
      <c r="AG13" s="405"/>
      <c r="AH13" s="405"/>
    </row>
    <row r="14" ht="33.75" customHeight="1">
      <c r="B14" s="413" t="s">
        <v>41</v>
      </c>
      <c r="C14" s="408"/>
      <c r="D14" s="405"/>
      <c r="E14" s="405"/>
      <c r="F14" s="405"/>
      <c r="G14" s="405"/>
      <c r="H14" s="405"/>
      <c r="I14" s="405"/>
      <c r="J14" s="405"/>
      <c r="K14" s="405"/>
      <c r="L14" s="405"/>
      <c r="M14" s="405"/>
      <c r="N14" s="405"/>
      <c r="O14" s="405"/>
      <c r="P14" s="405"/>
      <c r="Q14" s="405"/>
      <c r="R14" s="405"/>
      <c r="S14" s="405"/>
      <c r="T14" s="405"/>
      <c r="U14" s="405"/>
      <c r="V14" s="405"/>
      <c r="W14" s="405"/>
      <c r="X14" s="405"/>
      <c r="Y14" s="405"/>
      <c r="Z14" s="405"/>
      <c r="AA14" s="405"/>
      <c r="AB14" s="413" t="s">
        <v>41</v>
      </c>
      <c r="AC14" s="408"/>
      <c r="AD14" s="413" t="s">
        <v>41</v>
      </c>
      <c r="AE14" s="408"/>
      <c r="AF14" s="405"/>
      <c r="AG14" s="405"/>
      <c r="AH14" s="405"/>
    </row>
    <row r="15" ht="33.75" customHeight="1">
      <c r="B15" s="405"/>
      <c r="C15" s="405"/>
      <c r="D15" s="413" t="s">
        <v>7</v>
      </c>
      <c r="E15" s="407"/>
      <c r="F15" s="408"/>
      <c r="G15" s="405"/>
      <c r="H15" s="405"/>
      <c r="I15" s="405"/>
      <c r="J15" s="405"/>
      <c r="K15" s="413" t="s">
        <v>7</v>
      </c>
      <c r="L15" s="407"/>
      <c r="M15" s="408"/>
      <c r="N15" s="405"/>
      <c r="O15" s="405"/>
      <c r="P15" s="405"/>
      <c r="Q15" s="405"/>
      <c r="R15" s="413" t="s">
        <v>7</v>
      </c>
      <c r="S15" s="407"/>
      <c r="T15" s="408"/>
      <c r="U15" s="405"/>
      <c r="V15" s="405"/>
      <c r="W15" s="405"/>
      <c r="X15" s="405"/>
      <c r="Y15" s="413" t="s">
        <v>7</v>
      </c>
      <c r="Z15" s="407"/>
      <c r="AA15" s="408"/>
      <c r="AB15" s="405"/>
      <c r="AC15" s="405"/>
      <c r="AD15" s="405"/>
      <c r="AE15" s="405"/>
      <c r="AF15" s="413" t="s">
        <v>7</v>
      </c>
      <c r="AG15" s="407"/>
      <c r="AH15" s="408"/>
    </row>
    <row r="16" ht="33.75" customHeight="1">
      <c r="B16" s="411" t="s">
        <v>27</v>
      </c>
      <c r="C16" s="407"/>
      <c r="D16" s="407"/>
      <c r="E16" s="407"/>
      <c r="F16" s="408"/>
      <c r="G16" s="411" t="s">
        <v>27</v>
      </c>
      <c r="H16" s="407"/>
      <c r="I16" s="407"/>
      <c r="J16" s="407"/>
      <c r="K16" s="407"/>
      <c r="L16" s="407"/>
      <c r="M16" s="408"/>
      <c r="N16" s="411" t="s">
        <v>27</v>
      </c>
      <c r="O16" s="407"/>
      <c r="P16" s="407"/>
      <c r="Q16" s="407"/>
      <c r="R16" s="407"/>
      <c r="S16" s="407"/>
      <c r="T16" s="408"/>
      <c r="U16" s="411" t="s">
        <v>27</v>
      </c>
      <c r="V16" s="407"/>
      <c r="W16" s="407"/>
      <c r="X16" s="407"/>
      <c r="Y16" s="407"/>
      <c r="Z16" s="407"/>
      <c r="AA16" s="408"/>
      <c r="AB16" s="411" t="s">
        <v>27</v>
      </c>
      <c r="AC16" s="407"/>
      <c r="AD16" s="407"/>
      <c r="AE16" s="407"/>
      <c r="AF16" s="407"/>
      <c r="AG16" s="407"/>
      <c r="AH16" s="408"/>
    </row>
    <row r="17" ht="33.75" customHeight="1">
      <c r="B17" s="405"/>
      <c r="C17" s="405"/>
      <c r="D17" s="413" t="s">
        <v>383</v>
      </c>
      <c r="E17" s="407"/>
      <c r="F17" s="408"/>
      <c r="G17" s="405"/>
      <c r="H17" s="405"/>
      <c r="I17" s="405"/>
      <c r="J17" s="405"/>
      <c r="K17" s="413" t="s">
        <v>29</v>
      </c>
      <c r="L17" s="407"/>
      <c r="M17" s="408"/>
      <c r="N17" s="405"/>
      <c r="O17" s="405"/>
      <c r="P17" s="405"/>
      <c r="Q17" s="405"/>
      <c r="R17" s="413" t="s">
        <v>23</v>
      </c>
      <c r="S17" s="407"/>
      <c r="T17" s="408"/>
      <c r="U17" s="405"/>
      <c r="V17" s="405"/>
      <c r="W17" s="405"/>
      <c r="X17" s="405"/>
      <c r="Y17" s="413" t="s">
        <v>73</v>
      </c>
      <c r="Z17" s="407"/>
      <c r="AA17" s="408"/>
      <c r="AB17" s="405"/>
      <c r="AC17" s="405"/>
      <c r="AD17" s="405"/>
      <c r="AE17" s="405"/>
      <c r="AF17" s="413" t="s">
        <v>383</v>
      </c>
      <c r="AG17" s="407"/>
      <c r="AH17" s="408"/>
    </row>
    <row r="18" ht="33.75" customHeight="1">
      <c r="B18" s="415" t="s">
        <v>14</v>
      </c>
      <c r="C18" s="408"/>
      <c r="D18" s="405"/>
      <c r="E18" s="405"/>
      <c r="F18" s="405"/>
      <c r="G18" s="415" t="s">
        <v>14</v>
      </c>
      <c r="H18" s="407"/>
      <c r="I18" s="407"/>
      <c r="J18" s="408"/>
      <c r="K18" s="405"/>
      <c r="L18" s="405"/>
      <c r="M18" s="405"/>
      <c r="N18" s="415" t="s">
        <v>14</v>
      </c>
      <c r="O18" s="407"/>
      <c r="P18" s="407"/>
      <c r="Q18" s="408"/>
      <c r="R18" s="405"/>
      <c r="S18" s="405"/>
      <c r="T18" s="405"/>
      <c r="U18" s="415" t="s">
        <v>14</v>
      </c>
      <c r="V18" s="407"/>
      <c r="W18" s="407"/>
      <c r="X18" s="408"/>
      <c r="Y18" s="405"/>
      <c r="Z18" s="405"/>
      <c r="AA18" s="405"/>
      <c r="AB18" s="415" t="s">
        <v>14</v>
      </c>
      <c r="AC18" s="407"/>
      <c r="AD18" s="407"/>
      <c r="AE18" s="408"/>
      <c r="AF18" s="405"/>
      <c r="AG18" s="405"/>
      <c r="AH18" s="405"/>
    </row>
    <row r="19" ht="33.75" customHeight="1">
      <c r="B19" s="405"/>
      <c r="C19" s="405"/>
      <c r="D19" s="416" t="s">
        <v>63</v>
      </c>
      <c r="E19" s="416" t="s">
        <v>63</v>
      </c>
      <c r="F19" s="416" t="s">
        <v>63</v>
      </c>
      <c r="G19" s="405"/>
      <c r="H19" s="405"/>
      <c r="I19" s="405"/>
      <c r="J19" s="405"/>
      <c r="K19" s="416" t="s">
        <v>63</v>
      </c>
      <c r="L19" s="416" t="s">
        <v>63</v>
      </c>
      <c r="M19" s="416" t="s">
        <v>63</v>
      </c>
      <c r="N19" s="405"/>
      <c r="O19" s="405"/>
      <c r="P19" s="405"/>
      <c r="Q19" s="405"/>
      <c r="R19" s="416" t="s">
        <v>63</v>
      </c>
      <c r="S19" s="416" t="s">
        <v>63</v>
      </c>
      <c r="T19" s="416" t="s">
        <v>63</v>
      </c>
      <c r="U19" s="405"/>
      <c r="V19" s="405"/>
      <c r="W19" s="405"/>
      <c r="X19" s="405"/>
      <c r="Y19" s="416" t="s">
        <v>63</v>
      </c>
      <c r="Z19" s="416" t="s">
        <v>63</v>
      </c>
      <c r="AA19" s="416" t="s">
        <v>63</v>
      </c>
      <c r="AB19" s="405"/>
      <c r="AC19" s="405"/>
      <c r="AD19" s="405"/>
      <c r="AE19" s="405"/>
      <c r="AF19" s="416" t="s">
        <v>63</v>
      </c>
      <c r="AG19" s="416" t="s">
        <v>63</v>
      </c>
      <c r="AH19" s="416" t="s">
        <v>63</v>
      </c>
    </row>
    <row r="20" ht="33.75" customHeight="1">
      <c r="B20" s="413" t="s">
        <v>9</v>
      </c>
      <c r="C20" s="408"/>
      <c r="D20" s="417"/>
      <c r="E20" s="407"/>
      <c r="F20" s="408"/>
      <c r="G20" s="413" t="s">
        <v>9</v>
      </c>
      <c r="H20" s="407"/>
      <c r="I20" s="407"/>
      <c r="J20" s="408"/>
      <c r="K20" s="417"/>
      <c r="L20" s="407"/>
      <c r="M20" s="408"/>
      <c r="N20" s="413" t="s">
        <v>9</v>
      </c>
      <c r="O20" s="407"/>
      <c r="P20" s="407"/>
      <c r="Q20" s="408"/>
      <c r="R20" s="417"/>
      <c r="S20" s="407"/>
      <c r="T20" s="408"/>
      <c r="U20" s="413" t="s">
        <v>9</v>
      </c>
      <c r="V20" s="407"/>
      <c r="W20" s="407"/>
      <c r="X20" s="408"/>
      <c r="Y20" s="417"/>
      <c r="Z20" s="407"/>
      <c r="AA20" s="408"/>
      <c r="AB20" s="413" t="s">
        <v>9</v>
      </c>
      <c r="AC20" s="407"/>
      <c r="AD20" s="407"/>
      <c r="AE20" s="408"/>
      <c r="AF20" s="417"/>
      <c r="AG20" s="407"/>
      <c r="AH20" s="408"/>
    </row>
    <row r="21" ht="33.75" customHeight="1">
      <c r="B21" s="414" t="s">
        <v>65</v>
      </c>
      <c r="C21" s="414" t="s">
        <v>65</v>
      </c>
      <c r="D21" s="414" t="s">
        <v>65</v>
      </c>
      <c r="E21" s="414" t="s">
        <v>65</v>
      </c>
      <c r="F21" s="414" t="s">
        <v>65</v>
      </c>
      <c r="G21" s="414" t="s">
        <v>65</v>
      </c>
      <c r="H21" s="414" t="s">
        <v>65</v>
      </c>
      <c r="I21" s="414" t="s">
        <v>65</v>
      </c>
      <c r="J21" s="414" t="s">
        <v>65</v>
      </c>
      <c r="K21" s="414" t="s">
        <v>65</v>
      </c>
      <c r="L21" s="414" t="s">
        <v>65</v>
      </c>
      <c r="M21" s="414" t="s">
        <v>65</v>
      </c>
      <c r="N21" s="414" t="s">
        <v>65</v>
      </c>
      <c r="O21" s="414" t="s">
        <v>65</v>
      </c>
      <c r="P21" s="414" t="s">
        <v>65</v>
      </c>
      <c r="Q21" s="414" t="s">
        <v>65</v>
      </c>
      <c r="R21" s="414" t="s">
        <v>65</v>
      </c>
      <c r="S21" s="414" t="s">
        <v>65</v>
      </c>
      <c r="T21" s="414" t="s">
        <v>65</v>
      </c>
      <c r="U21" s="414" t="s">
        <v>65</v>
      </c>
      <c r="V21" s="414" t="s">
        <v>65</v>
      </c>
      <c r="W21" s="414" t="s">
        <v>65</v>
      </c>
      <c r="X21" s="414" t="s">
        <v>65</v>
      </c>
      <c r="Y21" s="414" t="s">
        <v>65</v>
      </c>
      <c r="Z21" s="414" t="s">
        <v>65</v>
      </c>
      <c r="AA21" s="414" t="s">
        <v>65</v>
      </c>
      <c r="AB21" s="414" t="s">
        <v>65</v>
      </c>
      <c r="AC21" s="414" t="s">
        <v>65</v>
      </c>
      <c r="AD21" s="414" t="s">
        <v>65</v>
      </c>
      <c r="AE21" s="414" t="s">
        <v>65</v>
      </c>
      <c r="AF21" s="414" t="s">
        <v>65</v>
      </c>
      <c r="AG21" s="414" t="s">
        <v>65</v>
      </c>
      <c r="AH21" s="414" t="s">
        <v>65</v>
      </c>
    </row>
    <row r="22">
      <c r="B22" s="405"/>
      <c r="C22" s="405"/>
      <c r="D22" s="405"/>
      <c r="E22" s="405"/>
      <c r="F22" s="405"/>
      <c r="G22" s="405"/>
      <c r="H22" s="405"/>
      <c r="I22" s="405"/>
      <c r="J22" s="405"/>
      <c r="K22" s="405"/>
      <c r="L22" s="405"/>
      <c r="M22" s="405"/>
      <c r="N22" s="405"/>
      <c r="O22" s="405"/>
      <c r="P22" s="405"/>
      <c r="Q22" s="405"/>
      <c r="R22" s="405"/>
      <c r="S22" s="405"/>
      <c r="T22" s="405"/>
      <c r="U22" s="405"/>
      <c r="V22" s="405"/>
      <c r="W22" s="405"/>
      <c r="X22" s="405"/>
      <c r="Y22" s="405"/>
      <c r="Z22" s="405"/>
      <c r="AA22" s="405"/>
      <c r="AB22" s="405"/>
      <c r="AC22" s="405"/>
      <c r="AD22" s="405"/>
      <c r="AE22" s="405"/>
      <c r="AF22" s="405"/>
      <c r="AG22" s="405"/>
      <c r="AH22" s="405"/>
    </row>
    <row r="23">
      <c r="B23" s="418" t="s">
        <v>35</v>
      </c>
      <c r="C23" s="407"/>
      <c r="D23" s="407"/>
      <c r="E23" s="407"/>
      <c r="F23" s="408"/>
      <c r="G23" s="418" t="s">
        <v>35</v>
      </c>
      <c r="H23" s="407"/>
      <c r="I23" s="407"/>
      <c r="J23" s="407"/>
      <c r="K23" s="407"/>
      <c r="L23" s="407"/>
      <c r="M23" s="408"/>
      <c r="N23" s="418" t="s">
        <v>35</v>
      </c>
      <c r="O23" s="407"/>
      <c r="P23" s="407"/>
      <c r="Q23" s="407"/>
      <c r="R23" s="407"/>
      <c r="S23" s="407"/>
      <c r="T23" s="408"/>
      <c r="U23" s="418" t="s">
        <v>35</v>
      </c>
      <c r="V23" s="407"/>
      <c r="W23" s="407"/>
      <c r="X23" s="407"/>
      <c r="Y23" s="407"/>
      <c r="Z23" s="407"/>
      <c r="AA23" s="408"/>
      <c r="AB23" s="418" t="s">
        <v>35</v>
      </c>
      <c r="AC23" s="407"/>
      <c r="AD23" s="407"/>
      <c r="AE23" s="407"/>
      <c r="AF23" s="407"/>
      <c r="AG23" s="407"/>
      <c r="AH23" s="408"/>
    </row>
    <row r="24">
      <c r="B24" s="405"/>
      <c r="C24" s="405"/>
      <c r="D24" s="418" t="s">
        <v>12</v>
      </c>
      <c r="E24" s="407"/>
      <c r="F24" s="408"/>
      <c r="G24" s="405"/>
      <c r="H24" s="405"/>
      <c r="I24" s="405"/>
      <c r="J24" s="405"/>
      <c r="K24" s="418" t="s">
        <v>12</v>
      </c>
      <c r="L24" s="407"/>
      <c r="M24" s="408"/>
      <c r="N24" s="405"/>
      <c r="O24" s="405"/>
      <c r="P24" s="405"/>
      <c r="Q24" s="405"/>
      <c r="R24" s="418" t="s">
        <v>12</v>
      </c>
      <c r="S24" s="407"/>
      <c r="T24" s="408"/>
      <c r="U24" s="405"/>
      <c r="V24" s="405"/>
      <c r="W24" s="405"/>
      <c r="X24" s="405"/>
      <c r="Y24" s="418" t="s">
        <v>12</v>
      </c>
      <c r="Z24" s="407"/>
      <c r="AA24" s="408"/>
      <c r="AB24" s="405"/>
      <c r="AC24" s="405"/>
      <c r="AD24" s="405"/>
      <c r="AE24" s="405"/>
      <c r="AF24" s="418" t="s">
        <v>12</v>
      </c>
      <c r="AG24" s="407"/>
      <c r="AH24" s="408"/>
    </row>
    <row r="25">
      <c r="B25" s="405"/>
      <c r="C25" s="405"/>
      <c r="D25" s="405"/>
      <c r="E25" s="418" t="s">
        <v>31</v>
      </c>
      <c r="F25" s="408"/>
      <c r="G25" s="405"/>
      <c r="H25" s="405"/>
      <c r="I25" s="405"/>
      <c r="J25" s="405"/>
      <c r="K25" s="405"/>
      <c r="L25" s="418" t="s">
        <v>31</v>
      </c>
      <c r="M25" s="408"/>
      <c r="N25" s="405"/>
      <c r="O25" s="405"/>
      <c r="P25" s="405"/>
      <c r="Q25" s="405"/>
      <c r="R25" s="405"/>
      <c r="S25" s="418" t="s">
        <v>31</v>
      </c>
      <c r="T25" s="408"/>
      <c r="U25" s="405"/>
      <c r="V25" s="405"/>
      <c r="W25" s="405"/>
      <c r="X25" s="405"/>
      <c r="Y25" s="405"/>
      <c r="Z25" s="418" t="s">
        <v>31</v>
      </c>
      <c r="AA25" s="408"/>
      <c r="AB25" s="405"/>
      <c r="AC25" s="405"/>
      <c r="AD25" s="405"/>
      <c r="AE25" s="405"/>
      <c r="AF25" s="405"/>
      <c r="AG25" s="418" t="s">
        <v>31</v>
      </c>
      <c r="AH25" s="408"/>
    </row>
    <row r="29">
      <c r="B29" s="250"/>
      <c r="C29" s="250"/>
      <c r="D29" s="250"/>
      <c r="E29" s="250"/>
      <c r="F29" s="250"/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/>
      <c r="W29" s="250"/>
      <c r="X29" s="250"/>
      <c r="Y29" s="250"/>
      <c r="Z29" s="250"/>
      <c r="AA29" s="250"/>
      <c r="AB29" s="250"/>
      <c r="AC29" s="250"/>
      <c r="AD29" s="250"/>
      <c r="AE29" s="250"/>
      <c r="AF29" s="250"/>
      <c r="AG29" s="250"/>
      <c r="AH29" s="250"/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3.63"/>
    <col customWidth="1" min="2" max="34" width="7.0"/>
    <col customWidth="1" min="35" max="35" width="8.0"/>
  </cols>
  <sheetData>
    <row r="2">
      <c r="B2" s="405"/>
      <c r="C2" s="405"/>
      <c r="D2" s="406" t="s">
        <v>373</v>
      </c>
      <c r="E2" s="407"/>
      <c r="F2" s="408"/>
      <c r="G2" s="405"/>
      <c r="H2" s="405"/>
      <c r="I2" s="405"/>
      <c r="J2" s="405"/>
      <c r="K2" s="406" t="s">
        <v>373</v>
      </c>
      <c r="L2" s="407"/>
      <c r="M2" s="408"/>
      <c r="N2" s="405"/>
      <c r="O2" s="405"/>
      <c r="P2" s="405"/>
      <c r="Q2" s="405"/>
      <c r="R2" s="406" t="s">
        <v>373</v>
      </c>
      <c r="S2" s="407"/>
      <c r="T2" s="408"/>
      <c r="U2" s="405"/>
      <c r="V2" s="405"/>
      <c r="W2" s="405"/>
      <c r="X2" s="405"/>
      <c r="Y2" s="406" t="s">
        <v>373</v>
      </c>
      <c r="Z2" s="407"/>
      <c r="AA2" s="408"/>
      <c r="AB2" s="405"/>
      <c r="AC2" s="405"/>
      <c r="AD2" s="405"/>
      <c r="AE2" s="405"/>
      <c r="AF2" s="406" t="s">
        <v>373</v>
      </c>
      <c r="AG2" s="407"/>
      <c r="AH2" s="408"/>
    </row>
    <row r="3">
      <c r="B3" s="409" t="s">
        <v>374</v>
      </c>
      <c r="C3" s="409" t="s">
        <v>375</v>
      </c>
      <c r="D3" s="409" t="s">
        <v>376</v>
      </c>
      <c r="E3" s="409" t="s">
        <v>377</v>
      </c>
      <c r="F3" s="409" t="s">
        <v>378</v>
      </c>
      <c r="G3" s="409" t="s">
        <v>379</v>
      </c>
      <c r="H3" s="409" t="s">
        <v>380</v>
      </c>
      <c r="I3" s="409" t="s">
        <v>374</v>
      </c>
      <c r="J3" s="409" t="s">
        <v>375</v>
      </c>
      <c r="K3" s="409" t="s">
        <v>376</v>
      </c>
      <c r="L3" s="409" t="s">
        <v>377</v>
      </c>
      <c r="M3" s="409" t="s">
        <v>378</v>
      </c>
      <c r="N3" s="409" t="s">
        <v>379</v>
      </c>
      <c r="O3" s="409" t="s">
        <v>380</v>
      </c>
      <c r="P3" s="409" t="s">
        <v>374</v>
      </c>
      <c r="Q3" s="409" t="s">
        <v>375</v>
      </c>
      <c r="R3" s="409" t="s">
        <v>376</v>
      </c>
      <c r="S3" s="409" t="s">
        <v>377</v>
      </c>
      <c r="T3" s="409" t="s">
        <v>378</v>
      </c>
      <c r="U3" s="409" t="s">
        <v>379</v>
      </c>
      <c r="V3" s="409" t="s">
        <v>380</v>
      </c>
      <c r="W3" s="409" t="s">
        <v>374</v>
      </c>
      <c r="X3" s="409" t="s">
        <v>375</v>
      </c>
      <c r="Y3" s="409" t="s">
        <v>376</v>
      </c>
      <c r="Z3" s="409" t="s">
        <v>377</v>
      </c>
      <c r="AA3" s="409" t="s">
        <v>378</v>
      </c>
      <c r="AB3" s="409" t="s">
        <v>379</v>
      </c>
      <c r="AC3" s="409" t="s">
        <v>380</v>
      </c>
      <c r="AD3" s="409" t="s">
        <v>374</v>
      </c>
      <c r="AE3" s="409" t="s">
        <v>381</v>
      </c>
      <c r="AF3" s="409" t="s">
        <v>376</v>
      </c>
      <c r="AG3" s="409" t="s">
        <v>377</v>
      </c>
      <c r="AH3" s="409" t="s">
        <v>378</v>
      </c>
    </row>
    <row r="4">
      <c r="B4" s="410">
        <v>1.0</v>
      </c>
      <c r="C4" s="410">
        <v>2.0</v>
      </c>
      <c r="D4" s="410">
        <v>3.0</v>
      </c>
      <c r="E4" s="410">
        <v>4.0</v>
      </c>
      <c r="F4" s="410">
        <v>5.0</v>
      </c>
      <c r="G4" s="410">
        <v>6.0</v>
      </c>
      <c r="H4" s="410">
        <v>7.0</v>
      </c>
      <c r="I4" s="410">
        <v>8.0</v>
      </c>
      <c r="J4" s="410">
        <v>9.0</v>
      </c>
      <c r="K4" s="410">
        <v>10.0</v>
      </c>
      <c r="L4" s="410">
        <v>11.0</v>
      </c>
      <c r="M4" s="410">
        <v>12.0</v>
      </c>
      <c r="N4" s="410">
        <v>13.0</v>
      </c>
      <c r="O4" s="410">
        <v>14.0</v>
      </c>
      <c r="P4" s="410">
        <v>15.0</v>
      </c>
      <c r="Q4" s="410">
        <v>16.0</v>
      </c>
      <c r="R4" s="410">
        <v>17.0</v>
      </c>
      <c r="S4" s="410">
        <v>18.0</v>
      </c>
      <c r="T4" s="410">
        <v>19.0</v>
      </c>
      <c r="U4" s="410">
        <v>20.0</v>
      </c>
      <c r="V4" s="410">
        <v>21.0</v>
      </c>
      <c r="W4" s="410">
        <v>22.0</v>
      </c>
      <c r="X4" s="410">
        <v>23.0</v>
      </c>
      <c r="Y4" s="410">
        <v>24.0</v>
      </c>
      <c r="Z4" s="410">
        <v>25.0</v>
      </c>
      <c r="AA4" s="410">
        <v>26.0</v>
      </c>
      <c r="AB4" s="410">
        <v>27.0</v>
      </c>
      <c r="AC4" s="410">
        <v>28.0</v>
      </c>
      <c r="AD4" s="410">
        <v>29.0</v>
      </c>
      <c r="AE4" s="410">
        <v>30.0</v>
      </c>
      <c r="AF4" s="410">
        <v>1.0</v>
      </c>
      <c r="AG4" s="410">
        <v>2.0</v>
      </c>
      <c r="AH4" s="410">
        <v>3.0</v>
      </c>
    </row>
    <row r="5">
      <c r="B5" s="411" t="s">
        <v>37</v>
      </c>
      <c r="C5" s="407"/>
      <c r="D5" s="407"/>
      <c r="E5" s="407"/>
      <c r="F5" s="407"/>
      <c r="G5" s="407"/>
      <c r="H5" s="407"/>
      <c r="I5" s="407"/>
      <c r="J5" s="407"/>
      <c r="K5" s="407"/>
      <c r="L5" s="407"/>
      <c r="M5" s="407"/>
      <c r="N5" s="407"/>
      <c r="O5" s="407"/>
      <c r="P5" s="407"/>
      <c r="Q5" s="407"/>
      <c r="R5" s="407"/>
      <c r="S5" s="407"/>
      <c r="T5" s="407"/>
      <c r="U5" s="407"/>
      <c r="V5" s="407"/>
      <c r="W5" s="407"/>
      <c r="X5" s="407"/>
      <c r="Y5" s="407"/>
      <c r="Z5" s="407"/>
      <c r="AA5" s="407"/>
      <c r="AB5" s="407"/>
      <c r="AC5" s="407"/>
      <c r="AD5" s="407"/>
      <c r="AE5" s="408"/>
      <c r="AF5" s="411" t="s">
        <v>37</v>
      </c>
      <c r="AG5" s="407"/>
      <c r="AH5" s="408"/>
    </row>
    <row r="6">
      <c r="B6" s="405"/>
      <c r="C6" s="405"/>
      <c r="D6" s="411" t="s">
        <v>16</v>
      </c>
      <c r="E6" s="407"/>
      <c r="F6" s="408"/>
      <c r="G6" s="405"/>
      <c r="H6" s="405"/>
      <c r="I6" s="405"/>
      <c r="J6" s="405"/>
      <c r="K6" s="411" t="s">
        <v>16</v>
      </c>
      <c r="L6" s="407"/>
      <c r="M6" s="408"/>
      <c r="N6" s="405"/>
      <c r="O6" s="405"/>
      <c r="P6" s="405"/>
      <c r="Q6" s="405"/>
      <c r="R6" s="411" t="s">
        <v>16</v>
      </c>
      <c r="S6" s="407"/>
      <c r="T6" s="408"/>
      <c r="U6" s="405"/>
      <c r="V6" s="405"/>
      <c r="W6" s="405"/>
      <c r="X6" s="405"/>
      <c r="Y6" s="411" t="s">
        <v>16</v>
      </c>
      <c r="Z6" s="407"/>
      <c r="AA6" s="408"/>
      <c r="AB6" s="405"/>
      <c r="AC6" s="405"/>
      <c r="AD6" s="405"/>
      <c r="AE6" s="405"/>
      <c r="AF6" s="411" t="s">
        <v>16</v>
      </c>
      <c r="AG6" s="407"/>
      <c r="AH6" s="408"/>
    </row>
    <row r="7">
      <c r="B7" s="411" t="s">
        <v>15</v>
      </c>
      <c r="C7" s="408"/>
      <c r="D7" s="405"/>
      <c r="E7" s="405"/>
      <c r="F7" s="405"/>
      <c r="G7" s="411" t="s">
        <v>15</v>
      </c>
      <c r="H7" s="407"/>
      <c r="I7" s="407"/>
      <c r="J7" s="408"/>
      <c r="K7" s="405"/>
      <c r="L7" s="405"/>
      <c r="M7" s="405"/>
      <c r="N7" s="411" t="s">
        <v>15</v>
      </c>
      <c r="O7" s="407"/>
      <c r="P7" s="407"/>
      <c r="Q7" s="408"/>
      <c r="R7" s="405"/>
      <c r="S7" s="405"/>
      <c r="T7" s="405"/>
      <c r="U7" s="411" t="s">
        <v>15</v>
      </c>
      <c r="V7" s="407"/>
      <c r="W7" s="407"/>
      <c r="X7" s="408"/>
      <c r="Y7" s="405"/>
      <c r="Z7" s="405"/>
      <c r="AA7" s="405"/>
      <c r="AB7" s="411" t="s">
        <v>15</v>
      </c>
      <c r="AC7" s="407"/>
      <c r="AD7" s="407"/>
      <c r="AE7" s="408"/>
      <c r="AF7" s="405"/>
      <c r="AG7" s="405"/>
      <c r="AH7" s="405"/>
    </row>
    <row r="8">
      <c r="B8" s="411" t="s">
        <v>13</v>
      </c>
      <c r="C8" s="407"/>
      <c r="D8" s="407"/>
      <c r="E8" s="407"/>
      <c r="F8" s="408"/>
      <c r="G8" s="411" t="s">
        <v>13</v>
      </c>
      <c r="H8" s="407"/>
      <c r="I8" s="407"/>
      <c r="J8" s="407"/>
      <c r="K8" s="407"/>
      <c r="L8" s="407"/>
      <c r="M8" s="408"/>
      <c r="N8" s="411" t="s">
        <v>13</v>
      </c>
      <c r="O8" s="407"/>
      <c r="P8" s="407"/>
      <c r="Q8" s="407"/>
      <c r="R8" s="407"/>
      <c r="S8" s="407"/>
      <c r="T8" s="408"/>
      <c r="U8" s="411" t="s">
        <v>13</v>
      </c>
      <c r="V8" s="407"/>
      <c r="W8" s="407"/>
      <c r="X8" s="407"/>
      <c r="Y8" s="407"/>
      <c r="Z8" s="407"/>
      <c r="AA8" s="408"/>
      <c r="AB8" s="411" t="s">
        <v>13</v>
      </c>
      <c r="AC8" s="407"/>
      <c r="AD8" s="407"/>
      <c r="AE8" s="407"/>
      <c r="AF8" s="407"/>
      <c r="AG8" s="407"/>
      <c r="AH8" s="408"/>
    </row>
    <row r="9" ht="36.0" customHeight="1">
      <c r="B9" s="405"/>
      <c r="C9" s="405"/>
      <c r="D9" s="412" t="s">
        <v>382</v>
      </c>
      <c r="E9" s="412" t="s">
        <v>382</v>
      </c>
      <c r="F9" s="412" t="s">
        <v>382</v>
      </c>
      <c r="G9" s="405"/>
      <c r="H9" s="405"/>
      <c r="I9" s="405"/>
      <c r="J9" s="405"/>
      <c r="K9" s="412" t="s">
        <v>382</v>
      </c>
      <c r="L9" s="412" t="s">
        <v>382</v>
      </c>
      <c r="M9" s="412" t="s">
        <v>382</v>
      </c>
      <c r="N9" s="405"/>
      <c r="O9" s="405"/>
      <c r="P9" s="405"/>
      <c r="Q9" s="405"/>
      <c r="R9" s="412" t="s">
        <v>382</v>
      </c>
      <c r="S9" s="412" t="s">
        <v>382</v>
      </c>
      <c r="T9" s="412" t="s">
        <v>382</v>
      </c>
      <c r="U9" s="405"/>
      <c r="V9" s="405"/>
      <c r="W9" s="405"/>
      <c r="X9" s="405"/>
      <c r="Y9" s="412" t="s">
        <v>382</v>
      </c>
      <c r="Z9" s="412" t="s">
        <v>382</v>
      </c>
      <c r="AA9" s="412" t="s">
        <v>382</v>
      </c>
      <c r="AB9" s="405"/>
      <c r="AC9" s="405"/>
      <c r="AD9" s="405"/>
      <c r="AE9" s="405"/>
      <c r="AF9" s="412" t="s">
        <v>382</v>
      </c>
      <c r="AG9" s="412" t="s">
        <v>382</v>
      </c>
      <c r="AH9" s="412" t="s">
        <v>382</v>
      </c>
    </row>
    <row r="10" ht="36.0" customHeight="1">
      <c r="B10" s="405"/>
      <c r="C10" s="405"/>
      <c r="D10" s="405"/>
      <c r="E10" s="405"/>
      <c r="F10" s="405"/>
      <c r="G10" s="413" t="s">
        <v>18</v>
      </c>
      <c r="H10" s="408"/>
      <c r="I10" s="413" t="s">
        <v>18</v>
      </c>
      <c r="J10" s="408"/>
      <c r="K10" s="405"/>
      <c r="L10" s="405"/>
      <c r="M10" s="405"/>
      <c r="N10" s="405"/>
      <c r="O10" s="405"/>
      <c r="P10" s="405"/>
      <c r="Q10" s="405"/>
      <c r="R10" s="405"/>
      <c r="S10" s="405"/>
      <c r="T10" s="405"/>
      <c r="U10" s="405"/>
      <c r="V10" s="405"/>
      <c r="W10" s="405"/>
      <c r="X10" s="405"/>
      <c r="Y10" s="405"/>
      <c r="Z10" s="405"/>
      <c r="AA10" s="405"/>
      <c r="AB10" s="405"/>
      <c r="AC10" s="405"/>
      <c r="AD10" s="405"/>
      <c r="AE10" s="405"/>
      <c r="AF10" s="405"/>
      <c r="AG10" s="405"/>
      <c r="AH10" s="405"/>
    </row>
    <row r="11" ht="36.0" customHeight="1">
      <c r="B11" s="405"/>
      <c r="C11" s="405"/>
      <c r="D11" s="405"/>
      <c r="E11" s="405"/>
      <c r="F11" s="405"/>
      <c r="G11" s="405"/>
      <c r="H11" s="405"/>
      <c r="I11" s="405"/>
      <c r="J11" s="405"/>
      <c r="K11" s="405"/>
      <c r="L11" s="405"/>
      <c r="M11" s="405"/>
      <c r="N11" s="413" t="s">
        <v>40</v>
      </c>
      <c r="O11" s="408"/>
      <c r="P11" s="413" t="s">
        <v>40</v>
      </c>
      <c r="Q11" s="408"/>
      <c r="R11" s="405"/>
      <c r="S11" s="405"/>
      <c r="T11" s="405"/>
      <c r="U11" s="405"/>
      <c r="V11" s="405"/>
      <c r="W11" s="405"/>
      <c r="X11" s="405"/>
      <c r="Y11" s="405"/>
      <c r="Z11" s="405"/>
      <c r="AA11" s="405"/>
      <c r="AB11" s="405"/>
      <c r="AC11" s="405"/>
      <c r="AD11" s="405"/>
      <c r="AE11" s="405"/>
      <c r="AF11" s="405"/>
      <c r="AG11" s="405"/>
      <c r="AH11" s="405"/>
    </row>
    <row r="12" ht="36.0" customHeight="1">
      <c r="B12" s="414" t="s">
        <v>51</v>
      </c>
      <c r="C12" s="414" t="s">
        <v>51</v>
      </c>
      <c r="D12" s="405"/>
      <c r="E12" s="405"/>
      <c r="F12" s="405"/>
      <c r="G12" s="414" t="s">
        <v>51</v>
      </c>
      <c r="H12" s="414" t="s">
        <v>51</v>
      </c>
      <c r="I12" s="414" t="s">
        <v>51</v>
      </c>
      <c r="J12" s="414" t="s">
        <v>51</v>
      </c>
      <c r="K12" s="405"/>
      <c r="L12" s="405"/>
      <c r="M12" s="405"/>
      <c r="N12" s="414" t="s">
        <v>51</v>
      </c>
      <c r="O12" s="414" t="s">
        <v>51</v>
      </c>
      <c r="P12" s="414" t="s">
        <v>51</v>
      </c>
      <c r="Q12" s="414" t="s">
        <v>51</v>
      </c>
      <c r="R12" s="405"/>
      <c r="S12" s="405"/>
      <c r="T12" s="405"/>
      <c r="U12" s="414" t="s">
        <v>51</v>
      </c>
      <c r="V12" s="414" t="s">
        <v>51</v>
      </c>
      <c r="W12" s="414" t="s">
        <v>51</v>
      </c>
      <c r="X12" s="414" t="s">
        <v>51</v>
      </c>
      <c r="Y12" s="405"/>
      <c r="Z12" s="405"/>
      <c r="AA12" s="405"/>
      <c r="AB12" s="414" t="s">
        <v>51</v>
      </c>
      <c r="AC12" s="414" t="s">
        <v>51</v>
      </c>
      <c r="AD12" s="414" t="s">
        <v>51</v>
      </c>
      <c r="AE12" s="414" t="s">
        <v>51</v>
      </c>
      <c r="AF12" s="405"/>
      <c r="AG12" s="405"/>
      <c r="AH12" s="405"/>
    </row>
    <row r="13" ht="36.0" customHeight="1">
      <c r="B13" s="405"/>
      <c r="C13" s="405"/>
      <c r="D13" s="405"/>
      <c r="E13" s="405"/>
      <c r="F13" s="405"/>
      <c r="G13" s="405"/>
      <c r="H13" s="405"/>
      <c r="I13" s="405"/>
      <c r="J13" s="405"/>
      <c r="K13" s="405"/>
      <c r="L13" s="405"/>
      <c r="M13" s="405"/>
      <c r="N13" s="405"/>
      <c r="O13" s="405"/>
      <c r="P13" s="405"/>
      <c r="Q13" s="405"/>
      <c r="R13" s="405"/>
      <c r="S13" s="405"/>
      <c r="T13" s="405"/>
      <c r="U13" s="413" t="s">
        <v>20</v>
      </c>
      <c r="V13" s="408"/>
      <c r="W13" s="413" t="s">
        <v>20</v>
      </c>
      <c r="X13" s="408"/>
      <c r="Y13" s="405"/>
      <c r="Z13" s="405"/>
      <c r="AA13" s="405"/>
      <c r="AB13" s="405"/>
      <c r="AC13" s="405"/>
      <c r="AD13" s="405"/>
      <c r="AE13" s="405"/>
      <c r="AF13" s="405"/>
      <c r="AG13" s="405"/>
      <c r="AH13" s="405"/>
    </row>
    <row r="14" ht="36.0" customHeight="1">
      <c r="B14" s="413" t="s">
        <v>41</v>
      </c>
      <c r="C14" s="408"/>
      <c r="D14" s="405"/>
      <c r="E14" s="405"/>
      <c r="F14" s="405"/>
      <c r="G14" s="405"/>
      <c r="H14" s="405"/>
      <c r="I14" s="405"/>
      <c r="J14" s="405"/>
      <c r="K14" s="405"/>
      <c r="L14" s="405"/>
      <c r="M14" s="405"/>
      <c r="N14" s="405"/>
      <c r="O14" s="405"/>
      <c r="P14" s="405"/>
      <c r="Q14" s="405"/>
      <c r="R14" s="405"/>
      <c r="S14" s="405"/>
      <c r="T14" s="405"/>
      <c r="U14" s="405"/>
      <c r="V14" s="405"/>
      <c r="W14" s="405"/>
      <c r="X14" s="405"/>
      <c r="Y14" s="405"/>
      <c r="Z14" s="405"/>
      <c r="AA14" s="405"/>
      <c r="AB14" s="413" t="s">
        <v>41</v>
      </c>
      <c r="AC14" s="408"/>
      <c r="AD14" s="413" t="s">
        <v>41</v>
      </c>
      <c r="AE14" s="408"/>
      <c r="AF14" s="405"/>
      <c r="AG14" s="405"/>
      <c r="AH14" s="405"/>
    </row>
    <row r="15" ht="36.0" customHeight="1">
      <c r="B15" s="405"/>
      <c r="C15" s="405"/>
      <c r="D15" s="413" t="s">
        <v>7</v>
      </c>
      <c r="E15" s="407"/>
      <c r="F15" s="408"/>
      <c r="G15" s="405"/>
      <c r="H15" s="405"/>
      <c r="I15" s="405"/>
      <c r="J15" s="405"/>
      <c r="K15" s="413" t="s">
        <v>7</v>
      </c>
      <c r="L15" s="407"/>
      <c r="M15" s="408"/>
      <c r="N15" s="405"/>
      <c r="O15" s="405"/>
      <c r="P15" s="405"/>
      <c r="Q15" s="405"/>
      <c r="R15" s="413" t="s">
        <v>7</v>
      </c>
      <c r="S15" s="407"/>
      <c r="T15" s="408"/>
      <c r="U15" s="405"/>
      <c r="V15" s="405"/>
      <c r="W15" s="405"/>
      <c r="X15" s="405"/>
      <c r="Y15" s="413" t="s">
        <v>7</v>
      </c>
      <c r="Z15" s="407"/>
      <c r="AA15" s="408"/>
      <c r="AB15" s="405"/>
      <c r="AC15" s="405"/>
      <c r="AD15" s="405"/>
      <c r="AE15" s="405"/>
      <c r="AF15" s="413" t="s">
        <v>7</v>
      </c>
      <c r="AG15" s="407"/>
      <c r="AH15" s="408"/>
    </row>
    <row r="16" ht="36.0" customHeight="1">
      <c r="B16" s="411" t="s">
        <v>27</v>
      </c>
      <c r="C16" s="407"/>
      <c r="D16" s="407"/>
      <c r="E16" s="407"/>
      <c r="F16" s="408"/>
      <c r="G16" s="411" t="s">
        <v>27</v>
      </c>
      <c r="H16" s="407"/>
      <c r="I16" s="407"/>
      <c r="J16" s="407"/>
      <c r="K16" s="407"/>
      <c r="L16" s="407"/>
      <c r="M16" s="408"/>
      <c r="N16" s="411" t="s">
        <v>27</v>
      </c>
      <c r="O16" s="407"/>
      <c r="P16" s="407"/>
      <c r="Q16" s="407"/>
      <c r="R16" s="407"/>
      <c r="S16" s="407"/>
      <c r="T16" s="408"/>
      <c r="U16" s="411" t="s">
        <v>27</v>
      </c>
      <c r="V16" s="407"/>
      <c r="W16" s="407"/>
      <c r="X16" s="407"/>
      <c r="Y16" s="407"/>
      <c r="Z16" s="407"/>
      <c r="AA16" s="408"/>
      <c r="AB16" s="411" t="s">
        <v>27</v>
      </c>
      <c r="AC16" s="407"/>
      <c r="AD16" s="407"/>
      <c r="AE16" s="407"/>
      <c r="AF16" s="407"/>
      <c r="AG16" s="407"/>
      <c r="AH16" s="408"/>
    </row>
    <row r="17" ht="36.0" customHeight="1">
      <c r="B17" s="405"/>
      <c r="C17" s="405"/>
      <c r="D17" s="413" t="s">
        <v>73</v>
      </c>
      <c r="E17" s="407"/>
      <c r="F17" s="408"/>
      <c r="G17" s="405"/>
      <c r="H17" s="405"/>
      <c r="I17" s="405"/>
      <c r="J17" s="405"/>
      <c r="K17" s="413" t="s">
        <v>23</v>
      </c>
      <c r="L17" s="407"/>
      <c r="M17" s="408"/>
      <c r="N17" s="405"/>
      <c r="O17" s="405"/>
      <c r="P17" s="405"/>
      <c r="Q17" s="405"/>
      <c r="R17" s="413" t="s">
        <v>29</v>
      </c>
      <c r="S17" s="407"/>
      <c r="T17" s="408"/>
      <c r="U17" s="405"/>
      <c r="V17" s="405"/>
      <c r="W17" s="405"/>
      <c r="X17" s="405"/>
      <c r="Y17" s="413" t="s">
        <v>383</v>
      </c>
      <c r="Z17" s="407"/>
      <c r="AA17" s="408"/>
      <c r="AB17" s="405"/>
      <c r="AC17" s="405"/>
      <c r="AD17" s="405"/>
      <c r="AE17" s="405"/>
      <c r="AF17" s="413" t="s">
        <v>73</v>
      </c>
      <c r="AG17" s="407"/>
      <c r="AH17" s="408"/>
    </row>
    <row r="18" ht="36.0" customHeight="1">
      <c r="B18" s="415" t="s">
        <v>14</v>
      </c>
      <c r="C18" s="408"/>
      <c r="D18" s="405"/>
      <c r="E18" s="405"/>
      <c r="F18" s="405"/>
      <c r="G18" s="415" t="s">
        <v>14</v>
      </c>
      <c r="H18" s="407"/>
      <c r="I18" s="407"/>
      <c r="J18" s="408"/>
      <c r="K18" s="405"/>
      <c r="L18" s="405"/>
      <c r="M18" s="405"/>
      <c r="N18" s="415" t="s">
        <v>14</v>
      </c>
      <c r="O18" s="407"/>
      <c r="P18" s="407"/>
      <c r="Q18" s="408"/>
      <c r="R18" s="405"/>
      <c r="S18" s="405"/>
      <c r="T18" s="405"/>
      <c r="U18" s="415" t="s">
        <v>14</v>
      </c>
      <c r="V18" s="407"/>
      <c r="W18" s="407"/>
      <c r="X18" s="408"/>
      <c r="Y18" s="405"/>
      <c r="Z18" s="405"/>
      <c r="AA18" s="405"/>
      <c r="AB18" s="415" t="s">
        <v>14</v>
      </c>
      <c r="AC18" s="407"/>
      <c r="AD18" s="407"/>
      <c r="AE18" s="408"/>
      <c r="AF18" s="405"/>
      <c r="AG18" s="405"/>
      <c r="AH18" s="405"/>
    </row>
    <row r="19" ht="36.0" customHeight="1">
      <c r="B19" s="405"/>
      <c r="C19" s="405"/>
      <c r="D19" s="416" t="s">
        <v>63</v>
      </c>
      <c r="E19" s="416" t="s">
        <v>63</v>
      </c>
      <c r="F19" s="416" t="s">
        <v>63</v>
      </c>
      <c r="G19" s="405"/>
      <c r="H19" s="405"/>
      <c r="I19" s="405"/>
      <c r="J19" s="405"/>
      <c r="K19" s="416" t="s">
        <v>63</v>
      </c>
      <c r="L19" s="416" t="s">
        <v>63</v>
      </c>
      <c r="M19" s="416" t="s">
        <v>63</v>
      </c>
      <c r="N19" s="405"/>
      <c r="O19" s="405"/>
      <c r="P19" s="405"/>
      <c r="Q19" s="405"/>
      <c r="R19" s="416" t="s">
        <v>63</v>
      </c>
      <c r="S19" s="416" t="s">
        <v>63</v>
      </c>
      <c r="T19" s="416" t="s">
        <v>63</v>
      </c>
      <c r="U19" s="405"/>
      <c r="V19" s="405"/>
      <c r="W19" s="405"/>
      <c r="X19" s="405"/>
      <c r="Y19" s="416" t="s">
        <v>63</v>
      </c>
      <c r="Z19" s="416" t="s">
        <v>63</v>
      </c>
      <c r="AA19" s="416" t="s">
        <v>63</v>
      </c>
      <c r="AB19" s="405"/>
      <c r="AC19" s="405"/>
      <c r="AD19" s="405"/>
      <c r="AE19" s="405"/>
      <c r="AF19" s="416" t="s">
        <v>63</v>
      </c>
      <c r="AG19" s="416" t="s">
        <v>63</v>
      </c>
      <c r="AH19" s="416" t="s">
        <v>63</v>
      </c>
    </row>
    <row r="20" ht="36.0" customHeight="1">
      <c r="B20" s="413" t="s">
        <v>9</v>
      </c>
      <c r="C20" s="408"/>
      <c r="D20" s="417"/>
      <c r="E20" s="407"/>
      <c r="F20" s="408"/>
      <c r="G20" s="413" t="s">
        <v>9</v>
      </c>
      <c r="H20" s="407"/>
      <c r="I20" s="407"/>
      <c r="J20" s="408"/>
      <c r="K20" s="417"/>
      <c r="L20" s="407"/>
      <c r="M20" s="408"/>
      <c r="N20" s="413" t="s">
        <v>9</v>
      </c>
      <c r="O20" s="407"/>
      <c r="P20" s="407"/>
      <c r="Q20" s="408"/>
      <c r="R20" s="417"/>
      <c r="S20" s="407"/>
      <c r="T20" s="408"/>
      <c r="U20" s="413" t="s">
        <v>9</v>
      </c>
      <c r="V20" s="407"/>
      <c r="W20" s="407"/>
      <c r="X20" s="408"/>
      <c r="Y20" s="417"/>
      <c r="Z20" s="407"/>
      <c r="AA20" s="408"/>
      <c r="AB20" s="413" t="s">
        <v>9</v>
      </c>
      <c r="AC20" s="407"/>
      <c r="AD20" s="407"/>
      <c r="AE20" s="408"/>
      <c r="AF20" s="417"/>
      <c r="AG20" s="407"/>
      <c r="AH20" s="408"/>
    </row>
    <row r="21" ht="36.0" customHeight="1">
      <c r="B21" s="414" t="s">
        <v>65</v>
      </c>
      <c r="C21" s="414" t="s">
        <v>65</v>
      </c>
      <c r="D21" s="414" t="s">
        <v>65</v>
      </c>
      <c r="E21" s="414" t="s">
        <v>65</v>
      </c>
      <c r="F21" s="414" t="s">
        <v>65</v>
      </c>
      <c r="G21" s="414" t="s">
        <v>65</v>
      </c>
      <c r="H21" s="414" t="s">
        <v>65</v>
      </c>
      <c r="I21" s="414" t="s">
        <v>65</v>
      </c>
      <c r="J21" s="414" t="s">
        <v>65</v>
      </c>
      <c r="K21" s="414" t="s">
        <v>65</v>
      </c>
      <c r="L21" s="414" t="s">
        <v>65</v>
      </c>
      <c r="M21" s="414" t="s">
        <v>65</v>
      </c>
      <c r="N21" s="414" t="s">
        <v>65</v>
      </c>
      <c r="O21" s="414" t="s">
        <v>65</v>
      </c>
      <c r="P21" s="414" t="s">
        <v>65</v>
      </c>
      <c r="Q21" s="414" t="s">
        <v>65</v>
      </c>
      <c r="R21" s="414" t="s">
        <v>65</v>
      </c>
      <c r="S21" s="414" t="s">
        <v>65</v>
      </c>
      <c r="T21" s="414" t="s">
        <v>65</v>
      </c>
      <c r="U21" s="414" t="s">
        <v>65</v>
      </c>
      <c r="V21" s="414" t="s">
        <v>65</v>
      </c>
      <c r="W21" s="414" t="s">
        <v>65</v>
      </c>
      <c r="X21" s="414" t="s">
        <v>65</v>
      </c>
      <c r="Y21" s="414" t="s">
        <v>65</v>
      </c>
      <c r="Z21" s="414" t="s">
        <v>65</v>
      </c>
      <c r="AA21" s="414" t="s">
        <v>65</v>
      </c>
      <c r="AB21" s="414" t="s">
        <v>65</v>
      </c>
      <c r="AC21" s="414" t="s">
        <v>65</v>
      </c>
      <c r="AD21" s="414" t="s">
        <v>65</v>
      </c>
      <c r="AE21" s="414" t="s">
        <v>65</v>
      </c>
      <c r="AF21" s="414" t="s">
        <v>65</v>
      </c>
      <c r="AG21" s="414" t="s">
        <v>65</v>
      </c>
      <c r="AH21" s="414" t="s">
        <v>65</v>
      </c>
    </row>
    <row r="22">
      <c r="B22" s="405"/>
      <c r="C22" s="405"/>
      <c r="D22" s="405"/>
      <c r="E22" s="405"/>
      <c r="F22" s="405"/>
      <c r="G22" s="405"/>
      <c r="H22" s="405"/>
      <c r="I22" s="405"/>
      <c r="J22" s="405"/>
      <c r="K22" s="405"/>
      <c r="L22" s="405"/>
      <c r="M22" s="405"/>
      <c r="N22" s="405"/>
      <c r="O22" s="405"/>
      <c r="P22" s="405"/>
      <c r="Q22" s="405"/>
      <c r="R22" s="405"/>
      <c r="S22" s="405"/>
      <c r="T22" s="405"/>
      <c r="U22" s="405"/>
      <c r="V22" s="405"/>
      <c r="W22" s="405"/>
      <c r="X22" s="405"/>
      <c r="Y22" s="405"/>
      <c r="Z22" s="405"/>
      <c r="AA22" s="405"/>
      <c r="AB22" s="405"/>
      <c r="AC22" s="405"/>
      <c r="AD22" s="405"/>
      <c r="AE22" s="405"/>
      <c r="AF22" s="405"/>
      <c r="AG22" s="405"/>
      <c r="AH22" s="405"/>
    </row>
    <row r="23">
      <c r="B23" s="418" t="s">
        <v>35</v>
      </c>
      <c r="C23" s="407"/>
      <c r="D23" s="407"/>
      <c r="E23" s="407"/>
      <c r="F23" s="408"/>
      <c r="G23" s="418" t="s">
        <v>35</v>
      </c>
      <c r="H23" s="407"/>
      <c r="I23" s="407"/>
      <c r="J23" s="407"/>
      <c r="K23" s="407"/>
      <c r="L23" s="407"/>
      <c r="M23" s="408"/>
      <c r="N23" s="418" t="s">
        <v>35</v>
      </c>
      <c r="O23" s="407"/>
      <c r="P23" s="407"/>
      <c r="Q23" s="407"/>
      <c r="R23" s="407"/>
      <c r="S23" s="407"/>
      <c r="T23" s="408"/>
      <c r="U23" s="418" t="s">
        <v>35</v>
      </c>
      <c r="V23" s="407"/>
      <c r="W23" s="407"/>
      <c r="X23" s="407"/>
      <c r="Y23" s="407"/>
      <c r="Z23" s="407"/>
      <c r="AA23" s="408"/>
      <c r="AB23" s="418" t="s">
        <v>35</v>
      </c>
      <c r="AC23" s="407"/>
      <c r="AD23" s="407"/>
      <c r="AE23" s="407"/>
      <c r="AF23" s="407"/>
      <c r="AG23" s="407"/>
      <c r="AH23" s="408"/>
    </row>
    <row r="24">
      <c r="B24" s="405"/>
      <c r="C24" s="405"/>
      <c r="D24" s="418" t="s">
        <v>12</v>
      </c>
      <c r="E24" s="407"/>
      <c r="F24" s="408"/>
      <c r="G24" s="405"/>
      <c r="H24" s="405"/>
      <c r="I24" s="405"/>
      <c r="J24" s="405"/>
      <c r="K24" s="418" t="s">
        <v>12</v>
      </c>
      <c r="L24" s="407"/>
      <c r="M24" s="408"/>
      <c r="N24" s="405"/>
      <c r="O24" s="405"/>
      <c r="P24" s="405"/>
      <c r="Q24" s="405"/>
      <c r="R24" s="418" t="s">
        <v>12</v>
      </c>
      <c r="S24" s="407"/>
      <c r="T24" s="408"/>
      <c r="U24" s="405"/>
      <c r="V24" s="405"/>
      <c r="W24" s="405"/>
      <c r="X24" s="405"/>
      <c r="Y24" s="418" t="s">
        <v>12</v>
      </c>
      <c r="Z24" s="407"/>
      <c r="AA24" s="408"/>
      <c r="AB24" s="405"/>
      <c r="AC24" s="405"/>
      <c r="AD24" s="405"/>
      <c r="AE24" s="405"/>
      <c r="AF24" s="418" t="s">
        <v>12</v>
      </c>
      <c r="AG24" s="407"/>
      <c r="AH24" s="408"/>
    </row>
    <row r="25">
      <c r="B25" s="405"/>
      <c r="C25" s="405"/>
      <c r="D25" s="405"/>
      <c r="E25" s="418" t="s">
        <v>31</v>
      </c>
      <c r="F25" s="408"/>
      <c r="G25" s="405"/>
      <c r="H25" s="405"/>
      <c r="I25" s="405"/>
      <c r="J25" s="405"/>
      <c r="K25" s="405"/>
      <c r="L25" s="418" t="s">
        <v>31</v>
      </c>
      <c r="M25" s="408"/>
      <c r="N25" s="405"/>
      <c r="O25" s="405"/>
      <c r="P25" s="405"/>
      <c r="Q25" s="405"/>
      <c r="R25" s="405"/>
      <c r="S25" s="418" t="s">
        <v>31</v>
      </c>
      <c r="T25" s="408"/>
      <c r="U25" s="405"/>
      <c r="V25" s="405"/>
      <c r="W25" s="405"/>
      <c r="X25" s="405"/>
      <c r="Y25" s="405"/>
      <c r="Z25" s="418" t="s">
        <v>31</v>
      </c>
      <c r="AA25" s="408"/>
      <c r="AB25" s="405"/>
      <c r="AC25" s="405"/>
      <c r="AD25" s="405"/>
      <c r="AE25" s="405"/>
      <c r="AF25" s="405"/>
      <c r="AG25" s="418" t="s">
        <v>31</v>
      </c>
      <c r="AH25" s="408"/>
    </row>
    <row r="28">
      <c r="B28" s="342" t="s">
        <v>384</v>
      </c>
      <c r="C28" s="342"/>
      <c r="D28" s="342"/>
      <c r="E28" s="342"/>
      <c r="F28" s="342"/>
      <c r="G28" s="342"/>
      <c r="H28" s="342"/>
      <c r="I28" s="342"/>
      <c r="J28" s="342"/>
      <c r="K28" s="342"/>
      <c r="L28" s="342"/>
      <c r="M28" s="342"/>
      <c r="N28" s="342"/>
      <c r="O28" s="342"/>
      <c r="P28" s="342"/>
      <c r="Q28" s="342"/>
      <c r="R28" s="342"/>
      <c r="S28" s="342"/>
      <c r="T28" s="342"/>
      <c r="U28" s="342"/>
      <c r="V28" s="342"/>
      <c r="W28" s="342"/>
      <c r="X28" s="342"/>
      <c r="Y28" s="342"/>
      <c r="Z28" s="342"/>
      <c r="AA28" s="342"/>
      <c r="AB28" s="342"/>
      <c r="AC28" s="342"/>
      <c r="AD28" s="342"/>
      <c r="AE28" s="342"/>
      <c r="AF28" s="342"/>
      <c r="AG28" s="342"/>
      <c r="AH28" s="342"/>
    </row>
    <row r="30">
      <c r="B30" s="342" t="s">
        <v>385</v>
      </c>
      <c r="C30" s="342"/>
      <c r="D30" s="342"/>
      <c r="E30" s="342"/>
      <c r="F30" s="342"/>
      <c r="G30" s="342"/>
      <c r="H30" s="342"/>
      <c r="I30" s="342"/>
      <c r="J30" s="342"/>
      <c r="K30" s="342"/>
      <c r="L30" s="342"/>
      <c r="M30" s="342"/>
      <c r="N30" s="342"/>
      <c r="O30" s="342"/>
      <c r="P30" s="342"/>
      <c r="Q30" s="342"/>
      <c r="R30" s="342"/>
      <c r="S30" s="342"/>
      <c r="T30" s="342"/>
      <c r="U30" s="342"/>
      <c r="V30" s="342"/>
      <c r="W30" s="342"/>
      <c r="X30" s="342"/>
      <c r="Y30" s="342"/>
      <c r="Z30" s="342"/>
      <c r="AA30" s="342"/>
      <c r="AB30" s="342"/>
      <c r="AC30" s="342"/>
      <c r="AD30" s="342"/>
      <c r="AE30" s="342"/>
      <c r="AF30" s="342"/>
      <c r="AG30" s="342"/>
      <c r="AH30" s="342"/>
    </row>
    <row r="31">
      <c r="A31" s="426" t="s">
        <v>386</v>
      </c>
      <c r="B31" s="249">
        <f>COUNT_COLORED_MERGED(cal_curr!B5:B25)</f>
        <v>10</v>
      </c>
      <c r="C31" s="249">
        <f>COUNT_COLORED_MERGED(cal_curr!C5:C25)</f>
        <v>10</v>
      </c>
      <c r="D31" s="249">
        <f>COUNT_COLORED_MERGED(cal_curr!D5:D25)</f>
        <v>11</v>
      </c>
      <c r="E31" s="249">
        <f>COUNT_COLORED_MERGED(cal_curr!E5:E25)</f>
        <v>12</v>
      </c>
      <c r="F31" s="249">
        <f>COUNT_COLORED_MERGED(cal_curr!F5:F25)</f>
        <v>12</v>
      </c>
      <c r="G31" s="249">
        <f>COUNT_COLORED_MERGED(cal_curr!G5:G25)</f>
        <v>10</v>
      </c>
      <c r="H31" s="249">
        <f>COUNT_COLORED_MERGED(cal_curr!H5:H25)</f>
        <v>10</v>
      </c>
      <c r="I31" s="249">
        <f>COUNT_COLORED_MERGED(cal_curr!I5:I25)</f>
        <v>10</v>
      </c>
      <c r="J31" s="249">
        <f>COUNT_COLORED_MERGED(cal_curr!J5:J25)</f>
        <v>10</v>
      </c>
      <c r="K31" s="249">
        <f>COUNT_COLORED_MERGED(cal_curr!K5:K25)</f>
        <v>11</v>
      </c>
      <c r="L31" s="249">
        <f>COUNT_COLORED_MERGED(cal_curr!L5:L25)</f>
        <v>12</v>
      </c>
      <c r="M31" s="249">
        <f>COUNT_COLORED_MERGED(cal_curr!M5:M25)</f>
        <v>12</v>
      </c>
      <c r="N31" s="249">
        <f>COUNT_COLORED_MERGED(cal_curr!N5:N25)</f>
        <v>10</v>
      </c>
      <c r="O31" s="249">
        <f>COUNT_COLORED_MERGED(cal_curr!O5:O25)</f>
        <v>10</v>
      </c>
      <c r="P31" s="249">
        <f>COUNT_COLORED_MERGED(cal_curr!P5:P25)</f>
        <v>10</v>
      </c>
      <c r="Q31" s="249">
        <f>COUNT_COLORED_MERGED(cal_curr!Q5:Q25)</f>
        <v>10</v>
      </c>
      <c r="R31" s="249">
        <f>COUNT_COLORED_MERGED(cal_curr!R5:R25)</f>
        <v>11</v>
      </c>
      <c r="S31" s="249">
        <f>COUNT_COLORED_MERGED(cal_curr!S5:S25)</f>
        <v>12</v>
      </c>
      <c r="T31" s="249">
        <f>COUNT_COLORED_MERGED(cal_curr!T5:T25)</f>
        <v>12</v>
      </c>
      <c r="U31" s="249">
        <f>COUNT_COLORED_MERGED(cal_curr!U5:U25)</f>
        <v>10</v>
      </c>
      <c r="V31" s="249">
        <f>COUNT_COLORED_MERGED(cal_curr!V5:V25)</f>
        <v>10</v>
      </c>
      <c r="W31" s="249">
        <f>COUNT_COLORED_MERGED(cal_curr!W5:W25)</f>
        <v>10</v>
      </c>
      <c r="X31" s="249">
        <f>COUNT_COLORED_MERGED(cal_curr!X5:X25)</f>
        <v>10</v>
      </c>
      <c r="Y31" s="249">
        <f>COUNT_COLORED_MERGED(cal_curr!Y5:Y25)</f>
        <v>11</v>
      </c>
      <c r="Z31" s="249">
        <f>COUNT_COLORED_MERGED(cal_curr!Z5:Z25)</f>
        <v>12</v>
      </c>
      <c r="AA31" s="249">
        <f>COUNT_COLORED_MERGED(cal_curr!AA5:AA25)</f>
        <v>12</v>
      </c>
      <c r="AB31" s="249">
        <f>COUNT_COLORED_MERGED(cal_curr!AB5:AB25)</f>
        <v>10</v>
      </c>
      <c r="AC31" s="249">
        <f>COUNT_COLORED_MERGED(cal_curr!AC5:AC25)</f>
        <v>10</v>
      </c>
      <c r="AD31" s="249">
        <f>COUNT_COLORED_MERGED(cal_curr!AD5:AD25)</f>
        <v>10</v>
      </c>
      <c r="AE31" s="249">
        <f>COUNT_COLORED_MERGED(cal_curr!AE5:AE25)</f>
        <v>10</v>
      </c>
      <c r="AF31" s="249">
        <f>COUNT_COLORED_MERGED(cal_curr!AF5:AF25)</f>
        <v>11</v>
      </c>
      <c r="AG31" s="249">
        <f>COUNT_COLORED_MERGED(cal_curr!AG5:AG25)</f>
        <v>12</v>
      </c>
      <c r="AH31" s="249">
        <f>COUNT_COLORED_MERGED(cal_curr!AH5:AH25)</f>
        <v>12</v>
      </c>
    </row>
    <row r="32">
      <c r="A32" s="426" t="s">
        <v>387</v>
      </c>
      <c r="B32" s="258">
        <f t="shared" ref="B32:AH32" si="1">COUNT_COLORED_MERGED(B5:B25)</f>
        <v>10</v>
      </c>
      <c r="C32" s="258">
        <f t="shared" si="1"/>
        <v>10</v>
      </c>
      <c r="D32" s="258">
        <f t="shared" si="1"/>
        <v>11</v>
      </c>
      <c r="E32" s="258">
        <f t="shared" si="1"/>
        <v>12</v>
      </c>
      <c r="F32" s="258">
        <f t="shared" si="1"/>
        <v>12</v>
      </c>
      <c r="G32" s="258">
        <f t="shared" si="1"/>
        <v>10</v>
      </c>
      <c r="H32" s="258">
        <f t="shared" si="1"/>
        <v>10</v>
      </c>
      <c r="I32" s="258">
        <f t="shared" si="1"/>
        <v>10</v>
      </c>
      <c r="J32" s="258">
        <f t="shared" si="1"/>
        <v>10</v>
      </c>
      <c r="K32" s="258">
        <f t="shared" si="1"/>
        <v>11</v>
      </c>
      <c r="L32" s="258">
        <f t="shared" si="1"/>
        <v>12</v>
      </c>
      <c r="M32" s="258">
        <f t="shared" si="1"/>
        <v>12</v>
      </c>
      <c r="N32" s="258">
        <f t="shared" si="1"/>
        <v>10</v>
      </c>
      <c r="O32" s="258">
        <f t="shared" si="1"/>
        <v>10</v>
      </c>
      <c r="P32" s="258">
        <f t="shared" si="1"/>
        <v>10</v>
      </c>
      <c r="Q32" s="258">
        <f t="shared" si="1"/>
        <v>10</v>
      </c>
      <c r="R32" s="258">
        <f t="shared" si="1"/>
        <v>11</v>
      </c>
      <c r="S32" s="258">
        <f t="shared" si="1"/>
        <v>12</v>
      </c>
      <c r="T32" s="258">
        <f t="shared" si="1"/>
        <v>12</v>
      </c>
      <c r="U32" s="258">
        <f t="shared" si="1"/>
        <v>10</v>
      </c>
      <c r="V32" s="258">
        <f t="shared" si="1"/>
        <v>10</v>
      </c>
      <c r="W32" s="258">
        <f t="shared" si="1"/>
        <v>10</v>
      </c>
      <c r="X32" s="258">
        <f t="shared" si="1"/>
        <v>10</v>
      </c>
      <c r="Y32" s="258">
        <f t="shared" si="1"/>
        <v>11</v>
      </c>
      <c r="Z32" s="258">
        <f t="shared" si="1"/>
        <v>12</v>
      </c>
      <c r="AA32" s="258">
        <f t="shared" si="1"/>
        <v>12</v>
      </c>
      <c r="AB32" s="258">
        <f t="shared" si="1"/>
        <v>10</v>
      </c>
      <c r="AC32" s="258">
        <f t="shared" si="1"/>
        <v>10</v>
      </c>
      <c r="AD32" s="258">
        <f t="shared" si="1"/>
        <v>10</v>
      </c>
      <c r="AE32" s="258">
        <f t="shared" si="1"/>
        <v>10</v>
      </c>
      <c r="AF32" s="258">
        <f t="shared" si="1"/>
        <v>11</v>
      </c>
      <c r="AG32" s="258">
        <f t="shared" si="1"/>
        <v>12</v>
      </c>
      <c r="AH32" s="258">
        <f t="shared" si="1"/>
        <v>12</v>
      </c>
    </row>
    <row r="33">
      <c r="A33" s="426" t="s">
        <v>388</v>
      </c>
      <c r="B33" s="427">
        <f t="shared" ref="B33:AH33" si="2">(B32-B31)/B31</f>
        <v>0</v>
      </c>
      <c r="C33" s="427">
        <f t="shared" si="2"/>
        <v>0</v>
      </c>
      <c r="D33" s="427">
        <f t="shared" si="2"/>
        <v>0</v>
      </c>
      <c r="E33" s="427">
        <f t="shared" si="2"/>
        <v>0</v>
      </c>
      <c r="F33" s="427">
        <f t="shared" si="2"/>
        <v>0</v>
      </c>
      <c r="G33" s="427">
        <f t="shared" si="2"/>
        <v>0</v>
      </c>
      <c r="H33" s="427">
        <f t="shared" si="2"/>
        <v>0</v>
      </c>
      <c r="I33" s="427">
        <f t="shared" si="2"/>
        <v>0</v>
      </c>
      <c r="J33" s="427">
        <f t="shared" si="2"/>
        <v>0</v>
      </c>
      <c r="K33" s="427">
        <f t="shared" si="2"/>
        <v>0</v>
      </c>
      <c r="L33" s="427">
        <f t="shared" si="2"/>
        <v>0</v>
      </c>
      <c r="M33" s="427">
        <f t="shared" si="2"/>
        <v>0</v>
      </c>
      <c r="N33" s="427">
        <f t="shared" si="2"/>
        <v>0</v>
      </c>
      <c r="O33" s="427">
        <f t="shared" si="2"/>
        <v>0</v>
      </c>
      <c r="P33" s="427">
        <f t="shared" si="2"/>
        <v>0</v>
      </c>
      <c r="Q33" s="427">
        <f t="shared" si="2"/>
        <v>0</v>
      </c>
      <c r="R33" s="427">
        <f t="shared" si="2"/>
        <v>0</v>
      </c>
      <c r="S33" s="427">
        <f t="shared" si="2"/>
        <v>0</v>
      </c>
      <c r="T33" s="427">
        <f t="shared" si="2"/>
        <v>0</v>
      </c>
      <c r="U33" s="427">
        <f t="shared" si="2"/>
        <v>0</v>
      </c>
      <c r="V33" s="427">
        <f t="shared" si="2"/>
        <v>0</v>
      </c>
      <c r="W33" s="427">
        <f t="shared" si="2"/>
        <v>0</v>
      </c>
      <c r="X33" s="427">
        <f t="shared" si="2"/>
        <v>0</v>
      </c>
      <c r="Y33" s="427">
        <f t="shared" si="2"/>
        <v>0</v>
      </c>
      <c r="Z33" s="427">
        <f t="shared" si="2"/>
        <v>0</v>
      </c>
      <c r="AA33" s="427">
        <f t="shared" si="2"/>
        <v>0</v>
      </c>
      <c r="AB33" s="427">
        <f t="shared" si="2"/>
        <v>0</v>
      </c>
      <c r="AC33" s="427">
        <f t="shared" si="2"/>
        <v>0</v>
      </c>
      <c r="AD33" s="427">
        <f t="shared" si="2"/>
        <v>0</v>
      </c>
      <c r="AE33" s="427">
        <f t="shared" si="2"/>
        <v>0</v>
      </c>
      <c r="AF33" s="427">
        <f t="shared" si="2"/>
        <v>0</v>
      </c>
      <c r="AG33" s="427">
        <f t="shared" si="2"/>
        <v>0</v>
      </c>
      <c r="AH33" s="427">
        <f t="shared" si="2"/>
        <v>0</v>
      </c>
    </row>
    <row r="34">
      <c r="B34" s="393"/>
    </row>
    <row r="35">
      <c r="B35" s="342" t="s">
        <v>389</v>
      </c>
      <c r="C35" s="342"/>
      <c r="D35" s="342"/>
      <c r="E35" s="342"/>
      <c r="F35" s="342"/>
      <c r="G35" s="342"/>
      <c r="H35" s="342"/>
      <c r="I35" s="342"/>
      <c r="J35" s="342"/>
      <c r="K35" s="342"/>
      <c r="L35" s="342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0"/>
      <c r="AB35" s="250"/>
      <c r="AC35" s="250"/>
      <c r="AD35" s="250"/>
      <c r="AE35" s="250"/>
      <c r="AF35" s="250"/>
      <c r="AG35" s="250"/>
      <c r="AH35" s="250"/>
    </row>
    <row r="36">
      <c r="E36" s="428" t="s">
        <v>386</v>
      </c>
      <c r="H36" s="428" t="s">
        <v>387</v>
      </c>
      <c r="K36" s="428" t="s">
        <v>388</v>
      </c>
    </row>
    <row r="37">
      <c r="A37" s="429"/>
      <c r="B37" s="429"/>
      <c r="C37" s="430" t="s">
        <v>390</v>
      </c>
      <c r="E37" s="430" t="s">
        <v>391</v>
      </c>
      <c r="F37" s="430" t="s">
        <v>392</v>
      </c>
      <c r="H37" s="430" t="s">
        <v>391</v>
      </c>
      <c r="I37" s="430" t="s">
        <v>392</v>
      </c>
      <c r="K37" s="430" t="s">
        <v>391</v>
      </c>
      <c r="L37" s="430" t="s">
        <v>392</v>
      </c>
      <c r="M37" s="429"/>
      <c r="N37" s="429"/>
      <c r="AH37" s="429"/>
      <c r="AI37" s="429"/>
    </row>
    <row r="38">
      <c r="C38" s="431" t="s">
        <v>393</v>
      </c>
      <c r="D38" s="249"/>
      <c r="E38" s="347" t="str">
        <f>ECOGAINS_CAL_COUNTS(sim_refresh!$A$1)</f>
        <v/>
      </c>
      <c r="F38" s="347" t="s">
        <v>394</v>
      </c>
      <c r="G38" s="249" t="s">
        <v>394</v>
      </c>
      <c r="H38" s="347" t="s">
        <v>394</v>
      </c>
      <c r="I38" s="347" t="s">
        <v>394</v>
      </c>
      <c r="J38" s="249" t="s">
        <v>394</v>
      </c>
      <c r="K38" s="347" t="s">
        <v>394</v>
      </c>
      <c r="L38" s="432" t="str">
        <f>iferror((F38-I38)/F38, "")</f>
        <v/>
      </c>
      <c r="M38" s="249"/>
    </row>
    <row r="39">
      <c r="C39" s="431" t="s">
        <v>341</v>
      </c>
      <c r="D39" s="249"/>
      <c r="E39" s="347">
        <v>2.0</v>
      </c>
      <c r="F39" s="347">
        <v>4.0</v>
      </c>
      <c r="G39" s="249" t="s">
        <v>394</v>
      </c>
      <c r="H39" s="347">
        <v>2.0</v>
      </c>
      <c r="I39" s="347">
        <v>4.0</v>
      </c>
      <c r="J39" s="249" t="s">
        <v>394</v>
      </c>
      <c r="K39" s="347" t="s">
        <v>395</v>
      </c>
      <c r="L39" s="432">
        <f t="shared" ref="L39:L60" si="3">iferror((I39-F39)/F39, "")</f>
        <v>0</v>
      </c>
      <c r="M39" s="249"/>
    </row>
    <row r="40">
      <c r="C40" s="431" t="s">
        <v>206</v>
      </c>
      <c r="D40" s="249"/>
      <c r="E40" s="347">
        <v>1.0</v>
      </c>
      <c r="F40" s="347">
        <v>3.0</v>
      </c>
      <c r="G40" s="249" t="s">
        <v>394</v>
      </c>
      <c r="H40" s="347">
        <v>1.0</v>
      </c>
      <c r="I40" s="347">
        <v>3.0</v>
      </c>
      <c r="J40" s="249" t="s">
        <v>394</v>
      </c>
      <c r="K40" s="347" t="s">
        <v>395</v>
      </c>
      <c r="L40" s="432">
        <f t="shared" si="3"/>
        <v>0</v>
      </c>
      <c r="M40" s="249"/>
    </row>
    <row r="41">
      <c r="C41" s="431" t="s">
        <v>338</v>
      </c>
      <c r="D41" s="249"/>
      <c r="E41" s="347">
        <v>2.0</v>
      </c>
      <c r="F41" s="347">
        <v>4.0</v>
      </c>
      <c r="G41" s="249" t="s">
        <v>394</v>
      </c>
      <c r="H41" s="347">
        <v>2.0</v>
      </c>
      <c r="I41" s="347">
        <v>4.0</v>
      </c>
      <c r="J41" s="249" t="s">
        <v>394</v>
      </c>
      <c r="K41" s="347" t="s">
        <v>395</v>
      </c>
      <c r="L41" s="432">
        <f t="shared" si="3"/>
        <v>0</v>
      </c>
      <c r="M41" s="249"/>
    </row>
    <row r="42">
      <c r="C42" s="431" t="s">
        <v>396</v>
      </c>
      <c r="D42" s="249"/>
      <c r="E42" s="347" t="s">
        <v>394</v>
      </c>
      <c r="F42" s="347" t="s">
        <v>394</v>
      </c>
      <c r="G42" s="249" t="s">
        <v>394</v>
      </c>
      <c r="H42" s="347" t="s">
        <v>394</v>
      </c>
      <c r="I42" s="347" t="s">
        <v>394</v>
      </c>
      <c r="J42" s="249" t="s">
        <v>394</v>
      </c>
      <c r="K42" s="347" t="s">
        <v>394</v>
      </c>
      <c r="L42" s="432" t="str">
        <f t="shared" si="3"/>
        <v/>
      </c>
      <c r="M42" s="249"/>
    </row>
    <row r="43">
      <c r="C43" s="431" t="s">
        <v>397</v>
      </c>
      <c r="D43" s="249"/>
      <c r="E43" s="347" t="s">
        <v>394</v>
      </c>
      <c r="F43" s="347" t="s">
        <v>394</v>
      </c>
      <c r="G43" s="249" t="s">
        <v>394</v>
      </c>
      <c r="H43" s="347" t="s">
        <v>394</v>
      </c>
      <c r="I43" s="347" t="s">
        <v>394</v>
      </c>
      <c r="J43" s="249" t="s">
        <v>394</v>
      </c>
      <c r="K43" s="347" t="s">
        <v>394</v>
      </c>
      <c r="L43" s="432" t="str">
        <f t="shared" si="3"/>
        <v/>
      </c>
      <c r="M43" s="249"/>
    </row>
    <row r="44">
      <c r="C44" s="431" t="s">
        <v>398</v>
      </c>
      <c r="D44" s="249"/>
      <c r="E44" s="347">
        <v>21.0</v>
      </c>
      <c r="F44" s="347">
        <v>21.0</v>
      </c>
      <c r="G44" s="249" t="s">
        <v>394</v>
      </c>
      <c r="H44" s="347">
        <v>21.0</v>
      </c>
      <c r="I44" s="347">
        <v>21.0</v>
      </c>
      <c r="J44" s="249" t="s">
        <v>394</v>
      </c>
      <c r="K44" s="347" t="s">
        <v>395</v>
      </c>
      <c r="L44" s="432">
        <f t="shared" si="3"/>
        <v>0</v>
      </c>
      <c r="M44" s="249"/>
    </row>
    <row r="45">
      <c r="C45" s="431" t="s">
        <v>51</v>
      </c>
      <c r="D45" s="249"/>
      <c r="E45" s="347">
        <v>12.0</v>
      </c>
      <c r="F45" s="347">
        <v>12.0</v>
      </c>
      <c r="G45" s="249" t="s">
        <v>394</v>
      </c>
      <c r="H45" s="347">
        <v>12.0</v>
      </c>
      <c r="I45" s="347">
        <v>12.0</v>
      </c>
      <c r="J45" s="249" t="s">
        <v>394</v>
      </c>
      <c r="K45" s="347" t="s">
        <v>395</v>
      </c>
      <c r="L45" s="432">
        <f t="shared" si="3"/>
        <v>0</v>
      </c>
      <c r="M45" s="249"/>
    </row>
    <row r="46">
      <c r="C46" s="431" t="s">
        <v>9</v>
      </c>
      <c r="D46" s="249"/>
      <c r="E46" s="347">
        <v>4.0</v>
      </c>
      <c r="F46" s="347">
        <v>14.0</v>
      </c>
      <c r="G46" s="249" t="s">
        <v>394</v>
      </c>
      <c r="H46" s="347">
        <v>4.0</v>
      </c>
      <c r="I46" s="347">
        <v>14.0</v>
      </c>
      <c r="J46" s="249" t="s">
        <v>394</v>
      </c>
      <c r="K46" s="347" t="s">
        <v>395</v>
      </c>
      <c r="L46" s="432">
        <f t="shared" si="3"/>
        <v>0</v>
      </c>
      <c r="M46" s="249"/>
    </row>
    <row r="47">
      <c r="C47" s="431" t="s">
        <v>401</v>
      </c>
      <c r="D47" s="249"/>
      <c r="E47" s="347">
        <v>2.0</v>
      </c>
      <c r="F47" s="347">
        <v>6.0</v>
      </c>
      <c r="G47" s="249" t="s">
        <v>394</v>
      </c>
      <c r="H47" s="347">
        <v>1.0</v>
      </c>
      <c r="I47" s="347">
        <v>3.0</v>
      </c>
      <c r="J47" s="249" t="s">
        <v>394</v>
      </c>
      <c r="K47" s="347" t="s">
        <v>403</v>
      </c>
      <c r="L47" s="432">
        <f t="shared" si="3"/>
        <v>-0.5</v>
      </c>
      <c r="M47" s="249"/>
    </row>
    <row r="48">
      <c r="C48" s="431" t="s">
        <v>7</v>
      </c>
      <c r="D48" s="249"/>
      <c r="E48" s="347">
        <v>3.0</v>
      </c>
      <c r="F48" s="347">
        <v>9.0</v>
      </c>
      <c r="G48" s="249" t="s">
        <v>394</v>
      </c>
      <c r="H48" s="347">
        <v>3.0</v>
      </c>
      <c r="I48" s="347">
        <v>9.0</v>
      </c>
      <c r="J48" s="249" t="s">
        <v>394</v>
      </c>
      <c r="K48" s="347" t="s">
        <v>395</v>
      </c>
      <c r="L48" s="432">
        <f t="shared" si="3"/>
        <v>0</v>
      </c>
      <c r="M48" s="249"/>
    </row>
    <row r="49">
      <c r="C49" s="431" t="s">
        <v>20</v>
      </c>
      <c r="D49" s="249"/>
      <c r="E49" s="347">
        <v>1.0</v>
      </c>
      <c r="F49" s="347">
        <v>2.0</v>
      </c>
      <c r="G49" s="249" t="s">
        <v>394</v>
      </c>
      <c r="H49" s="347">
        <v>1.0</v>
      </c>
      <c r="I49" s="347">
        <v>2.0</v>
      </c>
      <c r="J49" s="249" t="s">
        <v>394</v>
      </c>
      <c r="K49" s="347" t="s">
        <v>395</v>
      </c>
      <c r="L49" s="432">
        <f t="shared" si="3"/>
        <v>0</v>
      </c>
      <c r="M49" s="249"/>
    </row>
    <row r="50">
      <c r="C50" s="431" t="s">
        <v>411</v>
      </c>
      <c r="D50" s="249"/>
      <c r="E50" s="347" t="s">
        <v>394</v>
      </c>
      <c r="F50" s="347" t="s">
        <v>394</v>
      </c>
      <c r="G50" s="249" t="s">
        <v>394</v>
      </c>
      <c r="H50" s="347" t="s">
        <v>394</v>
      </c>
      <c r="I50" s="347" t="s">
        <v>394</v>
      </c>
      <c r="J50" s="249" t="s">
        <v>394</v>
      </c>
      <c r="K50" s="347" t="s">
        <v>394</v>
      </c>
      <c r="L50" s="432" t="str">
        <f t="shared" si="3"/>
        <v/>
      </c>
      <c r="M50" s="249"/>
    </row>
    <row r="51">
      <c r="C51" s="431" t="s">
        <v>73</v>
      </c>
      <c r="D51" s="249"/>
      <c r="E51" s="347">
        <v>0.0</v>
      </c>
      <c r="F51" s="347">
        <v>0.0</v>
      </c>
      <c r="G51" s="249" t="s">
        <v>394</v>
      </c>
      <c r="H51" s="347">
        <v>1.0</v>
      </c>
      <c r="I51" s="347">
        <v>3.0</v>
      </c>
      <c r="J51" s="249" t="s">
        <v>394</v>
      </c>
      <c r="K51" s="347" t="s">
        <v>387</v>
      </c>
      <c r="L51" s="432" t="str">
        <f t="shared" si="3"/>
        <v/>
      </c>
      <c r="M51" s="249"/>
    </row>
    <row r="52">
      <c r="C52" s="431" t="s">
        <v>329</v>
      </c>
      <c r="D52" s="249"/>
      <c r="E52" s="347">
        <v>1.0</v>
      </c>
      <c r="F52" s="347">
        <v>2.0</v>
      </c>
      <c r="G52" s="249" t="s">
        <v>394</v>
      </c>
      <c r="H52" s="347">
        <v>1.0</v>
      </c>
      <c r="I52" s="347">
        <v>2.0</v>
      </c>
      <c r="J52" s="249" t="s">
        <v>394</v>
      </c>
      <c r="K52" s="347" t="s">
        <v>395</v>
      </c>
      <c r="L52" s="432">
        <f t="shared" si="3"/>
        <v>0</v>
      </c>
      <c r="M52" s="249"/>
    </row>
    <row r="53">
      <c r="C53" s="431" t="s">
        <v>151</v>
      </c>
      <c r="D53" s="249"/>
      <c r="E53" s="347">
        <v>0.0</v>
      </c>
      <c r="F53" s="347">
        <v>0.0</v>
      </c>
      <c r="G53" s="249" t="s">
        <v>394</v>
      </c>
      <c r="H53" s="347">
        <v>0.0</v>
      </c>
      <c r="I53" s="347">
        <v>0.0</v>
      </c>
      <c r="J53" s="249" t="s">
        <v>394</v>
      </c>
      <c r="K53" s="347" t="s">
        <v>394</v>
      </c>
      <c r="L53" s="432" t="str">
        <f t="shared" si="3"/>
        <v/>
      </c>
      <c r="M53" s="249"/>
    </row>
    <row r="54">
      <c r="C54" s="431" t="s">
        <v>418</v>
      </c>
      <c r="D54" s="249"/>
      <c r="E54" s="347" t="s">
        <v>394</v>
      </c>
      <c r="F54" s="347" t="s">
        <v>394</v>
      </c>
      <c r="G54" s="249" t="s">
        <v>394</v>
      </c>
      <c r="H54" s="347" t="s">
        <v>394</v>
      </c>
      <c r="I54" s="347" t="s">
        <v>394</v>
      </c>
      <c r="J54" s="249" t="s">
        <v>394</v>
      </c>
      <c r="K54" s="347" t="s">
        <v>394</v>
      </c>
      <c r="L54" s="432" t="str">
        <f t="shared" si="3"/>
        <v/>
      </c>
      <c r="M54" s="249"/>
    </row>
    <row r="55">
      <c r="C55" s="431" t="s">
        <v>413</v>
      </c>
      <c r="D55" s="249"/>
      <c r="E55" s="347" t="s">
        <v>394</v>
      </c>
      <c r="F55" s="347" t="s">
        <v>394</v>
      </c>
      <c r="G55" s="249" t="s">
        <v>394</v>
      </c>
      <c r="H55" s="347" t="s">
        <v>394</v>
      </c>
      <c r="I55" s="347" t="s">
        <v>394</v>
      </c>
      <c r="J55" s="249" t="s">
        <v>394</v>
      </c>
      <c r="K55" s="347" t="s">
        <v>394</v>
      </c>
      <c r="L55" s="432" t="str">
        <f t="shared" si="3"/>
        <v/>
      </c>
      <c r="M55" s="249"/>
    </row>
    <row r="56">
      <c r="C56" s="431" t="s">
        <v>63</v>
      </c>
      <c r="D56" s="249"/>
      <c r="E56" s="347">
        <v>9.0</v>
      </c>
      <c r="F56" s="347">
        <v>9.0</v>
      </c>
      <c r="G56" s="249" t="s">
        <v>394</v>
      </c>
      <c r="H56" s="347">
        <v>9.0</v>
      </c>
      <c r="I56" s="347">
        <v>9.0</v>
      </c>
      <c r="J56" s="249" t="s">
        <v>394</v>
      </c>
      <c r="K56" s="347" t="s">
        <v>395</v>
      </c>
      <c r="L56" s="432">
        <f t="shared" si="3"/>
        <v>0</v>
      </c>
      <c r="M56" s="249"/>
    </row>
    <row r="57">
      <c r="C57" s="431" t="s">
        <v>15</v>
      </c>
      <c r="D57" s="249"/>
      <c r="E57" s="347" t="s">
        <v>394</v>
      </c>
      <c r="F57" s="347" t="s">
        <v>394</v>
      </c>
      <c r="G57" s="249" t="s">
        <v>394</v>
      </c>
      <c r="H57" s="347" t="s">
        <v>394</v>
      </c>
      <c r="I57" s="347" t="s">
        <v>394</v>
      </c>
      <c r="J57" s="249" t="s">
        <v>394</v>
      </c>
      <c r="K57" s="347" t="s">
        <v>394</v>
      </c>
      <c r="L57" s="432" t="str">
        <f t="shared" si="3"/>
        <v/>
      </c>
      <c r="M57" s="249"/>
    </row>
    <row r="58">
      <c r="C58" s="431" t="s">
        <v>16</v>
      </c>
      <c r="D58" s="249"/>
      <c r="E58" s="347" t="s">
        <v>394</v>
      </c>
      <c r="F58" s="347" t="s">
        <v>394</v>
      </c>
      <c r="G58" s="249" t="s">
        <v>394</v>
      </c>
      <c r="H58" s="347" t="s">
        <v>394</v>
      </c>
      <c r="I58" s="347" t="s">
        <v>394</v>
      </c>
      <c r="J58" s="249" t="s">
        <v>394</v>
      </c>
      <c r="K58" s="347" t="s">
        <v>394</v>
      </c>
      <c r="L58" s="432" t="str">
        <f t="shared" si="3"/>
        <v/>
      </c>
      <c r="M58" s="249"/>
    </row>
    <row r="59">
      <c r="C59" s="431" t="s">
        <v>42</v>
      </c>
      <c r="D59" s="249"/>
      <c r="E59" s="347">
        <v>9.0</v>
      </c>
      <c r="F59" s="347">
        <v>9.0</v>
      </c>
      <c r="G59" s="249" t="s">
        <v>394</v>
      </c>
      <c r="H59" s="347">
        <v>9.0</v>
      </c>
      <c r="I59" s="347">
        <v>9.0</v>
      </c>
      <c r="J59" s="249" t="s">
        <v>394</v>
      </c>
      <c r="K59" s="347" t="s">
        <v>395</v>
      </c>
      <c r="L59" s="432">
        <f t="shared" si="3"/>
        <v>0</v>
      </c>
      <c r="M59" s="249"/>
    </row>
    <row r="60">
      <c r="C60" s="431" t="s">
        <v>414</v>
      </c>
      <c r="D60" s="249"/>
      <c r="E60" s="347" t="s">
        <v>394</v>
      </c>
      <c r="F60" s="347" t="s">
        <v>394</v>
      </c>
      <c r="G60" s="249" t="s">
        <v>394</v>
      </c>
      <c r="H60" s="347" t="s">
        <v>394</v>
      </c>
      <c r="I60" s="347" t="s">
        <v>394</v>
      </c>
      <c r="J60" s="249" t="s">
        <v>394</v>
      </c>
      <c r="K60" s="347" t="s">
        <v>394</v>
      </c>
      <c r="L60" s="432" t="str">
        <f t="shared" si="3"/>
        <v/>
      </c>
      <c r="M60" s="249"/>
    </row>
    <row r="61">
      <c r="C61" s="431" t="s">
        <v>14</v>
      </c>
      <c r="D61" s="249"/>
      <c r="E61" s="347">
        <v>4.0</v>
      </c>
      <c r="F61" s="347">
        <v>14.0</v>
      </c>
      <c r="G61" s="249" t="s">
        <v>394</v>
      </c>
      <c r="H61" s="347">
        <v>4.0</v>
      </c>
      <c r="I61" s="347">
        <v>14.0</v>
      </c>
      <c r="J61" s="249" t="s">
        <v>394</v>
      </c>
      <c r="K61" s="347" t="s">
        <v>395</v>
      </c>
      <c r="L61" s="347" t="s">
        <v>387</v>
      </c>
      <c r="M61" s="249"/>
    </row>
    <row r="62">
      <c r="C62" s="431" t="s">
        <v>415</v>
      </c>
      <c r="D62" s="249"/>
      <c r="E62" s="347" t="s">
        <v>394</v>
      </c>
      <c r="F62" s="347" t="s">
        <v>394</v>
      </c>
      <c r="G62" s="249" t="s">
        <v>394</v>
      </c>
      <c r="H62" s="347" t="s">
        <v>394</v>
      </c>
      <c r="I62" s="347" t="s">
        <v>394</v>
      </c>
      <c r="J62" s="249" t="s">
        <v>394</v>
      </c>
      <c r="K62" s="347" t="s">
        <v>394</v>
      </c>
      <c r="L62" s="347"/>
      <c r="M62" s="249"/>
    </row>
    <row r="63">
      <c r="D63" s="249"/>
      <c r="E63" s="249"/>
      <c r="F63" s="249"/>
      <c r="G63" s="249"/>
      <c r="H63" s="249"/>
      <c r="I63" s="249"/>
      <c r="J63" s="249"/>
      <c r="K63" s="249"/>
      <c r="L63" s="249"/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conditionalFormatting sqref="C38:C62 E38:F62 H38:I62 K38:L62">
    <cfRule type="expression" dxfId="5" priority="1">
      <formula>ISEVEN(ROW()-10+1)</formula>
    </cfRule>
  </conditionalFormatting>
  <conditionalFormatting sqref="B33:AH33">
    <cfRule type="colorScale" priority="2">
      <colorScale>
        <cfvo type="min"/>
        <cfvo type="formula" val="0"/>
        <cfvo type="max"/>
        <color rgb="FFF4CCCC"/>
        <color rgb="FFFFFFFF"/>
        <color rgb="FFD9EAD3"/>
      </colorScale>
    </cfRule>
  </conditionalFormatting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5"/>
    <col customWidth="1" min="3" max="3" width="9.13"/>
    <col customWidth="1" min="7" max="19" width="3.75"/>
    <col customWidth="1" min="20" max="20" width="3.63"/>
    <col customWidth="1" min="21" max="21" width="10.5"/>
    <col customWidth="1" min="22" max="22" width="3.63"/>
    <col customWidth="1" min="23" max="45" width="3.88"/>
    <col customWidth="1" min="46" max="46" width="4.5"/>
  </cols>
  <sheetData>
    <row r="2">
      <c r="B2" s="352" t="s">
        <v>106</v>
      </c>
      <c r="C2" s="352"/>
      <c r="E2" s="1" t="s">
        <v>399</v>
      </c>
    </row>
    <row r="3">
      <c r="B3" s="433" t="s">
        <v>400</v>
      </c>
      <c r="C3" s="354"/>
    </row>
    <row r="4">
      <c r="B4" s="433" t="s">
        <v>402</v>
      </c>
      <c r="C4" s="355"/>
    </row>
    <row r="5">
      <c r="B5" s="433" t="s">
        <v>404</v>
      </c>
      <c r="C5" s="434"/>
    </row>
    <row r="7">
      <c r="G7" s="393" t="s">
        <v>405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V7" s="1"/>
      <c r="W7" s="393" t="s">
        <v>406</v>
      </c>
    </row>
    <row r="8" ht="120.75" customHeight="1">
      <c r="C8" s="333" t="s">
        <v>407</v>
      </c>
      <c r="D8" s="163" t="s">
        <v>408</v>
      </c>
      <c r="E8" s="163" t="s">
        <v>409</v>
      </c>
      <c r="F8" s="333" t="s">
        <v>410</v>
      </c>
      <c r="G8" s="435" t="s">
        <v>76</v>
      </c>
      <c r="H8" s="435" t="s">
        <v>46</v>
      </c>
      <c r="I8" s="435" t="s">
        <v>121</v>
      </c>
      <c r="J8" s="435" t="s">
        <v>47</v>
      </c>
      <c r="K8" s="435" t="s">
        <v>48</v>
      </c>
      <c r="L8" s="435" t="s">
        <v>50</v>
      </c>
      <c r="M8" s="435" t="s">
        <v>52</v>
      </c>
      <c r="N8" s="435" t="s">
        <v>53</v>
      </c>
      <c r="O8" s="435" t="s">
        <v>54</v>
      </c>
      <c r="P8" s="435" t="s">
        <v>55</v>
      </c>
      <c r="Q8" s="435" t="s">
        <v>56</v>
      </c>
      <c r="R8" s="435" t="s">
        <v>57</v>
      </c>
      <c r="S8" s="435" t="s">
        <v>58</v>
      </c>
      <c r="U8" s="163" t="s">
        <v>412</v>
      </c>
      <c r="W8" s="246" t="s">
        <v>393</v>
      </c>
      <c r="X8" s="246" t="s">
        <v>341</v>
      </c>
      <c r="Y8" s="246" t="s">
        <v>206</v>
      </c>
      <c r="Z8" s="246" t="s">
        <v>338</v>
      </c>
      <c r="AA8" s="246" t="s">
        <v>396</v>
      </c>
      <c r="AB8" s="246" t="s">
        <v>397</v>
      </c>
      <c r="AC8" s="246" t="s">
        <v>398</v>
      </c>
      <c r="AD8" s="246" t="s">
        <v>51</v>
      </c>
      <c r="AE8" s="246" t="s">
        <v>9</v>
      </c>
      <c r="AF8" s="246" t="s">
        <v>401</v>
      </c>
      <c r="AG8" s="246" t="s">
        <v>7</v>
      </c>
      <c r="AH8" s="246" t="s">
        <v>411</v>
      </c>
      <c r="AI8" s="246" t="s">
        <v>73</v>
      </c>
      <c r="AJ8" s="246" t="s">
        <v>329</v>
      </c>
      <c r="AK8" s="246" t="s">
        <v>151</v>
      </c>
      <c r="AL8" s="246" t="s">
        <v>413</v>
      </c>
      <c r="AM8" s="246" t="s">
        <v>63</v>
      </c>
      <c r="AN8" s="246" t="s">
        <v>15</v>
      </c>
      <c r="AO8" s="246" t="s">
        <v>16</v>
      </c>
      <c r="AP8" s="246" t="s">
        <v>42</v>
      </c>
      <c r="AQ8" s="246" t="s">
        <v>414</v>
      </c>
      <c r="AR8" s="246" t="s">
        <v>14</v>
      </c>
      <c r="AS8" s="246" t="s">
        <v>415</v>
      </c>
    </row>
    <row r="9">
      <c r="C9" s="1">
        <v>1.0</v>
      </c>
      <c r="D9" s="1">
        <v>100.0</v>
      </c>
      <c r="E9" s="258" t="s">
        <v>416</v>
      </c>
      <c r="F9" s="258">
        <v>12.0</v>
      </c>
      <c r="G9" s="258">
        <v>100.0</v>
      </c>
      <c r="H9" s="258">
        <v>50.0</v>
      </c>
      <c r="I9" s="258">
        <v>0.0</v>
      </c>
      <c r="J9" s="258">
        <v>12.0</v>
      </c>
      <c r="K9" s="258">
        <v>5.0</v>
      </c>
      <c r="L9" s="258">
        <v>2.0</v>
      </c>
      <c r="M9" s="258">
        <v>5.0</v>
      </c>
      <c r="N9" s="258">
        <v>4.0</v>
      </c>
      <c r="O9" s="258">
        <v>3.0</v>
      </c>
      <c r="P9" s="258">
        <v>0.0</v>
      </c>
      <c r="Q9" s="258">
        <v>0.0</v>
      </c>
      <c r="R9" s="258">
        <v>0.0</v>
      </c>
      <c r="S9" s="258">
        <v>0.0</v>
      </c>
      <c r="T9" s="249"/>
      <c r="U9" s="258" t="s">
        <v>417</v>
      </c>
      <c r="V9" s="249"/>
      <c r="W9" s="258">
        <v>0.0</v>
      </c>
      <c r="X9" s="258">
        <v>0.0</v>
      </c>
      <c r="Y9" s="258">
        <v>0.0</v>
      </c>
      <c r="Z9" s="258">
        <v>0.0</v>
      </c>
      <c r="AA9" s="258">
        <v>0.0</v>
      </c>
      <c r="AB9" s="258">
        <v>0.0</v>
      </c>
      <c r="AC9" s="258">
        <v>0.0</v>
      </c>
      <c r="AD9" s="258">
        <v>0.0</v>
      </c>
      <c r="AE9" s="258">
        <v>0.0</v>
      </c>
      <c r="AF9" s="258">
        <v>0.0</v>
      </c>
      <c r="AG9" s="258">
        <v>0.0</v>
      </c>
      <c r="AH9" s="258">
        <v>0.0</v>
      </c>
      <c r="AI9" s="258">
        <v>0.0</v>
      </c>
      <c r="AJ9" s="258">
        <v>0.0</v>
      </c>
      <c r="AK9" s="258">
        <v>0.0</v>
      </c>
      <c r="AL9" s="258">
        <v>0.0</v>
      </c>
      <c r="AM9" s="258">
        <v>0.0</v>
      </c>
      <c r="AN9" s="258">
        <v>0.0</v>
      </c>
      <c r="AO9" s="258">
        <v>0.0</v>
      </c>
      <c r="AP9" s="258">
        <v>0.0</v>
      </c>
      <c r="AQ9" s="258">
        <v>0.0</v>
      </c>
      <c r="AR9" s="258">
        <v>0.0</v>
      </c>
      <c r="AS9" s="258">
        <v>0.0</v>
      </c>
    </row>
    <row r="10">
      <c r="C10" s="1">
        <v>2.0</v>
      </c>
      <c r="D10" s="1">
        <v>101.0</v>
      </c>
      <c r="E10" s="258" t="s">
        <v>416</v>
      </c>
      <c r="F10" s="258">
        <v>13.0</v>
      </c>
      <c r="G10" s="258">
        <v>0.0</v>
      </c>
      <c r="H10" s="258">
        <v>50.0</v>
      </c>
      <c r="I10" s="258">
        <v>0.0</v>
      </c>
      <c r="J10" s="258">
        <v>13.0</v>
      </c>
      <c r="K10" s="258">
        <v>4.0</v>
      </c>
      <c r="L10" s="258">
        <v>2.0</v>
      </c>
      <c r="M10" s="258">
        <v>5.0</v>
      </c>
      <c r="N10" s="258">
        <v>4.0</v>
      </c>
      <c r="O10" s="258">
        <v>3.0</v>
      </c>
      <c r="P10" s="258">
        <v>0.0</v>
      </c>
      <c r="Q10" s="258">
        <v>0.0</v>
      </c>
      <c r="R10" s="258">
        <v>0.0</v>
      </c>
      <c r="S10" s="258">
        <v>0.0</v>
      </c>
      <c r="T10" s="249"/>
      <c r="U10" s="258" t="s">
        <v>419</v>
      </c>
      <c r="V10" s="249"/>
      <c r="W10" s="258">
        <v>0.0</v>
      </c>
      <c r="X10" s="258">
        <v>0.0</v>
      </c>
      <c r="Y10" s="258">
        <v>0.0</v>
      </c>
      <c r="Z10" s="258">
        <v>0.0</v>
      </c>
      <c r="AA10" s="258">
        <v>0.0</v>
      </c>
      <c r="AB10" s="258">
        <v>0.0</v>
      </c>
      <c r="AC10" s="436" t="s">
        <v>420</v>
      </c>
      <c r="AD10" s="258">
        <v>0.0</v>
      </c>
      <c r="AE10" s="258">
        <v>0.0</v>
      </c>
      <c r="AF10" s="258">
        <v>0.0</v>
      </c>
      <c r="AG10" s="258">
        <v>0.0</v>
      </c>
      <c r="AH10" s="258">
        <v>0.0</v>
      </c>
      <c r="AI10" s="258">
        <v>0.0</v>
      </c>
      <c r="AJ10" s="258">
        <v>0.0</v>
      </c>
      <c r="AK10" s="258">
        <v>0.0</v>
      </c>
      <c r="AL10" s="258">
        <v>0.0</v>
      </c>
      <c r="AM10" s="258">
        <v>0.0</v>
      </c>
      <c r="AN10" s="258">
        <v>0.0</v>
      </c>
      <c r="AO10" s="258">
        <v>0.0</v>
      </c>
      <c r="AP10" s="258">
        <v>0.0</v>
      </c>
      <c r="AQ10" s="258">
        <v>0.0</v>
      </c>
      <c r="AR10" s="258">
        <v>0.0</v>
      </c>
      <c r="AS10" s="258">
        <v>0.0</v>
      </c>
    </row>
  </sheetData>
  <conditionalFormatting sqref="B2:B5 C2:C4">
    <cfRule type="expression" dxfId="3" priority="1">
      <formula>ISFORMULA(B2)</formula>
    </cfRule>
  </conditionalFormatting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7" width="12.25"/>
    <col customWidth="1" min="8" max="13" width="13.0"/>
    <col customWidth="1" min="14" max="14" width="15.25"/>
    <col customWidth="1" min="15" max="16" width="8.63"/>
    <col customWidth="1" min="17" max="22" width="5.5"/>
    <col customWidth="1" min="23" max="46" width="8.63"/>
  </cols>
  <sheetData>
    <row r="1" ht="12.75" customHeight="1">
      <c r="A1" s="437" t="s">
        <v>421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9"/>
    </row>
    <row r="2" ht="12.75" customHeight="1">
      <c r="A2" s="440" t="s">
        <v>422</v>
      </c>
      <c r="B2" s="441" t="s">
        <v>423</v>
      </c>
      <c r="C2" s="440" t="s">
        <v>424</v>
      </c>
      <c r="D2" s="440"/>
      <c r="E2" s="442" t="s">
        <v>425</v>
      </c>
      <c r="F2" s="440"/>
      <c r="G2" s="440"/>
      <c r="H2" s="440"/>
      <c r="I2" s="440"/>
      <c r="J2" s="440"/>
      <c r="K2" s="440"/>
      <c r="L2" s="440"/>
      <c r="M2" s="440"/>
      <c r="N2" s="440"/>
    </row>
    <row r="3" ht="12.75" customHeight="1">
      <c r="A3" s="443" t="s">
        <v>329</v>
      </c>
      <c r="B3" s="444">
        <v>13.0</v>
      </c>
      <c r="C3" s="445" t="s">
        <v>426</v>
      </c>
      <c r="D3" s="445"/>
      <c r="E3" s="446" t="s">
        <v>427</v>
      </c>
      <c r="F3" s="445"/>
      <c r="G3" s="445"/>
      <c r="H3" s="445"/>
      <c r="I3" s="445"/>
      <c r="J3" s="447"/>
      <c r="K3" s="445"/>
      <c r="L3" s="445"/>
      <c r="M3" s="445"/>
      <c r="N3" s="445"/>
    </row>
    <row r="4" ht="12.75" customHeight="1">
      <c r="A4" s="443" t="s">
        <v>338</v>
      </c>
      <c r="B4" s="444">
        <v>12.0</v>
      </c>
      <c r="C4" s="445" t="s">
        <v>426</v>
      </c>
      <c r="D4" s="445"/>
      <c r="E4" s="446" t="s">
        <v>428</v>
      </c>
      <c r="F4" s="445"/>
      <c r="G4" s="445"/>
      <c r="H4" s="445"/>
      <c r="I4" s="445"/>
      <c r="J4" s="447"/>
      <c r="K4" s="445"/>
      <c r="L4" s="445"/>
      <c r="M4" s="445"/>
      <c r="N4" s="445"/>
    </row>
    <row r="5" ht="12.75" customHeight="1">
      <c r="A5" s="443" t="s">
        <v>341</v>
      </c>
      <c r="B5" s="444">
        <v>12.0</v>
      </c>
      <c r="C5" s="445" t="s">
        <v>426</v>
      </c>
      <c r="D5" s="445"/>
      <c r="E5" s="446" t="s">
        <v>429</v>
      </c>
      <c r="F5" s="445"/>
      <c r="G5" s="445"/>
      <c r="H5" s="445"/>
      <c r="I5" s="445"/>
      <c r="J5" s="447"/>
      <c r="K5" s="445"/>
      <c r="L5" s="445"/>
      <c r="M5" s="445"/>
      <c r="N5" s="445"/>
    </row>
    <row r="6" ht="12.75" customHeight="1">
      <c r="A6" s="448" t="s">
        <v>42</v>
      </c>
      <c r="B6" s="444">
        <v>12.0</v>
      </c>
      <c r="C6" s="445" t="s">
        <v>426</v>
      </c>
      <c r="D6" s="445"/>
      <c r="E6" s="446" t="s">
        <v>430</v>
      </c>
      <c r="F6" s="445"/>
      <c r="G6" s="445"/>
      <c r="H6" s="445"/>
      <c r="I6" s="445"/>
      <c r="J6" s="447"/>
      <c r="K6" s="445"/>
      <c r="L6" s="445"/>
      <c r="M6" s="445"/>
      <c r="N6" s="445"/>
    </row>
    <row r="7" ht="12.75" customHeight="1">
      <c r="A7" s="443" t="s">
        <v>413</v>
      </c>
      <c r="B7" s="449">
        <v>49.0</v>
      </c>
      <c r="C7" s="445" t="s">
        <v>431</v>
      </c>
      <c r="D7" s="445"/>
      <c r="E7" s="450" t="s">
        <v>432</v>
      </c>
      <c r="F7" s="445"/>
      <c r="G7" s="445"/>
      <c r="H7" s="445"/>
      <c r="I7" s="445"/>
      <c r="J7" s="447"/>
      <c r="K7" s="445"/>
      <c r="L7" s="445"/>
      <c r="M7" s="445"/>
      <c r="N7" s="445"/>
    </row>
    <row r="8" ht="12.75" customHeight="1">
      <c r="A8" s="443" t="s">
        <v>433</v>
      </c>
      <c r="B8" s="449">
        <v>49.0</v>
      </c>
      <c r="C8" s="445" t="s">
        <v>431</v>
      </c>
      <c r="D8" s="445"/>
      <c r="E8" s="450" t="s">
        <v>432</v>
      </c>
      <c r="F8" s="445"/>
      <c r="G8" s="445"/>
      <c r="H8" s="445"/>
      <c r="I8" s="445"/>
      <c r="J8" s="447"/>
      <c r="K8" s="445"/>
      <c r="L8" s="445"/>
      <c r="M8" s="445"/>
      <c r="N8" s="445"/>
    </row>
    <row r="9" ht="12.75" customHeight="1">
      <c r="A9" s="443" t="s">
        <v>434</v>
      </c>
      <c r="B9" s="444">
        <v>12.0</v>
      </c>
      <c r="C9" s="445" t="s">
        <v>426</v>
      </c>
      <c r="D9" s="445"/>
      <c r="E9" s="450" t="s">
        <v>435</v>
      </c>
      <c r="F9" s="445"/>
      <c r="G9" s="445"/>
      <c r="H9" s="445"/>
      <c r="I9" s="445"/>
      <c r="J9" s="447"/>
      <c r="K9" s="445"/>
      <c r="L9" s="445"/>
      <c r="M9" s="445"/>
      <c r="N9" s="445"/>
    </row>
    <row r="10" ht="12.75" customHeight="1">
      <c r="A10" s="448" t="s">
        <v>206</v>
      </c>
      <c r="B10" s="444">
        <v>13.0</v>
      </c>
      <c r="C10" s="445" t="s">
        <v>426</v>
      </c>
      <c r="D10" s="445"/>
      <c r="E10" s="450" t="s">
        <v>436</v>
      </c>
      <c r="F10" s="445"/>
      <c r="G10" s="445"/>
      <c r="H10" s="445"/>
      <c r="I10" s="445"/>
      <c r="J10" s="447"/>
      <c r="K10" s="445"/>
      <c r="L10" s="445"/>
      <c r="M10" s="445"/>
      <c r="N10" s="445"/>
    </row>
    <row r="11" ht="12.75" customHeight="1">
      <c r="A11" s="443" t="s">
        <v>401</v>
      </c>
      <c r="B11" s="444">
        <v>15.0</v>
      </c>
      <c r="C11" s="445" t="s">
        <v>426</v>
      </c>
      <c r="D11" s="445"/>
      <c r="E11" s="450" t="s">
        <v>437</v>
      </c>
      <c r="F11" s="445"/>
      <c r="G11" s="445"/>
      <c r="H11" s="445"/>
      <c r="I11" s="445"/>
      <c r="J11" s="447"/>
      <c r="K11" s="445"/>
      <c r="L11" s="445"/>
      <c r="M11" s="445"/>
      <c r="N11" s="445"/>
    </row>
    <row r="12" ht="12.75" customHeight="1">
      <c r="A12" s="443" t="s">
        <v>438</v>
      </c>
      <c r="B12" s="444">
        <v>16.0</v>
      </c>
      <c r="C12" s="445" t="s">
        <v>426</v>
      </c>
      <c r="D12" s="445"/>
      <c r="E12" s="450" t="s">
        <v>439</v>
      </c>
      <c r="F12" s="445"/>
      <c r="G12" s="445"/>
      <c r="H12" s="445"/>
      <c r="I12" s="445"/>
      <c r="J12" s="447"/>
      <c r="K12" s="445"/>
      <c r="L12" s="445"/>
      <c r="M12" s="445"/>
      <c r="N12" s="445"/>
    </row>
    <row r="13" ht="12.75" customHeight="1">
      <c r="A13" s="443" t="s">
        <v>7</v>
      </c>
      <c r="B13" s="444">
        <v>21.0</v>
      </c>
      <c r="C13" s="445" t="s">
        <v>426</v>
      </c>
      <c r="D13" s="445"/>
      <c r="E13" s="450" t="s">
        <v>440</v>
      </c>
      <c r="F13" s="445"/>
      <c r="G13" s="445"/>
      <c r="H13" s="445"/>
      <c r="I13" s="445"/>
      <c r="J13" s="447"/>
      <c r="K13" s="445"/>
      <c r="L13" s="445"/>
      <c r="M13" s="445"/>
      <c r="N13" s="445"/>
    </row>
    <row r="14" ht="12.75" customHeight="1">
      <c r="A14" s="443" t="s">
        <v>398</v>
      </c>
      <c r="B14" s="444">
        <v>49.0</v>
      </c>
      <c r="C14" s="445" t="s">
        <v>426</v>
      </c>
      <c r="D14" s="445"/>
      <c r="E14" s="450" t="s">
        <v>432</v>
      </c>
      <c r="F14" s="445"/>
      <c r="G14" s="445"/>
      <c r="H14" s="445"/>
      <c r="I14" s="445"/>
      <c r="J14" s="447"/>
      <c r="K14" s="445"/>
      <c r="L14" s="445"/>
      <c r="M14" s="445"/>
      <c r="N14" s="445"/>
    </row>
    <row r="15" ht="12.75" customHeight="1">
      <c r="A15" s="448" t="s">
        <v>63</v>
      </c>
      <c r="B15" s="444">
        <v>3.0</v>
      </c>
      <c r="C15" s="445" t="s">
        <v>426</v>
      </c>
      <c r="D15" s="445"/>
      <c r="E15" s="450" t="s">
        <v>441</v>
      </c>
      <c r="F15" s="445"/>
      <c r="G15" s="445"/>
      <c r="H15" s="445"/>
      <c r="I15" s="445"/>
      <c r="J15" s="447"/>
      <c r="K15" s="445"/>
      <c r="L15" s="445"/>
      <c r="M15" s="445"/>
      <c r="N15" s="445"/>
    </row>
    <row r="16" ht="12.75" customHeight="1">
      <c r="A16" s="443" t="s">
        <v>151</v>
      </c>
      <c r="B16" s="444">
        <v>28.0</v>
      </c>
      <c r="C16" s="445" t="s">
        <v>426</v>
      </c>
      <c r="D16" s="445"/>
      <c r="E16" s="450" t="s">
        <v>442</v>
      </c>
      <c r="F16" s="445"/>
      <c r="G16" s="445"/>
      <c r="H16" s="445"/>
      <c r="I16" s="445"/>
      <c r="J16" s="447"/>
      <c r="K16" s="445"/>
      <c r="L16" s="445"/>
      <c r="M16" s="445"/>
      <c r="N16" s="445"/>
    </row>
    <row r="17" ht="12.75" customHeight="1">
      <c r="A17" s="443" t="s">
        <v>443</v>
      </c>
      <c r="B17" s="449">
        <v>49.0</v>
      </c>
      <c r="C17" s="445" t="s">
        <v>431</v>
      </c>
      <c r="D17" s="445"/>
      <c r="E17" s="450" t="s">
        <v>432</v>
      </c>
      <c r="F17" s="445"/>
      <c r="G17" s="445"/>
      <c r="H17" s="445"/>
      <c r="I17" s="445"/>
      <c r="J17" s="447"/>
      <c r="K17" s="445"/>
      <c r="L17" s="445"/>
      <c r="M17" s="445"/>
      <c r="N17" s="445"/>
    </row>
    <row r="18" ht="12.75" customHeight="1">
      <c r="A18" s="443" t="s">
        <v>51</v>
      </c>
      <c r="B18" s="444">
        <v>24.0</v>
      </c>
      <c r="C18" s="445" t="s">
        <v>426</v>
      </c>
      <c r="D18" s="445"/>
      <c r="E18" s="450" t="s">
        <v>444</v>
      </c>
      <c r="F18" s="445"/>
      <c r="G18" s="445"/>
      <c r="H18" s="445"/>
      <c r="I18" s="445"/>
      <c r="J18" s="447"/>
      <c r="K18" s="445"/>
      <c r="L18" s="445"/>
      <c r="M18" s="445"/>
      <c r="N18" s="445"/>
    </row>
    <row r="19" ht="12.75" customHeight="1">
      <c r="A19" s="448" t="s">
        <v>15</v>
      </c>
      <c r="B19" s="449">
        <v>49.0</v>
      </c>
      <c r="C19" s="445" t="s">
        <v>426</v>
      </c>
      <c r="D19" s="445"/>
      <c r="E19" s="450" t="s">
        <v>432</v>
      </c>
      <c r="F19" s="445"/>
      <c r="G19" s="445"/>
      <c r="H19" s="445"/>
      <c r="I19" s="445"/>
      <c r="J19" s="447"/>
      <c r="K19" s="445"/>
      <c r="L19" s="445"/>
      <c r="M19" s="445"/>
      <c r="N19" s="445"/>
    </row>
    <row r="20" ht="12.75" customHeight="1">
      <c r="A20" s="448" t="s">
        <v>16</v>
      </c>
      <c r="B20" s="449">
        <v>49.0</v>
      </c>
      <c r="C20" s="445" t="s">
        <v>426</v>
      </c>
      <c r="D20" s="445"/>
      <c r="E20" s="450" t="s">
        <v>432</v>
      </c>
      <c r="F20" s="445"/>
      <c r="G20" s="445"/>
      <c r="H20" s="445"/>
      <c r="I20" s="445"/>
      <c r="J20" s="447"/>
      <c r="K20" s="445"/>
      <c r="L20" s="445"/>
      <c r="M20" s="445"/>
      <c r="N20" s="445"/>
    </row>
    <row r="21" ht="12.75" customHeight="1">
      <c r="A21" s="448" t="s">
        <v>397</v>
      </c>
      <c r="B21" s="449">
        <v>49.0</v>
      </c>
      <c r="C21" s="445" t="s">
        <v>445</v>
      </c>
      <c r="D21" s="445"/>
      <c r="E21" s="450" t="s">
        <v>432</v>
      </c>
      <c r="F21" s="445"/>
      <c r="G21" s="445"/>
      <c r="H21" s="445"/>
      <c r="I21" s="445"/>
      <c r="J21" s="447"/>
      <c r="K21" s="445"/>
      <c r="L21" s="445"/>
      <c r="M21" s="445"/>
      <c r="N21" s="445"/>
    </row>
    <row r="22" ht="12.75" customHeight="1"/>
    <row r="23" ht="12.75" customHeight="1">
      <c r="A23" s="451" t="s">
        <v>446</v>
      </c>
      <c r="B23" s="452"/>
      <c r="C23" s="452"/>
      <c r="D23" s="452"/>
      <c r="E23" s="452"/>
      <c r="F23" s="452"/>
      <c r="G23" s="452"/>
      <c r="H23" s="452"/>
      <c r="I23" s="452"/>
      <c r="J23" s="452"/>
      <c r="K23" s="452"/>
      <c r="L23" s="452"/>
      <c r="M23" s="452"/>
      <c r="N23" s="452"/>
      <c r="O23" s="453"/>
    </row>
    <row r="24" ht="12.75" customHeight="1">
      <c r="A24" s="454" t="s">
        <v>447</v>
      </c>
      <c r="B24" s="440" t="s">
        <v>422</v>
      </c>
      <c r="C24" s="442" t="s">
        <v>123</v>
      </c>
      <c r="D24" s="442" t="s">
        <v>124</v>
      </c>
      <c r="E24" s="442" t="s">
        <v>125</v>
      </c>
      <c r="F24" s="442" t="s">
        <v>126</v>
      </c>
      <c r="G24" s="442" t="s">
        <v>127</v>
      </c>
      <c r="H24" s="442" t="s">
        <v>128</v>
      </c>
      <c r="I24" s="442" t="s">
        <v>448</v>
      </c>
      <c r="J24" s="442" t="s">
        <v>449</v>
      </c>
      <c r="K24" s="442" t="s">
        <v>450</v>
      </c>
      <c r="L24" s="442" t="s">
        <v>451</v>
      </c>
      <c r="M24" s="442" t="s">
        <v>452</v>
      </c>
      <c r="N24" s="442" t="s">
        <v>453</v>
      </c>
      <c r="O24" s="441" t="s">
        <v>454</v>
      </c>
    </row>
    <row r="25" ht="12.75" customHeight="1">
      <c r="A25" s="448" t="s">
        <v>455</v>
      </c>
      <c r="B25" s="443" t="s">
        <v>329</v>
      </c>
      <c r="C25" s="455" t="s">
        <v>90</v>
      </c>
      <c r="D25" s="455" t="s">
        <v>90</v>
      </c>
      <c r="E25" s="456">
        <v>0.25</v>
      </c>
      <c r="F25" s="455" t="s">
        <v>90</v>
      </c>
      <c r="G25" s="455" t="s">
        <v>90</v>
      </c>
      <c r="H25" s="455" t="s">
        <v>90</v>
      </c>
      <c r="I25" s="457" t="str">
        <f t="shared" ref="I25:N25" si="1">iferror(C25*$B$3, "-")</f>
        <v>-</v>
      </c>
      <c r="J25" s="457" t="str">
        <f t="shared" si="1"/>
        <v>-</v>
      </c>
      <c r="K25" s="457">
        <f t="shared" si="1"/>
        <v>3.25</v>
      </c>
      <c r="L25" s="457" t="str">
        <f t="shared" si="1"/>
        <v>-</v>
      </c>
      <c r="M25" s="457" t="str">
        <f t="shared" si="1"/>
        <v>-</v>
      </c>
      <c r="N25" s="457" t="str">
        <f t="shared" si="1"/>
        <v>-</v>
      </c>
      <c r="O25" s="458">
        <f t="shared" ref="O25:O138" si="3">SUM(I25:N25)</f>
        <v>3.25</v>
      </c>
    </row>
    <row r="26" ht="12.75" customHeight="1">
      <c r="A26" s="448" t="s">
        <v>455</v>
      </c>
      <c r="B26" s="443" t="s">
        <v>338</v>
      </c>
      <c r="C26" s="459" t="s">
        <v>90</v>
      </c>
      <c r="D26" s="459" t="s">
        <v>90</v>
      </c>
      <c r="E26" s="460">
        <v>0.25</v>
      </c>
      <c r="F26" s="459" t="s">
        <v>90</v>
      </c>
      <c r="G26" s="459" t="s">
        <v>90</v>
      </c>
      <c r="H26" s="459" t="s">
        <v>90</v>
      </c>
      <c r="I26" s="457" t="str">
        <f t="shared" ref="I26:N26" si="2">iferror(C26*$B$4, "-")</f>
        <v>-</v>
      </c>
      <c r="J26" s="457" t="str">
        <f t="shared" si="2"/>
        <v>-</v>
      </c>
      <c r="K26" s="457">
        <f t="shared" si="2"/>
        <v>3</v>
      </c>
      <c r="L26" s="457" t="str">
        <f t="shared" si="2"/>
        <v>-</v>
      </c>
      <c r="M26" s="457" t="str">
        <f t="shared" si="2"/>
        <v>-</v>
      </c>
      <c r="N26" s="457" t="str">
        <f t="shared" si="2"/>
        <v>-</v>
      </c>
      <c r="O26" s="458">
        <f t="shared" si="3"/>
        <v>3</v>
      </c>
    </row>
    <row r="27" ht="12.75" customHeight="1">
      <c r="A27" s="448" t="s">
        <v>455</v>
      </c>
      <c r="B27" s="443" t="s">
        <v>341</v>
      </c>
      <c r="C27" s="459" t="s">
        <v>90</v>
      </c>
      <c r="D27" s="459" t="s">
        <v>90</v>
      </c>
      <c r="E27" s="460">
        <v>0.25</v>
      </c>
      <c r="F27" s="459" t="s">
        <v>90</v>
      </c>
      <c r="G27" s="459" t="s">
        <v>90</v>
      </c>
      <c r="H27" s="459" t="s">
        <v>90</v>
      </c>
      <c r="I27" s="457" t="str">
        <f t="shared" ref="I27:N27" si="4">iferror(C27*$B$5, "-")</f>
        <v>-</v>
      </c>
      <c r="J27" s="457" t="str">
        <f t="shared" si="4"/>
        <v>-</v>
      </c>
      <c r="K27" s="457">
        <f t="shared" si="4"/>
        <v>3</v>
      </c>
      <c r="L27" s="457" t="str">
        <f t="shared" si="4"/>
        <v>-</v>
      </c>
      <c r="M27" s="457" t="str">
        <f t="shared" si="4"/>
        <v>-</v>
      </c>
      <c r="N27" s="457" t="str">
        <f t="shared" si="4"/>
        <v>-</v>
      </c>
      <c r="O27" s="458">
        <f t="shared" si="3"/>
        <v>3</v>
      </c>
    </row>
    <row r="28" ht="12.75" customHeight="1">
      <c r="A28" s="448" t="s">
        <v>455</v>
      </c>
      <c r="B28" s="448" t="s">
        <v>42</v>
      </c>
      <c r="C28" s="459" t="s">
        <v>90</v>
      </c>
      <c r="D28" s="459" t="s">
        <v>90</v>
      </c>
      <c r="E28" s="460">
        <v>0.25</v>
      </c>
      <c r="F28" s="459" t="s">
        <v>90</v>
      </c>
      <c r="G28" s="459" t="s">
        <v>90</v>
      </c>
      <c r="H28" s="459" t="s">
        <v>90</v>
      </c>
      <c r="I28" s="457" t="str">
        <f t="shared" ref="I28:N28" si="5">iferror(C28*$B$6, "-")</f>
        <v>-</v>
      </c>
      <c r="J28" s="457" t="str">
        <f t="shared" si="5"/>
        <v>-</v>
      </c>
      <c r="K28" s="457">
        <f t="shared" si="5"/>
        <v>3</v>
      </c>
      <c r="L28" s="457" t="str">
        <f t="shared" si="5"/>
        <v>-</v>
      </c>
      <c r="M28" s="457" t="str">
        <f t="shared" si="5"/>
        <v>-</v>
      </c>
      <c r="N28" s="457" t="str">
        <f t="shared" si="5"/>
        <v>-</v>
      </c>
      <c r="O28" s="458">
        <f t="shared" si="3"/>
        <v>3</v>
      </c>
    </row>
    <row r="29" ht="12.75" customHeight="1">
      <c r="A29" s="448" t="s">
        <v>455</v>
      </c>
      <c r="B29" s="443" t="s">
        <v>413</v>
      </c>
      <c r="C29" s="460">
        <v>0.25</v>
      </c>
      <c r="D29" s="459" t="s">
        <v>90</v>
      </c>
      <c r="E29" s="460">
        <v>0.25</v>
      </c>
      <c r="F29" s="460">
        <v>0.25</v>
      </c>
      <c r="G29" s="459" t="s">
        <v>90</v>
      </c>
      <c r="H29" s="459" t="s">
        <v>90</v>
      </c>
      <c r="I29" s="457">
        <f t="shared" ref="I29:N29" si="6">iferror(C29*$B$7, "-")</f>
        <v>12.25</v>
      </c>
      <c r="J29" s="457" t="str">
        <f t="shared" si="6"/>
        <v>-</v>
      </c>
      <c r="K29" s="457">
        <f t="shared" si="6"/>
        <v>12.25</v>
      </c>
      <c r="L29" s="457">
        <f t="shared" si="6"/>
        <v>12.25</v>
      </c>
      <c r="M29" s="457" t="str">
        <f t="shared" si="6"/>
        <v>-</v>
      </c>
      <c r="N29" s="457" t="str">
        <f t="shared" si="6"/>
        <v>-</v>
      </c>
      <c r="O29" s="458">
        <f t="shared" si="3"/>
        <v>36.75</v>
      </c>
    </row>
    <row r="30" ht="12.75" customHeight="1">
      <c r="A30" s="448" t="s">
        <v>455</v>
      </c>
      <c r="B30" s="443" t="s">
        <v>433</v>
      </c>
      <c r="C30" s="459" t="s">
        <v>90</v>
      </c>
      <c r="D30" s="459" t="s">
        <v>90</v>
      </c>
      <c r="E30" s="459" t="s">
        <v>90</v>
      </c>
      <c r="F30" s="460">
        <v>0.25</v>
      </c>
      <c r="G30" s="460">
        <v>0.25</v>
      </c>
      <c r="H30" s="459" t="s">
        <v>90</v>
      </c>
      <c r="I30" s="457" t="str">
        <f t="shared" ref="I30:N30" si="7">iferror(C30*$B$8, "-")</f>
        <v>-</v>
      </c>
      <c r="J30" s="457" t="str">
        <f t="shared" si="7"/>
        <v>-</v>
      </c>
      <c r="K30" s="457" t="str">
        <f t="shared" si="7"/>
        <v>-</v>
      </c>
      <c r="L30" s="457">
        <f t="shared" si="7"/>
        <v>12.25</v>
      </c>
      <c r="M30" s="457">
        <f t="shared" si="7"/>
        <v>12.25</v>
      </c>
      <c r="N30" s="457" t="str">
        <f t="shared" si="7"/>
        <v>-</v>
      </c>
      <c r="O30" s="458">
        <f t="shared" si="3"/>
        <v>24.5</v>
      </c>
    </row>
    <row r="31" ht="12.75" customHeight="1">
      <c r="A31" s="448" t="s">
        <v>455</v>
      </c>
      <c r="B31" s="443" t="s">
        <v>434</v>
      </c>
      <c r="C31" s="459" t="s">
        <v>90</v>
      </c>
      <c r="D31" s="460">
        <v>0.25</v>
      </c>
      <c r="E31" s="459" t="s">
        <v>90</v>
      </c>
      <c r="F31" s="459" t="s">
        <v>90</v>
      </c>
      <c r="G31" s="459" t="s">
        <v>90</v>
      </c>
      <c r="H31" s="459" t="s">
        <v>90</v>
      </c>
      <c r="I31" s="457" t="str">
        <f t="shared" ref="I31:N31" si="8">iferror(C31*$B$9, "-")</f>
        <v>-</v>
      </c>
      <c r="J31" s="457">
        <f t="shared" si="8"/>
        <v>3</v>
      </c>
      <c r="K31" s="457" t="str">
        <f t="shared" si="8"/>
        <v>-</v>
      </c>
      <c r="L31" s="457" t="str">
        <f t="shared" si="8"/>
        <v>-</v>
      </c>
      <c r="M31" s="457" t="str">
        <f t="shared" si="8"/>
        <v>-</v>
      </c>
      <c r="N31" s="457" t="str">
        <f t="shared" si="8"/>
        <v>-</v>
      </c>
      <c r="O31" s="458">
        <f t="shared" si="3"/>
        <v>3</v>
      </c>
    </row>
    <row r="32" ht="12.75" customHeight="1">
      <c r="A32" s="448" t="s">
        <v>455</v>
      </c>
      <c r="B32" s="448" t="s">
        <v>206</v>
      </c>
      <c r="C32" s="459" t="s">
        <v>90</v>
      </c>
      <c r="D32" s="460">
        <v>0.25</v>
      </c>
      <c r="E32" s="459" t="s">
        <v>90</v>
      </c>
      <c r="F32" s="459" t="s">
        <v>90</v>
      </c>
      <c r="G32" s="459" t="s">
        <v>90</v>
      </c>
      <c r="H32" s="459" t="s">
        <v>90</v>
      </c>
      <c r="I32" s="457" t="str">
        <f t="shared" ref="I32:N32" si="9">iferror(C32*$B$10, "-")</f>
        <v>-</v>
      </c>
      <c r="J32" s="457">
        <f t="shared" si="9"/>
        <v>3.25</v>
      </c>
      <c r="K32" s="457" t="str">
        <f t="shared" si="9"/>
        <v>-</v>
      </c>
      <c r="L32" s="457" t="str">
        <f t="shared" si="9"/>
        <v>-</v>
      </c>
      <c r="M32" s="457" t="str">
        <f t="shared" si="9"/>
        <v>-</v>
      </c>
      <c r="N32" s="457" t="str">
        <f t="shared" si="9"/>
        <v>-</v>
      </c>
      <c r="O32" s="458">
        <f t="shared" si="3"/>
        <v>3.25</v>
      </c>
    </row>
    <row r="33" ht="12.75" customHeight="1">
      <c r="A33" s="448" t="s">
        <v>455</v>
      </c>
      <c r="B33" s="443" t="s">
        <v>401</v>
      </c>
      <c r="C33" s="459" t="s">
        <v>90</v>
      </c>
      <c r="D33" s="460">
        <v>0.25</v>
      </c>
      <c r="E33" s="459" t="s">
        <v>90</v>
      </c>
      <c r="F33" s="459" t="s">
        <v>90</v>
      </c>
      <c r="G33" s="459" t="s">
        <v>90</v>
      </c>
      <c r="H33" s="459" t="s">
        <v>90</v>
      </c>
      <c r="I33" s="457" t="str">
        <f t="shared" ref="I33:N33" si="10">iferror(C33*$B$11, "-")</f>
        <v>-</v>
      </c>
      <c r="J33" s="457">
        <f t="shared" si="10"/>
        <v>3.75</v>
      </c>
      <c r="K33" s="457" t="str">
        <f t="shared" si="10"/>
        <v>-</v>
      </c>
      <c r="L33" s="457" t="str">
        <f t="shared" si="10"/>
        <v>-</v>
      </c>
      <c r="M33" s="457" t="str">
        <f t="shared" si="10"/>
        <v>-</v>
      </c>
      <c r="N33" s="457" t="str">
        <f t="shared" si="10"/>
        <v>-</v>
      </c>
      <c r="O33" s="458">
        <f t="shared" si="3"/>
        <v>3.75</v>
      </c>
    </row>
    <row r="34" ht="12.75" customHeight="1">
      <c r="A34" s="448" t="s">
        <v>455</v>
      </c>
      <c r="B34" s="443" t="s">
        <v>438</v>
      </c>
      <c r="C34" s="459" t="s">
        <v>90</v>
      </c>
      <c r="D34" s="460">
        <v>0.25</v>
      </c>
      <c r="E34" s="459" t="s">
        <v>90</v>
      </c>
      <c r="F34" s="459" t="s">
        <v>90</v>
      </c>
      <c r="G34" s="459" t="s">
        <v>90</v>
      </c>
      <c r="H34" s="459" t="s">
        <v>90</v>
      </c>
      <c r="I34" s="457" t="str">
        <f t="shared" ref="I34:N34" si="11">iferror(C34*$B$12, "-")</f>
        <v>-</v>
      </c>
      <c r="J34" s="457">
        <f t="shared" si="11"/>
        <v>4</v>
      </c>
      <c r="K34" s="457" t="str">
        <f t="shared" si="11"/>
        <v>-</v>
      </c>
      <c r="L34" s="457" t="str">
        <f t="shared" si="11"/>
        <v>-</v>
      </c>
      <c r="M34" s="457" t="str">
        <f t="shared" si="11"/>
        <v>-</v>
      </c>
      <c r="N34" s="457" t="str">
        <f t="shared" si="11"/>
        <v>-</v>
      </c>
      <c r="O34" s="458">
        <f t="shared" si="3"/>
        <v>4</v>
      </c>
    </row>
    <row r="35" ht="12.75" customHeight="1">
      <c r="A35" s="448" t="s">
        <v>455</v>
      </c>
      <c r="B35" s="443" t="s">
        <v>7</v>
      </c>
      <c r="C35" s="459" t="s">
        <v>90</v>
      </c>
      <c r="D35" s="459" t="s">
        <v>90</v>
      </c>
      <c r="E35" s="459" t="s">
        <v>90</v>
      </c>
      <c r="F35" s="459" t="s">
        <v>90</v>
      </c>
      <c r="G35" s="459" t="s">
        <v>90</v>
      </c>
      <c r="H35" s="459" t="s">
        <v>90</v>
      </c>
      <c r="I35" s="457" t="str">
        <f t="shared" ref="I35:N35" si="12">iferror(C35*$B$13, "-")</f>
        <v>-</v>
      </c>
      <c r="J35" s="457" t="str">
        <f t="shared" si="12"/>
        <v>-</v>
      </c>
      <c r="K35" s="457" t="str">
        <f t="shared" si="12"/>
        <v>-</v>
      </c>
      <c r="L35" s="457" t="str">
        <f t="shared" si="12"/>
        <v>-</v>
      </c>
      <c r="M35" s="457" t="str">
        <f t="shared" si="12"/>
        <v>-</v>
      </c>
      <c r="N35" s="457" t="str">
        <f t="shared" si="12"/>
        <v>-</v>
      </c>
      <c r="O35" s="458">
        <f t="shared" si="3"/>
        <v>0</v>
      </c>
    </row>
    <row r="36" ht="12.75" customHeight="1">
      <c r="A36" s="448" t="s">
        <v>455</v>
      </c>
      <c r="B36" s="443" t="s">
        <v>398</v>
      </c>
      <c r="C36" s="459" t="s">
        <v>90</v>
      </c>
      <c r="D36" s="459" t="s">
        <v>90</v>
      </c>
      <c r="E36" s="459" t="s">
        <v>90</v>
      </c>
      <c r="F36" s="459" t="s">
        <v>90</v>
      </c>
      <c r="G36" s="459" t="s">
        <v>90</v>
      </c>
      <c r="H36" s="459" t="s">
        <v>90</v>
      </c>
      <c r="I36" s="457" t="str">
        <f t="shared" ref="I36:N36" si="13">iferror(C36*$B$14, "-")</f>
        <v>-</v>
      </c>
      <c r="J36" s="457" t="str">
        <f t="shared" si="13"/>
        <v>-</v>
      </c>
      <c r="K36" s="457" t="str">
        <f t="shared" si="13"/>
        <v>-</v>
      </c>
      <c r="L36" s="457" t="str">
        <f t="shared" si="13"/>
        <v>-</v>
      </c>
      <c r="M36" s="457" t="str">
        <f t="shared" si="13"/>
        <v>-</v>
      </c>
      <c r="N36" s="457" t="str">
        <f t="shared" si="13"/>
        <v>-</v>
      </c>
      <c r="O36" s="458">
        <f t="shared" si="3"/>
        <v>0</v>
      </c>
    </row>
    <row r="37" ht="12.75" customHeight="1">
      <c r="A37" s="448" t="s">
        <v>455</v>
      </c>
      <c r="B37" s="448" t="s">
        <v>63</v>
      </c>
      <c r="C37" s="459" t="s">
        <v>90</v>
      </c>
      <c r="D37" s="460">
        <v>0.25</v>
      </c>
      <c r="E37" s="459" t="s">
        <v>90</v>
      </c>
      <c r="F37" s="459" t="s">
        <v>90</v>
      </c>
      <c r="G37" s="459" t="s">
        <v>90</v>
      </c>
      <c r="H37" s="459" t="s">
        <v>90</v>
      </c>
      <c r="I37" s="457" t="str">
        <f t="shared" ref="I37:N37" si="14">iferror(C37*$B$15, "-")</f>
        <v>-</v>
      </c>
      <c r="J37" s="457">
        <f t="shared" si="14"/>
        <v>0.75</v>
      </c>
      <c r="K37" s="457" t="str">
        <f t="shared" si="14"/>
        <v>-</v>
      </c>
      <c r="L37" s="457" t="str">
        <f t="shared" si="14"/>
        <v>-</v>
      </c>
      <c r="M37" s="457" t="str">
        <f t="shared" si="14"/>
        <v>-</v>
      </c>
      <c r="N37" s="457" t="str">
        <f t="shared" si="14"/>
        <v>-</v>
      </c>
      <c r="O37" s="458">
        <f t="shared" si="3"/>
        <v>0.75</v>
      </c>
    </row>
    <row r="38" ht="12.75" customHeight="1">
      <c r="A38" s="448" t="s">
        <v>455</v>
      </c>
      <c r="B38" s="443" t="s">
        <v>151</v>
      </c>
      <c r="C38" s="459" t="s">
        <v>90</v>
      </c>
      <c r="D38" s="459" t="s">
        <v>90</v>
      </c>
      <c r="E38" s="459" t="s">
        <v>90</v>
      </c>
      <c r="F38" s="459" t="s">
        <v>90</v>
      </c>
      <c r="G38" s="459" t="s">
        <v>90</v>
      </c>
      <c r="H38" s="459" t="s">
        <v>90</v>
      </c>
      <c r="I38" s="457" t="str">
        <f t="shared" ref="I38:N38" si="15">iferror(C38*$B$16, "-")</f>
        <v>-</v>
      </c>
      <c r="J38" s="457" t="str">
        <f t="shared" si="15"/>
        <v>-</v>
      </c>
      <c r="K38" s="457" t="str">
        <f t="shared" si="15"/>
        <v>-</v>
      </c>
      <c r="L38" s="457" t="str">
        <f t="shared" si="15"/>
        <v>-</v>
      </c>
      <c r="M38" s="457" t="str">
        <f t="shared" si="15"/>
        <v>-</v>
      </c>
      <c r="N38" s="457" t="str">
        <f t="shared" si="15"/>
        <v>-</v>
      </c>
      <c r="O38" s="458">
        <f t="shared" si="3"/>
        <v>0</v>
      </c>
    </row>
    <row r="39" ht="12.75" customHeight="1">
      <c r="A39" s="448" t="s">
        <v>455</v>
      </c>
      <c r="B39" s="443" t="s">
        <v>443</v>
      </c>
      <c r="C39" s="459" t="s">
        <v>90</v>
      </c>
      <c r="D39" s="459" t="s">
        <v>90</v>
      </c>
      <c r="E39" s="459" t="s">
        <v>90</v>
      </c>
      <c r="F39" s="459" t="s">
        <v>90</v>
      </c>
      <c r="G39" s="459" t="s">
        <v>90</v>
      </c>
      <c r="H39" s="459" t="s">
        <v>90</v>
      </c>
      <c r="I39" s="457" t="str">
        <f t="shared" ref="I39:N39" si="16">iferror(C39*$B$17, "-")</f>
        <v>-</v>
      </c>
      <c r="J39" s="457" t="str">
        <f t="shared" si="16"/>
        <v>-</v>
      </c>
      <c r="K39" s="457" t="str">
        <f t="shared" si="16"/>
        <v>-</v>
      </c>
      <c r="L39" s="457" t="str">
        <f t="shared" si="16"/>
        <v>-</v>
      </c>
      <c r="M39" s="457" t="str">
        <f t="shared" si="16"/>
        <v>-</v>
      </c>
      <c r="N39" s="457" t="str">
        <f t="shared" si="16"/>
        <v>-</v>
      </c>
      <c r="O39" s="458">
        <f t="shared" si="3"/>
        <v>0</v>
      </c>
    </row>
    <row r="40" ht="12.75" customHeight="1">
      <c r="A40" s="448" t="s">
        <v>455</v>
      </c>
      <c r="B40" s="465" t="s">
        <v>51</v>
      </c>
      <c r="C40" s="460">
        <v>0.25</v>
      </c>
      <c r="D40" s="466" t="s">
        <v>90</v>
      </c>
      <c r="E40" s="466" t="s">
        <v>90</v>
      </c>
      <c r="F40" s="466" t="s">
        <v>90</v>
      </c>
      <c r="G40" s="466" t="s">
        <v>90</v>
      </c>
      <c r="H40" s="466" t="s">
        <v>90</v>
      </c>
      <c r="I40" s="457">
        <f t="shared" ref="I40:N40" si="17">iferror(C40*$B$18, "-")</f>
        <v>6</v>
      </c>
      <c r="J40" s="457" t="str">
        <f t="shared" si="17"/>
        <v>-</v>
      </c>
      <c r="K40" s="457" t="str">
        <f t="shared" si="17"/>
        <v>-</v>
      </c>
      <c r="L40" s="457" t="str">
        <f t="shared" si="17"/>
        <v>-</v>
      </c>
      <c r="M40" s="457" t="str">
        <f t="shared" si="17"/>
        <v>-</v>
      </c>
      <c r="N40" s="457" t="str">
        <f t="shared" si="17"/>
        <v>-</v>
      </c>
      <c r="O40" s="457">
        <f t="shared" si="3"/>
        <v>6</v>
      </c>
      <c r="P40" s="294"/>
      <c r="Q40" s="294"/>
      <c r="R40" s="294"/>
      <c r="S40" s="294"/>
      <c r="T40" s="294"/>
      <c r="U40" s="294"/>
      <c r="V40" s="294"/>
      <c r="W40" s="294"/>
      <c r="X40" s="294"/>
      <c r="Y40" s="294"/>
      <c r="Z40" s="294"/>
      <c r="AA40" s="294"/>
      <c r="AB40" s="294"/>
      <c r="AC40" s="294"/>
      <c r="AD40" s="294"/>
      <c r="AE40" s="294"/>
      <c r="AF40" s="294"/>
      <c r="AG40" s="294"/>
      <c r="AH40" s="294"/>
      <c r="AI40" s="294"/>
      <c r="AJ40" s="294"/>
      <c r="AK40" s="294"/>
      <c r="AL40" s="294"/>
      <c r="AM40" s="294"/>
      <c r="AN40" s="294"/>
      <c r="AO40" s="294"/>
      <c r="AP40" s="294"/>
      <c r="AQ40" s="294"/>
      <c r="AR40" s="294"/>
      <c r="AS40" s="294"/>
      <c r="AT40" s="294"/>
    </row>
    <row r="41" ht="12.75" customHeight="1">
      <c r="A41" s="448" t="s">
        <v>455</v>
      </c>
      <c r="B41" s="448" t="s">
        <v>15</v>
      </c>
      <c r="C41" s="460">
        <v>0.25</v>
      </c>
      <c r="D41" s="466" t="s">
        <v>90</v>
      </c>
      <c r="E41" s="460">
        <v>0.25</v>
      </c>
      <c r="F41" s="466" t="s">
        <v>90</v>
      </c>
      <c r="G41" s="466" t="s">
        <v>90</v>
      </c>
      <c r="H41" s="466" t="s">
        <v>90</v>
      </c>
      <c r="I41" s="457">
        <f t="shared" ref="I41:N41" si="18">iferror(C41*$B$19, "-")</f>
        <v>12.25</v>
      </c>
      <c r="J41" s="457" t="str">
        <f t="shared" si="18"/>
        <v>-</v>
      </c>
      <c r="K41" s="457">
        <f t="shared" si="18"/>
        <v>12.25</v>
      </c>
      <c r="L41" s="457" t="str">
        <f t="shared" si="18"/>
        <v>-</v>
      </c>
      <c r="M41" s="457" t="str">
        <f t="shared" si="18"/>
        <v>-</v>
      </c>
      <c r="N41" s="457" t="str">
        <f t="shared" si="18"/>
        <v>-</v>
      </c>
      <c r="O41" s="457">
        <f t="shared" si="3"/>
        <v>24.5</v>
      </c>
    </row>
    <row r="42" ht="12.75" customHeight="1">
      <c r="A42" s="448" t="s">
        <v>455</v>
      </c>
      <c r="B42" s="448" t="s">
        <v>16</v>
      </c>
      <c r="C42" s="460">
        <v>0.25</v>
      </c>
      <c r="D42" s="466" t="s">
        <v>90</v>
      </c>
      <c r="E42" s="460">
        <v>0.25</v>
      </c>
      <c r="F42" s="466" t="s">
        <v>90</v>
      </c>
      <c r="G42" s="466" t="s">
        <v>90</v>
      </c>
      <c r="H42" s="466" t="s">
        <v>90</v>
      </c>
      <c r="I42" s="457">
        <f t="shared" ref="I42:N42" si="19">iferror(C42*$B$20, "-")</f>
        <v>12.25</v>
      </c>
      <c r="J42" s="457" t="str">
        <f t="shared" si="19"/>
        <v>-</v>
      </c>
      <c r="K42" s="457">
        <f t="shared" si="19"/>
        <v>12.25</v>
      </c>
      <c r="L42" s="457" t="str">
        <f t="shared" si="19"/>
        <v>-</v>
      </c>
      <c r="M42" s="457" t="str">
        <f t="shared" si="19"/>
        <v>-</v>
      </c>
      <c r="N42" s="457" t="str">
        <f t="shared" si="19"/>
        <v>-</v>
      </c>
      <c r="O42" s="457">
        <f t="shared" si="3"/>
        <v>24.5</v>
      </c>
    </row>
    <row r="43" ht="12.75" customHeight="1">
      <c r="A43" s="468" t="s">
        <v>455</v>
      </c>
      <c r="B43" s="468" t="s">
        <v>397</v>
      </c>
      <c r="C43" s="469" t="s">
        <v>90</v>
      </c>
      <c r="D43" s="469" t="s">
        <v>90</v>
      </c>
      <c r="E43" s="469" t="s">
        <v>90</v>
      </c>
      <c r="F43" s="469" t="s">
        <v>90</v>
      </c>
      <c r="G43" s="469" t="s">
        <v>90</v>
      </c>
      <c r="H43" s="469" t="s">
        <v>90</v>
      </c>
      <c r="I43" s="471" t="str">
        <f t="shared" ref="I43:N43" si="20">iferror(C43*$B$21, "-")</f>
        <v>-</v>
      </c>
      <c r="J43" s="471" t="str">
        <f t="shared" si="20"/>
        <v>-</v>
      </c>
      <c r="K43" s="471" t="str">
        <f t="shared" si="20"/>
        <v>-</v>
      </c>
      <c r="L43" s="471" t="str">
        <f t="shared" si="20"/>
        <v>-</v>
      </c>
      <c r="M43" s="471" t="str">
        <f t="shared" si="20"/>
        <v>-</v>
      </c>
      <c r="N43" s="471" t="str">
        <f t="shared" si="20"/>
        <v>-</v>
      </c>
      <c r="O43" s="473">
        <f t="shared" si="3"/>
        <v>0</v>
      </c>
    </row>
    <row r="44" ht="12.75" customHeight="1">
      <c r="A44" s="448" t="s">
        <v>488</v>
      </c>
      <c r="B44" s="443" t="s">
        <v>329</v>
      </c>
      <c r="C44" s="455" t="s">
        <v>90</v>
      </c>
      <c r="D44" s="455" t="s">
        <v>90</v>
      </c>
      <c r="E44" s="456">
        <v>0.25</v>
      </c>
      <c r="F44" s="455" t="s">
        <v>90</v>
      </c>
      <c r="G44" s="455" t="s">
        <v>90</v>
      </c>
      <c r="H44" s="455" t="s">
        <v>90</v>
      </c>
      <c r="I44" s="457" t="str">
        <f t="shared" ref="I44:N44" si="21">iferror(C44*$B$3, "-")</f>
        <v>-</v>
      </c>
      <c r="J44" s="457" t="str">
        <f t="shared" si="21"/>
        <v>-</v>
      </c>
      <c r="K44" s="457">
        <f t="shared" si="21"/>
        <v>3.25</v>
      </c>
      <c r="L44" s="457" t="str">
        <f t="shared" si="21"/>
        <v>-</v>
      </c>
      <c r="M44" s="457" t="str">
        <f t="shared" si="21"/>
        <v>-</v>
      </c>
      <c r="N44" s="457" t="str">
        <f t="shared" si="21"/>
        <v>-</v>
      </c>
      <c r="O44" s="474">
        <f t="shared" si="3"/>
        <v>3.25</v>
      </c>
    </row>
    <row r="45" ht="12.75" customHeight="1">
      <c r="A45" s="448" t="s">
        <v>488</v>
      </c>
      <c r="B45" s="443" t="s">
        <v>338</v>
      </c>
      <c r="C45" s="459" t="s">
        <v>90</v>
      </c>
      <c r="D45" s="459" t="s">
        <v>90</v>
      </c>
      <c r="E45" s="460">
        <v>0.25</v>
      </c>
      <c r="F45" s="459" t="s">
        <v>90</v>
      </c>
      <c r="G45" s="459" t="s">
        <v>90</v>
      </c>
      <c r="H45" s="459" t="s">
        <v>90</v>
      </c>
      <c r="I45" s="457" t="str">
        <f t="shared" ref="I45:N45" si="22">iferror(C45*$B$4, "-")</f>
        <v>-</v>
      </c>
      <c r="J45" s="457" t="str">
        <f t="shared" si="22"/>
        <v>-</v>
      </c>
      <c r="K45" s="457">
        <f t="shared" si="22"/>
        <v>3</v>
      </c>
      <c r="L45" s="457" t="str">
        <f t="shared" si="22"/>
        <v>-</v>
      </c>
      <c r="M45" s="457" t="str">
        <f t="shared" si="22"/>
        <v>-</v>
      </c>
      <c r="N45" s="457" t="str">
        <f t="shared" si="22"/>
        <v>-</v>
      </c>
      <c r="O45" s="458">
        <f t="shared" si="3"/>
        <v>3</v>
      </c>
    </row>
    <row r="46" ht="12.75" customHeight="1">
      <c r="A46" s="448" t="s">
        <v>488</v>
      </c>
      <c r="B46" s="443" t="s">
        <v>341</v>
      </c>
      <c r="C46" s="459" t="s">
        <v>90</v>
      </c>
      <c r="D46" s="459" t="s">
        <v>90</v>
      </c>
      <c r="E46" s="460">
        <v>0.25</v>
      </c>
      <c r="F46" s="459" t="s">
        <v>90</v>
      </c>
      <c r="G46" s="459" t="s">
        <v>90</v>
      </c>
      <c r="H46" s="459" t="s">
        <v>90</v>
      </c>
      <c r="I46" s="457" t="str">
        <f t="shared" ref="I46:N46" si="23">iferror(C46*$B$5, "-")</f>
        <v>-</v>
      </c>
      <c r="J46" s="457" t="str">
        <f t="shared" si="23"/>
        <v>-</v>
      </c>
      <c r="K46" s="457">
        <f t="shared" si="23"/>
        <v>3</v>
      </c>
      <c r="L46" s="457" t="str">
        <f t="shared" si="23"/>
        <v>-</v>
      </c>
      <c r="M46" s="457" t="str">
        <f t="shared" si="23"/>
        <v>-</v>
      </c>
      <c r="N46" s="457" t="str">
        <f t="shared" si="23"/>
        <v>-</v>
      </c>
      <c r="O46" s="458">
        <f t="shared" si="3"/>
        <v>3</v>
      </c>
    </row>
    <row r="47" ht="12.75" customHeight="1">
      <c r="A47" s="448" t="s">
        <v>488</v>
      </c>
      <c r="B47" s="448" t="s">
        <v>42</v>
      </c>
      <c r="C47" s="459" t="s">
        <v>90</v>
      </c>
      <c r="D47" s="459" t="s">
        <v>90</v>
      </c>
      <c r="E47" s="460">
        <v>0.25</v>
      </c>
      <c r="F47" s="459" t="s">
        <v>90</v>
      </c>
      <c r="G47" s="459" t="s">
        <v>90</v>
      </c>
      <c r="H47" s="459" t="s">
        <v>90</v>
      </c>
      <c r="I47" s="457" t="str">
        <f t="shared" ref="I47:N47" si="24">iferror(C47*$B$6, "-")</f>
        <v>-</v>
      </c>
      <c r="J47" s="457" t="str">
        <f t="shared" si="24"/>
        <v>-</v>
      </c>
      <c r="K47" s="457">
        <f t="shared" si="24"/>
        <v>3</v>
      </c>
      <c r="L47" s="457" t="str">
        <f t="shared" si="24"/>
        <v>-</v>
      </c>
      <c r="M47" s="457" t="str">
        <f t="shared" si="24"/>
        <v>-</v>
      </c>
      <c r="N47" s="457" t="str">
        <f t="shared" si="24"/>
        <v>-</v>
      </c>
      <c r="O47" s="458">
        <f t="shared" si="3"/>
        <v>3</v>
      </c>
    </row>
    <row r="48" ht="12.75" customHeight="1">
      <c r="A48" s="448" t="s">
        <v>488</v>
      </c>
      <c r="B48" s="443" t="s">
        <v>413</v>
      </c>
      <c r="C48" s="460">
        <v>0.25</v>
      </c>
      <c r="D48" s="459" t="s">
        <v>90</v>
      </c>
      <c r="E48" s="460">
        <v>0.25</v>
      </c>
      <c r="F48" s="460">
        <v>0.25</v>
      </c>
      <c r="G48" s="459" t="s">
        <v>90</v>
      </c>
      <c r="H48" s="459" t="s">
        <v>90</v>
      </c>
      <c r="I48" s="457">
        <f t="shared" ref="I48:N48" si="25">iferror(C48*$B$7, "-")</f>
        <v>12.25</v>
      </c>
      <c r="J48" s="457" t="str">
        <f t="shared" si="25"/>
        <v>-</v>
      </c>
      <c r="K48" s="457">
        <f t="shared" si="25"/>
        <v>12.25</v>
      </c>
      <c r="L48" s="457">
        <f t="shared" si="25"/>
        <v>12.25</v>
      </c>
      <c r="M48" s="457" t="str">
        <f t="shared" si="25"/>
        <v>-</v>
      </c>
      <c r="N48" s="457" t="str">
        <f t="shared" si="25"/>
        <v>-</v>
      </c>
      <c r="O48" s="458">
        <f t="shared" si="3"/>
        <v>36.75</v>
      </c>
    </row>
    <row r="49" ht="12.75" customHeight="1">
      <c r="A49" s="448" t="s">
        <v>488</v>
      </c>
      <c r="B49" s="443" t="s">
        <v>433</v>
      </c>
      <c r="C49" s="459" t="s">
        <v>90</v>
      </c>
      <c r="D49" s="459" t="s">
        <v>90</v>
      </c>
      <c r="E49" s="459" t="s">
        <v>90</v>
      </c>
      <c r="F49" s="460">
        <v>0.25</v>
      </c>
      <c r="G49" s="460">
        <v>0.25</v>
      </c>
      <c r="H49" s="459" t="s">
        <v>90</v>
      </c>
      <c r="I49" s="457" t="str">
        <f t="shared" ref="I49:N49" si="26">iferror(C49*$B$8, "-")</f>
        <v>-</v>
      </c>
      <c r="J49" s="457" t="str">
        <f t="shared" si="26"/>
        <v>-</v>
      </c>
      <c r="K49" s="457" t="str">
        <f t="shared" si="26"/>
        <v>-</v>
      </c>
      <c r="L49" s="457">
        <f t="shared" si="26"/>
        <v>12.25</v>
      </c>
      <c r="M49" s="457">
        <f t="shared" si="26"/>
        <v>12.25</v>
      </c>
      <c r="N49" s="457" t="str">
        <f t="shared" si="26"/>
        <v>-</v>
      </c>
      <c r="O49" s="458">
        <f t="shared" si="3"/>
        <v>24.5</v>
      </c>
    </row>
    <row r="50" ht="12.75" customHeight="1">
      <c r="A50" s="448" t="s">
        <v>488</v>
      </c>
      <c r="B50" s="443" t="s">
        <v>434</v>
      </c>
      <c r="C50" s="459" t="s">
        <v>90</v>
      </c>
      <c r="D50" s="460">
        <v>0.25</v>
      </c>
      <c r="E50" s="459" t="s">
        <v>90</v>
      </c>
      <c r="F50" s="459" t="s">
        <v>90</v>
      </c>
      <c r="G50" s="459" t="s">
        <v>90</v>
      </c>
      <c r="H50" s="459" t="s">
        <v>90</v>
      </c>
      <c r="I50" s="457" t="str">
        <f t="shared" ref="I50:N50" si="27">iferror(C50*$B$9, "-")</f>
        <v>-</v>
      </c>
      <c r="J50" s="457">
        <f t="shared" si="27"/>
        <v>3</v>
      </c>
      <c r="K50" s="457" t="str">
        <f t="shared" si="27"/>
        <v>-</v>
      </c>
      <c r="L50" s="457" t="str">
        <f t="shared" si="27"/>
        <v>-</v>
      </c>
      <c r="M50" s="457" t="str">
        <f t="shared" si="27"/>
        <v>-</v>
      </c>
      <c r="N50" s="457" t="str">
        <f t="shared" si="27"/>
        <v>-</v>
      </c>
      <c r="O50" s="458">
        <f t="shared" si="3"/>
        <v>3</v>
      </c>
    </row>
    <row r="51" ht="12.75" customHeight="1">
      <c r="A51" s="448" t="s">
        <v>488</v>
      </c>
      <c r="B51" s="448" t="s">
        <v>206</v>
      </c>
      <c r="C51" s="459" t="s">
        <v>90</v>
      </c>
      <c r="D51" s="460">
        <v>0.25</v>
      </c>
      <c r="E51" s="459" t="s">
        <v>90</v>
      </c>
      <c r="F51" s="459" t="s">
        <v>90</v>
      </c>
      <c r="G51" s="459" t="s">
        <v>90</v>
      </c>
      <c r="H51" s="459" t="s">
        <v>90</v>
      </c>
      <c r="I51" s="457" t="str">
        <f t="shared" ref="I51:N51" si="28">iferror(C51*$B$10, "-")</f>
        <v>-</v>
      </c>
      <c r="J51" s="457">
        <f t="shared" si="28"/>
        <v>3.25</v>
      </c>
      <c r="K51" s="457" t="str">
        <f t="shared" si="28"/>
        <v>-</v>
      </c>
      <c r="L51" s="457" t="str">
        <f t="shared" si="28"/>
        <v>-</v>
      </c>
      <c r="M51" s="457" t="str">
        <f t="shared" si="28"/>
        <v>-</v>
      </c>
      <c r="N51" s="457" t="str">
        <f t="shared" si="28"/>
        <v>-</v>
      </c>
      <c r="O51" s="458">
        <f t="shared" si="3"/>
        <v>3.25</v>
      </c>
    </row>
    <row r="52" ht="12.75" customHeight="1">
      <c r="A52" s="448" t="s">
        <v>488</v>
      </c>
      <c r="B52" s="443" t="s">
        <v>401</v>
      </c>
      <c r="C52" s="459" t="s">
        <v>90</v>
      </c>
      <c r="D52" s="460">
        <v>0.25</v>
      </c>
      <c r="E52" s="459" t="s">
        <v>90</v>
      </c>
      <c r="F52" s="459" t="s">
        <v>90</v>
      </c>
      <c r="G52" s="459" t="s">
        <v>90</v>
      </c>
      <c r="H52" s="459" t="s">
        <v>90</v>
      </c>
      <c r="I52" s="457" t="str">
        <f t="shared" ref="I52:N52" si="29">iferror(C52*$B$11, "-")</f>
        <v>-</v>
      </c>
      <c r="J52" s="457">
        <f t="shared" si="29"/>
        <v>3.75</v>
      </c>
      <c r="K52" s="457" t="str">
        <f t="shared" si="29"/>
        <v>-</v>
      </c>
      <c r="L52" s="457" t="str">
        <f t="shared" si="29"/>
        <v>-</v>
      </c>
      <c r="M52" s="457" t="str">
        <f t="shared" si="29"/>
        <v>-</v>
      </c>
      <c r="N52" s="457" t="str">
        <f t="shared" si="29"/>
        <v>-</v>
      </c>
      <c r="O52" s="458">
        <f t="shared" si="3"/>
        <v>3.75</v>
      </c>
    </row>
    <row r="53" ht="12.75" customHeight="1">
      <c r="A53" s="448" t="s">
        <v>488</v>
      </c>
      <c r="B53" s="443" t="s">
        <v>438</v>
      </c>
      <c r="C53" s="459" t="s">
        <v>90</v>
      </c>
      <c r="D53" s="460">
        <v>0.25</v>
      </c>
      <c r="E53" s="459" t="s">
        <v>90</v>
      </c>
      <c r="F53" s="459" t="s">
        <v>90</v>
      </c>
      <c r="G53" s="459" t="s">
        <v>90</v>
      </c>
      <c r="H53" s="459" t="s">
        <v>90</v>
      </c>
      <c r="I53" s="457" t="str">
        <f t="shared" ref="I53:N53" si="30">iferror(C53*$B$12, "-")</f>
        <v>-</v>
      </c>
      <c r="J53" s="457">
        <f t="shared" si="30"/>
        <v>4</v>
      </c>
      <c r="K53" s="457" t="str">
        <f t="shared" si="30"/>
        <v>-</v>
      </c>
      <c r="L53" s="457" t="str">
        <f t="shared" si="30"/>
        <v>-</v>
      </c>
      <c r="M53" s="457" t="str">
        <f t="shared" si="30"/>
        <v>-</v>
      </c>
      <c r="N53" s="457" t="str">
        <f t="shared" si="30"/>
        <v>-</v>
      </c>
      <c r="O53" s="458">
        <f t="shared" si="3"/>
        <v>4</v>
      </c>
    </row>
    <row r="54" ht="12.75" customHeight="1">
      <c r="A54" s="448" t="s">
        <v>488</v>
      </c>
      <c r="B54" s="443" t="s">
        <v>7</v>
      </c>
      <c r="C54" s="459" t="s">
        <v>90</v>
      </c>
      <c r="D54" s="459" t="s">
        <v>90</v>
      </c>
      <c r="E54" s="459" t="s">
        <v>90</v>
      </c>
      <c r="F54" s="459" t="s">
        <v>90</v>
      </c>
      <c r="G54" s="459" t="s">
        <v>90</v>
      </c>
      <c r="H54" s="459" t="s">
        <v>90</v>
      </c>
      <c r="I54" s="457" t="str">
        <f t="shared" ref="I54:N54" si="31">iferror(C54*$B$13, "-")</f>
        <v>-</v>
      </c>
      <c r="J54" s="457" t="str">
        <f t="shared" si="31"/>
        <v>-</v>
      </c>
      <c r="K54" s="457" t="str">
        <f t="shared" si="31"/>
        <v>-</v>
      </c>
      <c r="L54" s="457" t="str">
        <f t="shared" si="31"/>
        <v>-</v>
      </c>
      <c r="M54" s="457" t="str">
        <f t="shared" si="31"/>
        <v>-</v>
      </c>
      <c r="N54" s="457" t="str">
        <f t="shared" si="31"/>
        <v>-</v>
      </c>
      <c r="O54" s="458">
        <f t="shared" si="3"/>
        <v>0</v>
      </c>
    </row>
    <row r="55" ht="12.75" customHeight="1">
      <c r="A55" s="448" t="s">
        <v>488</v>
      </c>
      <c r="B55" s="443" t="s">
        <v>398</v>
      </c>
      <c r="C55" s="459" t="s">
        <v>90</v>
      </c>
      <c r="D55" s="459" t="s">
        <v>90</v>
      </c>
      <c r="E55" s="459" t="s">
        <v>90</v>
      </c>
      <c r="F55" s="459" t="s">
        <v>90</v>
      </c>
      <c r="G55" s="459" t="s">
        <v>90</v>
      </c>
      <c r="H55" s="459" t="s">
        <v>90</v>
      </c>
      <c r="I55" s="457" t="str">
        <f t="shared" ref="I55:N55" si="32">iferror(C55*$B$14, "-")</f>
        <v>-</v>
      </c>
      <c r="J55" s="457" t="str">
        <f t="shared" si="32"/>
        <v>-</v>
      </c>
      <c r="K55" s="457" t="str">
        <f t="shared" si="32"/>
        <v>-</v>
      </c>
      <c r="L55" s="457" t="str">
        <f t="shared" si="32"/>
        <v>-</v>
      </c>
      <c r="M55" s="457" t="str">
        <f t="shared" si="32"/>
        <v>-</v>
      </c>
      <c r="N55" s="457" t="str">
        <f t="shared" si="32"/>
        <v>-</v>
      </c>
      <c r="O55" s="458">
        <f t="shared" si="3"/>
        <v>0</v>
      </c>
    </row>
    <row r="56" ht="12.75" customHeight="1">
      <c r="A56" s="448" t="s">
        <v>488</v>
      </c>
      <c r="B56" s="448" t="s">
        <v>63</v>
      </c>
      <c r="C56" s="459" t="s">
        <v>90</v>
      </c>
      <c r="D56" s="460">
        <v>0.25</v>
      </c>
      <c r="E56" s="459" t="s">
        <v>90</v>
      </c>
      <c r="F56" s="459" t="s">
        <v>90</v>
      </c>
      <c r="G56" s="459" t="s">
        <v>90</v>
      </c>
      <c r="H56" s="459" t="s">
        <v>90</v>
      </c>
      <c r="I56" s="457" t="str">
        <f t="shared" ref="I56:N56" si="33">iferror(C56*$B$15, "-")</f>
        <v>-</v>
      </c>
      <c r="J56" s="457">
        <f t="shared" si="33"/>
        <v>0.75</v>
      </c>
      <c r="K56" s="457" t="str">
        <f t="shared" si="33"/>
        <v>-</v>
      </c>
      <c r="L56" s="457" t="str">
        <f t="shared" si="33"/>
        <v>-</v>
      </c>
      <c r="M56" s="457" t="str">
        <f t="shared" si="33"/>
        <v>-</v>
      </c>
      <c r="N56" s="457" t="str">
        <f t="shared" si="33"/>
        <v>-</v>
      </c>
      <c r="O56" s="458">
        <f t="shared" si="3"/>
        <v>0.75</v>
      </c>
    </row>
    <row r="57" ht="12.75" customHeight="1">
      <c r="A57" s="448" t="s">
        <v>488</v>
      </c>
      <c r="B57" s="443" t="s">
        <v>151</v>
      </c>
      <c r="C57" s="459" t="s">
        <v>90</v>
      </c>
      <c r="D57" s="459" t="s">
        <v>90</v>
      </c>
      <c r="E57" s="459" t="s">
        <v>90</v>
      </c>
      <c r="F57" s="459" t="s">
        <v>90</v>
      </c>
      <c r="G57" s="459" t="s">
        <v>90</v>
      </c>
      <c r="H57" s="459" t="s">
        <v>90</v>
      </c>
      <c r="I57" s="457" t="str">
        <f t="shared" ref="I57:N57" si="34">iferror(C57*$B$16, "-")</f>
        <v>-</v>
      </c>
      <c r="J57" s="457" t="str">
        <f t="shared" si="34"/>
        <v>-</v>
      </c>
      <c r="K57" s="457" t="str">
        <f t="shared" si="34"/>
        <v>-</v>
      </c>
      <c r="L57" s="457" t="str">
        <f t="shared" si="34"/>
        <v>-</v>
      </c>
      <c r="M57" s="457" t="str">
        <f t="shared" si="34"/>
        <v>-</v>
      </c>
      <c r="N57" s="457" t="str">
        <f t="shared" si="34"/>
        <v>-</v>
      </c>
      <c r="O57" s="458">
        <f t="shared" si="3"/>
        <v>0</v>
      </c>
    </row>
    <row r="58" ht="12.75" customHeight="1">
      <c r="A58" s="448" t="s">
        <v>488</v>
      </c>
      <c r="B58" s="443" t="s">
        <v>443</v>
      </c>
      <c r="C58" s="459" t="s">
        <v>90</v>
      </c>
      <c r="D58" s="459" t="s">
        <v>90</v>
      </c>
      <c r="E58" s="459" t="s">
        <v>90</v>
      </c>
      <c r="F58" s="459" t="s">
        <v>90</v>
      </c>
      <c r="G58" s="459" t="s">
        <v>90</v>
      </c>
      <c r="H58" s="459" t="s">
        <v>90</v>
      </c>
      <c r="I58" s="457" t="str">
        <f t="shared" ref="I58:N58" si="35">iferror(C58*$B$17, "-")</f>
        <v>-</v>
      </c>
      <c r="J58" s="457" t="str">
        <f t="shared" si="35"/>
        <v>-</v>
      </c>
      <c r="K58" s="457" t="str">
        <f t="shared" si="35"/>
        <v>-</v>
      </c>
      <c r="L58" s="457" t="str">
        <f t="shared" si="35"/>
        <v>-</v>
      </c>
      <c r="M58" s="457" t="str">
        <f t="shared" si="35"/>
        <v>-</v>
      </c>
      <c r="N58" s="457" t="str">
        <f t="shared" si="35"/>
        <v>-</v>
      </c>
      <c r="O58" s="458">
        <f t="shared" si="3"/>
        <v>0</v>
      </c>
    </row>
    <row r="59" ht="12.75" customHeight="1">
      <c r="A59" s="448" t="s">
        <v>488</v>
      </c>
      <c r="B59" s="465" t="s">
        <v>51</v>
      </c>
      <c r="C59" s="460">
        <v>0.25</v>
      </c>
      <c r="D59" s="466" t="s">
        <v>90</v>
      </c>
      <c r="E59" s="466" t="s">
        <v>90</v>
      </c>
      <c r="F59" s="466" t="s">
        <v>90</v>
      </c>
      <c r="G59" s="466" t="s">
        <v>90</v>
      </c>
      <c r="H59" s="466" t="s">
        <v>90</v>
      </c>
      <c r="I59" s="457">
        <f t="shared" ref="I59:N59" si="36">iferror(C59*$B$18, "-")</f>
        <v>6</v>
      </c>
      <c r="J59" s="457" t="str">
        <f t="shared" si="36"/>
        <v>-</v>
      </c>
      <c r="K59" s="457" t="str">
        <f t="shared" si="36"/>
        <v>-</v>
      </c>
      <c r="L59" s="457" t="str">
        <f t="shared" si="36"/>
        <v>-</v>
      </c>
      <c r="M59" s="457" t="str">
        <f t="shared" si="36"/>
        <v>-</v>
      </c>
      <c r="N59" s="457" t="str">
        <f t="shared" si="36"/>
        <v>-</v>
      </c>
      <c r="O59" s="457">
        <f t="shared" si="3"/>
        <v>6</v>
      </c>
      <c r="P59" s="294"/>
      <c r="Q59" s="294"/>
      <c r="R59" s="294"/>
      <c r="S59" s="294"/>
      <c r="T59" s="294"/>
      <c r="U59" s="294"/>
      <c r="V59" s="294"/>
      <c r="W59" s="294"/>
      <c r="X59" s="294"/>
      <c r="Y59" s="294"/>
      <c r="Z59" s="294"/>
      <c r="AA59" s="294"/>
      <c r="AB59" s="294"/>
      <c r="AC59" s="294"/>
      <c r="AD59" s="294"/>
      <c r="AE59" s="294"/>
      <c r="AF59" s="294"/>
      <c r="AG59" s="294"/>
      <c r="AH59" s="294"/>
      <c r="AI59" s="294"/>
      <c r="AJ59" s="294"/>
      <c r="AK59" s="294"/>
      <c r="AL59" s="294"/>
      <c r="AM59" s="294"/>
      <c r="AN59" s="294"/>
      <c r="AO59" s="294"/>
      <c r="AP59" s="294"/>
      <c r="AQ59" s="294"/>
      <c r="AR59" s="294"/>
      <c r="AS59" s="294"/>
      <c r="AT59" s="294"/>
    </row>
    <row r="60" ht="12.75" customHeight="1">
      <c r="A60" s="448" t="s">
        <v>488</v>
      </c>
      <c r="B60" s="448" t="s">
        <v>15</v>
      </c>
      <c r="C60" s="460">
        <v>0.25</v>
      </c>
      <c r="D60" s="466" t="s">
        <v>90</v>
      </c>
      <c r="E60" s="460">
        <v>0.25</v>
      </c>
      <c r="F60" s="466" t="s">
        <v>90</v>
      </c>
      <c r="G60" s="466" t="s">
        <v>90</v>
      </c>
      <c r="H60" s="466" t="s">
        <v>90</v>
      </c>
      <c r="I60" s="457">
        <f t="shared" ref="I60:N60" si="37">iferror(C60*$B$19, "-")</f>
        <v>12.25</v>
      </c>
      <c r="J60" s="457" t="str">
        <f t="shared" si="37"/>
        <v>-</v>
      </c>
      <c r="K60" s="457">
        <f t="shared" si="37"/>
        <v>12.25</v>
      </c>
      <c r="L60" s="457" t="str">
        <f t="shared" si="37"/>
        <v>-</v>
      </c>
      <c r="M60" s="457" t="str">
        <f t="shared" si="37"/>
        <v>-</v>
      </c>
      <c r="N60" s="457" t="str">
        <f t="shared" si="37"/>
        <v>-</v>
      </c>
      <c r="O60" s="457">
        <f t="shared" si="3"/>
        <v>24.5</v>
      </c>
    </row>
    <row r="61" ht="12.75" customHeight="1">
      <c r="A61" s="448" t="s">
        <v>488</v>
      </c>
      <c r="B61" s="448" t="s">
        <v>16</v>
      </c>
      <c r="C61" s="460">
        <v>0.25</v>
      </c>
      <c r="D61" s="466" t="s">
        <v>90</v>
      </c>
      <c r="E61" s="460">
        <v>0.25</v>
      </c>
      <c r="F61" s="466" t="s">
        <v>90</v>
      </c>
      <c r="G61" s="466" t="s">
        <v>90</v>
      </c>
      <c r="H61" s="466" t="s">
        <v>90</v>
      </c>
      <c r="I61" s="457">
        <f t="shared" ref="I61:N61" si="38">iferror(C61*$B$20, "-")</f>
        <v>12.25</v>
      </c>
      <c r="J61" s="457" t="str">
        <f t="shared" si="38"/>
        <v>-</v>
      </c>
      <c r="K61" s="457">
        <f t="shared" si="38"/>
        <v>12.25</v>
      </c>
      <c r="L61" s="457" t="str">
        <f t="shared" si="38"/>
        <v>-</v>
      </c>
      <c r="M61" s="457" t="str">
        <f t="shared" si="38"/>
        <v>-</v>
      </c>
      <c r="N61" s="457" t="str">
        <f t="shared" si="38"/>
        <v>-</v>
      </c>
      <c r="O61" s="457">
        <f t="shared" si="3"/>
        <v>24.5</v>
      </c>
    </row>
    <row r="62" ht="12.75" customHeight="1">
      <c r="A62" s="468" t="s">
        <v>488</v>
      </c>
      <c r="B62" s="468" t="s">
        <v>397</v>
      </c>
      <c r="C62" s="469" t="s">
        <v>90</v>
      </c>
      <c r="D62" s="469" t="s">
        <v>90</v>
      </c>
      <c r="E62" s="469" t="s">
        <v>90</v>
      </c>
      <c r="F62" s="469" t="s">
        <v>90</v>
      </c>
      <c r="G62" s="469" t="s">
        <v>90</v>
      </c>
      <c r="H62" s="469" t="s">
        <v>90</v>
      </c>
      <c r="I62" s="471" t="str">
        <f t="shared" ref="I62:N62" si="39">iferror(C62*$B$21, "-")</f>
        <v>-</v>
      </c>
      <c r="J62" s="471" t="str">
        <f t="shared" si="39"/>
        <v>-</v>
      </c>
      <c r="K62" s="471" t="str">
        <f t="shared" si="39"/>
        <v>-</v>
      </c>
      <c r="L62" s="471" t="str">
        <f t="shared" si="39"/>
        <v>-</v>
      </c>
      <c r="M62" s="471" t="str">
        <f t="shared" si="39"/>
        <v>-</v>
      </c>
      <c r="N62" s="471" t="str">
        <f t="shared" si="39"/>
        <v>-</v>
      </c>
      <c r="O62" s="473">
        <f t="shared" si="3"/>
        <v>0</v>
      </c>
    </row>
    <row r="63" ht="12.75" customHeight="1">
      <c r="A63" s="448" t="s">
        <v>516</v>
      </c>
      <c r="B63" s="443" t="s">
        <v>329</v>
      </c>
      <c r="C63" s="455" t="s">
        <v>90</v>
      </c>
      <c r="D63" s="455" t="s">
        <v>90</v>
      </c>
      <c r="E63" s="456">
        <v>0.25</v>
      </c>
      <c r="F63" s="455" t="s">
        <v>90</v>
      </c>
      <c r="G63" s="455" t="s">
        <v>90</v>
      </c>
      <c r="H63" s="455" t="s">
        <v>90</v>
      </c>
      <c r="I63" s="457" t="str">
        <f t="shared" ref="I63:N63" si="40">iferror(C63*$B$3, "-")</f>
        <v>-</v>
      </c>
      <c r="J63" s="457" t="str">
        <f t="shared" si="40"/>
        <v>-</v>
      </c>
      <c r="K63" s="457">
        <f t="shared" si="40"/>
        <v>3.25</v>
      </c>
      <c r="L63" s="457" t="str">
        <f t="shared" si="40"/>
        <v>-</v>
      </c>
      <c r="M63" s="457" t="str">
        <f t="shared" si="40"/>
        <v>-</v>
      </c>
      <c r="N63" s="457" t="str">
        <f t="shared" si="40"/>
        <v>-</v>
      </c>
      <c r="O63" s="474">
        <f t="shared" si="3"/>
        <v>3.25</v>
      </c>
    </row>
    <row r="64" ht="12.75" customHeight="1">
      <c r="A64" s="448" t="s">
        <v>516</v>
      </c>
      <c r="B64" s="443" t="s">
        <v>338</v>
      </c>
      <c r="C64" s="459" t="s">
        <v>90</v>
      </c>
      <c r="D64" s="459" t="s">
        <v>90</v>
      </c>
      <c r="E64" s="460">
        <v>0.25</v>
      </c>
      <c r="F64" s="459" t="s">
        <v>90</v>
      </c>
      <c r="G64" s="459" t="s">
        <v>90</v>
      </c>
      <c r="H64" s="459" t="s">
        <v>90</v>
      </c>
      <c r="I64" s="457" t="str">
        <f t="shared" ref="I64:N64" si="41">iferror(C64*$B$4, "-")</f>
        <v>-</v>
      </c>
      <c r="J64" s="457" t="str">
        <f t="shared" si="41"/>
        <v>-</v>
      </c>
      <c r="K64" s="457">
        <f t="shared" si="41"/>
        <v>3</v>
      </c>
      <c r="L64" s="457" t="str">
        <f t="shared" si="41"/>
        <v>-</v>
      </c>
      <c r="M64" s="457" t="str">
        <f t="shared" si="41"/>
        <v>-</v>
      </c>
      <c r="N64" s="457" t="str">
        <f t="shared" si="41"/>
        <v>-</v>
      </c>
      <c r="O64" s="458">
        <f t="shared" si="3"/>
        <v>3</v>
      </c>
    </row>
    <row r="65" ht="12.75" customHeight="1">
      <c r="A65" s="448" t="s">
        <v>516</v>
      </c>
      <c r="B65" s="443" t="s">
        <v>341</v>
      </c>
      <c r="C65" s="459" t="s">
        <v>90</v>
      </c>
      <c r="D65" s="459" t="s">
        <v>90</v>
      </c>
      <c r="E65" s="460">
        <v>0.25</v>
      </c>
      <c r="F65" s="459" t="s">
        <v>90</v>
      </c>
      <c r="G65" s="459" t="s">
        <v>90</v>
      </c>
      <c r="H65" s="459" t="s">
        <v>90</v>
      </c>
      <c r="I65" s="457" t="str">
        <f t="shared" ref="I65:N65" si="42">iferror(C65*$B$5, "-")</f>
        <v>-</v>
      </c>
      <c r="J65" s="457" t="str">
        <f t="shared" si="42"/>
        <v>-</v>
      </c>
      <c r="K65" s="457">
        <f t="shared" si="42"/>
        <v>3</v>
      </c>
      <c r="L65" s="457" t="str">
        <f t="shared" si="42"/>
        <v>-</v>
      </c>
      <c r="M65" s="457" t="str">
        <f t="shared" si="42"/>
        <v>-</v>
      </c>
      <c r="N65" s="457" t="str">
        <f t="shared" si="42"/>
        <v>-</v>
      </c>
      <c r="O65" s="458">
        <f t="shared" si="3"/>
        <v>3</v>
      </c>
    </row>
    <row r="66" ht="12.75" customHeight="1">
      <c r="A66" s="448" t="s">
        <v>516</v>
      </c>
      <c r="B66" s="448" t="s">
        <v>42</v>
      </c>
      <c r="C66" s="459" t="s">
        <v>90</v>
      </c>
      <c r="D66" s="459" t="s">
        <v>90</v>
      </c>
      <c r="E66" s="460">
        <v>0.25</v>
      </c>
      <c r="F66" s="459" t="s">
        <v>90</v>
      </c>
      <c r="G66" s="459" t="s">
        <v>90</v>
      </c>
      <c r="H66" s="459" t="s">
        <v>90</v>
      </c>
      <c r="I66" s="457" t="str">
        <f t="shared" ref="I66:N66" si="43">iferror(C66*$B$6, "-")</f>
        <v>-</v>
      </c>
      <c r="J66" s="457" t="str">
        <f t="shared" si="43"/>
        <v>-</v>
      </c>
      <c r="K66" s="457">
        <f t="shared" si="43"/>
        <v>3</v>
      </c>
      <c r="L66" s="457" t="str">
        <f t="shared" si="43"/>
        <v>-</v>
      </c>
      <c r="M66" s="457" t="str">
        <f t="shared" si="43"/>
        <v>-</v>
      </c>
      <c r="N66" s="457" t="str">
        <f t="shared" si="43"/>
        <v>-</v>
      </c>
      <c r="O66" s="458">
        <f t="shared" si="3"/>
        <v>3</v>
      </c>
    </row>
    <row r="67" ht="12.75" customHeight="1">
      <c r="A67" s="448" t="s">
        <v>516</v>
      </c>
      <c r="B67" s="443" t="s">
        <v>413</v>
      </c>
      <c r="C67" s="460">
        <v>0.25</v>
      </c>
      <c r="D67" s="459" t="s">
        <v>90</v>
      </c>
      <c r="E67" s="460">
        <v>0.25</v>
      </c>
      <c r="F67" s="460">
        <v>0.25</v>
      </c>
      <c r="G67" s="459" t="s">
        <v>90</v>
      </c>
      <c r="H67" s="459" t="s">
        <v>90</v>
      </c>
      <c r="I67" s="457">
        <f t="shared" ref="I67:N67" si="44">iferror(C67*$B$7, "-")</f>
        <v>12.25</v>
      </c>
      <c r="J67" s="457" t="str">
        <f t="shared" si="44"/>
        <v>-</v>
      </c>
      <c r="K67" s="457">
        <f t="shared" si="44"/>
        <v>12.25</v>
      </c>
      <c r="L67" s="457">
        <f t="shared" si="44"/>
        <v>12.25</v>
      </c>
      <c r="M67" s="457" t="str">
        <f t="shared" si="44"/>
        <v>-</v>
      </c>
      <c r="N67" s="457" t="str">
        <f t="shared" si="44"/>
        <v>-</v>
      </c>
      <c r="O67" s="458">
        <f t="shared" si="3"/>
        <v>36.75</v>
      </c>
    </row>
    <row r="68" ht="12.75" customHeight="1">
      <c r="A68" s="448" t="s">
        <v>516</v>
      </c>
      <c r="B68" s="443" t="s">
        <v>433</v>
      </c>
      <c r="C68" s="459" t="s">
        <v>90</v>
      </c>
      <c r="D68" s="459" t="s">
        <v>90</v>
      </c>
      <c r="E68" s="459" t="s">
        <v>90</v>
      </c>
      <c r="F68" s="460">
        <v>0.25</v>
      </c>
      <c r="G68" s="460">
        <v>0.25</v>
      </c>
      <c r="H68" s="459" t="s">
        <v>90</v>
      </c>
      <c r="I68" s="457" t="str">
        <f t="shared" ref="I68:N68" si="45">iferror(C68*$B$8, "-")</f>
        <v>-</v>
      </c>
      <c r="J68" s="457" t="str">
        <f t="shared" si="45"/>
        <v>-</v>
      </c>
      <c r="K68" s="457" t="str">
        <f t="shared" si="45"/>
        <v>-</v>
      </c>
      <c r="L68" s="457">
        <f t="shared" si="45"/>
        <v>12.25</v>
      </c>
      <c r="M68" s="457">
        <f t="shared" si="45"/>
        <v>12.25</v>
      </c>
      <c r="N68" s="457" t="str">
        <f t="shared" si="45"/>
        <v>-</v>
      </c>
      <c r="O68" s="458">
        <f t="shared" si="3"/>
        <v>24.5</v>
      </c>
    </row>
    <row r="69" ht="12.75" customHeight="1">
      <c r="A69" s="448" t="s">
        <v>516</v>
      </c>
      <c r="B69" s="443" t="s">
        <v>434</v>
      </c>
      <c r="C69" s="459" t="s">
        <v>90</v>
      </c>
      <c r="D69" s="460">
        <v>0.25</v>
      </c>
      <c r="E69" s="459" t="s">
        <v>90</v>
      </c>
      <c r="F69" s="459" t="s">
        <v>90</v>
      </c>
      <c r="G69" s="459" t="s">
        <v>90</v>
      </c>
      <c r="H69" s="459" t="s">
        <v>90</v>
      </c>
      <c r="I69" s="457" t="str">
        <f t="shared" ref="I69:N69" si="46">iferror(C69*$B$9, "-")</f>
        <v>-</v>
      </c>
      <c r="J69" s="457">
        <f t="shared" si="46"/>
        <v>3</v>
      </c>
      <c r="K69" s="457" t="str">
        <f t="shared" si="46"/>
        <v>-</v>
      </c>
      <c r="L69" s="457" t="str">
        <f t="shared" si="46"/>
        <v>-</v>
      </c>
      <c r="M69" s="457" t="str">
        <f t="shared" si="46"/>
        <v>-</v>
      </c>
      <c r="N69" s="457" t="str">
        <f t="shared" si="46"/>
        <v>-</v>
      </c>
      <c r="O69" s="458">
        <f t="shared" si="3"/>
        <v>3</v>
      </c>
    </row>
    <row r="70" ht="12.75" customHeight="1">
      <c r="A70" s="448" t="s">
        <v>516</v>
      </c>
      <c r="B70" s="448" t="s">
        <v>206</v>
      </c>
      <c r="C70" s="459" t="s">
        <v>90</v>
      </c>
      <c r="D70" s="460">
        <v>0.25</v>
      </c>
      <c r="E70" s="459" t="s">
        <v>90</v>
      </c>
      <c r="F70" s="459" t="s">
        <v>90</v>
      </c>
      <c r="G70" s="459" t="s">
        <v>90</v>
      </c>
      <c r="H70" s="459" t="s">
        <v>90</v>
      </c>
      <c r="I70" s="457" t="str">
        <f t="shared" ref="I70:N70" si="47">iferror(C70*$B$10, "-")</f>
        <v>-</v>
      </c>
      <c r="J70" s="457">
        <f t="shared" si="47"/>
        <v>3.25</v>
      </c>
      <c r="K70" s="457" t="str">
        <f t="shared" si="47"/>
        <v>-</v>
      </c>
      <c r="L70" s="457" t="str">
        <f t="shared" si="47"/>
        <v>-</v>
      </c>
      <c r="M70" s="457" t="str">
        <f t="shared" si="47"/>
        <v>-</v>
      </c>
      <c r="N70" s="457" t="str">
        <f t="shared" si="47"/>
        <v>-</v>
      </c>
      <c r="O70" s="458">
        <f t="shared" si="3"/>
        <v>3.25</v>
      </c>
    </row>
    <row r="71" ht="12.75" customHeight="1">
      <c r="A71" s="448" t="s">
        <v>516</v>
      </c>
      <c r="B71" s="443" t="s">
        <v>401</v>
      </c>
      <c r="C71" s="459" t="s">
        <v>90</v>
      </c>
      <c r="D71" s="460">
        <v>0.25</v>
      </c>
      <c r="E71" s="459" t="s">
        <v>90</v>
      </c>
      <c r="F71" s="459" t="s">
        <v>90</v>
      </c>
      <c r="G71" s="459" t="s">
        <v>90</v>
      </c>
      <c r="H71" s="459" t="s">
        <v>90</v>
      </c>
      <c r="I71" s="457" t="str">
        <f t="shared" ref="I71:N71" si="48">iferror(C71*$B$11, "-")</f>
        <v>-</v>
      </c>
      <c r="J71" s="457">
        <f t="shared" si="48"/>
        <v>3.75</v>
      </c>
      <c r="K71" s="457" t="str">
        <f t="shared" si="48"/>
        <v>-</v>
      </c>
      <c r="L71" s="457" t="str">
        <f t="shared" si="48"/>
        <v>-</v>
      </c>
      <c r="M71" s="457" t="str">
        <f t="shared" si="48"/>
        <v>-</v>
      </c>
      <c r="N71" s="457" t="str">
        <f t="shared" si="48"/>
        <v>-</v>
      </c>
      <c r="O71" s="458">
        <f t="shared" si="3"/>
        <v>3.75</v>
      </c>
    </row>
    <row r="72" ht="12.75" customHeight="1">
      <c r="A72" s="448" t="s">
        <v>516</v>
      </c>
      <c r="B72" s="443" t="s">
        <v>438</v>
      </c>
      <c r="C72" s="459" t="s">
        <v>90</v>
      </c>
      <c r="D72" s="460">
        <v>0.25</v>
      </c>
      <c r="E72" s="459" t="s">
        <v>90</v>
      </c>
      <c r="F72" s="459" t="s">
        <v>90</v>
      </c>
      <c r="G72" s="459" t="s">
        <v>90</v>
      </c>
      <c r="H72" s="459" t="s">
        <v>90</v>
      </c>
      <c r="I72" s="457" t="str">
        <f t="shared" ref="I72:N72" si="49">iferror(C72*$B$12, "-")</f>
        <v>-</v>
      </c>
      <c r="J72" s="457">
        <f t="shared" si="49"/>
        <v>4</v>
      </c>
      <c r="K72" s="457" t="str">
        <f t="shared" si="49"/>
        <v>-</v>
      </c>
      <c r="L72" s="457" t="str">
        <f t="shared" si="49"/>
        <v>-</v>
      </c>
      <c r="M72" s="457" t="str">
        <f t="shared" si="49"/>
        <v>-</v>
      </c>
      <c r="N72" s="457" t="str">
        <f t="shared" si="49"/>
        <v>-</v>
      </c>
      <c r="O72" s="458">
        <f t="shared" si="3"/>
        <v>4</v>
      </c>
    </row>
    <row r="73" ht="12.75" customHeight="1">
      <c r="A73" s="448" t="s">
        <v>516</v>
      </c>
      <c r="B73" s="443" t="s">
        <v>7</v>
      </c>
      <c r="C73" s="459" t="s">
        <v>90</v>
      </c>
      <c r="D73" s="459" t="s">
        <v>90</v>
      </c>
      <c r="E73" s="459" t="s">
        <v>90</v>
      </c>
      <c r="F73" s="459" t="s">
        <v>90</v>
      </c>
      <c r="G73" s="459" t="s">
        <v>90</v>
      </c>
      <c r="H73" s="459" t="s">
        <v>90</v>
      </c>
      <c r="I73" s="457" t="str">
        <f t="shared" ref="I73:N73" si="50">iferror(C73*$B$13, "-")</f>
        <v>-</v>
      </c>
      <c r="J73" s="457" t="str">
        <f t="shared" si="50"/>
        <v>-</v>
      </c>
      <c r="K73" s="457" t="str">
        <f t="shared" si="50"/>
        <v>-</v>
      </c>
      <c r="L73" s="457" t="str">
        <f t="shared" si="50"/>
        <v>-</v>
      </c>
      <c r="M73" s="457" t="str">
        <f t="shared" si="50"/>
        <v>-</v>
      </c>
      <c r="N73" s="457" t="str">
        <f t="shared" si="50"/>
        <v>-</v>
      </c>
      <c r="O73" s="458">
        <f t="shared" si="3"/>
        <v>0</v>
      </c>
    </row>
    <row r="74" ht="12.75" customHeight="1">
      <c r="A74" s="448" t="s">
        <v>516</v>
      </c>
      <c r="B74" s="443" t="s">
        <v>398</v>
      </c>
      <c r="C74" s="459" t="s">
        <v>90</v>
      </c>
      <c r="D74" s="459" t="s">
        <v>90</v>
      </c>
      <c r="E74" s="459" t="s">
        <v>90</v>
      </c>
      <c r="F74" s="459" t="s">
        <v>90</v>
      </c>
      <c r="G74" s="459" t="s">
        <v>90</v>
      </c>
      <c r="H74" s="459" t="s">
        <v>90</v>
      </c>
      <c r="I74" s="457" t="str">
        <f t="shared" ref="I74:N74" si="51">iferror(C74*$B$14, "-")</f>
        <v>-</v>
      </c>
      <c r="J74" s="457" t="str">
        <f t="shared" si="51"/>
        <v>-</v>
      </c>
      <c r="K74" s="457" t="str">
        <f t="shared" si="51"/>
        <v>-</v>
      </c>
      <c r="L74" s="457" t="str">
        <f t="shared" si="51"/>
        <v>-</v>
      </c>
      <c r="M74" s="457" t="str">
        <f t="shared" si="51"/>
        <v>-</v>
      </c>
      <c r="N74" s="457" t="str">
        <f t="shared" si="51"/>
        <v>-</v>
      </c>
      <c r="O74" s="458">
        <f t="shared" si="3"/>
        <v>0</v>
      </c>
    </row>
    <row r="75" ht="12.75" customHeight="1">
      <c r="A75" s="448" t="s">
        <v>516</v>
      </c>
      <c r="B75" s="448" t="s">
        <v>63</v>
      </c>
      <c r="C75" s="459" t="s">
        <v>90</v>
      </c>
      <c r="D75" s="460">
        <v>0.25</v>
      </c>
      <c r="E75" s="459" t="s">
        <v>90</v>
      </c>
      <c r="F75" s="459" t="s">
        <v>90</v>
      </c>
      <c r="G75" s="459" t="s">
        <v>90</v>
      </c>
      <c r="H75" s="459" t="s">
        <v>90</v>
      </c>
      <c r="I75" s="457" t="str">
        <f t="shared" ref="I75:N75" si="52">iferror(C75*$B$15, "-")</f>
        <v>-</v>
      </c>
      <c r="J75" s="457">
        <f t="shared" si="52"/>
        <v>0.75</v>
      </c>
      <c r="K75" s="457" t="str">
        <f t="shared" si="52"/>
        <v>-</v>
      </c>
      <c r="L75" s="457" t="str">
        <f t="shared" si="52"/>
        <v>-</v>
      </c>
      <c r="M75" s="457" t="str">
        <f t="shared" si="52"/>
        <v>-</v>
      </c>
      <c r="N75" s="457" t="str">
        <f t="shared" si="52"/>
        <v>-</v>
      </c>
      <c r="O75" s="458">
        <f t="shared" si="3"/>
        <v>0.75</v>
      </c>
    </row>
    <row r="76" ht="12.75" customHeight="1">
      <c r="A76" s="448" t="s">
        <v>516</v>
      </c>
      <c r="B76" s="443" t="s">
        <v>151</v>
      </c>
      <c r="C76" s="459" t="s">
        <v>90</v>
      </c>
      <c r="D76" s="459" t="s">
        <v>90</v>
      </c>
      <c r="E76" s="459" t="s">
        <v>90</v>
      </c>
      <c r="F76" s="459" t="s">
        <v>90</v>
      </c>
      <c r="G76" s="459" t="s">
        <v>90</v>
      </c>
      <c r="H76" s="459" t="s">
        <v>90</v>
      </c>
      <c r="I76" s="457" t="str">
        <f t="shared" ref="I76:N76" si="53">iferror(C76*$B$16, "-")</f>
        <v>-</v>
      </c>
      <c r="J76" s="457" t="str">
        <f t="shared" si="53"/>
        <v>-</v>
      </c>
      <c r="K76" s="457" t="str">
        <f t="shared" si="53"/>
        <v>-</v>
      </c>
      <c r="L76" s="457" t="str">
        <f t="shared" si="53"/>
        <v>-</v>
      </c>
      <c r="M76" s="457" t="str">
        <f t="shared" si="53"/>
        <v>-</v>
      </c>
      <c r="N76" s="457" t="str">
        <f t="shared" si="53"/>
        <v>-</v>
      </c>
      <c r="O76" s="458">
        <f t="shared" si="3"/>
        <v>0</v>
      </c>
    </row>
    <row r="77" ht="12.75" customHeight="1">
      <c r="A77" s="448" t="s">
        <v>516</v>
      </c>
      <c r="B77" s="443" t="s">
        <v>443</v>
      </c>
      <c r="C77" s="459" t="s">
        <v>90</v>
      </c>
      <c r="D77" s="459" t="s">
        <v>90</v>
      </c>
      <c r="E77" s="459" t="s">
        <v>90</v>
      </c>
      <c r="F77" s="459" t="s">
        <v>90</v>
      </c>
      <c r="G77" s="459" t="s">
        <v>90</v>
      </c>
      <c r="H77" s="459" t="s">
        <v>90</v>
      </c>
      <c r="I77" s="457" t="str">
        <f t="shared" ref="I77:N77" si="54">iferror(C77*$B$17, "-")</f>
        <v>-</v>
      </c>
      <c r="J77" s="457" t="str">
        <f t="shared" si="54"/>
        <v>-</v>
      </c>
      <c r="K77" s="457" t="str">
        <f t="shared" si="54"/>
        <v>-</v>
      </c>
      <c r="L77" s="457" t="str">
        <f t="shared" si="54"/>
        <v>-</v>
      </c>
      <c r="M77" s="457" t="str">
        <f t="shared" si="54"/>
        <v>-</v>
      </c>
      <c r="N77" s="457" t="str">
        <f t="shared" si="54"/>
        <v>-</v>
      </c>
      <c r="O77" s="458">
        <f t="shared" si="3"/>
        <v>0</v>
      </c>
    </row>
    <row r="78" ht="12.75" customHeight="1">
      <c r="A78" s="448" t="s">
        <v>516</v>
      </c>
      <c r="B78" s="465" t="s">
        <v>51</v>
      </c>
      <c r="C78" s="460">
        <v>0.25</v>
      </c>
      <c r="D78" s="466" t="s">
        <v>90</v>
      </c>
      <c r="E78" s="466" t="s">
        <v>90</v>
      </c>
      <c r="F78" s="466" t="s">
        <v>90</v>
      </c>
      <c r="G78" s="466" t="s">
        <v>90</v>
      </c>
      <c r="H78" s="466" t="s">
        <v>90</v>
      </c>
      <c r="I78" s="457">
        <f t="shared" ref="I78:N78" si="55">iferror(C78*$B$18, "-")</f>
        <v>6</v>
      </c>
      <c r="J78" s="457" t="str">
        <f t="shared" si="55"/>
        <v>-</v>
      </c>
      <c r="K78" s="457" t="str">
        <f t="shared" si="55"/>
        <v>-</v>
      </c>
      <c r="L78" s="457" t="str">
        <f t="shared" si="55"/>
        <v>-</v>
      </c>
      <c r="M78" s="457" t="str">
        <f t="shared" si="55"/>
        <v>-</v>
      </c>
      <c r="N78" s="457" t="str">
        <f t="shared" si="55"/>
        <v>-</v>
      </c>
      <c r="O78" s="457">
        <f t="shared" si="3"/>
        <v>6</v>
      </c>
    </row>
    <row r="79" ht="12.75" customHeight="1">
      <c r="A79" s="448" t="s">
        <v>516</v>
      </c>
      <c r="B79" s="448" t="s">
        <v>15</v>
      </c>
      <c r="C79" s="460">
        <v>0.25</v>
      </c>
      <c r="D79" s="466" t="s">
        <v>90</v>
      </c>
      <c r="E79" s="460">
        <v>0.25</v>
      </c>
      <c r="F79" s="466" t="s">
        <v>90</v>
      </c>
      <c r="G79" s="466" t="s">
        <v>90</v>
      </c>
      <c r="H79" s="466" t="s">
        <v>90</v>
      </c>
      <c r="I79" s="457">
        <f t="shared" ref="I79:N79" si="56">iferror(C79*$B$19, "-")</f>
        <v>12.25</v>
      </c>
      <c r="J79" s="457" t="str">
        <f t="shared" si="56"/>
        <v>-</v>
      </c>
      <c r="K79" s="457">
        <f t="shared" si="56"/>
        <v>12.25</v>
      </c>
      <c r="L79" s="457" t="str">
        <f t="shared" si="56"/>
        <v>-</v>
      </c>
      <c r="M79" s="457" t="str">
        <f t="shared" si="56"/>
        <v>-</v>
      </c>
      <c r="N79" s="457" t="str">
        <f t="shared" si="56"/>
        <v>-</v>
      </c>
      <c r="O79" s="457">
        <f t="shared" si="3"/>
        <v>24.5</v>
      </c>
    </row>
    <row r="80" ht="12.75" customHeight="1">
      <c r="A80" s="448" t="s">
        <v>516</v>
      </c>
      <c r="B80" s="448" t="s">
        <v>16</v>
      </c>
      <c r="C80" s="460">
        <v>0.25</v>
      </c>
      <c r="D80" s="466" t="s">
        <v>90</v>
      </c>
      <c r="E80" s="460">
        <v>0.25</v>
      </c>
      <c r="F80" s="466" t="s">
        <v>90</v>
      </c>
      <c r="G80" s="466" t="s">
        <v>90</v>
      </c>
      <c r="H80" s="466" t="s">
        <v>90</v>
      </c>
      <c r="I80" s="457">
        <f t="shared" ref="I80:N80" si="57">iferror(C80*$B$20, "-")</f>
        <v>12.25</v>
      </c>
      <c r="J80" s="457" t="str">
        <f t="shared" si="57"/>
        <v>-</v>
      </c>
      <c r="K80" s="457">
        <f t="shared" si="57"/>
        <v>12.25</v>
      </c>
      <c r="L80" s="457" t="str">
        <f t="shared" si="57"/>
        <v>-</v>
      </c>
      <c r="M80" s="457" t="str">
        <f t="shared" si="57"/>
        <v>-</v>
      </c>
      <c r="N80" s="457" t="str">
        <f t="shared" si="57"/>
        <v>-</v>
      </c>
      <c r="O80" s="457">
        <f t="shared" si="3"/>
        <v>24.5</v>
      </c>
    </row>
    <row r="81" ht="12.75" customHeight="1">
      <c r="A81" s="468" t="s">
        <v>516</v>
      </c>
      <c r="B81" s="468" t="s">
        <v>397</v>
      </c>
      <c r="C81" s="469" t="s">
        <v>90</v>
      </c>
      <c r="D81" s="469" t="s">
        <v>90</v>
      </c>
      <c r="E81" s="469" t="s">
        <v>90</v>
      </c>
      <c r="F81" s="469" t="s">
        <v>90</v>
      </c>
      <c r="G81" s="469" t="s">
        <v>90</v>
      </c>
      <c r="H81" s="469" t="s">
        <v>90</v>
      </c>
      <c r="I81" s="471" t="str">
        <f t="shared" ref="I81:N81" si="58">iferror(C81*$B$21, "-")</f>
        <v>-</v>
      </c>
      <c r="J81" s="471" t="str">
        <f t="shared" si="58"/>
        <v>-</v>
      </c>
      <c r="K81" s="471" t="str">
        <f t="shared" si="58"/>
        <v>-</v>
      </c>
      <c r="L81" s="471" t="str">
        <f t="shared" si="58"/>
        <v>-</v>
      </c>
      <c r="M81" s="471" t="str">
        <f t="shared" si="58"/>
        <v>-</v>
      </c>
      <c r="N81" s="471" t="str">
        <f t="shared" si="58"/>
        <v>-</v>
      </c>
      <c r="O81" s="473">
        <f t="shared" si="3"/>
        <v>0</v>
      </c>
    </row>
    <row r="82" ht="12.75" customHeight="1">
      <c r="A82" s="448" t="s">
        <v>517</v>
      </c>
      <c r="B82" s="443" t="s">
        <v>329</v>
      </c>
      <c r="C82" s="455" t="s">
        <v>90</v>
      </c>
      <c r="D82" s="455" t="s">
        <v>90</v>
      </c>
      <c r="E82" s="456">
        <v>0.25</v>
      </c>
      <c r="F82" s="455" t="s">
        <v>90</v>
      </c>
      <c r="G82" s="455" t="s">
        <v>90</v>
      </c>
      <c r="H82" s="455" t="s">
        <v>90</v>
      </c>
      <c r="I82" s="457" t="str">
        <f t="shared" ref="I82:N82" si="59">iferror(C82*$B$3, "-")</f>
        <v>-</v>
      </c>
      <c r="J82" s="457" t="str">
        <f t="shared" si="59"/>
        <v>-</v>
      </c>
      <c r="K82" s="457">
        <f t="shared" si="59"/>
        <v>3.25</v>
      </c>
      <c r="L82" s="457" t="str">
        <f t="shared" si="59"/>
        <v>-</v>
      </c>
      <c r="M82" s="457" t="str">
        <f t="shared" si="59"/>
        <v>-</v>
      </c>
      <c r="N82" s="457" t="str">
        <f t="shared" si="59"/>
        <v>-</v>
      </c>
      <c r="O82" s="474">
        <f t="shared" si="3"/>
        <v>3.25</v>
      </c>
    </row>
    <row r="83" ht="12.75" customHeight="1">
      <c r="A83" s="448" t="s">
        <v>517</v>
      </c>
      <c r="B83" s="443" t="s">
        <v>338</v>
      </c>
      <c r="C83" s="459" t="s">
        <v>90</v>
      </c>
      <c r="D83" s="459" t="s">
        <v>90</v>
      </c>
      <c r="E83" s="460">
        <v>0.25</v>
      </c>
      <c r="F83" s="459" t="s">
        <v>90</v>
      </c>
      <c r="G83" s="459" t="s">
        <v>90</v>
      </c>
      <c r="H83" s="459" t="s">
        <v>90</v>
      </c>
      <c r="I83" s="457" t="str">
        <f t="shared" ref="I83:N83" si="60">iferror(C83*$B$4, "-")</f>
        <v>-</v>
      </c>
      <c r="J83" s="457" t="str">
        <f t="shared" si="60"/>
        <v>-</v>
      </c>
      <c r="K83" s="457">
        <f t="shared" si="60"/>
        <v>3</v>
      </c>
      <c r="L83" s="457" t="str">
        <f t="shared" si="60"/>
        <v>-</v>
      </c>
      <c r="M83" s="457" t="str">
        <f t="shared" si="60"/>
        <v>-</v>
      </c>
      <c r="N83" s="457" t="str">
        <f t="shared" si="60"/>
        <v>-</v>
      </c>
      <c r="O83" s="458">
        <f t="shared" si="3"/>
        <v>3</v>
      </c>
    </row>
    <row r="84" ht="12.75" customHeight="1">
      <c r="A84" s="448" t="s">
        <v>517</v>
      </c>
      <c r="B84" s="443" t="s">
        <v>341</v>
      </c>
      <c r="C84" s="459" t="s">
        <v>90</v>
      </c>
      <c r="D84" s="459" t="s">
        <v>90</v>
      </c>
      <c r="E84" s="460">
        <v>0.25</v>
      </c>
      <c r="F84" s="459" t="s">
        <v>90</v>
      </c>
      <c r="G84" s="459" t="s">
        <v>90</v>
      </c>
      <c r="H84" s="459" t="s">
        <v>90</v>
      </c>
      <c r="I84" s="457" t="str">
        <f t="shared" ref="I84:N84" si="61">iferror(C84*$B$5, "-")</f>
        <v>-</v>
      </c>
      <c r="J84" s="457" t="str">
        <f t="shared" si="61"/>
        <v>-</v>
      </c>
      <c r="K84" s="457">
        <f t="shared" si="61"/>
        <v>3</v>
      </c>
      <c r="L84" s="457" t="str">
        <f t="shared" si="61"/>
        <v>-</v>
      </c>
      <c r="M84" s="457" t="str">
        <f t="shared" si="61"/>
        <v>-</v>
      </c>
      <c r="N84" s="457" t="str">
        <f t="shared" si="61"/>
        <v>-</v>
      </c>
      <c r="O84" s="458">
        <f t="shared" si="3"/>
        <v>3</v>
      </c>
    </row>
    <row r="85" ht="12.75" customHeight="1">
      <c r="A85" s="448" t="s">
        <v>517</v>
      </c>
      <c r="B85" s="448" t="s">
        <v>42</v>
      </c>
      <c r="C85" s="459" t="s">
        <v>90</v>
      </c>
      <c r="D85" s="459" t="s">
        <v>90</v>
      </c>
      <c r="E85" s="460">
        <v>0.25</v>
      </c>
      <c r="F85" s="459" t="s">
        <v>90</v>
      </c>
      <c r="G85" s="459" t="s">
        <v>90</v>
      </c>
      <c r="H85" s="459" t="s">
        <v>90</v>
      </c>
      <c r="I85" s="457" t="str">
        <f t="shared" ref="I85:N85" si="62">iferror(C85*$B$6, "-")</f>
        <v>-</v>
      </c>
      <c r="J85" s="457" t="str">
        <f t="shared" si="62"/>
        <v>-</v>
      </c>
      <c r="K85" s="457">
        <f t="shared" si="62"/>
        <v>3</v>
      </c>
      <c r="L85" s="457" t="str">
        <f t="shared" si="62"/>
        <v>-</v>
      </c>
      <c r="M85" s="457" t="str">
        <f t="shared" si="62"/>
        <v>-</v>
      </c>
      <c r="N85" s="457" t="str">
        <f t="shared" si="62"/>
        <v>-</v>
      </c>
      <c r="O85" s="458">
        <f t="shared" si="3"/>
        <v>3</v>
      </c>
    </row>
    <row r="86" ht="12.75" customHeight="1">
      <c r="A86" s="448" t="s">
        <v>517</v>
      </c>
      <c r="B86" s="443" t="s">
        <v>413</v>
      </c>
      <c r="C86" s="460">
        <v>0.25</v>
      </c>
      <c r="D86" s="459" t="s">
        <v>90</v>
      </c>
      <c r="E86" s="460">
        <v>0.25</v>
      </c>
      <c r="F86" s="460">
        <v>0.25</v>
      </c>
      <c r="G86" s="459" t="s">
        <v>90</v>
      </c>
      <c r="H86" s="459" t="s">
        <v>90</v>
      </c>
      <c r="I86" s="457">
        <f t="shared" ref="I86:N86" si="63">iferror(C86*$B$7, "-")</f>
        <v>12.25</v>
      </c>
      <c r="J86" s="457" t="str">
        <f t="shared" si="63"/>
        <v>-</v>
      </c>
      <c r="K86" s="457">
        <f t="shared" si="63"/>
        <v>12.25</v>
      </c>
      <c r="L86" s="457">
        <f t="shared" si="63"/>
        <v>12.25</v>
      </c>
      <c r="M86" s="457" t="str">
        <f t="shared" si="63"/>
        <v>-</v>
      </c>
      <c r="N86" s="457" t="str">
        <f t="shared" si="63"/>
        <v>-</v>
      </c>
      <c r="O86" s="458">
        <f t="shared" si="3"/>
        <v>36.75</v>
      </c>
    </row>
    <row r="87" ht="12.75" customHeight="1">
      <c r="A87" s="448" t="s">
        <v>517</v>
      </c>
      <c r="B87" s="443" t="s">
        <v>433</v>
      </c>
      <c r="C87" s="459" t="s">
        <v>90</v>
      </c>
      <c r="D87" s="459" t="s">
        <v>90</v>
      </c>
      <c r="E87" s="459" t="s">
        <v>90</v>
      </c>
      <c r="F87" s="460">
        <v>0.25</v>
      </c>
      <c r="G87" s="460">
        <v>0.25</v>
      </c>
      <c r="H87" s="459" t="s">
        <v>90</v>
      </c>
      <c r="I87" s="457" t="str">
        <f t="shared" ref="I87:N87" si="64">iferror(C87*$B$8, "-")</f>
        <v>-</v>
      </c>
      <c r="J87" s="457" t="str">
        <f t="shared" si="64"/>
        <v>-</v>
      </c>
      <c r="K87" s="457" t="str">
        <f t="shared" si="64"/>
        <v>-</v>
      </c>
      <c r="L87" s="457">
        <f t="shared" si="64"/>
        <v>12.25</v>
      </c>
      <c r="M87" s="457">
        <f t="shared" si="64"/>
        <v>12.25</v>
      </c>
      <c r="N87" s="457" t="str">
        <f t="shared" si="64"/>
        <v>-</v>
      </c>
      <c r="O87" s="458">
        <f t="shared" si="3"/>
        <v>24.5</v>
      </c>
    </row>
    <row r="88" ht="12.75" customHeight="1">
      <c r="A88" s="448" t="s">
        <v>517</v>
      </c>
      <c r="B88" s="443" t="s">
        <v>434</v>
      </c>
      <c r="C88" s="459" t="s">
        <v>90</v>
      </c>
      <c r="D88" s="460">
        <v>0.25</v>
      </c>
      <c r="E88" s="459" t="s">
        <v>90</v>
      </c>
      <c r="F88" s="459" t="s">
        <v>90</v>
      </c>
      <c r="G88" s="459" t="s">
        <v>90</v>
      </c>
      <c r="H88" s="459" t="s">
        <v>90</v>
      </c>
      <c r="I88" s="457" t="str">
        <f t="shared" ref="I88:N88" si="65">iferror(C88*$B$9, "-")</f>
        <v>-</v>
      </c>
      <c r="J88" s="457">
        <f t="shared" si="65"/>
        <v>3</v>
      </c>
      <c r="K88" s="457" t="str">
        <f t="shared" si="65"/>
        <v>-</v>
      </c>
      <c r="L88" s="457" t="str">
        <f t="shared" si="65"/>
        <v>-</v>
      </c>
      <c r="M88" s="457" t="str">
        <f t="shared" si="65"/>
        <v>-</v>
      </c>
      <c r="N88" s="457" t="str">
        <f t="shared" si="65"/>
        <v>-</v>
      </c>
      <c r="O88" s="458">
        <f t="shared" si="3"/>
        <v>3</v>
      </c>
    </row>
    <row r="89" ht="12.75" customHeight="1">
      <c r="A89" s="448" t="s">
        <v>517</v>
      </c>
      <c r="B89" s="448" t="s">
        <v>206</v>
      </c>
      <c r="C89" s="459" t="s">
        <v>90</v>
      </c>
      <c r="D89" s="460">
        <v>0.25</v>
      </c>
      <c r="E89" s="459" t="s">
        <v>90</v>
      </c>
      <c r="F89" s="459" t="s">
        <v>90</v>
      </c>
      <c r="G89" s="459" t="s">
        <v>90</v>
      </c>
      <c r="H89" s="459" t="s">
        <v>90</v>
      </c>
      <c r="I89" s="457" t="str">
        <f t="shared" ref="I89:N89" si="66">iferror(C89*$B$10, "-")</f>
        <v>-</v>
      </c>
      <c r="J89" s="457">
        <f t="shared" si="66"/>
        <v>3.25</v>
      </c>
      <c r="K89" s="457" t="str">
        <f t="shared" si="66"/>
        <v>-</v>
      </c>
      <c r="L89" s="457" t="str">
        <f t="shared" si="66"/>
        <v>-</v>
      </c>
      <c r="M89" s="457" t="str">
        <f t="shared" si="66"/>
        <v>-</v>
      </c>
      <c r="N89" s="457" t="str">
        <f t="shared" si="66"/>
        <v>-</v>
      </c>
      <c r="O89" s="458">
        <f t="shared" si="3"/>
        <v>3.25</v>
      </c>
    </row>
    <row r="90" ht="12.75" customHeight="1">
      <c r="A90" s="448" t="s">
        <v>517</v>
      </c>
      <c r="B90" s="443" t="s">
        <v>401</v>
      </c>
      <c r="C90" s="459" t="s">
        <v>90</v>
      </c>
      <c r="D90" s="460">
        <v>0.25</v>
      </c>
      <c r="E90" s="459" t="s">
        <v>90</v>
      </c>
      <c r="F90" s="459" t="s">
        <v>90</v>
      </c>
      <c r="G90" s="459" t="s">
        <v>90</v>
      </c>
      <c r="H90" s="459" t="s">
        <v>90</v>
      </c>
      <c r="I90" s="457" t="str">
        <f t="shared" ref="I90:N90" si="67">iferror(C90*$B$11, "-")</f>
        <v>-</v>
      </c>
      <c r="J90" s="457">
        <f t="shared" si="67"/>
        <v>3.75</v>
      </c>
      <c r="K90" s="457" t="str">
        <f t="shared" si="67"/>
        <v>-</v>
      </c>
      <c r="L90" s="457" t="str">
        <f t="shared" si="67"/>
        <v>-</v>
      </c>
      <c r="M90" s="457" t="str">
        <f t="shared" si="67"/>
        <v>-</v>
      </c>
      <c r="N90" s="457" t="str">
        <f t="shared" si="67"/>
        <v>-</v>
      </c>
      <c r="O90" s="458">
        <f t="shared" si="3"/>
        <v>3.75</v>
      </c>
    </row>
    <row r="91" ht="12.75" customHeight="1">
      <c r="A91" s="448" t="s">
        <v>517</v>
      </c>
      <c r="B91" s="443" t="s">
        <v>438</v>
      </c>
      <c r="C91" s="459" t="s">
        <v>90</v>
      </c>
      <c r="D91" s="460">
        <v>0.25</v>
      </c>
      <c r="E91" s="459" t="s">
        <v>90</v>
      </c>
      <c r="F91" s="459" t="s">
        <v>90</v>
      </c>
      <c r="G91" s="459" t="s">
        <v>90</v>
      </c>
      <c r="H91" s="459" t="s">
        <v>90</v>
      </c>
      <c r="I91" s="457" t="str">
        <f t="shared" ref="I91:N91" si="68">iferror(C91*$B$12, "-")</f>
        <v>-</v>
      </c>
      <c r="J91" s="457">
        <f t="shared" si="68"/>
        <v>4</v>
      </c>
      <c r="K91" s="457" t="str">
        <f t="shared" si="68"/>
        <v>-</v>
      </c>
      <c r="L91" s="457" t="str">
        <f t="shared" si="68"/>
        <v>-</v>
      </c>
      <c r="M91" s="457" t="str">
        <f t="shared" si="68"/>
        <v>-</v>
      </c>
      <c r="N91" s="457" t="str">
        <f t="shared" si="68"/>
        <v>-</v>
      </c>
      <c r="O91" s="458">
        <f t="shared" si="3"/>
        <v>4</v>
      </c>
    </row>
    <row r="92" ht="12.75" customHeight="1">
      <c r="A92" s="448" t="s">
        <v>517</v>
      </c>
      <c r="B92" s="443" t="s">
        <v>7</v>
      </c>
      <c r="C92" s="459" t="s">
        <v>90</v>
      </c>
      <c r="D92" s="459" t="s">
        <v>90</v>
      </c>
      <c r="E92" s="459" t="s">
        <v>90</v>
      </c>
      <c r="F92" s="459" t="s">
        <v>90</v>
      </c>
      <c r="G92" s="459" t="s">
        <v>90</v>
      </c>
      <c r="H92" s="459" t="s">
        <v>90</v>
      </c>
      <c r="I92" s="457" t="str">
        <f t="shared" ref="I92:N92" si="69">iferror(C92*$B$13, "-")</f>
        <v>-</v>
      </c>
      <c r="J92" s="457" t="str">
        <f t="shared" si="69"/>
        <v>-</v>
      </c>
      <c r="K92" s="457" t="str">
        <f t="shared" si="69"/>
        <v>-</v>
      </c>
      <c r="L92" s="457" t="str">
        <f t="shared" si="69"/>
        <v>-</v>
      </c>
      <c r="M92" s="457" t="str">
        <f t="shared" si="69"/>
        <v>-</v>
      </c>
      <c r="N92" s="457" t="str">
        <f t="shared" si="69"/>
        <v>-</v>
      </c>
      <c r="O92" s="458">
        <f t="shared" si="3"/>
        <v>0</v>
      </c>
    </row>
    <row r="93" ht="12.75" customHeight="1">
      <c r="A93" s="448" t="s">
        <v>517</v>
      </c>
      <c r="B93" s="443" t="s">
        <v>398</v>
      </c>
      <c r="C93" s="459" t="s">
        <v>90</v>
      </c>
      <c r="D93" s="459" t="s">
        <v>90</v>
      </c>
      <c r="E93" s="459" t="s">
        <v>90</v>
      </c>
      <c r="F93" s="459" t="s">
        <v>90</v>
      </c>
      <c r="G93" s="459" t="s">
        <v>90</v>
      </c>
      <c r="H93" s="459" t="s">
        <v>90</v>
      </c>
      <c r="I93" s="457" t="str">
        <f t="shared" ref="I93:N93" si="70">iferror(C93*$B$14, "-")</f>
        <v>-</v>
      </c>
      <c r="J93" s="457" t="str">
        <f t="shared" si="70"/>
        <v>-</v>
      </c>
      <c r="K93" s="457" t="str">
        <f t="shared" si="70"/>
        <v>-</v>
      </c>
      <c r="L93" s="457" t="str">
        <f t="shared" si="70"/>
        <v>-</v>
      </c>
      <c r="M93" s="457" t="str">
        <f t="shared" si="70"/>
        <v>-</v>
      </c>
      <c r="N93" s="457" t="str">
        <f t="shared" si="70"/>
        <v>-</v>
      </c>
      <c r="O93" s="458">
        <f t="shared" si="3"/>
        <v>0</v>
      </c>
    </row>
    <row r="94" ht="12.75" customHeight="1">
      <c r="A94" s="448" t="s">
        <v>517</v>
      </c>
      <c r="B94" s="448" t="s">
        <v>63</v>
      </c>
      <c r="C94" s="459" t="s">
        <v>90</v>
      </c>
      <c r="D94" s="460">
        <v>0.25</v>
      </c>
      <c r="E94" s="459" t="s">
        <v>90</v>
      </c>
      <c r="F94" s="459" t="s">
        <v>90</v>
      </c>
      <c r="G94" s="459" t="s">
        <v>90</v>
      </c>
      <c r="H94" s="459" t="s">
        <v>90</v>
      </c>
      <c r="I94" s="457" t="str">
        <f t="shared" ref="I94:N94" si="71">iferror(C94*$B$15, "-")</f>
        <v>-</v>
      </c>
      <c r="J94" s="457">
        <f t="shared" si="71"/>
        <v>0.75</v>
      </c>
      <c r="K94" s="457" t="str">
        <f t="shared" si="71"/>
        <v>-</v>
      </c>
      <c r="L94" s="457" t="str">
        <f t="shared" si="71"/>
        <v>-</v>
      </c>
      <c r="M94" s="457" t="str">
        <f t="shared" si="71"/>
        <v>-</v>
      </c>
      <c r="N94" s="457" t="str">
        <f t="shared" si="71"/>
        <v>-</v>
      </c>
      <c r="O94" s="458">
        <f t="shared" si="3"/>
        <v>0.75</v>
      </c>
    </row>
    <row r="95" ht="12.75" customHeight="1">
      <c r="A95" s="448" t="s">
        <v>517</v>
      </c>
      <c r="B95" s="443" t="s">
        <v>151</v>
      </c>
      <c r="C95" s="459" t="s">
        <v>90</v>
      </c>
      <c r="D95" s="459" t="s">
        <v>90</v>
      </c>
      <c r="E95" s="459" t="s">
        <v>90</v>
      </c>
      <c r="F95" s="459" t="s">
        <v>90</v>
      </c>
      <c r="G95" s="459" t="s">
        <v>90</v>
      </c>
      <c r="H95" s="459" t="s">
        <v>90</v>
      </c>
      <c r="I95" s="457" t="str">
        <f t="shared" ref="I95:N95" si="72">iferror(C95*$B$16, "-")</f>
        <v>-</v>
      </c>
      <c r="J95" s="457" t="str">
        <f t="shared" si="72"/>
        <v>-</v>
      </c>
      <c r="K95" s="457" t="str">
        <f t="shared" si="72"/>
        <v>-</v>
      </c>
      <c r="L95" s="457" t="str">
        <f t="shared" si="72"/>
        <v>-</v>
      </c>
      <c r="M95" s="457" t="str">
        <f t="shared" si="72"/>
        <v>-</v>
      </c>
      <c r="N95" s="457" t="str">
        <f t="shared" si="72"/>
        <v>-</v>
      </c>
      <c r="O95" s="458">
        <f t="shared" si="3"/>
        <v>0</v>
      </c>
    </row>
    <row r="96" ht="12.75" customHeight="1">
      <c r="A96" s="448" t="s">
        <v>517</v>
      </c>
      <c r="B96" s="443" t="s">
        <v>443</v>
      </c>
      <c r="C96" s="459" t="s">
        <v>90</v>
      </c>
      <c r="D96" s="459" t="s">
        <v>90</v>
      </c>
      <c r="E96" s="459" t="s">
        <v>90</v>
      </c>
      <c r="F96" s="459" t="s">
        <v>90</v>
      </c>
      <c r="G96" s="459" t="s">
        <v>90</v>
      </c>
      <c r="H96" s="459" t="s">
        <v>90</v>
      </c>
      <c r="I96" s="457" t="str">
        <f t="shared" ref="I96:N96" si="73">iferror(C96*$B$17, "-")</f>
        <v>-</v>
      </c>
      <c r="J96" s="457" t="str">
        <f t="shared" si="73"/>
        <v>-</v>
      </c>
      <c r="K96" s="457" t="str">
        <f t="shared" si="73"/>
        <v>-</v>
      </c>
      <c r="L96" s="457" t="str">
        <f t="shared" si="73"/>
        <v>-</v>
      </c>
      <c r="M96" s="457" t="str">
        <f t="shared" si="73"/>
        <v>-</v>
      </c>
      <c r="N96" s="457" t="str">
        <f t="shared" si="73"/>
        <v>-</v>
      </c>
      <c r="O96" s="458">
        <f t="shared" si="3"/>
        <v>0</v>
      </c>
    </row>
    <row r="97" ht="12.75" customHeight="1">
      <c r="A97" s="448" t="s">
        <v>517</v>
      </c>
      <c r="B97" s="465" t="s">
        <v>51</v>
      </c>
      <c r="C97" s="460">
        <v>0.25</v>
      </c>
      <c r="D97" s="466" t="s">
        <v>90</v>
      </c>
      <c r="E97" s="466" t="s">
        <v>90</v>
      </c>
      <c r="F97" s="466" t="s">
        <v>90</v>
      </c>
      <c r="G97" s="466" t="s">
        <v>90</v>
      </c>
      <c r="H97" s="466" t="s">
        <v>90</v>
      </c>
      <c r="I97" s="457">
        <f t="shared" ref="I97:N97" si="74">iferror(C97*$B$18, "-")</f>
        <v>6</v>
      </c>
      <c r="J97" s="457" t="str">
        <f t="shared" si="74"/>
        <v>-</v>
      </c>
      <c r="K97" s="457" t="str">
        <f t="shared" si="74"/>
        <v>-</v>
      </c>
      <c r="L97" s="457" t="str">
        <f t="shared" si="74"/>
        <v>-</v>
      </c>
      <c r="M97" s="457" t="str">
        <f t="shared" si="74"/>
        <v>-</v>
      </c>
      <c r="N97" s="457" t="str">
        <f t="shared" si="74"/>
        <v>-</v>
      </c>
      <c r="O97" s="457">
        <f t="shared" si="3"/>
        <v>6</v>
      </c>
    </row>
    <row r="98" ht="12.75" customHeight="1">
      <c r="A98" s="448" t="s">
        <v>517</v>
      </c>
      <c r="B98" s="448" t="s">
        <v>15</v>
      </c>
      <c r="C98" s="460">
        <v>0.25</v>
      </c>
      <c r="D98" s="466" t="s">
        <v>90</v>
      </c>
      <c r="E98" s="460">
        <v>0.25</v>
      </c>
      <c r="F98" s="466" t="s">
        <v>90</v>
      </c>
      <c r="G98" s="466" t="s">
        <v>90</v>
      </c>
      <c r="H98" s="466" t="s">
        <v>90</v>
      </c>
      <c r="I98" s="457">
        <f t="shared" ref="I98:N98" si="75">iferror(C98*$B$19, "-")</f>
        <v>12.25</v>
      </c>
      <c r="J98" s="457" t="str">
        <f t="shared" si="75"/>
        <v>-</v>
      </c>
      <c r="K98" s="457">
        <f t="shared" si="75"/>
        <v>12.25</v>
      </c>
      <c r="L98" s="457" t="str">
        <f t="shared" si="75"/>
        <v>-</v>
      </c>
      <c r="M98" s="457" t="str">
        <f t="shared" si="75"/>
        <v>-</v>
      </c>
      <c r="N98" s="457" t="str">
        <f t="shared" si="75"/>
        <v>-</v>
      </c>
      <c r="O98" s="457">
        <f t="shared" si="3"/>
        <v>24.5</v>
      </c>
    </row>
    <row r="99" ht="12.75" customHeight="1">
      <c r="A99" s="448" t="s">
        <v>517</v>
      </c>
      <c r="B99" s="448" t="s">
        <v>16</v>
      </c>
      <c r="C99" s="460">
        <v>0.25</v>
      </c>
      <c r="D99" s="466" t="s">
        <v>90</v>
      </c>
      <c r="E99" s="460">
        <v>0.25</v>
      </c>
      <c r="F99" s="466" t="s">
        <v>90</v>
      </c>
      <c r="G99" s="466" t="s">
        <v>90</v>
      </c>
      <c r="H99" s="466" t="s">
        <v>90</v>
      </c>
      <c r="I99" s="457">
        <f t="shared" ref="I99:N99" si="76">iferror(C99*$B$20, "-")</f>
        <v>12.25</v>
      </c>
      <c r="J99" s="457" t="str">
        <f t="shared" si="76"/>
        <v>-</v>
      </c>
      <c r="K99" s="457">
        <f t="shared" si="76"/>
        <v>12.25</v>
      </c>
      <c r="L99" s="457" t="str">
        <f t="shared" si="76"/>
        <v>-</v>
      </c>
      <c r="M99" s="457" t="str">
        <f t="shared" si="76"/>
        <v>-</v>
      </c>
      <c r="N99" s="457" t="str">
        <f t="shared" si="76"/>
        <v>-</v>
      </c>
      <c r="O99" s="457">
        <f t="shared" si="3"/>
        <v>24.5</v>
      </c>
    </row>
    <row r="100" ht="12.75" customHeight="1">
      <c r="A100" s="468" t="s">
        <v>517</v>
      </c>
      <c r="B100" s="468" t="s">
        <v>397</v>
      </c>
      <c r="C100" s="469" t="s">
        <v>90</v>
      </c>
      <c r="D100" s="469" t="s">
        <v>90</v>
      </c>
      <c r="E100" s="469" t="s">
        <v>90</v>
      </c>
      <c r="F100" s="469" t="s">
        <v>90</v>
      </c>
      <c r="G100" s="469" t="s">
        <v>90</v>
      </c>
      <c r="H100" s="469" t="s">
        <v>90</v>
      </c>
      <c r="I100" s="471" t="str">
        <f t="shared" ref="I100:N100" si="77">iferror(C100*$B$21, "-")</f>
        <v>-</v>
      </c>
      <c r="J100" s="471" t="str">
        <f t="shared" si="77"/>
        <v>-</v>
      </c>
      <c r="K100" s="471" t="str">
        <f t="shared" si="77"/>
        <v>-</v>
      </c>
      <c r="L100" s="471" t="str">
        <f t="shared" si="77"/>
        <v>-</v>
      </c>
      <c r="M100" s="471" t="str">
        <f t="shared" si="77"/>
        <v>-</v>
      </c>
      <c r="N100" s="471" t="str">
        <f t="shared" si="77"/>
        <v>-</v>
      </c>
      <c r="O100" s="473">
        <f t="shared" si="3"/>
        <v>0</v>
      </c>
    </row>
    <row r="101" ht="12.75" customHeight="1">
      <c r="A101" s="448" t="s">
        <v>532</v>
      </c>
      <c r="B101" s="443" t="s">
        <v>329</v>
      </c>
      <c r="C101" s="455" t="s">
        <v>90</v>
      </c>
      <c r="D101" s="455" t="s">
        <v>90</v>
      </c>
      <c r="E101" s="456">
        <v>0.25</v>
      </c>
      <c r="F101" s="455" t="s">
        <v>90</v>
      </c>
      <c r="G101" s="455" t="s">
        <v>90</v>
      </c>
      <c r="H101" s="455" t="s">
        <v>90</v>
      </c>
      <c r="I101" s="457" t="str">
        <f t="shared" ref="I101:N101" si="78">iferror(C101*$B$3, "-")</f>
        <v>-</v>
      </c>
      <c r="J101" s="457" t="str">
        <f t="shared" si="78"/>
        <v>-</v>
      </c>
      <c r="K101" s="457">
        <f t="shared" si="78"/>
        <v>3.25</v>
      </c>
      <c r="L101" s="457" t="str">
        <f t="shared" si="78"/>
        <v>-</v>
      </c>
      <c r="M101" s="457" t="str">
        <f t="shared" si="78"/>
        <v>-</v>
      </c>
      <c r="N101" s="457" t="str">
        <f t="shared" si="78"/>
        <v>-</v>
      </c>
      <c r="O101" s="474">
        <f t="shared" si="3"/>
        <v>3.25</v>
      </c>
    </row>
    <row r="102" ht="12.75" customHeight="1">
      <c r="A102" s="448" t="s">
        <v>532</v>
      </c>
      <c r="B102" s="443" t="s">
        <v>338</v>
      </c>
      <c r="C102" s="459" t="s">
        <v>90</v>
      </c>
      <c r="D102" s="459" t="s">
        <v>90</v>
      </c>
      <c r="E102" s="460">
        <v>0.25</v>
      </c>
      <c r="F102" s="459" t="s">
        <v>90</v>
      </c>
      <c r="G102" s="459" t="s">
        <v>90</v>
      </c>
      <c r="H102" s="459" t="s">
        <v>90</v>
      </c>
      <c r="I102" s="457" t="str">
        <f t="shared" ref="I102:N102" si="79">iferror(C102*$B$4, "-")</f>
        <v>-</v>
      </c>
      <c r="J102" s="457" t="str">
        <f t="shared" si="79"/>
        <v>-</v>
      </c>
      <c r="K102" s="457">
        <f t="shared" si="79"/>
        <v>3</v>
      </c>
      <c r="L102" s="457" t="str">
        <f t="shared" si="79"/>
        <v>-</v>
      </c>
      <c r="M102" s="457" t="str">
        <f t="shared" si="79"/>
        <v>-</v>
      </c>
      <c r="N102" s="457" t="str">
        <f t="shared" si="79"/>
        <v>-</v>
      </c>
      <c r="O102" s="458">
        <f t="shared" si="3"/>
        <v>3</v>
      </c>
    </row>
    <row r="103" ht="12.75" customHeight="1">
      <c r="A103" s="448" t="s">
        <v>532</v>
      </c>
      <c r="B103" s="443" t="s">
        <v>341</v>
      </c>
      <c r="C103" s="459" t="s">
        <v>90</v>
      </c>
      <c r="D103" s="459" t="s">
        <v>90</v>
      </c>
      <c r="E103" s="460">
        <v>0.25</v>
      </c>
      <c r="F103" s="459" t="s">
        <v>90</v>
      </c>
      <c r="G103" s="459" t="s">
        <v>90</v>
      </c>
      <c r="H103" s="459" t="s">
        <v>90</v>
      </c>
      <c r="I103" s="457" t="str">
        <f t="shared" ref="I103:N103" si="80">iferror(C103*$B$5, "-")</f>
        <v>-</v>
      </c>
      <c r="J103" s="457" t="str">
        <f t="shared" si="80"/>
        <v>-</v>
      </c>
      <c r="K103" s="457">
        <f t="shared" si="80"/>
        <v>3</v>
      </c>
      <c r="L103" s="457" t="str">
        <f t="shared" si="80"/>
        <v>-</v>
      </c>
      <c r="M103" s="457" t="str">
        <f t="shared" si="80"/>
        <v>-</v>
      </c>
      <c r="N103" s="457" t="str">
        <f t="shared" si="80"/>
        <v>-</v>
      </c>
      <c r="O103" s="458">
        <f t="shared" si="3"/>
        <v>3</v>
      </c>
    </row>
    <row r="104" ht="12.75" customHeight="1">
      <c r="A104" s="448" t="s">
        <v>532</v>
      </c>
      <c r="B104" s="448" t="s">
        <v>42</v>
      </c>
      <c r="C104" s="459" t="s">
        <v>90</v>
      </c>
      <c r="D104" s="459" t="s">
        <v>90</v>
      </c>
      <c r="E104" s="460">
        <v>0.25</v>
      </c>
      <c r="F104" s="459" t="s">
        <v>90</v>
      </c>
      <c r="G104" s="459" t="s">
        <v>90</v>
      </c>
      <c r="H104" s="459" t="s">
        <v>90</v>
      </c>
      <c r="I104" s="457" t="str">
        <f t="shared" ref="I104:N104" si="81">iferror(C104*$B$6, "-")</f>
        <v>-</v>
      </c>
      <c r="J104" s="457" t="str">
        <f t="shared" si="81"/>
        <v>-</v>
      </c>
      <c r="K104" s="457">
        <f t="shared" si="81"/>
        <v>3</v>
      </c>
      <c r="L104" s="457" t="str">
        <f t="shared" si="81"/>
        <v>-</v>
      </c>
      <c r="M104" s="457" t="str">
        <f t="shared" si="81"/>
        <v>-</v>
      </c>
      <c r="N104" s="457" t="str">
        <f t="shared" si="81"/>
        <v>-</v>
      </c>
      <c r="O104" s="458">
        <f t="shared" si="3"/>
        <v>3</v>
      </c>
    </row>
    <row r="105" ht="12.75" customHeight="1">
      <c r="A105" s="448" t="s">
        <v>532</v>
      </c>
      <c r="B105" s="443" t="s">
        <v>413</v>
      </c>
      <c r="C105" s="460">
        <v>0.25</v>
      </c>
      <c r="D105" s="459" t="s">
        <v>90</v>
      </c>
      <c r="E105" s="460">
        <v>0.25</v>
      </c>
      <c r="F105" s="460">
        <v>0.25</v>
      </c>
      <c r="G105" s="459" t="s">
        <v>90</v>
      </c>
      <c r="H105" s="459" t="s">
        <v>90</v>
      </c>
      <c r="I105" s="457">
        <f t="shared" ref="I105:N105" si="82">iferror(C105*$B$7, "-")</f>
        <v>12.25</v>
      </c>
      <c r="J105" s="457" t="str">
        <f t="shared" si="82"/>
        <v>-</v>
      </c>
      <c r="K105" s="457">
        <f t="shared" si="82"/>
        <v>12.25</v>
      </c>
      <c r="L105" s="457">
        <f t="shared" si="82"/>
        <v>12.25</v>
      </c>
      <c r="M105" s="457" t="str">
        <f t="shared" si="82"/>
        <v>-</v>
      </c>
      <c r="N105" s="457" t="str">
        <f t="shared" si="82"/>
        <v>-</v>
      </c>
      <c r="O105" s="458">
        <f t="shared" si="3"/>
        <v>36.75</v>
      </c>
    </row>
    <row r="106" ht="12.75" customHeight="1">
      <c r="A106" s="448" t="s">
        <v>532</v>
      </c>
      <c r="B106" s="443" t="s">
        <v>433</v>
      </c>
      <c r="C106" s="459" t="s">
        <v>90</v>
      </c>
      <c r="D106" s="459" t="s">
        <v>90</v>
      </c>
      <c r="E106" s="459" t="s">
        <v>90</v>
      </c>
      <c r="F106" s="460">
        <v>0.25</v>
      </c>
      <c r="G106" s="460">
        <v>0.25</v>
      </c>
      <c r="H106" s="459" t="s">
        <v>90</v>
      </c>
      <c r="I106" s="457" t="str">
        <f t="shared" ref="I106:N106" si="83">iferror(C106*$B$8, "-")</f>
        <v>-</v>
      </c>
      <c r="J106" s="457" t="str">
        <f t="shared" si="83"/>
        <v>-</v>
      </c>
      <c r="K106" s="457" t="str">
        <f t="shared" si="83"/>
        <v>-</v>
      </c>
      <c r="L106" s="457">
        <f t="shared" si="83"/>
        <v>12.25</v>
      </c>
      <c r="M106" s="457">
        <f t="shared" si="83"/>
        <v>12.25</v>
      </c>
      <c r="N106" s="457" t="str">
        <f t="shared" si="83"/>
        <v>-</v>
      </c>
      <c r="O106" s="458">
        <f t="shared" si="3"/>
        <v>24.5</v>
      </c>
    </row>
    <row r="107" ht="12.75" customHeight="1">
      <c r="A107" s="448" t="s">
        <v>532</v>
      </c>
      <c r="B107" s="443" t="s">
        <v>434</v>
      </c>
      <c r="C107" s="459" t="s">
        <v>90</v>
      </c>
      <c r="D107" s="460">
        <v>0.25</v>
      </c>
      <c r="E107" s="459" t="s">
        <v>90</v>
      </c>
      <c r="F107" s="459" t="s">
        <v>90</v>
      </c>
      <c r="G107" s="459" t="s">
        <v>90</v>
      </c>
      <c r="H107" s="459" t="s">
        <v>90</v>
      </c>
      <c r="I107" s="457" t="str">
        <f t="shared" ref="I107:N107" si="84">iferror(C107*$B$9, "-")</f>
        <v>-</v>
      </c>
      <c r="J107" s="457">
        <f t="shared" si="84"/>
        <v>3</v>
      </c>
      <c r="K107" s="457" t="str">
        <f t="shared" si="84"/>
        <v>-</v>
      </c>
      <c r="L107" s="457" t="str">
        <f t="shared" si="84"/>
        <v>-</v>
      </c>
      <c r="M107" s="457" t="str">
        <f t="shared" si="84"/>
        <v>-</v>
      </c>
      <c r="N107" s="457" t="str">
        <f t="shared" si="84"/>
        <v>-</v>
      </c>
      <c r="O107" s="458">
        <f t="shared" si="3"/>
        <v>3</v>
      </c>
    </row>
    <row r="108" ht="12.75" customHeight="1">
      <c r="A108" s="448" t="s">
        <v>532</v>
      </c>
      <c r="B108" s="448" t="s">
        <v>206</v>
      </c>
      <c r="C108" s="459" t="s">
        <v>90</v>
      </c>
      <c r="D108" s="460">
        <v>0.25</v>
      </c>
      <c r="E108" s="459" t="s">
        <v>90</v>
      </c>
      <c r="F108" s="459" t="s">
        <v>90</v>
      </c>
      <c r="G108" s="459" t="s">
        <v>90</v>
      </c>
      <c r="H108" s="459" t="s">
        <v>90</v>
      </c>
      <c r="I108" s="457" t="str">
        <f t="shared" ref="I108:N108" si="85">iferror(C108*$B$10, "-")</f>
        <v>-</v>
      </c>
      <c r="J108" s="457">
        <f t="shared" si="85"/>
        <v>3.25</v>
      </c>
      <c r="K108" s="457" t="str">
        <f t="shared" si="85"/>
        <v>-</v>
      </c>
      <c r="L108" s="457" t="str">
        <f t="shared" si="85"/>
        <v>-</v>
      </c>
      <c r="M108" s="457" t="str">
        <f t="shared" si="85"/>
        <v>-</v>
      </c>
      <c r="N108" s="457" t="str">
        <f t="shared" si="85"/>
        <v>-</v>
      </c>
      <c r="O108" s="458">
        <f t="shared" si="3"/>
        <v>3.25</v>
      </c>
    </row>
    <row r="109" ht="12.75" customHeight="1">
      <c r="A109" s="448" t="s">
        <v>532</v>
      </c>
      <c r="B109" s="443" t="s">
        <v>401</v>
      </c>
      <c r="C109" s="459" t="s">
        <v>90</v>
      </c>
      <c r="D109" s="460">
        <v>0.25</v>
      </c>
      <c r="E109" s="459" t="s">
        <v>90</v>
      </c>
      <c r="F109" s="459" t="s">
        <v>90</v>
      </c>
      <c r="G109" s="459" t="s">
        <v>90</v>
      </c>
      <c r="H109" s="459" t="s">
        <v>90</v>
      </c>
      <c r="I109" s="457" t="str">
        <f t="shared" ref="I109:N109" si="86">iferror(C109*$B$11, "-")</f>
        <v>-</v>
      </c>
      <c r="J109" s="457">
        <f t="shared" si="86"/>
        <v>3.75</v>
      </c>
      <c r="K109" s="457" t="str">
        <f t="shared" si="86"/>
        <v>-</v>
      </c>
      <c r="L109" s="457" t="str">
        <f t="shared" si="86"/>
        <v>-</v>
      </c>
      <c r="M109" s="457" t="str">
        <f t="shared" si="86"/>
        <v>-</v>
      </c>
      <c r="N109" s="457" t="str">
        <f t="shared" si="86"/>
        <v>-</v>
      </c>
      <c r="O109" s="458">
        <f t="shared" si="3"/>
        <v>3.75</v>
      </c>
    </row>
    <row r="110" ht="12.75" customHeight="1">
      <c r="A110" s="448" t="s">
        <v>532</v>
      </c>
      <c r="B110" s="443" t="s">
        <v>438</v>
      </c>
      <c r="C110" s="459" t="s">
        <v>90</v>
      </c>
      <c r="D110" s="460">
        <v>0.25</v>
      </c>
      <c r="E110" s="459" t="s">
        <v>90</v>
      </c>
      <c r="F110" s="459" t="s">
        <v>90</v>
      </c>
      <c r="G110" s="459" t="s">
        <v>90</v>
      </c>
      <c r="H110" s="459" t="s">
        <v>90</v>
      </c>
      <c r="I110" s="457" t="str">
        <f t="shared" ref="I110:N110" si="87">iferror(C110*$B$12, "-")</f>
        <v>-</v>
      </c>
      <c r="J110" s="457">
        <f t="shared" si="87"/>
        <v>4</v>
      </c>
      <c r="K110" s="457" t="str">
        <f t="shared" si="87"/>
        <v>-</v>
      </c>
      <c r="L110" s="457" t="str">
        <f t="shared" si="87"/>
        <v>-</v>
      </c>
      <c r="M110" s="457" t="str">
        <f t="shared" si="87"/>
        <v>-</v>
      </c>
      <c r="N110" s="457" t="str">
        <f t="shared" si="87"/>
        <v>-</v>
      </c>
      <c r="O110" s="458">
        <f t="shared" si="3"/>
        <v>4</v>
      </c>
    </row>
    <row r="111" ht="12.75" customHeight="1">
      <c r="A111" s="448" t="s">
        <v>532</v>
      </c>
      <c r="B111" s="443" t="s">
        <v>7</v>
      </c>
      <c r="C111" s="459" t="s">
        <v>90</v>
      </c>
      <c r="D111" s="459" t="s">
        <v>90</v>
      </c>
      <c r="E111" s="459" t="s">
        <v>90</v>
      </c>
      <c r="F111" s="459" t="s">
        <v>90</v>
      </c>
      <c r="G111" s="459" t="s">
        <v>90</v>
      </c>
      <c r="H111" s="459" t="s">
        <v>90</v>
      </c>
      <c r="I111" s="457" t="str">
        <f t="shared" ref="I111:N111" si="88">iferror(C111*$B$13, "-")</f>
        <v>-</v>
      </c>
      <c r="J111" s="457" t="str">
        <f t="shared" si="88"/>
        <v>-</v>
      </c>
      <c r="K111" s="457" t="str">
        <f t="shared" si="88"/>
        <v>-</v>
      </c>
      <c r="L111" s="457" t="str">
        <f t="shared" si="88"/>
        <v>-</v>
      </c>
      <c r="M111" s="457" t="str">
        <f t="shared" si="88"/>
        <v>-</v>
      </c>
      <c r="N111" s="457" t="str">
        <f t="shared" si="88"/>
        <v>-</v>
      </c>
      <c r="O111" s="458">
        <f t="shared" si="3"/>
        <v>0</v>
      </c>
    </row>
    <row r="112" ht="12.75" customHeight="1">
      <c r="A112" s="448" t="s">
        <v>532</v>
      </c>
      <c r="B112" s="443" t="s">
        <v>398</v>
      </c>
      <c r="C112" s="459" t="s">
        <v>90</v>
      </c>
      <c r="D112" s="459" t="s">
        <v>90</v>
      </c>
      <c r="E112" s="459" t="s">
        <v>90</v>
      </c>
      <c r="F112" s="459" t="s">
        <v>90</v>
      </c>
      <c r="G112" s="459" t="s">
        <v>90</v>
      </c>
      <c r="H112" s="459" t="s">
        <v>90</v>
      </c>
      <c r="I112" s="457" t="str">
        <f t="shared" ref="I112:N112" si="89">iferror(C112*$B$14, "-")</f>
        <v>-</v>
      </c>
      <c r="J112" s="457" t="str">
        <f t="shared" si="89"/>
        <v>-</v>
      </c>
      <c r="K112" s="457" t="str">
        <f t="shared" si="89"/>
        <v>-</v>
      </c>
      <c r="L112" s="457" t="str">
        <f t="shared" si="89"/>
        <v>-</v>
      </c>
      <c r="M112" s="457" t="str">
        <f t="shared" si="89"/>
        <v>-</v>
      </c>
      <c r="N112" s="457" t="str">
        <f t="shared" si="89"/>
        <v>-</v>
      </c>
      <c r="O112" s="458">
        <f t="shared" si="3"/>
        <v>0</v>
      </c>
    </row>
    <row r="113" ht="12.75" customHeight="1">
      <c r="A113" s="448" t="s">
        <v>532</v>
      </c>
      <c r="B113" s="448" t="s">
        <v>63</v>
      </c>
      <c r="C113" s="459" t="s">
        <v>90</v>
      </c>
      <c r="D113" s="460">
        <v>0.25</v>
      </c>
      <c r="E113" s="459" t="s">
        <v>90</v>
      </c>
      <c r="F113" s="459" t="s">
        <v>90</v>
      </c>
      <c r="G113" s="459" t="s">
        <v>90</v>
      </c>
      <c r="H113" s="459" t="s">
        <v>90</v>
      </c>
      <c r="I113" s="457" t="str">
        <f t="shared" ref="I113:N113" si="90">iferror(C113*$B$15, "-")</f>
        <v>-</v>
      </c>
      <c r="J113" s="457">
        <f t="shared" si="90"/>
        <v>0.75</v>
      </c>
      <c r="K113" s="457" t="str">
        <f t="shared" si="90"/>
        <v>-</v>
      </c>
      <c r="L113" s="457" t="str">
        <f t="shared" si="90"/>
        <v>-</v>
      </c>
      <c r="M113" s="457" t="str">
        <f t="shared" si="90"/>
        <v>-</v>
      </c>
      <c r="N113" s="457" t="str">
        <f t="shared" si="90"/>
        <v>-</v>
      </c>
      <c r="O113" s="458">
        <f t="shared" si="3"/>
        <v>0.75</v>
      </c>
    </row>
    <row r="114" ht="12.75" customHeight="1">
      <c r="A114" s="448" t="s">
        <v>532</v>
      </c>
      <c r="B114" s="443" t="s">
        <v>151</v>
      </c>
      <c r="C114" s="459" t="s">
        <v>90</v>
      </c>
      <c r="D114" s="459" t="s">
        <v>90</v>
      </c>
      <c r="E114" s="459" t="s">
        <v>90</v>
      </c>
      <c r="F114" s="459" t="s">
        <v>90</v>
      </c>
      <c r="G114" s="459" t="s">
        <v>90</v>
      </c>
      <c r="H114" s="459" t="s">
        <v>90</v>
      </c>
      <c r="I114" s="457" t="str">
        <f t="shared" ref="I114:N114" si="91">iferror(C114*$B$16, "-")</f>
        <v>-</v>
      </c>
      <c r="J114" s="457" t="str">
        <f t="shared" si="91"/>
        <v>-</v>
      </c>
      <c r="K114" s="457" t="str">
        <f t="shared" si="91"/>
        <v>-</v>
      </c>
      <c r="L114" s="457" t="str">
        <f t="shared" si="91"/>
        <v>-</v>
      </c>
      <c r="M114" s="457" t="str">
        <f t="shared" si="91"/>
        <v>-</v>
      </c>
      <c r="N114" s="457" t="str">
        <f t="shared" si="91"/>
        <v>-</v>
      </c>
      <c r="O114" s="458">
        <f t="shared" si="3"/>
        <v>0</v>
      </c>
    </row>
    <row r="115" ht="12.75" customHeight="1">
      <c r="A115" s="448" t="s">
        <v>532</v>
      </c>
      <c r="B115" s="443" t="s">
        <v>443</v>
      </c>
      <c r="C115" s="459" t="s">
        <v>90</v>
      </c>
      <c r="D115" s="459" t="s">
        <v>90</v>
      </c>
      <c r="E115" s="459" t="s">
        <v>90</v>
      </c>
      <c r="F115" s="459" t="s">
        <v>90</v>
      </c>
      <c r="G115" s="459" t="s">
        <v>90</v>
      </c>
      <c r="H115" s="459" t="s">
        <v>90</v>
      </c>
      <c r="I115" s="457" t="str">
        <f t="shared" ref="I115:N115" si="92">iferror(C115*$B$17, "-")</f>
        <v>-</v>
      </c>
      <c r="J115" s="457" t="str">
        <f t="shared" si="92"/>
        <v>-</v>
      </c>
      <c r="K115" s="457" t="str">
        <f t="shared" si="92"/>
        <v>-</v>
      </c>
      <c r="L115" s="457" t="str">
        <f t="shared" si="92"/>
        <v>-</v>
      </c>
      <c r="M115" s="457" t="str">
        <f t="shared" si="92"/>
        <v>-</v>
      </c>
      <c r="N115" s="457" t="str">
        <f t="shared" si="92"/>
        <v>-</v>
      </c>
      <c r="O115" s="458">
        <f t="shared" si="3"/>
        <v>0</v>
      </c>
    </row>
    <row r="116" ht="12.75" customHeight="1">
      <c r="A116" s="448" t="s">
        <v>532</v>
      </c>
      <c r="B116" s="465" t="s">
        <v>51</v>
      </c>
      <c r="C116" s="460">
        <v>0.25</v>
      </c>
      <c r="D116" s="466" t="s">
        <v>90</v>
      </c>
      <c r="E116" s="466" t="s">
        <v>90</v>
      </c>
      <c r="F116" s="466" t="s">
        <v>90</v>
      </c>
      <c r="G116" s="466" t="s">
        <v>90</v>
      </c>
      <c r="H116" s="466" t="s">
        <v>90</v>
      </c>
      <c r="I116" s="457">
        <f t="shared" ref="I116:N116" si="93">iferror(C116*$B$18, "-")</f>
        <v>6</v>
      </c>
      <c r="J116" s="457" t="str">
        <f t="shared" si="93"/>
        <v>-</v>
      </c>
      <c r="K116" s="457" t="str">
        <f t="shared" si="93"/>
        <v>-</v>
      </c>
      <c r="L116" s="457" t="str">
        <f t="shared" si="93"/>
        <v>-</v>
      </c>
      <c r="M116" s="457" t="str">
        <f t="shared" si="93"/>
        <v>-</v>
      </c>
      <c r="N116" s="457" t="str">
        <f t="shared" si="93"/>
        <v>-</v>
      </c>
      <c r="O116" s="457">
        <f t="shared" si="3"/>
        <v>6</v>
      </c>
    </row>
    <row r="117" ht="12.75" customHeight="1">
      <c r="A117" s="448" t="s">
        <v>532</v>
      </c>
      <c r="B117" s="448" t="s">
        <v>15</v>
      </c>
      <c r="C117" s="460">
        <v>0.25</v>
      </c>
      <c r="D117" s="466" t="s">
        <v>90</v>
      </c>
      <c r="E117" s="460">
        <v>0.25</v>
      </c>
      <c r="F117" s="466" t="s">
        <v>90</v>
      </c>
      <c r="G117" s="466" t="s">
        <v>90</v>
      </c>
      <c r="H117" s="466" t="s">
        <v>90</v>
      </c>
      <c r="I117" s="457">
        <f t="shared" ref="I117:N117" si="94">iferror(C117*$B$19, "-")</f>
        <v>12.25</v>
      </c>
      <c r="J117" s="457" t="str">
        <f t="shared" si="94"/>
        <v>-</v>
      </c>
      <c r="K117" s="457">
        <f t="shared" si="94"/>
        <v>12.25</v>
      </c>
      <c r="L117" s="457" t="str">
        <f t="shared" si="94"/>
        <v>-</v>
      </c>
      <c r="M117" s="457" t="str">
        <f t="shared" si="94"/>
        <v>-</v>
      </c>
      <c r="N117" s="457" t="str">
        <f t="shared" si="94"/>
        <v>-</v>
      </c>
      <c r="O117" s="457">
        <f t="shared" si="3"/>
        <v>24.5</v>
      </c>
    </row>
    <row r="118" ht="12.75" customHeight="1">
      <c r="A118" s="448" t="s">
        <v>532</v>
      </c>
      <c r="B118" s="448" t="s">
        <v>16</v>
      </c>
      <c r="C118" s="460">
        <v>0.25</v>
      </c>
      <c r="D118" s="466" t="s">
        <v>90</v>
      </c>
      <c r="E118" s="460">
        <v>0.25</v>
      </c>
      <c r="F118" s="466" t="s">
        <v>90</v>
      </c>
      <c r="G118" s="466" t="s">
        <v>90</v>
      </c>
      <c r="H118" s="466" t="s">
        <v>90</v>
      </c>
      <c r="I118" s="457">
        <f t="shared" ref="I118:N118" si="95">iferror(C118*$B$20, "-")</f>
        <v>12.25</v>
      </c>
      <c r="J118" s="457" t="str">
        <f t="shared" si="95"/>
        <v>-</v>
      </c>
      <c r="K118" s="457">
        <f t="shared" si="95"/>
        <v>12.25</v>
      </c>
      <c r="L118" s="457" t="str">
        <f t="shared" si="95"/>
        <v>-</v>
      </c>
      <c r="M118" s="457" t="str">
        <f t="shared" si="95"/>
        <v>-</v>
      </c>
      <c r="N118" s="457" t="str">
        <f t="shared" si="95"/>
        <v>-</v>
      </c>
      <c r="O118" s="457">
        <f t="shared" si="3"/>
        <v>24.5</v>
      </c>
    </row>
    <row r="119" ht="12.75" customHeight="1">
      <c r="A119" s="468" t="s">
        <v>532</v>
      </c>
      <c r="B119" s="468" t="s">
        <v>397</v>
      </c>
      <c r="C119" s="469" t="s">
        <v>90</v>
      </c>
      <c r="D119" s="469" t="s">
        <v>90</v>
      </c>
      <c r="E119" s="469" t="s">
        <v>90</v>
      </c>
      <c r="F119" s="469" t="s">
        <v>90</v>
      </c>
      <c r="G119" s="469" t="s">
        <v>90</v>
      </c>
      <c r="H119" s="469" t="s">
        <v>90</v>
      </c>
      <c r="I119" s="471" t="str">
        <f t="shared" ref="I119:N119" si="96">iferror(C119*$B$21, "-")</f>
        <v>-</v>
      </c>
      <c r="J119" s="471" t="str">
        <f t="shared" si="96"/>
        <v>-</v>
      </c>
      <c r="K119" s="471" t="str">
        <f t="shared" si="96"/>
        <v>-</v>
      </c>
      <c r="L119" s="471" t="str">
        <f t="shared" si="96"/>
        <v>-</v>
      </c>
      <c r="M119" s="471" t="str">
        <f t="shared" si="96"/>
        <v>-</v>
      </c>
      <c r="N119" s="471" t="str">
        <f t="shared" si="96"/>
        <v>-</v>
      </c>
      <c r="O119" s="473">
        <f t="shared" si="3"/>
        <v>0</v>
      </c>
    </row>
    <row r="120" ht="12.75" customHeight="1">
      <c r="A120" s="448" t="s">
        <v>555</v>
      </c>
      <c r="B120" s="443" t="s">
        <v>329</v>
      </c>
      <c r="C120" s="455" t="s">
        <v>90</v>
      </c>
      <c r="D120" s="455" t="s">
        <v>90</v>
      </c>
      <c r="E120" s="456">
        <v>0.25</v>
      </c>
      <c r="F120" s="455" t="s">
        <v>90</v>
      </c>
      <c r="G120" s="455" t="s">
        <v>90</v>
      </c>
      <c r="H120" s="455" t="s">
        <v>90</v>
      </c>
      <c r="I120" s="457" t="str">
        <f t="shared" ref="I120:N120" si="97">iferror(C120*$B$3, "-")</f>
        <v>-</v>
      </c>
      <c r="J120" s="457" t="str">
        <f t="shared" si="97"/>
        <v>-</v>
      </c>
      <c r="K120" s="457">
        <f t="shared" si="97"/>
        <v>3.25</v>
      </c>
      <c r="L120" s="457" t="str">
        <f t="shared" si="97"/>
        <v>-</v>
      </c>
      <c r="M120" s="457" t="str">
        <f t="shared" si="97"/>
        <v>-</v>
      </c>
      <c r="N120" s="457" t="str">
        <f t="shared" si="97"/>
        <v>-</v>
      </c>
      <c r="O120" s="474">
        <f t="shared" si="3"/>
        <v>3.25</v>
      </c>
    </row>
    <row r="121" ht="12.75" customHeight="1">
      <c r="A121" s="448" t="s">
        <v>555</v>
      </c>
      <c r="B121" s="443" t="s">
        <v>338</v>
      </c>
      <c r="C121" s="459" t="s">
        <v>90</v>
      </c>
      <c r="D121" s="459" t="s">
        <v>90</v>
      </c>
      <c r="E121" s="460">
        <v>0.25</v>
      </c>
      <c r="F121" s="459" t="s">
        <v>90</v>
      </c>
      <c r="G121" s="459" t="s">
        <v>90</v>
      </c>
      <c r="H121" s="459" t="s">
        <v>90</v>
      </c>
      <c r="I121" s="457" t="str">
        <f t="shared" ref="I121:N121" si="98">iferror(C121*$B$4, "-")</f>
        <v>-</v>
      </c>
      <c r="J121" s="457" t="str">
        <f t="shared" si="98"/>
        <v>-</v>
      </c>
      <c r="K121" s="457">
        <f t="shared" si="98"/>
        <v>3</v>
      </c>
      <c r="L121" s="457" t="str">
        <f t="shared" si="98"/>
        <v>-</v>
      </c>
      <c r="M121" s="457" t="str">
        <f t="shared" si="98"/>
        <v>-</v>
      </c>
      <c r="N121" s="457" t="str">
        <f t="shared" si="98"/>
        <v>-</v>
      </c>
      <c r="O121" s="458">
        <f t="shared" si="3"/>
        <v>3</v>
      </c>
    </row>
    <row r="122" ht="12.75" customHeight="1">
      <c r="A122" s="448" t="s">
        <v>555</v>
      </c>
      <c r="B122" s="443" t="s">
        <v>341</v>
      </c>
      <c r="C122" s="459" t="s">
        <v>90</v>
      </c>
      <c r="D122" s="459" t="s">
        <v>90</v>
      </c>
      <c r="E122" s="460">
        <v>0.25</v>
      </c>
      <c r="F122" s="459" t="s">
        <v>90</v>
      </c>
      <c r="G122" s="459" t="s">
        <v>90</v>
      </c>
      <c r="H122" s="459" t="s">
        <v>90</v>
      </c>
      <c r="I122" s="457" t="str">
        <f t="shared" ref="I122:N122" si="99">iferror(C122*$B$5, "-")</f>
        <v>-</v>
      </c>
      <c r="J122" s="457" t="str">
        <f t="shared" si="99"/>
        <v>-</v>
      </c>
      <c r="K122" s="457">
        <f t="shared" si="99"/>
        <v>3</v>
      </c>
      <c r="L122" s="457" t="str">
        <f t="shared" si="99"/>
        <v>-</v>
      </c>
      <c r="M122" s="457" t="str">
        <f t="shared" si="99"/>
        <v>-</v>
      </c>
      <c r="N122" s="457" t="str">
        <f t="shared" si="99"/>
        <v>-</v>
      </c>
      <c r="O122" s="458">
        <f t="shared" si="3"/>
        <v>3</v>
      </c>
    </row>
    <row r="123" ht="12.75" customHeight="1">
      <c r="A123" s="448" t="s">
        <v>555</v>
      </c>
      <c r="B123" s="448" t="s">
        <v>42</v>
      </c>
      <c r="C123" s="459" t="s">
        <v>90</v>
      </c>
      <c r="D123" s="459" t="s">
        <v>90</v>
      </c>
      <c r="E123" s="460">
        <v>0.25</v>
      </c>
      <c r="F123" s="459" t="s">
        <v>90</v>
      </c>
      <c r="G123" s="459" t="s">
        <v>90</v>
      </c>
      <c r="H123" s="459" t="s">
        <v>90</v>
      </c>
      <c r="I123" s="457" t="str">
        <f t="shared" ref="I123:N123" si="100">iferror(C123*$B$6, "-")</f>
        <v>-</v>
      </c>
      <c r="J123" s="457" t="str">
        <f t="shared" si="100"/>
        <v>-</v>
      </c>
      <c r="K123" s="457">
        <f t="shared" si="100"/>
        <v>3</v>
      </c>
      <c r="L123" s="457" t="str">
        <f t="shared" si="100"/>
        <v>-</v>
      </c>
      <c r="M123" s="457" t="str">
        <f t="shared" si="100"/>
        <v>-</v>
      </c>
      <c r="N123" s="457" t="str">
        <f t="shared" si="100"/>
        <v>-</v>
      </c>
      <c r="O123" s="458">
        <f t="shared" si="3"/>
        <v>3</v>
      </c>
    </row>
    <row r="124" ht="12.75" customHeight="1">
      <c r="A124" s="448" t="s">
        <v>555</v>
      </c>
      <c r="B124" s="443" t="s">
        <v>413</v>
      </c>
      <c r="C124" s="460">
        <v>0.25</v>
      </c>
      <c r="D124" s="459" t="s">
        <v>90</v>
      </c>
      <c r="E124" s="460">
        <v>0.25</v>
      </c>
      <c r="F124" s="460">
        <v>0.25</v>
      </c>
      <c r="G124" s="459" t="s">
        <v>90</v>
      </c>
      <c r="H124" s="459" t="s">
        <v>90</v>
      </c>
      <c r="I124" s="457">
        <f t="shared" ref="I124:N124" si="101">iferror(C124*$B$7, "-")</f>
        <v>12.25</v>
      </c>
      <c r="J124" s="457" t="str">
        <f t="shared" si="101"/>
        <v>-</v>
      </c>
      <c r="K124" s="457">
        <f t="shared" si="101"/>
        <v>12.25</v>
      </c>
      <c r="L124" s="457">
        <f t="shared" si="101"/>
        <v>12.25</v>
      </c>
      <c r="M124" s="457" t="str">
        <f t="shared" si="101"/>
        <v>-</v>
      </c>
      <c r="N124" s="457" t="str">
        <f t="shared" si="101"/>
        <v>-</v>
      </c>
      <c r="O124" s="458">
        <f t="shared" si="3"/>
        <v>36.75</v>
      </c>
    </row>
    <row r="125" ht="12.75" customHeight="1">
      <c r="A125" s="448" t="s">
        <v>555</v>
      </c>
      <c r="B125" s="443" t="s">
        <v>433</v>
      </c>
      <c r="C125" s="459" t="s">
        <v>90</v>
      </c>
      <c r="D125" s="459" t="s">
        <v>90</v>
      </c>
      <c r="E125" s="459" t="s">
        <v>90</v>
      </c>
      <c r="F125" s="460">
        <v>0.25</v>
      </c>
      <c r="G125" s="460">
        <v>0.25</v>
      </c>
      <c r="H125" s="459" t="s">
        <v>90</v>
      </c>
      <c r="I125" s="457" t="str">
        <f t="shared" ref="I125:N125" si="102">iferror(C125*$B$8, "-")</f>
        <v>-</v>
      </c>
      <c r="J125" s="457" t="str">
        <f t="shared" si="102"/>
        <v>-</v>
      </c>
      <c r="K125" s="457" t="str">
        <f t="shared" si="102"/>
        <v>-</v>
      </c>
      <c r="L125" s="457">
        <f t="shared" si="102"/>
        <v>12.25</v>
      </c>
      <c r="M125" s="457">
        <f t="shared" si="102"/>
        <v>12.25</v>
      </c>
      <c r="N125" s="457" t="str">
        <f t="shared" si="102"/>
        <v>-</v>
      </c>
      <c r="O125" s="458">
        <f t="shared" si="3"/>
        <v>24.5</v>
      </c>
    </row>
    <row r="126" ht="12.75" customHeight="1">
      <c r="A126" s="448" t="s">
        <v>555</v>
      </c>
      <c r="B126" s="443" t="s">
        <v>434</v>
      </c>
      <c r="C126" s="459" t="s">
        <v>90</v>
      </c>
      <c r="D126" s="460">
        <v>0.25</v>
      </c>
      <c r="E126" s="459" t="s">
        <v>90</v>
      </c>
      <c r="F126" s="459" t="s">
        <v>90</v>
      </c>
      <c r="G126" s="459" t="s">
        <v>90</v>
      </c>
      <c r="H126" s="459" t="s">
        <v>90</v>
      </c>
      <c r="I126" s="457" t="str">
        <f t="shared" ref="I126:N126" si="103">iferror(C126*$B$9, "-")</f>
        <v>-</v>
      </c>
      <c r="J126" s="457">
        <f t="shared" si="103"/>
        <v>3</v>
      </c>
      <c r="K126" s="457" t="str">
        <f t="shared" si="103"/>
        <v>-</v>
      </c>
      <c r="L126" s="457" t="str">
        <f t="shared" si="103"/>
        <v>-</v>
      </c>
      <c r="M126" s="457" t="str">
        <f t="shared" si="103"/>
        <v>-</v>
      </c>
      <c r="N126" s="457" t="str">
        <f t="shared" si="103"/>
        <v>-</v>
      </c>
      <c r="O126" s="458">
        <f t="shared" si="3"/>
        <v>3</v>
      </c>
    </row>
    <row r="127" ht="12.75" customHeight="1">
      <c r="A127" s="448" t="s">
        <v>555</v>
      </c>
      <c r="B127" s="448" t="s">
        <v>206</v>
      </c>
      <c r="C127" s="459" t="s">
        <v>90</v>
      </c>
      <c r="D127" s="460">
        <v>0.25</v>
      </c>
      <c r="E127" s="459" t="s">
        <v>90</v>
      </c>
      <c r="F127" s="459" t="s">
        <v>90</v>
      </c>
      <c r="G127" s="459" t="s">
        <v>90</v>
      </c>
      <c r="H127" s="459" t="s">
        <v>90</v>
      </c>
      <c r="I127" s="457" t="str">
        <f t="shared" ref="I127:N127" si="104">iferror(C127*$B$10, "-")</f>
        <v>-</v>
      </c>
      <c r="J127" s="457">
        <f t="shared" si="104"/>
        <v>3.25</v>
      </c>
      <c r="K127" s="457" t="str">
        <f t="shared" si="104"/>
        <v>-</v>
      </c>
      <c r="L127" s="457" t="str">
        <f t="shared" si="104"/>
        <v>-</v>
      </c>
      <c r="M127" s="457" t="str">
        <f t="shared" si="104"/>
        <v>-</v>
      </c>
      <c r="N127" s="457" t="str">
        <f t="shared" si="104"/>
        <v>-</v>
      </c>
      <c r="O127" s="458">
        <f t="shared" si="3"/>
        <v>3.25</v>
      </c>
    </row>
    <row r="128" ht="12.75" customHeight="1">
      <c r="A128" s="448" t="s">
        <v>555</v>
      </c>
      <c r="B128" s="443" t="s">
        <v>401</v>
      </c>
      <c r="C128" s="459" t="s">
        <v>90</v>
      </c>
      <c r="D128" s="460">
        <v>0.25</v>
      </c>
      <c r="E128" s="459" t="s">
        <v>90</v>
      </c>
      <c r="F128" s="459" t="s">
        <v>90</v>
      </c>
      <c r="G128" s="459" t="s">
        <v>90</v>
      </c>
      <c r="H128" s="459" t="s">
        <v>90</v>
      </c>
      <c r="I128" s="457" t="str">
        <f t="shared" ref="I128:N128" si="105">iferror(C128*$B$11, "-")</f>
        <v>-</v>
      </c>
      <c r="J128" s="457">
        <f t="shared" si="105"/>
        <v>3.75</v>
      </c>
      <c r="K128" s="457" t="str">
        <f t="shared" si="105"/>
        <v>-</v>
      </c>
      <c r="L128" s="457" t="str">
        <f t="shared" si="105"/>
        <v>-</v>
      </c>
      <c r="M128" s="457" t="str">
        <f t="shared" si="105"/>
        <v>-</v>
      </c>
      <c r="N128" s="457" t="str">
        <f t="shared" si="105"/>
        <v>-</v>
      </c>
      <c r="O128" s="458">
        <f t="shared" si="3"/>
        <v>3.75</v>
      </c>
    </row>
    <row r="129" ht="12.75" customHeight="1">
      <c r="A129" s="448" t="s">
        <v>555</v>
      </c>
      <c r="B129" s="443" t="s">
        <v>438</v>
      </c>
      <c r="C129" s="459" t="s">
        <v>90</v>
      </c>
      <c r="D129" s="460">
        <v>0.25</v>
      </c>
      <c r="E129" s="459" t="s">
        <v>90</v>
      </c>
      <c r="F129" s="459" t="s">
        <v>90</v>
      </c>
      <c r="G129" s="459" t="s">
        <v>90</v>
      </c>
      <c r="H129" s="459" t="s">
        <v>90</v>
      </c>
      <c r="I129" s="457" t="str">
        <f t="shared" ref="I129:N129" si="106">iferror(C129*$B$12, "-")</f>
        <v>-</v>
      </c>
      <c r="J129" s="457">
        <f t="shared" si="106"/>
        <v>4</v>
      </c>
      <c r="K129" s="457" t="str">
        <f t="shared" si="106"/>
        <v>-</v>
      </c>
      <c r="L129" s="457" t="str">
        <f t="shared" si="106"/>
        <v>-</v>
      </c>
      <c r="M129" s="457" t="str">
        <f t="shared" si="106"/>
        <v>-</v>
      </c>
      <c r="N129" s="457" t="str">
        <f t="shared" si="106"/>
        <v>-</v>
      </c>
      <c r="O129" s="458">
        <f t="shared" si="3"/>
        <v>4</v>
      </c>
    </row>
    <row r="130" ht="12.75" customHeight="1">
      <c r="A130" s="448" t="s">
        <v>555</v>
      </c>
      <c r="B130" s="443" t="s">
        <v>7</v>
      </c>
      <c r="C130" s="459" t="s">
        <v>90</v>
      </c>
      <c r="D130" s="459" t="s">
        <v>90</v>
      </c>
      <c r="E130" s="459" t="s">
        <v>90</v>
      </c>
      <c r="F130" s="459" t="s">
        <v>90</v>
      </c>
      <c r="G130" s="459" t="s">
        <v>90</v>
      </c>
      <c r="H130" s="459" t="s">
        <v>90</v>
      </c>
      <c r="I130" s="457" t="str">
        <f t="shared" ref="I130:N130" si="107">iferror(C130*$B$13, "-")</f>
        <v>-</v>
      </c>
      <c r="J130" s="457" t="str">
        <f t="shared" si="107"/>
        <v>-</v>
      </c>
      <c r="K130" s="457" t="str">
        <f t="shared" si="107"/>
        <v>-</v>
      </c>
      <c r="L130" s="457" t="str">
        <f t="shared" si="107"/>
        <v>-</v>
      </c>
      <c r="M130" s="457" t="str">
        <f t="shared" si="107"/>
        <v>-</v>
      </c>
      <c r="N130" s="457" t="str">
        <f t="shared" si="107"/>
        <v>-</v>
      </c>
      <c r="O130" s="458">
        <f t="shared" si="3"/>
        <v>0</v>
      </c>
    </row>
    <row r="131" ht="12.75" customHeight="1">
      <c r="A131" s="448" t="s">
        <v>555</v>
      </c>
      <c r="B131" s="443" t="s">
        <v>398</v>
      </c>
      <c r="C131" s="459" t="s">
        <v>90</v>
      </c>
      <c r="D131" s="459" t="s">
        <v>90</v>
      </c>
      <c r="E131" s="459" t="s">
        <v>90</v>
      </c>
      <c r="F131" s="459" t="s">
        <v>90</v>
      </c>
      <c r="G131" s="459" t="s">
        <v>90</v>
      </c>
      <c r="H131" s="459" t="s">
        <v>90</v>
      </c>
      <c r="I131" s="457" t="str">
        <f t="shared" ref="I131:N131" si="108">iferror(C131*$B$14, "-")</f>
        <v>-</v>
      </c>
      <c r="J131" s="457" t="str">
        <f t="shared" si="108"/>
        <v>-</v>
      </c>
      <c r="K131" s="457" t="str">
        <f t="shared" si="108"/>
        <v>-</v>
      </c>
      <c r="L131" s="457" t="str">
        <f t="shared" si="108"/>
        <v>-</v>
      </c>
      <c r="M131" s="457" t="str">
        <f t="shared" si="108"/>
        <v>-</v>
      </c>
      <c r="N131" s="457" t="str">
        <f t="shared" si="108"/>
        <v>-</v>
      </c>
      <c r="O131" s="458">
        <f t="shared" si="3"/>
        <v>0</v>
      </c>
    </row>
    <row r="132" ht="12.75" customHeight="1">
      <c r="A132" s="448" t="s">
        <v>555</v>
      </c>
      <c r="B132" s="448" t="s">
        <v>63</v>
      </c>
      <c r="C132" s="459" t="s">
        <v>90</v>
      </c>
      <c r="D132" s="460">
        <v>0.25</v>
      </c>
      <c r="E132" s="459" t="s">
        <v>90</v>
      </c>
      <c r="F132" s="459" t="s">
        <v>90</v>
      </c>
      <c r="G132" s="459" t="s">
        <v>90</v>
      </c>
      <c r="H132" s="459" t="s">
        <v>90</v>
      </c>
      <c r="I132" s="457" t="str">
        <f t="shared" ref="I132:N132" si="109">iferror(C132*$B$15, "-")</f>
        <v>-</v>
      </c>
      <c r="J132" s="457">
        <f t="shared" si="109"/>
        <v>0.75</v>
      </c>
      <c r="K132" s="457" t="str">
        <f t="shared" si="109"/>
        <v>-</v>
      </c>
      <c r="L132" s="457" t="str">
        <f t="shared" si="109"/>
        <v>-</v>
      </c>
      <c r="M132" s="457" t="str">
        <f t="shared" si="109"/>
        <v>-</v>
      </c>
      <c r="N132" s="457" t="str">
        <f t="shared" si="109"/>
        <v>-</v>
      </c>
      <c r="O132" s="458">
        <f t="shared" si="3"/>
        <v>0.75</v>
      </c>
    </row>
    <row r="133" ht="12.75" customHeight="1">
      <c r="A133" s="448" t="s">
        <v>555</v>
      </c>
      <c r="B133" s="443" t="s">
        <v>151</v>
      </c>
      <c r="C133" s="459" t="s">
        <v>90</v>
      </c>
      <c r="D133" s="459" t="s">
        <v>90</v>
      </c>
      <c r="E133" s="459" t="s">
        <v>90</v>
      </c>
      <c r="F133" s="459" t="s">
        <v>90</v>
      </c>
      <c r="G133" s="459" t="s">
        <v>90</v>
      </c>
      <c r="H133" s="459" t="s">
        <v>90</v>
      </c>
      <c r="I133" s="457" t="str">
        <f t="shared" ref="I133:N133" si="110">iferror(C133*$B$16, "-")</f>
        <v>-</v>
      </c>
      <c r="J133" s="457" t="str">
        <f t="shared" si="110"/>
        <v>-</v>
      </c>
      <c r="K133" s="457" t="str">
        <f t="shared" si="110"/>
        <v>-</v>
      </c>
      <c r="L133" s="457" t="str">
        <f t="shared" si="110"/>
        <v>-</v>
      </c>
      <c r="M133" s="457" t="str">
        <f t="shared" si="110"/>
        <v>-</v>
      </c>
      <c r="N133" s="457" t="str">
        <f t="shared" si="110"/>
        <v>-</v>
      </c>
      <c r="O133" s="458">
        <f t="shared" si="3"/>
        <v>0</v>
      </c>
    </row>
    <row r="134" ht="12.75" customHeight="1">
      <c r="A134" s="448" t="s">
        <v>555</v>
      </c>
      <c r="B134" s="443" t="s">
        <v>443</v>
      </c>
      <c r="C134" s="459" t="s">
        <v>90</v>
      </c>
      <c r="D134" s="459" t="s">
        <v>90</v>
      </c>
      <c r="E134" s="459" t="s">
        <v>90</v>
      </c>
      <c r="F134" s="459" t="s">
        <v>90</v>
      </c>
      <c r="G134" s="459" t="s">
        <v>90</v>
      </c>
      <c r="H134" s="459" t="s">
        <v>90</v>
      </c>
      <c r="I134" s="457" t="str">
        <f t="shared" ref="I134:N134" si="111">iferror(C134*$B$17, "-")</f>
        <v>-</v>
      </c>
      <c r="J134" s="457" t="str">
        <f t="shared" si="111"/>
        <v>-</v>
      </c>
      <c r="K134" s="457" t="str">
        <f t="shared" si="111"/>
        <v>-</v>
      </c>
      <c r="L134" s="457" t="str">
        <f t="shared" si="111"/>
        <v>-</v>
      </c>
      <c r="M134" s="457" t="str">
        <f t="shared" si="111"/>
        <v>-</v>
      </c>
      <c r="N134" s="457" t="str">
        <f t="shared" si="111"/>
        <v>-</v>
      </c>
      <c r="O134" s="458">
        <f t="shared" si="3"/>
        <v>0</v>
      </c>
    </row>
    <row r="135" ht="12.75" customHeight="1">
      <c r="A135" s="448" t="s">
        <v>555</v>
      </c>
      <c r="B135" s="465" t="s">
        <v>51</v>
      </c>
      <c r="C135" s="460">
        <v>0.25</v>
      </c>
      <c r="D135" s="466" t="s">
        <v>90</v>
      </c>
      <c r="E135" s="466" t="s">
        <v>90</v>
      </c>
      <c r="F135" s="466" t="s">
        <v>90</v>
      </c>
      <c r="G135" s="466" t="s">
        <v>90</v>
      </c>
      <c r="H135" s="466" t="s">
        <v>90</v>
      </c>
      <c r="I135" s="457">
        <f t="shared" ref="I135:N135" si="112">iferror(C135*$B$18, "-")</f>
        <v>6</v>
      </c>
      <c r="J135" s="457" t="str">
        <f t="shared" si="112"/>
        <v>-</v>
      </c>
      <c r="K135" s="457" t="str">
        <f t="shared" si="112"/>
        <v>-</v>
      </c>
      <c r="L135" s="457" t="str">
        <f t="shared" si="112"/>
        <v>-</v>
      </c>
      <c r="M135" s="457" t="str">
        <f t="shared" si="112"/>
        <v>-</v>
      </c>
      <c r="N135" s="457" t="str">
        <f t="shared" si="112"/>
        <v>-</v>
      </c>
      <c r="O135" s="457">
        <f t="shared" si="3"/>
        <v>6</v>
      </c>
    </row>
    <row r="136" ht="12.75" customHeight="1">
      <c r="A136" s="448" t="s">
        <v>555</v>
      </c>
      <c r="B136" s="448" t="s">
        <v>15</v>
      </c>
      <c r="C136" s="460">
        <v>0.25</v>
      </c>
      <c r="D136" s="466" t="s">
        <v>90</v>
      </c>
      <c r="E136" s="460">
        <v>0.25</v>
      </c>
      <c r="F136" s="466" t="s">
        <v>90</v>
      </c>
      <c r="G136" s="466" t="s">
        <v>90</v>
      </c>
      <c r="H136" s="466" t="s">
        <v>90</v>
      </c>
      <c r="I136" s="457">
        <f t="shared" ref="I136:N136" si="113">iferror(C136*$B$19, "-")</f>
        <v>12.25</v>
      </c>
      <c r="J136" s="457" t="str">
        <f t="shared" si="113"/>
        <v>-</v>
      </c>
      <c r="K136" s="457">
        <f t="shared" si="113"/>
        <v>12.25</v>
      </c>
      <c r="L136" s="457" t="str">
        <f t="shared" si="113"/>
        <v>-</v>
      </c>
      <c r="M136" s="457" t="str">
        <f t="shared" si="113"/>
        <v>-</v>
      </c>
      <c r="N136" s="457" t="str">
        <f t="shared" si="113"/>
        <v>-</v>
      </c>
      <c r="O136" s="457">
        <f t="shared" si="3"/>
        <v>24.5</v>
      </c>
    </row>
    <row r="137" ht="12.75" customHeight="1">
      <c r="A137" s="448" t="s">
        <v>555</v>
      </c>
      <c r="B137" s="448" t="s">
        <v>16</v>
      </c>
      <c r="C137" s="460">
        <v>0.25</v>
      </c>
      <c r="D137" s="466" t="s">
        <v>90</v>
      </c>
      <c r="E137" s="460">
        <v>0.25</v>
      </c>
      <c r="F137" s="466" t="s">
        <v>90</v>
      </c>
      <c r="G137" s="466" t="s">
        <v>90</v>
      </c>
      <c r="H137" s="466" t="s">
        <v>90</v>
      </c>
      <c r="I137" s="457">
        <f t="shared" ref="I137:N137" si="114">iferror(C137*$B$20, "-")</f>
        <v>12.25</v>
      </c>
      <c r="J137" s="457" t="str">
        <f t="shared" si="114"/>
        <v>-</v>
      </c>
      <c r="K137" s="457">
        <f t="shared" si="114"/>
        <v>12.25</v>
      </c>
      <c r="L137" s="457" t="str">
        <f t="shared" si="114"/>
        <v>-</v>
      </c>
      <c r="M137" s="457" t="str">
        <f t="shared" si="114"/>
        <v>-</v>
      </c>
      <c r="N137" s="457" t="str">
        <f t="shared" si="114"/>
        <v>-</v>
      </c>
      <c r="O137" s="457">
        <f t="shared" si="3"/>
        <v>24.5</v>
      </c>
    </row>
    <row r="138" ht="12.75" customHeight="1">
      <c r="A138" s="448" t="s">
        <v>555</v>
      </c>
      <c r="B138" s="448" t="s">
        <v>397</v>
      </c>
      <c r="C138" s="469" t="s">
        <v>90</v>
      </c>
      <c r="D138" s="469" t="s">
        <v>90</v>
      </c>
      <c r="E138" s="469" t="s">
        <v>90</v>
      </c>
      <c r="F138" s="469" t="s">
        <v>90</v>
      </c>
      <c r="G138" s="469" t="s">
        <v>90</v>
      </c>
      <c r="H138" s="469" t="s">
        <v>90</v>
      </c>
      <c r="I138" s="471" t="str">
        <f t="shared" ref="I138:N138" si="115">iferror(C138*$B$21, "-")</f>
        <v>-</v>
      </c>
      <c r="J138" s="471" t="str">
        <f t="shared" si="115"/>
        <v>-</v>
      </c>
      <c r="K138" s="471" t="str">
        <f t="shared" si="115"/>
        <v>-</v>
      </c>
      <c r="L138" s="471" t="str">
        <f t="shared" si="115"/>
        <v>-</v>
      </c>
      <c r="M138" s="471" t="str">
        <f t="shared" si="115"/>
        <v>-</v>
      </c>
      <c r="N138" s="471" t="str">
        <f t="shared" si="115"/>
        <v>-</v>
      </c>
      <c r="O138" s="458">
        <f t="shared" si="3"/>
        <v>0</v>
      </c>
    </row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</sheetData>
  <mergeCells count="1">
    <mergeCell ref="A1:N1"/>
  </mergeCells>
  <conditionalFormatting sqref="A25:A138 B25:B40 C25:N138 B43:B138">
    <cfRule type="cellIs" dxfId="8" priority="1" operator="equal">
      <formula>"-"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19.75"/>
    <col customWidth="1" min="3" max="8" width="14.38"/>
    <col customWidth="1" min="9" max="9" width="19.75"/>
    <col customWidth="1" min="10" max="26" width="8.63"/>
  </cols>
  <sheetData>
    <row r="1" ht="12.75" customHeight="1">
      <c r="A1" s="437" t="s">
        <v>456</v>
      </c>
    </row>
    <row r="2" ht="12.75" customHeight="1">
      <c r="A2" s="440" t="s">
        <v>457</v>
      </c>
      <c r="B2" s="441" t="s">
        <v>458</v>
      </c>
    </row>
    <row r="3" ht="12.75" customHeight="1">
      <c r="A3" s="443" t="s">
        <v>459</v>
      </c>
      <c r="B3" s="461">
        <v>72.0</v>
      </c>
      <c r="C3" s="462" t="s">
        <v>460</v>
      </c>
    </row>
    <row r="4" ht="12.75" customHeight="1">
      <c r="A4" s="443" t="s">
        <v>461</v>
      </c>
      <c r="B4" s="461">
        <v>8.0</v>
      </c>
      <c r="C4" s="462" t="s">
        <v>460</v>
      </c>
    </row>
    <row r="5" ht="12.75" customHeight="1">
      <c r="A5" s="443" t="s">
        <v>462</v>
      </c>
      <c r="B5" s="461">
        <v>9.0</v>
      </c>
      <c r="C5" s="462" t="s">
        <v>460</v>
      </c>
    </row>
    <row r="6" ht="12.75" customHeight="1">
      <c r="A6" s="443" t="s">
        <v>463</v>
      </c>
      <c r="B6" s="444">
        <v>29.0</v>
      </c>
      <c r="C6" s="462" t="s">
        <v>460</v>
      </c>
    </row>
    <row r="7" ht="12.75" customHeight="1">
      <c r="A7" s="443" t="s">
        <v>464</v>
      </c>
      <c r="B7" s="461">
        <v>3.0</v>
      </c>
      <c r="C7" s="462" t="s">
        <v>460</v>
      </c>
    </row>
    <row r="8" ht="12.75" customHeight="1"/>
    <row r="9" ht="12.75" customHeight="1">
      <c r="A9" s="437" t="s">
        <v>465</v>
      </c>
    </row>
    <row r="10" ht="12.75" customHeight="1">
      <c r="A10" s="440" t="s">
        <v>466</v>
      </c>
      <c r="B10" s="441" t="s">
        <v>467</v>
      </c>
    </row>
    <row r="11" ht="12.75" customHeight="1">
      <c r="A11" s="443" t="s">
        <v>468</v>
      </c>
      <c r="B11" s="461">
        <v>1.0</v>
      </c>
    </row>
    <row r="12" ht="12.75" customHeight="1">
      <c r="A12" s="443" t="s">
        <v>469</v>
      </c>
      <c r="B12" s="461">
        <v>2.0</v>
      </c>
    </row>
    <row r="13" ht="12.75" customHeight="1">
      <c r="A13" s="443" t="s">
        <v>470</v>
      </c>
      <c r="B13" s="461">
        <v>3.0</v>
      </c>
    </row>
    <row r="14" ht="12.75" customHeight="1">
      <c r="A14" s="443" t="s">
        <v>471</v>
      </c>
      <c r="B14" s="461">
        <v>4.0</v>
      </c>
    </row>
    <row r="15" ht="12.75" customHeight="1">
      <c r="A15" s="443" t="s">
        <v>472</v>
      </c>
      <c r="B15" s="461">
        <v>5.0</v>
      </c>
    </row>
    <row r="16" ht="12.75" customHeight="1">
      <c r="A16" s="443" t="s">
        <v>473</v>
      </c>
      <c r="B16" s="461">
        <v>6.0</v>
      </c>
    </row>
    <row r="17" ht="12.75" customHeight="1"/>
    <row r="18" ht="12.75" customHeight="1">
      <c r="A18" s="437" t="s">
        <v>474</v>
      </c>
    </row>
    <row r="19" ht="12.75" customHeight="1">
      <c r="A19" s="440" t="s">
        <v>475</v>
      </c>
      <c r="B19" s="441" t="s">
        <v>476</v>
      </c>
      <c r="C19" s="441" t="s">
        <v>468</v>
      </c>
      <c r="D19" s="441" t="s">
        <v>469</v>
      </c>
      <c r="E19" s="441" t="s">
        <v>470</v>
      </c>
      <c r="F19" s="441" t="s">
        <v>471</v>
      </c>
      <c r="G19" s="441" t="s">
        <v>472</v>
      </c>
      <c r="H19" s="441" t="s">
        <v>473</v>
      </c>
      <c r="I19" s="441" t="s">
        <v>477</v>
      </c>
    </row>
    <row r="20" ht="12.75" customHeight="1">
      <c r="A20" s="443" t="s">
        <v>478</v>
      </c>
      <c r="B20" s="461">
        <v>2.0</v>
      </c>
      <c r="C20" s="463">
        <v>0.37</v>
      </c>
      <c r="D20" s="464">
        <v>0.29</v>
      </c>
      <c r="E20" s="464">
        <v>0.2</v>
      </c>
      <c r="F20" s="464">
        <v>0.1</v>
      </c>
      <c r="G20" s="464">
        <v>0.04</v>
      </c>
      <c r="H20" s="463">
        <v>0.0</v>
      </c>
      <c r="I20" s="467">
        <f t="shared" ref="I20:I25" si="1">SUM(C20:H20)</f>
        <v>1</v>
      </c>
    </row>
    <row r="21" ht="12.75" customHeight="1">
      <c r="A21" s="443" t="s">
        <v>479</v>
      </c>
      <c r="B21" s="461">
        <v>3.0</v>
      </c>
      <c r="C21" s="463">
        <v>0.34</v>
      </c>
      <c r="D21" s="464">
        <v>0.26</v>
      </c>
      <c r="E21" s="464">
        <v>0.19</v>
      </c>
      <c r="F21" s="464">
        <v>0.14</v>
      </c>
      <c r="G21" s="464">
        <v>0.07</v>
      </c>
      <c r="H21" s="463">
        <v>0.0</v>
      </c>
      <c r="I21" s="467">
        <f t="shared" si="1"/>
        <v>1</v>
      </c>
    </row>
    <row r="22" ht="12.75" customHeight="1">
      <c r="A22" s="443" t="s">
        <v>480</v>
      </c>
      <c r="B22" s="461">
        <v>4.0</v>
      </c>
      <c r="C22" s="463">
        <v>0.32</v>
      </c>
      <c r="D22" s="464">
        <v>0.24</v>
      </c>
      <c r="E22" s="464">
        <v>0.18</v>
      </c>
      <c r="F22" s="464">
        <v>0.16</v>
      </c>
      <c r="G22" s="464">
        <v>0.1</v>
      </c>
      <c r="H22" s="463">
        <v>0.0</v>
      </c>
      <c r="I22" s="467">
        <f t="shared" si="1"/>
        <v>1</v>
      </c>
    </row>
    <row r="23" ht="12.75" customHeight="1">
      <c r="A23" s="443" t="s">
        <v>481</v>
      </c>
      <c r="B23" s="461">
        <v>5.0</v>
      </c>
      <c r="C23" s="463">
        <v>0.31</v>
      </c>
      <c r="D23" s="464">
        <v>0.22</v>
      </c>
      <c r="E23" s="464">
        <v>0.17</v>
      </c>
      <c r="F23" s="464">
        <v>0.18</v>
      </c>
      <c r="G23" s="463">
        <v>0.12</v>
      </c>
      <c r="H23" s="463">
        <v>0.0</v>
      </c>
      <c r="I23" s="467">
        <f t="shared" si="1"/>
        <v>1</v>
      </c>
    </row>
    <row r="24" ht="12.75" customHeight="1">
      <c r="A24" s="443" t="s">
        <v>482</v>
      </c>
      <c r="B24" s="461">
        <v>6.0</v>
      </c>
      <c r="C24" s="463">
        <v>0.285</v>
      </c>
      <c r="D24" s="464">
        <v>0.2</v>
      </c>
      <c r="E24" s="464">
        <v>0.16</v>
      </c>
      <c r="F24" s="464">
        <v>0.2</v>
      </c>
      <c r="G24" s="463">
        <v>0.155</v>
      </c>
      <c r="H24" s="463">
        <v>0.0</v>
      </c>
      <c r="I24" s="467">
        <f t="shared" si="1"/>
        <v>1</v>
      </c>
    </row>
    <row r="25" ht="12.75" customHeight="1">
      <c r="A25" s="448" t="s">
        <v>483</v>
      </c>
      <c r="B25" s="444">
        <v>7.0</v>
      </c>
      <c r="C25" s="463">
        <v>0.26</v>
      </c>
      <c r="D25" s="464">
        <v>0.18</v>
      </c>
      <c r="E25" s="464">
        <v>0.15</v>
      </c>
      <c r="F25" s="464">
        <v>0.22</v>
      </c>
      <c r="G25" s="464">
        <v>0.19</v>
      </c>
      <c r="H25" s="463">
        <v>0.0</v>
      </c>
      <c r="I25" s="467">
        <f t="shared" si="1"/>
        <v>1</v>
      </c>
    </row>
    <row r="26" ht="12.75" customHeight="1">
      <c r="A26" s="470" t="s">
        <v>484</v>
      </c>
    </row>
    <row r="27" ht="12.75" customHeight="1"/>
    <row r="28" ht="12.75" customHeight="1">
      <c r="A28" s="472" t="s">
        <v>485</v>
      </c>
    </row>
    <row r="29" ht="12.75" customHeight="1">
      <c r="A29" s="440" t="s">
        <v>475</v>
      </c>
      <c r="B29" s="442" t="s">
        <v>486</v>
      </c>
      <c r="C29" s="442" t="s">
        <v>487</v>
      </c>
    </row>
    <row r="30" ht="12.75" customHeight="1">
      <c r="A30" s="443" t="s">
        <v>478</v>
      </c>
      <c r="B30" s="461" t="s">
        <v>489</v>
      </c>
      <c r="C30" s="461" t="b">
        <v>0</v>
      </c>
    </row>
    <row r="31" ht="12.75" customHeight="1">
      <c r="A31" s="443" t="s">
        <v>479</v>
      </c>
      <c r="B31" s="461" t="s">
        <v>489</v>
      </c>
      <c r="C31" s="461" t="b">
        <v>0</v>
      </c>
    </row>
    <row r="32" ht="12.75" customHeight="1">
      <c r="A32" s="443" t="s">
        <v>480</v>
      </c>
      <c r="B32" s="461" t="s">
        <v>489</v>
      </c>
      <c r="C32" s="461" t="b">
        <v>0</v>
      </c>
    </row>
    <row r="33" ht="12.75" customHeight="1">
      <c r="A33" s="443" t="s">
        <v>481</v>
      </c>
      <c r="B33" s="461" t="s">
        <v>489</v>
      </c>
      <c r="C33" s="461" t="b">
        <v>0</v>
      </c>
    </row>
    <row r="34" ht="12.75" customHeight="1">
      <c r="A34" s="443" t="s">
        <v>482</v>
      </c>
      <c r="B34" s="461" t="s">
        <v>490</v>
      </c>
      <c r="C34" s="461" t="b">
        <v>0</v>
      </c>
    </row>
    <row r="35" ht="12.75" customHeight="1">
      <c r="A35" s="448" t="s">
        <v>483</v>
      </c>
      <c r="B35" s="461" t="s">
        <v>491</v>
      </c>
      <c r="C35" s="461" t="b">
        <v>1</v>
      </c>
    </row>
    <row r="36" ht="12.75" customHeight="1"/>
    <row r="37" ht="12.75" customHeight="1"/>
    <row r="38" ht="12.75" customHeight="1">
      <c r="A38" s="437" t="s">
        <v>492</v>
      </c>
    </row>
    <row r="39" ht="12.75" customHeight="1">
      <c r="A39" s="440" t="s">
        <v>493</v>
      </c>
      <c r="B39" s="441" t="s">
        <v>494</v>
      </c>
      <c r="C39" s="441" t="s">
        <v>495</v>
      </c>
    </row>
    <row r="40" ht="12.75" customHeight="1">
      <c r="A40" s="443" t="s">
        <v>496</v>
      </c>
      <c r="B40" s="461">
        <v>250.0</v>
      </c>
      <c r="C40" s="444" t="s">
        <v>478</v>
      </c>
    </row>
    <row r="41" ht="12.75" customHeight="1">
      <c r="A41" s="443" t="s">
        <v>497</v>
      </c>
      <c r="B41" s="461">
        <v>500.0</v>
      </c>
      <c r="C41" s="461" t="s">
        <v>481</v>
      </c>
    </row>
    <row r="42" ht="12.75" customHeight="1">
      <c r="A42" s="443" t="s">
        <v>473</v>
      </c>
      <c r="B42" s="461">
        <v>1000.0</v>
      </c>
      <c r="C42" s="461" t="s">
        <v>482</v>
      </c>
    </row>
    <row r="43" ht="12.75" customHeight="1"/>
    <row r="44" ht="12.75" customHeight="1">
      <c r="A44" s="472" t="s">
        <v>498</v>
      </c>
    </row>
    <row r="45" ht="12.75" customHeight="1">
      <c r="A45" s="440" t="s">
        <v>499</v>
      </c>
      <c r="B45" s="440" t="s">
        <v>500</v>
      </c>
    </row>
    <row r="46" ht="14.25" customHeight="1">
      <c r="A46" s="475" t="s">
        <v>468</v>
      </c>
      <c r="B46" s="461">
        <v>281.0</v>
      </c>
    </row>
    <row r="47" ht="12.75" customHeight="1">
      <c r="A47" s="475" t="s">
        <v>469</v>
      </c>
      <c r="B47" s="461">
        <v>215.0</v>
      </c>
    </row>
    <row r="48" ht="12.75" customHeight="1">
      <c r="A48" s="475" t="s">
        <v>470</v>
      </c>
      <c r="B48" s="461">
        <v>143.0</v>
      </c>
    </row>
    <row r="49" ht="12.75" customHeight="1">
      <c r="A49" s="475" t="s">
        <v>471</v>
      </c>
      <c r="B49" s="461">
        <v>112.0</v>
      </c>
    </row>
    <row r="50" ht="12.75" customHeight="1">
      <c r="A50" s="475" t="s">
        <v>472</v>
      </c>
      <c r="B50" s="461">
        <v>66.0</v>
      </c>
    </row>
    <row r="51" ht="12.75" customHeight="1">
      <c r="A51" s="475" t="s">
        <v>473</v>
      </c>
      <c r="B51" s="461">
        <v>0.0</v>
      </c>
    </row>
    <row r="52" ht="12.75" customHeight="1"/>
    <row r="53" ht="12.75" customHeight="1">
      <c r="A53" s="476" t="s">
        <v>501</v>
      </c>
    </row>
    <row r="54" ht="12.75" customHeight="1"/>
    <row r="55" ht="12.75" customHeight="1">
      <c r="A55" s="472" t="s">
        <v>502</v>
      </c>
      <c r="B55" s="372" t="s">
        <v>503</v>
      </c>
    </row>
    <row r="56" ht="34.5" customHeight="1">
      <c r="A56" s="454" t="s">
        <v>504</v>
      </c>
      <c r="B56" s="440" t="s">
        <v>76</v>
      </c>
      <c r="C56" s="440" t="s">
        <v>46</v>
      </c>
      <c r="D56" s="440" t="s">
        <v>121</v>
      </c>
      <c r="E56" s="440" t="s">
        <v>47</v>
      </c>
      <c r="F56" s="440" t="s">
        <v>48</v>
      </c>
      <c r="G56" s="440" t="s">
        <v>50</v>
      </c>
      <c r="H56" s="440" t="s">
        <v>52</v>
      </c>
      <c r="I56" s="440" t="s">
        <v>53</v>
      </c>
      <c r="J56" s="440" t="s">
        <v>54</v>
      </c>
      <c r="K56" s="440" t="s">
        <v>55</v>
      </c>
      <c r="L56" s="440" t="s">
        <v>56</v>
      </c>
      <c r="M56" s="440" t="s">
        <v>57</v>
      </c>
      <c r="N56" s="440" t="s">
        <v>58</v>
      </c>
      <c r="O56" s="440" t="s">
        <v>135</v>
      </c>
      <c r="P56" s="440" t="s">
        <v>122</v>
      </c>
      <c r="Q56" s="440" t="s">
        <v>123</v>
      </c>
      <c r="R56" s="440" t="s">
        <v>124</v>
      </c>
      <c r="S56" s="440" t="s">
        <v>125</v>
      </c>
      <c r="T56" s="440" t="s">
        <v>126</v>
      </c>
      <c r="U56" s="440" t="s">
        <v>127</v>
      </c>
      <c r="V56" s="440" t="s">
        <v>128</v>
      </c>
    </row>
    <row r="57" ht="12.75" customHeight="1">
      <c r="A57" s="475" t="str">
        <f t="array" ref="A57:A64">"Set "&amp;SEQUENCE($B$4,1)</f>
        <v>Set 1</v>
      </c>
      <c r="B57" s="444">
        <v>300.0</v>
      </c>
      <c r="C57" s="461">
        <v>0.0</v>
      </c>
      <c r="D57" s="461">
        <v>0.0</v>
      </c>
      <c r="E57" s="444">
        <v>2.0</v>
      </c>
      <c r="F57" s="461">
        <v>0.0</v>
      </c>
      <c r="G57" s="461">
        <v>0.0</v>
      </c>
      <c r="H57" s="461">
        <v>0.0</v>
      </c>
      <c r="I57" s="461">
        <v>0.0</v>
      </c>
      <c r="J57" s="461">
        <v>0.0</v>
      </c>
      <c r="K57" s="444">
        <v>30.0</v>
      </c>
      <c r="L57" s="461">
        <v>0.0</v>
      </c>
      <c r="M57" s="461">
        <v>0.0</v>
      </c>
      <c r="N57" s="461">
        <v>0.0</v>
      </c>
      <c r="O57" s="461">
        <v>0.0</v>
      </c>
      <c r="P57" s="461">
        <v>0.0</v>
      </c>
      <c r="Q57" s="461">
        <v>0.0</v>
      </c>
      <c r="R57" s="461">
        <v>0.0</v>
      </c>
      <c r="S57" s="461">
        <v>0.0</v>
      </c>
      <c r="T57" s="461">
        <v>0.0</v>
      </c>
      <c r="U57" s="461">
        <v>0.0</v>
      </c>
      <c r="V57" s="461">
        <v>0.0</v>
      </c>
    </row>
    <row r="58" ht="12.75" customHeight="1">
      <c r="A58" s="475" t="s">
        <v>505</v>
      </c>
      <c r="B58" s="444">
        <v>200.0</v>
      </c>
      <c r="C58" s="461">
        <v>0.0</v>
      </c>
      <c r="D58" s="461">
        <v>0.0</v>
      </c>
      <c r="E58" s="461">
        <v>0.0</v>
      </c>
      <c r="F58" s="444">
        <v>2.0</v>
      </c>
      <c r="G58" s="461">
        <v>0.0</v>
      </c>
      <c r="H58" s="461">
        <v>0.0</v>
      </c>
      <c r="I58" s="461">
        <v>0.0</v>
      </c>
      <c r="J58" s="461">
        <v>0.0</v>
      </c>
      <c r="K58" s="461">
        <v>0.0</v>
      </c>
      <c r="L58" s="461">
        <v>0.0</v>
      </c>
      <c r="M58" s="461">
        <v>0.0</v>
      </c>
      <c r="N58" s="461">
        <v>0.0</v>
      </c>
      <c r="O58" s="461">
        <v>0.0</v>
      </c>
      <c r="P58" s="461">
        <v>0.0</v>
      </c>
      <c r="Q58" s="461">
        <v>0.0</v>
      </c>
      <c r="R58" s="461">
        <v>0.0</v>
      </c>
      <c r="S58" s="461">
        <v>0.0</v>
      </c>
      <c r="T58" s="461">
        <v>0.0</v>
      </c>
      <c r="U58" s="461">
        <v>0.0</v>
      </c>
      <c r="V58" s="461">
        <v>0.0</v>
      </c>
    </row>
    <row r="59" ht="12.75" customHeight="1">
      <c r="A59" s="475" t="s">
        <v>506</v>
      </c>
      <c r="B59" s="444">
        <v>100.0</v>
      </c>
      <c r="C59" s="461">
        <v>0.0</v>
      </c>
      <c r="D59" s="461">
        <v>0.0</v>
      </c>
      <c r="E59" s="461">
        <v>0.0</v>
      </c>
      <c r="F59" s="461">
        <v>0.0</v>
      </c>
      <c r="G59" s="444">
        <v>2.0</v>
      </c>
      <c r="H59" s="461">
        <v>0.0</v>
      </c>
      <c r="I59" s="461">
        <v>0.0</v>
      </c>
      <c r="J59" s="461">
        <v>0.0</v>
      </c>
      <c r="K59" s="461">
        <v>0.0</v>
      </c>
      <c r="L59" s="461">
        <v>0.0</v>
      </c>
      <c r="M59" s="461">
        <v>0.0</v>
      </c>
      <c r="N59" s="461">
        <v>0.0</v>
      </c>
      <c r="O59" s="461">
        <v>0.0</v>
      </c>
      <c r="P59" s="461">
        <v>0.0</v>
      </c>
      <c r="Q59" s="461">
        <v>0.0</v>
      </c>
      <c r="R59" s="461">
        <v>0.0</v>
      </c>
      <c r="S59" s="461">
        <v>0.0</v>
      </c>
      <c r="T59" s="461">
        <v>0.0</v>
      </c>
      <c r="U59" s="461">
        <v>0.0</v>
      </c>
      <c r="V59" s="461">
        <v>0.0</v>
      </c>
    </row>
    <row r="60" ht="12.75" customHeight="1">
      <c r="A60" s="475" t="s">
        <v>507</v>
      </c>
      <c r="B60" s="461">
        <v>0.0</v>
      </c>
      <c r="C60" s="461">
        <v>0.0</v>
      </c>
      <c r="D60" s="461">
        <v>0.0</v>
      </c>
      <c r="E60" s="444">
        <v>1.0</v>
      </c>
      <c r="F60" s="461">
        <v>0.0</v>
      </c>
      <c r="G60" s="461">
        <v>0.0</v>
      </c>
      <c r="H60" s="461">
        <v>0.0</v>
      </c>
      <c r="I60" s="461">
        <v>0.0</v>
      </c>
      <c r="J60" s="461">
        <v>0.0</v>
      </c>
      <c r="K60" s="461">
        <v>0.0</v>
      </c>
      <c r="L60" s="461">
        <v>0.0</v>
      </c>
      <c r="M60" s="461">
        <v>0.0</v>
      </c>
      <c r="N60" s="461">
        <v>0.0</v>
      </c>
      <c r="O60" s="461">
        <v>0.0</v>
      </c>
      <c r="P60" s="461">
        <v>0.0</v>
      </c>
      <c r="Q60" s="461">
        <v>0.0</v>
      </c>
      <c r="R60" s="461">
        <v>0.0</v>
      </c>
      <c r="S60" s="461">
        <v>0.0</v>
      </c>
      <c r="T60" s="461">
        <v>0.0</v>
      </c>
      <c r="U60" s="461">
        <v>0.0</v>
      </c>
      <c r="V60" s="461">
        <v>0.0</v>
      </c>
    </row>
    <row r="61" ht="12.75" customHeight="1">
      <c r="A61" s="475" t="s">
        <v>508</v>
      </c>
      <c r="B61" s="461">
        <v>0.0</v>
      </c>
      <c r="C61" s="461">
        <v>0.0</v>
      </c>
      <c r="D61" s="461">
        <v>0.0</v>
      </c>
      <c r="E61" s="461">
        <v>0.0</v>
      </c>
      <c r="F61" s="444">
        <v>1.0</v>
      </c>
      <c r="G61" s="461">
        <v>0.0</v>
      </c>
      <c r="H61" s="461">
        <v>0.0</v>
      </c>
      <c r="I61" s="461">
        <v>0.0</v>
      </c>
      <c r="J61" s="461">
        <v>0.0</v>
      </c>
      <c r="K61" s="461">
        <v>0.0</v>
      </c>
      <c r="L61" s="461">
        <v>0.0</v>
      </c>
      <c r="M61" s="461">
        <v>0.0</v>
      </c>
      <c r="N61" s="461">
        <v>0.0</v>
      </c>
      <c r="O61" s="461">
        <v>0.0</v>
      </c>
      <c r="P61" s="461">
        <v>0.0</v>
      </c>
      <c r="Q61" s="461">
        <v>0.0</v>
      </c>
      <c r="R61" s="461">
        <v>0.0</v>
      </c>
      <c r="S61" s="461">
        <v>0.0</v>
      </c>
      <c r="T61" s="461">
        <v>0.0</v>
      </c>
      <c r="U61" s="461">
        <v>0.0</v>
      </c>
      <c r="V61" s="461">
        <v>0.0</v>
      </c>
    </row>
    <row r="62" ht="12.75" customHeight="1">
      <c r="A62" s="475" t="s">
        <v>509</v>
      </c>
      <c r="B62" s="461">
        <v>0.0</v>
      </c>
      <c r="C62" s="461">
        <v>0.0</v>
      </c>
      <c r="D62" s="461">
        <v>0.0</v>
      </c>
      <c r="E62" s="461">
        <v>0.0</v>
      </c>
      <c r="F62" s="461">
        <v>0.0</v>
      </c>
      <c r="G62" s="444">
        <v>1.0</v>
      </c>
      <c r="H62" s="461">
        <v>0.0</v>
      </c>
      <c r="I62" s="461">
        <v>0.0</v>
      </c>
      <c r="J62" s="461">
        <v>0.0</v>
      </c>
      <c r="K62" s="461">
        <v>0.0</v>
      </c>
      <c r="L62" s="461">
        <v>0.0</v>
      </c>
      <c r="M62" s="461">
        <v>0.0</v>
      </c>
      <c r="N62" s="461">
        <v>0.0</v>
      </c>
      <c r="O62" s="461">
        <v>0.0</v>
      </c>
      <c r="P62" s="461">
        <v>0.0</v>
      </c>
      <c r="Q62" s="461">
        <v>0.0</v>
      </c>
      <c r="R62" s="461">
        <v>0.0</v>
      </c>
      <c r="S62" s="461">
        <v>0.0</v>
      </c>
      <c r="T62" s="461">
        <v>0.0</v>
      </c>
      <c r="U62" s="461">
        <v>0.0</v>
      </c>
      <c r="V62" s="461">
        <v>0.0</v>
      </c>
    </row>
    <row r="63" ht="12.75" customHeight="1">
      <c r="A63" s="475" t="s">
        <v>510</v>
      </c>
      <c r="B63" s="461">
        <v>0.0</v>
      </c>
      <c r="C63" s="461">
        <v>0.0</v>
      </c>
      <c r="D63" s="461">
        <v>0.0</v>
      </c>
      <c r="E63" s="461">
        <v>0.0</v>
      </c>
      <c r="F63" s="461">
        <v>0.0</v>
      </c>
      <c r="G63" s="461">
        <v>0.0</v>
      </c>
      <c r="H63" s="444">
        <v>1.0</v>
      </c>
      <c r="I63" s="461">
        <v>0.0</v>
      </c>
      <c r="J63" s="461">
        <v>0.0</v>
      </c>
      <c r="K63" s="461">
        <v>0.0</v>
      </c>
      <c r="L63" s="461">
        <v>0.0</v>
      </c>
      <c r="M63" s="461">
        <v>0.0</v>
      </c>
      <c r="N63" s="461">
        <v>0.0</v>
      </c>
      <c r="O63" s="461">
        <v>0.0</v>
      </c>
      <c r="P63" s="461">
        <v>0.0</v>
      </c>
      <c r="Q63" s="461">
        <v>0.0</v>
      </c>
      <c r="R63" s="461">
        <v>0.0</v>
      </c>
      <c r="S63" s="461">
        <v>0.0</v>
      </c>
      <c r="T63" s="461">
        <v>0.0</v>
      </c>
      <c r="U63" s="461">
        <v>0.0</v>
      </c>
      <c r="V63" s="461">
        <v>0.0</v>
      </c>
    </row>
    <row r="64" ht="12.75" customHeight="1">
      <c r="A64" s="475" t="s">
        <v>511</v>
      </c>
      <c r="B64" s="461">
        <v>0.0</v>
      </c>
      <c r="C64" s="461">
        <v>0.0</v>
      </c>
      <c r="D64" s="461">
        <v>0.0</v>
      </c>
      <c r="E64" s="461">
        <v>0.0</v>
      </c>
      <c r="F64" s="461">
        <v>0.0</v>
      </c>
      <c r="G64" s="461">
        <v>0.0</v>
      </c>
      <c r="H64" s="461">
        <v>0.0</v>
      </c>
      <c r="I64" s="444">
        <v>1.0</v>
      </c>
      <c r="J64" s="461">
        <v>0.0</v>
      </c>
      <c r="K64" s="461">
        <v>0.0</v>
      </c>
      <c r="L64" s="461">
        <v>0.0</v>
      </c>
      <c r="M64" s="461">
        <v>0.0</v>
      </c>
      <c r="N64" s="461">
        <v>0.0</v>
      </c>
      <c r="O64" s="461">
        <v>0.0</v>
      </c>
      <c r="P64" s="461">
        <v>0.0</v>
      </c>
      <c r="Q64" s="461">
        <v>0.0</v>
      </c>
      <c r="R64" s="461">
        <v>0.0</v>
      </c>
      <c r="S64" s="461">
        <v>0.0</v>
      </c>
      <c r="T64" s="461">
        <v>0.0</v>
      </c>
      <c r="U64" s="461">
        <v>0.0</v>
      </c>
      <c r="V64" s="461">
        <v>0.0</v>
      </c>
    </row>
    <row r="65" ht="12.75" customHeight="1"/>
    <row r="66" ht="12.75" customHeight="1"/>
    <row r="67" ht="12.75" customHeight="1">
      <c r="A67" s="472" t="s">
        <v>512</v>
      </c>
    </row>
    <row r="68" ht="12.75" customHeight="1">
      <c r="A68" s="454" t="s">
        <v>513</v>
      </c>
      <c r="B68" s="440" t="s">
        <v>76</v>
      </c>
      <c r="C68" s="440" t="s">
        <v>46</v>
      </c>
      <c r="D68" s="440" t="s">
        <v>121</v>
      </c>
      <c r="E68" s="440" t="s">
        <v>47</v>
      </c>
      <c r="F68" s="440" t="s">
        <v>48</v>
      </c>
      <c r="G68" s="440" t="s">
        <v>50</v>
      </c>
      <c r="H68" s="440" t="s">
        <v>52</v>
      </c>
      <c r="I68" s="440" t="s">
        <v>53</v>
      </c>
      <c r="J68" s="440" t="s">
        <v>54</v>
      </c>
      <c r="K68" s="440" t="s">
        <v>55</v>
      </c>
      <c r="L68" s="440" t="s">
        <v>56</v>
      </c>
      <c r="M68" s="440" t="s">
        <v>57</v>
      </c>
      <c r="N68" s="440" t="s">
        <v>58</v>
      </c>
      <c r="O68" s="440" t="s">
        <v>135</v>
      </c>
      <c r="P68" s="440" t="s">
        <v>122</v>
      </c>
      <c r="Q68" s="440" t="s">
        <v>123</v>
      </c>
      <c r="R68" s="440" t="s">
        <v>124</v>
      </c>
      <c r="S68" s="440" t="s">
        <v>125</v>
      </c>
      <c r="T68" s="440" t="s">
        <v>126</v>
      </c>
      <c r="U68" s="440" t="s">
        <v>127</v>
      </c>
      <c r="V68" s="440" t="s">
        <v>128</v>
      </c>
    </row>
    <row r="69" ht="12.75" customHeight="1">
      <c r="A69" s="475" t="str">
        <f t="array" ref="A69:A71">"Album "&amp;SEQUENCE($B$7,1)</f>
        <v>Album 1</v>
      </c>
      <c r="B69" s="444">
        <v>500.0</v>
      </c>
      <c r="C69" s="461">
        <v>0.0</v>
      </c>
      <c r="D69" s="461">
        <v>0.0</v>
      </c>
      <c r="E69" s="444">
        <v>1.0</v>
      </c>
      <c r="F69" s="461">
        <v>0.0</v>
      </c>
      <c r="G69" s="461">
        <v>0.0</v>
      </c>
      <c r="H69" s="461">
        <v>0.0</v>
      </c>
      <c r="I69" s="461">
        <v>0.0</v>
      </c>
      <c r="J69" s="461">
        <v>0.0</v>
      </c>
      <c r="K69" s="461">
        <v>0.0</v>
      </c>
      <c r="L69" s="461">
        <v>0.0</v>
      </c>
      <c r="M69" s="461">
        <v>0.0</v>
      </c>
      <c r="N69" s="461">
        <v>0.0</v>
      </c>
      <c r="O69" s="461">
        <v>0.0</v>
      </c>
      <c r="P69" s="461">
        <v>0.0</v>
      </c>
      <c r="Q69" s="461">
        <v>0.0</v>
      </c>
      <c r="R69" s="461">
        <v>0.0</v>
      </c>
      <c r="S69" s="461">
        <v>0.0</v>
      </c>
      <c r="T69" s="461">
        <v>0.0</v>
      </c>
      <c r="U69" s="461">
        <v>0.0</v>
      </c>
      <c r="V69" s="461">
        <v>0.0</v>
      </c>
    </row>
    <row r="70" ht="12.75" customHeight="1">
      <c r="A70" s="475" t="s">
        <v>514</v>
      </c>
      <c r="B70" s="461">
        <v>0.0</v>
      </c>
      <c r="C70" s="444">
        <v>20.0</v>
      </c>
      <c r="D70" s="461">
        <v>0.0</v>
      </c>
      <c r="E70" s="461">
        <v>0.0</v>
      </c>
      <c r="F70" s="444">
        <v>1.0</v>
      </c>
      <c r="G70" s="461">
        <v>0.0</v>
      </c>
      <c r="H70" s="461">
        <v>0.0</v>
      </c>
      <c r="I70" s="461">
        <v>0.0</v>
      </c>
      <c r="J70" s="461">
        <v>0.0</v>
      </c>
      <c r="K70" s="461">
        <v>0.0</v>
      </c>
      <c r="L70" s="461">
        <v>0.0</v>
      </c>
      <c r="M70" s="461">
        <v>0.0</v>
      </c>
      <c r="N70" s="461">
        <v>0.0</v>
      </c>
      <c r="O70" s="461">
        <v>0.0</v>
      </c>
      <c r="P70" s="461">
        <v>0.0</v>
      </c>
      <c r="Q70" s="461">
        <v>0.0</v>
      </c>
      <c r="R70" s="461">
        <v>0.0</v>
      </c>
      <c r="S70" s="461">
        <v>0.0</v>
      </c>
      <c r="T70" s="461">
        <v>0.0</v>
      </c>
      <c r="U70" s="461">
        <v>0.0</v>
      </c>
      <c r="V70" s="461">
        <v>0.0</v>
      </c>
    </row>
    <row r="71" ht="12.75" customHeight="1">
      <c r="A71" s="475" t="s">
        <v>515</v>
      </c>
      <c r="B71" s="461">
        <v>0.0</v>
      </c>
      <c r="C71" s="461">
        <v>0.0</v>
      </c>
      <c r="D71" s="461">
        <v>0.0</v>
      </c>
      <c r="E71" s="461">
        <v>0.0</v>
      </c>
      <c r="F71" s="461">
        <v>0.0</v>
      </c>
      <c r="G71" s="444">
        <v>1.0</v>
      </c>
      <c r="H71" s="461">
        <v>0.0</v>
      </c>
      <c r="I71" s="461">
        <v>0.0</v>
      </c>
      <c r="J71" s="461">
        <v>0.0</v>
      </c>
      <c r="K71" s="461">
        <v>0.0</v>
      </c>
      <c r="L71" s="461">
        <v>0.0</v>
      </c>
      <c r="M71" s="461">
        <v>0.0</v>
      </c>
      <c r="N71" s="461">
        <v>0.0</v>
      </c>
      <c r="O71" s="461">
        <v>0.0</v>
      </c>
      <c r="P71" s="461">
        <v>0.0</v>
      </c>
      <c r="Q71" s="461">
        <v>0.0</v>
      </c>
      <c r="R71" s="461">
        <v>0.0</v>
      </c>
      <c r="S71" s="461">
        <v>0.0</v>
      </c>
      <c r="T71" s="461">
        <v>0.0</v>
      </c>
      <c r="U71" s="461">
        <v>0.0</v>
      </c>
      <c r="V71" s="461">
        <v>0.0</v>
      </c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</sheetData>
  <hyperlinks>
    <hyperlink r:id="rId1" ref="A26"/>
  </hyperlink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9.75"/>
    <col customWidth="1" min="3" max="11" width="13.0"/>
    <col customWidth="1" min="12" max="12" width="3.75"/>
    <col customWidth="1" min="13" max="13" width="24.13"/>
    <col customWidth="1" min="14" max="15" width="13.0"/>
    <col customWidth="1" min="16" max="16" width="3.75"/>
    <col customWidth="1" min="17" max="17" width="25.63"/>
    <col customWidth="1" min="18" max="18" width="8.63"/>
    <col customWidth="1" min="19" max="19" width="3.75"/>
    <col customWidth="1" min="20" max="20" width="25.38"/>
    <col customWidth="1" min="21" max="22" width="11.25"/>
    <col customWidth="1" min="23" max="27" width="8.63"/>
  </cols>
  <sheetData>
    <row r="1" ht="12.75" customHeight="1">
      <c r="A1" s="437" t="s">
        <v>518</v>
      </c>
      <c r="I1" s="477" t="s">
        <v>519</v>
      </c>
      <c r="M1" s="478" t="s">
        <v>520</v>
      </c>
      <c r="N1" s="249"/>
      <c r="O1" s="479"/>
      <c r="Q1" s="480"/>
      <c r="R1" s="481"/>
      <c r="T1" s="478" t="s">
        <v>521</v>
      </c>
      <c r="U1" s="249"/>
      <c r="V1" s="481"/>
    </row>
    <row r="2" ht="12.75" customHeight="1">
      <c r="A2" s="440" t="s">
        <v>522</v>
      </c>
      <c r="B2" s="440" t="s">
        <v>523</v>
      </c>
      <c r="C2" s="441" t="s">
        <v>266</v>
      </c>
      <c r="D2" s="441" t="s">
        <v>267</v>
      </c>
      <c r="E2" s="441" t="s">
        <v>499</v>
      </c>
      <c r="I2" s="477" t="s">
        <v>524</v>
      </c>
      <c r="J2" s="477" t="s">
        <v>525</v>
      </c>
      <c r="K2" s="477" t="s">
        <v>526</v>
      </c>
      <c r="L2" s="249"/>
      <c r="M2" s="478" t="s">
        <v>524</v>
      </c>
      <c r="N2" s="477" t="s">
        <v>525</v>
      </c>
      <c r="O2" s="482" t="s">
        <v>527</v>
      </c>
      <c r="P2" s="477"/>
      <c r="Q2" s="478" t="s">
        <v>528</v>
      </c>
      <c r="R2" s="481"/>
      <c r="T2" s="478" t="s">
        <v>524</v>
      </c>
      <c r="U2" s="477" t="s">
        <v>525</v>
      </c>
      <c r="V2" s="483" t="s">
        <v>527</v>
      </c>
    </row>
    <row r="3" ht="12.75" customHeight="1">
      <c r="A3" s="443" t="s">
        <v>529</v>
      </c>
      <c r="B3" s="484" t="s">
        <v>530</v>
      </c>
      <c r="C3" s="461">
        <v>1.0</v>
      </c>
      <c r="D3" s="485" t="s">
        <v>531</v>
      </c>
      <c r="E3" s="461" t="s">
        <v>468</v>
      </c>
      <c r="H3" s="249"/>
      <c r="I3" s="486" t="str">
        <f t="shared" ref="I3:I11" si="1">B3&amp;" "&amp;E3</f>
        <v>Skull Isle - Compass 1★</v>
      </c>
      <c r="J3" s="157">
        <v>50.0</v>
      </c>
      <c r="K3" s="157">
        <v>10.0</v>
      </c>
      <c r="M3" s="480" t="str">
        <f t="array" ref="M3:O52">LET(
  names, I3:I11,
  weights, J3:J11,
  counts, K3:K11,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N3" s="249">
        <v>50.0</v>
      </c>
      <c r="O3" s="479">
        <v>0.02710027100271003</v>
      </c>
      <c r="Q3" s="487" t="s">
        <v>533</v>
      </c>
      <c r="R3" s="488">
        <v>35.0</v>
      </c>
      <c r="T3" s="480" t="str">
        <f>IFERROR(__xludf.DUMMYFUNCTION("LET(
  pool,    M3:N1000,
  picks,   Q38:Q100,
  names,   CHOOSECOLS(pool, 1),
  in_pool, names&lt;&gt;"""",
  taken,   ARRAYFORMULA(ISNUMBER(XMATCH(names, FILTER(picks, picks&lt;&gt;"""")))),
  keep,    ARRAYFORMULA(in_pool * (1 - taken)),
  FILTER(pool, keep)
)"),"Skull Isle - Compass 1★ #4AA")</f>
        <v>Skull Isle - Compass 1★ #4AA</v>
      </c>
      <c r="U3" s="249">
        <f>IFERROR(__xludf.DUMMYFUNCTION("""COMPUTED_VALUE"""),50.0)</f>
        <v>50</v>
      </c>
      <c r="V3" s="479">
        <f>IFERROR(__xludf.DUMMYFUNCTION("if(U3="""", """", U3/sum(filter($U$3:$U$1000, $U$3:$U$1000&lt;&gt;"""")))"),0.14285714285714285)</f>
        <v>0.1428571429</v>
      </c>
    </row>
    <row r="4" ht="12.75" customHeight="1">
      <c r="A4" s="443" t="s">
        <v>534</v>
      </c>
      <c r="B4" s="484" t="s">
        <v>535</v>
      </c>
      <c r="C4" s="461">
        <v>1.0</v>
      </c>
      <c r="D4" s="485" t="s">
        <v>531</v>
      </c>
      <c r="E4" s="461" t="s">
        <v>468</v>
      </c>
      <c r="H4" s="249"/>
      <c r="I4" s="486" t="str">
        <f t="shared" si="1"/>
        <v>Skull Isle - Map 1★</v>
      </c>
      <c r="J4" s="157">
        <v>50.0</v>
      </c>
      <c r="K4" s="157">
        <v>10.0</v>
      </c>
      <c r="M4" s="480" t="s">
        <v>536</v>
      </c>
      <c r="N4" s="249">
        <v>50.0</v>
      </c>
      <c r="O4" s="479">
        <v>0.02710027100271003</v>
      </c>
      <c r="Q4" s="480"/>
      <c r="R4" s="481"/>
      <c r="T4" s="480" t="str">
        <f>IFERROR(__xludf.DUMMYFUNCTION("""COMPUTED_VALUE"""),"Skull Isle - Spyglass 1★ #019")</f>
        <v>Skull Isle - Spyglass 1★ #019</v>
      </c>
      <c r="U4" s="249">
        <f>IFERROR(__xludf.DUMMYFUNCTION("""COMPUTED_VALUE"""),50.0)</f>
        <v>50</v>
      </c>
      <c r="V4" s="479">
        <f>IFERROR(__xludf.DUMMYFUNCTION("if(U4="""", """", U4/sum(filter($U$3:$U$1000, $U$3:$U$1000&lt;&gt;"""")))"),0.14285714285714285)</f>
        <v>0.1428571429</v>
      </c>
    </row>
    <row r="5" ht="12.75" customHeight="1">
      <c r="A5" s="443" t="s">
        <v>537</v>
      </c>
      <c r="B5" s="484" t="s">
        <v>538</v>
      </c>
      <c r="C5" s="461">
        <v>1.0</v>
      </c>
      <c r="D5" s="485" t="s">
        <v>531</v>
      </c>
      <c r="E5" s="461" t="s">
        <v>468</v>
      </c>
      <c r="H5" s="249"/>
      <c r="I5" s="486" t="str">
        <f t="shared" si="1"/>
        <v>Skull Isle - Spyglass 1★</v>
      </c>
      <c r="J5" s="157">
        <v>50.0</v>
      </c>
      <c r="K5" s="157">
        <v>10.0</v>
      </c>
      <c r="M5" s="480" t="s">
        <v>539</v>
      </c>
      <c r="N5" s="249">
        <v>50.0</v>
      </c>
      <c r="O5" s="479">
        <v>0.02710027100271003</v>
      </c>
      <c r="Q5" s="489" t="s">
        <v>540</v>
      </c>
      <c r="R5" s="481"/>
      <c r="T5" s="480" t="str">
        <f>IFERROR(__xludf.DUMMYFUNCTION("""COMPUTED_VALUE"""),"Skull Isle - Spyglass 1★ #AED")</f>
        <v>Skull Isle - Spyglass 1★ #AED</v>
      </c>
      <c r="U5" s="249">
        <f>IFERROR(__xludf.DUMMYFUNCTION("""COMPUTED_VALUE"""),50.0)</f>
        <v>50</v>
      </c>
      <c r="V5" s="479">
        <f>IFERROR(__xludf.DUMMYFUNCTION("if(U5="""", """", U5/sum(filter($U$3:$U$1000, $U$3:$U$1000&lt;&gt;"""")))"),0.14285714285714285)</f>
        <v>0.1428571429</v>
      </c>
    </row>
    <row r="6" ht="12.75" customHeight="1">
      <c r="A6" s="443" t="s">
        <v>541</v>
      </c>
      <c r="B6" s="484" t="s">
        <v>542</v>
      </c>
      <c r="C6" s="461">
        <v>1.0</v>
      </c>
      <c r="D6" s="485" t="s">
        <v>531</v>
      </c>
      <c r="E6" s="461" t="s">
        <v>468</v>
      </c>
      <c r="H6" s="249"/>
      <c r="I6" s="486" t="str">
        <f t="shared" si="1"/>
        <v>Skull Isle - Anchor 1★</v>
      </c>
      <c r="J6" s="157">
        <v>20.0</v>
      </c>
      <c r="K6" s="157">
        <v>5.0</v>
      </c>
      <c r="M6" s="480" t="s">
        <v>543</v>
      </c>
      <c r="N6" s="249">
        <v>50.0</v>
      </c>
      <c r="O6" s="479">
        <v>0.02710027100271003</v>
      </c>
      <c r="Q6" s="490" t="str">
        <f>IFERROR(__xludf.DUMMYFUNCTION("LET(
  list,  Q38:Q100,
  stars, ARRAYFORMULA(IFERROR(REGEXEXTRACT(list, ""\d+★""))),
  clean, FILTER(stars, stars&lt;&gt;""""),
  u,     SORT(UNIQUE(clean)),
  HSTACK(u, ARRAYFORMULA(COUNTIF(clean, u)))
)"),"1★")</f>
        <v>1★</v>
      </c>
      <c r="R6" s="481">
        <f>IFERROR(__xludf.DUMMYFUNCTION("""COMPUTED_VALUE"""),29.0)</f>
        <v>29</v>
      </c>
      <c r="T6" s="480" t="str">
        <f>IFERROR(__xludf.DUMMYFUNCTION("""COMPUTED_VALUE"""),"Skull Isle - Anchor 1★ #076")</f>
        <v>Skull Isle - Anchor 1★ #076</v>
      </c>
      <c r="U6" s="249">
        <f>IFERROR(__xludf.DUMMYFUNCTION("""COMPUTED_VALUE"""),20.0)</f>
        <v>20</v>
      </c>
      <c r="V6" s="479">
        <f>IFERROR(__xludf.DUMMYFUNCTION("if(U6="""", """", U6/sum(filter($U$3:$U$1000, $U$3:$U$1000&lt;&gt;"""")))"),0.05714285714285714)</f>
        <v>0.05714285714</v>
      </c>
    </row>
    <row r="7" ht="12.75" customHeight="1">
      <c r="A7" s="443" t="s">
        <v>544</v>
      </c>
      <c r="B7" s="484" t="s">
        <v>545</v>
      </c>
      <c r="C7" s="461">
        <v>1.0</v>
      </c>
      <c r="D7" s="485" t="s">
        <v>531</v>
      </c>
      <c r="E7" s="461" t="s">
        <v>469</v>
      </c>
      <c r="H7" s="249"/>
      <c r="I7" s="486" t="str">
        <f t="shared" si="1"/>
        <v>Skull Isle - Helm 2★</v>
      </c>
      <c r="J7" s="157">
        <v>20.0</v>
      </c>
      <c r="K7" s="157">
        <v>5.0</v>
      </c>
      <c r="M7" s="480" t="s">
        <v>546</v>
      </c>
      <c r="N7" s="249">
        <v>50.0</v>
      </c>
      <c r="O7" s="479">
        <v>0.02710027100271003</v>
      </c>
      <c r="Q7" s="487" t="str">
        <f>IFERROR(__xludf.DUMMYFUNCTION("""COMPUTED_VALUE"""),"2★")</f>
        <v>2★</v>
      </c>
      <c r="R7" s="481">
        <f>IFERROR(__xludf.DUMMYFUNCTION("""COMPUTED_VALUE"""),5.0)</f>
        <v>5</v>
      </c>
      <c r="T7" s="480" t="str">
        <f>IFERROR(__xludf.DUMMYFUNCTION("""COMPUTED_VALUE"""),"Skull Isle - Anchor 1★ #095")</f>
        <v>Skull Isle - Anchor 1★ #095</v>
      </c>
      <c r="U7" s="249">
        <f>IFERROR(__xludf.DUMMYFUNCTION("""COMPUTED_VALUE"""),20.0)</f>
        <v>20</v>
      </c>
      <c r="V7" s="479">
        <f>IFERROR(__xludf.DUMMYFUNCTION("if(U7="""", """", U7/sum(filter($U$3:$U$1000, $U$3:$U$1000&lt;&gt;"""")))"),0.05714285714285714)</f>
        <v>0.05714285714</v>
      </c>
    </row>
    <row r="8" ht="12.75" customHeight="1">
      <c r="A8" s="443" t="s">
        <v>547</v>
      </c>
      <c r="B8" s="484" t="s">
        <v>548</v>
      </c>
      <c r="C8" s="461">
        <v>1.0</v>
      </c>
      <c r="D8" s="485" t="s">
        <v>531</v>
      </c>
      <c r="E8" s="461" t="s">
        <v>469</v>
      </c>
      <c r="H8" s="249"/>
      <c r="I8" s="486" t="str">
        <f t="shared" si="1"/>
        <v>Skull Isle - Cutlass 2★</v>
      </c>
      <c r="J8" s="157">
        <v>20.0</v>
      </c>
      <c r="K8" s="157">
        <v>5.0</v>
      </c>
      <c r="M8" s="480" t="s">
        <v>549</v>
      </c>
      <c r="N8" s="249">
        <v>50.0</v>
      </c>
      <c r="O8" s="479">
        <v>0.02710027100271003</v>
      </c>
      <c r="Q8" s="487" t="str">
        <f>IFERROR(__xludf.DUMMYFUNCTION("""COMPUTED_VALUE"""),"3★")</f>
        <v>3★</v>
      </c>
      <c r="R8" s="481">
        <f>IFERROR(__xludf.DUMMYFUNCTION("""COMPUTED_VALUE"""),1.0)</f>
        <v>1</v>
      </c>
      <c r="T8" s="480" t="str">
        <f>IFERROR(__xludf.DUMMYFUNCTION("""COMPUTED_VALUE"""),"Skull Isle - Anchor 1★ #B4A")</f>
        <v>Skull Isle - Anchor 1★ #B4A</v>
      </c>
      <c r="U8" s="249">
        <f>IFERROR(__xludf.DUMMYFUNCTION("""COMPUTED_VALUE"""),20.0)</f>
        <v>20</v>
      </c>
      <c r="V8" s="479">
        <f>IFERROR(__xludf.DUMMYFUNCTION("if(U8="""", """", U8/sum(filter($U$3:$U$1000, $U$3:$U$1000&lt;&gt;"""")))"),0.05714285714285714)</f>
        <v>0.05714285714</v>
      </c>
    </row>
    <row r="9" ht="12.75" customHeight="1">
      <c r="A9" s="443" t="s">
        <v>550</v>
      </c>
      <c r="B9" s="484" t="s">
        <v>551</v>
      </c>
      <c r="C9" s="461">
        <v>1.0</v>
      </c>
      <c r="D9" s="485" t="s">
        <v>531</v>
      </c>
      <c r="E9" s="461" t="s">
        <v>469</v>
      </c>
      <c r="I9" s="486" t="str">
        <f t="shared" si="1"/>
        <v>Skull Isle - Parrot 2★</v>
      </c>
      <c r="J9" s="157">
        <v>10.0</v>
      </c>
      <c r="K9" s="157">
        <v>2.0</v>
      </c>
      <c r="M9" s="480" t="s">
        <v>552</v>
      </c>
      <c r="N9" s="249">
        <v>50.0</v>
      </c>
      <c r="O9" s="479">
        <v>0.02710027100271003</v>
      </c>
      <c r="Q9" s="487"/>
      <c r="R9" s="481"/>
      <c r="T9" s="480" t="str">
        <f>IFERROR(__xludf.DUMMYFUNCTION("""COMPUTED_VALUE"""),"Skull Isle - Helm 2★ #0D3")</f>
        <v>Skull Isle - Helm 2★ #0D3</v>
      </c>
      <c r="U9" s="249">
        <f>IFERROR(__xludf.DUMMYFUNCTION("""COMPUTED_VALUE"""),20.0)</f>
        <v>20</v>
      </c>
      <c r="V9" s="479">
        <f>IFERROR(__xludf.DUMMYFUNCTION("if(U9="""", """", U9/sum(filter($U$3:$U$1000, $U$3:$U$1000&lt;&gt;"""")))"),0.05714285714285714)</f>
        <v>0.05714285714</v>
      </c>
    </row>
    <row r="10" ht="12.75" customHeight="1">
      <c r="A10" s="443" t="s">
        <v>553</v>
      </c>
      <c r="B10" s="484" t="s">
        <v>554</v>
      </c>
      <c r="C10" s="461">
        <v>1.0</v>
      </c>
      <c r="D10" s="485" t="s">
        <v>531</v>
      </c>
      <c r="E10" s="461" t="s">
        <v>470</v>
      </c>
      <c r="I10" s="486" t="str">
        <f t="shared" si="1"/>
        <v>Skull Isle - Chest 3★</v>
      </c>
      <c r="J10" s="157">
        <v>10.0</v>
      </c>
      <c r="K10" s="157">
        <v>2.0</v>
      </c>
      <c r="M10" s="480" t="s">
        <v>556</v>
      </c>
      <c r="N10" s="249">
        <v>50.0</v>
      </c>
      <c r="O10" s="479">
        <v>0.02710027100271003</v>
      </c>
      <c r="Q10" s="487"/>
      <c r="R10" s="481"/>
      <c r="T10" s="480" t="str">
        <f>IFERROR(__xludf.DUMMYFUNCTION("""COMPUTED_VALUE"""),"Skull Isle - Cutlass 2★ #B88")</f>
        <v>Skull Isle - Cutlass 2★ #B88</v>
      </c>
      <c r="U10" s="249">
        <f>IFERROR(__xludf.DUMMYFUNCTION("""COMPUTED_VALUE"""),20.0)</f>
        <v>20</v>
      </c>
      <c r="V10" s="479">
        <f>IFERROR(__xludf.DUMMYFUNCTION("if(U10="""", """", U10/sum(filter($U$3:$U$1000, $U$3:$U$1000&lt;&gt;"""")))"),0.05714285714285714)</f>
        <v>0.05714285714</v>
      </c>
    </row>
    <row r="11" ht="12.75" customHeight="1">
      <c r="A11" s="443" t="s">
        <v>557</v>
      </c>
      <c r="B11" s="484" t="s">
        <v>558</v>
      </c>
      <c r="C11" s="461">
        <v>1.0</v>
      </c>
      <c r="D11" s="485" t="s">
        <v>531</v>
      </c>
      <c r="E11" s="461" t="s">
        <v>470</v>
      </c>
      <c r="I11" s="486" t="str">
        <f t="shared" si="1"/>
        <v>Skull Isle - Skull 3★</v>
      </c>
      <c r="J11" s="157">
        <v>5.0</v>
      </c>
      <c r="K11" s="157">
        <v>1.0</v>
      </c>
      <c r="M11" s="480" t="s">
        <v>559</v>
      </c>
      <c r="N11" s="249">
        <v>50.0</v>
      </c>
      <c r="O11" s="479">
        <v>0.02710027100271003</v>
      </c>
      <c r="Q11" s="489" t="s">
        <v>560</v>
      </c>
      <c r="R11" s="481"/>
      <c r="T11" s="480" t="str">
        <f>IFERROR(__xludf.DUMMYFUNCTION("""COMPUTED_VALUE"""),"Skull Isle - Cutlass 2★ #63D")</f>
        <v>Skull Isle - Cutlass 2★ #63D</v>
      </c>
      <c r="U11" s="249">
        <f>IFERROR(__xludf.DUMMYFUNCTION("""COMPUTED_VALUE"""),20.0)</f>
        <v>20</v>
      </c>
      <c r="V11" s="479">
        <f>IFERROR(__xludf.DUMMYFUNCTION("if(U11="""", """", U11/sum(filter($U$3:$U$1000, $U$3:$U$1000&lt;&gt;"""")))"),0.05714285714285714)</f>
        <v>0.05714285714</v>
      </c>
    </row>
    <row r="12" ht="12.75" customHeight="1">
      <c r="A12" s="443" t="s">
        <v>561</v>
      </c>
      <c r="B12" s="484" t="s">
        <v>562</v>
      </c>
      <c r="C12" s="461">
        <v>2.0</v>
      </c>
      <c r="D12" s="485" t="s">
        <v>563</v>
      </c>
      <c r="E12" s="461" t="s">
        <v>468</v>
      </c>
      <c r="M12" s="480" t="s">
        <v>564</v>
      </c>
      <c r="N12" s="249">
        <v>50.0</v>
      </c>
      <c r="O12" s="479">
        <v>0.02710027100271003</v>
      </c>
      <c r="Q12" s="480" t="str">
        <f t="shared" ref="Q12:Q15" si="2">Q6</f>
        <v>1★</v>
      </c>
      <c r="R12" s="491">
        <f t="shared" ref="R12:R15" si="3">if(Q12="", "", R6/sum($R$6:$R$10))</f>
        <v>0.8285714286</v>
      </c>
      <c r="T12" s="480" t="str">
        <f>IFERROR(__xludf.DUMMYFUNCTION("""COMPUTED_VALUE"""),"Skull Isle - Cutlass 2★ #BA7")</f>
        <v>Skull Isle - Cutlass 2★ #BA7</v>
      </c>
      <c r="U12" s="249">
        <f>IFERROR(__xludf.DUMMYFUNCTION("""COMPUTED_VALUE"""),20.0)</f>
        <v>20</v>
      </c>
      <c r="V12" s="479">
        <f>IFERROR(__xludf.DUMMYFUNCTION("if(U12="""", """", U12/sum(filter($U$3:$U$1000, $U$3:$U$1000&lt;&gt;"""")))"),0.05714285714285714)</f>
        <v>0.05714285714</v>
      </c>
    </row>
    <row r="13" ht="12.75" customHeight="1">
      <c r="A13" s="443" t="s">
        <v>565</v>
      </c>
      <c r="B13" s="484" t="s">
        <v>566</v>
      </c>
      <c r="C13" s="461">
        <v>2.0</v>
      </c>
      <c r="D13" s="485" t="s">
        <v>563</v>
      </c>
      <c r="E13" s="461" t="s">
        <v>468</v>
      </c>
      <c r="M13" s="480" t="s">
        <v>567</v>
      </c>
      <c r="N13" s="249">
        <v>50.0</v>
      </c>
      <c r="O13" s="479">
        <v>0.02710027100271003</v>
      </c>
      <c r="Q13" s="480" t="str">
        <f t="shared" si="2"/>
        <v>2★</v>
      </c>
      <c r="R13" s="491">
        <f t="shared" si="3"/>
        <v>0.1428571429</v>
      </c>
      <c r="T13" s="480" t="str">
        <f>IFERROR(__xludf.DUMMYFUNCTION("""COMPUTED_VALUE"""),"Skull Isle - Cutlass 2★ #65C")</f>
        <v>Skull Isle - Cutlass 2★ #65C</v>
      </c>
      <c r="U13" s="249">
        <f>IFERROR(__xludf.DUMMYFUNCTION("""COMPUTED_VALUE"""),20.0)</f>
        <v>20</v>
      </c>
      <c r="V13" s="479">
        <f>IFERROR(__xludf.DUMMYFUNCTION("if(U13="""", """", U13/sum(filter($U$3:$U$1000, $U$3:$U$1000&lt;&gt;"""")))"),0.05714285714285714)</f>
        <v>0.05714285714</v>
      </c>
    </row>
    <row r="14" ht="12.75" customHeight="1">
      <c r="A14" s="443" t="s">
        <v>568</v>
      </c>
      <c r="B14" s="484" t="s">
        <v>569</v>
      </c>
      <c r="C14" s="461">
        <v>2.0</v>
      </c>
      <c r="D14" s="485" t="s">
        <v>563</v>
      </c>
      <c r="E14" s="461" t="s">
        <v>468</v>
      </c>
      <c r="M14" s="480" t="s">
        <v>570</v>
      </c>
      <c r="N14" s="249">
        <v>50.0</v>
      </c>
      <c r="O14" s="479">
        <v>0.02710027100271003</v>
      </c>
      <c r="Q14" s="480" t="str">
        <f t="shared" si="2"/>
        <v>3★</v>
      </c>
      <c r="R14" s="491">
        <f t="shared" si="3"/>
        <v>0.02857142857</v>
      </c>
      <c r="T14" s="480" t="str">
        <f>IFERROR(__xludf.DUMMYFUNCTION("""COMPUTED_VALUE"""),"Skull Isle - Parrot 2★ #111")</f>
        <v>Skull Isle - Parrot 2★ #111</v>
      </c>
      <c r="U14" s="249">
        <f>IFERROR(__xludf.DUMMYFUNCTION("""COMPUTED_VALUE"""),10.0)</f>
        <v>10</v>
      </c>
      <c r="V14" s="479">
        <f>IFERROR(__xludf.DUMMYFUNCTION("if(U14="""", """", U14/sum(filter($U$3:$U$1000, $U$3:$U$1000&lt;&gt;"""")))"),0.02857142857142857)</f>
        <v>0.02857142857</v>
      </c>
    </row>
    <row r="15" ht="12.75" customHeight="1">
      <c r="A15" s="443" t="s">
        <v>571</v>
      </c>
      <c r="B15" s="484" t="s">
        <v>572</v>
      </c>
      <c r="C15" s="461">
        <v>2.0</v>
      </c>
      <c r="D15" s="485" t="s">
        <v>563</v>
      </c>
      <c r="E15" s="461" t="s">
        <v>468</v>
      </c>
      <c r="M15" s="480" t="s">
        <v>573</v>
      </c>
      <c r="N15" s="249">
        <v>50.0</v>
      </c>
      <c r="O15" s="479">
        <v>0.02710027100271003</v>
      </c>
      <c r="Q15" s="480" t="str">
        <f t="shared" si="2"/>
        <v/>
      </c>
      <c r="R15" s="491" t="str">
        <f t="shared" si="3"/>
        <v/>
      </c>
      <c r="T15" s="480" t="str">
        <f>IFERROR(__xludf.DUMMYFUNCTION("""COMPUTED_VALUE"""),"Skull Isle - Parrot 2★ #BC6")</f>
        <v>Skull Isle - Parrot 2★ #BC6</v>
      </c>
      <c r="U15" s="249">
        <f>IFERROR(__xludf.DUMMYFUNCTION("""COMPUTED_VALUE"""),10.0)</f>
        <v>10</v>
      </c>
      <c r="V15" s="479">
        <f>IFERROR(__xludf.DUMMYFUNCTION("if(U15="""", """", U15/sum(filter($U$3:$U$1000, $U$3:$U$1000&lt;&gt;"""")))"),0.02857142857142857)</f>
        <v>0.02857142857</v>
      </c>
    </row>
    <row r="16" ht="12.75" customHeight="1">
      <c r="A16" s="443" t="s">
        <v>574</v>
      </c>
      <c r="B16" s="484" t="s">
        <v>575</v>
      </c>
      <c r="C16" s="461">
        <v>2.0</v>
      </c>
      <c r="D16" s="485" t="s">
        <v>563</v>
      </c>
      <c r="E16" s="461" t="s">
        <v>469</v>
      </c>
      <c r="M16" s="480" t="s">
        <v>576</v>
      </c>
      <c r="N16" s="249">
        <v>50.0</v>
      </c>
      <c r="O16" s="479">
        <v>0.02710027100271003</v>
      </c>
      <c r="Q16" s="492"/>
      <c r="R16" s="481"/>
      <c r="T16" s="480" t="str">
        <f>IFERROR(__xludf.DUMMYFUNCTION("""COMPUTED_VALUE"""),"Skull Isle - Chest 3★ #67B")</f>
        <v>Skull Isle - Chest 3★ #67B</v>
      </c>
      <c r="U16" s="249">
        <f>IFERROR(__xludf.DUMMYFUNCTION("""COMPUTED_VALUE"""),10.0)</f>
        <v>10</v>
      </c>
      <c r="V16" s="479">
        <f>IFERROR(__xludf.DUMMYFUNCTION("if(U16="""", """", U16/sum(filter($U$3:$U$1000, $U$3:$U$1000&lt;&gt;"""")))"),0.02857142857142857)</f>
        <v>0.02857142857</v>
      </c>
    </row>
    <row r="17" ht="12.75" customHeight="1">
      <c r="A17" s="443" t="s">
        <v>577</v>
      </c>
      <c r="B17" s="484" t="s">
        <v>578</v>
      </c>
      <c r="C17" s="461">
        <v>2.0</v>
      </c>
      <c r="D17" s="485" t="s">
        <v>563</v>
      </c>
      <c r="E17" s="461" t="s">
        <v>469</v>
      </c>
      <c r="M17" s="480" t="s">
        <v>579</v>
      </c>
      <c r="N17" s="249">
        <v>50.0</v>
      </c>
      <c r="O17" s="479">
        <v>0.02710027100271003</v>
      </c>
      <c r="Q17" s="492"/>
      <c r="R17" s="481"/>
      <c r="T17" s="480" t="str">
        <f>IFERROR(__xludf.DUMMYFUNCTION("""COMPUTED_VALUE"""),"Skull Isle - Chest 3★ #130")</f>
        <v>Skull Isle - Chest 3★ #130</v>
      </c>
      <c r="U17" s="249">
        <f>IFERROR(__xludf.DUMMYFUNCTION("""COMPUTED_VALUE"""),10.0)</f>
        <v>10</v>
      </c>
      <c r="V17" s="479">
        <f>IFERROR(__xludf.DUMMYFUNCTION("if(U17="""", """", U17/sum(filter($U$3:$U$1000, $U$3:$U$1000&lt;&gt;"""")))"),0.02857142857142857)</f>
        <v>0.02857142857</v>
      </c>
    </row>
    <row r="18" ht="12.75" customHeight="1">
      <c r="A18" s="443" t="s">
        <v>581</v>
      </c>
      <c r="B18" s="484" t="s">
        <v>582</v>
      </c>
      <c r="C18" s="461">
        <v>2.0</v>
      </c>
      <c r="D18" s="485" t="s">
        <v>563</v>
      </c>
      <c r="E18" s="461" t="s">
        <v>470</v>
      </c>
      <c r="M18" s="480" t="s">
        <v>583</v>
      </c>
      <c r="N18" s="249">
        <v>50.0</v>
      </c>
      <c r="O18" s="479">
        <v>0.02710027100271003</v>
      </c>
      <c r="Q18" s="480" t="str">
        <f>Q10</f>
        <v/>
      </c>
      <c r="R18" s="495" t="s">
        <v>584</v>
      </c>
      <c r="T18" s="480"/>
      <c r="U18" s="249"/>
      <c r="V18" s="479" t="str">
        <f>IFERROR(__xludf.DUMMYFUNCTION("if(U18="""", """", U18/sum(filter($U$3:$U$1000, $U$3:$U$1000&lt;&gt;"""")))"),"")</f>
        <v/>
      </c>
    </row>
    <row r="19" ht="12.75" customHeight="1">
      <c r="A19" s="443" t="s">
        <v>587</v>
      </c>
      <c r="B19" s="484" t="s">
        <v>588</v>
      </c>
      <c r="C19" s="461">
        <v>2.0</v>
      </c>
      <c r="D19" s="485" t="s">
        <v>563</v>
      </c>
      <c r="E19" s="461" t="s">
        <v>470</v>
      </c>
      <c r="M19" s="480" t="s">
        <v>589</v>
      </c>
      <c r="N19" s="249">
        <v>50.0</v>
      </c>
      <c r="O19" s="479">
        <v>0.02710027100271003</v>
      </c>
      <c r="Q19" s="492"/>
      <c r="R19" s="499">
        <f>IFERROR(__xludf.DUMMYFUNCTION("sum(arrayformula(right(index(split(filter($Q$22:$Q$35, $Q$22:$Q$35&lt;&gt;""""), ""★""), 0, 1), 1) * (filter($R$22:$R$35, $R$22:$R$35&lt;&gt;"""")-1)))"),31.0)</f>
        <v>31</v>
      </c>
      <c r="T19" s="480"/>
      <c r="U19" s="249"/>
      <c r="V19" s="479" t="str">
        <f>IFERROR(__xludf.DUMMYFUNCTION("if(U19="""", """", U19/sum(filter($U$3:$U$1000, $U$3:$U$1000&lt;&gt;"""")))"),"")</f>
        <v/>
      </c>
    </row>
    <row r="20" ht="12.75" customHeight="1">
      <c r="A20" s="443" t="s">
        <v>590</v>
      </c>
      <c r="B20" s="484" t="s">
        <v>591</v>
      </c>
      <c r="C20" s="461">
        <v>2.0</v>
      </c>
      <c r="D20" s="485" t="s">
        <v>563</v>
      </c>
      <c r="E20" s="461" t="s">
        <v>471</v>
      </c>
      <c r="M20" s="480" t="s">
        <v>592</v>
      </c>
      <c r="N20" s="249">
        <v>50.0</v>
      </c>
      <c r="O20" s="479">
        <v>0.02710027100271003</v>
      </c>
      <c r="Q20" s="480"/>
      <c r="R20" s="481"/>
      <c r="T20" s="480"/>
      <c r="U20" s="249"/>
      <c r="V20" s="479" t="str">
        <f>IFERROR(__xludf.DUMMYFUNCTION("if(U20="""", """", U20/sum(filter($U$3:$U$1000, $U$3:$U$1000&lt;&gt;"""")))"),"")</f>
        <v/>
      </c>
    </row>
    <row r="21" ht="12.75" customHeight="1">
      <c r="A21" s="443" t="s">
        <v>594</v>
      </c>
      <c r="B21" s="484" t="s">
        <v>595</v>
      </c>
      <c r="C21" s="461">
        <v>3.0</v>
      </c>
      <c r="D21" s="485" t="s">
        <v>596</v>
      </c>
      <c r="E21" s="461" t="s">
        <v>468</v>
      </c>
      <c r="M21" s="480" t="s">
        <v>597</v>
      </c>
      <c r="N21" s="249">
        <v>50.0</v>
      </c>
      <c r="O21" s="479">
        <v>0.02710027100271003</v>
      </c>
      <c r="Q21" s="478" t="s">
        <v>598</v>
      </c>
      <c r="R21" s="483" t="s">
        <v>599</v>
      </c>
      <c r="T21" s="480"/>
      <c r="U21" s="249"/>
      <c r="V21" s="479" t="str">
        <f>IFERROR(__xludf.DUMMYFUNCTION("if(U21="""", """", U21/sum(filter($U$3:$U$1000, $U$3:$U$1000&lt;&gt;"""")))"),"")</f>
        <v/>
      </c>
    </row>
    <row r="22" ht="12.75" customHeight="1">
      <c r="A22" s="443" t="s">
        <v>600</v>
      </c>
      <c r="B22" s="484" t="s">
        <v>601</v>
      </c>
      <c r="C22" s="461">
        <v>3.0</v>
      </c>
      <c r="D22" s="485" t="s">
        <v>596</v>
      </c>
      <c r="E22" s="461" t="s">
        <v>468</v>
      </c>
      <c r="M22" s="480" t="s">
        <v>603</v>
      </c>
      <c r="N22" s="249">
        <v>50.0</v>
      </c>
      <c r="O22" s="479">
        <v>0.02710027100271003</v>
      </c>
      <c r="Q22" s="501" t="str">
        <f>IFERROR(__xludf.DUMMYFUNCTION("unique(index(arrayformula(split(filter($Q$38:$Q$500, $Q$38:$Q$500&lt;&gt;""""), ""★"")&amp;""★""), 0, 1))"),"Skull Isle - Map 1★")</f>
        <v>Skull Isle - Map 1★</v>
      </c>
      <c r="R22" s="499">
        <f>IFERROR(__xludf.DUMMYFUNCTION("if(Q22="""", """", counta(filter(index(arrayformula(split(filter($Q$38:$Q$500, $Q$38:$Q$500&lt;&gt;""""), ""★"")&amp;""★""), 0, 1), index(arrayformula(split(filter($Q$38:$Q$500, $Q$38:$Q$500&lt;&gt;""""), ""★"")&amp;""★""), 0, 1)=Q22)))"),10.0)</f>
        <v>10</v>
      </c>
      <c r="T22" s="480"/>
      <c r="U22" s="249"/>
      <c r="V22" s="479" t="str">
        <f>IFERROR(__xludf.DUMMYFUNCTION("if(U22="""", """", U22/sum(filter($U$3:$U$1000, $U$3:$U$1000&lt;&gt;"""")))"),"")</f>
        <v/>
      </c>
    </row>
    <row r="23" ht="12.75" customHeight="1">
      <c r="A23" s="443" t="s">
        <v>605</v>
      </c>
      <c r="B23" s="484" t="s">
        <v>606</v>
      </c>
      <c r="C23" s="461">
        <v>3.0</v>
      </c>
      <c r="D23" s="485" t="s">
        <v>596</v>
      </c>
      <c r="E23" s="461" t="s">
        <v>468</v>
      </c>
      <c r="M23" s="480" t="s">
        <v>607</v>
      </c>
      <c r="N23" s="249">
        <v>50.0</v>
      </c>
      <c r="O23" s="479">
        <v>0.02710027100271003</v>
      </c>
      <c r="Q23" s="501" t="str">
        <f>IFERROR(__xludf.DUMMYFUNCTION("""COMPUTED_VALUE"""),"Skull Isle - Spyglass 1★")</f>
        <v>Skull Isle - Spyglass 1★</v>
      </c>
      <c r="R23" s="499">
        <f>IFERROR(__xludf.DUMMYFUNCTION("if(Q23="""", """", counta(filter(index(arrayformula(split(filter($Q$38:$Q$500, $Q$38:$Q$500&lt;&gt;""""), ""★"")&amp;""★""), 0, 1), index(arrayformula(split(filter($Q$38:$Q$500, $Q$38:$Q$500&lt;&gt;""""), ""★"")&amp;""★""), 0, 1)=Q23)))"),8.0)</f>
        <v>8</v>
      </c>
      <c r="T23" s="480"/>
      <c r="U23" s="249"/>
      <c r="V23" s="479" t="str">
        <f>IFERROR(__xludf.DUMMYFUNCTION("if(U23="""", """", U23/sum(filter($U$3:$U$1000, $U$3:$U$1000&lt;&gt;"""")))"),"")</f>
        <v/>
      </c>
    </row>
    <row r="24" ht="12.75" customHeight="1">
      <c r="A24" s="443" t="s">
        <v>608</v>
      </c>
      <c r="B24" s="484" t="s">
        <v>609</v>
      </c>
      <c r="C24" s="461">
        <v>3.0</v>
      </c>
      <c r="D24" s="485" t="s">
        <v>596</v>
      </c>
      <c r="E24" s="461" t="s">
        <v>469</v>
      </c>
      <c r="M24" s="480" t="s">
        <v>610</v>
      </c>
      <c r="N24" s="249">
        <v>50.0</v>
      </c>
      <c r="O24" s="479">
        <v>0.02710027100271003</v>
      </c>
      <c r="Q24" s="501" t="str">
        <f>IFERROR(__xludf.DUMMYFUNCTION("""COMPUTED_VALUE"""),"Skull Isle - Anchor 1★")</f>
        <v>Skull Isle - Anchor 1★</v>
      </c>
      <c r="R24" s="499">
        <f>IFERROR(__xludf.DUMMYFUNCTION("if(Q24="""", """", counta(filter(index(arrayformula(split(filter($Q$38:$Q$500, $Q$38:$Q$500&lt;&gt;""""), ""★"")&amp;""★""), 0, 1), index(arrayformula(split(filter($Q$38:$Q$500, $Q$38:$Q$500&lt;&gt;""""), ""★"")&amp;""★""), 0, 1)=Q24)))"),2.0)</f>
        <v>2</v>
      </c>
      <c r="T24" s="480"/>
      <c r="U24" s="249"/>
      <c r="V24" s="479" t="str">
        <f>IFERROR(__xludf.DUMMYFUNCTION("if(U24="""", """", U24/sum(filter($U$3:$U$1000, $U$3:$U$1000&lt;&gt;"""")))"),"")</f>
        <v/>
      </c>
    </row>
    <row r="25" ht="12.75" customHeight="1">
      <c r="A25" s="443" t="s">
        <v>614</v>
      </c>
      <c r="B25" s="484" t="s">
        <v>615</v>
      </c>
      <c r="C25" s="461">
        <v>3.0</v>
      </c>
      <c r="D25" s="485" t="s">
        <v>596</v>
      </c>
      <c r="E25" s="461" t="s">
        <v>469</v>
      </c>
      <c r="M25" s="480" t="s">
        <v>616</v>
      </c>
      <c r="N25" s="249">
        <v>50.0</v>
      </c>
      <c r="O25" s="479">
        <v>0.02710027100271003</v>
      </c>
      <c r="Q25" s="501" t="str">
        <f>IFERROR(__xludf.DUMMYFUNCTION("""COMPUTED_VALUE"""),"Skull Isle - Helm 2★")</f>
        <v>Skull Isle - Helm 2★</v>
      </c>
      <c r="R25" s="499">
        <f>IFERROR(__xludf.DUMMYFUNCTION("if(Q25="""", """", counta(filter(index(arrayformula(split(filter($Q$38:$Q$500, $Q$38:$Q$500&lt;&gt;""""), ""★"")&amp;""★""), 0, 1), index(arrayformula(split(filter($Q$38:$Q$500, $Q$38:$Q$500&lt;&gt;""""), ""★"")&amp;""★""), 0, 1)=Q25)))"),4.0)</f>
        <v>4</v>
      </c>
      <c r="T25" s="480"/>
      <c r="U25" s="249"/>
      <c r="V25" s="479" t="str">
        <f>IFERROR(__xludf.DUMMYFUNCTION("if(U25="""", """", U25/sum(filter($U$3:$U$1000, $U$3:$U$1000&lt;&gt;"""")))"),"")</f>
        <v/>
      </c>
    </row>
    <row r="26" ht="12.75" customHeight="1">
      <c r="A26" s="443" t="s">
        <v>619</v>
      </c>
      <c r="B26" s="484" t="s">
        <v>620</v>
      </c>
      <c r="C26" s="461">
        <v>3.0</v>
      </c>
      <c r="D26" s="485" t="s">
        <v>596</v>
      </c>
      <c r="E26" s="461" t="s">
        <v>470</v>
      </c>
      <c r="M26" s="480" t="s">
        <v>621</v>
      </c>
      <c r="N26" s="249">
        <v>50.0</v>
      </c>
      <c r="O26" s="479">
        <v>0.02710027100271003</v>
      </c>
      <c r="Q26" s="501" t="str">
        <f>IFERROR(__xludf.DUMMYFUNCTION("""COMPUTED_VALUE"""),"Skull Isle - Compass 1★")</f>
        <v>Skull Isle - Compass 1★</v>
      </c>
      <c r="R26" s="499">
        <f>IFERROR(__xludf.DUMMYFUNCTION("if(Q26="""", """", counta(filter(index(arrayformula(split(filter($Q$38:$Q$500, $Q$38:$Q$500&lt;&gt;""""), ""★"")&amp;""★""), 0, 1), index(arrayformula(split(filter($Q$38:$Q$500, $Q$38:$Q$500&lt;&gt;""""), ""★"")&amp;""★""), 0, 1)=Q26)))"),9.0)</f>
        <v>9</v>
      </c>
      <c r="T26" s="480"/>
      <c r="U26" s="249"/>
      <c r="V26" s="479" t="str">
        <f>IFERROR(__xludf.DUMMYFUNCTION("if(U26="""", """", U26/sum(filter($U$3:$U$1000, $U$3:$U$1000&lt;&gt;"""")))"),"")</f>
        <v/>
      </c>
    </row>
    <row r="27" ht="12.75" customHeight="1">
      <c r="A27" s="443" t="s">
        <v>622</v>
      </c>
      <c r="B27" s="484" t="s">
        <v>623</v>
      </c>
      <c r="C27" s="461">
        <v>3.0</v>
      </c>
      <c r="D27" s="485" t="s">
        <v>596</v>
      </c>
      <c r="E27" s="461" t="s">
        <v>471</v>
      </c>
      <c r="M27" s="480" t="s">
        <v>624</v>
      </c>
      <c r="N27" s="249">
        <v>50.0</v>
      </c>
      <c r="O27" s="479">
        <v>0.02710027100271003</v>
      </c>
      <c r="Q27" s="501" t="str">
        <f>IFERROR(__xludf.DUMMYFUNCTION("""COMPUTED_VALUE"""),"Skull Isle - Skull 3★")</f>
        <v>Skull Isle - Skull 3★</v>
      </c>
      <c r="R27" s="499">
        <f>IFERROR(__xludf.DUMMYFUNCTION("if(Q27="""", """", counta(filter(index(arrayformula(split(filter($Q$38:$Q$500, $Q$38:$Q$500&lt;&gt;""""), ""★"")&amp;""★""), 0, 1), index(arrayformula(split(filter($Q$38:$Q$500, $Q$38:$Q$500&lt;&gt;""""), ""★"")&amp;""★""), 0, 1)=Q27)))"),1.0)</f>
        <v>1</v>
      </c>
      <c r="T27" s="480"/>
      <c r="U27" s="249"/>
      <c r="V27" s="479" t="str">
        <f>IFERROR(__xludf.DUMMYFUNCTION("if(U27="""", """", U27/sum(filter($U$3:$U$1000, $U$3:$U$1000&lt;&gt;"""")))"),"")</f>
        <v/>
      </c>
    </row>
    <row r="28" ht="12.75" customHeight="1">
      <c r="A28" s="443" t="s">
        <v>625</v>
      </c>
      <c r="B28" s="484" t="s">
        <v>626</v>
      </c>
      <c r="C28" s="461">
        <v>3.0</v>
      </c>
      <c r="D28" s="485" t="s">
        <v>596</v>
      </c>
      <c r="E28" s="461" t="s">
        <v>471</v>
      </c>
      <c r="M28" s="480" t="s">
        <v>627</v>
      </c>
      <c r="N28" s="249">
        <v>50.0</v>
      </c>
      <c r="O28" s="479">
        <v>0.02710027100271003</v>
      </c>
      <c r="Q28" s="501" t="str">
        <f>IFERROR(__xludf.DUMMYFUNCTION("""COMPUTED_VALUE"""),"Skull Isle - Cutlass 2★")</f>
        <v>Skull Isle - Cutlass 2★</v>
      </c>
      <c r="R28" s="499">
        <f>IFERROR(__xludf.DUMMYFUNCTION("if(Q28="""", """", counta(filter(index(arrayformula(split(filter($Q$38:$Q$500, $Q$38:$Q$500&lt;&gt;""""), ""★"")&amp;""★""), 0, 1), index(arrayformula(split(filter($Q$38:$Q$500, $Q$38:$Q$500&lt;&gt;""""), ""★"")&amp;""★""), 0, 1)=Q28)))"),1.0)</f>
        <v>1</v>
      </c>
      <c r="T28" s="480"/>
      <c r="U28" s="249"/>
      <c r="V28" s="479" t="str">
        <f>IFERROR(__xludf.DUMMYFUNCTION("if(U28="""", """", U28/sum(filter($U$3:$U$1000, $U$3:$U$1000&lt;&gt;"""")))"),"")</f>
        <v/>
      </c>
    </row>
    <row r="29" ht="12.75" customHeight="1">
      <c r="A29" s="443" t="s">
        <v>628</v>
      </c>
      <c r="B29" s="484" t="s">
        <v>629</v>
      </c>
      <c r="C29" s="461">
        <v>3.0</v>
      </c>
      <c r="D29" s="485" t="s">
        <v>596</v>
      </c>
      <c r="E29" s="461" t="s">
        <v>472</v>
      </c>
      <c r="M29" s="480" t="s">
        <v>630</v>
      </c>
      <c r="N29" s="249">
        <v>50.0</v>
      </c>
      <c r="O29" s="479">
        <v>0.02710027100271003</v>
      </c>
      <c r="Q29" s="501"/>
      <c r="R29" s="499" t="str">
        <f>IFERROR(__xludf.DUMMYFUNCTION("if(Q29="""", """", counta(filter(index(arrayformula(split(filter($Q$38:$Q$500, $Q$38:$Q$500&lt;&gt;""""), ""★"")&amp;""★""), 0, 1), index(arrayformula(split(filter($Q$38:$Q$500, $Q$38:$Q$500&lt;&gt;""""), ""★"")&amp;""★""), 0, 1)=Q29)))"),"")</f>
        <v/>
      </c>
      <c r="T29" s="480"/>
      <c r="U29" s="249"/>
      <c r="V29" s="479" t="str">
        <f>IFERROR(__xludf.DUMMYFUNCTION("if(U29="""", """", U29/sum(filter($U$3:$U$1000, $U$3:$U$1000&lt;&gt;"""")))"),"")</f>
        <v/>
      </c>
    </row>
    <row r="30" ht="12.75" customHeight="1">
      <c r="A30" s="443" t="s">
        <v>631</v>
      </c>
      <c r="B30" s="484" t="s">
        <v>632</v>
      </c>
      <c r="C30" s="461">
        <v>4.0</v>
      </c>
      <c r="D30" s="485" t="s">
        <v>633</v>
      </c>
      <c r="E30" s="461" t="s">
        <v>468</v>
      </c>
      <c r="M30" s="480" t="s">
        <v>634</v>
      </c>
      <c r="N30" s="249">
        <v>50.0</v>
      </c>
      <c r="O30" s="479">
        <v>0.02710027100271003</v>
      </c>
      <c r="Q30" s="501"/>
      <c r="R30" s="499" t="str">
        <f>IFERROR(__xludf.DUMMYFUNCTION("if(Q30="""", """", counta(filter(index(arrayformula(split(filter($Q$38:$Q$500, $Q$38:$Q$500&lt;&gt;""""), ""★"")&amp;""★""), 0, 1), index(arrayformula(split(filter($Q$38:$Q$500, $Q$38:$Q$500&lt;&gt;""""), ""★"")&amp;""★""), 0, 1)=Q30)))"),"")</f>
        <v/>
      </c>
      <c r="T30" s="480"/>
      <c r="U30" s="249"/>
      <c r="V30" s="479" t="str">
        <f>IFERROR(__xludf.DUMMYFUNCTION("if(U30="""", """", U30/sum(filter($U$3:$U$1000, $U$3:$U$1000&lt;&gt;"""")))"),"")</f>
        <v/>
      </c>
    </row>
    <row r="31" ht="12.75" customHeight="1">
      <c r="A31" s="443" t="s">
        <v>635</v>
      </c>
      <c r="B31" s="484" t="s">
        <v>636</v>
      </c>
      <c r="C31" s="461">
        <v>4.0</v>
      </c>
      <c r="D31" s="485" t="s">
        <v>633</v>
      </c>
      <c r="E31" s="461" t="s">
        <v>468</v>
      </c>
      <c r="M31" s="480" t="s">
        <v>637</v>
      </c>
      <c r="N31" s="249">
        <v>50.0</v>
      </c>
      <c r="O31" s="479">
        <v>0.02710027100271003</v>
      </c>
      <c r="Q31" s="501"/>
      <c r="R31" s="499" t="str">
        <f>IFERROR(__xludf.DUMMYFUNCTION("if(Q31="""", """", counta(filter(index(arrayformula(split(filter($Q$38:$Q$500, $Q$38:$Q$500&lt;&gt;""""), ""★"")&amp;""★""), 0, 1), index(arrayformula(split(filter($Q$38:$Q$500, $Q$38:$Q$500&lt;&gt;""""), ""★"")&amp;""★""), 0, 1)=Q31)))"),"")</f>
        <v/>
      </c>
      <c r="T31" s="480"/>
      <c r="U31" s="249"/>
      <c r="V31" s="479" t="str">
        <f>IFERROR(__xludf.DUMMYFUNCTION("if(U31="""", """", U31/sum(filter($U$3:$U$1000, $U$3:$U$1000&lt;&gt;"""")))"),"")</f>
        <v/>
      </c>
    </row>
    <row r="32" ht="12.75" customHeight="1">
      <c r="A32" s="443" t="s">
        <v>638</v>
      </c>
      <c r="B32" s="484" t="s">
        <v>639</v>
      </c>
      <c r="C32" s="461">
        <v>4.0</v>
      </c>
      <c r="D32" s="485" t="s">
        <v>633</v>
      </c>
      <c r="E32" s="461" t="s">
        <v>469</v>
      </c>
      <c r="M32" s="480" t="s">
        <v>640</v>
      </c>
      <c r="N32" s="249">
        <v>50.0</v>
      </c>
      <c r="O32" s="479">
        <v>0.02710027100271003</v>
      </c>
      <c r="Q32" s="501"/>
      <c r="R32" s="499" t="str">
        <f>IFERROR(__xludf.DUMMYFUNCTION("if(Q32="""", """", counta(filter(index(arrayformula(split(filter($Q$38:$Q$500, $Q$38:$Q$500&lt;&gt;""""), ""★"")&amp;""★""), 0, 1), index(arrayformula(split(filter($Q$38:$Q$500, $Q$38:$Q$500&lt;&gt;""""), ""★"")&amp;""★""), 0, 1)=Q32)))"),"")</f>
        <v/>
      </c>
      <c r="T32" s="480"/>
      <c r="U32" s="249"/>
      <c r="V32" s="479" t="str">
        <f>IFERROR(__xludf.DUMMYFUNCTION("if(U32="""", """", U32/sum(filter($U$3:$U$1000, $U$3:$U$1000&lt;&gt;"""")))"),"")</f>
        <v/>
      </c>
    </row>
    <row r="33" ht="12.75" customHeight="1">
      <c r="A33" s="443" t="s">
        <v>641</v>
      </c>
      <c r="B33" s="484" t="s">
        <v>642</v>
      </c>
      <c r="C33" s="461">
        <v>4.0</v>
      </c>
      <c r="D33" s="485" t="s">
        <v>633</v>
      </c>
      <c r="E33" s="461" t="s">
        <v>469</v>
      </c>
      <c r="M33" s="480" t="s">
        <v>643</v>
      </c>
      <c r="N33" s="249">
        <v>20.0</v>
      </c>
      <c r="O33" s="479">
        <v>0.01084010840108401</v>
      </c>
      <c r="Q33" s="501"/>
      <c r="R33" s="499" t="str">
        <f>IFERROR(__xludf.DUMMYFUNCTION("if(Q33="""", """", counta(filter(index(arrayformula(split(filter($Q$38:$Q$500, $Q$38:$Q$500&lt;&gt;""""), ""★"")&amp;""★""), 0, 1), index(arrayformula(split(filter($Q$38:$Q$500, $Q$38:$Q$500&lt;&gt;""""), ""★"")&amp;""★""), 0, 1)=Q33)))"),"")</f>
        <v/>
      </c>
      <c r="T33" s="480"/>
      <c r="U33" s="249"/>
      <c r="V33" s="479" t="str">
        <f>IFERROR(__xludf.DUMMYFUNCTION("if(U33="""", """", U33/sum(filter($U$3:$U$1000, $U$3:$U$1000&lt;&gt;"""")))"),"")</f>
        <v/>
      </c>
    </row>
    <row r="34" ht="12.75" customHeight="1">
      <c r="A34" s="443" t="s">
        <v>644</v>
      </c>
      <c r="B34" s="484" t="s">
        <v>645</v>
      </c>
      <c r="C34" s="461">
        <v>4.0</v>
      </c>
      <c r="D34" s="485" t="s">
        <v>633</v>
      </c>
      <c r="E34" s="461" t="s">
        <v>470</v>
      </c>
      <c r="M34" s="480" t="s">
        <v>646</v>
      </c>
      <c r="N34" s="249">
        <v>20.0</v>
      </c>
      <c r="O34" s="479">
        <v>0.01084010840108401</v>
      </c>
      <c r="Q34" s="501"/>
      <c r="R34" s="499" t="str">
        <f>IFERROR(__xludf.DUMMYFUNCTION("if(Q34="""", """", counta(filter(index(arrayformula(split(filter($Q$38:$Q$500, $Q$38:$Q$500&lt;&gt;""""), ""★"")&amp;""★""), 0, 1), index(arrayformula(split(filter($Q$38:$Q$500, $Q$38:$Q$500&lt;&gt;""""), ""★"")&amp;""★""), 0, 1)=Q34)))"),"")</f>
        <v/>
      </c>
      <c r="T34" s="480"/>
      <c r="U34" s="249"/>
      <c r="V34" s="479" t="str">
        <f>IFERROR(__xludf.DUMMYFUNCTION("if(U34="""", """", U34/sum(filter($U$3:$U$1000, $U$3:$U$1000&lt;&gt;"""")))"),"")</f>
        <v/>
      </c>
    </row>
    <row r="35" ht="12.75" customHeight="1">
      <c r="A35" s="443" t="s">
        <v>647</v>
      </c>
      <c r="B35" s="484" t="s">
        <v>648</v>
      </c>
      <c r="C35" s="461">
        <v>4.0</v>
      </c>
      <c r="D35" s="485" t="s">
        <v>633</v>
      </c>
      <c r="E35" s="461" t="s">
        <v>470</v>
      </c>
      <c r="M35" s="480" t="s">
        <v>649</v>
      </c>
      <c r="N35" s="249">
        <v>20.0</v>
      </c>
      <c r="O35" s="479">
        <v>0.01084010840108401</v>
      </c>
      <c r="Q35" s="480"/>
      <c r="R35" s="499" t="str">
        <f>IFERROR(__xludf.DUMMYFUNCTION("if(Q35="""", """", counta(filter(index(arrayformula(split(filter($Q$38:$Q$500, $Q$38:$Q$500&lt;&gt;""""), ""★"")&amp;""★""), 0, 1), index(arrayformula(split(filter($Q$38:$Q$500, $Q$38:$Q$500&lt;&gt;""""), ""★"")&amp;""★""), 0, 1)=Q35)))"),"")</f>
        <v/>
      </c>
      <c r="T35" s="480"/>
      <c r="U35" s="249"/>
      <c r="V35" s="479" t="str">
        <f>IFERROR(__xludf.DUMMYFUNCTION("if(U35="""", """", U35/sum(filter($U$3:$U$1000, $U$3:$U$1000&lt;&gt;"""")))"),"")</f>
        <v/>
      </c>
    </row>
    <row r="36" ht="12.75" customHeight="1">
      <c r="A36" s="443" t="s">
        <v>650</v>
      </c>
      <c r="B36" s="484" t="s">
        <v>651</v>
      </c>
      <c r="C36" s="461">
        <v>4.0</v>
      </c>
      <c r="D36" s="485" t="s">
        <v>633</v>
      </c>
      <c r="E36" s="461" t="s">
        <v>471</v>
      </c>
      <c r="M36" s="480" t="s">
        <v>652</v>
      </c>
      <c r="N36" s="249">
        <v>20.0</v>
      </c>
      <c r="O36" s="479">
        <v>0.01084010840108401</v>
      </c>
      <c r="Q36" s="480"/>
      <c r="R36" s="481"/>
      <c r="T36" s="480"/>
      <c r="U36" s="249"/>
      <c r="V36" s="479" t="str">
        <f>IFERROR(__xludf.DUMMYFUNCTION("if(U36="""", """", U36/sum(filter($U$3:$U$1000, $U$3:$U$1000&lt;&gt;"""")))"),"")</f>
        <v/>
      </c>
    </row>
    <row r="37" ht="12.75" customHeight="1">
      <c r="A37" s="443" t="s">
        <v>653</v>
      </c>
      <c r="B37" s="484" t="s">
        <v>654</v>
      </c>
      <c r="C37" s="461">
        <v>4.0</v>
      </c>
      <c r="D37" s="485" t="s">
        <v>633</v>
      </c>
      <c r="E37" s="461" t="s">
        <v>471</v>
      </c>
      <c r="M37" s="480" t="s">
        <v>655</v>
      </c>
      <c r="N37" s="249">
        <v>20.0</v>
      </c>
      <c r="O37" s="479">
        <v>0.01084010840108401</v>
      </c>
      <c r="Q37" s="478" t="s">
        <v>617</v>
      </c>
      <c r="R37" s="481"/>
      <c r="T37" s="480"/>
      <c r="U37" s="249"/>
      <c r="V37" s="479" t="str">
        <f>IFERROR(__xludf.DUMMYFUNCTION("if(U37="""", """", U37/sum(filter($U$3:$U$1000, $U$3:$U$1000&lt;&gt;"""")))"),"")</f>
        <v/>
      </c>
    </row>
    <row r="38" ht="12.75" customHeight="1">
      <c r="A38" s="443" t="s">
        <v>656</v>
      </c>
      <c r="B38" s="484" t="s">
        <v>657</v>
      </c>
      <c r="C38" s="461">
        <v>4.0</v>
      </c>
      <c r="D38" s="485" t="s">
        <v>633</v>
      </c>
      <c r="E38" s="461" t="s">
        <v>472</v>
      </c>
      <c r="M38" s="480" t="s">
        <v>658</v>
      </c>
      <c r="N38" s="249">
        <v>20.0</v>
      </c>
      <c r="O38" s="479">
        <v>0.01084010840108401</v>
      </c>
      <c r="Q38" s="480" t="str">
        <f>IFERROR(__xludf.DUMMYFUNCTION("LET(
  cards_raw,   M3:M1000,
  weights_raw, N3:N1000,
  valid,       ARRAYFORMULA((cards_raw&lt;&gt;"""")*ISNUMBER(weights_raw)),
  names,       FILTER(cards_raw, valid),
  wts,         FILTER(weights_raw, valid),
  pool_size,   ROWS(names),
  n,           MIN"&amp;"(R3, pool_size),
  idx,         SEQUENCE(pool_size),
  picks, REDUCE(
    SEQUENCE(n, 1, 0, 0),
    SEQUENCE(n),
    LAMBDA(picked, k,
      LET(
        alive,     ARRAYFORMULA(wts * (COUNTIF(picked, idx) = 0)),
        total,     SUM(alive),
        r, "&amp;"        RAND() * total,
        cum,       SCAN(0, alive, LAMBDA(a, x, a + x)),
        this_pick, XMATCH(r, cum, 1),
        ARRAYFORMULA(IF(SEQUENCE(n) = k, this_pick, picked))
      )
    )
  ),
  ARRAYFORMULA(XLOOKUP(picks, idx, names))
)"),"Skull Isle - Map 1★ #A90")</f>
        <v>Skull Isle - Map 1★ #A90</v>
      </c>
      <c r="R38" s="481"/>
      <c r="T38" s="480"/>
      <c r="U38" s="249"/>
      <c r="V38" s="479" t="str">
        <f>IFERROR(__xludf.DUMMYFUNCTION("if(U38="""", """", U38/sum(filter($U$3:$U$1000, $U$3:$U$1000&lt;&gt;"""")))"),"")</f>
        <v/>
      </c>
    </row>
    <row r="39" ht="12.75" customHeight="1">
      <c r="A39" s="443" t="s">
        <v>659</v>
      </c>
      <c r="B39" s="484" t="s">
        <v>660</v>
      </c>
      <c r="C39" s="461">
        <v>5.0</v>
      </c>
      <c r="D39" s="485" t="s">
        <v>661</v>
      </c>
      <c r="E39" s="461" t="s">
        <v>468</v>
      </c>
      <c r="M39" s="480" t="s">
        <v>662</v>
      </c>
      <c r="N39" s="249">
        <v>20.0</v>
      </c>
      <c r="O39" s="479">
        <v>0.01084010840108401</v>
      </c>
      <c r="Q39" s="480" t="str">
        <f>IFERROR(__xludf.DUMMYFUNCTION("""COMPUTED_VALUE"""),"Skull Isle - Map 1★ #AAF")</f>
        <v>Skull Isle - Map 1★ #AAF</v>
      </c>
      <c r="R39" s="481"/>
      <c r="T39" s="480"/>
      <c r="U39" s="249"/>
      <c r="V39" s="479" t="str">
        <f>IFERROR(__xludf.DUMMYFUNCTION("if(U39="""", """", U39/sum(filter($U$3:$U$1000, $U$3:$U$1000&lt;&gt;"""")))"),"")</f>
        <v/>
      </c>
    </row>
    <row r="40" ht="12.75" customHeight="1">
      <c r="A40" s="443" t="s">
        <v>663</v>
      </c>
      <c r="B40" s="484" t="s">
        <v>664</v>
      </c>
      <c r="C40" s="461">
        <v>5.0</v>
      </c>
      <c r="D40" s="485" t="s">
        <v>661</v>
      </c>
      <c r="E40" s="461" t="s">
        <v>468</v>
      </c>
      <c r="M40" s="480" t="s">
        <v>665</v>
      </c>
      <c r="N40" s="249">
        <v>20.0</v>
      </c>
      <c r="O40" s="479">
        <v>0.01084010840108401</v>
      </c>
      <c r="Q40" s="480" t="str">
        <f>IFERROR(__xludf.DUMMYFUNCTION("""COMPUTED_VALUE"""),"Skull Isle - Spyglass 1★ #ACE")</f>
        <v>Skull Isle - Spyglass 1★ #ACE</v>
      </c>
      <c r="R40" s="481"/>
      <c r="T40" s="480"/>
      <c r="U40" s="249"/>
      <c r="V40" s="479" t="str">
        <f>IFERROR(__xludf.DUMMYFUNCTION("if(U40="""", """", U40/sum(filter($U$3:$U$1000, $U$3:$U$1000&lt;&gt;"""")))"),"")</f>
        <v/>
      </c>
    </row>
    <row r="41" ht="12.75" customHeight="1">
      <c r="A41" s="443" t="s">
        <v>666</v>
      </c>
      <c r="B41" s="484" t="s">
        <v>667</v>
      </c>
      <c r="C41" s="461">
        <v>5.0</v>
      </c>
      <c r="D41" s="485" t="s">
        <v>661</v>
      </c>
      <c r="E41" s="461" t="s">
        <v>469</v>
      </c>
      <c r="M41" s="480" t="s">
        <v>668</v>
      </c>
      <c r="N41" s="249">
        <v>20.0</v>
      </c>
      <c r="O41" s="479">
        <v>0.01084010840108401</v>
      </c>
      <c r="Q41" s="480" t="str">
        <f>IFERROR(__xludf.DUMMYFUNCTION("""COMPUTED_VALUE"""),"Skull Isle - Map 1★ #526")</f>
        <v>Skull Isle - Map 1★ #526</v>
      </c>
      <c r="R41" s="481"/>
      <c r="T41" s="480"/>
      <c r="U41" s="249"/>
      <c r="V41" s="479" t="str">
        <f>IFERROR(__xludf.DUMMYFUNCTION("if(U41="""", """", U41/sum(filter($U$3:$U$1000, $U$3:$U$1000&lt;&gt;"""")))"),"")</f>
        <v/>
      </c>
    </row>
    <row r="42" ht="12.75" customHeight="1">
      <c r="A42" s="443" t="s">
        <v>669</v>
      </c>
      <c r="B42" s="484" t="s">
        <v>670</v>
      </c>
      <c r="C42" s="461">
        <v>5.0</v>
      </c>
      <c r="D42" s="485" t="s">
        <v>661</v>
      </c>
      <c r="E42" s="461" t="s">
        <v>469</v>
      </c>
      <c r="M42" s="480" t="s">
        <v>671</v>
      </c>
      <c r="N42" s="249">
        <v>20.0</v>
      </c>
      <c r="O42" s="479">
        <v>0.01084010840108401</v>
      </c>
      <c r="Q42" s="480" t="str">
        <f>IFERROR(__xludf.DUMMYFUNCTION("""COMPUTED_VALUE"""),"Skull Isle - Anchor 1★ #B2B")</f>
        <v>Skull Isle - Anchor 1★ #B2B</v>
      </c>
      <c r="R42" s="481"/>
      <c r="T42" s="480"/>
      <c r="U42" s="249"/>
      <c r="V42" s="479" t="str">
        <f>IFERROR(__xludf.DUMMYFUNCTION("if(U42="""", """", U42/sum(filter($U$3:$U$1000, $U$3:$U$1000&lt;&gt;"""")))"),"")</f>
        <v/>
      </c>
    </row>
    <row r="43" ht="12.75" customHeight="1">
      <c r="A43" s="443" t="s">
        <v>672</v>
      </c>
      <c r="B43" s="484" t="s">
        <v>673</v>
      </c>
      <c r="C43" s="461">
        <v>5.0</v>
      </c>
      <c r="D43" s="485" t="s">
        <v>661</v>
      </c>
      <c r="E43" s="461" t="s">
        <v>470</v>
      </c>
      <c r="M43" s="480" t="s">
        <v>674</v>
      </c>
      <c r="N43" s="249">
        <v>20.0</v>
      </c>
      <c r="O43" s="479">
        <v>0.01084010840108401</v>
      </c>
      <c r="Q43" s="480" t="str">
        <f>IFERROR(__xludf.DUMMYFUNCTION("""COMPUTED_VALUE"""),"Skull Isle - Spyglass 1★ #583")</f>
        <v>Skull Isle - Spyglass 1★ #583</v>
      </c>
      <c r="R43" s="481"/>
      <c r="T43" s="480"/>
      <c r="U43" s="249"/>
      <c r="V43" s="479" t="str">
        <f>IFERROR(__xludf.DUMMYFUNCTION("if(U43="""", """", U43/sum(filter($U$3:$U$1000, $U$3:$U$1000&lt;&gt;"""")))"),"")</f>
        <v/>
      </c>
    </row>
    <row r="44" ht="12.75" customHeight="1">
      <c r="A44" s="443" t="s">
        <v>675</v>
      </c>
      <c r="B44" s="484" t="s">
        <v>676</v>
      </c>
      <c r="C44" s="461">
        <v>5.0</v>
      </c>
      <c r="D44" s="485" t="s">
        <v>661</v>
      </c>
      <c r="E44" s="461" t="s">
        <v>471</v>
      </c>
      <c r="M44" s="480" t="s">
        <v>677</v>
      </c>
      <c r="N44" s="249">
        <v>20.0</v>
      </c>
      <c r="O44" s="479">
        <v>0.01084010840108401</v>
      </c>
      <c r="Q44" s="480" t="str">
        <f>IFERROR(__xludf.DUMMYFUNCTION("""COMPUTED_VALUE"""),"Skull Isle - Helm 2★ #B69")</f>
        <v>Skull Isle - Helm 2★ #B69</v>
      </c>
      <c r="R44" s="481"/>
      <c r="T44" s="480"/>
      <c r="U44" s="249"/>
      <c r="V44" s="479" t="str">
        <f>IFERROR(__xludf.DUMMYFUNCTION("if(U44="""", """", U44/sum(filter($U$3:$U$1000, $U$3:$U$1000&lt;&gt;"""")))"),"")</f>
        <v/>
      </c>
    </row>
    <row r="45" ht="12.75" customHeight="1">
      <c r="A45" s="443" t="s">
        <v>678</v>
      </c>
      <c r="B45" s="484" t="s">
        <v>679</v>
      </c>
      <c r="C45" s="461">
        <v>5.0</v>
      </c>
      <c r="D45" s="485" t="s">
        <v>661</v>
      </c>
      <c r="E45" s="461" t="s">
        <v>471</v>
      </c>
      <c r="M45" s="480" t="s">
        <v>680</v>
      </c>
      <c r="N45" s="249">
        <v>20.0</v>
      </c>
      <c r="O45" s="479">
        <v>0.01084010840108401</v>
      </c>
      <c r="Q45" s="480" t="str">
        <f>IFERROR(__xludf.DUMMYFUNCTION("""COMPUTED_VALUE"""),"Skull Isle - Compass 1★ #A33")</f>
        <v>Skull Isle - Compass 1★ #A33</v>
      </c>
      <c r="R45" s="481"/>
      <c r="T45" s="480"/>
      <c r="U45" s="249"/>
      <c r="V45" s="479" t="str">
        <f>IFERROR(__xludf.DUMMYFUNCTION("if(U45="""", """", U45/sum(filter($U$3:$U$1000, $U$3:$U$1000&lt;&gt;"""")))"),"")</f>
        <v/>
      </c>
    </row>
    <row r="46" ht="12.75" customHeight="1">
      <c r="A46" s="443" t="s">
        <v>681</v>
      </c>
      <c r="B46" s="484" t="s">
        <v>682</v>
      </c>
      <c r="C46" s="461">
        <v>5.0</v>
      </c>
      <c r="D46" s="485" t="s">
        <v>661</v>
      </c>
      <c r="E46" s="461" t="s">
        <v>472</v>
      </c>
      <c r="M46" s="480" t="s">
        <v>683</v>
      </c>
      <c r="N46" s="249">
        <v>20.0</v>
      </c>
      <c r="O46" s="479">
        <v>0.01084010840108401</v>
      </c>
      <c r="Q46" s="480" t="str">
        <f>IFERROR(__xludf.DUMMYFUNCTION("""COMPUTED_VALUE"""),"Skull Isle - Map 1★ #545")</f>
        <v>Skull Isle - Map 1★ #545</v>
      </c>
      <c r="R46" s="481"/>
      <c r="T46" s="492"/>
      <c r="U46" s="249"/>
      <c r="V46" s="479" t="str">
        <f>IFERROR(__xludf.DUMMYFUNCTION("if(U46="""", """", U46/sum(filter($U$3:$U$1000, $U$3:$U$1000&lt;&gt;"""")))"),"")</f>
        <v/>
      </c>
    </row>
    <row r="47" ht="12.75" customHeight="1">
      <c r="A47" s="443" t="s">
        <v>684</v>
      </c>
      <c r="B47" s="484" t="s">
        <v>685</v>
      </c>
      <c r="C47" s="461">
        <v>5.0</v>
      </c>
      <c r="D47" s="485" t="s">
        <v>661</v>
      </c>
      <c r="E47" s="461" t="s">
        <v>472</v>
      </c>
      <c r="M47" s="480" t="s">
        <v>686</v>
      </c>
      <c r="N47" s="249">
        <v>20.0</v>
      </c>
      <c r="O47" s="479">
        <v>0.01084010840108401</v>
      </c>
      <c r="Q47" s="480" t="str">
        <f>IFERROR(__xludf.DUMMYFUNCTION("""COMPUTED_VALUE"""),"Skull Isle - Map 1★ #FFA")</f>
        <v>Skull Isle - Map 1★ #FFA</v>
      </c>
      <c r="R47" s="481"/>
      <c r="T47" s="492"/>
      <c r="U47" s="249"/>
      <c r="V47" s="479" t="str">
        <f>IFERROR(__xludf.DUMMYFUNCTION("if(U47="""", """", U47/sum(filter($U$3:$U$1000, $U$3:$U$1000&lt;&gt;"""")))"),"")</f>
        <v/>
      </c>
    </row>
    <row r="48" ht="12.75" customHeight="1">
      <c r="A48" s="443" t="s">
        <v>687</v>
      </c>
      <c r="B48" s="484" t="s">
        <v>688</v>
      </c>
      <c r="C48" s="461">
        <v>6.0</v>
      </c>
      <c r="D48" s="485" t="s">
        <v>689</v>
      </c>
      <c r="E48" s="461" t="s">
        <v>468</v>
      </c>
      <c r="M48" s="480" t="s">
        <v>690</v>
      </c>
      <c r="N48" s="249">
        <v>10.0</v>
      </c>
      <c r="O48" s="479">
        <v>0.005420054200542005</v>
      </c>
      <c r="Q48" s="480" t="str">
        <f>IFERROR(__xludf.DUMMYFUNCTION("""COMPUTED_VALUE"""),"Skull Isle - Map 1★ #507")</f>
        <v>Skull Isle - Map 1★ #507</v>
      </c>
      <c r="R48" s="481"/>
      <c r="T48" s="492"/>
      <c r="U48" s="249"/>
      <c r="V48" s="479" t="str">
        <f>IFERROR(__xludf.DUMMYFUNCTION("if(U48="""", """", U48/sum(filter($U$3:$U$1000, $U$3:$U$1000&lt;&gt;"""")))"),"")</f>
        <v/>
      </c>
    </row>
    <row r="49" ht="12.75" customHeight="1">
      <c r="A49" s="443" t="s">
        <v>691</v>
      </c>
      <c r="B49" s="484" t="s">
        <v>692</v>
      </c>
      <c r="C49" s="461">
        <v>6.0</v>
      </c>
      <c r="D49" s="485" t="s">
        <v>689</v>
      </c>
      <c r="E49" s="461" t="s">
        <v>468</v>
      </c>
      <c r="M49" s="480" t="s">
        <v>693</v>
      </c>
      <c r="N49" s="249">
        <v>10.0</v>
      </c>
      <c r="O49" s="479">
        <v>0.005420054200542005</v>
      </c>
      <c r="Q49" s="480" t="str">
        <f>IFERROR(__xludf.DUMMYFUNCTION("""COMPUTED_VALUE"""),"Skull Isle - Helm 2★ #0B4")</f>
        <v>Skull Isle - Helm 2★ #0B4</v>
      </c>
      <c r="R49" s="481"/>
      <c r="T49" s="492"/>
      <c r="U49" s="249"/>
      <c r="V49" s="479" t="str">
        <f>IFERROR(__xludf.DUMMYFUNCTION("if(U49="""", """", U49/sum(filter($U$3:$U$1000, $U$3:$U$1000&lt;&gt;"""")))"),"")</f>
        <v/>
      </c>
    </row>
    <row r="50" ht="12.75" customHeight="1">
      <c r="A50" s="443" t="s">
        <v>694</v>
      </c>
      <c r="B50" s="484" t="s">
        <v>695</v>
      </c>
      <c r="C50" s="461">
        <v>6.0</v>
      </c>
      <c r="D50" s="485" t="s">
        <v>689</v>
      </c>
      <c r="E50" s="461" t="s">
        <v>469</v>
      </c>
      <c r="M50" s="480" t="s">
        <v>696</v>
      </c>
      <c r="N50" s="249">
        <v>10.0</v>
      </c>
      <c r="O50" s="479">
        <v>0.005420054200542005</v>
      </c>
      <c r="Q50" s="480" t="str">
        <f>IFERROR(__xludf.DUMMYFUNCTION("""COMPUTED_VALUE"""),"Skull Isle - Helm 2★ #61E")</f>
        <v>Skull Isle - Helm 2★ #61E</v>
      </c>
      <c r="R50" s="481"/>
      <c r="T50" s="492"/>
      <c r="U50" s="249"/>
      <c r="V50" s="479" t="str">
        <f>IFERROR(__xludf.DUMMYFUNCTION("if(U50="""", """", U50/sum(filter($U$3:$U$1000, $U$3:$U$1000&lt;&gt;"""")))"),"")</f>
        <v/>
      </c>
    </row>
    <row r="51" ht="12.75" customHeight="1">
      <c r="A51" s="443" t="s">
        <v>697</v>
      </c>
      <c r="B51" s="484" t="s">
        <v>698</v>
      </c>
      <c r="C51" s="461">
        <v>6.0</v>
      </c>
      <c r="D51" s="485" t="s">
        <v>689</v>
      </c>
      <c r="E51" s="461" t="s">
        <v>469</v>
      </c>
      <c r="M51" s="480" t="s">
        <v>699</v>
      </c>
      <c r="N51" s="249">
        <v>10.0</v>
      </c>
      <c r="O51" s="479">
        <v>0.005420054200542005</v>
      </c>
      <c r="Q51" s="480" t="str">
        <f>IFERROR(__xludf.DUMMYFUNCTION("""COMPUTED_VALUE"""),"Skull Isle - Map 1★ #A52")</f>
        <v>Skull Isle - Map 1★ #A52</v>
      </c>
      <c r="R51" s="481"/>
      <c r="T51" s="492"/>
      <c r="U51" s="249"/>
      <c r="V51" s="479" t="str">
        <f>IFERROR(__xludf.DUMMYFUNCTION("if(U51="""", """", U51/sum(filter($U$3:$U$1000, $U$3:$U$1000&lt;&gt;"""")))"),"")</f>
        <v/>
      </c>
    </row>
    <row r="52" ht="12.75" customHeight="1">
      <c r="A52" s="443" t="s">
        <v>700</v>
      </c>
      <c r="B52" s="484" t="s">
        <v>701</v>
      </c>
      <c r="C52" s="461">
        <v>6.0</v>
      </c>
      <c r="D52" s="485" t="s">
        <v>689</v>
      </c>
      <c r="E52" s="461" t="s">
        <v>470</v>
      </c>
      <c r="M52" s="480" t="s">
        <v>702</v>
      </c>
      <c r="N52" s="249">
        <v>5.0</v>
      </c>
      <c r="O52" s="479">
        <v>0.0027100271002710027</v>
      </c>
      <c r="Q52" s="480" t="str">
        <f>IFERROR(__xludf.DUMMYFUNCTION("""COMPUTED_VALUE"""),"Skull Isle - Map 1★ #FBC")</f>
        <v>Skull Isle - Map 1★ #FBC</v>
      </c>
      <c r="R52" s="481"/>
      <c r="T52" s="492"/>
      <c r="U52" s="249"/>
      <c r="V52" s="479" t="str">
        <f>IFERROR(__xludf.DUMMYFUNCTION("if(U52="""", """", U52/sum(filter($U$3:$U$1000, $U$3:$U$1000&lt;&gt;"""")))"),"")</f>
        <v/>
      </c>
    </row>
    <row r="53" ht="12.75" customHeight="1">
      <c r="A53" s="443" t="s">
        <v>703</v>
      </c>
      <c r="B53" s="484" t="s">
        <v>704</v>
      </c>
      <c r="C53" s="461">
        <v>6.0</v>
      </c>
      <c r="D53" s="485" t="s">
        <v>689</v>
      </c>
      <c r="E53" s="461" t="s">
        <v>471</v>
      </c>
      <c r="M53" s="480"/>
      <c r="N53" s="249"/>
      <c r="O53" s="479"/>
      <c r="Q53" s="480" t="str">
        <f>IFERROR(__xludf.DUMMYFUNCTION("""COMPUTED_VALUE"""),"Skull Isle - Compass 1★ #4C9")</f>
        <v>Skull Isle - Compass 1★ #4C9</v>
      </c>
      <c r="R53" s="481"/>
      <c r="T53" s="492"/>
      <c r="U53" s="249"/>
      <c r="V53" s="479" t="str">
        <f>IFERROR(__xludf.DUMMYFUNCTION("if(U53="""", """", U53/sum(filter($U$3:$U$1000, $U$3:$U$1000&lt;&gt;"""")))"),"")</f>
        <v/>
      </c>
    </row>
    <row r="54" ht="12.75" customHeight="1">
      <c r="A54" s="443" t="s">
        <v>705</v>
      </c>
      <c r="B54" s="484" t="s">
        <v>706</v>
      </c>
      <c r="C54" s="461">
        <v>6.0</v>
      </c>
      <c r="D54" s="485" t="s">
        <v>689</v>
      </c>
      <c r="E54" s="461" t="s">
        <v>472</v>
      </c>
      <c r="M54" s="480"/>
      <c r="N54" s="249"/>
      <c r="O54" s="479"/>
      <c r="Q54" s="480" t="str">
        <f>IFERROR(__xludf.DUMMYFUNCTION("""COMPUTED_VALUE"""),"Skull Isle - Skull 3★ #BE5")</f>
        <v>Skull Isle - Skull 3★ #BE5</v>
      </c>
      <c r="R54" s="481"/>
      <c r="T54" s="492"/>
      <c r="U54" s="249"/>
      <c r="V54" s="479" t="str">
        <f>IFERROR(__xludf.DUMMYFUNCTION("if(U54="""", """", U54/sum(filter($U$3:$U$1000, $U$3:$U$1000&lt;&gt;"""")))"),"")</f>
        <v/>
      </c>
    </row>
    <row r="55" ht="12.75" customHeight="1">
      <c r="A55" s="443" t="s">
        <v>707</v>
      </c>
      <c r="B55" s="484" t="s">
        <v>708</v>
      </c>
      <c r="C55" s="461">
        <v>6.0</v>
      </c>
      <c r="D55" s="485" t="s">
        <v>689</v>
      </c>
      <c r="E55" s="444" t="s">
        <v>472</v>
      </c>
      <c r="M55" s="480"/>
      <c r="N55" s="249"/>
      <c r="O55" s="479"/>
      <c r="Q55" s="480" t="str">
        <f>IFERROR(__xludf.DUMMYFUNCTION("""COMPUTED_VALUE"""),"Skull Isle - Compass 1★ #F40")</f>
        <v>Skull Isle - Compass 1★ #F40</v>
      </c>
      <c r="R55" s="481"/>
      <c r="T55" s="492"/>
      <c r="U55" s="249"/>
      <c r="V55" s="479" t="str">
        <f>IFERROR(__xludf.DUMMYFUNCTION("if(U55="""", """", U55/sum(filter($U$3:$U$1000, $U$3:$U$1000&lt;&gt;"""")))"),"")</f>
        <v/>
      </c>
    </row>
    <row r="56" ht="12.75" customHeight="1">
      <c r="A56" s="443" t="s">
        <v>709</v>
      </c>
      <c r="B56" s="484" t="s">
        <v>710</v>
      </c>
      <c r="C56" s="461">
        <v>6.0</v>
      </c>
      <c r="D56" s="485" t="s">
        <v>689</v>
      </c>
      <c r="E56" s="444" t="s">
        <v>472</v>
      </c>
      <c r="M56" s="480"/>
      <c r="N56" s="249"/>
      <c r="O56" s="479"/>
      <c r="Q56" s="480" t="str">
        <f>IFERROR(__xludf.DUMMYFUNCTION("""COMPUTED_VALUE"""),"Skull Isle - Spyglass 1★ #038")</f>
        <v>Skull Isle - Spyglass 1★ #038</v>
      </c>
      <c r="R56" s="481"/>
      <c r="T56" s="492"/>
      <c r="U56" s="249"/>
      <c r="V56" s="479" t="str">
        <f>IFERROR(__xludf.DUMMYFUNCTION("if(U56="""", """", U56/sum(filter($U$3:$U$1000, $U$3:$U$1000&lt;&gt;"""")))"),"")</f>
        <v/>
      </c>
    </row>
    <row r="57" ht="12.75" customHeight="1">
      <c r="A57" s="443" t="s">
        <v>711</v>
      </c>
      <c r="B57" s="484" t="s">
        <v>712</v>
      </c>
      <c r="C57" s="461">
        <v>7.0</v>
      </c>
      <c r="D57" s="485" t="s">
        <v>713</v>
      </c>
      <c r="E57" s="461" t="s">
        <v>468</v>
      </c>
      <c r="M57" s="480"/>
      <c r="N57" s="249"/>
      <c r="O57" s="479"/>
      <c r="Q57" s="480" t="str">
        <f>IFERROR(__xludf.DUMMYFUNCTION("""COMPUTED_VALUE"""),"Skull Isle - Spyglass 1★ #564")</f>
        <v>Skull Isle - Spyglass 1★ #564</v>
      </c>
      <c r="R57" s="481"/>
      <c r="T57" s="492"/>
      <c r="U57" s="249"/>
      <c r="V57" s="479" t="str">
        <f>IFERROR(__xludf.DUMMYFUNCTION("if(U57="""", """", U57/sum(filter($U$3:$U$1000, $U$3:$U$1000&lt;&gt;"""")))"),"")</f>
        <v/>
      </c>
    </row>
    <row r="58" ht="12.75" customHeight="1">
      <c r="A58" s="443" t="s">
        <v>714</v>
      </c>
      <c r="B58" s="484" t="s">
        <v>715</v>
      </c>
      <c r="C58" s="461">
        <v>7.0</v>
      </c>
      <c r="D58" s="485" t="s">
        <v>713</v>
      </c>
      <c r="E58" s="461" t="s">
        <v>468</v>
      </c>
      <c r="M58" s="480"/>
      <c r="N58" s="249"/>
      <c r="O58" s="479"/>
      <c r="Q58" s="480" t="str">
        <f>IFERROR(__xludf.DUMMYFUNCTION("""COMPUTED_VALUE"""),"Skull Isle - Compass 1★ #A14")</f>
        <v>Skull Isle - Compass 1★ #A14</v>
      </c>
      <c r="R58" s="481"/>
      <c r="T58" s="492"/>
      <c r="U58" s="249"/>
      <c r="V58" s="479" t="str">
        <f>IFERROR(__xludf.DUMMYFUNCTION("if(U58="""", """", U58/sum(filter($U$3:$U$1000, $U$3:$U$1000&lt;&gt;"""")))"),"")</f>
        <v/>
      </c>
    </row>
    <row r="59" ht="12.75" customHeight="1">
      <c r="A59" s="443" t="s">
        <v>716</v>
      </c>
      <c r="B59" s="484" t="s">
        <v>717</v>
      </c>
      <c r="C59" s="461">
        <v>7.0</v>
      </c>
      <c r="D59" s="485" t="s">
        <v>713</v>
      </c>
      <c r="E59" s="461" t="s">
        <v>469</v>
      </c>
      <c r="M59" s="480"/>
      <c r="N59" s="249"/>
      <c r="O59" s="479"/>
      <c r="Q59" s="480" t="str">
        <f>IFERROR(__xludf.DUMMYFUNCTION("""COMPUTED_VALUE"""),"Skull Isle - Compass 1★ #F9D")</f>
        <v>Skull Isle - Compass 1★ #F9D</v>
      </c>
      <c r="R59" s="481"/>
      <c r="T59" s="492"/>
      <c r="U59" s="249"/>
      <c r="V59" s="479" t="str">
        <f>IFERROR(__xludf.DUMMYFUNCTION("if(U59="""", """", U59/sum(filter($U$3:$U$1000, $U$3:$U$1000&lt;&gt;"""")))"),"")</f>
        <v/>
      </c>
    </row>
    <row r="60" ht="12.75" customHeight="1">
      <c r="A60" s="443" t="s">
        <v>718</v>
      </c>
      <c r="B60" s="484" t="s">
        <v>719</v>
      </c>
      <c r="C60" s="461">
        <v>7.0</v>
      </c>
      <c r="D60" s="485" t="s">
        <v>713</v>
      </c>
      <c r="E60" s="461" t="s">
        <v>469</v>
      </c>
      <c r="M60" s="480"/>
      <c r="N60" s="249"/>
      <c r="O60" s="479"/>
      <c r="Q60" s="480" t="str">
        <f>IFERROR(__xludf.DUMMYFUNCTION("""COMPUTED_VALUE"""),"Skull Isle - Spyglass 1★ #5C1")</f>
        <v>Skull Isle - Spyglass 1★ #5C1</v>
      </c>
      <c r="R60" s="481"/>
      <c r="T60" s="492"/>
      <c r="U60" s="249"/>
      <c r="V60" s="479" t="str">
        <f>IFERROR(__xludf.DUMMYFUNCTION("if(U60="""", """", U60/sum(filter($U$3:$U$1000, $U$3:$U$1000&lt;&gt;"""")))"),"")</f>
        <v/>
      </c>
    </row>
    <row r="61" ht="12.75" customHeight="1">
      <c r="A61" s="443" t="s">
        <v>720</v>
      </c>
      <c r="B61" s="484" t="s">
        <v>721</v>
      </c>
      <c r="C61" s="461">
        <v>7.0</v>
      </c>
      <c r="D61" s="485" t="s">
        <v>713</v>
      </c>
      <c r="E61" s="461" t="s">
        <v>470</v>
      </c>
      <c r="M61" s="480"/>
      <c r="N61" s="249"/>
      <c r="O61" s="479"/>
      <c r="Q61" s="480" t="str">
        <f>IFERROR(__xludf.DUMMYFUNCTION("""COMPUTED_VALUE"""),"Skull Isle - Compass 1★ #F5F")</f>
        <v>Skull Isle - Compass 1★ #F5F</v>
      </c>
      <c r="R61" s="481"/>
      <c r="T61" s="492"/>
      <c r="U61" s="249"/>
      <c r="V61" s="479" t="str">
        <f>IFERROR(__xludf.DUMMYFUNCTION("if(U61="""", """", U61/sum(filter($U$3:$U$1000, $U$3:$U$1000&lt;&gt;"""")))"),"")</f>
        <v/>
      </c>
    </row>
    <row r="62" ht="12.75" customHeight="1">
      <c r="A62" s="443" t="s">
        <v>722</v>
      </c>
      <c r="B62" s="484" t="s">
        <v>723</v>
      </c>
      <c r="C62" s="461">
        <v>7.0</v>
      </c>
      <c r="D62" s="485" t="s">
        <v>713</v>
      </c>
      <c r="E62" s="461" t="s">
        <v>471</v>
      </c>
      <c r="M62" s="480"/>
      <c r="N62" s="249"/>
      <c r="O62" s="479"/>
      <c r="Q62" s="480" t="str">
        <f>IFERROR(__xludf.DUMMYFUNCTION("""COMPUTED_VALUE"""),"Skull Isle - Compass 1★ #F7E")</f>
        <v>Skull Isle - Compass 1★ #F7E</v>
      </c>
      <c r="R62" s="481"/>
      <c r="T62" s="492"/>
      <c r="U62" s="249"/>
      <c r="V62" s="479" t="str">
        <f>IFERROR(__xludf.DUMMYFUNCTION("if(U62="""", """", U62/sum(filter($U$3:$U$1000, $U$3:$U$1000&lt;&gt;"""")))"),"")</f>
        <v/>
      </c>
    </row>
    <row r="63" ht="12.75" customHeight="1">
      <c r="A63" s="443" t="s">
        <v>724</v>
      </c>
      <c r="B63" s="484" t="s">
        <v>725</v>
      </c>
      <c r="C63" s="461">
        <v>7.0</v>
      </c>
      <c r="D63" s="485" t="s">
        <v>713</v>
      </c>
      <c r="E63" s="461" t="s">
        <v>472</v>
      </c>
      <c r="M63" s="480"/>
      <c r="N63" s="249"/>
      <c r="O63" s="479"/>
      <c r="Q63" s="480" t="str">
        <f>IFERROR(__xludf.DUMMYFUNCTION("""COMPUTED_VALUE"""),"Skull Isle - Spyglass 1★ #057")</f>
        <v>Skull Isle - Spyglass 1★ #057</v>
      </c>
      <c r="R63" s="481"/>
      <c r="T63" s="492"/>
      <c r="U63" s="249"/>
      <c r="V63" s="479" t="str">
        <f>IFERROR(__xludf.DUMMYFUNCTION("if(U63="""", """", U63/sum(filter($U$3:$U$1000, $U$3:$U$1000&lt;&gt;"""")))"),"")</f>
        <v/>
      </c>
    </row>
    <row r="64" ht="12.75" customHeight="1">
      <c r="A64" s="443" t="s">
        <v>726</v>
      </c>
      <c r="B64" s="484" t="s">
        <v>727</v>
      </c>
      <c r="C64" s="461">
        <v>7.0</v>
      </c>
      <c r="D64" s="485" t="s">
        <v>713</v>
      </c>
      <c r="E64" s="461" t="s">
        <v>472</v>
      </c>
      <c r="M64" s="480"/>
      <c r="N64" s="249"/>
      <c r="O64" s="479"/>
      <c r="Q64" s="480" t="str">
        <f>IFERROR(__xludf.DUMMYFUNCTION("""COMPUTED_VALUE"""),"Skull Isle - Map 1★ #FDB")</f>
        <v>Skull Isle - Map 1★ #FDB</v>
      </c>
      <c r="R64" s="481"/>
      <c r="T64" s="492"/>
      <c r="U64" s="249"/>
      <c r="V64" s="479" t="str">
        <f>IFERROR(__xludf.DUMMYFUNCTION("if(U64="""", """", U64/sum(filter($U$3:$U$1000, $U$3:$U$1000&lt;&gt;"""")))"),"")</f>
        <v/>
      </c>
    </row>
    <row r="65" ht="12.75" customHeight="1">
      <c r="A65" s="443" t="s">
        <v>728</v>
      </c>
      <c r="B65" s="484" t="s">
        <v>729</v>
      </c>
      <c r="C65" s="461">
        <v>7.0</v>
      </c>
      <c r="D65" s="485" t="s">
        <v>713</v>
      </c>
      <c r="E65" s="461" t="s">
        <v>472</v>
      </c>
      <c r="M65" s="480"/>
      <c r="N65" s="249"/>
      <c r="O65" s="479"/>
      <c r="Q65" s="480" t="str">
        <f>IFERROR(__xludf.DUMMYFUNCTION("""COMPUTED_VALUE"""),"Skull Isle - Spyglass 1★ #5A2")</f>
        <v>Skull Isle - Spyglass 1★ #5A2</v>
      </c>
      <c r="R65" s="481"/>
      <c r="T65" s="492"/>
      <c r="U65" s="249"/>
      <c r="V65" s="479" t="str">
        <f>IFERROR(__xludf.DUMMYFUNCTION("if(U65="""", """", U65/sum(filter($U$3:$U$1000, $U$3:$U$1000&lt;&gt;"""")))"),"")</f>
        <v/>
      </c>
    </row>
    <row r="66" ht="12.75" customHeight="1">
      <c r="A66" s="443" t="s">
        <v>730</v>
      </c>
      <c r="B66" s="484" t="s">
        <v>731</v>
      </c>
      <c r="C66" s="461">
        <v>8.0</v>
      </c>
      <c r="D66" s="485" t="s">
        <v>732</v>
      </c>
      <c r="E66" s="461" t="s">
        <v>468</v>
      </c>
      <c r="M66" s="480"/>
      <c r="N66" s="249"/>
      <c r="O66" s="479"/>
      <c r="Q66" s="480" t="str">
        <f>IFERROR(__xludf.DUMMYFUNCTION("""COMPUTED_VALUE"""),"Skull Isle - Cutlass 2★ #0F2")</f>
        <v>Skull Isle - Cutlass 2★ #0F2</v>
      </c>
      <c r="R66" s="481"/>
      <c r="T66" s="492"/>
      <c r="U66" s="249"/>
      <c r="V66" s="479" t="str">
        <f>IFERROR(__xludf.DUMMYFUNCTION("if(U66="""", """", U66/sum(filter($U$3:$U$1000, $U$3:$U$1000&lt;&gt;"""")))"),"")</f>
        <v/>
      </c>
    </row>
    <row r="67" ht="12.75" customHeight="1">
      <c r="A67" s="443" t="s">
        <v>733</v>
      </c>
      <c r="B67" s="484" t="s">
        <v>734</v>
      </c>
      <c r="C67" s="461">
        <v>8.0</v>
      </c>
      <c r="D67" s="485" t="s">
        <v>732</v>
      </c>
      <c r="E67" s="461" t="s">
        <v>468</v>
      </c>
      <c r="M67" s="480"/>
      <c r="N67" s="249"/>
      <c r="O67" s="479"/>
      <c r="Q67" s="480" t="str">
        <f>IFERROR(__xludf.DUMMYFUNCTION("""COMPUTED_VALUE"""),"Skull Isle - Anchor 1★ #5E0")</f>
        <v>Skull Isle - Anchor 1★ #5E0</v>
      </c>
      <c r="R67" s="481"/>
      <c r="T67" s="492"/>
      <c r="U67" s="249"/>
      <c r="V67" s="479" t="str">
        <f>IFERROR(__xludf.DUMMYFUNCTION("if(U67="""", """", U67/sum(filter($U$3:$U$1000, $U$3:$U$1000&lt;&gt;"""")))"),"")</f>
        <v/>
      </c>
    </row>
    <row r="68" ht="12.75" customHeight="1">
      <c r="A68" s="443" t="s">
        <v>735</v>
      </c>
      <c r="B68" s="484" t="s">
        <v>736</v>
      </c>
      <c r="C68" s="461">
        <v>8.0</v>
      </c>
      <c r="D68" s="485" t="s">
        <v>732</v>
      </c>
      <c r="E68" s="461" t="s">
        <v>469</v>
      </c>
      <c r="M68" s="480"/>
      <c r="N68" s="249"/>
      <c r="O68" s="479"/>
      <c r="Q68" s="480" t="str">
        <f>IFERROR(__xludf.DUMMYFUNCTION("""COMPUTED_VALUE"""),"Skull Isle - Compass 1★ #9F5")</f>
        <v>Skull Isle - Compass 1★ #9F5</v>
      </c>
      <c r="R68" s="481"/>
      <c r="T68" s="492"/>
      <c r="U68" s="249"/>
      <c r="V68" s="479" t="str">
        <f>IFERROR(__xludf.DUMMYFUNCTION("if(U68="""", """", U68/sum(filter($U$3:$U$1000, $U$3:$U$1000&lt;&gt;"""")))"),"")</f>
        <v/>
      </c>
    </row>
    <row r="69" ht="12.75" customHeight="1">
      <c r="A69" s="443" t="s">
        <v>737</v>
      </c>
      <c r="B69" s="484" t="s">
        <v>738</v>
      </c>
      <c r="C69" s="461">
        <v>8.0</v>
      </c>
      <c r="D69" s="485" t="s">
        <v>732</v>
      </c>
      <c r="E69" s="461" t="s">
        <v>469</v>
      </c>
      <c r="M69" s="480"/>
      <c r="N69" s="249"/>
      <c r="O69" s="479"/>
      <c r="Q69" s="480" t="str">
        <f>IFERROR(__xludf.DUMMYFUNCTION("""COMPUTED_VALUE"""),"Skull Isle - Helm 2★ #5FF")</f>
        <v>Skull Isle - Helm 2★ #5FF</v>
      </c>
      <c r="R69" s="481"/>
      <c r="T69" s="492"/>
      <c r="U69" s="249"/>
      <c r="V69" s="479" t="str">
        <f>IFERROR(__xludf.DUMMYFUNCTION("if(U69="""", """", U69/sum(filter($U$3:$U$1000, $U$3:$U$1000&lt;&gt;"""")))"),"")</f>
        <v/>
      </c>
    </row>
    <row r="70" ht="12.75" customHeight="1">
      <c r="A70" s="443" t="s">
        <v>739</v>
      </c>
      <c r="B70" s="484" t="s">
        <v>740</v>
      </c>
      <c r="C70" s="461">
        <v>8.0</v>
      </c>
      <c r="D70" s="485" t="s">
        <v>732</v>
      </c>
      <c r="E70" s="461" t="s">
        <v>470</v>
      </c>
      <c r="M70" s="480"/>
      <c r="N70" s="249"/>
      <c r="O70" s="479"/>
      <c r="Q70" s="480" t="str">
        <f>IFERROR(__xludf.DUMMYFUNCTION("""COMPUTED_VALUE"""),"Skull Isle - Map 1★ #A71")</f>
        <v>Skull Isle - Map 1★ #A71</v>
      </c>
      <c r="R70" s="481"/>
      <c r="T70" s="492"/>
      <c r="U70" s="249"/>
      <c r="V70" s="479" t="str">
        <f>IFERROR(__xludf.DUMMYFUNCTION("if(U70="""", """", U70/sum(filter($U$3:$U$1000, $U$3:$U$1000&lt;&gt;"""")))"),"")</f>
        <v/>
      </c>
    </row>
    <row r="71" ht="12.75" customHeight="1">
      <c r="A71" s="443" t="s">
        <v>742</v>
      </c>
      <c r="B71" s="484" t="s">
        <v>743</v>
      </c>
      <c r="C71" s="461">
        <v>8.0</v>
      </c>
      <c r="D71" s="485" t="s">
        <v>732</v>
      </c>
      <c r="E71" s="461" t="s">
        <v>471</v>
      </c>
      <c r="M71" s="480"/>
      <c r="N71" s="249"/>
      <c r="O71" s="479"/>
      <c r="Q71" s="480" t="str">
        <f>IFERROR(__xludf.DUMMYFUNCTION("""COMPUTED_VALUE"""),"Skull Isle - Spyglass 1★ #B0C")</f>
        <v>Skull Isle - Spyglass 1★ #B0C</v>
      </c>
      <c r="R71" s="481"/>
      <c r="T71" s="492"/>
      <c r="U71" s="249"/>
      <c r="V71" s="479" t="str">
        <f>IFERROR(__xludf.DUMMYFUNCTION("if(U71="""", """", U71/sum(filter($U$3:$U$1000, $U$3:$U$1000&lt;&gt;"""")))"),"")</f>
        <v/>
      </c>
    </row>
    <row r="72" ht="12.75" customHeight="1">
      <c r="A72" s="443" t="s">
        <v>744</v>
      </c>
      <c r="B72" s="484" t="s">
        <v>745</v>
      </c>
      <c r="C72" s="461">
        <v>8.0</v>
      </c>
      <c r="D72" s="485" t="s">
        <v>732</v>
      </c>
      <c r="E72" s="461" t="s">
        <v>472</v>
      </c>
      <c r="M72" s="480"/>
      <c r="N72" s="249"/>
      <c r="O72" s="479"/>
      <c r="Q72" s="480" t="str">
        <f>IFERROR(__xludf.DUMMYFUNCTION("""COMPUTED_VALUE"""),"Skull Isle - Compass 1★ #4E8")</f>
        <v>Skull Isle - Compass 1★ #4E8</v>
      </c>
      <c r="R72" s="481"/>
      <c r="T72" s="492"/>
      <c r="U72" s="249"/>
      <c r="V72" s="479" t="str">
        <f>IFERROR(__xludf.DUMMYFUNCTION("if(U72="""", """", U72/sum(filter($U$3:$U$1000, $U$3:$U$1000&lt;&gt;"""")))"),"")</f>
        <v/>
      </c>
    </row>
    <row r="73" ht="12.75" customHeight="1">
      <c r="A73" s="443" t="s">
        <v>746</v>
      </c>
      <c r="B73" s="484" t="s">
        <v>747</v>
      </c>
      <c r="C73" s="461">
        <v>8.0</v>
      </c>
      <c r="D73" s="485" t="s">
        <v>732</v>
      </c>
      <c r="E73" s="461" t="s">
        <v>472</v>
      </c>
      <c r="M73" s="480"/>
      <c r="N73" s="249"/>
      <c r="O73" s="479"/>
      <c r="Q73" s="480"/>
      <c r="R73" s="481"/>
      <c r="T73" s="492"/>
      <c r="U73" s="249"/>
      <c r="V73" s="479" t="str">
        <f>IFERROR(__xludf.DUMMYFUNCTION("if(U73="""", """", U73/sum(filter($U$3:$U$1000, $U$3:$U$1000&lt;&gt;"""")))"),"")</f>
        <v/>
      </c>
    </row>
    <row r="74" ht="12.75" customHeight="1">
      <c r="A74" s="443" t="s">
        <v>748</v>
      </c>
      <c r="B74" s="484" t="s">
        <v>749</v>
      </c>
      <c r="C74" s="461">
        <v>8.0</v>
      </c>
      <c r="D74" s="485" t="s">
        <v>732</v>
      </c>
      <c r="E74" s="461" t="s">
        <v>472</v>
      </c>
      <c r="M74" s="480"/>
      <c r="N74" s="249"/>
      <c r="O74" s="479"/>
      <c r="Q74" s="480"/>
      <c r="R74" s="481"/>
      <c r="T74" s="492"/>
      <c r="U74" s="249"/>
      <c r="V74" s="479" t="str">
        <f>IFERROR(__xludf.DUMMYFUNCTION("if(U74="""", """", U74/sum(filter($U$3:$U$1000, $U$3:$U$1000&lt;&gt;"""")))"),"")</f>
        <v/>
      </c>
    </row>
    <row r="75" ht="12.75" customHeight="1">
      <c r="M75" s="480"/>
      <c r="N75" s="249"/>
      <c r="O75" s="479"/>
      <c r="Q75" s="480"/>
      <c r="R75" s="481"/>
      <c r="T75" s="492"/>
      <c r="U75" s="249"/>
      <c r="V75" s="479" t="str">
        <f>IFERROR(__xludf.DUMMYFUNCTION("if(U75="""", """", U75/sum(filter($U$3:$U$1000, $U$3:$U$1000&lt;&gt;"""")))"),"")</f>
        <v/>
      </c>
    </row>
    <row r="76" ht="12.75" customHeight="1">
      <c r="A76" s="437" t="s">
        <v>750</v>
      </c>
      <c r="M76" s="480"/>
      <c r="N76" s="249"/>
      <c r="O76" s="479"/>
      <c r="Q76" s="480"/>
      <c r="R76" s="481"/>
      <c r="T76" s="492"/>
      <c r="U76" s="249"/>
      <c r="V76" s="479" t="str">
        <f>IFERROR(__xludf.DUMMYFUNCTION("if(U76="""", """", U76/sum(filter($U$3:$U$1000, $U$3:$U$1000&lt;&gt;"""")))"),"")</f>
        <v/>
      </c>
    </row>
    <row r="77" ht="12.75" customHeight="1">
      <c r="M77" s="480"/>
      <c r="N77" s="249"/>
      <c r="O77" s="479"/>
      <c r="Q77" s="480"/>
      <c r="R77" s="481"/>
      <c r="T77" s="492"/>
      <c r="U77" s="249"/>
      <c r="V77" s="479" t="str">
        <f>IFERROR(__xludf.DUMMYFUNCTION("if(U77="""", """", U77/sum(filter($U$3:$U$1000, $U$3:$U$1000&lt;&gt;"""")))"),"")</f>
        <v/>
      </c>
    </row>
    <row r="78" ht="12.75" customHeight="1">
      <c r="A78" s="437" t="s">
        <v>751</v>
      </c>
      <c r="M78" s="480"/>
      <c r="N78" s="249"/>
      <c r="O78" s="479"/>
      <c r="Q78" s="480"/>
      <c r="R78" s="481"/>
      <c r="T78" s="492"/>
      <c r="U78" s="249"/>
      <c r="V78" s="479" t="str">
        <f>IFERROR(__xludf.DUMMYFUNCTION("if(U78="""", """", U78/sum(filter($U$3:$U$1000, $U$3:$U$1000&lt;&gt;"""")))"),"")</f>
        <v/>
      </c>
    </row>
    <row r="79" ht="12.75" customHeight="1">
      <c r="A79" s="440" t="s">
        <v>523</v>
      </c>
      <c r="B79" s="441" t="s">
        <v>499</v>
      </c>
      <c r="C79" s="441" t="s">
        <v>522</v>
      </c>
      <c r="M79" s="480"/>
      <c r="N79" s="249"/>
      <c r="O79" s="479"/>
      <c r="Q79" s="480"/>
      <c r="R79" s="481"/>
      <c r="T79" s="492"/>
      <c r="U79" s="249"/>
      <c r="V79" s="479" t="str">
        <f>IFERROR(__xludf.DUMMYFUNCTION("if(U79="""", """", U79/sum(filter($U$3:$U$1000, $U$3:$U$1000&lt;&gt;"""")))"),"")</f>
        <v/>
      </c>
    </row>
    <row r="80" ht="12.75" customHeight="1">
      <c r="A80" s="443" t="str">
        <f t="shared" ref="A80:A88" si="4">index($B$3:$B$74, match(C80, $A$3:$A$74, 0),0)</f>
        <v>Skull Isle - Compass</v>
      </c>
      <c r="B80" s="485" t="str">
        <f t="shared" ref="B80:B88" si="5">index($E$3:$E$74, match(C80, $A$3:$A$74, 0),0)</f>
        <v>1★</v>
      </c>
      <c r="C80" s="485" t="str">
        <f>IFERROR(__xludf.DUMMYFUNCTION("filter($A$3:$A$74, $D$3:$D$74=LEFT(A$78, len(A$78)-8))"),"CARD_01_s1")</f>
        <v>CARD_01_s1</v>
      </c>
      <c r="M80" s="480"/>
      <c r="N80" s="249"/>
      <c r="O80" s="479"/>
      <c r="Q80" s="480"/>
      <c r="R80" s="481"/>
      <c r="T80" s="492"/>
      <c r="U80" s="249"/>
      <c r="V80" s="479" t="str">
        <f>IFERROR(__xludf.DUMMYFUNCTION("if(U80="""", """", U80/sum(filter($U$3:$U$1000, $U$3:$U$1000&lt;&gt;"""")))"),"")</f>
        <v/>
      </c>
    </row>
    <row r="81" ht="12.75" customHeight="1">
      <c r="A81" s="443" t="str">
        <f t="shared" si="4"/>
        <v>Skull Isle - Map</v>
      </c>
      <c r="B81" s="485" t="str">
        <f t="shared" si="5"/>
        <v>1★</v>
      </c>
      <c r="C81" s="485" t="str">
        <f>IFERROR(__xludf.DUMMYFUNCTION("""COMPUTED_VALUE"""),"CARD_02_s1")</f>
        <v>CARD_02_s1</v>
      </c>
      <c r="M81" s="480"/>
      <c r="N81" s="249"/>
      <c r="O81" s="479"/>
      <c r="Q81" s="480"/>
      <c r="R81" s="481"/>
      <c r="T81" s="492"/>
      <c r="U81" s="249"/>
      <c r="V81" s="479" t="str">
        <f>IFERROR(__xludf.DUMMYFUNCTION("if(U81="""", """", U81/sum(filter($U$3:$U$1000, $U$3:$U$1000&lt;&gt;"""")))"),"")</f>
        <v/>
      </c>
    </row>
    <row r="82" ht="12.75" customHeight="1">
      <c r="A82" s="443" t="str">
        <f t="shared" si="4"/>
        <v>Skull Isle - Spyglass</v>
      </c>
      <c r="B82" s="485" t="str">
        <f t="shared" si="5"/>
        <v>1★</v>
      </c>
      <c r="C82" s="485" t="str">
        <f>IFERROR(__xludf.DUMMYFUNCTION("""COMPUTED_VALUE"""),"CARD_03_s1")</f>
        <v>CARD_03_s1</v>
      </c>
      <c r="M82" s="480"/>
      <c r="N82" s="249"/>
      <c r="O82" s="479"/>
      <c r="Q82" s="480"/>
      <c r="R82" s="481"/>
      <c r="T82" s="492"/>
      <c r="U82" s="249"/>
      <c r="V82" s="479" t="str">
        <f>IFERROR(__xludf.DUMMYFUNCTION("if(U82="""", """", U82/sum(filter($U$3:$U$1000, $U$3:$U$1000&lt;&gt;"""")))"),"")</f>
        <v/>
      </c>
    </row>
    <row r="83" ht="12.75" customHeight="1">
      <c r="A83" s="443" t="str">
        <f t="shared" si="4"/>
        <v>Skull Isle - Anchor</v>
      </c>
      <c r="B83" s="485" t="str">
        <f t="shared" si="5"/>
        <v>1★</v>
      </c>
      <c r="C83" s="485" t="str">
        <f>IFERROR(__xludf.DUMMYFUNCTION("""COMPUTED_VALUE"""),"CARD_04_s1")</f>
        <v>CARD_04_s1</v>
      </c>
      <c r="M83" s="480"/>
      <c r="N83" s="249"/>
      <c r="O83" s="479"/>
      <c r="Q83" s="480"/>
      <c r="R83" s="481"/>
      <c r="T83" s="492"/>
      <c r="U83" s="249"/>
      <c r="V83" s="479" t="str">
        <f>IFERROR(__xludf.DUMMYFUNCTION("if(U83="""", """", U83/sum(filter($U$3:$U$1000, $U$3:$U$1000&lt;&gt;"""")))"),"")</f>
        <v/>
      </c>
    </row>
    <row r="84" ht="12.75" customHeight="1">
      <c r="A84" s="443" t="str">
        <f t="shared" si="4"/>
        <v>Skull Isle - Helm</v>
      </c>
      <c r="B84" s="485" t="str">
        <f t="shared" si="5"/>
        <v>2★</v>
      </c>
      <c r="C84" s="485" t="str">
        <f>IFERROR(__xludf.DUMMYFUNCTION("""COMPUTED_VALUE"""),"CARD_05_s1")</f>
        <v>CARD_05_s1</v>
      </c>
      <c r="M84" s="480"/>
      <c r="N84" s="249"/>
      <c r="O84" s="479"/>
      <c r="Q84" s="480"/>
      <c r="R84" s="481"/>
      <c r="T84" s="492"/>
      <c r="U84" s="249"/>
      <c r="V84" s="479" t="str">
        <f>IFERROR(__xludf.DUMMYFUNCTION("if(U84="""", """", U84/sum(filter($U$3:$U$1000, $U$3:$U$1000&lt;&gt;"""")))"),"")</f>
        <v/>
      </c>
    </row>
    <row r="85" ht="12.75" customHeight="1">
      <c r="A85" s="443" t="str">
        <f t="shared" si="4"/>
        <v>Skull Isle - Cutlass</v>
      </c>
      <c r="B85" s="485" t="str">
        <f t="shared" si="5"/>
        <v>2★</v>
      </c>
      <c r="C85" s="485" t="str">
        <f>IFERROR(__xludf.DUMMYFUNCTION("""COMPUTED_VALUE"""),"CARD_06_s1")</f>
        <v>CARD_06_s1</v>
      </c>
      <c r="M85" s="480"/>
      <c r="N85" s="249"/>
      <c r="O85" s="479"/>
      <c r="Q85" s="480"/>
      <c r="R85" s="481"/>
      <c r="T85" s="492"/>
      <c r="U85" s="249"/>
      <c r="V85" s="479" t="str">
        <f>IFERROR(__xludf.DUMMYFUNCTION("if(U85="""", """", U85/sum(filter($U$3:$U$1000, $U$3:$U$1000&lt;&gt;"""")))"),"")</f>
        <v/>
      </c>
    </row>
    <row r="86" ht="12.75" customHeight="1">
      <c r="A86" s="443" t="str">
        <f t="shared" si="4"/>
        <v>Skull Isle - Parrot</v>
      </c>
      <c r="B86" s="485" t="str">
        <f t="shared" si="5"/>
        <v>2★</v>
      </c>
      <c r="C86" s="485" t="str">
        <f>IFERROR(__xludf.DUMMYFUNCTION("""COMPUTED_VALUE"""),"CARD_07_s1")</f>
        <v>CARD_07_s1</v>
      </c>
      <c r="M86" s="480"/>
      <c r="N86" s="249"/>
      <c r="O86" s="479"/>
      <c r="Q86" s="480"/>
      <c r="R86" s="481"/>
      <c r="T86" s="492"/>
      <c r="U86" s="249"/>
      <c r="V86" s="479" t="str">
        <f>IFERROR(__xludf.DUMMYFUNCTION("if(U86="""", """", U86/sum(filter($U$3:$U$1000, $U$3:$U$1000&lt;&gt;"""")))"),"")</f>
        <v/>
      </c>
    </row>
    <row r="87" ht="12.75" customHeight="1">
      <c r="A87" s="443" t="str">
        <f t="shared" si="4"/>
        <v>Skull Isle - Chest</v>
      </c>
      <c r="B87" s="485" t="str">
        <f t="shared" si="5"/>
        <v>3★</v>
      </c>
      <c r="C87" s="485" t="str">
        <f>IFERROR(__xludf.DUMMYFUNCTION("""COMPUTED_VALUE"""),"CARD_08_s1")</f>
        <v>CARD_08_s1</v>
      </c>
      <c r="M87" s="480"/>
      <c r="N87" s="249"/>
      <c r="O87" s="479"/>
      <c r="Q87" s="480"/>
      <c r="R87" s="481"/>
      <c r="T87" s="492"/>
      <c r="U87" s="249"/>
      <c r="V87" s="479" t="str">
        <f>IFERROR(__xludf.DUMMYFUNCTION("if(U87="""", """", U87/sum(filter($U$3:$U$1000, $U$3:$U$1000&lt;&gt;"""")))"),"")</f>
        <v/>
      </c>
    </row>
    <row r="88" ht="12.75" customHeight="1">
      <c r="A88" s="443" t="str">
        <f t="shared" si="4"/>
        <v>Skull Isle - Skull</v>
      </c>
      <c r="B88" s="485" t="str">
        <f t="shared" si="5"/>
        <v>3★</v>
      </c>
      <c r="C88" s="485" t="str">
        <f>IFERROR(__xludf.DUMMYFUNCTION("""COMPUTED_VALUE"""),"CARD_09_s1")</f>
        <v>CARD_09_s1</v>
      </c>
      <c r="M88" s="480"/>
      <c r="N88" s="249"/>
      <c r="O88" s="479"/>
      <c r="Q88" s="480"/>
      <c r="R88" s="481"/>
      <c r="T88" s="492"/>
      <c r="U88" s="249"/>
      <c r="V88" s="479" t="str">
        <f>IFERROR(__xludf.DUMMYFUNCTION("if(U88="""", """", U88/sum(filter($U$3:$U$1000, $U$3:$U$1000&lt;&gt;"""")))"),"")</f>
        <v/>
      </c>
    </row>
    <row r="89" ht="12.75" customHeight="1">
      <c r="M89" s="480"/>
      <c r="N89" s="249"/>
      <c r="O89" s="479"/>
      <c r="Q89" s="480"/>
      <c r="R89" s="481"/>
      <c r="T89" s="492"/>
      <c r="U89" s="249"/>
      <c r="V89" s="479" t="str">
        <f>IFERROR(__xludf.DUMMYFUNCTION("if(U89="""", """", U89/sum(filter($U$3:$U$1000, $U$3:$U$1000&lt;&gt;"""")))"),"")</f>
        <v/>
      </c>
    </row>
    <row r="90" ht="12.75" customHeight="1">
      <c r="A90" s="437" t="s">
        <v>767</v>
      </c>
      <c r="M90" s="480"/>
      <c r="N90" s="249"/>
      <c r="O90" s="479"/>
      <c r="Q90" s="480"/>
      <c r="R90" s="481"/>
      <c r="T90" s="492"/>
      <c r="U90" s="249"/>
      <c r="V90" s="479" t="str">
        <f>IFERROR(__xludf.DUMMYFUNCTION("if(U90="""", """", U90/sum(filter($U$3:$U$1000, $U$3:$U$1000&lt;&gt;"""")))"),"")</f>
        <v/>
      </c>
    </row>
    <row r="91" ht="12.75" customHeight="1">
      <c r="A91" s="440" t="s">
        <v>523</v>
      </c>
      <c r="B91" s="441" t="s">
        <v>499</v>
      </c>
      <c r="C91" s="441" t="s">
        <v>522</v>
      </c>
      <c r="M91" s="480"/>
      <c r="N91" s="249"/>
      <c r="O91" s="479"/>
      <c r="Q91" s="480"/>
      <c r="R91" s="481"/>
      <c r="T91" s="492"/>
      <c r="U91" s="249"/>
      <c r="V91" s="479" t="str">
        <f>IFERROR(__xludf.DUMMYFUNCTION("if(U91="""", """", U91/sum(filter($U$3:$U$1000, $U$3:$U$1000&lt;&gt;"""")))"),"")</f>
        <v/>
      </c>
    </row>
    <row r="92" ht="12.75" customHeight="1">
      <c r="A92" s="443" t="str">
        <f t="shared" ref="A92:A100" si="6">index($B$3:$B$74, match(C92, $A$3:$A$74, 0),0)</f>
        <v>Kraken Lair - Tentacle</v>
      </c>
      <c r="B92" s="485" t="str">
        <f t="shared" ref="B92:B100" si="7">index($E$3:$E$74, match(C92, $A$3:$A$74, 0),0)</f>
        <v>1★</v>
      </c>
      <c r="C92" s="485" t="str">
        <f>IFERROR(__xludf.DUMMYFUNCTION("filter($A$3:$A$74, $D$3:$D$74=LEFT(A$90, len(A$90)-8))"),"CARD_10_s2")</f>
        <v>CARD_10_s2</v>
      </c>
      <c r="M92" s="480"/>
      <c r="N92" s="249"/>
      <c r="O92" s="479"/>
      <c r="Q92" s="480"/>
      <c r="R92" s="481"/>
      <c r="T92" s="492"/>
      <c r="U92" s="249"/>
      <c r="V92" s="479" t="str">
        <f>IFERROR(__xludf.DUMMYFUNCTION("if(U92="""", """", U92/sum(filter($U$3:$U$1000, $U$3:$U$1000&lt;&gt;"""")))"),"")</f>
        <v/>
      </c>
    </row>
    <row r="93" ht="12.75" customHeight="1">
      <c r="A93" s="443" t="str">
        <f t="shared" si="6"/>
        <v>Kraken Lair - Ink Cloud</v>
      </c>
      <c r="B93" s="485" t="str">
        <f t="shared" si="7"/>
        <v>1★</v>
      </c>
      <c r="C93" s="485" t="str">
        <f>IFERROR(__xludf.DUMMYFUNCTION("""COMPUTED_VALUE"""),"CARD_11_s2")</f>
        <v>CARD_11_s2</v>
      </c>
      <c r="M93" s="480"/>
      <c r="N93" s="249"/>
      <c r="O93" s="479"/>
      <c r="Q93" s="480"/>
      <c r="R93" s="481"/>
      <c r="T93" s="492"/>
      <c r="U93" s="249"/>
      <c r="V93" s="479" t="str">
        <f>IFERROR(__xludf.DUMMYFUNCTION("if(U93="""", """", U93/sum(filter($U$3:$U$1000, $U$3:$U$1000&lt;&gt;"""")))"),"")</f>
        <v/>
      </c>
    </row>
    <row r="94" ht="12.75" customHeight="1">
      <c r="A94" s="443" t="str">
        <f t="shared" si="6"/>
        <v>Kraken Lair - Pearl</v>
      </c>
      <c r="B94" s="485" t="str">
        <f t="shared" si="7"/>
        <v>1★</v>
      </c>
      <c r="C94" s="485" t="str">
        <f>IFERROR(__xludf.DUMMYFUNCTION("""COMPUTED_VALUE"""),"CARD_12_s2")</f>
        <v>CARD_12_s2</v>
      </c>
      <c r="M94" s="480"/>
      <c r="N94" s="249"/>
      <c r="O94" s="479"/>
      <c r="Q94" s="480"/>
      <c r="R94" s="481"/>
      <c r="T94" s="492"/>
      <c r="U94" s="249"/>
      <c r="V94" s="479" t="str">
        <f>IFERROR(__xludf.DUMMYFUNCTION("if(U94="""", """", U94/sum(filter($U$3:$U$1000, $U$3:$U$1000&lt;&gt;"""")))"),"")</f>
        <v/>
      </c>
    </row>
    <row r="95" ht="12.75" customHeight="1">
      <c r="A95" s="443" t="str">
        <f t="shared" si="6"/>
        <v>Kraken Lair - Trident</v>
      </c>
      <c r="B95" s="485" t="str">
        <f t="shared" si="7"/>
        <v>1★</v>
      </c>
      <c r="C95" s="485" t="str">
        <f>IFERROR(__xludf.DUMMYFUNCTION("""COMPUTED_VALUE"""),"CARD_13_s2")</f>
        <v>CARD_13_s2</v>
      </c>
      <c r="M95" s="480"/>
      <c r="N95" s="249"/>
      <c r="O95" s="479"/>
      <c r="Q95" s="480"/>
      <c r="R95" s="481"/>
      <c r="T95" s="492"/>
      <c r="U95" s="249"/>
      <c r="V95" s="479" t="str">
        <f>IFERROR(__xludf.DUMMYFUNCTION("if(U95="""", """", U95/sum(filter($U$3:$U$1000, $U$3:$U$1000&lt;&gt;"""")))"),"")</f>
        <v/>
      </c>
    </row>
    <row r="96" ht="12.75" customHeight="1">
      <c r="A96" s="443" t="str">
        <f t="shared" si="6"/>
        <v>Kraken Lair - Shell</v>
      </c>
      <c r="B96" s="485" t="str">
        <f t="shared" si="7"/>
        <v>2★</v>
      </c>
      <c r="C96" s="485" t="str">
        <f>IFERROR(__xludf.DUMMYFUNCTION("""COMPUTED_VALUE"""),"CARD_14_s2")</f>
        <v>CARD_14_s2</v>
      </c>
      <c r="M96" s="480"/>
      <c r="N96" s="249"/>
      <c r="O96" s="479"/>
      <c r="Q96" s="480"/>
      <c r="R96" s="481"/>
      <c r="T96" s="492"/>
      <c r="U96" s="249"/>
      <c r="V96" s="479" t="str">
        <f>IFERROR(__xludf.DUMMYFUNCTION("if(U96="""", """", U96/sum(filter($U$3:$U$1000, $U$3:$U$1000&lt;&gt;"""")))"),"")</f>
        <v/>
      </c>
    </row>
    <row r="97" ht="12.75" customHeight="1">
      <c r="A97" s="443" t="str">
        <f t="shared" si="6"/>
        <v>Kraken Lair - Coral</v>
      </c>
      <c r="B97" s="485" t="str">
        <f t="shared" si="7"/>
        <v>2★</v>
      </c>
      <c r="C97" s="485" t="str">
        <f>IFERROR(__xludf.DUMMYFUNCTION("""COMPUTED_VALUE"""),"CARD_15_s2")</f>
        <v>CARD_15_s2</v>
      </c>
      <c r="M97" s="480"/>
      <c r="N97" s="249"/>
      <c r="O97" s="479"/>
      <c r="Q97" s="480"/>
      <c r="R97" s="481"/>
      <c r="T97" s="492"/>
      <c r="U97" s="249"/>
      <c r="V97" s="479" t="str">
        <f>IFERROR(__xludf.DUMMYFUNCTION("if(U97="""", """", U97/sum(filter($U$3:$U$1000, $U$3:$U$1000&lt;&gt;"""")))"),"")</f>
        <v/>
      </c>
    </row>
    <row r="98" ht="12.75" customHeight="1">
      <c r="A98" s="443" t="str">
        <f t="shared" si="6"/>
        <v>Kraken Lair - Lantern</v>
      </c>
      <c r="B98" s="485" t="str">
        <f t="shared" si="7"/>
        <v>3★</v>
      </c>
      <c r="C98" s="485" t="str">
        <f>IFERROR(__xludf.DUMMYFUNCTION("""COMPUTED_VALUE"""),"CARD_16_s2")</f>
        <v>CARD_16_s2</v>
      </c>
      <c r="M98" s="480"/>
      <c r="N98" s="249"/>
      <c r="O98" s="479"/>
      <c r="Q98" s="480"/>
      <c r="R98" s="481"/>
      <c r="T98" s="492"/>
      <c r="U98" s="249"/>
      <c r="V98" s="479" t="str">
        <f>IFERROR(__xludf.DUMMYFUNCTION("if(U98="""", """", U98/sum(filter($U$3:$U$1000, $U$3:$U$1000&lt;&gt;"""")))"),"")</f>
        <v/>
      </c>
    </row>
    <row r="99" ht="12.75" customHeight="1">
      <c r="A99" s="443" t="str">
        <f t="shared" si="6"/>
        <v>Kraken Lair - Hook</v>
      </c>
      <c r="B99" s="485" t="str">
        <f t="shared" si="7"/>
        <v>3★</v>
      </c>
      <c r="C99" s="485" t="str">
        <f>IFERROR(__xludf.DUMMYFUNCTION("""COMPUTED_VALUE"""),"CARD_17_s2")</f>
        <v>CARD_17_s2</v>
      </c>
      <c r="M99" s="480"/>
      <c r="N99" s="249"/>
      <c r="O99" s="479"/>
      <c r="Q99" s="480"/>
      <c r="R99" s="481"/>
      <c r="T99" s="492"/>
      <c r="U99" s="249"/>
      <c r="V99" s="479" t="str">
        <f>IFERROR(__xludf.DUMMYFUNCTION("if(U99="""", """", U99/sum(filter($U$3:$U$1000, $U$3:$U$1000&lt;&gt;"""")))"),"")</f>
        <v/>
      </c>
    </row>
    <row r="100" ht="12.75" customHeight="1">
      <c r="A100" s="443" t="str">
        <f t="shared" si="6"/>
        <v>Kraken Lair - Eyepatch</v>
      </c>
      <c r="B100" s="485" t="str">
        <f t="shared" si="7"/>
        <v>4★</v>
      </c>
      <c r="C100" s="485" t="str">
        <f>IFERROR(__xludf.DUMMYFUNCTION("""COMPUTED_VALUE"""),"CARD_18_s2")</f>
        <v>CARD_18_s2</v>
      </c>
      <c r="M100" s="480"/>
      <c r="N100" s="249"/>
      <c r="O100" s="479"/>
      <c r="Q100" s="480"/>
      <c r="R100" s="481"/>
      <c r="T100" s="492"/>
      <c r="U100" s="249"/>
      <c r="V100" s="479" t="str">
        <f>IFERROR(__xludf.DUMMYFUNCTION("if(U100="""", """", U100/sum(filter($U$3:$U$1000, $U$3:$U$1000&lt;&gt;"""")))"),"")</f>
        <v/>
      </c>
    </row>
    <row r="101" ht="12.75" customHeight="1">
      <c r="M101" s="480"/>
      <c r="N101" s="249"/>
      <c r="O101" s="479"/>
      <c r="Q101" s="480"/>
      <c r="R101" s="481"/>
      <c r="T101" s="492"/>
      <c r="U101" s="249"/>
      <c r="V101" s="479" t="str">
        <f>IFERROR(__xludf.DUMMYFUNCTION("if(U101="""", """", U101/sum(filter($U$3:$U$1000, $U$3:$U$1000&lt;&gt;"""")))"),"")</f>
        <v/>
      </c>
    </row>
    <row r="102" ht="12.75" customHeight="1">
      <c r="A102" s="437" t="s">
        <v>783</v>
      </c>
      <c r="M102" s="480"/>
      <c r="N102" s="249"/>
      <c r="O102" s="479"/>
      <c r="Q102" s="480"/>
      <c r="R102" s="481"/>
      <c r="T102" s="492"/>
      <c r="U102" s="249"/>
      <c r="V102" s="479" t="str">
        <f>IFERROR(__xludf.DUMMYFUNCTION("if(U102="""", """", U102/sum(filter($U$3:$U$1000, $U$3:$U$1000&lt;&gt;"""")))"),"")</f>
        <v/>
      </c>
    </row>
    <row r="103" ht="12.75" customHeight="1">
      <c r="A103" s="440" t="s">
        <v>523</v>
      </c>
      <c r="B103" s="441" t="s">
        <v>499</v>
      </c>
      <c r="C103" s="441" t="s">
        <v>522</v>
      </c>
      <c r="M103" s="480"/>
      <c r="N103" s="249"/>
      <c r="O103" s="479"/>
      <c r="Q103" s="480"/>
      <c r="R103" s="481"/>
      <c r="T103" s="492"/>
      <c r="U103" s="249"/>
      <c r="V103" s="479" t="str">
        <f>IFERROR(__xludf.DUMMYFUNCTION("if(U103="""", """", U103/sum(filter($U$3:$U$1000, $U$3:$U$1000&lt;&gt;"""")))"),"")</f>
        <v/>
      </c>
    </row>
    <row r="104" ht="12.75" customHeight="1">
      <c r="A104" s="443" t="str">
        <f t="shared" ref="A104:A112" si="8">index($B$3:$B$74, match(C104, $A$3:$A$74, 0),0)</f>
        <v>Gold Cove - Doubloon</v>
      </c>
      <c r="B104" s="485" t="str">
        <f t="shared" ref="B104:B112" si="9">index($E$3:$E$74, match(C104, $A$3:$A$74, 0),0)</f>
        <v>1★</v>
      </c>
      <c r="C104" s="485" t="str">
        <f>IFERROR(__xludf.DUMMYFUNCTION("filter($A$3:$A$74, $D$3:$D$74=LEFT(A$102, len(A$102)-8))"),"CARD_19_s3")</f>
        <v>CARD_19_s3</v>
      </c>
      <c r="M104" s="480"/>
      <c r="N104" s="249"/>
      <c r="O104" s="479"/>
      <c r="Q104" s="480"/>
      <c r="R104" s="481"/>
      <c r="T104" s="492"/>
      <c r="U104" s="249"/>
      <c r="V104" s="479" t="str">
        <f>IFERROR(__xludf.DUMMYFUNCTION("if(U104="""", """", U104/sum(filter($U$3:$U$1000, $U$3:$U$1000&lt;&gt;"""")))"),"")</f>
        <v/>
      </c>
    </row>
    <row r="105" ht="12.75" customHeight="1">
      <c r="A105" s="443" t="str">
        <f t="shared" si="8"/>
        <v>Gold Cove - Ruby</v>
      </c>
      <c r="B105" s="485" t="str">
        <f t="shared" si="9"/>
        <v>1★</v>
      </c>
      <c r="C105" s="485" t="str">
        <f>IFERROR(__xludf.DUMMYFUNCTION("""COMPUTED_VALUE"""),"CARD_20_s3")</f>
        <v>CARD_20_s3</v>
      </c>
      <c r="M105" s="480"/>
      <c r="N105" s="249"/>
      <c r="O105" s="479"/>
      <c r="Q105" s="480"/>
      <c r="R105" s="481"/>
      <c r="T105" s="492"/>
      <c r="U105" s="249"/>
      <c r="V105" s="479" t="str">
        <f>IFERROR(__xludf.DUMMYFUNCTION("if(U105="""", """", U105/sum(filter($U$3:$U$1000, $U$3:$U$1000&lt;&gt;"""")))"),"")</f>
        <v/>
      </c>
    </row>
    <row r="106" ht="12.75" customHeight="1">
      <c r="A106" s="443" t="str">
        <f t="shared" si="8"/>
        <v>Gold Cove - Emerald</v>
      </c>
      <c r="B106" s="485" t="str">
        <f t="shared" si="9"/>
        <v>1★</v>
      </c>
      <c r="C106" s="485" t="str">
        <f>IFERROR(__xludf.DUMMYFUNCTION("""COMPUTED_VALUE"""),"CARD_21_s3")</f>
        <v>CARD_21_s3</v>
      </c>
      <c r="M106" s="480"/>
      <c r="N106" s="249"/>
      <c r="O106" s="479"/>
      <c r="Q106" s="480"/>
      <c r="R106" s="481"/>
      <c r="T106" s="492"/>
      <c r="U106" s="249"/>
      <c r="V106" s="479" t="str">
        <f>IFERROR(__xludf.DUMMYFUNCTION("if(U106="""", """", U106/sum(filter($U$3:$U$1000, $U$3:$U$1000&lt;&gt;"""")))"),"")</f>
        <v/>
      </c>
    </row>
    <row r="107" ht="12.75" customHeight="1">
      <c r="A107" s="443" t="str">
        <f t="shared" si="8"/>
        <v>Gold Cove - Diamond</v>
      </c>
      <c r="B107" s="485" t="str">
        <f t="shared" si="9"/>
        <v>2★</v>
      </c>
      <c r="C107" s="485" t="str">
        <f>IFERROR(__xludf.DUMMYFUNCTION("""COMPUTED_VALUE"""),"CARD_22_s3")</f>
        <v>CARD_22_s3</v>
      </c>
      <c r="M107" s="480"/>
      <c r="N107" s="249"/>
      <c r="O107" s="479"/>
      <c r="Q107" s="480"/>
      <c r="R107" s="481"/>
      <c r="T107" s="492"/>
      <c r="U107" s="249"/>
      <c r="V107" s="479" t="str">
        <f>IFERROR(__xludf.DUMMYFUNCTION("if(U107="""", """", U107/sum(filter($U$3:$U$1000, $U$3:$U$1000&lt;&gt;"""")))"),"")</f>
        <v/>
      </c>
    </row>
    <row r="108" ht="12.75" customHeight="1">
      <c r="A108" s="443" t="str">
        <f t="shared" si="8"/>
        <v>Gold Cove - Crown</v>
      </c>
      <c r="B108" s="485" t="str">
        <f t="shared" si="9"/>
        <v>2★</v>
      </c>
      <c r="C108" s="485" t="str">
        <f>IFERROR(__xludf.DUMMYFUNCTION("""COMPUTED_VALUE"""),"CARD_23_s3")</f>
        <v>CARD_23_s3</v>
      </c>
      <c r="M108" s="480"/>
      <c r="N108" s="249"/>
      <c r="O108" s="479"/>
      <c r="Q108" s="480"/>
      <c r="R108" s="481"/>
      <c r="T108" s="492"/>
      <c r="U108" s="249"/>
      <c r="V108" s="479" t="str">
        <f>IFERROR(__xludf.DUMMYFUNCTION("if(U108="""", """", U108/sum(filter($U$3:$U$1000, $U$3:$U$1000&lt;&gt;"""")))"),"")</f>
        <v/>
      </c>
    </row>
    <row r="109" ht="12.75" customHeight="1">
      <c r="A109" s="443" t="str">
        <f t="shared" si="8"/>
        <v>Gold Cove - Goblet</v>
      </c>
      <c r="B109" s="485" t="str">
        <f t="shared" si="9"/>
        <v>3★</v>
      </c>
      <c r="C109" s="485" t="str">
        <f>IFERROR(__xludf.DUMMYFUNCTION("""COMPUTED_VALUE"""),"CARD_24_s3")</f>
        <v>CARD_24_s3</v>
      </c>
      <c r="M109" s="480"/>
      <c r="N109" s="249"/>
      <c r="O109" s="479"/>
      <c r="Q109" s="480"/>
      <c r="R109" s="481"/>
      <c r="T109" s="492"/>
      <c r="U109" s="249"/>
      <c r="V109" s="479" t="str">
        <f>IFERROR(__xludf.DUMMYFUNCTION("if(U109="""", """", U109/sum(filter($U$3:$U$1000, $U$3:$U$1000&lt;&gt;"""")))"),"")</f>
        <v/>
      </c>
    </row>
    <row r="110" ht="12.75" customHeight="1">
      <c r="A110" s="443" t="str">
        <f t="shared" si="8"/>
        <v>Gold Cove - Necklace</v>
      </c>
      <c r="B110" s="485" t="str">
        <f t="shared" si="9"/>
        <v>4★</v>
      </c>
      <c r="C110" s="485" t="str">
        <f>IFERROR(__xludf.DUMMYFUNCTION("""COMPUTED_VALUE"""),"CARD_25_s3")</f>
        <v>CARD_25_s3</v>
      </c>
      <c r="M110" s="480"/>
      <c r="N110" s="249"/>
      <c r="O110" s="479"/>
      <c r="Q110" s="480"/>
      <c r="R110" s="481"/>
      <c r="T110" s="492"/>
      <c r="U110" s="249"/>
      <c r="V110" s="479" t="str">
        <f>IFERROR(__xludf.DUMMYFUNCTION("if(U110="""", """", U110/sum(filter($U$3:$U$1000, $U$3:$U$1000&lt;&gt;"""")))"),"")</f>
        <v/>
      </c>
    </row>
    <row r="111" ht="12.75" customHeight="1">
      <c r="A111" s="443" t="str">
        <f t="shared" si="8"/>
        <v>Gold Cove - Ring</v>
      </c>
      <c r="B111" s="485" t="str">
        <f t="shared" si="9"/>
        <v>4★</v>
      </c>
      <c r="C111" s="485" t="str">
        <f>IFERROR(__xludf.DUMMYFUNCTION("""COMPUTED_VALUE"""),"CARD_26_s3")</f>
        <v>CARD_26_s3</v>
      </c>
      <c r="M111" s="480"/>
      <c r="N111" s="249"/>
      <c r="O111" s="479"/>
      <c r="Q111" s="480"/>
      <c r="R111" s="481"/>
      <c r="T111" s="492"/>
      <c r="U111" s="249"/>
      <c r="V111" s="479" t="str">
        <f>IFERROR(__xludf.DUMMYFUNCTION("if(U111="""", """", U111/sum(filter($U$3:$U$1000, $U$3:$U$1000&lt;&gt;"""")))"),"")</f>
        <v/>
      </c>
    </row>
    <row r="112" ht="12.75" customHeight="1">
      <c r="A112" s="443" t="str">
        <f t="shared" si="8"/>
        <v>Gold Cove - Scepter</v>
      </c>
      <c r="B112" s="485" t="str">
        <f t="shared" si="9"/>
        <v>5★</v>
      </c>
      <c r="C112" s="485" t="str">
        <f>IFERROR(__xludf.DUMMYFUNCTION("""COMPUTED_VALUE"""),"CARD_27_s3")</f>
        <v>CARD_27_s3</v>
      </c>
      <c r="M112" s="480"/>
      <c r="N112" s="249"/>
      <c r="O112" s="479"/>
      <c r="Q112" s="480"/>
      <c r="R112" s="481"/>
      <c r="T112" s="492"/>
      <c r="U112" s="249"/>
      <c r="V112" s="479" t="str">
        <f>IFERROR(__xludf.DUMMYFUNCTION("if(U112="""", """", U112/sum(filter($U$3:$U$1000, $U$3:$U$1000&lt;&gt;"""")))"),"")</f>
        <v/>
      </c>
    </row>
    <row r="113" ht="12.75" customHeight="1">
      <c r="M113" s="480"/>
      <c r="N113" s="249"/>
      <c r="O113" s="479"/>
      <c r="Q113" s="480"/>
      <c r="R113" s="481"/>
      <c r="T113" s="492"/>
      <c r="U113" s="249"/>
      <c r="V113" s="479" t="str">
        <f>IFERROR(__xludf.DUMMYFUNCTION("if(U113="""", """", U113/sum(filter($U$3:$U$1000, $U$3:$U$1000&lt;&gt;"""")))"),"")</f>
        <v/>
      </c>
    </row>
    <row r="114" ht="12.75" customHeight="1">
      <c r="A114" s="437" t="s">
        <v>793</v>
      </c>
      <c r="M114" s="480"/>
      <c r="N114" s="249"/>
      <c r="O114" s="479"/>
      <c r="Q114" s="480"/>
      <c r="R114" s="481"/>
      <c r="T114" s="492"/>
      <c r="U114" s="249"/>
      <c r="V114" s="479" t="str">
        <f>IFERROR(__xludf.DUMMYFUNCTION("if(U114="""", """", U114/sum(filter($U$3:$U$1000, $U$3:$U$1000&lt;&gt;"""")))"),"")</f>
        <v/>
      </c>
    </row>
    <row r="115" ht="12.75" customHeight="1">
      <c r="A115" s="440" t="s">
        <v>523</v>
      </c>
      <c r="B115" s="441" t="s">
        <v>499</v>
      </c>
      <c r="C115" s="441" t="s">
        <v>522</v>
      </c>
      <c r="M115" s="480"/>
      <c r="N115" s="249"/>
      <c r="O115" s="479"/>
      <c r="Q115" s="480"/>
      <c r="R115" s="481"/>
      <c r="T115" s="492"/>
      <c r="U115" s="249"/>
      <c r="V115" s="479" t="str">
        <f>IFERROR(__xludf.DUMMYFUNCTION("if(U115="""", """", U115/sum(filter($U$3:$U$1000, $U$3:$U$1000&lt;&gt;"""")))"),"")</f>
        <v/>
      </c>
    </row>
    <row r="116" ht="12.75" customHeight="1">
      <c r="A116" s="443" t="str">
        <f t="shared" ref="A116:A124" si="10">index($B$3:$B$74, match(C116, $A$3:$A$74, 0),0)</f>
        <v>Ghost Ship - Fog Horn</v>
      </c>
      <c r="B116" s="485" t="str">
        <f t="shared" ref="B116:B124" si="11">index($E$3:$E$74, match(C116, $A$3:$A$74, 0),0)</f>
        <v>1★</v>
      </c>
      <c r="C116" s="485" t="str">
        <f>IFERROR(__xludf.DUMMYFUNCTION("filter($A$3:$A$74, $D$3:$D$74=LEFT(A$114, len(A$114)-8))"),"CARD_28_s4")</f>
        <v>CARD_28_s4</v>
      </c>
      <c r="M116" s="480"/>
      <c r="N116" s="249"/>
      <c r="O116" s="479"/>
      <c r="Q116" s="480"/>
      <c r="R116" s="481"/>
      <c r="T116" s="492"/>
      <c r="U116" s="249"/>
      <c r="V116" s="479" t="str">
        <f>IFERROR(__xludf.DUMMYFUNCTION("if(U116="""", """", U116/sum(filter($U$3:$U$1000, $U$3:$U$1000&lt;&gt;"""")))"),"")</f>
        <v/>
      </c>
    </row>
    <row r="117" ht="12.75" customHeight="1">
      <c r="A117" s="443" t="str">
        <f t="shared" si="10"/>
        <v>Ghost Ship - Sail</v>
      </c>
      <c r="B117" s="485" t="str">
        <f t="shared" si="11"/>
        <v>1★</v>
      </c>
      <c r="C117" s="485" t="str">
        <f>IFERROR(__xludf.DUMMYFUNCTION("""COMPUTED_VALUE"""),"CARD_29_s4")</f>
        <v>CARD_29_s4</v>
      </c>
      <c r="M117" s="480"/>
      <c r="N117" s="249"/>
      <c r="O117" s="479"/>
      <c r="Q117" s="480"/>
      <c r="R117" s="481"/>
      <c r="T117" s="492"/>
      <c r="U117" s="249"/>
      <c r="V117" s="479" t="str">
        <f>IFERROR(__xludf.DUMMYFUNCTION("if(U117="""", """", U117/sum(filter($U$3:$U$1000, $U$3:$U$1000&lt;&gt;"""")))"),"")</f>
        <v/>
      </c>
    </row>
    <row r="118" ht="12.75" customHeight="1">
      <c r="A118" s="443" t="str">
        <f t="shared" si="10"/>
        <v>Ghost Ship - Ghost Lamp</v>
      </c>
      <c r="B118" s="485" t="str">
        <f t="shared" si="11"/>
        <v>2★</v>
      </c>
      <c r="C118" s="485" t="str">
        <f>IFERROR(__xludf.DUMMYFUNCTION("""COMPUTED_VALUE"""),"CARD_30_s4")</f>
        <v>CARD_30_s4</v>
      </c>
      <c r="M118" s="480"/>
      <c r="N118" s="249"/>
      <c r="O118" s="479"/>
      <c r="Q118" s="480"/>
      <c r="R118" s="481"/>
      <c r="T118" s="492"/>
      <c r="U118" s="249"/>
      <c r="V118" s="479" t="str">
        <f>IFERROR(__xludf.DUMMYFUNCTION("if(U118="""", """", U118/sum(filter($U$3:$U$1000, $U$3:$U$1000&lt;&gt;"""")))"),"")</f>
        <v/>
      </c>
    </row>
    <row r="119" ht="12.75" customHeight="1">
      <c r="A119" s="443" t="str">
        <f t="shared" si="10"/>
        <v>Ghost Ship - Key</v>
      </c>
      <c r="B119" s="485" t="str">
        <f t="shared" si="11"/>
        <v>2★</v>
      </c>
      <c r="C119" s="485" t="str">
        <f>IFERROR(__xludf.DUMMYFUNCTION("""COMPUTED_VALUE"""),"CARD_31_s4")</f>
        <v>CARD_31_s4</v>
      </c>
      <c r="M119" s="480"/>
      <c r="N119" s="249"/>
      <c r="O119" s="479"/>
      <c r="Q119" s="480"/>
      <c r="R119" s="481"/>
      <c r="T119" s="492"/>
      <c r="U119" s="249"/>
      <c r="V119" s="479" t="str">
        <f>IFERROR(__xludf.DUMMYFUNCTION("if(U119="""", """", U119/sum(filter($U$3:$U$1000, $U$3:$U$1000&lt;&gt;"""")))"),"")</f>
        <v/>
      </c>
    </row>
    <row r="120" ht="12.75" customHeight="1">
      <c r="A120" s="443" t="str">
        <f t="shared" si="10"/>
        <v>Ghost Ship - Plank</v>
      </c>
      <c r="B120" s="485" t="str">
        <f t="shared" si="11"/>
        <v>3★</v>
      </c>
      <c r="C120" s="485" t="str">
        <f>IFERROR(__xludf.DUMMYFUNCTION("""COMPUTED_VALUE"""),"CARD_32_s4")</f>
        <v>CARD_32_s4</v>
      </c>
      <c r="M120" s="480"/>
      <c r="N120" s="249"/>
      <c r="O120" s="479"/>
      <c r="Q120" s="480"/>
      <c r="R120" s="481"/>
      <c r="T120" s="492"/>
      <c r="U120" s="249"/>
      <c r="V120" s="479" t="str">
        <f>IFERROR(__xludf.DUMMYFUNCTION("if(U120="""", """", U120/sum(filter($U$3:$U$1000, $U$3:$U$1000&lt;&gt;"""")))"),"")</f>
        <v/>
      </c>
    </row>
    <row r="121" ht="12.75" customHeight="1">
      <c r="A121" s="443" t="str">
        <f t="shared" si="10"/>
        <v>Ghost Ship - Nest</v>
      </c>
      <c r="B121" s="485" t="str">
        <f t="shared" si="11"/>
        <v>3★</v>
      </c>
      <c r="C121" s="485" t="str">
        <f>IFERROR(__xludf.DUMMYFUNCTION("""COMPUTED_VALUE"""),"CARD_33_s4")</f>
        <v>CARD_33_s4</v>
      </c>
      <c r="M121" s="480"/>
      <c r="N121" s="249"/>
      <c r="O121" s="479"/>
      <c r="Q121" s="480"/>
      <c r="R121" s="481"/>
      <c r="T121" s="492"/>
      <c r="U121" s="249"/>
      <c r="V121" s="479" t="str">
        <f>IFERROR(__xludf.DUMMYFUNCTION("if(U121="""", """", U121/sum(filter($U$3:$U$1000, $U$3:$U$1000&lt;&gt;"""")))"),"")</f>
        <v/>
      </c>
    </row>
    <row r="122" ht="12.75" customHeight="1">
      <c r="A122" s="443" t="str">
        <f t="shared" si="10"/>
        <v>Ghost Ship - Flag</v>
      </c>
      <c r="B122" s="485" t="str">
        <f t="shared" si="11"/>
        <v>4★</v>
      </c>
      <c r="C122" s="485" t="str">
        <f>IFERROR(__xludf.DUMMYFUNCTION("""COMPUTED_VALUE"""),"CARD_34_s4")</f>
        <v>CARD_34_s4</v>
      </c>
      <c r="M122" s="480"/>
      <c r="N122" s="249"/>
      <c r="O122" s="479"/>
      <c r="Q122" s="480"/>
      <c r="R122" s="481"/>
      <c r="T122" s="492"/>
      <c r="U122" s="249"/>
      <c r="V122" s="479" t="str">
        <f>IFERROR(__xludf.DUMMYFUNCTION("if(U122="""", """", U122/sum(filter($U$3:$U$1000, $U$3:$U$1000&lt;&gt;"""")))"),"")</f>
        <v/>
      </c>
    </row>
    <row r="123" ht="12.75" customHeight="1">
      <c r="A123" s="443" t="str">
        <f t="shared" si="10"/>
        <v>Ghost Ship - Chain</v>
      </c>
      <c r="B123" s="485" t="str">
        <f t="shared" si="11"/>
        <v>4★</v>
      </c>
      <c r="C123" s="485" t="str">
        <f>IFERROR(__xludf.DUMMYFUNCTION("""COMPUTED_VALUE"""),"CARD_35_s4")</f>
        <v>CARD_35_s4</v>
      </c>
      <c r="M123" s="480"/>
      <c r="N123" s="249"/>
      <c r="O123" s="479"/>
      <c r="Q123" s="480"/>
      <c r="R123" s="481"/>
      <c r="T123" s="492"/>
      <c r="U123" s="249"/>
      <c r="V123" s="479" t="str">
        <f>IFERROR(__xludf.DUMMYFUNCTION("if(U123="""", """", U123/sum(filter($U$3:$U$1000, $U$3:$U$1000&lt;&gt;"""")))"),"")</f>
        <v/>
      </c>
    </row>
    <row r="124" ht="12.75" customHeight="1">
      <c r="A124" s="443" t="str">
        <f t="shared" si="10"/>
        <v>Ghost Ship - Log</v>
      </c>
      <c r="B124" s="485" t="str">
        <f t="shared" si="11"/>
        <v>5★</v>
      </c>
      <c r="C124" s="485" t="str">
        <f>IFERROR(__xludf.DUMMYFUNCTION("""COMPUTED_VALUE"""),"CARD_36_s4")</f>
        <v>CARD_36_s4</v>
      </c>
      <c r="M124" s="480"/>
      <c r="N124" s="249"/>
      <c r="O124" s="479"/>
      <c r="Q124" s="480"/>
      <c r="R124" s="481"/>
      <c r="T124" s="492"/>
      <c r="U124" s="249"/>
      <c r="V124" s="479" t="str">
        <f>IFERROR(__xludf.DUMMYFUNCTION("if(U124="""", """", U124/sum(filter($U$3:$U$1000, $U$3:$U$1000&lt;&gt;"""")))"),"")</f>
        <v/>
      </c>
    </row>
    <row r="125" ht="12.75" customHeight="1">
      <c r="M125" s="480"/>
      <c r="N125" s="249"/>
      <c r="O125" s="479"/>
      <c r="Q125" s="480"/>
      <c r="R125" s="481"/>
      <c r="T125" s="492"/>
      <c r="U125" s="249"/>
      <c r="V125" s="479" t="str">
        <f>IFERROR(__xludf.DUMMYFUNCTION("if(U125="""", """", U125/sum(filter($U$3:$U$1000, $U$3:$U$1000&lt;&gt;"""")))"),"")</f>
        <v/>
      </c>
    </row>
    <row r="126" ht="12.75" customHeight="1">
      <c r="A126" s="437" t="s">
        <v>823</v>
      </c>
      <c r="M126" s="480"/>
      <c r="N126" s="249"/>
      <c r="O126" s="479"/>
      <c r="Q126" s="480"/>
      <c r="R126" s="481"/>
      <c r="T126" s="492"/>
      <c r="U126" s="249"/>
      <c r="V126" s="479" t="str">
        <f>IFERROR(__xludf.DUMMYFUNCTION("if(U126="""", """", U126/sum(filter($U$3:$U$1000, $U$3:$U$1000&lt;&gt;"""")))"),"")</f>
        <v/>
      </c>
    </row>
    <row r="127" ht="12.75" customHeight="1">
      <c r="A127" s="440" t="s">
        <v>523</v>
      </c>
      <c r="B127" s="441" t="s">
        <v>499</v>
      </c>
      <c r="C127" s="441" t="s">
        <v>522</v>
      </c>
      <c r="M127" s="480"/>
      <c r="N127" s="249"/>
      <c r="O127" s="479"/>
      <c r="Q127" s="480"/>
      <c r="R127" s="481"/>
      <c r="T127" s="492"/>
      <c r="U127" s="249"/>
      <c r="V127" s="479" t="str">
        <f>IFERROR(__xludf.DUMMYFUNCTION("if(U127="""", """", U127/sum(filter($U$3:$U$1000, $U$3:$U$1000&lt;&gt;"""")))"),"")</f>
        <v/>
      </c>
    </row>
    <row r="128" ht="12.75" customHeight="1">
      <c r="A128" s="443" t="str">
        <f t="shared" ref="A128:A136" si="12">index($B$3:$B$74, match(C128, $A$3:$A$74, 0),0)</f>
        <v>Storm Port - Lightning</v>
      </c>
      <c r="B128" s="485" t="str">
        <f t="shared" ref="B128:B136" si="13">index($E$3:$E$74, match(C128, $A$3:$A$74, 0),0)</f>
        <v>1★</v>
      </c>
      <c r="C128" s="485" t="str">
        <f>IFERROR(__xludf.DUMMYFUNCTION("filter($A$3:$A$74, $D$3:$D$74=LEFT(A$126, len(A$126)-8))"),"CARD_37_s5")</f>
        <v>CARD_37_s5</v>
      </c>
      <c r="M128" s="480"/>
      <c r="N128" s="249"/>
      <c r="O128" s="479"/>
      <c r="Q128" s="480"/>
      <c r="R128" s="481"/>
      <c r="T128" s="492"/>
      <c r="U128" s="249"/>
      <c r="V128" s="479" t="str">
        <f>IFERROR(__xludf.DUMMYFUNCTION("if(U128="""", """", U128/sum(filter($U$3:$U$1000, $U$3:$U$1000&lt;&gt;"""")))"),"")</f>
        <v/>
      </c>
    </row>
    <row r="129" ht="12.75" customHeight="1">
      <c r="A129" s="443" t="str">
        <f t="shared" si="12"/>
        <v>Storm Port - Barrel</v>
      </c>
      <c r="B129" s="485" t="str">
        <f t="shared" si="13"/>
        <v>1★</v>
      </c>
      <c r="C129" s="485" t="str">
        <f>IFERROR(__xludf.DUMMYFUNCTION("""COMPUTED_VALUE"""),"CARD_38_s5")</f>
        <v>CARD_38_s5</v>
      </c>
      <c r="M129" s="480"/>
      <c r="N129" s="249"/>
      <c r="O129" s="479"/>
      <c r="Q129" s="480"/>
      <c r="R129" s="481"/>
      <c r="T129" s="492"/>
      <c r="U129" s="249"/>
      <c r="V129" s="479" t="str">
        <f>IFERROR(__xludf.DUMMYFUNCTION("if(U129="""", """", U129/sum(filter($U$3:$U$1000, $U$3:$U$1000&lt;&gt;"""")))"),"")</f>
        <v/>
      </c>
    </row>
    <row r="130" ht="12.75" customHeight="1">
      <c r="A130" s="443" t="str">
        <f t="shared" si="12"/>
        <v>Storm Port - Rope</v>
      </c>
      <c r="B130" s="485" t="str">
        <f t="shared" si="13"/>
        <v>2★</v>
      </c>
      <c r="C130" s="485" t="str">
        <f>IFERROR(__xludf.DUMMYFUNCTION("""COMPUTED_VALUE"""),"CARD_39_s5")</f>
        <v>CARD_39_s5</v>
      </c>
      <c r="M130" s="480"/>
      <c r="N130" s="249"/>
      <c r="O130" s="479"/>
      <c r="Q130" s="480"/>
      <c r="R130" s="481"/>
      <c r="T130" s="492"/>
      <c r="U130" s="249"/>
      <c r="V130" s="479" t="str">
        <f>IFERROR(__xludf.DUMMYFUNCTION("if(U130="""", """", U130/sum(filter($U$3:$U$1000, $U$3:$U$1000&lt;&gt;"""")))"),"")</f>
        <v/>
      </c>
    </row>
    <row r="131" ht="12.75" customHeight="1">
      <c r="A131" s="443" t="str">
        <f t="shared" si="12"/>
        <v>Storm Port - Cleat</v>
      </c>
      <c r="B131" s="485" t="str">
        <f t="shared" si="13"/>
        <v>2★</v>
      </c>
      <c r="C131" s="485" t="str">
        <f>IFERROR(__xludf.DUMMYFUNCTION("""COMPUTED_VALUE"""),"CARD_40_s5")</f>
        <v>CARD_40_s5</v>
      </c>
      <c r="M131" s="480"/>
      <c r="N131" s="249"/>
      <c r="O131" s="479"/>
      <c r="Q131" s="480"/>
      <c r="R131" s="481"/>
      <c r="T131" s="492"/>
      <c r="U131" s="249"/>
      <c r="V131" s="479" t="str">
        <f>IFERROR(__xludf.DUMMYFUNCTION("if(U131="""", """", U131/sum(filter($U$3:$U$1000, $U$3:$U$1000&lt;&gt;"""")))"),"")</f>
        <v/>
      </c>
    </row>
    <row r="132" ht="12.75" customHeight="1">
      <c r="A132" s="443" t="str">
        <f t="shared" si="12"/>
        <v>Storm Port - Flare</v>
      </c>
      <c r="B132" s="485" t="str">
        <f t="shared" si="13"/>
        <v>3★</v>
      </c>
      <c r="C132" s="485" t="str">
        <f>IFERROR(__xludf.DUMMYFUNCTION("""COMPUTED_VALUE"""),"CARD_41_s5")</f>
        <v>CARD_41_s5</v>
      </c>
      <c r="M132" s="480"/>
      <c r="N132" s="249"/>
      <c r="O132" s="479"/>
      <c r="Q132" s="480"/>
      <c r="R132" s="481"/>
      <c r="T132" s="492"/>
      <c r="U132" s="249"/>
      <c r="V132" s="479" t="str">
        <f>IFERROR(__xludf.DUMMYFUNCTION("if(U132="""", """", U132/sum(filter($U$3:$U$1000, $U$3:$U$1000&lt;&gt;"""")))"),"")</f>
        <v/>
      </c>
    </row>
    <row r="133" ht="12.75" customHeight="1">
      <c r="A133" s="443" t="str">
        <f t="shared" si="12"/>
        <v>Storm Port - Bucket</v>
      </c>
      <c r="B133" s="485" t="str">
        <f t="shared" si="13"/>
        <v>4★</v>
      </c>
      <c r="C133" s="485" t="str">
        <f>IFERROR(__xludf.DUMMYFUNCTION("""COMPUTED_VALUE"""),"CARD_42_s5")</f>
        <v>CARD_42_s5</v>
      </c>
      <c r="M133" s="480"/>
      <c r="N133" s="249"/>
      <c r="O133" s="479"/>
      <c r="Q133" s="480"/>
      <c r="R133" s="481"/>
      <c r="T133" s="492"/>
      <c r="U133" s="249"/>
      <c r="V133" s="479" t="str">
        <f>IFERROR(__xludf.DUMMYFUNCTION("if(U133="""", """", U133/sum(filter($U$3:$U$1000, $U$3:$U$1000&lt;&gt;"""")))"),"")</f>
        <v/>
      </c>
    </row>
    <row r="134" ht="12.75" customHeight="1">
      <c r="A134" s="443" t="str">
        <f t="shared" si="12"/>
        <v>Storm Port - Windmill</v>
      </c>
      <c r="B134" s="485" t="str">
        <f t="shared" si="13"/>
        <v>4★</v>
      </c>
      <c r="C134" s="485" t="str">
        <f>IFERROR(__xludf.DUMMYFUNCTION("""COMPUTED_VALUE"""),"CARD_43_s5")</f>
        <v>CARD_43_s5</v>
      </c>
      <c r="M134" s="480"/>
      <c r="N134" s="249"/>
      <c r="O134" s="479"/>
      <c r="Q134" s="480"/>
      <c r="R134" s="481"/>
      <c r="T134" s="492"/>
      <c r="U134" s="249"/>
      <c r="V134" s="479" t="str">
        <f>IFERROR(__xludf.DUMMYFUNCTION("if(U134="""", """", U134/sum(filter($U$3:$U$1000, $U$3:$U$1000&lt;&gt;"""")))"),"")</f>
        <v/>
      </c>
    </row>
    <row r="135" ht="12.75" customHeight="1">
      <c r="A135" s="443" t="str">
        <f t="shared" si="12"/>
        <v>Storm Port - Lighthouse</v>
      </c>
      <c r="B135" s="485" t="str">
        <f t="shared" si="13"/>
        <v>5★</v>
      </c>
      <c r="C135" s="485" t="str">
        <f>IFERROR(__xludf.DUMMYFUNCTION("""COMPUTED_VALUE"""),"CARD_44_s5")</f>
        <v>CARD_44_s5</v>
      </c>
      <c r="M135" s="480"/>
      <c r="N135" s="249"/>
      <c r="O135" s="479"/>
      <c r="Q135" s="480"/>
      <c r="R135" s="481"/>
      <c r="T135" s="492"/>
      <c r="U135" s="249"/>
      <c r="V135" s="479" t="str">
        <f>IFERROR(__xludf.DUMMYFUNCTION("if(U135="""", """", U135/sum(filter($U$3:$U$1000, $U$3:$U$1000&lt;&gt;"""")))"),"")</f>
        <v/>
      </c>
    </row>
    <row r="136" ht="12.75" customHeight="1">
      <c r="A136" s="443" t="str">
        <f t="shared" si="12"/>
        <v>Storm Port - Drum</v>
      </c>
      <c r="B136" s="485" t="str">
        <f t="shared" si="13"/>
        <v>5★</v>
      </c>
      <c r="C136" s="485" t="str">
        <f>IFERROR(__xludf.DUMMYFUNCTION("""COMPUTED_VALUE"""),"CARD_45_s5")</f>
        <v>CARD_45_s5</v>
      </c>
      <c r="M136" s="480"/>
      <c r="N136" s="249"/>
      <c r="O136" s="479"/>
      <c r="Q136" s="480"/>
      <c r="R136" s="481"/>
      <c r="T136" s="492"/>
      <c r="U136" s="249"/>
      <c r="V136" s="479" t="str">
        <f>IFERROR(__xludf.DUMMYFUNCTION("if(U136="""", """", U136/sum(filter($U$3:$U$1000, $U$3:$U$1000&lt;&gt;"""")))"),"")</f>
        <v/>
      </c>
    </row>
    <row r="137" ht="12.75" customHeight="1">
      <c r="M137" s="480"/>
      <c r="N137" s="249"/>
      <c r="O137" s="479"/>
      <c r="Q137" s="480"/>
      <c r="R137" s="481"/>
      <c r="T137" s="492"/>
      <c r="U137" s="249"/>
      <c r="V137" s="479" t="str">
        <f>IFERROR(__xludf.DUMMYFUNCTION("if(U137="""", """", U137/sum(filter($U$3:$U$1000, $U$3:$U$1000&lt;&gt;"""")))"),"")</f>
        <v/>
      </c>
    </row>
    <row r="138" ht="12.75" customHeight="1">
      <c r="A138" s="437" t="s">
        <v>848</v>
      </c>
      <c r="M138" s="480"/>
      <c r="N138" s="249"/>
      <c r="O138" s="479"/>
      <c r="Q138" s="480"/>
      <c r="R138" s="481"/>
      <c r="T138" s="492"/>
      <c r="U138" s="249"/>
      <c r="V138" s="479" t="str">
        <f>IFERROR(__xludf.DUMMYFUNCTION("if(U138="""", """", U138/sum(filter($U$3:$U$1000, $U$3:$U$1000&lt;&gt;"""")))"),"")</f>
        <v/>
      </c>
    </row>
    <row r="139" ht="12.75" customHeight="1">
      <c r="A139" s="440" t="s">
        <v>523</v>
      </c>
      <c r="B139" s="441" t="s">
        <v>499</v>
      </c>
      <c r="C139" s="441" t="s">
        <v>522</v>
      </c>
      <c r="M139" s="480"/>
      <c r="N139" s="249"/>
      <c r="O139" s="479"/>
      <c r="Q139" s="480"/>
      <c r="R139" s="481"/>
      <c r="T139" s="492"/>
      <c r="U139" s="249"/>
      <c r="V139" s="479" t="str">
        <f>IFERROR(__xludf.DUMMYFUNCTION("if(U139="""", """", U139/sum(filter($U$3:$U$1000, $U$3:$U$1000&lt;&gt;"""")))"),"")</f>
        <v/>
      </c>
    </row>
    <row r="140" ht="12.75" customHeight="1">
      <c r="A140" s="443" t="str">
        <f t="shared" ref="A140:A148" si="14">index($B$3:$B$74, match(C140, $A$3:$A$74, 0),0)</f>
        <v>Cannon Fort - Cannonball</v>
      </c>
      <c r="B140" s="485" t="str">
        <f t="shared" ref="B140:B148" si="15">index($E$3:$E$74, match(C140, $A$3:$A$74, 0),0)</f>
        <v>1★</v>
      </c>
      <c r="C140" s="485" t="str">
        <f>IFERROR(__xludf.DUMMYFUNCTION("filter($A$3:$A$74, $D$3:$D$74=LEFT(A$138, len(A$138)-8))"),"CARD_46_s6")</f>
        <v>CARD_46_s6</v>
      </c>
      <c r="M140" s="480"/>
      <c r="N140" s="249"/>
      <c r="O140" s="479"/>
      <c r="Q140" s="480"/>
      <c r="R140" s="481"/>
      <c r="T140" s="492"/>
      <c r="U140" s="249"/>
      <c r="V140" s="479" t="str">
        <f>IFERROR(__xludf.DUMMYFUNCTION("if(U140="""", """", U140/sum(filter($U$3:$U$1000, $U$3:$U$1000&lt;&gt;"""")))"),"")</f>
        <v/>
      </c>
    </row>
    <row r="141" ht="12.75" customHeight="1">
      <c r="A141" s="443" t="str">
        <f t="shared" si="14"/>
        <v>Cannon Fort - Powder</v>
      </c>
      <c r="B141" s="485" t="str">
        <f t="shared" si="15"/>
        <v>1★</v>
      </c>
      <c r="C141" s="485" t="str">
        <f>IFERROR(__xludf.DUMMYFUNCTION("""COMPUTED_VALUE"""),"CARD_47_s6")</f>
        <v>CARD_47_s6</v>
      </c>
      <c r="M141" s="480"/>
      <c r="N141" s="249"/>
      <c r="O141" s="479"/>
      <c r="Q141" s="480"/>
      <c r="R141" s="481"/>
      <c r="T141" s="492"/>
      <c r="U141" s="249"/>
      <c r="V141" s="479" t="str">
        <f>IFERROR(__xludf.DUMMYFUNCTION("if(U141="""", """", U141/sum(filter($U$3:$U$1000, $U$3:$U$1000&lt;&gt;"""")))"),"")</f>
        <v/>
      </c>
    </row>
    <row r="142" ht="12.75" customHeight="1">
      <c r="A142" s="443" t="str">
        <f t="shared" si="14"/>
        <v>Cannon Fort - Fuse</v>
      </c>
      <c r="B142" s="485" t="str">
        <f t="shared" si="15"/>
        <v>2★</v>
      </c>
      <c r="C142" s="485" t="str">
        <f>IFERROR(__xludf.DUMMYFUNCTION("""COMPUTED_VALUE"""),"CARD_48_s6")</f>
        <v>CARD_48_s6</v>
      </c>
      <c r="M142" s="480"/>
      <c r="N142" s="249"/>
      <c r="O142" s="479"/>
      <c r="Q142" s="480"/>
      <c r="R142" s="481"/>
      <c r="T142" s="492"/>
      <c r="U142" s="249"/>
      <c r="V142" s="479" t="str">
        <f>IFERROR(__xludf.DUMMYFUNCTION("if(U142="""", """", U142/sum(filter($U$3:$U$1000, $U$3:$U$1000&lt;&gt;"""")))"),"")</f>
        <v/>
      </c>
    </row>
    <row r="143" ht="12.75" customHeight="1">
      <c r="A143" s="443" t="str">
        <f t="shared" si="14"/>
        <v>Cannon Fort - Ramrod</v>
      </c>
      <c r="B143" s="485" t="str">
        <f t="shared" si="15"/>
        <v>2★</v>
      </c>
      <c r="C143" s="485" t="str">
        <f>IFERROR(__xludf.DUMMYFUNCTION("""COMPUTED_VALUE"""),"CARD_49_s6")</f>
        <v>CARD_49_s6</v>
      </c>
      <c r="M143" s="480"/>
      <c r="N143" s="249"/>
      <c r="O143" s="479"/>
      <c r="Q143" s="480"/>
      <c r="R143" s="481"/>
      <c r="T143" s="492"/>
      <c r="U143" s="249"/>
      <c r="V143" s="479" t="str">
        <f>IFERROR(__xludf.DUMMYFUNCTION("if(U143="""", """", U143/sum(filter($U$3:$U$1000, $U$3:$U$1000&lt;&gt;"""")))"),"")</f>
        <v/>
      </c>
    </row>
    <row r="144" ht="12.75" customHeight="1">
      <c r="A144" s="443" t="str">
        <f t="shared" si="14"/>
        <v>Cannon Fort - War Flag</v>
      </c>
      <c r="B144" s="485" t="str">
        <f t="shared" si="15"/>
        <v>3★</v>
      </c>
      <c r="C144" s="485" t="str">
        <f>IFERROR(__xludf.DUMMYFUNCTION("""COMPUTED_VALUE"""),"CARD_50_s6")</f>
        <v>CARD_50_s6</v>
      </c>
      <c r="M144" s="480"/>
      <c r="N144" s="249"/>
      <c r="O144" s="479"/>
      <c r="Q144" s="480"/>
      <c r="R144" s="481"/>
      <c r="T144" s="492"/>
      <c r="U144" s="249"/>
      <c r="V144" s="479" t="str">
        <f>IFERROR(__xludf.DUMMYFUNCTION("if(U144="""", """", U144/sum(filter($U$3:$U$1000, $U$3:$U$1000&lt;&gt;"""")))"),"")</f>
        <v/>
      </c>
    </row>
    <row r="145" ht="12.75" customHeight="1">
      <c r="A145" s="443" t="str">
        <f t="shared" si="14"/>
        <v>Cannon Fort - Tower</v>
      </c>
      <c r="B145" s="485" t="str">
        <f t="shared" si="15"/>
        <v>4★</v>
      </c>
      <c r="C145" s="485" t="str">
        <f>IFERROR(__xludf.DUMMYFUNCTION("""COMPUTED_VALUE"""),"CARD_51_s6")</f>
        <v>CARD_51_s6</v>
      </c>
      <c r="M145" s="480"/>
      <c r="N145" s="249"/>
      <c r="O145" s="479"/>
      <c r="Q145" s="480"/>
      <c r="R145" s="481"/>
      <c r="T145" s="492"/>
      <c r="U145" s="249"/>
      <c r="V145" s="479" t="str">
        <f>IFERROR(__xludf.DUMMYFUNCTION("if(U145="""", """", U145/sum(filter($U$3:$U$1000, $U$3:$U$1000&lt;&gt;"""")))"),"")</f>
        <v/>
      </c>
    </row>
    <row r="146" ht="12.75" customHeight="1">
      <c r="A146" s="443" t="str">
        <f t="shared" si="14"/>
        <v>Cannon Fort - Bridge</v>
      </c>
      <c r="B146" s="485" t="str">
        <f t="shared" si="15"/>
        <v>5★</v>
      </c>
      <c r="C146" s="485" t="str">
        <f>IFERROR(__xludf.DUMMYFUNCTION("""COMPUTED_VALUE"""),"CARD_52_s6")</f>
        <v>CARD_52_s6</v>
      </c>
      <c r="M146" s="480"/>
      <c r="N146" s="249"/>
      <c r="O146" s="479"/>
      <c r="Q146" s="480"/>
      <c r="R146" s="481"/>
      <c r="T146" s="492"/>
      <c r="U146" s="249"/>
      <c r="V146" s="479" t="str">
        <f>IFERROR(__xludf.DUMMYFUNCTION("if(U146="""", """", U146/sum(filter($U$3:$U$1000, $U$3:$U$1000&lt;&gt;"""")))"),"")</f>
        <v/>
      </c>
    </row>
    <row r="147" ht="12.75" customHeight="1">
      <c r="A147" s="443" t="str">
        <f t="shared" si="14"/>
        <v>Cannon Fort - Catapult</v>
      </c>
      <c r="B147" s="485" t="str">
        <f t="shared" si="15"/>
        <v>5★</v>
      </c>
      <c r="C147" s="485" t="str">
        <f>IFERROR(__xludf.DUMMYFUNCTION("""COMPUTED_VALUE"""),"CARD_53_s6")</f>
        <v>CARD_53_s6</v>
      </c>
      <c r="M147" s="480"/>
      <c r="N147" s="249"/>
      <c r="O147" s="479"/>
      <c r="Q147" s="480"/>
      <c r="R147" s="481"/>
      <c r="T147" s="492"/>
      <c r="U147" s="249"/>
      <c r="V147" s="479" t="str">
        <f>IFERROR(__xludf.DUMMYFUNCTION("if(U147="""", """", U147/sum(filter($U$3:$U$1000, $U$3:$U$1000&lt;&gt;"""")))"),"")</f>
        <v/>
      </c>
    </row>
    <row r="148" ht="12.75" customHeight="1">
      <c r="A148" s="443" t="str">
        <f t="shared" si="14"/>
        <v>Cannon Fort - Horn</v>
      </c>
      <c r="B148" s="485" t="str">
        <f t="shared" si="15"/>
        <v>5★</v>
      </c>
      <c r="C148" s="485" t="str">
        <f>IFERROR(__xludf.DUMMYFUNCTION("""COMPUTED_VALUE"""),"CARD_54_s6")</f>
        <v>CARD_54_s6</v>
      </c>
      <c r="M148" s="480"/>
      <c r="N148" s="249"/>
      <c r="O148" s="479"/>
      <c r="Q148" s="480"/>
      <c r="R148" s="481"/>
      <c r="T148" s="492"/>
      <c r="U148" s="249"/>
      <c r="V148" s="481"/>
    </row>
    <row r="149" ht="12.75" customHeight="1">
      <c r="M149" s="480"/>
      <c r="N149" s="249"/>
      <c r="O149" s="479"/>
      <c r="Q149" s="480"/>
      <c r="R149" s="481"/>
      <c r="T149" s="492"/>
      <c r="U149" s="249"/>
      <c r="V149" s="481"/>
    </row>
    <row r="150" ht="12.75" customHeight="1">
      <c r="A150" s="437" t="s">
        <v>852</v>
      </c>
      <c r="M150" s="480"/>
      <c r="N150" s="249"/>
      <c r="O150" s="479"/>
      <c r="Q150" s="480"/>
      <c r="R150" s="481"/>
      <c r="T150" s="492"/>
      <c r="U150" s="249"/>
      <c r="V150" s="481"/>
    </row>
    <row r="151" ht="12.75" customHeight="1">
      <c r="A151" s="440" t="s">
        <v>523</v>
      </c>
      <c r="B151" s="441" t="s">
        <v>499</v>
      </c>
      <c r="C151" s="441" t="s">
        <v>522</v>
      </c>
      <c r="M151" s="480"/>
      <c r="N151" s="249"/>
      <c r="O151" s="479"/>
      <c r="Q151" s="480"/>
      <c r="R151" s="481"/>
      <c r="T151" s="492" t="str">
        <f>IFERROR(__xludf.DUMMYFUNCTION("""COMPUTED_VALUE"""),"Unl. Bomb")</f>
        <v>Unl. Bomb</v>
      </c>
      <c r="U151" s="249" t="str">
        <f>IFERROR(__xludf.DUMMYFUNCTION("""COMPUTED_VALUE"""),"Avatar")</f>
        <v>Avatar</v>
      </c>
      <c r="V151" s="481"/>
    </row>
    <row r="152" ht="12.75" customHeight="1">
      <c r="A152" s="443" t="str">
        <f t="shared" ref="A152:A160" si="16">index($B$3:$B$74, match(C152, $A$3:$A$74, 0),0)</f>
        <v>Siren Reef - Harp</v>
      </c>
      <c r="B152" s="485" t="str">
        <f t="shared" ref="B152:B160" si="17">index($E$3:$E$74, match(C152, $A$3:$A$74, 0),0)</f>
        <v>1★</v>
      </c>
      <c r="C152" s="485" t="str">
        <f>IFERROR(__xludf.DUMMYFUNCTION("filter($A$3:$A$74, $D$3:$D$74=LEFT(A$150, len(A$150)-8))"),"CARD_55_s7")</f>
        <v>CARD_55_s7</v>
      </c>
      <c r="M152" s="480"/>
      <c r="N152" s="249"/>
      <c r="O152" s="479"/>
      <c r="Q152" s="480"/>
      <c r="R152" s="481"/>
      <c r="T152" s="492">
        <f>IFERROR(__xludf.DUMMYFUNCTION("""COMPUTED_VALUE"""),0.0)</f>
        <v>0</v>
      </c>
      <c r="U152" s="249">
        <f>IFERROR(__xludf.DUMMYFUNCTION("""COMPUTED_VALUE"""),0.0)</f>
        <v>0</v>
      </c>
      <c r="V152" s="481"/>
    </row>
    <row r="153" ht="12.75" customHeight="1">
      <c r="A153" s="443" t="str">
        <f t="shared" si="16"/>
        <v>Siren Reef - Mirror</v>
      </c>
      <c r="B153" s="485" t="str">
        <f t="shared" si="17"/>
        <v>1★</v>
      </c>
      <c r="C153" s="485" t="str">
        <f>IFERROR(__xludf.DUMMYFUNCTION("""COMPUTED_VALUE"""),"CARD_56_s7")</f>
        <v>CARD_56_s7</v>
      </c>
      <c r="M153" s="480"/>
      <c r="N153" s="249"/>
      <c r="O153" s="479"/>
      <c r="Q153" s="480"/>
      <c r="R153" s="481"/>
      <c r="T153" s="492">
        <f>IFERROR(__xludf.DUMMYFUNCTION("""COMPUTED_VALUE"""),0.0)</f>
        <v>0</v>
      </c>
      <c r="U153" s="249">
        <f>IFERROR(__xludf.DUMMYFUNCTION("""COMPUTED_VALUE"""),0.0)</f>
        <v>0</v>
      </c>
      <c r="V153" s="481"/>
    </row>
    <row r="154" ht="12.75" customHeight="1">
      <c r="A154" s="443" t="str">
        <f t="shared" si="16"/>
        <v>Siren Reef - Comb</v>
      </c>
      <c r="B154" s="485" t="str">
        <f t="shared" si="17"/>
        <v>2★</v>
      </c>
      <c r="C154" s="485" t="str">
        <f>IFERROR(__xludf.DUMMYFUNCTION("""COMPUTED_VALUE"""),"CARD_57_s7")</f>
        <v>CARD_57_s7</v>
      </c>
      <c r="M154" s="480"/>
      <c r="N154" s="249"/>
      <c r="O154" s="479"/>
      <c r="Q154" s="480"/>
      <c r="R154" s="481"/>
      <c r="T154" s="492">
        <f>IFERROR(__xludf.DUMMYFUNCTION("""COMPUTED_VALUE"""),0.0)</f>
        <v>0</v>
      </c>
      <c r="U154" s="249">
        <f>IFERROR(__xludf.DUMMYFUNCTION("""COMPUTED_VALUE"""),0.0)</f>
        <v>0</v>
      </c>
      <c r="V154" s="481"/>
    </row>
    <row r="155" ht="12.75" customHeight="1">
      <c r="A155" s="443" t="str">
        <f t="shared" si="16"/>
        <v>Siren Reef - Witch</v>
      </c>
      <c r="B155" s="485" t="str">
        <f t="shared" si="17"/>
        <v>2★</v>
      </c>
      <c r="C155" s="485" t="str">
        <f>IFERROR(__xludf.DUMMYFUNCTION("""COMPUTED_VALUE"""),"CARD_58_s7")</f>
        <v>CARD_58_s7</v>
      </c>
      <c r="M155" s="480"/>
      <c r="N155" s="249"/>
      <c r="O155" s="479"/>
      <c r="Q155" s="480"/>
      <c r="R155" s="481"/>
      <c r="T155" s="492">
        <f>IFERROR(__xludf.DUMMYFUNCTION("""COMPUTED_VALUE"""),0.0)</f>
        <v>0</v>
      </c>
      <c r="U155" s="249">
        <f>IFERROR(__xludf.DUMMYFUNCTION("""COMPUTED_VALUE"""),0.0)</f>
        <v>0</v>
      </c>
      <c r="V155" s="481"/>
    </row>
    <row r="156" ht="12.75" customHeight="1">
      <c r="A156" s="443" t="str">
        <f t="shared" si="16"/>
        <v>Siren Reef - Starfish</v>
      </c>
      <c r="B156" s="485" t="str">
        <f t="shared" si="17"/>
        <v>3★</v>
      </c>
      <c r="C156" s="485" t="str">
        <f>IFERROR(__xludf.DUMMYFUNCTION("""COMPUTED_VALUE"""),"CARD_59_s7")</f>
        <v>CARD_59_s7</v>
      </c>
      <c r="M156" s="480"/>
      <c r="N156" s="249"/>
      <c r="O156" s="479"/>
      <c r="Q156" s="480"/>
      <c r="R156" s="481"/>
      <c r="T156" s="492">
        <f>IFERROR(__xludf.DUMMYFUNCTION("""COMPUTED_VALUE"""),0.0)</f>
        <v>0</v>
      </c>
      <c r="U156" s="249">
        <f>IFERROR(__xludf.DUMMYFUNCTION("""COMPUTED_VALUE"""),0.0)</f>
        <v>0</v>
      </c>
      <c r="V156" s="481"/>
    </row>
    <row r="157" ht="12.75" customHeight="1">
      <c r="A157" s="443" t="str">
        <f t="shared" si="16"/>
        <v>Siren Reef - Moonstone</v>
      </c>
      <c r="B157" s="485" t="str">
        <f t="shared" si="17"/>
        <v>4★</v>
      </c>
      <c r="C157" s="485" t="str">
        <f>IFERROR(__xludf.DUMMYFUNCTION("""COMPUTED_VALUE"""),"CARD_60_s7")</f>
        <v>CARD_60_s7</v>
      </c>
      <c r="M157" s="480"/>
      <c r="N157" s="249"/>
      <c r="O157" s="479"/>
      <c r="Q157" s="480"/>
      <c r="R157" s="481"/>
      <c r="T157" s="492">
        <f>IFERROR(__xludf.DUMMYFUNCTION("""COMPUTED_VALUE"""),0.0)</f>
        <v>0</v>
      </c>
      <c r="U157" s="249">
        <f>IFERROR(__xludf.DUMMYFUNCTION("""COMPUTED_VALUE"""),0.0)</f>
        <v>0</v>
      </c>
      <c r="V157" s="481"/>
    </row>
    <row r="158" ht="12.75" customHeight="1">
      <c r="A158" s="443" t="str">
        <f t="shared" si="16"/>
        <v>Siren Reef - Wave</v>
      </c>
      <c r="B158" s="485" t="str">
        <f t="shared" si="17"/>
        <v>5★</v>
      </c>
      <c r="C158" s="485" t="str">
        <f>IFERROR(__xludf.DUMMYFUNCTION("""COMPUTED_VALUE"""),"CARD_61_s7")</f>
        <v>CARD_61_s7</v>
      </c>
      <c r="M158" s="480"/>
      <c r="N158" s="249"/>
      <c r="O158" s="479"/>
      <c r="Q158" s="480"/>
      <c r="R158" s="481"/>
      <c r="T158" s="492">
        <f>IFERROR(__xludf.DUMMYFUNCTION("""COMPUTED_VALUE"""),0.0)</f>
        <v>0</v>
      </c>
      <c r="U158" s="249">
        <f>IFERROR(__xludf.DUMMYFUNCTION("""COMPUTED_VALUE"""),0.0)</f>
        <v>0</v>
      </c>
      <c r="V158" s="481"/>
    </row>
    <row r="159" ht="12.75" customHeight="1">
      <c r="A159" s="443" t="str">
        <f t="shared" si="16"/>
        <v>Siren Reef - Driftwood</v>
      </c>
      <c r="B159" s="485" t="str">
        <f t="shared" si="17"/>
        <v>5★</v>
      </c>
      <c r="C159" s="485" t="str">
        <f>IFERROR(__xludf.DUMMYFUNCTION("""COMPUTED_VALUE"""),"CARD_62_s7")</f>
        <v>CARD_62_s7</v>
      </c>
      <c r="M159" s="480"/>
      <c r="N159" s="249"/>
      <c r="O159" s="479"/>
      <c r="Q159" s="480"/>
      <c r="R159" s="481"/>
      <c r="T159" s="492">
        <f>IFERROR(__xludf.DUMMYFUNCTION("""COMPUTED_VALUE"""),0.0)</f>
        <v>0</v>
      </c>
      <c r="U159" s="249">
        <f>IFERROR(__xludf.DUMMYFUNCTION("""COMPUTED_VALUE"""),0.0)</f>
        <v>0</v>
      </c>
      <c r="V159" s="481"/>
    </row>
    <row r="160" ht="12.75" customHeight="1">
      <c r="A160" s="443" t="str">
        <f t="shared" si="16"/>
        <v>Siren Reef - Conch</v>
      </c>
      <c r="B160" s="485" t="str">
        <f t="shared" si="17"/>
        <v>5★</v>
      </c>
      <c r="C160" s="485" t="str">
        <f>IFERROR(__xludf.DUMMYFUNCTION("""COMPUTED_VALUE"""),"CARD_63_s7")</f>
        <v>CARD_63_s7</v>
      </c>
      <c r="M160" s="480"/>
      <c r="N160" s="249"/>
      <c r="O160" s="479"/>
      <c r="Q160" s="480"/>
      <c r="R160" s="481"/>
      <c r="T160" s="492"/>
      <c r="U160" s="249"/>
      <c r="V160" s="481"/>
    </row>
    <row r="161" ht="12.75" customHeight="1">
      <c r="M161" s="480"/>
      <c r="N161" s="249"/>
      <c r="O161" s="479"/>
      <c r="Q161" s="480"/>
      <c r="R161" s="481"/>
      <c r="T161" s="492"/>
      <c r="U161" s="249"/>
      <c r="V161" s="481"/>
    </row>
    <row r="162" ht="12.75" customHeight="1">
      <c r="A162" s="437" t="s">
        <v>862</v>
      </c>
      <c r="M162" s="480"/>
      <c r="N162" s="249"/>
      <c r="O162" s="479"/>
      <c r="Q162" s="480"/>
      <c r="R162" s="481"/>
      <c r="T162" s="492" t="str">
        <f>IFERROR(__xludf.DUMMYFUNCTION("""COMPUTED_VALUE"""),"Unl. Bomb")</f>
        <v>Unl. Bomb</v>
      </c>
      <c r="U162" s="249" t="str">
        <f>IFERROR(__xludf.DUMMYFUNCTION("""COMPUTED_VALUE"""),"Avatar")</f>
        <v>Avatar</v>
      </c>
      <c r="V162" s="481"/>
    </row>
    <row r="163" ht="12.75" customHeight="1">
      <c r="A163" s="440" t="s">
        <v>523</v>
      </c>
      <c r="B163" s="441" t="s">
        <v>499</v>
      </c>
      <c r="C163" s="441" t="s">
        <v>522</v>
      </c>
      <c r="M163" s="480"/>
      <c r="N163" s="249"/>
      <c r="O163" s="479"/>
      <c r="Q163" s="480"/>
      <c r="R163" s="481"/>
      <c r="T163" s="492">
        <f>IFERROR(__xludf.DUMMYFUNCTION("""COMPUTED_VALUE"""),0.0)</f>
        <v>0</v>
      </c>
      <c r="U163" s="249">
        <f>IFERROR(__xludf.DUMMYFUNCTION("""COMPUTED_VALUE"""),0.0)</f>
        <v>0</v>
      </c>
      <c r="V163" s="481"/>
    </row>
    <row r="164" ht="12.75" customHeight="1">
      <c r="A164" s="443" t="str">
        <f t="shared" ref="A164:A172" si="18">index($B$3:$B$74, match(C164, $A$3:$A$74, 0),0)</f>
        <v>Dead Man Bay - Pistol</v>
      </c>
      <c r="B164" s="485" t="str">
        <f t="shared" ref="B164:B172" si="19">index($E$3:$E$74, match(C164, $A$3:$A$74, 0),0)</f>
        <v>1★</v>
      </c>
      <c r="C164" s="485" t="str">
        <f>IFERROR(__xludf.DUMMYFUNCTION("filter($A$3:$A$74, $D$3:$D$74=LEFT(A$162, len(A$162)-8))"),"CARD_64_s8")</f>
        <v>CARD_64_s8</v>
      </c>
      <c r="M164" s="480"/>
      <c r="N164" s="249"/>
      <c r="O164" s="479"/>
      <c r="Q164" s="480"/>
      <c r="R164" s="481"/>
      <c r="T164" s="492">
        <f>IFERROR(__xludf.DUMMYFUNCTION("""COMPUTED_VALUE"""),0.0)</f>
        <v>0</v>
      </c>
      <c r="U164" s="249">
        <f>IFERROR(__xludf.DUMMYFUNCTION("""COMPUTED_VALUE"""),0.0)</f>
        <v>0</v>
      </c>
      <c r="V164" s="481"/>
    </row>
    <row r="165" ht="12.75" customHeight="1">
      <c r="A165" s="443" t="str">
        <f t="shared" si="18"/>
        <v>Dead Man Bay - Rum</v>
      </c>
      <c r="B165" s="485" t="str">
        <f t="shared" si="19"/>
        <v>1★</v>
      </c>
      <c r="C165" s="485" t="str">
        <f>IFERROR(__xludf.DUMMYFUNCTION("""COMPUTED_VALUE"""),"CARD_65_s8")</f>
        <v>CARD_65_s8</v>
      </c>
      <c r="M165" s="480"/>
      <c r="N165" s="249"/>
      <c r="O165" s="479"/>
      <c r="Q165" s="480"/>
      <c r="R165" s="481"/>
      <c r="T165" s="492">
        <f>IFERROR(__xludf.DUMMYFUNCTION("""COMPUTED_VALUE"""),0.0)</f>
        <v>0</v>
      </c>
      <c r="U165" s="249">
        <f>IFERROR(__xludf.DUMMYFUNCTION("""COMPUTED_VALUE"""),0.0)</f>
        <v>0</v>
      </c>
      <c r="V165" s="481"/>
    </row>
    <row r="166" ht="12.75" customHeight="1">
      <c r="A166" s="443" t="str">
        <f t="shared" si="18"/>
        <v>Dead Man Bay - Treasure Map</v>
      </c>
      <c r="B166" s="485" t="str">
        <f t="shared" si="19"/>
        <v>2★</v>
      </c>
      <c r="C166" s="485" t="str">
        <f>IFERROR(__xludf.DUMMYFUNCTION("""COMPUTED_VALUE"""),"CARD_66_s8")</f>
        <v>CARD_66_s8</v>
      </c>
      <c r="M166" s="480"/>
      <c r="N166" s="249"/>
      <c r="O166" s="479"/>
      <c r="Q166" s="480"/>
      <c r="R166" s="481"/>
      <c r="T166" s="492">
        <f>IFERROR(__xludf.DUMMYFUNCTION("""COMPUTED_VALUE"""),0.0)</f>
        <v>0</v>
      </c>
      <c r="U166" s="249">
        <f>IFERROR(__xludf.DUMMYFUNCTION("""COMPUTED_VALUE"""),0.0)</f>
        <v>0</v>
      </c>
      <c r="V166" s="481"/>
    </row>
    <row r="167" ht="12.75" customHeight="1">
      <c r="A167" s="443" t="str">
        <f t="shared" si="18"/>
        <v>Dead Man Bay - Jolly Roger</v>
      </c>
      <c r="B167" s="485" t="str">
        <f t="shared" si="19"/>
        <v>2★</v>
      </c>
      <c r="C167" s="485" t="str">
        <f>IFERROR(__xludf.DUMMYFUNCTION("""COMPUTED_VALUE"""),"CARD_67_s8")</f>
        <v>CARD_67_s8</v>
      </c>
      <c r="M167" s="480"/>
      <c r="N167" s="249"/>
      <c r="O167" s="479"/>
      <c r="Q167" s="480"/>
      <c r="R167" s="481"/>
      <c r="T167" s="492">
        <f>IFERROR(__xludf.DUMMYFUNCTION("""COMPUTED_VALUE"""),0.0)</f>
        <v>0</v>
      </c>
      <c r="U167" s="249">
        <f>IFERROR(__xludf.DUMMYFUNCTION("""COMPUTED_VALUE"""),0.0)</f>
        <v>0</v>
      </c>
      <c r="V167" s="481"/>
    </row>
    <row r="168" ht="12.75" customHeight="1">
      <c r="A168" s="443" t="str">
        <f t="shared" si="18"/>
        <v>Dead Man Bay - Gold Tooth</v>
      </c>
      <c r="B168" s="485" t="str">
        <f t="shared" si="19"/>
        <v>3★</v>
      </c>
      <c r="C168" s="485" t="str">
        <f>IFERROR(__xludf.DUMMYFUNCTION("""COMPUTED_VALUE"""),"CARD_68_s8")</f>
        <v>CARD_68_s8</v>
      </c>
      <c r="M168" s="480"/>
      <c r="N168" s="249"/>
      <c r="O168" s="479"/>
      <c r="Q168" s="480"/>
      <c r="R168" s="481"/>
      <c r="T168" s="492">
        <f>IFERROR(__xludf.DUMMYFUNCTION("""COMPUTED_VALUE"""),0.0)</f>
        <v>0</v>
      </c>
      <c r="U168" s="249">
        <f>IFERROR(__xludf.DUMMYFUNCTION("""COMPUTED_VALUE"""),0.0)</f>
        <v>0</v>
      </c>
      <c r="V168" s="481"/>
    </row>
    <row r="169" ht="12.75" customHeight="1">
      <c r="A169" s="443" t="str">
        <f t="shared" si="18"/>
        <v>Dead Man Bay - Dagger</v>
      </c>
      <c r="B169" s="485" t="str">
        <f t="shared" si="19"/>
        <v>4★</v>
      </c>
      <c r="C169" s="485" t="str">
        <f>IFERROR(__xludf.DUMMYFUNCTION("""COMPUTED_VALUE"""),"CARD_69_s8")</f>
        <v>CARD_69_s8</v>
      </c>
      <c r="M169" s="480"/>
      <c r="N169" s="249"/>
      <c r="O169" s="479"/>
      <c r="Q169" s="480"/>
      <c r="R169" s="481"/>
      <c r="T169" s="492">
        <f>IFERROR(__xludf.DUMMYFUNCTION("""COMPUTED_VALUE"""),0.0)</f>
        <v>0</v>
      </c>
      <c r="U169" s="249">
        <f>IFERROR(__xludf.DUMMYFUNCTION("""COMPUTED_VALUE"""),0.0)</f>
        <v>0</v>
      </c>
      <c r="V169" s="481"/>
    </row>
    <row r="170" ht="12.75" customHeight="1">
      <c r="A170" s="443" t="str">
        <f t="shared" si="18"/>
        <v>Dead Man Bay - Bandana</v>
      </c>
      <c r="B170" s="485" t="str">
        <f t="shared" si="19"/>
        <v>5★</v>
      </c>
      <c r="C170" s="485" t="str">
        <f>IFERROR(__xludf.DUMMYFUNCTION("""COMPUTED_VALUE"""),"CARD_70_s8")</f>
        <v>CARD_70_s8</v>
      </c>
      <c r="M170" s="480"/>
      <c r="N170" s="249"/>
      <c r="O170" s="479"/>
      <c r="Q170" s="480"/>
      <c r="R170" s="481"/>
      <c r="T170" s="492">
        <f>IFERROR(__xludf.DUMMYFUNCTION("""COMPUTED_VALUE"""),0.0)</f>
        <v>0</v>
      </c>
      <c r="U170" s="249">
        <f>IFERROR(__xludf.DUMMYFUNCTION("""COMPUTED_VALUE"""),0.0)</f>
        <v>0</v>
      </c>
      <c r="V170" s="481"/>
    </row>
    <row r="171" ht="12.75" customHeight="1">
      <c r="A171" s="443" t="str">
        <f t="shared" si="18"/>
        <v>Dead Man Bay - Boots</v>
      </c>
      <c r="B171" s="485" t="str">
        <f t="shared" si="19"/>
        <v>5★</v>
      </c>
      <c r="C171" s="485" t="str">
        <f>IFERROR(__xludf.DUMMYFUNCTION("""COMPUTED_VALUE"""),"CARD_71_s8")</f>
        <v>CARD_71_s8</v>
      </c>
      <c r="M171" s="480"/>
      <c r="N171" s="249"/>
      <c r="O171" s="479"/>
      <c r="Q171" s="480"/>
      <c r="R171" s="481"/>
      <c r="T171" s="492"/>
      <c r="U171" s="249"/>
      <c r="V171" s="481"/>
    </row>
    <row r="172" ht="12.75" customHeight="1">
      <c r="A172" s="443" t="str">
        <f t="shared" si="18"/>
        <v>Dead Man Bay - Beard</v>
      </c>
      <c r="B172" s="485" t="str">
        <f t="shared" si="19"/>
        <v>5★</v>
      </c>
      <c r="C172" s="485" t="str">
        <f>IFERROR(__xludf.DUMMYFUNCTION("""COMPUTED_VALUE"""),"CARD_72_s8")</f>
        <v>CARD_72_s8</v>
      </c>
      <c r="F172" s="1" t="s">
        <v>875</v>
      </c>
      <c r="M172" s="480"/>
      <c r="N172" s="249"/>
      <c r="O172" s="479"/>
      <c r="Q172" s="480"/>
      <c r="R172" s="481"/>
      <c r="T172" s="492"/>
      <c r="U172" s="249"/>
      <c r="V172" s="481"/>
    </row>
    <row r="173" ht="12.75" customHeight="1">
      <c r="M173" s="480"/>
      <c r="N173" s="249"/>
      <c r="O173" s="479"/>
      <c r="Q173" s="480"/>
      <c r="R173" s="481"/>
      <c r="T173" s="492" t="str">
        <f>IFERROR(__xludf.DUMMYFUNCTION("""COMPUTED_VALUE"""),"Unl. Bomb")</f>
        <v>Unl. Bomb</v>
      </c>
      <c r="U173" s="249" t="str">
        <f>IFERROR(__xludf.DUMMYFUNCTION("""COMPUTED_VALUE"""),"Avatar")</f>
        <v>Avatar</v>
      </c>
      <c r="V173" s="481"/>
    </row>
    <row r="174" ht="12.75" customHeight="1">
      <c r="A174" s="437" t="s">
        <v>877</v>
      </c>
      <c r="B174" s="523"/>
      <c r="M174" s="480"/>
      <c r="N174" s="249"/>
      <c r="O174" s="479"/>
      <c r="Q174" s="480"/>
      <c r="R174" s="481"/>
      <c r="T174" s="492">
        <f>IFERROR(__xludf.DUMMYFUNCTION("""COMPUTED_VALUE"""),0.0)</f>
        <v>0</v>
      </c>
      <c r="U174" s="249">
        <f>IFERROR(__xludf.DUMMYFUNCTION("""COMPUTED_VALUE"""),0.0)</f>
        <v>0</v>
      </c>
      <c r="V174" s="481"/>
    </row>
    <row r="175" ht="12.75" customHeight="1">
      <c r="A175" s="440" t="s">
        <v>818</v>
      </c>
      <c r="B175" s="441" t="s">
        <v>468</v>
      </c>
      <c r="C175" s="441" t="s">
        <v>469</v>
      </c>
      <c r="D175" s="441" t="s">
        <v>470</v>
      </c>
      <c r="E175" s="441" t="s">
        <v>471</v>
      </c>
      <c r="F175" s="441" t="s">
        <v>472</v>
      </c>
      <c r="G175" s="442" t="s">
        <v>886</v>
      </c>
      <c r="H175" s="441" t="s">
        <v>473</v>
      </c>
      <c r="J175" s="250" t="str">
        <f>IFERROR(__xludf.DUMMYFUNCTION("iferror(filter($E$3:$E$74, $D$3:$D$74=$A176, $E$3:$E$74=F$175), """")"),"")</f>
        <v/>
      </c>
      <c r="M175" s="480"/>
      <c r="N175" s="249"/>
      <c r="O175" s="479"/>
      <c r="Q175" s="480"/>
      <c r="R175" s="481"/>
      <c r="T175" s="492">
        <f>IFERROR(__xludf.DUMMYFUNCTION("""COMPUTED_VALUE"""),0.0)</f>
        <v>0</v>
      </c>
      <c r="U175" s="249">
        <f>IFERROR(__xludf.DUMMYFUNCTION("""COMPUTED_VALUE"""),0.0)</f>
        <v>0</v>
      </c>
      <c r="V175" s="481"/>
    </row>
    <row r="176" ht="12.75" customHeight="1">
      <c r="A176" s="443" t="s">
        <v>531</v>
      </c>
      <c r="B176" s="485">
        <f>IFERROR(__xludf.DUMMYFUNCTION("if(iferror(filter($E$3:$E$74, $D$3:$D$74=$A176, $E$3:$E$74=B$175), 0)=0, 0, counta(iferror(filter($E$3:$E$74, $D$3:$D$74=$A176, $E$3:$E$74=B$175), 0)))"),4.0)</f>
        <v>4</v>
      </c>
      <c r="C176" s="485">
        <f>IFERROR(__xludf.DUMMYFUNCTION("if(iferror(filter($E$3:$E$74, $D$3:$D$74=$A176, $E$3:$E$74=C$175), 0)=0, 0, counta(iferror(filter($E$3:$E$74, $D$3:$D$74=$A176, $E$3:$E$74=C$175), 0)))"),3.0)</f>
        <v>3</v>
      </c>
      <c r="D176" s="485">
        <f>IFERROR(__xludf.DUMMYFUNCTION("if(iferror(filter($E$3:$E$74, $D$3:$D$74=$A176, $E$3:$E$74=D$175), 0)=0, 0, counta(iferror(filter($E$3:$E$74, $D$3:$D$74=$A176, $E$3:$E$74=D$175), 0)))"),2.0)</f>
        <v>2</v>
      </c>
      <c r="E176" s="485">
        <f>IFERROR(__xludf.DUMMYFUNCTION("if(iferror(filter($E$3:$E$74, $D$3:$D$74=$A176, $E$3:$E$74=E$175), 0)=0, 0, counta(iferror(filter($E$3:$E$74, $D$3:$D$74=$A176, $E$3:$E$74=E$175), 0)))"),0.0)</f>
        <v>0</v>
      </c>
      <c r="F176" s="485">
        <f>IFERROR(__xludf.DUMMYFUNCTION("if(iferror(filter($E$3:$E$74, $D$3:$D$74=$A176, $E$3:$E$74=F$175), 0)=0, 0, counta(iferror(filter($E$3:$E$74, $D$3:$D$74=$A176, $E$3:$E$74=F$175), 0)))"),0.0)</f>
        <v>0</v>
      </c>
      <c r="G176" s="485">
        <f>IFERROR(__xludf.DUMMYFUNCTION("if(iferror(filter($E$3:$E$74, $D$3:$D$74=$A176, $E$3:$E$74=G$175), 0)=0, 0, counta(iferror(filter($E$3:$E$74, $D$3:$D$74=$A176, $E$3:$E$74=G$175), 0)))"),0.0)</f>
        <v>0</v>
      </c>
      <c r="H176" s="485">
        <f>IFERROR(__xludf.DUMMYFUNCTION("if(iferror(filter($E$3:$E$74, $D$3:$D$74=$A176, $E$3:$E$74=H$175), 0)=0, 0, counta(iferror(filter($E$3:$E$74, $D$3:$D$74=$A176, $E$3:$E$74=H$175), 0)))"),0.0)</f>
        <v>0</v>
      </c>
      <c r="M176" s="480"/>
      <c r="N176" s="249"/>
      <c r="O176" s="479"/>
      <c r="Q176" s="480"/>
      <c r="R176" s="481"/>
      <c r="T176" s="492">
        <f>IFERROR(__xludf.DUMMYFUNCTION("""COMPUTED_VALUE"""),0.0)</f>
        <v>0</v>
      </c>
      <c r="U176" s="249">
        <f>IFERROR(__xludf.DUMMYFUNCTION("""COMPUTED_VALUE"""),0.0)</f>
        <v>0</v>
      </c>
      <c r="V176" s="481"/>
    </row>
    <row r="177" ht="12.75" customHeight="1">
      <c r="A177" s="443" t="s">
        <v>563</v>
      </c>
      <c r="B177" s="485">
        <f>IFERROR(__xludf.DUMMYFUNCTION("if(iferror(filter($E$3:$E$74, $D$3:$D$74=$A177, $E$3:$E$74=B$175), 0)=0, 0, counta(iferror(filter($E$3:$E$74, $D$3:$D$74=$A177, $E$3:$E$74=B$175), 0)))"),4.0)</f>
        <v>4</v>
      </c>
      <c r="C177" s="485">
        <f>IFERROR(__xludf.DUMMYFUNCTION("if(iferror(filter($E$3:$E$74, $D$3:$D$74=$A177, $E$3:$E$74=C$175), 0)=0, 0, counta(iferror(filter($E$3:$E$74, $D$3:$D$74=$A177, $E$3:$E$74=C$175), 0)))"),2.0)</f>
        <v>2</v>
      </c>
      <c r="D177" s="485">
        <f>IFERROR(__xludf.DUMMYFUNCTION("if(iferror(filter($E$3:$E$74, $D$3:$D$74=$A177, $E$3:$E$74=D$175), 0)=0, 0, counta(iferror(filter($E$3:$E$74, $D$3:$D$74=$A177, $E$3:$E$74=D$175), 0)))"),2.0)</f>
        <v>2</v>
      </c>
      <c r="E177" s="485">
        <f>IFERROR(__xludf.DUMMYFUNCTION("if(iferror(filter($E$3:$E$74, $D$3:$D$74=$A177, $E$3:$E$74=E$175), 0)=0, 0, counta(iferror(filter($E$3:$E$74, $D$3:$D$74=$A177, $E$3:$E$74=E$175), 0)))"),1.0)</f>
        <v>1</v>
      </c>
      <c r="F177" s="485">
        <f>IFERROR(__xludf.DUMMYFUNCTION("if(iferror(filter($E$3:$E$74, $D$3:$D$74=$A177, $E$3:$E$74=F$175), 0)=0, 0, counta(iferror(filter($E$3:$E$74, $D$3:$D$74=$A177, $E$3:$E$74=F$175), 0)))"),0.0)</f>
        <v>0</v>
      </c>
      <c r="G177" s="485">
        <f>IFERROR(__xludf.DUMMYFUNCTION("if(iferror(filter($E$3:$E$74, $D$3:$D$74=$A177, $E$3:$E$74=G$175), 0)=0, 0, counta(iferror(filter($E$3:$E$74, $D$3:$D$74=$A177, $E$3:$E$74=G$175), 0)))"),0.0)</f>
        <v>0</v>
      </c>
      <c r="H177" s="485">
        <f>IFERROR(__xludf.DUMMYFUNCTION("if(iferror(filter($E$3:$E$74, $D$3:$D$74=$A177, $E$3:$E$74=H$175), 0)=0, 0, counta(iferror(filter($E$3:$E$74, $D$3:$D$74=$A177, $E$3:$E$74=H$175), 0)))"),0.0)</f>
        <v>0</v>
      </c>
      <c r="M177" s="480"/>
      <c r="N177" s="249"/>
      <c r="O177" s="479"/>
      <c r="Q177" s="480"/>
      <c r="R177" s="481"/>
      <c r="T177" s="492">
        <f>IFERROR(__xludf.DUMMYFUNCTION("""COMPUTED_VALUE"""),0.0)</f>
        <v>0</v>
      </c>
      <c r="U177" s="249">
        <f>IFERROR(__xludf.DUMMYFUNCTION("""COMPUTED_VALUE"""),0.0)</f>
        <v>0</v>
      </c>
      <c r="V177" s="481"/>
    </row>
    <row r="178" ht="12.75" customHeight="1">
      <c r="A178" s="443" t="s">
        <v>596</v>
      </c>
      <c r="B178" s="485">
        <f>IFERROR(__xludf.DUMMYFUNCTION("if(iferror(filter($E$3:$E$74, $D$3:$D$74=$A178, $E$3:$E$74=B$175), 0)=0, 0, counta(iferror(filter($E$3:$E$74, $D$3:$D$74=$A178, $E$3:$E$74=B$175), 0)))"),3.0)</f>
        <v>3</v>
      </c>
      <c r="C178" s="485">
        <f>IFERROR(__xludf.DUMMYFUNCTION("if(iferror(filter($E$3:$E$74, $D$3:$D$74=$A178, $E$3:$E$74=C$175), 0)=0, 0, counta(iferror(filter($E$3:$E$74, $D$3:$D$74=$A178, $E$3:$E$74=C$175), 0)))"),2.0)</f>
        <v>2</v>
      </c>
      <c r="D178" s="485">
        <f>IFERROR(__xludf.DUMMYFUNCTION("if(iferror(filter($E$3:$E$74, $D$3:$D$74=$A178, $E$3:$E$74=D$175), 0)=0, 0, counta(iferror(filter($E$3:$E$74, $D$3:$D$74=$A178, $E$3:$E$74=D$175), 0)))"),1.0)</f>
        <v>1</v>
      </c>
      <c r="E178" s="485">
        <f>IFERROR(__xludf.DUMMYFUNCTION("if(iferror(filter($E$3:$E$74, $D$3:$D$74=$A178, $E$3:$E$74=E$175), 0)=0, 0, counta(iferror(filter($E$3:$E$74, $D$3:$D$74=$A178, $E$3:$E$74=E$175), 0)))"),2.0)</f>
        <v>2</v>
      </c>
      <c r="F178" s="485">
        <f>IFERROR(__xludf.DUMMYFUNCTION("if(iferror(filter($E$3:$E$74, $D$3:$D$74=$A178, $E$3:$E$74=F$175), 0)=0, 0, counta(iferror(filter($E$3:$E$74, $D$3:$D$74=$A178, $E$3:$E$74=F$175), 0)))"),1.0)</f>
        <v>1</v>
      </c>
      <c r="G178" s="485">
        <f>IFERROR(__xludf.DUMMYFUNCTION("if(iferror(filter($E$3:$E$74, $D$3:$D$74=$A178, $E$3:$E$74=G$175), 0)=0, 0, counta(iferror(filter($E$3:$E$74, $D$3:$D$74=$A178, $E$3:$E$74=G$175), 0)))"),0.0)</f>
        <v>0</v>
      </c>
      <c r="H178" s="485">
        <f>IFERROR(__xludf.DUMMYFUNCTION("if(iferror(filter($E$3:$E$74, $D$3:$D$74=$A178, $E$3:$E$74=H$175), 0)=0, 0, counta(iferror(filter($E$3:$E$74, $D$3:$D$74=$A178, $E$3:$E$74=H$175), 0)))"),0.0)</f>
        <v>0</v>
      </c>
      <c r="M178" s="480"/>
      <c r="N178" s="249"/>
      <c r="O178" s="479"/>
      <c r="Q178" s="480"/>
      <c r="R178" s="481"/>
      <c r="T178" s="492">
        <f>IFERROR(__xludf.DUMMYFUNCTION("""COMPUTED_VALUE"""),0.0)</f>
        <v>0</v>
      </c>
      <c r="U178" s="249">
        <f>IFERROR(__xludf.DUMMYFUNCTION("""COMPUTED_VALUE"""),0.0)</f>
        <v>0</v>
      </c>
      <c r="V178" s="481"/>
    </row>
    <row r="179" ht="12.75" customHeight="1">
      <c r="A179" s="443" t="s">
        <v>633</v>
      </c>
      <c r="B179" s="485">
        <f>IFERROR(__xludf.DUMMYFUNCTION("if(iferror(filter($E$3:$E$74, $D$3:$D$74=$A179, $E$3:$E$74=B$175), 0)=0, 0, counta(iferror(filter($E$3:$E$74, $D$3:$D$74=$A179, $E$3:$E$74=B$175), 0)))"),2.0)</f>
        <v>2</v>
      </c>
      <c r="C179" s="485">
        <f>IFERROR(__xludf.DUMMYFUNCTION("if(iferror(filter($E$3:$E$74, $D$3:$D$74=$A179, $E$3:$E$74=C$175), 0)=0, 0, counta(iferror(filter($E$3:$E$74, $D$3:$D$74=$A179, $E$3:$E$74=C$175), 0)))"),2.0)</f>
        <v>2</v>
      </c>
      <c r="D179" s="485">
        <f>IFERROR(__xludf.DUMMYFUNCTION("if(iferror(filter($E$3:$E$74, $D$3:$D$74=$A179, $E$3:$E$74=D$175), 0)=0, 0, counta(iferror(filter($E$3:$E$74, $D$3:$D$74=$A179, $E$3:$E$74=D$175), 0)))"),2.0)</f>
        <v>2</v>
      </c>
      <c r="E179" s="485">
        <f>IFERROR(__xludf.DUMMYFUNCTION("if(iferror(filter($E$3:$E$74, $D$3:$D$74=$A179, $E$3:$E$74=E$175), 0)=0, 0, counta(iferror(filter($E$3:$E$74, $D$3:$D$74=$A179, $E$3:$E$74=E$175), 0)))"),2.0)</f>
        <v>2</v>
      </c>
      <c r="F179" s="485">
        <f>IFERROR(__xludf.DUMMYFUNCTION("if(iferror(filter($E$3:$E$74, $D$3:$D$74=$A179, $E$3:$E$74=F$175), 0)=0, 0, counta(iferror(filter($E$3:$E$74, $D$3:$D$74=$A179, $E$3:$E$74=F$175), 0)))"),1.0)</f>
        <v>1</v>
      </c>
      <c r="G179" s="485">
        <f>IFERROR(__xludf.DUMMYFUNCTION("if(iferror(filter($E$3:$E$74, $D$3:$D$74=$A179, $E$3:$E$74=G$175), 0)=0, 0, counta(iferror(filter($E$3:$E$74, $D$3:$D$74=$A179, $E$3:$E$74=G$175), 0)))"),0.0)</f>
        <v>0</v>
      </c>
      <c r="H179" s="485">
        <f>IFERROR(__xludf.DUMMYFUNCTION("if(iferror(filter($E$3:$E$74, $D$3:$D$74=$A179, $E$3:$E$74=H$175), 0)=0, 0, counta(iferror(filter($E$3:$E$74, $D$3:$D$74=$A179, $E$3:$E$74=H$175), 0)))"),0.0)</f>
        <v>0</v>
      </c>
      <c r="M179" s="480"/>
      <c r="N179" s="249"/>
      <c r="O179" s="479"/>
      <c r="Q179" s="480"/>
      <c r="R179" s="481"/>
      <c r="T179" s="492">
        <f>IFERROR(__xludf.DUMMYFUNCTION("""COMPUTED_VALUE"""),0.0)</f>
        <v>0</v>
      </c>
      <c r="U179" s="249">
        <f>IFERROR(__xludf.DUMMYFUNCTION("""COMPUTED_VALUE"""),0.0)</f>
        <v>0</v>
      </c>
      <c r="V179" s="481"/>
    </row>
    <row r="180" ht="12.75" customHeight="1">
      <c r="A180" s="443" t="s">
        <v>661</v>
      </c>
      <c r="B180" s="485">
        <f>IFERROR(__xludf.DUMMYFUNCTION("if(iferror(filter($E$3:$E$74, $D$3:$D$74=$A180, $E$3:$E$74=B$175), 0)=0, 0, counta(iferror(filter($E$3:$E$74, $D$3:$D$74=$A180, $E$3:$E$74=B$175), 0)))"),2.0)</f>
        <v>2</v>
      </c>
      <c r="C180" s="485">
        <f>IFERROR(__xludf.DUMMYFUNCTION("if(iferror(filter($E$3:$E$74, $D$3:$D$74=$A180, $E$3:$E$74=C$175), 0)=0, 0, counta(iferror(filter($E$3:$E$74, $D$3:$D$74=$A180, $E$3:$E$74=C$175), 0)))"),2.0)</f>
        <v>2</v>
      </c>
      <c r="D180" s="485">
        <f>IFERROR(__xludf.DUMMYFUNCTION("if(iferror(filter($E$3:$E$74, $D$3:$D$74=$A180, $E$3:$E$74=D$175), 0)=0, 0, counta(iferror(filter($E$3:$E$74, $D$3:$D$74=$A180, $E$3:$E$74=D$175), 0)))"),1.0)</f>
        <v>1</v>
      </c>
      <c r="E180" s="485">
        <f>IFERROR(__xludf.DUMMYFUNCTION("if(iferror(filter($E$3:$E$74, $D$3:$D$74=$A180, $E$3:$E$74=E$175), 0)=0, 0, counta(iferror(filter($E$3:$E$74, $D$3:$D$74=$A180, $E$3:$E$74=E$175), 0)))"),2.0)</f>
        <v>2</v>
      </c>
      <c r="F180" s="485">
        <f>IFERROR(__xludf.DUMMYFUNCTION("if(iferror(filter($E$3:$E$74, $D$3:$D$74=$A180, $E$3:$E$74=F$175), 0)=0, 0, counta(iferror(filter($E$3:$E$74, $D$3:$D$74=$A180, $E$3:$E$74=F$175), 0)))"),2.0)</f>
        <v>2</v>
      </c>
      <c r="G180" s="485">
        <f>IFERROR(__xludf.DUMMYFUNCTION("if(iferror(filter($E$3:$E$74, $D$3:$D$74=$A180, $E$3:$E$74=G$175), 0)=0, 0, counta(iferror(filter($E$3:$E$74, $D$3:$D$74=$A180, $E$3:$E$74=G$175), 0)))"),0.0)</f>
        <v>0</v>
      </c>
      <c r="H180" s="485">
        <f>IFERROR(__xludf.DUMMYFUNCTION("if(iferror(filter($E$3:$E$74, $D$3:$D$74=$A180, $E$3:$E$74=H$175), 0)=0, 0, counta(iferror(filter($E$3:$E$74, $D$3:$D$74=$A180, $E$3:$E$74=H$175), 0)))"),0.0)</f>
        <v>0</v>
      </c>
      <c r="M180" s="480"/>
      <c r="N180" s="249"/>
      <c r="O180" s="479"/>
      <c r="Q180" s="480"/>
      <c r="R180" s="481"/>
      <c r="T180" s="492">
        <f>IFERROR(__xludf.DUMMYFUNCTION("""COMPUTED_VALUE"""),0.0)</f>
        <v>0</v>
      </c>
      <c r="U180" s="249">
        <f>IFERROR(__xludf.DUMMYFUNCTION("""COMPUTED_VALUE"""),0.0)</f>
        <v>0</v>
      </c>
      <c r="V180" s="481"/>
    </row>
    <row r="181" ht="12.75" customHeight="1">
      <c r="A181" s="443" t="s">
        <v>689</v>
      </c>
      <c r="B181" s="485">
        <f>IFERROR(__xludf.DUMMYFUNCTION("if(iferror(filter($E$3:$E$74, $D$3:$D$74=$A181, $E$3:$E$74=B$175), 0)=0, 0, counta(iferror(filter($E$3:$E$74, $D$3:$D$74=$A181, $E$3:$E$74=B$175), 0)))"),2.0)</f>
        <v>2</v>
      </c>
      <c r="C181" s="485">
        <f>IFERROR(__xludf.DUMMYFUNCTION("if(iferror(filter($E$3:$E$74, $D$3:$D$74=$A181, $E$3:$E$74=C$175), 0)=0, 0, counta(iferror(filter($E$3:$E$74, $D$3:$D$74=$A181, $E$3:$E$74=C$175), 0)))"),2.0)</f>
        <v>2</v>
      </c>
      <c r="D181" s="485">
        <f>IFERROR(__xludf.DUMMYFUNCTION("if(iferror(filter($E$3:$E$74, $D$3:$D$74=$A181, $E$3:$E$74=D$175), 0)=0, 0, counta(iferror(filter($E$3:$E$74, $D$3:$D$74=$A181, $E$3:$E$74=D$175), 0)))"),1.0)</f>
        <v>1</v>
      </c>
      <c r="E181" s="485">
        <f>IFERROR(__xludf.DUMMYFUNCTION("if(iferror(filter($E$3:$E$74, $D$3:$D$74=$A181, $E$3:$E$74=E$175), 0)=0, 0, counta(iferror(filter($E$3:$E$74, $D$3:$D$74=$A181, $E$3:$E$74=E$175), 0)))"),1.0)</f>
        <v>1</v>
      </c>
      <c r="F181" s="485">
        <f>IFERROR(__xludf.DUMMYFUNCTION("if(iferror(filter($E$3:$E$74, $D$3:$D$74=$A181, $E$3:$E$74=F$175), 0)=0, 0, counta(iferror(filter($E$3:$E$74, $D$3:$D$74=$A181, $E$3:$E$74=F$175), 0)))"),3.0)</f>
        <v>3</v>
      </c>
      <c r="G181" s="485">
        <f>IFERROR(__xludf.DUMMYFUNCTION("if(iferror(filter($E$3:$E$74, $D$3:$D$74=$A181, $E$3:$E$74=G$175), 0)=0, 0, counta(iferror(filter($E$3:$E$74, $D$3:$D$74=$A181, $E$3:$E$74=G$175), 0)))"),0.0)</f>
        <v>0</v>
      </c>
      <c r="H181" s="485">
        <f>IFERROR(__xludf.DUMMYFUNCTION("if(iferror(filter($E$3:$E$74, $D$3:$D$74=$A181, $E$3:$E$74=H$175), 0)=0, 0, counta(iferror(filter($E$3:$E$74, $D$3:$D$74=$A181, $E$3:$E$74=H$175), 0)))"),0.0)</f>
        <v>0</v>
      </c>
      <c r="M181" s="480"/>
      <c r="N181" s="249"/>
      <c r="O181" s="479"/>
      <c r="Q181" s="480"/>
      <c r="R181" s="481"/>
      <c r="T181" s="492">
        <f>IFERROR(__xludf.DUMMYFUNCTION("""COMPUTED_VALUE"""),0.0)</f>
        <v>0</v>
      </c>
      <c r="U181" s="249">
        <f>IFERROR(__xludf.DUMMYFUNCTION("""COMPUTED_VALUE"""),0.0)</f>
        <v>0</v>
      </c>
      <c r="V181" s="481"/>
    </row>
    <row r="182" ht="12.75" customHeight="1">
      <c r="A182" s="443" t="s">
        <v>713</v>
      </c>
      <c r="B182" s="485">
        <f>IFERROR(__xludf.DUMMYFUNCTION("if(iferror(filter($E$3:$E$74, $D$3:$D$74=$A182, $E$3:$E$74=B$175), 0)=0, 0, counta(iferror(filter($E$3:$E$74, $D$3:$D$74=$A182, $E$3:$E$74=B$175), 0)))"),2.0)</f>
        <v>2</v>
      </c>
      <c r="C182" s="485">
        <f>IFERROR(__xludf.DUMMYFUNCTION("if(iferror(filter($E$3:$E$74, $D$3:$D$74=$A182, $E$3:$E$74=C$175), 0)=0, 0, counta(iferror(filter($E$3:$E$74, $D$3:$D$74=$A182, $E$3:$E$74=C$175), 0)))"),2.0)</f>
        <v>2</v>
      </c>
      <c r="D182" s="485">
        <f>IFERROR(__xludf.DUMMYFUNCTION("if(iferror(filter($E$3:$E$74, $D$3:$D$74=$A182, $E$3:$E$74=D$175), 0)=0, 0, counta(iferror(filter($E$3:$E$74, $D$3:$D$74=$A182, $E$3:$E$74=D$175), 0)))"),1.0)</f>
        <v>1</v>
      </c>
      <c r="E182" s="485">
        <f>IFERROR(__xludf.DUMMYFUNCTION("if(iferror(filter($E$3:$E$74, $D$3:$D$74=$A182, $E$3:$E$74=E$175), 0)=0, 0, counta(iferror(filter($E$3:$E$74, $D$3:$D$74=$A182, $E$3:$E$74=E$175), 0)))"),1.0)</f>
        <v>1</v>
      </c>
      <c r="F182" s="485">
        <f>IFERROR(__xludf.DUMMYFUNCTION("if(iferror(filter($E$3:$E$74, $D$3:$D$74=$A182, $E$3:$E$74=F$175), 0)=0, 0, counta(iferror(filter($E$3:$E$74, $D$3:$D$74=$A182, $E$3:$E$74=F$175), 0)))"),3.0)</f>
        <v>3</v>
      </c>
      <c r="G182" s="485">
        <f>IFERROR(__xludf.DUMMYFUNCTION("if(iferror(filter($E$3:$E$74, $D$3:$D$74=$A182, $E$3:$E$74=G$175), 0)=0, 0, counta(iferror(filter($E$3:$E$74, $D$3:$D$74=$A182, $E$3:$E$74=G$175), 0)))"),0.0)</f>
        <v>0</v>
      </c>
      <c r="H182" s="485">
        <f>IFERROR(__xludf.DUMMYFUNCTION("if(iferror(filter($E$3:$E$74, $D$3:$D$74=$A182, $E$3:$E$74=H$175), 0)=0, 0, counta(iferror(filter($E$3:$E$74, $D$3:$D$74=$A182, $E$3:$E$74=H$175), 0)))"),0.0)</f>
        <v>0</v>
      </c>
      <c r="M182" s="480"/>
      <c r="N182" s="249"/>
      <c r="O182" s="479"/>
      <c r="Q182" s="480"/>
      <c r="R182" s="481"/>
      <c r="T182" s="492"/>
      <c r="U182" s="249"/>
      <c r="V182" s="481"/>
    </row>
    <row r="183" ht="12.75" customHeight="1">
      <c r="A183" s="443" t="s">
        <v>732</v>
      </c>
      <c r="B183" s="485">
        <f>IFERROR(__xludf.DUMMYFUNCTION("if(iferror(filter($E$3:$E$74, $D$3:$D$74=$A183, $E$3:$E$74=B$175), 0)=0, 0, counta(iferror(filter($E$3:$E$74, $D$3:$D$74=$A183, $E$3:$E$74=B$175), 0)))"),2.0)</f>
        <v>2</v>
      </c>
      <c r="C183" s="485">
        <f>IFERROR(__xludf.DUMMYFUNCTION("if(iferror(filter($E$3:$E$74, $D$3:$D$74=$A183, $E$3:$E$74=C$175), 0)=0, 0, counta(iferror(filter($E$3:$E$74, $D$3:$D$74=$A183, $E$3:$E$74=C$175), 0)))"),2.0)</f>
        <v>2</v>
      </c>
      <c r="D183" s="485">
        <f>IFERROR(__xludf.DUMMYFUNCTION("if(iferror(filter($E$3:$E$74, $D$3:$D$74=$A183, $E$3:$E$74=D$175), 0)=0, 0, counta(iferror(filter($E$3:$E$74, $D$3:$D$74=$A183, $E$3:$E$74=D$175), 0)))"),1.0)</f>
        <v>1</v>
      </c>
      <c r="E183" s="485">
        <f>IFERROR(__xludf.DUMMYFUNCTION("if(iferror(filter($E$3:$E$74, $D$3:$D$74=$A183, $E$3:$E$74=E$175), 0)=0, 0, counta(iferror(filter($E$3:$E$74, $D$3:$D$74=$A183, $E$3:$E$74=E$175), 0)))"),1.0)</f>
        <v>1</v>
      </c>
      <c r="F183" s="485">
        <f>IFERROR(__xludf.DUMMYFUNCTION("if(iferror(filter($E$3:$E$74, $D$3:$D$74=$A183, $E$3:$E$74=F$175), 0)=0, 0, counta(iferror(filter($E$3:$E$74, $D$3:$D$74=$A183, $E$3:$E$74=F$175), 0)))"),3.0)</f>
        <v>3</v>
      </c>
      <c r="G183" s="485">
        <f>IFERROR(__xludf.DUMMYFUNCTION("if(iferror(filter($E$3:$E$74, $D$3:$D$74=$A183, $E$3:$E$74=G$175), 0)=0, 0, counta(iferror(filter($E$3:$E$74, $D$3:$D$74=$A183, $E$3:$E$74=G$175), 0)))"),0.0)</f>
        <v>0</v>
      </c>
      <c r="H183" s="485">
        <f>IFERROR(__xludf.DUMMYFUNCTION("if(iferror(filter($E$3:$E$74, $D$3:$D$74=$A183, $E$3:$E$74=H$175), 0)=0, 0, counta(iferror(filter($E$3:$E$74, $D$3:$D$74=$A183, $E$3:$E$74=H$175), 0)))"),0.0)</f>
        <v>0</v>
      </c>
      <c r="M183" s="480"/>
      <c r="N183" s="249"/>
      <c r="O183" s="479"/>
      <c r="Q183" s="480"/>
      <c r="R183" s="481"/>
      <c r="T183" s="492"/>
      <c r="U183" s="249"/>
      <c r="V183" s="481"/>
    </row>
    <row r="184" ht="12.75" customHeight="1">
      <c r="M184" s="480"/>
      <c r="N184" s="249"/>
      <c r="O184" s="479"/>
      <c r="Q184" s="480"/>
      <c r="R184" s="481"/>
      <c r="T184" s="492" t="str">
        <f>IFERROR(__xludf.DUMMYFUNCTION("""COMPUTED_VALUE"""),"Unl. Bomb")</f>
        <v>Unl. Bomb</v>
      </c>
      <c r="U184" s="249" t="str">
        <f>IFERROR(__xludf.DUMMYFUNCTION("""COMPUTED_VALUE"""),"Avatar")</f>
        <v>Avatar</v>
      </c>
      <c r="V184" s="481"/>
    </row>
    <row r="185" ht="12.75" customHeight="1">
      <c r="A185" s="472" t="s">
        <v>983</v>
      </c>
      <c r="B185" s="523"/>
      <c r="M185" s="480"/>
      <c r="N185" s="249"/>
      <c r="O185" s="479"/>
      <c r="Q185" s="480"/>
      <c r="R185" s="481"/>
      <c r="T185" s="492">
        <f>IFERROR(__xludf.DUMMYFUNCTION("""COMPUTED_VALUE"""),0.0)</f>
        <v>0</v>
      </c>
      <c r="U185" s="249">
        <f>IFERROR(__xludf.DUMMYFUNCTION("""COMPUTED_VALUE"""),0.0)</f>
        <v>0</v>
      </c>
      <c r="V185" s="481"/>
    </row>
    <row r="186" ht="12.75" customHeight="1">
      <c r="A186" s="440" t="s">
        <v>818</v>
      </c>
      <c r="B186" s="441" t="s">
        <v>76</v>
      </c>
      <c r="C186" s="441" t="s">
        <v>46</v>
      </c>
      <c r="D186" s="441" t="s">
        <v>47</v>
      </c>
      <c r="E186" s="441" t="s">
        <v>48</v>
      </c>
      <c r="F186" s="441" t="s">
        <v>50</v>
      </c>
      <c r="G186" s="441" t="s">
        <v>52</v>
      </c>
      <c r="H186" s="441" t="s">
        <v>53</v>
      </c>
      <c r="I186" s="441" t="s">
        <v>54</v>
      </c>
      <c r="J186" s="441" t="s">
        <v>990</v>
      </c>
      <c r="K186" s="441" t="s">
        <v>991</v>
      </c>
      <c r="L186" s="441" t="s">
        <v>992</v>
      </c>
      <c r="M186" s="539" t="s">
        <v>993</v>
      </c>
      <c r="N186" s="441" t="s">
        <v>122</v>
      </c>
      <c r="O186" s="479"/>
      <c r="P186" s="441"/>
      <c r="Q186" s="480"/>
      <c r="R186" s="481"/>
      <c r="T186" s="492">
        <f>IFERROR(__xludf.DUMMYFUNCTION("""COMPUTED_VALUE"""),0.0)</f>
        <v>0</v>
      </c>
      <c r="U186" s="249">
        <f>IFERROR(__xludf.DUMMYFUNCTION("""COMPUTED_VALUE"""),0.0)</f>
        <v>0</v>
      </c>
      <c r="V186" s="481"/>
    </row>
    <row r="187" ht="12.75" customHeight="1">
      <c r="A187" s="443" t="s">
        <v>531</v>
      </c>
      <c r="B187" s="444">
        <v>100.0</v>
      </c>
      <c r="C187" s="461">
        <v>0.0</v>
      </c>
      <c r="D187" s="461">
        <v>0.0</v>
      </c>
      <c r="E187" s="461">
        <v>0.0</v>
      </c>
      <c r="F187" s="461">
        <v>0.0</v>
      </c>
      <c r="G187" s="461">
        <v>0.0</v>
      </c>
      <c r="H187" s="461">
        <v>0.0</v>
      </c>
      <c r="I187" s="461">
        <v>0.0</v>
      </c>
      <c r="J187" s="461">
        <v>0.0</v>
      </c>
      <c r="K187" s="461">
        <v>0.0</v>
      </c>
      <c r="L187" s="524">
        <v>0.0</v>
      </c>
      <c r="M187" s="540">
        <v>0.0</v>
      </c>
      <c r="N187" s="461">
        <v>0.0</v>
      </c>
      <c r="O187" s="479"/>
      <c r="P187" s="541"/>
      <c r="Q187" s="480"/>
      <c r="R187" s="481"/>
      <c r="T187" s="492">
        <f>IFERROR(__xludf.DUMMYFUNCTION("""COMPUTED_VALUE"""),0.0)</f>
        <v>0</v>
      </c>
      <c r="U187" s="249">
        <f>IFERROR(__xludf.DUMMYFUNCTION("""COMPUTED_VALUE"""),0.0)</f>
        <v>0</v>
      </c>
      <c r="V187" s="481"/>
    </row>
    <row r="188" ht="12.75" customHeight="1">
      <c r="A188" s="443" t="s">
        <v>563</v>
      </c>
      <c r="B188" s="461">
        <v>0.0</v>
      </c>
      <c r="C188" s="444">
        <v>1.0</v>
      </c>
      <c r="D188" s="461">
        <v>0.0</v>
      </c>
      <c r="E188" s="461">
        <v>0.0</v>
      </c>
      <c r="F188" s="461">
        <v>0.0</v>
      </c>
      <c r="G188" s="461">
        <v>0.0</v>
      </c>
      <c r="H188" s="461">
        <v>0.0</v>
      </c>
      <c r="I188" s="461">
        <v>0.0</v>
      </c>
      <c r="J188" s="461">
        <v>0.0</v>
      </c>
      <c r="K188" s="461">
        <v>0.0</v>
      </c>
      <c r="L188" s="524">
        <v>0.0</v>
      </c>
      <c r="M188" s="540">
        <v>0.0</v>
      </c>
      <c r="N188" s="461">
        <v>0.0</v>
      </c>
      <c r="O188" s="479"/>
      <c r="P188" s="541"/>
      <c r="Q188" s="480"/>
      <c r="R188" s="481"/>
      <c r="T188" s="492"/>
      <c r="U188" s="249"/>
      <c r="V188" s="481"/>
    </row>
    <row r="189" ht="12.75" customHeight="1">
      <c r="A189" s="443" t="s">
        <v>596</v>
      </c>
      <c r="B189" s="461">
        <v>0.0</v>
      </c>
      <c r="C189" s="461">
        <v>0.0</v>
      </c>
      <c r="D189" s="444">
        <v>1.0</v>
      </c>
      <c r="E189" s="461">
        <v>0.0</v>
      </c>
      <c r="F189" s="461">
        <v>0.0</v>
      </c>
      <c r="G189" s="461">
        <v>0.0</v>
      </c>
      <c r="H189" s="461">
        <v>0.0</v>
      </c>
      <c r="I189" s="461">
        <v>0.0</v>
      </c>
      <c r="J189" s="461">
        <v>0.0</v>
      </c>
      <c r="K189" s="461">
        <v>0.0</v>
      </c>
      <c r="L189" s="524">
        <v>0.0</v>
      </c>
      <c r="M189" s="540">
        <v>0.0</v>
      </c>
      <c r="N189" s="461">
        <v>0.0</v>
      </c>
      <c r="O189" s="479"/>
      <c r="P189" s="541"/>
      <c r="Q189" s="480"/>
      <c r="R189" s="481"/>
      <c r="T189" s="492"/>
      <c r="U189" s="249"/>
      <c r="V189" s="481"/>
    </row>
    <row r="190" ht="12.75" customHeight="1">
      <c r="A190" s="443" t="s">
        <v>633</v>
      </c>
      <c r="B190" s="461">
        <v>0.0</v>
      </c>
      <c r="C190" s="461">
        <v>0.0</v>
      </c>
      <c r="D190" s="461">
        <v>0.0</v>
      </c>
      <c r="E190" s="444">
        <v>1.0</v>
      </c>
      <c r="F190" s="461">
        <v>0.0</v>
      </c>
      <c r="G190" s="461">
        <v>0.0</v>
      </c>
      <c r="H190" s="461">
        <v>0.0</v>
      </c>
      <c r="I190" s="461">
        <v>0.0</v>
      </c>
      <c r="J190" s="461">
        <v>0.0</v>
      </c>
      <c r="K190" s="461">
        <v>0.0</v>
      </c>
      <c r="L190" s="524">
        <v>0.0</v>
      </c>
      <c r="M190" s="540">
        <v>0.0</v>
      </c>
      <c r="N190" s="461">
        <v>0.0</v>
      </c>
      <c r="O190" s="479"/>
      <c r="P190" s="541"/>
      <c r="Q190" s="480"/>
      <c r="R190" s="481"/>
      <c r="T190" s="492"/>
      <c r="U190" s="249"/>
      <c r="V190" s="481"/>
    </row>
    <row r="191" ht="12.75" customHeight="1">
      <c r="A191" s="443" t="s">
        <v>661</v>
      </c>
      <c r="B191" s="461">
        <v>0.0</v>
      </c>
      <c r="C191" s="461">
        <v>0.0</v>
      </c>
      <c r="D191" s="461">
        <v>0.0</v>
      </c>
      <c r="E191" s="461">
        <v>0.0</v>
      </c>
      <c r="F191" s="444">
        <v>1.0</v>
      </c>
      <c r="G191" s="461">
        <v>0.0</v>
      </c>
      <c r="H191" s="461">
        <v>0.0</v>
      </c>
      <c r="I191" s="461">
        <v>0.0</v>
      </c>
      <c r="J191" s="461">
        <v>0.0</v>
      </c>
      <c r="K191" s="461">
        <v>0.0</v>
      </c>
      <c r="L191" s="524">
        <v>0.0</v>
      </c>
      <c r="M191" s="540">
        <v>0.0</v>
      </c>
      <c r="N191" s="461">
        <v>0.0</v>
      </c>
      <c r="O191" s="479"/>
      <c r="P191" s="541"/>
      <c r="Q191" s="480"/>
      <c r="R191" s="481"/>
      <c r="T191" s="492"/>
      <c r="U191" s="249"/>
      <c r="V191" s="481"/>
    </row>
    <row r="192" ht="12.75" customHeight="1">
      <c r="A192" s="443" t="s">
        <v>689</v>
      </c>
      <c r="B192" s="461">
        <v>0.0</v>
      </c>
      <c r="C192" s="461">
        <v>0.0</v>
      </c>
      <c r="D192" s="461">
        <v>0.0</v>
      </c>
      <c r="E192" s="461">
        <v>0.0</v>
      </c>
      <c r="F192" s="461">
        <v>0.0</v>
      </c>
      <c r="G192" s="444">
        <v>1.0</v>
      </c>
      <c r="H192" s="461">
        <v>0.0</v>
      </c>
      <c r="I192" s="461">
        <v>0.0</v>
      </c>
      <c r="J192" s="461">
        <v>0.0</v>
      </c>
      <c r="K192" s="461">
        <v>0.0</v>
      </c>
      <c r="L192" s="524">
        <v>0.0</v>
      </c>
      <c r="M192" s="540">
        <v>0.0</v>
      </c>
      <c r="N192" s="461">
        <v>0.0</v>
      </c>
      <c r="O192" s="479"/>
      <c r="P192" s="541"/>
      <c r="Q192" s="480"/>
      <c r="R192" s="481"/>
      <c r="T192" s="492"/>
      <c r="U192" s="249"/>
      <c r="V192" s="481"/>
    </row>
    <row r="193" ht="12.75" customHeight="1">
      <c r="A193" s="443" t="s">
        <v>713</v>
      </c>
      <c r="B193" s="461">
        <v>0.0</v>
      </c>
      <c r="C193" s="461">
        <v>0.0</v>
      </c>
      <c r="D193" s="461">
        <v>0.0</v>
      </c>
      <c r="E193" s="461">
        <v>0.0</v>
      </c>
      <c r="F193" s="461">
        <v>0.0</v>
      </c>
      <c r="G193" s="461">
        <v>0.0</v>
      </c>
      <c r="H193" s="444">
        <v>1.0</v>
      </c>
      <c r="I193" s="461">
        <v>0.0</v>
      </c>
      <c r="J193" s="461">
        <v>0.0</v>
      </c>
      <c r="K193" s="461">
        <v>0.0</v>
      </c>
      <c r="L193" s="524">
        <v>0.0</v>
      </c>
      <c r="M193" s="540">
        <v>0.0</v>
      </c>
      <c r="N193" s="461">
        <v>0.0</v>
      </c>
      <c r="O193" s="479"/>
      <c r="P193" s="541"/>
      <c r="Q193" s="480"/>
      <c r="R193" s="481"/>
      <c r="T193" s="492"/>
      <c r="U193" s="249"/>
      <c r="V193" s="481"/>
    </row>
    <row r="194" ht="12.75" customHeight="1">
      <c r="A194" s="443" t="s">
        <v>732</v>
      </c>
      <c r="B194" s="461">
        <v>0.0</v>
      </c>
      <c r="C194" s="461">
        <v>0.0</v>
      </c>
      <c r="D194" s="461">
        <v>0.0</v>
      </c>
      <c r="E194" s="461">
        <v>0.0</v>
      </c>
      <c r="F194" s="461">
        <v>0.0</v>
      </c>
      <c r="G194" s="461">
        <v>0.0</v>
      </c>
      <c r="H194" s="461">
        <v>0.0</v>
      </c>
      <c r="I194" s="444">
        <v>1.0</v>
      </c>
      <c r="J194" s="461">
        <v>0.0</v>
      </c>
      <c r="K194" s="461">
        <v>0.0</v>
      </c>
      <c r="L194" s="524">
        <v>0.0</v>
      </c>
      <c r="M194" s="540">
        <v>0.0</v>
      </c>
      <c r="N194" s="461">
        <v>0.0</v>
      </c>
      <c r="O194" s="479"/>
      <c r="P194" s="541"/>
      <c r="Q194" s="480"/>
      <c r="R194" s="481"/>
      <c r="T194" s="492"/>
      <c r="U194" s="249"/>
      <c r="V194" s="481"/>
    </row>
    <row r="195" ht="12.75" customHeight="1">
      <c r="M195" s="480"/>
      <c r="N195" s="249"/>
      <c r="O195" s="479"/>
      <c r="Q195" s="480"/>
      <c r="R195" s="481"/>
      <c r="T195" s="492"/>
      <c r="U195" s="249"/>
      <c r="V195" s="481"/>
    </row>
    <row r="196" ht="12.75" customHeight="1">
      <c r="A196" s="472" t="s">
        <v>1028</v>
      </c>
      <c r="B196" s="523"/>
      <c r="M196" s="480"/>
      <c r="N196" s="249"/>
      <c r="O196" s="479"/>
      <c r="Q196" s="480"/>
      <c r="R196" s="481"/>
      <c r="T196" s="492"/>
      <c r="U196" s="249"/>
      <c r="V196" s="481"/>
    </row>
    <row r="197" ht="12.75" customHeight="1">
      <c r="A197" s="440" t="s">
        <v>818</v>
      </c>
      <c r="B197" s="441" t="s">
        <v>76</v>
      </c>
      <c r="C197" s="441" t="s">
        <v>46</v>
      </c>
      <c r="D197" s="441" t="s">
        <v>47</v>
      </c>
      <c r="E197" s="441" t="s">
        <v>48</v>
      </c>
      <c r="F197" s="441" t="s">
        <v>50</v>
      </c>
      <c r="G197" s="441" t="s">
        <v>52</v>
      </c>
      <c r="H197" s="441" t="s">
        <v>53</v>
      </c>
      <c r="I197" s="441" t="s">
        <v>54</v>
      </c>
      <c r="J197" s="441" t="s">
        <v>990</v>
      </c>
      <c r="K197" s="441" t="s">
        <v>991</v>
      </c>
      <c r="L197" s="441" t="s">
        <v>992</v>
      </c>
      <c r="M197" s="539" t="s">
        <v>993</v>
      </c>
      <c r="N197" s="441" t="s">
        <v>122</v>
      </c>
      <c r="O197" s="479"/>
      <c r="P197" s="441"/>
      <c r="Q197" s="480"/>
      <c r="R197" s="481"/>
      <c r="T197" s="492"/>
      <c r="U197" s="249"/>
      <c r="V197" s="481"/>
    </row>
    <row r="198" ht="12.75" customHeight="1">
      <c r="A198" s="443" t="s">
        <v>531</v>
      </c>
      <c r="B198" s="444">
        <v>100.0</v>
      </c>
      <c r="C198" s="461">
        <v>0.0</v>
      </c>
      <c r="D198" s="461">
        <v>0.0</v>
      </c>
      <c r="E198" s="461">
        <v>0.0</v>
      </c>
      <c r="F198" s="461">
        <v>0.0</v>
      </c>
      <c r="G198" s="461">
        <v>0.0</v>
      </c>
      <c r="H198" s="461">
        <v>0.0</v>
      </c>
      <c r="I198" s="461">
        <v>0.0</v>
      </c>
      <c r="J198" s="461">
        <v>0.0</v>
      </c>
      <c r="K198" s="461">
        <v>0.0</v>
      </c>
      <c r="L198" s="524">
        <v>0.0</v>
      </c>
      <c r="M198" s="540">
        <v>0.0</v>
      </c>
      <c r="N198" s="461">
        <v>0.0</v>
      </c>
      <c r="O198" s="479"/>
      <c r="P198" s="541"/>
      <c r="Q198" s="480"/>
      <c r="R198" s="481"/>
      <c r="T198" s="492"/>
      <c r="U198" s="249"/>
      <c r="V198" s="481"/>
    </row>
    <row r="199" ht="12.75" customHeight="1">
      <c r="A199" s="443" t="s">
        <v>563</v>
      </c>
      <c r="B199" s="461">
        <v>0.0</v>
      </c>
      <c r="C199" s="444">
        <v>1.0</v>
      </c>
      <c r="D199" s="461">
        <v>0.0</v>
      </c>
      <c r="E199" s="461">
        <v>0.0</v>
      </c>
      <c r="F199" s="461">
        <v>0.0</v>
      </c>
      <c r="G199" s="461">
        <v>0.0</v>
      </c>
      <c r="H199" s="461">
        <v>0.0</v>
      </c>
      <c r="I199" s="461">
        <v>0.0</v>
      </c>
      <c r="J199" s="461">
        <v>0.0</v>
      </c>
      <c r="K199" s="461">
        <v>0.0</v>
      </c>
      <c r="L199" s="524">
        <v>0.0</v>
      </c>
      <c r="M199" s="540">
        <v>0.0</v>
      </c>
      <c r="N199" s="461">
        <v>0.0</v>
      </c>
      <c r="O199" s="479"/>
      <c r="P199" s="541"/>
      <c r="Q199" s="480"/>
      <c r="R199" s="481"/>
      <c r="T199" s="492"/>
      <c r="U199" s="249"/>
      <c r="V199" s="481"/>
    </row>
    <row r="200" ht="12.75" customHeight="1">
      <c r="A200" s="443" t="s">
        <v>596</v>
      </c>
      <c r="B200" s="461">
        <v>0.0</v>
      </c>
      <c r="C200" s="461">
        <v>0.0</v>
      </c>
      <c r="D200" s="444">
        <v>1.0</v>
      </c>
      <c r="E200" s="461">
        <v>0.0</v>
      </c>
      <c r="F200" s="461">
        <v>0.0</v>
      </c>
      <c r="G200" s="461">
        <v>0.0</v>
      </c>
      <c r="H200" s="461">
        <v>0.0</v>
      </c>
      <c r="I200" s="461">
        <v>0.0</v>
      </c>
      <c r="J200" s="461">
        <v>0.0</v>
      </c>
      <c r="K200" s="461">
        <v>0.0</v>
      </c>
      <c r="L200" s="524">
        <v>0.0</v>
      </c>
      <c r="M200" s="540">
        <v>0.0</v>
      </c>
      <c r="N200" s="461">
        <v>0.0</v>
      </c>
      <c r="O200" s="479"/>
      <c r="P200" s="541"/>
      <c r="Q200" s="480"/>
      <c r="R200" s="481"/>
      <c r="T200" s="492"/>
      <c r="U200" s="249"/>
      <c r="V200" s="481"/>
    </row>
    <row r="201" ht="12.75" customHeight="1">
      <c r="A201" s="443" t="s">
        <v>633</v>
      </c>
      <c r="B201" s="461">
        <v>0.0</v>
      </c>
      <c r="C201" s="461">
        <v>0.0</v>
      </c>
      <c r="D201" s="461">
        <v>0.0</v>
      </c>
      <c r="E201" s="444">
        <v>1.0</v>
      </c>
      <c r="F201" s="461">
        <v>0.0</v>
      </c>
      <c r="G201" s="461">
        <v>0.0</v>
      </c>
      <c r="H201" s="461">
        <v>0.0</v>
      </c>
      <c r="I201" s="461">
        <v>0.0</v>
      </c>
      <c r="J201" s="461">
        <v>0.0</v>
      </c>
      <c r="K201" s="461">
        <v>0.0</v>
      </c>
      <c r="L201" s="524">
        <v>0.0</v>
      </c>
      <c r="M201" s="540">
        <v>0.0</v>
      </c>
      <c r="N201" s="461">
        <v>0.0</v>
      </c>
      <c r="O201" s="479"/>
      <c r="P201" s="541"/>
      <c r="Q201" s="480"/>
      <c r="R201" s="481"/>
      <c r="T201" s="492"/>
      <c r="U201" s="249"/>
      <c r="V201" s="481"/>
    </row>
    <row r="202" ht="12.75" customHeight="1">
      <c r="A202" s="443" t="s">
        <v>661</v>
      </c>
      <c r="B202" s="461">
        <v>0.0</v>
      </c>
      <c r="C202" s="461">
        <v>0.0</v>
      </c>
      <c r="D202" s="461">
        <v>0.0</v>
      </c>
      <c r="E202" s="461">
        <v>0.0</v>
      </c>
      <c r="F202" s="444">
        <v>1.0</v>
      </c>
      <c r="G202" s="461">
        <v>0.0</v>
      </c>
      <c r="H202" s="461">
        <v>0.0</v>
      </c>
      <c r="I202" s="461">
        <v>0.0</v>
      </c>
      <c r="J202" s="461">
        <v>0.0</v>
      </c>
      <c r="K202" s="461">
        <v>0.0</v>
      </c>
      <c r="L202" s="524">
        <v>0.0</v>
      </c>
      <c r="M202" s="540">
        <v>0.0</v>
      </c>
      <c r="N202" s="461">
        <v>0.0</v>
      </c>
      <c r="O202" s="479"/>
      <c r="P202" s="541"/>
      <c r="Q202" s="480"/>
      <c r="R202" s="481"/>
      <c r="T202" s="492"/>
      <c r="U202" s="249"/>
      <c r="V202" s="481"/>
    </row>
    <row r="203" ht="12.75" customHeight="1">
      <c r="A203" s="443" t="s">
        <v>689</v>
      </c>
      <c r="B203" s="461">
        <v>0.0</v>
      </c>
      <c r="C203" s="461">
        <v>0.0</v>
      </c>
      <c r="D203" s="461">
        <v>0.0</v>
      </c>
      <c r="E203" s="461">
        <v>0.0</v>
      </c>
      <c r="F203" s="461">
        <v>0.0</v>
      </c>
      <c r="G203" s="444">
        <v>1.0</v>
      </c>
      <c r="H203" s="461">
        <v>0.0</v>
      </c>
      <c r="I203" s="461">
        <v>0.0</v>
      </c>
      <c r="J203" s="461">
        <v>0.0</v>
      </c>
      <c r="K203" s="461">
        <v>0.0</v>
      </c>
      <c r="L203" s="524">
        <v>0.0</v>
      </c>
      <c r="M203" s="540">
        <v>0.0</v>
      </c>
      <c r="N203" s="461">
        <v>0.0</v>
      </c>
      <c r="O203" s="479"/>
      <c r="P203" s="541"/>
      <c r="Q203" s="480"/>
      <c r="R203" s="481"/>
      <c r="T203" s="492"/>
      <c r="U203" s="249"/>
      <c r="V203" s="481"/>
    </row>
    <row r="204" ht="12.75" customHeight="1">
      <c r="A204" s="443" t="s">
        <v>713</v>
      </c>
      <c r="B204" s="461">
        <v>0.0</v>
      </c>
      <c r="C204" s="461">
        <v>0.0</v>
      </c>
      <c r="D204" s="461">
        <v>0.0</v>
      </c>
      <c r="E204" s="461">
        <v>0.0</v>
      </c>
      <c r="F204" s="461">
        <v>0.0</v>
      </c>
      <c r="G204" s="461">
        <v>0.0</v>
      </c>
      <c r="H204" s="444">
        <v>1.0</v>
      </c>
      <c r="I204" s="461">
        <v>0.0</v>
      </c>
      <c r="J204" s="461">
        <v>0.0</v>
      </c>
      <c r="K204" s="461">
        <v>0.0</v>
      </c>
      <c r="L204" s="524">
        <v>0.0</v>
      </c>
      <c r="M204" s="540">
        <v>0.0</v>
      </c>
      <c r="N204" s="461">
        <v>0.0</v>
      </c>
      <c r="O204" s="479"/>
      <c r="P204" s="541"/>
      <c r="Q204" s="480"/>
      <c r="R204" s="481"/>
      <c r="T204" s="492"/>
      <c r="U204" s="249"/>
      <c r="V204" s="481"/>
    </row>
    <row r="205" ht="12.75" customHeight="1">
      <c r="A205" s="443" t="s">
        <v>732</v>
      </c>
      <c r="B205" s="461">
        <v>0.0</v>
      </c>
      <c r="C205" s="461">
        <v>0.0</v>
      </c>
      <c r="D205" s="461">
        <v>0.0</v>
      </c>
      <c r="E205" s="461">
        <v>0.0</v>
      </c>
      <c r="F205" s="461">
        <v>0.0</v>
      </c>
      <c r="G205" s="461">
        <v>0.0</v>
      </c>
      <c r="H205" s="461">
        <v>0.0</v>
      </c>
      <c r="I205" s="444">
        <v>1.0</v>
      </c>
      <c r="J205" s="461">
        <v>0.0</v>
      </c>
      <c r="K205" s="461">
        <v>0.0</v>
      </c>
      <c r="L205" s="524">
        <v>0.0</v>
      </c>
      <c r="M205" s="540">
        <v>0.0</v>
      </c>
      <c r="N205" s="461">
        <v>0.0</v>
      </c>
      <c r="O205" s="479"/>
      <c r="P205" s="541"/>
      <c r="Q205" s="480"/>
      <c r="R205" s="481"/>
      <c r="T205" s="492"/>
      <c r="U205" s="249"/>
      <c r="V205" s="481"/>
    </row>
    <row r="206" ht="12.75" customHeight="1">
      <c r="M206" s="480"/>
      <c r="N206" s="249"/>
      <c r="O206" s="479"/>
      <c r="Q206" s="480"/>
      <c r="R206" s="481"/>
      <c r="T206" s="492"/>
      <c r="U206" s="249"/>
      <c r="V206" s="481"/>
    </row>
    <row r="207" ht="12.75" customHeight="1">
      <c r="A207" s="472" t="s">
        <v>1055</v>
      </c>
      <c r="B207" s="523"/>
      <c r="M207" s="480"/>
      <c r="N207" s="249"/>
      <c r="O207" s="479"/>
      <c r="Q207" s="480"/>
      <c r="R207" s="481"/>
      <c r="T207" s="492"/>
      <c r="U207" s="249"/>
      <c r="V207" s="481"/>
    </row>
    <row r="208" ht="12.75" customHeight="1">
      <c r="A208" s="440" t="s">
        <v>818</v>
      </c>
      <c r="B208" s="441" t="s">
        <v>76</v>
      </c>
      <c r="C208" s="441" t="s">
        <v>46</v>
      </c>
      <c r="D208" s="441" t="s">
        <v>47</v>
      </c>
      <c r="E208" s="441" t="s">
        <v>48</v>
      </c>
      <c r="F208" s="441" t="s">
        <v>50</v>
      </c>
      <c r="G208" s="441" t="s">
        <v>52</v>
      </c>
      <c r="H208" s="441" t="s">
        <v>53</v>
      </c>
      <c r="I208" s="441" t="s">
        <v>54</v>
      </c>
      <c r="J208" s="441" t="s">
        <v>990</v>
      </c>
      <c r="K208" s="441" t="s">
        <v>991</v>
      </c>
      <c r="L208" s="441" t="s">
        <v>992</v>
      </c>
      <c r="M208" s="539" t="s">
        <v>993</v>
      </c>
      <c r="N208" s="441" t="s">
        <v>122</v>
      </c>
      <c r="O208" s="479"/>
      <c r="P208" s="441"/>
      <c r="Q208" s="480"/>
      <c r="R208" s="481"/>
      <c r="T208" s="492"/>
      <c r="U208" s="249"/>
      <c r="V208" s="481"/>
    </row>
    <row r="209" ht="12.75" customHeight="1">
      <c r="A209" s="443" t="s">
        <v>531</v>
      </c>
      <c r="B209" s="444">
        <v>100.0</v>
      </c>
      <c r="C209" s="461">
        <v>0.0</v>
      </c>
      <c r="D209" s="461">
        <v>0.0</v>
      </c>
      <c r="E209" s="461">
        <v>0.0</v>
      </c>
      <c r="F209" s="461">
        <v>0.0</v>
      </c>
      <c r="G209" s="461">
        <v>0.0</v>
      </c>
      <c r="H209" s="461">
        <v>0.0</v>
      </c>
      <c r="I209" s="461">
        <v>0.0</v>
      </c>
      <c r="J209" s="461">
        <v>0.0</v>
      </c>
      <c r="K209" s="461">
        <v>0.0</v>
      </c>
      <c r="L209" s="524">
        <v>0.0</v>
      </c>
      <c r="M209" s="540">
        <v>0.0</v>
      </c>
      <c r="N209" s="461">
        <v>0.0</v>
      </c>
      <c r="O209" s="479"/>
      <c r="P209" s="541"/>
      <c r="Q209" s="480"/>
      <c r="R209" s="481"/>
      <c r="T209" s="492"/>
      <c r="U209" s="249"/>
      <c r="V209" s="481"/>
    </row>
    <row r="210" ht="12.75" customHeight="1">
      <c r="A210" s="443" t="s">
        <v>563</v>
      </c>
      <c r="B210" s="461">
        <v>0.0</v>
      </c>
      <c r="C210" s="444">
        <v>1.0</v>
      </c>
      <c r="D210" s="461">
        <v>0.0</v>
      </c>
      <c r="E210" s="461">
        <v>0.0</v>
      </c>
      <c r="F210" s="461">
        <v>0.0</v>
      </c>
      <c r="G210" s="461">
        <v>0.0</v>
      </c>
      <c r="H210" s="461">
        <v>0.0</v>
      </c>
      <c r="I210" s="461">
        <v>0.0</v>
      </c>
      <c r="J210" s="461">
        <v>0.0</v>
      </c>
      <c r="K210" s="461">
        <v>0.0</v>
      </c>
      <c r="L210" s="524">
        <v>0.0</v>
      </c>
      <c r="M210" s="540">
        <v>0.0</v>
      </c>
      <c r="N210" s="461">
        <v>0.0</v>
      </c>
      <c r="O210" s="479"/>
      <c r="P210" s="541"/>
      <c r="Q210" s="480"/>
      <c r="R210" s="481"/>
      <c r="T210" s="492"/>
      <c r="U210" s="249"/>
      <c r="V210" s="481"/>
    </row>
    <row r="211" ht="12.75" customHeight="1">
      <c r="A211" s="443" t="s">
        <v>596</v>
      </c>
      <c r="B211" s="461">
        <v>0.0</v>
      </c>
      <c r="C211" s="461">
        <v>0.0</v>
      </c>
      <c r="D211" s="444">
        <v>1.0</v>
      </c>
      <c r="E211" s="461">
        <v>0.0</v>
      </c>
      <c r="F211" s="461">
        <v>0.0</v>
      </c>
      <c r="G211" s="461">
        <v>0.0</v>
      </c>
      <c r="H211" s="461">
        <v>0.0</v>
      </c>
      <c r="I211" s="461">
        <v>0.0</v>
      </c>
      <c r="J211" s="461">
        <v>0.0</v>
      </c>
      <c r="K211" s="461">
        <v>0.0</v>
      </c>
      <c r="L211" s="524">
        <v>0.0</v>
      </c>
      <c r="M211" s="540">
        <v>0.0</v>
      </c>
      <c r="N211" s="461">
        <v>0.0</v>
      </c>
      <c r="O211" s="479"/>
      <c r="P211" s="541"/>
      <c r="Q211" s="480"/>
      <c r="R211" s="481"/>
      <c r="T211" s="492"/>
      <c r="U211" s="249"/>
      <c r="V211" s="481"/>
    </row>
    <row r="212" ht="12.75" customHeight="1">
      <c r="A212" s="443" t="s">
        <v>633</v>
      </c>
      <c r="B212" s="461">
        <v>0.0</v>
      </c>
      <c r="C212" s="461">
        <v>0.0</v>
      </c>
      <c r="D212" s="461">
        <v>0.0</v>
      </c>
      <c r="E212" s="444">
        <v>1.0</v>
      </c>
      <c r="F212" s="461">
        <v>0.0</v>
      </c>
      <c r="G212" s="461">
        <v>0.0</v>
      </c>
      <c r="H212" s="461">
        <v>0.0</v>
      </c>
      <c r="I212" s="461">
        <v>0.0</v>
      </c>
      <c r="J212" s="461">
        <v>0.0</v>
      </c>
      <c r="K212" s="461">
        <v>0.0</v>
      </c>
      <c r="L212" s="524">
        <v>0.0</v>
      </c>
      <c r="M212" s="540">
        <v>0.0</v>
      </c>
      <c r="N212" s="461">
        <v>0.0</v>
      </c>
      <c r="O212" s="479"/>
      <c r="P212" s="541"/>
      <c r="Q212" s="480"/>
      <c r="R212" s="481"/>
      <c r="T212" s="492"/>
      <c r="U212" s="249"/>
      <c r="V212" s="481"/>
    </row>
    <row r="213" ht="12.75" customHeight="1">
      <c r="A213" s="443" t="s">
        <v>661</v>
      </c>
      <c r="B213" s="461">
        <v>0.0</v>
      </c>
      <c r="C213" s="461">
        <v>0.0</v>
      </c>
      <c r="D213" s="461">
        <v>0.0</v>
      </c>
      <c r="E213" s="461">
        <v>0.0</v>
      </c>
      <c r="F213" s="444">
        <v>1.0</v>
      </c>
      <c r="G213" s="461">
        <v>0.0</v>
      </c>
      <c r="H213" s="461">
        <v>0.0</v>
      </c>
      <c r="I213" s="461">
        <v>0.0</v>
      </c>
      <c r="J213" s="461">
        <v>0.0</v>
      </c>
      <c r="K213" s="461">
        <v>0.0</v>
      </c>
      <c r="L213" s="524">
        <v>0.0</v>
      </c>
      <c r="M213" s="540">
        <v>0.0</v>
      </c>
      <c r="N213" s="461">
        <v>0.0</v>
      </c>
      <c r="O213" s="479"/>
      <c r="P213" s="541"/>
      <c r="Q213" s="480"/>
      <c r="R213" s="481"/>
      <c r="T213" s="492"/>
      <c r="U213" s="249"/>
      <c r="V213" s="481"/>
    </row>
    <row r="214" ht="12.75" customHeight="1">
      <c r="A214" s="443" t="s">
        <v>689</v>
      </c>
      <c r="B214" s="461">
        <v>0.0</v>
      </c>
      <c r="C214" s="461">
        <v>0.0</v>
      </c>
      <c r="D214" s="461">
        <v>0.0</v>
      </c>
      <c r="E214" s="461">
        <v>0.0</v>
      </c>
      <c r="F214" s="461">
        <v>0.0</v>
      </c>
      <c r="G214" s="444">
        <v>1.0</v>
      </c>
      <c r="H214" s="461">
        <v>0.0</v>
      </c>
      <c r="I214" s="461">
        <v>0.0</v>
      </c>
      <c r="J214" s="461">
        <v>0.0</v>
      </c>
      <c r="K214" s="461">
        <v>0.0</v>
      </c>
      <c r="L214" s="524">
        <v>0.0</v>
      </c>
      <c r="M214" s="540">
        <v>0.0</v>
      </c>
      <c r="N214" s="461">
        <v>0.0</v>
      </c>
      <c r="O214" s="479"/>
      <c r="P214" s="541"/>
      <c r="Q214" s="480"/>
      <c r="R214" s="481"/>
      <c r="T214" s="492"/>
      <c r="U214" s="249"/>
      <c r="V214" s="481"/>
    </row>
    <row r="215" ht="12.75" customHeight="1">
      <c r="A215" s="443" t="s">
        <v>713</v>
      </c>
      <c r="B215" s="461">
        <v>0.0</v>
      </c>
      <c r="C215" s="461">
        <v>0.0</v>
      </c>
      <c r="D215" s="461">
        <v>0.0</v>
      </c>
      <c r="E215" s="461">
        <v>0.0</v>
      </c>
      <c r="F215" s="461">
        <v>0.0</v>
      </c>
      <c r="G215" s="461">
        <v>0.0</v>
      </c>
      <c r="H215" s="444">
        <v>1.0</v>
      </c>
      <c r="I215" s="461">
        <v>0.0</v>
      </c>
      <c r="J215" s="461">
        <v>0.0</v>
      </c>
      <c r="K215" s="461">
        <v>0.0</v>
      </c>
      <c r="L215" s="524">
        <v>0.0</v>
      </c>
      <c r="M215" s="540">
        <v>0.0</v>
      </c>
      <c r="N215" s="461">
        <v>0.0</v>
      </c>
      <c r="O215" s="479"/>
      <c r="P215" s="541"/>
      <c r="Q215" s="480"/>
      <c r="R215" s="481"/>
      <c r="T215" s="492"/>
      <c r="U215" s="249"/>
      <c r="V215" s="481"/>
    </row>
    <row r="216" ht="12.75" customHeight="1">
      <c r="A216" s="443" t="s">
        <v>732</v>
      </c>
      <c r="B216" s="461">
        <v>0.0</v>
      </c>
      <c r="C216" s="461">
        <v>0.0</v>
      </c>
      <c r="D216" s="461">
        <v>0.0</v>
      </c>
      <c r="E216" s="461">
        <v>0.0</v>
      </c>
      <c r="F216" s="461">
        <v>0.0</v>
      </c>
      <c r="G216" s="461">
        <v>0.0</v>
      </c>
      <c r="H216" s="461">
        <v>0.0</v>
      </c>
      <c r="I216" s="444">
        <v>1.0</v>
      </c>
      <c r="J216" s="461">
        <v>0.0</v>
      </c>
      <c r="K216" s="461">
        <v>0.0</v>
      </c>
      <c r="L216" s="524">
        <v>0.0</v>
      </c>
      <c r="M216" s="540">
        <v>0.0</v>
      </c>
      <c r="N216" s="461">
        <v>0.0</v>
      </c>
      <c r="O216" s="479"/>
      <c r="P216" s="541"/>
      <c r="Q216" s="480"/>
      <c r="R216" s="481"/>
      <c r="T216" s="492"/>
      <c r="U216" s="249"/>
      <c r="V216" s="481"/>
    </row>
    <row r="217" ht="12.75" customHeight="1">
      <c r="M217" s="480"/>
      <c r="N217" s="249"/>
      <c r="O217" s="479"/>
      <c r="Q217" s="480"/>
      <c r="R217" s="481"/>
      <c r="T217" s="492"/>
      <c r="U217" s="249"/>
      <c r="V217" s="481"/>
    </row>
    <row r="218" ht="12.75" customHeight="1">
      <c r="A218" s="437" t="s">
        <v>1078</v>
      </c>
      <c r="B218" s="523"/>
      <c r="M218" s="480"/>
      <c r="N218" s="249"/>
      <c r="O218" s="479"/>
      <c r="Q218" s="480"/>
      <c r="R218" s="481"/>
      <c r="T218" s="492"/>
      <c r="U218" s="249"/>
      <c r="V218" s="481"/>
    </row>
    <row r="219" ht="12.75" customHeight="1">
      <c r="A219" s="440" t="s">
        <v>860</v>
      </c>
      <c r="B219" s="441" t="s">
        <v>76</v>
      </c>
      <c r="C219" s="441" t="s">
        <v>46</v>
      </c>
      <c r="D219" s="441" t="s">
        <v>47</v>
      </c>
      <c r="E219" s="441" t="s">
        <v>48</v>
      </c>
      <c r="F219" s="441" t="s">
        <v>50</v>
      </c>
      <c r="G219" s="441" t="s">
        <v>52</v>
      </c>
      <c r="H219" s="441" t="s">
        <v>53</v>
      </c>
      <c r="I219" s="441" t="s">
        <v>54</v>
      </c>
      <c r="J219" s="441" t="s">
        <v>990</v>
      </c>
      <c r="K219" s="441" t="s">
        <v>991</v>
      </c>
      <c r="L219" s="441" t="s">
        <v>992</v>
      </c>
      <c r="M219" s="539" t="s">
        <v>993</v>
      </c>
      <c r="N219" s="441" t="s">
        <v>122</v>
      </c>
      <c r="O219" s="479"/>
      <c r="P219" s="441"/>
      <c r="Q219" s="480"/>
      <c r="R219" s="481"/>
      <c r="T219" s="492"/>
      <c r="U219" s="249"/>
      <c r="V219" s="481"/>
    </row>
    <row r="220" ht="12.75" customHeight="1">
      <c r="A220" s="443" t="s">
        <v>1084</v>
      </c>
      <c r="B220" s="444">
        <v>250.0</v>
      </c>
      <c r="C220" s="461">
        <v>0.0</v>
      </c>
      <c r="D220" s="461">
        <v>0.0</v>
      </c>
      <c r="E220" s="461">
        <v>0.0</v>
      </c>
      <c r="F220" s="461">
        <v>0.0</v>
      </c>
      <c r="G220" s="461">
        <v>0.0</v>
      </c>
      <c r="H220" s="461">
        <v>0.0</v>
      </c>
      <c r="I220" s="461">
        <v>0.0</v>
      </c>
      <c r="J220" s="461">
        <v>0.0</v>
      </c>
      <c r="K220" s="461">
        <v>0.0</v>
      </c>
      <c r="L220" s="524">
        <v>0.0</v>
      </c>
      <c r="M220" s="540">
        <v>0.0</v>
      </c>
      <c r="N220" s="461">
        <v>0.0</v>
      </c>
      <c r="O220" s="479"/>
      <c r="P220" s="541"/>
      <c r="Q220" s="480"/>
      <c r="R220" s="481"/>
      <c r="T220" s="492"/>
      <c r="U220" s="249"/>
      <c r="V220" s="481"/>
    </row>
    <row r="221" ht="12.75" customHeight="1">
      <c r="A221" s="443" t="s">
        <v>1087</v>
      </c>
      <c r="B221" s="444">
        <v>400.0</v>
      </c>
      <c r="C221" s="461">
        <v>0.0</v>
      </c>
      <c r="D221" s="461">
        <v>0.0</v>
      </c>
      <c r="E221" s="461">
        <v>0.0</v>
      </c>
      <c r="F221" s="461">
        <v>0.0</v>
      </c>
      <c r="G221" s="461">
        <v>0.0</v>
      </c>
      <c r="H221" s="461">
        <v>0.0</v>
      </c>
      <c r="I221" s="461">
        <v>0.0</v>
      </c>
      <c r="J221" s="461">
        <v>0.0</v>
      </c>
      <c r="K221" s="461">
        <v>0.0</v>
      </c>
      <c r="L221" s="524">
        <v>0.0</v>
      </c>
      <c r="M221" s="540">
        <v>0.0</v>
      </c>
      <c r="N221" s="461">
        <v>0.0</v>
      </c>
      <c r="O221" s="479"/>
      <c r="P221" s="541"/>
      <c r="Q221" s="480"/>
      <c r="R221" s="481"/>
      <c r="T221" s="492"/>
      <c r="U221" s="249"/>
      <c r="V221" s="481"/>
    </row>
    <row r="222" ht="12.75" customHeight="1">
      <c r="A222" s="443" t="s">
        <v>1093</v>
      </c>
      <c r="B222" s="444">
        <v>600.0</v>
      </c>
      <c r="C222" s="461">
        <v>0.0</v>
      </c>
      <c r="D222" s="461">
        <v>0.0</v>
      </c>
      <c r="E222" s="461">
        <v>0.0</v>
      </c>
      <c r="F222" s="461">
        <v>0.0</v>
      </c>
      <c r="G222" s="461">
        <v>0.0</v>
      </c>
      <c r="H222" s="461">
        <v>0.0</v>
      </c>
      <c r="I222" s="461">
        <v>0.0</v>
      </c>
      <c r="J222" s="461">
        <v>0.0</v>
      </c>
      <c r="K222" s="461">
        <v>0.0</v>
      </c>
      <c r="L222" s="524">
        <v>0.0</v>
      </c>
      <c r="M222" s="540">
        <v>0.0</v>
      </c>
      <c r="N222" s="461">
        <v>0.0</v>
      </c>
      <c r="O222" s="479"/>
      <c r="P222" s="541"/>
      <c r="Q222" s="480"/>
      <c r="R222" s="481"/>
      <c r="T222" s="492"/>
      <c r="U222" s="249"/>
      <c r="V222" s="481"/>
    </row>
    <row r="223" ht="12.75" customHeight="1">
      <c r="M223" s="480"/>
      <c r="N223" s="249"/>
      <c r="O223" s="479"/>
      <c r="Q223" s="480"/>
      <c r="R223" s="481"/>
      <c r="T223" s="492"/>
      <c r="U223" s="249"/>
      <c r="V223" s="481"/>
    </row>
    <row r="224" ht="12.75" customHeight="1">
      <c r="M224" s="480"/>
      <c r="N224" s="249"/>
      <c r="O224" s="479"/>
      <c r="Q224" s="480"/>
      <c r="R224" s="481"/>
      <c r="T224" s="492"/>
      <c r="U224" s="249"/>
      <c r="V224" s="481"/>
    </row>
    <row r="225" ht="12.75" customHeight="1">
      <c r="M225" s="480"/>
      <c r="N225" s="249"/>
      <c r="O225" s="479"/>
      <c r="Q225" s="480"/>
      <c r="R225" s="481"/>
      <c r="T225" s="492"/>
      <c r="U225" s="249"/>
      <c r="V225" s="481"/>
    </row>
    <row r="226" ht="12.75" customHeight="1">
      <c r="M226" s="480"/>
      <c r="N226" s="249"/>
      <c r="O226" s="479"/>
      <c r="Q226" s="480"/>
      <c r="R226" s="481"/>
      <c r="T226" s="492"/>
      <c r="U226" s="249"/>
      <c r="V226" s="481"/>
    </row>
    <row r="227" ht="12.75" customHeight="1">
      <c r="M227" s="480"/>
      <c r="N227" s="249"/>
      <c r="O227" s="479"/>
      <c r="Q227" s="480"/>
      <c r="R227" s="481"/>
      <c r="T227" s="492"/>
      <c r="U227" s="249"/>
      <c r="V227" s="481"/>
    </row>
    <row r="228" ht="12.75" customHeight="1">
      <c r="M228" s="480"/>
      <c r="N228" s="249"/>
      <c r="O228" s="479"/>
      <c r="Q228" s="480"/>
      <c r="R228" s="481"/>
      <c r="T228" s="492"/>
      <c r="U228" s="249"/>
      <c r="V228" s="481"/>
    </row>
    <row r="229" ht="12.75" customHeight="1">
      <c r="M229" s="480"/>
      <c r="N229" s="249"/>
      <c r="O229" s="479"/>
      <c r="Q229" s="480"/>
      <c r="R229" s="481"/>
      <c r="T229" s="492"/>
      <c r="U229" s="249"/>
      <c r="V229" s="481"/>
    </row>
    <row r="230" ht="12.75" customHeight="1">
      <c r="M230" s="480"/>
      <c r="N230" s="249"/>
      <c r="O230" s="479"/>
      <c r="Q230" s="480"/>
      <c r="R230" s="481"/>
      <c r="T230" s="492"/>
      <c r="U230" s="249"/>
      <c r="V230" s="481"/>
    </row>
    <row r="231" ht="12.75" customHeight="1">
      <c r="M231" s="480"/>
      <c r="N231" s="249"/>
      <c r="O231" s="479"/>
      <c r="Q231" s="480"/>
      <c r="R231" s="481"/>
      <c r="T231" s="492"/>
      <c r="U231" s="249"/>
      <c r="V231" s="481"/>
    </row>
    <row r="232" ht="12.75" customHeight="1">
      <c r="M232" s="480"/>
      <c r="N232" s="249"/>
      <c r="O232" s="479"/>
      <c r="Q232" s="480"/>
      <c r="R232" s="481"/>
      <c r="T232" s="492"/>
      <c r="U232" s="249"/>
      <c r="V232" s="481"/>
    </row>
    <row r="233" ht="12.75" customHeight="1">
      <c r="M233" s="480"/>
      <c r="N233" s="249"/>
      <c r="O233" s="479"/>
      <c r="Q233" s="480"/>
      <c r="R233" s="481"/>
      <c r="T233" s="492"/>
      <c r="U233" s="249"/>
      <c r="V233" s="481"/>
    </row>
    <row r="234" ht="12.75" customHeight="1">
      <c r="M234" s="480"/>
      <c r="N234" s="249"/>
      <c r="O234" s="479"/>
      <c r="Q234" s="480"/>
      <c r="R234" s="481"/>
      <c r="T234" s="492"/>
      <c r="U234" s="249"/>
      <c r="V234" s="481"/>
    </row>
    <row r="235" ht="12.75" customHeight="1">
      <c r="M235" s="480"/>
      <c r="N235" s="249"/>
      <c r="O235" s="479"/>
      <c r="Q235" s="480"/>
      <c r="R235" s="481"/>
      <c r="T235" s="492"/>
      <c r="U235" s="249"/>
      <c r="V235" s="481"/>
    </row>
    <row r="236" ht="12.75" customHeight="1">
      <c r="M236" s="480"/>
      <c r="N236" s="249"/>
      <c r="O236" s="479"/>
      <c r="Q236" s="480"/>
      <c r="R236" s="481"/>
      <c r="T236" s="492"/>
      <c r="U236" s="249"/>
      <c r="V236" s="481"/>
    </row>
    <row r="237" ht="12.75" customHeight="1">
      <c r="M237" s="480"/>
      <c r="N237" s="249"/>
      <c r="O237" s="479"/>
      <c r="Q237" s="480"/>
      <c r="R237" s="481"/>
      <c r="T237" s="492"/>
      <c r="U237" s="249"/>
      <c r="V237" s="481"/>
    </row>
    <row r="238" ht="12.75" customHeight="1">
      <c r="M238" s="480"/>
      <c r="N238" s="249"/>
      <c r="O238" s="479"/>
      <c r="Q238" s="480"/>
      <c r="R238" s="481"/>
      <c r="T238" s="492"/>
      <c r="U238" s="249"/>
      <c r="V238" s="481"/>
    </row>
    <row r="239" ht="12.75" customHeight="1">
      <c r="M239" s="480"/>
      <c r="N239" s="249"/>
      <c r="O239" s="479"/>
      <c r="Q239" s="480"/>
      <c r="R239" s="481"/>
      <c r="T239" s="492"/>
      <c r="U239" s="249"/>
      <c r="V239" s="481"/>
    </row>
    <row r="240" ht="12.75" customHeight="1">
      <c r="M240" s="480"/>
      <c r="N240" s="249"/>
      <c r="O240" s="479"/>
      <c r="Q240" s="480"/>
      <c r="R240" s="481"/>
      <c r="T240" s="492"/>
      <c r="U240" s="249"/>
      <c r="V240" s="481"/>
    </row>
    <row r="241" ht="12.75" customHeight="1">
      <c r="M241" s="480"/>
      <c r="N241" s="249"/>
      <c r="O241" s="479"/>
      <c r="Q241" s="480"/>
      <c r="R241" s="481"/>
      <c r="T241" s="492"/>
      <c r="U241" s="249"/>
      <c r="V241" s="481"/>
    </row>
    <row r="242" ht="12.75" customHeight="1">
      <c r="M242" s="480"/>
      <c r="N242" s="249"/>
      <c r="O242" s="479"/>
      <c r="Q242" s="480"/>
      <c r="R242" s="481"/>
      <c r="T242" s="492"/>
      <c r="U242" s="249"/>
      <c r="V242" s="481"/>
    </row>
    <row r="243" ht="12.75" customHeight="1">
      <c r="M243" s="480"/>
      <c r="N243" s="249"/>
      <c r="O243" s="479"/>
      <c r="Q243" s="480"/>
      <c r="R243" s="481"/>
      <c r="T243" s="492"/>
      <c r="U243" s="249"/>
      <c r="V243" s="481"/>
    </row>
    <row r="244" ht="12.75" customHeight="1">
      <c r="M244" s="480"/>
      <c r="N244" s="249"/>
      <c r="O244" s="479"/>
      <c r="Q244" s="480"/>
      <c r="R244" s="481"/>
      <c r="T244" s="492"/>
      <c r="U244" s="249"/>
      <c r="V244" s="481"/>
    </row>
    <row r="245" ht="12.75" customHeight="1">
      <c r="M245" s="480"/>
      <c r="N245" s="249"/>
      <c r="O245" s="479"/>
      <c r="Q245" s="480"/>
      <c r="R245" s="481"/>
      <c r="T245" s="492"/>
      <c r="U245" s="249"/>
      <c r="V245" s="481"/>
    </row>
    <row r="246" ht="12.75" customHeight="1">
      <c r="M246" s="480"/>
      <c r="N246" s="249"/>
      <c r="O246" s="479"/>
      <c r="Q246" s="480"/>
      <c r="R246" s="481"/>
      <c r="T246" s="492"/>
      <c r="U246" s="249"/>
      <c r="V246" s="481"/>
    </row>
    <row r="247" ht="12.75" customHeight="1">
      <c r="M247" s="480"/>
      <c r="N247" s="249"/>
      <c r="O247" s="479"/>
      <c r="Q247" s="480"/>
      <c r="R247" s="481"/>
      <c r="T247" s="492"/>
      <c r="U247" s="249"/>
      <c r="V247" s="481"/>
    </row>
    <row r="248" ht="12.75" customHeight="1">
      <c r="M248" s="480"/>
      <c r="N248" s="249"/>
      <c r="O248" s="479"/>
      <c r="Q248" s="480"/>
      <c r="R248" s="481"/>
      <c r="T248" s="492"/>
      <c r="U248" s="249"/>
      <c r="V248" s="481"/>
    </row>
    <row r="249" ht="12.75" customHeight="1">
      <c r="M249" s="480"/>
      <c r="N249" s="249"/>
      <c r="O249" s="479"/>
      <c r="Q249" s="480"/>
      <c r="R249" s="481"/>
      <c r="T249" s="492"/>
      <c r="U249" s="249"/>
      <c r="V249" s="481"/>
    </row>
    <row r="250" ht="12.75" customHeight="1">
      <c r="M250" s="480"/>
      <c r="N250" s="249"/>
      <c r="O250" s="479"/>
      <c r="Q250" s="480"/>
      <c r="R250" s="481"/>
      <c r="T250" s="492"/>
      <c r="U250" s="249"/>
      <c r="V250" s="481"/>
    </row>
    <row r="251" ht="12.75" customHeight="1">
      <c r="M251" s="480"/>
      <c r="N251" s="249"/>
      <c r="O251" s="479"/>
      <c r="Q251" s="480"/>
      <c r="R251" s="481"/>
      <c r="T251" s="492"/>
      <c r="U251" s="249"/>
      <c r="V251" s="481"/>
    </row>
    <row r="252" ht="12.75" customHeight="1">
      <c r="M252" s="480"/>
      <c r="N252" s="249"/>
      <c r="O252" s="479"/>
      <c r="Q252" s="480"/>
      <c r="R252" s="481"/>
      <c r="T252" s="492"/>
      <c r="U252" s="249"/>
      <c r="V252" s="481"/>
    </row>
    <row r="253" ht="12.75" customHeight="1">
      <c r="M253" s="480"/>
      <c r="N253" s="249"/>
      <c r="O253" s="479"/>
      <c r="Q253" s="480"/>
      <c r="R253" s="481"/>
      <c r="T253" s="492"/>
      <c r="U253" s="249"/>
      <c r="V253" s="481"/>
    </row>
    <row r="254" ht="12.75" customHeight="1">
      <c r="M254" s="480"/>
      <c r="N254" s="249"/>
      <c r="O254" s="479"/>
      <c r="Q254" s="480"/>
      <c r="R254" s="481"/>
      <c r="T254" s="492"/>
      <c r="U254" s="249"/>
      <c r="V254" s="481"/>
    </row>
    <row r="255" ht="12.75" customHeight="1">
      <c r="M255" s="480"/>
      <c r="N255" s="249"/>
      <c r="O255" s="479"/>
      <c r="Q255" s="480"/>
      <c r="R255" s="481"/>
      <c r="T255" s="492"/>
      <c r="U255" s="249"/>
      <c r="V255" s="481"/>
    </row>
    <row r="256" ht="12.75" customHeight="1">
      <c r="M256" s="480"/>
      <c r="N256" s="249"/>
      <c r="O256" s="479"/>
      <c r="Q256" s="480"/>
      <c r="R256" s="481"/>
      <c r="T256" s="492"/>
      <c r="U256" s="249"/>
      <c r="V256" s="481"/>
    </row>
    <row r="257" ht="12.75" customHeight="1">
      <c r="M257" s="480"/>
      <c r="N257" s="249"/>
      <c r="O257" s="479"/>
      <c r="Q257" s="480"/>
      <c r="R257" s="481"/>
      <c r="T257" s="492"/>
      <c r="U257" s="249"/>
      <c r="V257" s="481"/>
    </row>
    <row r="258" ht="12.75" customHeight="1">
      <c r="M258" s="480"/>
      <c r="N258" s="249"/>
      <c r="O258" s="479"/>
      <c r="Q258" s="480"/>
      <c r="R258" s="481"/>
      <c r="T258" s="492"/>
      <c r="U258" s="249"/>
      <c r="V258" s="481"/>
    </row>
    <row r="259" ht="12.75" customHeight="1">
      <c r="M259" s="480"/>
      <c r="N259" s="249"/>
      <c r="O259" s="479"/>
      <c r="Q259" s="480"/>
      <c r="R259" s="481"/>
      <c r="T259" s="492"/>
      <c r="U259" s="249"/>
      <c r="V259" s="481"/>
    </row>
    <row r="260" ht="12.75" customHeight="1">
      <c r="M260" s="480"/>
      <c r="N260" s="249"/>
      <c r="O260" s="479"/>
      <c r="Q260" s="480"/>
      <c r="R260" s="481"/>
      <c r="T260" s="492"/>
      <c r="U260" s="249"/>
      <c r="V260" s="481"/>
    </row>
    <row r="261" ht="12.75" customHeight="1">
      <c r="M261" s="480"/>
      <c r="N261" s="249"/>
      <c r="O261" s="479"/>
      <c r="Q261" s="480"/>
      <c r="R261" s="481"/>
      <c r="T261" s="492"/>
      <c r="U261" s="249"/>
      <c r="V261" s="481"/>
    </row>
    <row r="262" ht="12.75" customHeight="1">
      <c r="M262" s="480"/>
      <c r="N262" s="249"/>
      <c r="O262" s="479"/>
      <c r="Q262" s="480"/>
      <c r="R262" s="481"/>
      <c r="T262" s="492"/>
      <c r="U262" s="249"/>
      <c r="V262" s="481"/>
    </row>
    <row r="263" ht="12.75" customHeight="1">
      <c r="M263" s="480"/>
      <c r="N263" s="249"/>
      <c r="O263" s="479"/>
      <c r="Q263" s="480"/>
      <c r="R263" s="481"/>
      <c r="T263" s="492"/>
      <c r="U263" s="249"/>
      <c r="V263" s="481"/>
    </row>
    <row r="264" ht="12.75" customHeight="1">
      <c r="M264" s="480"/>
      <c r="N264" s="249"/>
      <c r="O264" s="479"/>
      <c r="Q264" s="480"/>
      <c r="R264" s="481"/>
      <c r="T264" s="492"/>
      <c r="U264" s="249"/>
      <c r="V264" s="481"/>
    </row>
    <row r="265" ht="12.75" customHeight="1">
      <c r="M265" s="480"/>
      <c r="N265" s="249"/>
      <c r="O265" s="479"/>
      <c r="Q265" s="480"/>
      <c r="R265" s="481"/>
      <c r="T265" s="492"/>
      <c r="U265" s="249"/>
      <c r="V265" s="481"/>
    </row>
    <row r="266" ht="12.75" customHeight="1">
      <c r="M266" s="480"/>
      <c r="N266" s="249"/>
      <c r="O266" s="479"/>
      <c r="Q266" s="480"/>
      <c r="R266" s="481"/>
      <c r="T266" s="492"/>
      <c r="U266" s="249"/>
      <c r="V266" s="481"/>
    </row>
    <row r="267" ht="12.75" customHeight="1">
      <c r="M267" s="480"/>
      <c r="N267" s="249"/>
      <c r="O267" s="479"/>
      <c r="Q267" s="480"/>
      <c r="R267" s="481"/>
      <c r="T267" s="492"/>
      <c r="U267" s="249"/>
      <c r="V267" s="481"/>
    </row>
    <row r="268" ht="12.75" customHeight="1">
      <c r="M268" s="480"/>
      <c r="N268" s="249"/>
      <c r="O268" s="479"/>
      <c r="Q268" s="480"/>
      <c r="R268" s="481"/>
      <c r="T268" s="492"/>
      <c r="U268" s="249"/>
      <c r="V268" s="481"/>
    </row>
    <row r="269" ht="12.75" customHeight="1">
      <c r="M269" s="480"/>
      <c r="N269" s="249"/>
      <c r="O269" s="479"/>
      <c r="Q269" s="480"/>
      <c r="R269" s="481"/>
      <c r="T269" s="492"/>
      <c r="U269" s="249"/>
      <c r="V269" s="481"/>
    </row>
    <row r="270" ht="12.75" customHeight="1">
      <c r="M270" s="480"/>
      <c r="N270" s="249"/>
      <c r="O270" s="479"/>
      <c r="Q270" s="480"/>
      <c r="R270" s="481"/>
      <c r="T270" s="492"/>
      <c r="U270" s="249"/>
      <c r="V270" s="481"/>
    </row>
    <row r="271" ht="12.75" customHeight="1">
      <c r="M271" s="480"/>
      <c r="N271" s="249"/>
      <c r="O271" s="479"/>
      <c r="Q271" s="480"/>
      <c r="R271" s="481"/>
      <c r="T271" s="492"/>
      <c r="U271" s="249"/>
      <c r="V271" s="481"/>
    </row>
    <row r="272" ht="12.75" customHeight="1">
      <c r="M272" s="480"/>
      <c r="N272" s="249"/>
      <c r="O272" s="479"/>
      <c r="Q272" s="480"/>
      <c r="R272" s="481"/>
      <c r="T272" s="492"/>
      <c r="U272" s="249"/>
      <c r="V272" s="481"/>
    </row>
    <row r="273" ht="12.75" customHeight="1">
      <c r="M273" s="480"/>
      <c r="N273" s="249"/>
      <c r="O273" s="479"/>
      <c r="Q273" s="480"/>
      <c r="R273" s="481"/>
      <c r="T273" s="492"/>
      <c r="U273" s="249"/>
      <c r="V273" s="481"/>
    </row>
    <row r="274" ht="12.75" customHeight="1">
      <c r="M274" s="480"/>
      <c r="N274" s="249"/>
      <c r="O274" s="479"/>
      <c r="Q274" s="480"/>
      <c r="R274" s="481"/>
      <c r="T274" s="492"/>
      <c r="U274" s="249"/>
      <c r="V274" s="481"/>
    </row>
    <row r="275" ht="12.75" customHeight="1">
      <c r="M275" s="480"/>
      <c r="N275" s="249"/>
      <c r="O275" s="479"/>
      <c r="Q275" s="480"/>
      <c r="R275" s="481"/>
      <c r="T275" s="492"/>
      <c r="U275" s="249"/>
      <c r="V275" s="481"/>
    </row>
    <row r="276" ht="12.75" customHeight="1">
      <c r="M276" s="480"/>
      <c r="N276" s="249"/>
      <c r="O276" s="479"/>
      <c r="Q276" s="480"/>
      <c r="R276" s="481"/>
      <c r="T276" s="492"/>
      <c r="U276" s="249"/>
      <c r="V276" s="481"/>
    </row>
    <row r="277" ht="12.75" customHeight="1">
      <c r="M277" s="480"/>
      <c r="N277" s="249"/>
      <c r="O277" s="479"/>
      <c r="Q277" s="480"/>
      <c r="R277" s="481"/>
      <c r="T277" s="492"/>
      <c r="U277" s="249"/>
      <c r="V277" s="481"/>
    </row>
    <row r="278" ht="12.75" customHeight="1">
      <c r="M278" s="480"/>
      <c r="N278" s="249"/>
      <c r="O278" s="479"/>
      <c r="Q278" s="480"/>
      <c r="R278" s="481"/>
      <c r="T278" s="492"/>
      <c r="U278" s="249"/>
      <c r="V278" s="481"/>
    </row>
    <row r="279" ht="12.75" customHeight="1">
      <c r="M279" s="480"/>
      <c r="N279" s="249"/>
      <c r="O279" s="479"/>
      <c r="Q279" s="480"/>
      <c r="R279" s="481"/>
      <c r="T279" s="492"/>
      <c r="U279" s="249"/>
      <c r="V279" s="481"/>
    </row>
    <row r="280" ht="12.75" customHeight="1">
      <c r="M280" s="480"/>
      <c r="N280" s="249"/>
      <c r="O280" s="479"/>
      <c r="Q280" s="480"/>
      <c r="R280" s="481"/>
      <c r="T280" s="492"/>
      <c r="U280" s="249"/>
      <c r="V280" s="481"/>
    </row>
    <row r="281" ht="12.75" customHeight="1">
      <c r="M281" s="480"/>
      <c r="N281" s="249"/>
      <c r="O281" s="479"/>
      <c r="Q281" s="480"/>
      <c r="R281" s="481"/>
      <c r="T281" s="492"/>
      <c r="U281" s="249"/>
      <c r="V281" s="481"/>
    </row>
    <row r="282" ht="12.75" customHeight="1">
      <c r="M282" s="480"/>
      <c r="N282" s="249"/>
      <c r="O282" s="479"/>
      <c r="Q282" s="480"/>
      <c r="R282" s="481"/>
      <c r="T282" s="492"/>
      <c r="U282" s="249"/>
      <c r="V282" s="481"/>
    </row>
    <row r="283" ht="12.75" customHeight="1">
      <c r="M283" s="480"/>
      <c r="N283" s="249"/>
      <c r="O283" s="479"/>
      <c r="Q283" s="480"/>
      <c r="R283" s="481"/>
      <c r="T283" s="492"/>
      <c r="U283" s="249"/>
      <c r="V283" s="481"/>
    </row>
    <row r="284" ht="12.75" customHeight="1">
      <c r="M284" s="480"/>
      <c r="N284" s="249"/>
      <c r="O284" s="479"/>
      <c r="Q284" s="480"/>
      <c r="R284" s="481"/>
      <c r="T284" s="492"/>
      <c r="U284" s="249"/>
      <c r="V284" s="481"/>
    </row>
    <row r="285" ht="12.75" customHeight="1">
      <c r="M285" s="480"/>
      <c r="N285" s="249"/>
      <c r="O285" s="479"/>
      <c r="Q285" s="480"/>
      <c r="R285" s="481"/>
      <c r="T285" s="492"/>
      <c r="U285" s="249"/>
      <c r="V285" s="481"/>
    </row>
    <row r="286" ht="12.75" customHeight="1">
      <c r="M286" s="480"/>
      <c r="N286" s="249"/>
      <c r="O286" s="479"/>
      <c r="Q286" s="480"/>
      <c r="R286" s="481"/>
      <c r="T286" s="492"/>
      <c r="U286" s="249"/>
      <c r="V286" s="481"/>
    </row>
    <row r="287" ht="12.75" customHeight="1">
      <c r="M287" s="480"/>
      <c r="N287" s="249"/>
      <c r="O287" s="479"/>
      <c r="Q287" s="480"/>
      <c r="R287" s="481"/>
      <c r="T287" s="492"/>
      <c r="U287" s="249"/>
      <c r="V287" s="481"/>
    </row>
    <row r="288" ht="12.75" customHeight="1">
      <c r="M288" s="480"/>
      <c r="N288" s="249"/>
      <c r="O288" s="479"/>
      <c r="Q288" s="480"/>
      <c r="R288" s="481"/>
      <c r="T288" s="492"/>
      <c r="U288" s="249"/>
      <c r="V288" s="481"/>
    </row>
    <row r="289" ht="12.75" customHeight="1">
      <c r="M289" s="480"/>
      <c r="N289" s="249"/>
      <c r="O289" s="479"/>
      <c r="Q289" s="480"/>
      <c r="R289" s="481"/>
      <c r="T289" s="492"/>
      <c r="U289" s="249"/>
      <c r="V289" s="481"/>
    </row>
    <row r="290" ht="12.75" customHeight="1">
      <c r="M290" s="480"/>
      <c r="N290" s="249"/>
      <c r="O290" s="479"/>
      <c r="Q290" s="480"/>
      <c r="R290" s="481"/>
      <c r="T290" s="492"/>
      <c r="U290" s="249"/>
      <c r="V290" s="481"/>
    </row>
    <row r="291" ht="12.75" customHeight="1">
      <c r="M291" s="480"/>
      <c r="N291" s="249"/>
      <c r="O291" s="479"/>
      <c r="Q291" s="480"/>
      <c r="R291" s="481"/>
      <c r="T291" s="492"/>
      <c r="U291" s="249"/>
      <c r="V291" s="481"/>
    </row>
    <row r="292" ht="12.75" customHeight="1">
      <c r="M292" s="480"/>
      <c r="N292" s="249"/>
      <c r="O292" s="479"/>
      <c r="Q292" s="480"/>
      <c r="R292" s="481"/>
      <c r="T292" s="492"/>
      <c r="U292" s="249"/>
      <c r="V292" s="481"/>
    </row>
    <row r="293" ht="12.75" customHeight="1">
      <c r="M293" s="480"/>
      <c r="N293" s="249"/>
      <c r="O293" s="479"/>
      <c r="Q293" s="480"/>
      <c r="R293" s="481"/>
      <c r="T293" s="492"/>
      <c r="U293" s="249"/>
      <c r="V293" s="481"/>
    </row>
    <row r="294" ht="12.75" customHeight="1">
      <c r="M294" s="480"/>
      <c r="N294" s="249"/>
      <c r="O294" s="479"/>
      <c r="Q294" s="480"/>
      <c r="R294" s="481"/>
      <c r="T294" s="492"/>
      <c r="U294" s="249"/>
      <c r="V294" s="481"/>
    </row>
    <row r="295" ht="12.75" customHeight="1">
      <c r="M295" s="480"/>
      <c r="N295" s="249"/>
      <c r="O295" s="479"/>
      <c r="Q295" s="480"/>
      <c r="R295" s="481"/>
      <c r="T295" s="492"/>
      <c r="U295" s="249"/>
      <c r="V295" s="481"/>
    </row>
    <row r="296" ht="12.75" customHeight="1">
      <c r="M296" s="480"/>
      <c r="N296" s="249"/>
      <c r="O296" s="479"/>
      <c r="Q296" s="480"/>
      <c r="R296" s="481"/>
      <c r="T296" s="492"/>
      <c r="U296" s="249"/>
      <c r="V296" s="481"/>
    </row>
    <row r="297" ht="12.75" customHeight="1">
      <c r="M297" s="480"/>
      <c r="N297" s="249"/>
      <c r="O297" s="479"/>
      <c r="Q297" s="480"/>
      <c r="R297" s="481"/>
      <c r="T297" s="492"/>
      <c r="U297" s="249"/>
      <c r="V297" s="481"/>
    </row>
    <row r="298" ht="12.75" customHeight="1">
      <c r="M298" s="480"/>
      <c r="N298" s="249"/>
      <c r="O298" s="479"/>
      <c r="Q298" s="480"/>
      <c r="R298" s="481"/>
      <c r="T298" s="492"/>
      <c r="U298" s="249"/>
      <c r="V298" s="481"/>
    </row>
    <row r="299" ht="12.75" customHeight="1">
      <c r="M299" s="480"/>
      <c r="N299" s="249"/>
      <c r="O299" s="479"/>
      <c r="Q299" s="480"/>
      <c r="R299" s="481"/>
      <c r="T299" s="492"/>
      <c r="U299" s="249"/>
      <c r="V299" s="481"/>
    </row>
    <row r="300" ht="12.75" customHeight="1">
      <c r="M300" s="480"/>
      <c r="N300" s="249"/>
      <c r="O300" s="479"/>
      <c r="Q300" s="480"/>
      <c r="R300" s="481"/>
      <c r="T300" s="492"/>
      <c r="U300" s="249"/>
      <c r="V300" s="481"/>
    </row>
    <row r="301" ht="12.75" customHeight="1">
      <c r="M301" s="480"/>
      <c r="N301" s="249"/>
      <c r="O301" s="479"/>
      <c r="Q301" s="480"/>
      <c r="R301" s="481"/>
      <c r="T301" s="492"/>
      <c r="U301" s="249"/>
      <c r="V301" s="481"/>
    </row>
    <row r="302" ht="12.75" customHeight="1">
      <c r="M302" s="480"/>
      <c r="N302" s="249"/>
      <c r="O302" s="479"/>
      <c r="Q302" s="480"/>
      <c r="R302" s="481"/>
      <c r="T302" s="492"/>
      <c r="U302" s="249"/>
      <c r="V302" s="481"/>
    </row>
    <row r="303" ht="12.75" customHeight="1">
      <c r="M303" s="480"/>
      <c r="N303" s="249"/>
      <c r="O303" s="479"/>
      <c r="Q303" s="480"/>
      <c r="R303" s="481"/>
      <c r="T303" s="492"/>
      <c r="U303" s="249"/>
      <c r="V303" s="481"/>
    </row>
    <row r="304" ht="12.75" customHeight="1">
      <c r="M304" s="480"/>
      <c r="N304" s="249"/>
      <c r="O304" s="479"/>
      <c r="Q304" s="480"/>
      <c r="R304" s="481"/>
      <c r="T304" s="492"/>
      <c r="U304" s="249"/>
      <c r="V304" s="481"/>
    </row>
    <row r="305" ht="12.75" customHeight="1">
      <c r="M305" s="480"/>
      <c r="N305" s="249"/>
      <c r="O305" s="479"/>
      <c r="Q305" s="480"/>
      <c r="R305" s="481"/>
      <c r="T305" s="492"/>
      <c r="U305" s="249"/>
      <c r="V305" s="481"/>
    </row>
    <row r="306" ht="12.75" customHeight="1">
      <c r="M306" s="480"/>
      <c r="N306" s="249"/>
      <c r="O306" s="479"/>
      <c r="Q306" s="480"/>
      <c r="R306" s="481"/>
      <c r="T306" s="492"/>
      <c r="U306" s="249"/>
      <c r="V306" s="481"/>
    </row>
    <row r="307" ht="12.75" customHeight="1">
      <c r="M307" s="480"/>
      <c r="N307" s="249"/>
      <c r="O307" s="479"/>
      <c r="Q307" s="480"/>
      <c r="R307" s="481"/>
      <c r="T307" s="492"/>
      <c r="U307" s="249"/>
      <c r="V307" s="481"/>
    </row>
    <row r="308" ht="12.75" customHeight="1">
      <c r="M308" s="480"/>
      <c r="N308" s="249"/>
      <c r="O308" s="479"/>
      <c r="Q308" s="480"/>
      <c r="R308" s="481"/>
      <c r="T308" s="492"/>
      <c r="U308" s="249"/>
      <c r="V308" s="481"/>
    </row>
    <row r="309" ht="12.75" customHeight="1">
      <c r="M309" s="480"/>
      <c r="N309" s="249"/>
      <c r="O309" s="479"/>
      <c r="Q309" s="480"/>
      <c r="R309" s="481"/>
      <c r="T309" s="492"/>
      <c r="U309" s="249"/>
      <c r="V309" s="481"/>
    </row>
    <row r="310" ht="12.75" customHeight="1">
      <c r="M310" s="480"/>
      <c r="N310" s="249"/>
      <c r="O310" s="479"/>
      <c r="Q310" s="480"/>
      <c r="R310" s="481"/>
      <c r="T310" s="492"/>
      <c r="U310" s="249"/>
      <c r="V310" s="481"/>
    </row>
    <row r="311" ht="12.75" customHeight="1">
      <c r="M311" s="480"/>
      <c r="N311" s="249"/>
      <c r="O311" s="479"/>
      <c r="Q311" s="480"/>
      <c r="R311" s="481"/>
      <c r="T311" s="492"/>
      <c r="U311" s="249"/>
      <c r="V311" s="481"/>
    </row>
    <row r="312" ht="12.75" customHeight="1">
      <c r="M312" s="480"/>
      <c r="N312" s="249"/>
      <c r="O312" s="479"/>
      <c r="Q312" s="480"/>
      <c r="R312" s="481"/>
      <c r="T312" s="492"/>
      <c r="U312" s="249"/>
      <c r="V312" s="481"/>
    </row>
    <row r="313" ht="12.75" customHeight="1">
      <c r="M313" s="480"/>
      <c r="N313" s="249"/>
      <c r="O313" s="479"/>
      <c r="Q313" s="480"/>
      <c r="R313" s="481"/>
      <c r="T313" s="492"/>
      <c r="U313" s="249"/>
      <c r="V313" s="481"/>
    </row>
    <row r="314" ht="12.75" customHeight="1">
      <c r="M314" s="480"/>
      <c r="N314" s="249"/>
      <c r="O314" s="479"/>
      <c r="Q314" s="480"/>
      <c r="R314" s="481"/>
      <c r="T314" s="492"/>
      <c r="U314" s="249"/>
      <c r="V314" s="481"/>
    </row>
    <row r="315" ht="12.75" customHeight="1">
      <c r="M315" s="480"/>
      <c r="N315" s="249"/>
      <c r="O315" s="479"/>
      <c r="Q315" s="480"/>
      <c r="R315" s="481"/>
      <c r="T315" s="492"/>
      <c r="U315" s="249"/>
      <c r="V315" s="481"/>
    </row>
    <row r="316" ht="12.75" customHeight="1">
      <c r="M316" s="480"/>
      <c r="N316" s="249"/>
      <c r="O316" s="479"/>
      <c r="Q316" s="480"/>
      <c r="R316" s="481"/>
      <c r="T316" s="492"/>
      <c r="U316" s="249"/>
      <c r="V316" s="481"/>
    </row>
    <row r="317" ht="12.75" customHeight="1">
      <c r="M317" s="480"/>
      <c r="N317" s="249"/>
      <c r="O317" s="479"/>
      <c r="Q317" s="480"/>
      <c r="R317" s="481"/>
      <c r="T317" s="492"/>
      <c r="U317" s="249"/>
      <c r="V317" s="481"/>
    </row>
    <row r="318" ht="12.75" customHeight="1">
      <c r="M318" s="480"/>
      <c r="N318" s="249"/>
      <c r="O318" s="479"/>
      <c r="Q318" s="480"/>
      <c r="R318" s="481"/>
      <c r="T318" s="492"/>
      <c r="U318" s="249"/>
      <c r="V318" s="481"/>
    </row>
    <row r="319" ht="12.75" customHeight="1">
      <c r="M319" s="480"/>
      <c r="N319" s="249"/>
      <c r="O319" s="479"/>
      <c r="Q319" s="480"/>
      <c r="R319" s="481"/>
      <c r="T319" s="492"/>
      <c r="U319" s="249"/>
      <c r="V319" s="481"/>
    </row>
    <row r="320" ht="12.75" customHeight="1">
      <c r="M320" s="480"/>
      <c r="N320" s="249"/>
      <c r="O320" s="479"/>
      <c r="Q320" s="480"/>
      <c r="R320" s="481"/>
      <c r="T320" s="492"/>
      <c r="U320" s="249"/>
      <c r="V320" s="481"/>
    </row>
    <row r="321" ht="12.75" customHeight="1">
      <c r="M321" s="480"/>
      <c r="N321" s="249"/>
      <c r="O321" s="479"/>
      <c r="Q321" s="480"/>
      <c r="R321" s="481"/>
      <c r="T321" s="492"/>
      <c r="U321" s="249"/>
      <c r="V321" s="481"/>
    </row>
    <row r="322" ht="12.75" customHeight="1">
      <c r="M322" s="480"/>
      <c r="N322" s="249"/>
      <c r="O322" s="479"/>
      <c r="Q322" s="480"/>
      <c r="R322" s="481"/>
      <c r="T322" s="492"/>
      <c r="U322" s="249"/>
      <c r="V322" s="481"/>
    </row>
    <row r="323" ht="12.75" customHeight="1">
      <c r="M323" s="480"/>
      <c r="N323" s="249"/>
      <c r="O323" s="479"/>
      <c r="Q323" s="480"/>
      <c r="R323" s="481"/>
      <c r="T323" s="492"/>
      <c r="U323" s="249"/>
      <c r="V323" s="481"/>
    </row>
    <row r="324" ht="12.75" customHeight="1">
      <c r="M324" s="480"/>
      <c r="N324" s="249"/>
      <c r="O324" s="479"/>
      <c r="Q324" s="480"/>
      <c r="R324" s="481"/>
      <c r="T324" s="492"/>
      <c r="U324" s="249"/>
      <c r="V324" s="481"/>
    </row>
    <row r="325" ht="12.75" customHeight="1">
      <c r="M325" s="480"/>
      <c r="N325" s="249"/>
      <c r="O325" s="479"/>
      <c r="Q325" s="480"/>
      <c r="R325" s="481"/>
      <c r="T325" s="492"/>
      <c r="U325" s="249"/>
      <c r="V325" s="481"/>
    </row>
    <row r="326" ht="12.75" customHeight="1">
      <c r="M326" s="480"/>
      <c r="N326" s="249"/>
      <c r="O326" s="479"/>
      <c r="Q326" s="480"/>
      <c r="R326" s="481"/>
      <c r="T326" s="492"/>
      <c r="U326" s="249"/>
      <c r="V326" s="481"/>
    </row>
    <row r="327" ht="12.75" customHeight="1">
      <c r="M327" s="480"/>
      <c r="N327" s="249"/>
      <c r="O327" s="479"/>
      <c r="Q327" s="480"/>
      <c r="R327" s="481"/>
      <c r="T327" s="492"/>
      <c r="U327" s="249"/>
      <c r="V327" s="481"/>
    </row>
    <row r="328" ht="12.75" customHeight="1">
      <c r="M328" s="480"/>
      <c r="N328" s="249"/>
      <c r="O328" s="479"/>
      <c r="Q328" s="480"/>
      <c r="R328" s="481"/>
      <c r="T328" s="492"/>
      <c r="U328" s="249"/>
      <c r="V328" s="481"/>
    </row>
    <row r="329" ht="12.75" customHeight="1">
      <c r="M329" s="480"/>
      <c r="N329" s="249"/>
      <c r="O329" s="479"/>
      <c r="Q329" s="480"/>
      <c r="R329" s="481"/>
      <c r="T329" s="492"/>
      <c r="U329" s="249"/>
      <c r="V329" s="481"/>
    </row>
    <row r="330" ht="12.75" customHeight="1">
      <c r="M330" s="480"/>
      <c r="N330" s="249"/>
      <c r="O330" s="479"/>
      <c r="Q330" s="480"/>
      <c r="R330" s="481"/>
      <c r="T330" s="492"/>
      <c r="U330" s="249"/>
      <c r="V330" s="481"/>
    </row>
    <row r="331" ht="12.75" customHeight="1">
      <c r="M331" s="480"/>
      <c r="N331" s="249"/>
      <c r="O331" s="479"/>
      <c r="Q331" s="480"/>
      <c r="R331" s="481"/>
      <c r="T331" s="492"/>
      <c r="U331" s="249"/>
      <c r="V331" s="481"/>
    </row>
    <row r="332" ht="12.75" customHeight="1">
      <c r="M332" s="480"/>
      <c r="N332" s="249"/>
      <c r="O332" s="479"/>
      <c r="Q332" s="480"/>
      <c r="R332" s="481"/>
      <c r="T332" s="492"/>
      <c r="U332" s="249"/>
      <c r="V332" s="481"/>
    </row>
    <row r="333" ht="12.75" customHeight="1">
      <c r="M333" s="480"/>
      <c r="N333" s="249"/>
      <c r="O333" s="479"/>
      <c r="Q333" s="480"/>
      <c r="R333" s="481"/>
      <c r="T333" s="492"/>
      <c r="U333" s="249"/>
      <c r="V333" s="481"/>
    </row>
    <row r="334" ht="12.75" customHeight="1">
      <c r="M334" s="480"/>
      <c r="N334" s="249"/>
      <c r="O334" s="479"/>
      <c r="Q334" s="480"/>
      <c r="R334" s="481"/>
      <c r="T334" s="492"/>
      <c r="U334" s="249"/>
      <c r="V334" s="481"/>
    </row>
    <row r="335" ht="12.75" customHeight="1">
      <c r="M335" s="480"/>
      <c r="N335" s="249"/>
      <c r="O335" s="479"/>
      <c r="Q335" s="480"/>
      <c r="R335" s="481"/>
      <c r="T335" s="492"/>
      <c r="U335" s="249"/>
      <c r="V335" s="481"/>
    </row>
    <row r="336" ht="12.75" customHeight="1">
      <c r="M336" s="480"/>
      <c r="N336" s="249"/>
      <c r="O336" s="479"/>
      <c r="Q336" s="480"/>
      <c r="R336" s="481"/>
      <c r="T336" s="492"/>
      <c r="U336" s="249"/>
      <c r="V336" s="481"/>
    </row>
    <row r="337" ht="12.75" customHeight="1">
      <c r="M337" s="480"/>
      <c r="N337" s="249"/>
      <c r="O337" s="479"/>
      <c r="Q337" s="480"/>
      <c r="R337" s="481"/>
      <c r="T337" s="492"/>
      <c r="U337" s="249"/>
      <c r="V337" s="481"/>
    </row>
    <row r="338" ht="12.75" customHeight="1">
      <c r="M338" s="480"/>
      <c r="N338" s="249"/>
      <c r="O338" s="479"/>
      <c r="Q338" s="480"/>
      <c r="R338" s="481"/>
      <c r="T338" s="492"/>
      <c r="U338" s="249"/>
      <c r="V338" s="481"/>
    </row>
    <row r="339" ht="12.75" customHeight="1">
      <c r="M339" s="480"/>
      <c r="N339" s="249"/>
      <c r="O339" s="479"/>
      <c r="Q339" s="480"/>
      <c r="R339" s="481"/>
      <c r="T339" s="492"/>
      <c r="U339" s="249"/>
      <c r="V339" s="481"/>
    </row>
    <row r="340" ht="12.75" customHeight="1">
      <c r="M340" s="480"/>
      <c r="N340" s="249"/>
      <c r="O340" s="479"/>
      <c r="Q340" s="480"/>
      <c r="R340" s="481"/>
      <c r="T340" s="492"/>
      <c r="U340" s="249"/>
      <c r="V340" s="481"/>
    </row>
    <row r="341" ht="12.75" customHeight="1">
      <c r="M341" s="480"/>
      <c r="N341" s="249"/>
      <c r="O341" s="479"/>
      <c r="Q341" s="480"/>
      <c r="R341" s="481"/>
      <c r="T341" s="492"/>
      <c r="U341" s="249"/>
      <c r="V341" s="481"/>
    </row>
    <row r="342" ht="12.75" customHeight="1">
      <c r="M342" s="480"/>
      <c r="N342" s="249"/>
      <c r="O342" s="479"/>
      <c r="Q342" s="480"/>
      <c r="R342" s="481"/>
      <c r="T342" s="492"/>
      <c r="U342" s="249"/>
      <c r="V342" s="481"/>
    </row>
    <row r="343" ht="12.75" customHeight="1">
      <c r="M343" s="480"/>
      <c r="N343" s="249"/>
      <c r="O343" s="479"/>
      <c r="Q343" s="480"/>
      <c r="R343" s="481"/>
      <c r="T343" s="492"/>
      <c r="U343" s="249"/>
      <c r="V343" s="481"/>
    </row>
    <row r="344" ht="12.75" customHeight="1">
      <c r="M344" s="480"/>
      <c r="N344" s="249"/>
      <c r="O344" s="479"/>
      <c r="Q344" s="480"/>
      <c r="R344" s="481"/>
      <c r="T344" s="492"/>
      <c r="U344" s="249"/>
      <c r="V344" s="481"/>
    </row>
    <row r="345" ht="12.75" customHeight="1">
      <c r="M345" s="480"/>
      <c r="N345" s="249"/>
      <c r="O345" s="479"/>
      <c r="Q345" s="480"/>
      <c r="R345" s="481"/>
      <c r="T345" s="492"/>
      <c r="U345" s="249"/>
      <c r="V345" s="481"/>
    </row>
    <row r="346" ht="12.75" customHeight="1">
      <c r="M346" s="480"/>
      <c r="N346" s="249"/>
      <c r="O346" s="479"/>
      <c r="Q346" s="480"/>
      <c r="R346" s="481"/>
      <c r="T346" s="492"/>
      <c r="U346" s="249"/>
      <c r="V346" s="481"/>
    </row>
    <row r="347" ht="12.75" customHeight="1">
      <c r="M347" s="480"/>
      <c r="N347" s="249"/>
      <c r="O347" s="479"/>
      <c r="Q347" s="480"/>
      <c r="R347" s="481"/>
      <c r="T347" s="492"/>
      <c r="U347" s="249"/>
      <c r="V347" s="481"/>
    </row>
    <row r="348" ht="12.75" customHeight="1">
      <c r="M348" s="480"/>
      <c r="N348" s="249"/>
      <c r="O348" s="479"/>
      <c r="Q348" s="480"/>
      <c r="R348" s="481"/>
      <c r="T348" s="492"/>
      <c r="U348" s="249"/>
      <c r="V348" s="481"/>
    </row>
    <row r="349" ht="12.75" customHeight="1">
      <c r="M349" s="480"/>
      <c r="N349" s="249"/>
      <c r="O349" s="479"/>
      <c r="Q349" s="480"/>
      <c r="R349" s="481"/>
      <c r="T349" s="492"/>
      <c r="U349" s="249"/>
      <c r="V349" s="481"/>
    </row>
    <row r="350" ht="12.75" customHeight="1">
      <c r="M350" s="480"/>
      <c r="N350" s="249"/>
      <c r="O350" s="479"/>
      <c r="Q350" s="480"/>
      <c r="R350" s="481"/>
      <c r="T350" s="492"/>
      <c r="U350" s="249"/>
      <c r="V350" s="481"/>
    </row>
    <row r="351" ht="12.75" customHeight="1">
      <c r="M351" s="480"/>
      <c r="N351" s="249"/>
      <c r="O351" s="479"/>
      <c r="Q351" s="480"/>
      <c r="R351" s="481"/>
      <c r="T351" s="492"/>
      <c r="U351" s="249"/>
      <c r="V351" s="481"/>
    </row>
    <row r="352" ht="12.75" customHeight="1">
      <c r="M352" s="480"/>
      <c r="N352" s="249"/>
      <c r="O352" s="479"/>
      <c r="Q352" s="480"/>
      <c r="R352" s="481"/>
      <c r="T352" s="492"/>
      <c r="U352" s="249"/>
      <c r="V352" s="481"/>
    </row>
    <row r="353" ht="12.75" customHeight="1">
      <c r="M353" s="480"/>
      <c r="N353" s="249"/>
      <c r="O353" s="479"/>
      <c r="Q353" s="480"/>
      <c r="R353" s="481"/>
      <c r="T353" s="492"/>
      <c r="U353" s="249"/>
      <c r="V353" s="481"/>
    </row>
    <row r="354" ht="12.75" customHeight="1">
      <c r="M354" s="480"/>
      <c r="N354" s="249"/>
      <c r="O354" s="479"/>
      <c r="Q354" s="480"/>
      <c r="R354" s="481"/>
      <c r="T354" s="492"/>
      <c r="U354" s="249"/>
      <c r="V354" s="481"/>
    </row>
    <row r="355" ht="12.75" customHeight="1">
      <c r="M355" s="480"/>
      <c r="N355" s="249"/>
      <c r="O355" s="479"/>
      <c r="Q355" s="480"/>
      <c r="R355" s="481"/>
      <c r="T355" s="492"/>
      <c r="U355" s="249"/>
      <c r="V355" s="481"/>
    </row>
    <row r="356" ht="12.75" customHeight="1">
      <c r="M356" s="480"/>
      <c r="N356" s="249"/>
      <c r="O356" s="479"/>
      <c r="Q356" s="480"/>
      <c r="R356" s="481"/>
      <c r="T356" s="492"/>
      <c r="U356" s="249"/>
      <c r="V356" s="481"/>
    </row>
    <row r="357" ht="12.75" customHeight="1">
      <c r="M357" s="480"/>
      <c r="N357" s="249"/>
      <c r="O357" s="479"/>
      <c r="Q357" s="480"/>
      <c r="R357" s="481"/>
      <c r="T357" s="492"/>
      <c r="U357" s="249"/>
      <c r="V357" s="481"/>
    </row>
    <row r="358" ht="12.75" customHeight="1">
      <c r="M358" s="480"/>
      <c r="N358" s="249"/>
      <c r="O358" s="479"/>
      <c r="Q358" s="480"/>
      <c r="R358" s="481"/>
      <c r="T358" s="492"/>
      <c r="U358" s="249"/>
      <c r="V358" s="481"/>
    </row>
    <row r="359" ht="12.75" customHeight="1">
      <c r="M359" s="480"/>
      <c r="N359" s="249"/>
      <c r="O359" s="479"/>
      <c r="Q359" s="480"/>
      <c r="R359" s="481"/>
      <c r="T359" s="492"/>
      <c r="U359" s="249"/>
      <c r="V359" s="481"/>
    </row>
    <row r="360" ht="12.75" customHeight="1">
      <c r="M360" s="480"/>
      <c r="N360" s="249"/>
      <c r="O360" s="479"/>
      <c r="Q360" s="480"/>
      <c r="R360" s="481"/>
      <c r="T360" s="492"/>
      <c r="U360" s="249"/>
      <c r="V360" s="481"/>
    </row>
    <row r="361" ht="12.75" customHeight="1">
      <c r="M361" s="480"/>
      <c r="N361" s="249"/>
      <c r="O361" s="479"/>
      <c r="Q361" s="480"/>
      <c r="R361" s="481"/>
      <c r="T361" s="492"/>
      <c r="U361" s="249"/>
      <c r="V361" s="481"/>
    </row>
    <row r="362" ht="12.75" customHeight="1">
      <c r="M362" s="480"/>
      <c r="N362" s="249"/>
      <c r="O362" s="479"/>
      <c r="Q362" s="480"/>
      <c r="R362" s="481"/>
      <c r="T362" s="492"/>
      <c r="U362" s="249"/>
      <c r="V362" s="481"/>
    </row>
    <row r="363" ht="12.75" customHeight="1">
      <c r="M363" s="480"/>
      <c r="N363" s="249"/>
      <c r="O363" s="479"/>
      <c r="Q363" s="480"/>
      <c r="R363" s="481"/>
      <c r="T363" s="492"/>
      <c r="U363" s="249"/>
      <c r="V363" s="481"/>
    </row>
    <row r="364" ht="12.75" customHeight="1">
      <c r="M364" s="480"/>
      <c r="N364" s="249"/>
      <c r="O364" s="479"/>
      <c r="Q364" s="480"/>
      <c r="R364" s="481"/>
      <c r="T364" s="492"/>
      <c r="U364" s="249"/>
      <c r="V364" s="481"/>
    </row>
    <row r="365" ht="12.75" customHeight="1">
      <c r="M365" s="480"/>
      <c r="N365" s="249"/>
      <c r="O365" s="479"/>
      <c r="Q365" s="480"/>
      <c r="R365" s="481"/>
      <c r="T365" s="492"/>
      <c r="U365" s="249"/>
      <c r="V365" s="481"/>
    </row>
    <row r="366" ht="12.75" customHeight="1">
      <c r="M366" s="480"/>
      <c r="N366" s="249"/>
      <c r="O366" s="479"/>
      <c r="Q366" s="480"/>
      <c r="R366" s="481"/>
      <c r="T366" s="492"/>
      <c r="U366" s="249"/>
      <c r="V366" s="481"/>
    </row>
    <row r="367" ht="12.75" customHeight="1">
      <c r="M367" s="480"/>
      <c r="N367" s="249"/>
      <c r="O367" s="479"/>
      <c r="Q367" s="480"/>
      <c r="R367" s="481"/>
      <c r="T367" s="492"/>
      <c r="U367" s="249"/>
      <c r="V367" s="481"/>
    </row>
    <row r="368" ht="12.75" customHeight="1">
      <c r="M368" s="480"/>
      <c r="N368" s="249"/>
      <c r="O368" s="479"/>
      <c r="Q368" s="480"/>
      <c r="R368" s="481"/>
      <c r="T368" s="492"/>
      <c r="U368" s="249"/>
      <c r="V368" s="481"/>
    </row>
    <row r="369" ht="12.75" customHeight="1">
      <c r="M369" s="480"/>
      <c r="N369" s="249"/>
      <c r="O369" s="479"/>
      <c r="Q369" s="480"/>
      <c r="R369" s="481"/>
      <c r="T369" s="492"/>
      <c r="U369" s="249"/>
      <c r="V369" s="481"/>
    </row>
    <row r="370" ht="12.75" customHeight="1">
      <c r="M370" s="480"/>
      <c r="N370" s="249"/>
      <c r="O370" s="479"/>
      <c r="Q370" s="480"/>
      <c r="R370" s="481"/>
      <c r="T370" s="492"/>
      <c r="U370" s="249"/>
      <c r="V370" s="481"/>
    </row>
    <row r="371" ht="12.75" customHeight="1">
      <c r="M371" s="480"/>
      <c r="N371" s="249"/>
      <c r="O371" s="479"/>
      <c r="Q371" s="480"/>
      <c r="R371" s="481"/>
      <c r="T371" s="492"/>
      <c r="U371" s="249"/>
      <c r="V371" s="481"/>
    </row>
    <row r="372" ht="12.75" customHeight="1">
      <c r="M372" s="480"/>
      <c r="N372" s="249"/>
      <c r="O372" s="479"/>
      <c r="Q372" s="480"/>
      <c r="R372" s="481"/>
      <c r="T372" s="492"/>
      <c r="U372" s="249"/>
      <c r="V372" s="481"/>
    </row>
    <row r="373" ht="12.75" customHeight="1">
      <c r="M373" s="480"/>
      <c r="N373" s="249"/>
      <c r="O373" s="479"/>
      <c r="Q373" s="480"/>
      <c r="R373" s="481"/>
      <c r="T373" s="492"/>
      <c r="U373" s="249"/>
      <c r="V373" s="481"/>
    </row>
    <row r="374" ht="12.75" customHeight="1">
      <c r="M374" s="480"/>
      <c r="N374" s="249"/>
      <c r="O374" s="479"/>
      <c r="Q374" s="480"/>
      <c r="R374" s="481"/>
      <c r="T374" s="492"/>
      <c r="U374" s="249"/>
      <c r="V374" s="481"/>
    </row>
    <row r="375" ht="12.75" customHeight="1">
      <c r="M375" s="480"/>
      <c r="N375" s="249"/>
      <c r="O375" s="479"/>
      <c r="Q375" s="480"/>
      <c r="R375" s="481"/>
      <c r="T375" s="492"/>
      <c r="U375" s="249"/>
      <c r="V375" s="481"/>
    </row>
    <row r="376" ht="12.75" customHeight="1">
      <c r="M376" s="480"/>
      <c r="N376" s="249"/>
      <c r="O376" s="479"/>
      <c r="Q376" s="480"/>
      <c r="R376" s="481"/>
      <c r="T376" s="492"/>
      <c r="U376" s="249"/>
      <c r="V376" s="481"/>
    </row>
    <row r="377" ht="12.75" customHeight="1">
      <c r="M377" s="480"/>
      <c r="N377" s="249"/>
      <c r="O377" s="479"/>
      <c r="Q377" s="480"/>
      <c r="R377" s="481"/>
      <c r="T377" s="492"/>
      <c r="U377" s="249"/>
      <c r="V377" s="481"/>
    </row>
    <row r="378" ht="12.75" customHeight="1">
      <c r="M378" s="480"/>
      <c r="N378" s="249"/>
      <c r="O378" s="479"/>
      <c r="Q378" s="480"/>
      <c r="R378" s="481"/>
      <c r="T378" s="492"/>
      <c r="U378" s="249"/>
      <c r="V378" s="481"/>
    </row>
    <row r="379" ht="12.75" customHeight="1">
      <c r="M379" s="480"/>
      <c r="N379" s="249"/>
      <c r="O379" s="479"/>
      <c r="Q379" s="480"/>
      <c r="R379" s="481"/>
      <c r="T379" s="492"/>
      <c r="U379" s="249"/>
      <c r="V379" s="481"/>
    </row>
    <row r="380" ht="12.75" customHeight="1">
      <c r="M380" s="480"/>
      <c r="N380" s="249"/>
      <c r="O380" s="479"/>
      <c r="Q380" s="480"/>
      <c r="R380" s="481"/>
      <c r="T380" s="492"/>
      <c r="U380" s="249"/>
      <c r="V380" s="481"/>
    </row>
    <row r="381" ht="12.75" customHeight="1">
      <c r="M381" s="480"/>
      <c r="N381" s="249"/>
      <c r="O381" s="479"/>
      <c r="Q381" s="480"/>
      <c r="R381" s="481"/>
      <c r="T381" s="492"/>
      <c r="U381" s="249"/>
      <c r="V381" s="481"/>
    </row>
    <row r="382" ht="12.75" customHeight="1">
      <c r="M382" s="480"/>
      <c r="N382" s="249"/>
      <c r="O382" s="479"/>
      <c r="Q382" s="480"/>
      <c r="R382" s="481"/>
      <c r="T382" s="492"/>
      <c r="U382" s="249"/>
      <c r="V382" s="481"/>
    </row>
    <row r="383" ht="12.75" customHeight="1">
      <c r="M383" s="480"/>
      <c r="N383" s="249"/>
      <c r="O383" s="479"/>
      <c r="Q383" s="480"/>
      <c r="R383" s="481"/>
      <c r="T383" s="492"/>
      <c r="U383" s="249"/>
      <c r="V383" s="481"/>
    </row>
    <row r="384" ht="12.75" customHeight="1">
      <c r="M384" s="480"/>
      <c r="N384" s="249"/>
      <c r="O384" s="479"/>
      <c r="Q384" s="480"/>
      <c r="R384" s="481"/>
      <c r="T384" s="492"/>
      <c r="U384" s="249"/>
      <c r="V384" s="481"/>
    </row>
    <row r="385" ht="12.75" customHeight="1">
      <c r="M385" s="480"/>
      <c r="N385" s="249"/>
      <c r="O385" s="479"/>
      <c r="Q385" s="480"/>
      <c r="R385" s="481"/>
      <c r="T385" s="492"/>
      <c r="U385" s="249"/>
      <c r="V385" s="481"/>
    </row>
    <row r="386" ht="12.75" customHeight="1">
      <c r="M386" s="480"/>
      <c r="N386" s="249"/>
      <c r="O386" s="479"/>
      <c r="Q386" s="480"/>
      <c r="R386" s="481"/>
      <c r="T386" s="492"/>
      <c r="U386" s="249"/>
      <c r="V386" s="481"/>
    </row>
    <row r="387" ht="12.75" customHeight="1">
      <c r="M387" s="480"/>
      <c r="N387" s="249"/>
      <c r="O387" s="479"/>
      <c r="Q387" s="480"/>
      <c r="R387" s="481"/>
      <c r="T387" s="492"/>
      <c r="U387" s="249"/>
      <c r="V387" s="481"/>
    </row>
    <row r="388" ht="12.75" customHeight="1">
      <c r="M388" s="480"/>
      <c r="N388" s="249"/>
      <c r="O388" s="479"/>
      <c r="Q388" s="480"/>
      <c r="R388" s="481"/>
      <c r="T388" s="492"/>
      <c r="U388" s="249"/>
      <c r="V388" s="481"/>
    </row>
    <row r="389" ht="12.75" customHeight="1">
      <c r="M389" s="480"/>
      <c r="N389" s="249"/>
      <c r="O389" s="479"/>
      <c r="Q389" s="480"/>
      <c r="R389" s="481"/>
      <c r="T389" s="492"/>
      <c r="U389" s="249"/>
      <c r="V389" s="481"/>
    </row>
    <row r="390" ht="12.75" customHeight="1">
      <c r="M390" s="480"/>
      <c r="N390" s="249"/>
      <c r="O390" s="479"/>
      <c r="Q390" s="480"/>
      <c r="R390" s="481"/>
      <c r="T390" s="492"/>
      <c r="U390" s="249"/>
      <c r="V390" s="481"/>
    </row>
    <row r="391" ht="12.75" customHeight="1">
      <c r="M391" s="480"/>
      <c r="N391" s="249"/>
      <c r="O391" s="479"/>
      <c r="Q391" s="480"/>
      <c r="R391" s="481"/>
      <c r="T391" s="492"/>
      <c r="U391" s="249"/>
      <c r="V391" s="481"/>
    </row>
    <row r="392" ht="12.75" customHeight="1">
      <c r="M392" s="480"/>
      <c r="N392" s="249"/>
      <c r="O392" s="479"/>
      <c r="Q392" s="480"/>
      <c r="R392" s="481"/>
      <c r="T392" s="492"/>
      <c r="U392" s="249"/>
      <c r="V392" s="481"/>
    </row>
    <row r="393" ht="12.75" customHeight="1">
      <c r="M393" s="480"/>
      <c r="N393" s="249"/>
      <c r="O393" s="479"/>
      <c r="Q393" s="480"/>
      <c r="R393" s="481"/>
      <c r="T393" s="492"/>
      <c r="U393" s="249"/>
      <c r="V393" s="481"/>
    </row>
    <row r="394" ht="12.75" customHeight="1">
      <c r="M394" s="480"/>
      <c r="N394" s="249"/>
      <c r="O394" s="479"/>
      <c r="Q394" s="480"/>
      <c r="R394" s="481"/>
      <c r="T394" s="492"/>
      <c r="U394" s="249"/>
      <c r="V394" s="481"/>
    </row>
    <row r="395" ht="12.75" customHeight="1">
      <c r="M395" s="480"/>
      <c r="N395" s="249"/>
      <c r="O395" s="479"/>
      <c r="Q395" s="480"/>
      <c r="R395" s="481"/>
      <c r="T395" s="492"/>
      <c r="U395" s="249"/>
      <c r="V395" s="481"/>
    </row>
    <row r="396" ht="12.75" customHeight="1">
      <c r="M396" s="480"/>
      <c r="N396" s="249"/>
      <c r="O396" s="479"/>
      <c r="Q396" s="480"/>
      <c r="R396" s="481"/>
      <c r="T396" s="492"/>
      <c r="U396" s="249"/>
      <c r="V396" s="481"/>
    </row>
    <row r="397" ht="12.75" customHeight="1">
      <c r="M397" s="480"/>
      <c r="N397" s="249"/>
      <c r="O397" s="479"/>
      <c r="Q397" s="480"/>
      <c r="R397" s="481"/>
      <c r="T397" s="492"/>
      <c r="U397" s="249"/>
      <c r="V397" s="481"/>
    </row>
    <row r="398" ht="12.75" customHeight="1">
      <c r="M398" s="480"/>
      <c r="N398" s="249"/>
      <c r="O398" s="479"/>
      <c r="Q398" s="480"/>
      <c r="R398" s="481"/>
      <c r="T398" s="492"/>
      <c r="U398" s="249"/>
      <c r="V398" s="481"/>
    </row>
    <row r="399" ht="12.75" customHeight="1">
      <c r="M399" s="480"/>
      <c r="N399" s="249"/>
      <c r="O399" s="479"/>
      <c r="Q399" s="480"/>
      <c r="R399" s="481"/>
      <c r="T399" s="492"/>
      <c r="U399" s="249"/>
      <c r="V399" s="481"/>
    </row>
    <row r="400" ht="12.75" customHeight="1">
      <c r="M400" s="480"/>
      <c r="N400" s="249"/>
      <c r="O400" s="479"/>
      <c r="Q400" s="480"/>
      <c r="R400" s="481"/>
      <c r="T400" s="492"/>
      <c r="U400" s="249"/>
      <c r="V400" s="481"/>
    </row>
    <row r="401" ht="12.75" customHeight="1">
      <c r="M401" s="480"/>
      <c r="N401" s="249"/>
      <c r="O401" s="479"/>
      <c r="Q401" s="480"/>
      <c r="R401" s="481"/>
      <c r="T401" s="492"/>
      <c r="U401" s="249"/>
      <c r="V401" s="481"/>
    </row>
    <row r="402" ht="12.75" customHeight="1">
      <c r="M402" s="480"/>
      <c r="N402" s="249"/>
      <c r="O402" s="479"/>
      <c r="Q402" s="480"/>
      <c r="R402" s="481"/>
      <c r="T402" s="492"/>
      <c r="U402" s="249"/>
      <c r="V402" s="481"/>
    </row>
    <row r="403" ht="12.75" customHeight="1">
      <c r="M403" s="480"/>
      <c r="N403" s="249"/>
      <c r="O403" s="479"/>
      <c r="Q403" s="480"/>
      <c r="R403" s="481"/>
      <c r="T403" s="492"/>
      <c r="U403" s="249"/>
      <c r="V403" s="481"/>
    </row>
    <row r="404" ht="12.75" customHeight="1">
      <c r="M404" s="480"/>
      <c r="N404" s="249"/>
      <c r="O404" s="479"/>
      <c r="Q404" s="480"/>
      <c r="R404" s="481"/>
      <c r="T404" s="492"/>
      <c r="U404" s="249"/>
      <c r="V404" s="481"/>
    </row>
    <row r="405" ht="12.75" customHeight="1">
      <c r="M405" s="480"/>
      <c r="N405" s="249"/>
      <c r="O405" s="479"/>
      <c r="Q405" s="480"/>
      <c r="R405" s="481"/>
      <c r="T405" s="492"/>
      <c r="U405" s="249"/>
      <c r="V405" s="481"/>
    </row>
    <row r="406" ht="12.75" customHeight="1">
      <c r="M406" s="480"/>
      <c r="N406" s="249"/>
      <c r="O406" s="479"/>
      <c r="Q406" s="480"/>
      <c r="R406" s="481"/>
      <c r="T406" s="492"/>
      <c r="U406" s="249"/>
      <c r="V406" s="481"/>
    </row>
    <row r="407" ht="12.75" customHeight="1">
      <c r="M407" s="480"/>
      <c r="N407" s="249"/>
      <c r="O407" s="479"/>
      <c r="Q407" s="480"/>
      <c r="R407" s="481"/>
      <c r="T407" s="492"/>
      <c r="U407" s="249"/>
      <c r="V407" s="481"/>
    </row>
    <row r="408" ht="12.75" customHeight="1">
      <c r="M408" s="480"/>
      <c r="N408" s="249"/>
      <c r="O408" s="479"/>
      <c r="Q408" s="480"/>
      <c r="R408" s="481"/>
      <c r="T408" s="492"/>
      <c r="U408" s="249"/>
      <c r="V408" s="481"/>
    </row>
    <row r="409" ht="12.75" customHeight="1">
      <c r="M409" s="480"/>
      <c r="N409" s="249"/>
      <c r="O409" s="479"/>
      <c r="Q409" s="480"/>
      <c r="R409" s="481"/>
      <c r="T409" s="492"/>
      <c r="U409" s="249"/>
      <c r="V409" s="481"/>
    </row>
    <row r="410" ht="12.75" customHeight="1">
      <c r="M410" s="480"/>
      <c r="N410" s="249"/>
      <c r="O410" s="479"/>
      <c r="Q410" s="480"/>
      <c r="R410" s="481"/>
      <c r="T410" s="492"/>
      <c r="U410" s="249"/>
      <c r="V410" s="481"/>
    </row>
    <row r="411" ht="12.75" customHeight="1">
      <c r="M411" s="480"/>
      <c r="N411" s="249"/>
      <c r="O411" s="479"/>
      <c r="Q411" s="480"/>
      <c r="R411" s="481"/>
      <c r="T411" s="492"/>
      <c r="U411" s="249"/>
      <c r="V411" s="481"/>
    </row>
    <row r="412" ht="12.75" customHeight="1">
      <c r="M412" s="480"/>
      <c r="N412" s="249"/>
      <c r="O412" s="479"/>
      <c r="Q412" s="480"/>
      <c r="R412" s="481"/>
      <c r="T412" s="492"/>
      <c r="U412" s="249"/>
      <c r="V412" s="481"/>
    </row>
    <row r="413" ht="12.75" customHeight="1">
      <c r="M413" s="480"/>
      <c r="N413" s="249"/>
      <c r="O413" s="479"/>
      <c r="Q413" s="480"/>
      <c r="R413" s="481"/>
      <c r="T413" s="492"/>
      <c r="U413" s="249"/>
      <c r="V413" s="481"/>
    </row>
    <row r="414" ht="12.75" customHeight="1">
      <c r="M414" s="480"/>
      <c r="N414" s="249"/>
      <c r="O414" s="479"/>
      <c r="Q414" s="480"/>
      <c r="R414" s="481"/>
      <c r="T414" s="492"/>
      <c r="U414" s="249"/>
      <c r="V414" s="481"/>
    </row>
    <row r="415" ht="12.75" customHeight="1">
      <c r="M415" s="480"/>
      <c r="N415" s="249"/>
      <c r="O415" s="479"/>
      <c r="Q415" s="480"/>
      <c r="R415" s="481"/>
      <c r="T415" s="492"/>
      <c r="U415" s="249"/>
      <c r="V415" s="481"/>
    </row>
    <row r="416" ht="12.75" customHeight="1">
      <c r="M416" s="480"/>
      <c r="N416" s="249"/>
      <c r="O416" s="479"/>
      <c r="Q416" s="480"/>
      <c r="R416" s="481"/>
      <c r="T416" s="492"/>
      <c r="U416" s="249"/>
      <c r="V416" s="481"/>
    </row>
    <row r="417" ht="12.75" customHeight="1">
      <c r="M417" s="480"/>
      <c r="N417" s="249"/>
      <c r="O417" s="479"/>
      <c r="Q417" s="480"/>
      <c r="R417" s="481"/>
      <c r="T417" s="492"/>
      <c r="U417" s="249"/>
      <c r="V417" s="481"/>
    </row>
    <row r="418" ht="12.75" customHeight="1">
      <c r="M418" s="480"/>
      <c r="N418" s="249"/>
      <c r="O418" s="479"/>
      <c r="Q418" s="480"/>
      <c r="R418" s="481"/>
      <c r="T418" s="492"/>
      <c r="U418" s="249"/>
      <c r="V418" s="481"/>
    </row>
    <row r="419" ht="12.75" customHeight="1">
      <c r="M419" s="480"/>
      <c r="N419" s="249"/>
      <c r="O419" s="479"/>
      <c r="Q419" s="480"/>
      <c r="R419" s="481"/>
      <c r="T419" s="492"/>
      <c r="U419" s="249"/>
      <c r="V419" s="481"/>
    </row>
    <row r="420" ht="12.75" customHeight="1">
      <c r="M420" s="480"/>
      <c r="N420" s="249"/>
      <c r="O420" s="479"/>
      <c r="Q420" s="480"/>
      <c r="R420" s="481"/>
      <c r="T420" s="492"/>
      <c r="U420" s="249"/>
      <c r="V420" s="481"/>
    </row>
    <row r="421" ht="12.75" customHeight="1">
      <c r="M421" s="480"/>
      <c r="N421" s="249"/>
      <c r="O421" s="479"/>
      <c r="Q421" s="480"/>
      <c r="R421" s="481"/>
      <c r="T421" s="492"/>
      <c r="U421" s="249"/>
      <c r="V421" s="481"/>
    </row>
    <row r="422" ht="12.75" customHeight="1">
      <c r="M422" s="480"/>
      <c r="N422" s="249"/>
      <c r="O422" s="479"/>
      <c r="Q422" s="480"/>
      <c r="R422" s="481"/>
      <c r="T422" s="492"/>
      <c r="U422" s="249"/>
      <c r="V422" s="481"/>
    </row>
    <row r="423" ht="12.75" customHeight="1">
      <c r="M423" s="480"/>
      <c r="N423" s="249"/>
      <c r="O423" s="479"/>
      <c r="Q423" s="480"/>
      <c r="R423" s="481"/>
      <c r="T423" s="492"/>
      <c r="U423" s="249"/>
      <c r="V423" s="481"/>
    </row>
    <row r="424" ht="12.75" customHeight="1">
      <c r="M424" s="480"/>
      <c r="N424" s="249"/>
      <c r="O424" s="479"/>
      <c r="Q424" s="480"/>
      <c r="R424" s="481"/>
      <c r="T424" s="492"/>
      <c r="U424" s="249"/>
      <c r="V424" s="481"/>
    </row>
    <row r="425" ht="12.75" customHeight="1">
      <c r="M425" s="480"/>
      <c r="N425" s="249"/>
      <c r="O425" s="479"/>
      <c r="Q425" s="480"/>
      <c r="R425" s="481"/>
      <c r="T425" s="492"/>
      <c r="U425" s="249"/>
      <c r="V425" s="481"/>
    </row>
    <row r="426" ht="12.75" customHeight="1">
      <c r="M426" s="480"/>
      <c r="N426" s="249"/>
      <c r="O426" s="479"/>
      <c r="Q426" s="480"/>
      <c r="R426" s="481"/>
      <c r="T426" s="492"/>
      <c r="U426" s="249"/>
      <c r="V426" s="481"/>
    </row>
    <row r="427" ht="12.75" customHeight="1">
      <c r="M427" s="480"/>
      <c r="N427" s="249"/>
      <c r="O427" s="479"/>
      <c r="Q427" s="480"/>
      <c r="R427" s="481"/>
      <c r="T427" s="492"/>
      <c r="U427" s="249"/>
      <c r="V427" s="481"/>
    </row>
    <row r="428" ht="12.75" customHeight="1">
      <c r="M428" s="480"/>
      <c r="N428" s="249"/>
      <c r="O428" s="479"/>
      <c r="Q428" s="480"/>
      <c r="R428" s="481"/>
      <c r="T428" s="492"/>
      <c r="U428" s="249"/>
      <c r="V428" s="481"/>
    </row>
    <row r="429" ht="12.75" customHeight="1">
      <c r="M429" s="480"/>
      <c r="N429" s="249"/>
      <c r="O429" s="479"/>
      <c r="Q429" s="480"/>
      <c r="R429" s="481"/>
      <c r="T429" s="492"/>
      <c r="U429" s="249"/>
      <c r="V429" s="481"/>
    </row>
    <row r="430" ht="12.75" customHeight="1">
      <c r="M430" s="480"/>
      <c r="N430" s="249"/>
      <c r="O430" s="479"/>
      <c r="Q430" s="480"/>
      <c r="R430" s="481"/>
      <c r="T430" s="492"/>
      <c r="U430" s="249"/>
      <c r="V430" s="481"/>
    </row>
    <row r="431" ht="12.75" customHeight="1">
      <c r="M431" s="480"/>
      <c r="N431" s="249"/>
      <c r="O431" s="479"/>
      <c r="Q431" s="480"/>
      <c r="R431" s="481"/>
      <c r="T431" s="492"/>
      <c r="U431" s="249"/>
      <c r="V431" s="481"/>
    </row>
    <row r="432" ht="12.75" customHeight="1">
      <c r="M432" s="480"/>
      <c r="N432" s="249"/>
      <c r="O432" s="479"/>
      <c r="Q432" s="480"/>
      <c r="R432" s="481"/>
      <c r="T432" s="492"/>
      <c r="U432" s="249"/>
      <c r="V432" s="481"/>
    </row>
    <row r="433" ht="12.75" customHeight="1">
      <c r="M433" s="480"/>
      <c r="N433" s="249"/>
      <c r="O433" s="479"/>
      <c r="Q433" s="480"/>
      <c r="R433" s="481"/>
      <c r="T433" s="492"/>
      <c r="U433" s="249"/>
      <c r="V433" s="481"/>
    </row>
    <row r="434" ht="12.75" customHeight="1">
      <c r="M434" s="480"/>
      <c r="N434" s="249"/>
      <c r="O434" s="479"/>
      <c r="Q434" s="480"/>
      <c r="R434" s="481"/>
      <c r="T434" s="492"/>
      <c r="U434" s="249"/>
      <c r="V434" s="481"/>
    </row>
    <row r="435" ht="12.75" customHeight="1">
      <c r="M435" s="480"/>
      <c r="N435" s="249"/>
      <c r="O435" s="479"/>
      <c r="Q435" s="480"/>
      <c r="R435" s="481"/>
      <c r="T435" s="492"/>
      <c r="U435" s="249"/>
      <c r="V435" s="481"/>
    </row>
    <row r="436" ht="12.75" customHeight="1">
      <c r="M436" s="480"/>
      <c r="N436" s="249"/>
      <c r="O436" s="479"/>
      <c r="Q436" s="480"/>
      <c r="R436" s="481"/>
      <c r="T436" s="492"/>
      <c r="U436" s="249"/>
      <c r="V436" s="481"/>
    </row>
    <row r="437" ht="12.75" customHeight="1">
      <c r="M437" s="480"/>
      <c r="N437" s="249"/>
      <c r="O437" s="479"/>
      <c r="Q437" s="480"/>
      <c r="R437" s="481"/>
      <c r="T437" s="492"/>
      <c r="U437" s="249"/>
      <c r="V437" s="481"/>
    </row>
    <row r="438" ht="12.75" customHeight="1">
      <c r="M438" s="480"/>
      <c r="N438" s="249"/>
      <c r="O438" s="479"/>
      <c r="Q438" s="480"/>
      <c r="R438" s="481"/>
      <c r="T438" s="492"/>
      <c r="U438" s="249"/>
      <c r="V438" s="481"/>
    </row>
    <row r="439" ht="12.75" customHeight="1">
      <c r="M439" s="480"/>
      <c r="N439" s="249"/>
      <c r="O439" s="479"/>
      <c r="Q439" s="480"/>
      <c r="R439" s="481"/>
      <c r="T439" s="492"/>
      <c r="U439" s="249"/>
      <c r="V439" s="481"/>
    </row>
    <row r="440" ht="12.75" customHeight="1">
      <c r="M440" s="480"/>
      <c r="N440" s="249"/>
      <c r="O440" s="479"/>
      <c r="Q440" s="480"/>
      <c r="R440" s="481"/>
      <c r="T440" s="492"/>
      <c r="U440" s="249"/>
      <c r="V440" s="481"/>
    </row>
    <row r="441" ht="12.75" customHeight="1">
      <c r="M441" s="480"/>
      <c r="N441" s="249"/>
      <c r="O441" s="479"/>
      <c r="Q441" s="480"/>
      <c r="R441" s="481"/>
      <c r="T441" s="492"/>
      <c r="U441" s="249"/>
      <c r="V441" s="481"/>
    </row>
    <row r="442" ht="12.75" customHeight="1">
      <c r="M442" s="480"/>
      <c r="N442" s="249"/>
      <c r="O442" s="479"/>
      <c r="Q442" s="480"/>
      <c r="R442" s="481"/>
      <c r="T442" s="492"/>
      <c r="U442" s="249"/>
      <c r="V442" s="481"/>
    </row>
    <row r="443" ht="12.75" customHeight="1">
      <c r="M443" s="480"/>
      <c r="N443" s="249"/>
      <c r="O443" s="479"/>
      <c r="Q443" s="480"/>
      <c r="R443" s="481"/>
      <c r="T443" s="492"/>
      <c r="U443" s="249"/>
      <c r="V443" s="481"/>
    </row>
    <row r="444" ht="12.75" customHeight="1">
      <c r="M444" s="480"/>
      <c r="N444" s="249"/>
      <c r="O444" s="479"/>
      <c r="Q444" s="480"/>
      <c r="R444" s="481"/>
      <c r="T444" s="492"/>
      <c r="U444" s="249"/>
      <c r="V444" s="481"/>
    </row>
    <row r="445" ht="12.75" customHeight="1">
      <c r="M445" s="480"/>
      <c r="N445" s="249"/>
      <c r="O445" s="479"/>
      <c r="Q445" s="480"/>
      <c r="R445" s="481"/>
      <c r="T445" s="492"/>
      <c r="U445" s="249"/>
      <c r="V445" s="481"/>
    </row>
    <row r="446" ht="12.75" customHeight="1">
      <c r="M446" s="480"/>
      <c r="N446" s="249"/>
      <c r="O446" s="479"/>
      <c r="Q446" s="480"/>
      <c r="R446" s="481"/>
      <c r="T446" s="492"/>
      <c r="U446" s="249"/>
      <c r="V446" s="481"/>
    </row>
    <row r="447" ht="12.75" customHeight="1">
      <c r="M447" s="480"/>
      <c r="N447" s="249"/>
      <c r="O447" s="479"/>
      <c r="Q447" s="480"/>
      <c r="R447" s="481"/>
      <c r="T447" s="492"/>
      <c r="U447" s="249"/>
      <c r="V447" s="481"/>
    </row>
    <row r="448" ht="12.75" customHeight="1">
      <c r="M448" s="480"/>
      <c r="N448" s="249"/>
      <c r="O448" s="479"/>
      <c r="Q448" s="480"/>
      <c r="R448" s="481"/>
      <c r="T448" s="492"/>
      <c r="U448" s="249"/>
      <c r="V448" s="481"/>
    </row>
    <row r="449" ht="12.75" customHeight="1">
      <c r="M449" s="480"/>
      <c r="N449" s="249"/>
      <c r="O449" s="479"/>
      <c r="Q449" s="480"/>
      <c r="R449" s="481"/>
      <c r="T449" s="492"/>
      <c r="U449" s="249"/>
      <c r="V449" s="481"/>
    </row>
    <row r="450" ht="12.75" customHeight="1">
      <c r="M450" s="480"/>
      <c r="N450" s="249"/>
      <c r="O450" s="479"/>
      <c r="Q450" s="480"/>
      <c r="R450" s="481"/>
      <c r="T450" s="492"/>
      <c r="U450" s="249"/>
      <c r="V450" s="481"/>
    </row>
    <row r="451" ht="12.75" customHeight="1">
      <c r="M451" s="480"/>
      <c r="N451" s="249"/>
      <c r="O451" s="479"/>
      <c r="Q451" s="480"/>
      <c r="R451" s="481"/>
      <c r="T451" s="492"/>
      <c r="U451" s="249"/>
      <c r="V451" s="481"/>
    </row>
    <row r="452" ht="12.75" customHeight="1">
      <c r="M452" s="480"/>
      <c r="N452" s="249"/>
      <c r="O452" s="479"/>
      <c r="Q452" s="480"/>
      <c r="R452" s="481"/>
      <c r="T452" s="492"/>
      <c r="U452" s="249"/>
      <c r="V452" s="481"/>
    </row>
    <row r="453" ht="12.75" customHeight="1">
      <c r="M453" s="480"/>
      <c r="N453" s="249"/>
      <c r="O453" s="479"/>
      <c r="Q453" s="480"/>
      <c r="R453" s="481"/>
      <c r="T453" s="492"/>
      <c r="U453" s="249"/>
      <c r="V453" s="481"/>
    </row>
    <row r="454" ht="12.75" customHeight="1">
      <c r="M454" s="480"/>
      <c r="N454" s="249"/>
      <c r="O454" s="479"/>
      <c r="Q454" s="480"/>
      <c r="R454" s="481"/>
      <c r="T454" s="492"/>
      <c r="U454" s="249"/>
      <c r="V454" s="481"/>
    </row>
    <row r="455" ht="12.75" customHeight="1">
      <c r="M455" s="480"/>
      <c r="N455" s="249"/>
      <c r="O455" s="479"/>
      <c r="Q455" s="480"/>
      <c r="R455" s="481"/>
      <c r="T455" s="492"/>
      <c r="U455" s="249"/>
      <c r="V455" s="481"/>
    </row>
    <row r="456" ht="12.75" customHeight="1">
      <c r="M456" s="480"/>
      <c r="N456" s="249"/>
      <c r="O456" s="479"/>
      <c r="Q456" s="480"/>
      <c r="R456" s="481"/>
      <c r="T456" s="492"/>
      <c r="U456" s="249"/>
      <c r="V456" s="481"/>
    </row>
    <row r="457" ht="12.75" customHeight="1">
      <c r="M457" s="480"/>
      <c r="N457" s="249"/>
      <c r="O457" s="479"/>
      <c r="Q457" s="480"/>
      <c r="R457" s="481"/>
      <c r="T457" s="492"/>
      <c r="U457" s="249"/>
      <c r="V457" s="481"/>
    </row>
    <row r="458" ht="12.75" customHeight="1">
      <c r="M458" s="480"/>
      <c r="N458" s="249"/>
      <c r="O458" s="479"/>
      <c r="Q458" s="480"/>
      <c r="R458" s="481"/>
      <c r="T458" s="492"/>
      <c r="U458" s="249"/>
      <c r="V458" s="481"/>
    </row>
    <row r="459" ht="12.75" customHeight="1">
      <c r="M459" s="480"/>
      <c r="N459" s="249"/>
      <c r="O459" s="479"/>
      <c r="Q459" s="480"/>
      <c r="R459" s="481"/>
      <c r="T459" s="492"/>
      <c r="U459" s="249"/>
      <c r="V459" s="481"/>
    </row>
    <row r="460" ht="12.75" customHeight="1">
      <c r="M460" s="480"/>
      <c r="N460" s="249"/>
      <c r="O460" s="479"/>
      <c r="Q460" s="480"/>
      <c r="R460" s="481"/>
      <c r="T460" s="492"/>
      <c r="U460" s="249"/>
      <c r="V460" s="481"/>
    </row>
    <row r="461" ht="12.75" customHeight="1">
      <c r="M461" s="480"/>
      <c r="N461" s="249"/>
      <c r="O461" s="479"/>
      <c r="Q461" s="480"/>
      <c r="R461" s="481"/>
      <c r="T461" s="492"/>
      <c r="U461" s="249"/>
      <c r="V461" s="481"/>
    </row>
    <row r="462" ht="12.75" customHeight="1">
      <c r="M462" s="480"/>
      <c r="N462" s="249"/>
      <c r="O462" s="479"/>
      <c r="Q462" s="480"/>
      <c r="R462" s="481"/>
      <c r="T462" s="492"/>
      <c r="U462" s="249"/>
      <c r="V462" s="481"/>
    </row>
    <row r="463" ht="12.75" customHeight="1">
      <c r="M463" s="480"/>
      <c r="N463" s="249"/>
      <c r="O463" s="479"/>
      <c r="Q463" s="480"/>
      <c r="R463" s="481"/>
      <c r="T463" s="492"/>
      <c r="U463" s="249"/>
      <c r="V463" s="481"/>
    </row>
    <row r="464" ht="12.75" customHeight="1">
      <c r="M464" s="480"/>
      <c r="N464" s="249"/>
      <c r="O464" s="479"/>
      <c r="Q464" s="480"/>
      <c r="R464" s="481"/>
      <c r="T464" s="492"/>
      <c r="U464" s="249"/>
      <c r="V464" s="481"/>
    </row>
    <row r="465" ht="12.75" customHeight="1">
      <c r="M465" s="480"/>
      <c r="N465" s="249"/>
      <c r="O465" s="479"/>
      <c r="Q465" s="480"/>
      <c r="R465" s="481"/>
      <c r="T465" s="492"/>
      <c r="U465" s="249"/>
      <c r="V465" s="481"/>
    </row>
    <row r="466" ht="12.75" customHeight="1">
      <c r="M466" s="480"/>
      <c r="N466" s="249"/>
      <c r="O466" s="479"/>
      <c r="Q466" s="480"/>
      <c r="R466" s="481"/>
      <c r="T466" s="492"/>
      <c r="U466" s="249"/>
      <c r="V466" s="481"/>
    </row>
    <row r="467" ht="12.75" customHeight="1">
      <c r="M467" s="480"/>
      <c r="N467" s="249"/>
      <c r="O467" s="479"/>
      <c r="Q467" s="480"/>
      <c r="R467" s="481"/>
      <c r="T467" s="492"/>
      <c r="U467" s="249"/>
      <c r="V467" s="481"/>
    </row>
    <row r="468" ht="12.75" customHeight="1">
      <c r="M468" s="480"/>
      <c r="N468" s="249"/>
      <c r="O468" s="479"/>
      <c r="Q468" s="480"/>
      <c r="R468" s="481"/>
      <c r="T468" s="492"/>
      <c r="U468" s="249"/>
      <c r="V468" s="481"/>
    </row>
    <row r="469" ht="12.75" customHeight="1">
      <c r="M469" s="480"/>
      <c r="N469" s="249"/>
      <c r="O469" s="479"/>
      <c r="Q469" s="480"/>
      <c r="R469" s="481"/>
      <c r="T469" s="492"/>
      <c r="U469" s="249"/>
      <c r="V469" s="481"/>
    </row>
    <row r="470" ht="12.75" customHeight="1">
      <c r="M470" s="480"/>
      <c r="N470" s="249"/>
      <c r="O470" s="479"/>
      <c r="Q470" s="480"/>
      <c r="R470" s="481"/>
      <c r="T470" s="492"/>
      <c r="U470" s="249"/>
      <c r="V470" s="481"/>
    </row>
    <row r="471" ht="12.75" customHeight="1">
      <c r="M471" s="480"/>
      <c r="N471" s="249"/>
      <c r="O471" s="479"/>
      <c r="Q471" s="480"/>
      <c r="R471" s="481"/>
      <c r="T471" s="492"/>
      <c r="U471" s="249"/>
      <c r="V471" s="481"/>
    </row>
    <row r="472" ht="12.75" customHeight="1">
      <c r="M472" s="480"/>
      <c r="N472" s="249"/>
      <c r="O472" s="479"/>
      <c r="Q472" s="480"/>
      <c r="R472" s="481"/>
      <c r="T472" s="492"/>
      <c r="U472" s="249"/>
      <c r="V472" s="481"/>
    </row>
    <row r="473" ht="12.75" customHeight="1">
      <c r="M473" s="480"/>
      <c r="N473" s="249"/>
      <c r="O473" s="479"/>
      <c r="Q473" s="480"/>
      <c r="R473" s="481"/>
      <c r="T473" s="492"/>
      <c r="U473" s="249"/>
      <c r="V473" s="481"/>
    </row>
    <row r="474" ht="12.75" customHeight="1">
      <c r="M474" s="480"/>
      <c r="N474" s="249"/>
      <c r="O474" s="479"/>
      <c r="Q474" s="480"/>
      <c r="R474" s="481"/>
      <c r="T474" s="492"/>
      <c r="U474" s="249"/>
      <c r="V474" s="481"/>
    </row>
    <row r="475" ht="12.75" customHeight="1">
      <c r="M475" s="480"/>
      <c r="N475" s="249"/>
      <c r="O475" s="479"/>
      <c r="Q475" s="480"/>
      <c r="R475" s="481"/>
      <c r="T475" s="492"/>
      <c r="U475" s="249"/>
      <c r="V475" s="481"/>
    </row>
    <row r="476" ht="12.75" customHeight="1">
      <c r="M476" s="480"/>
      <c r="N476" s="249"/>
      <c r="O476" s="479"/>
      <c r="Q476" s="480"/>
      <c r="R476" s="481"/>
      <c r="T476" s="492"/>
      <c r="U476" s="249"/>
      <c r="V476" s="481"/>
    </row>
    <row r="477" ht="12.75" customHeight="1">
      <c r="M477" s="480"/>
      <c r="N477" s="249"/>
      <c r="O477" s="479"/>
      <c r="Q477" s="480"/>
      <c r="R477" s="481"/>
      <c r="T477" s="492"/>
      <c r="U477" s="249"/>
      <c r="V477" s="481"/>
    </row>
    <row r="478" ht="12.75" customHeight="1">
      <c r="M478" s="480"/>
      <c r="N478" s="249"/>
      <c r="O478" s="479"/>
      <c r="Q478" s="480"/>
      <c r="R478" s="481"/>
      <c r="T478" s="492"/>
      <c r="U478" s="249"/>
      <c r="V478" s="481"/>
    </row>
    <row r="479" ht="12.75" customHeight="1">
      <c r="M479" s="480"/>
      <c r="N479" s="249"/>
      <c r="O479" s="479"/>
      <c r="Q479" s="480"/>
      <c r="R479" s="481"/>
      <c r="T479" s="492"/>
      <c r="U479" s="249"/>
      <c r="V479" s="481"/>
    </row>
    <row r="480" ht="12.75" customHeight="1">
      <c r="M480" s="480"/>
      <c r="N480" s="249"/>
      <c r="O480" s="479"/>
      <c r="Q480" s="480"/>
      <c r="R480" s="481"/>
      <c r="T480" s="492"/>
      <c r="U480" s="249"/>
      <c r="V480" s="481"/>
    </row>
    <row r="481" ht="12.75" customHeight="1">
      <c r="M481" s="480"/>
      <c r="N481" s="249"/>
      <c r="O481" s="479"/>
      <c r="Q481" s="480"/>
      <c r="R481" s="481"/>
      <c r="T481" s="492"/>
      <c r="U481" s="249"/>
      <c r="V481" s="481"/>
    </row>
    <row r="482" ht="12.75" customHeight="1">
      <c r="M482" s="480"/>
      <c r="N482" s="249"/>
      <c r="O482" s="479"/>
      <c r="Q482" s="480"/>
      <c r="R482" s="481"/>
      <c r="T482" s="492"/>
      <c r="U482" s="249"/>
      <c r="V482" s="481"/>
    </row>
    <row r="483" ht="12.75" customHeight="1">
      <c r="M483" s="480"/>
      <c r="N483" s="249"/>
      <c r="O483" s="479"/>
      <c r="Q483" s="480"/>
      <c r="R483" s="481"/>
      <c r="T483" s="492"/>
      <c r="U483" s="249"/>
      <c r="V483" s="481"/>
    </row>
    <row r="484" ht="12.75" customHeight="1">
      <c r="M484" s="480"/>
      <c r="N484" s="249"/>
      <c r="O484" s="479"/>
      <c r="Q484" s="480"/>
      <c r="R484" s="481"/>
      <c r="T484" s="492"/>
      <c r="U484" s="249"/>
      <c r="V484" s="481"/>
    </row>
    <row r="485" ht="12.75" customHeight="1">
      <c r="M485" s="480"/>
      <c r="N485" s="249"/>
      <c r="O485" s="479"/>
      <c r="Q485" s="480"/>
      <c r="R485" s="481"/>
      <c r="T485" s="492"/>
      <c r="U485" s="249"/>
      <c r="V485" s="481"/>
    </row>
    <row r="486" ht="12.75" customHeight="1">
      <c r="M486" s="480"/>
      <c r="N486" s="249"/>
      <c r="O486" s="479"/>
      <c r="Q486" s="480"/>
      <c r="R486" s="481"/>
      <c r="T486" s="492"/>
      <c r="U486" s="249"/>
      <c r="V486" s="481"/>
    </row>
    <row r="487" ht="12.75" customHeight="1">
      <c r="M487" s="480"/>
      <c r="N487" s="249"/>
      <c r="O487" s="479"/>
      <c r="Q487" s="480"/>
      <c r="R487" s="481"/>
      <c r="T487" s="492"/>
      <c r="U487" s="249"/>
      <c r="V487" s="481"/>
    </row>
    <row r="488" ht="12.75" customHeight="1">
      <c r="M488" s="480"/>
      <c r="N488" s="249"/>
      <c r="O488" s="479"/>
      <c r="Q488" s="480"/>
      <c r="R488" s="481"/>
      <c r="T488" s="492"/>
      <c r="U488" s="249"/>
      <c r="V488" s="481"/>
    </row>
    <row r="489" ht="12.75" customHeight="1">
      <c r="M489" s="480"/>
      <c r="N489" s="249"/>
      <c r="O489" s="479"/>
      <c r="Q489" s="480"/>
      <c r="R489" s="481"/>
      <c r="T489" s="492"/>
      <c r="U489" s="249"/>
      <c r="V489" s="481"/>
    </row>
    <row r="490" ht="12.75" customHeight="1">
      <c r="M490" s="480"/>
      <c r="N490" s="249"/>
      <c r="O490" s="479"/>
      <c r="Q490" s="480"/>
      <c r="R490" s="481"/>
      <c r="T490" s="492"/>
      <c r="U490" s="249"/>
      <c r="V490" s="481"/>
    </row>
    <row r="491" ht="12.75" customHeight="1">
      <c r="M491" s="480"/>
      <c r="N491" s="249"/>
      <c r="O491" s="479"/>
      <c r="Q491" s="480"/>
      <c r="R491" s="481"/>
      <c r="T491" s="492"/>
      <c r="U491" s="249"/>
      <c r="V491" s="481"/>
    </row>
    <row r="492" ht="12.75" customHeight="1">
      <c r="M492" s="480"/>
      <c r="N492" s="249"/>
      <c r="O492" s="479"/>
      <c r="Q492" s="480"/>
      <c r="R492" s="481"/>
      <c r="T492" s="492"/>
      <c r="U492" s="249"/>
      <c r="V492" s="481"/>
    </row>
    <row r="493" ht="12.75" customHeight="1">
      <c r="M493" s="480"/>
      <c r="N493" s="249"/>
      <c r="O493" s="479"/>
      <c r="Q493" s="480"/>
      <c r="R493" s="481"/>
      <c r="T493" s="492"/>
      <c r="U493" s="249"/>
      <c r="V493" s="481"/>
    </row>
    <row r="494" ht="12.75" customHeight="1">
      <c r="M494" s="480"/>
      <c r="N494" s="249"/>
      <c r="O494" s="479"/>
      <c r="Q494" s="480"/>
      <c r="R494" s="481"/>
      <c r="T494" s="492"/>
      <c r="U494" s="249"/>
      <c r="V494" s="481"/>
    </row>
    <row r="495" ht="12.75" customHeight="1">
      <c r="M495" s="480"/>
      <c r="N495" s="249"/>
      <c r="O495" s="479"/>
      <c r="Q495" s="480"/>
      <c r="R495" s="481"/>
      <c r="T495" s="492"/>
      <c r="U495" s="249"/>
      <c r="V495" s="481"/>
    </row>
    <row r="496" ht="12.75" customHeight="1">
      <c r="M496" s="480"/>
      <c r="N496" s="249"/>
      <c r="O496" s="479"/>
      <c r="Q496" s="480"/>
      <c r="R496" s="481"/>
      <c r="T496" s="492"/>
      <c r="U496" s="249"/>
      <c r="V496" s="481"/>
    </row>
    <row r="497" ht="12.75" customHeight="1">
      <c r="M497" s="480"/>
      <c r="N497" s="249"/>
      <c r="O497" s="479"/>
      <c r="Q497" s="480"/>
      <c r="R497" s="481"/>
      <c r="T497" s="492"/>
      <c r="U497" s="249"/>
      <c r="V497" s="481"/>
    </row>
    <row r="498" ht="12.75" customHeight="1">
      <c r="M498" s="480"/>
      <c r="N498" s="249"/>
      <c r="O498" s="479"/>
      <c r="Q498" s="480"/>
      <c r="R498" s="481"/>
      <c r="T498" s="492"/>
      <c r="U498" s="249"/>
      <c r="V498" s="481"/>
    </row>
    <row r="499" ht="12.75" customHeight="1">
      <c r="M499" s="480"/>
      <c r="N499" s="249"/>
      <c r="O499" s="479"/>
      <c r="Q499" s="480"/>
      <c r="R499" s="481"/>
      <c r="T499" s="492"/>
      <c r="U499" s="249"/>
      <c r="V499" s="481"/>
    </row>
    <row r="500" ht="12.75" customHeight="1">
      <c r="M500" s="480"/>
      <c r="N500" s="249"/>
      <c r="O500" s="479"/>
      <c r="Q500" s="480"/>
      <c r="R500" s="481"/>
      <c r="T500" s="492"/>
      <c r="U500" s="249"/>
      <c r="V500" s="481"/>
    </row>
    <row r="501" ht="12.75" customHeight="1">
      <c r="M501" s="480"/>
      <c r="N501" s="249"/>
      <c r="O501" s="479"/>
      <c r="Q501" s="480"/>
      <c r="R501" s="481"/>
      <c r="T501" s="492"/>
      <c r="U501" s="249"/>
      <c r="V501" s="481"/>
    </row>
    <row r="502" ht="12.75" customHeight="1">
      <c r="M502" s="480"/>
      <c r="N502" s="249"/>
      <c r="O502" s="479"/>
      <c r="Q502" s="480"/>
      <c r="R502" s="481"/>
      <c r="T502" s="492"/>
      <c r="U502" s="249"/>
      <c r="V502" s="481"/>
    </row>
    <row r="503" ht="12.75" customHeight="1">
      <c r="M503" s="480"/>
      <c r="N503" s="249"/>
      <c r="O503" s="479"/>
      <c r="Q503" s="480"/>
      <c r="R503" s="481"/>
      <c r="T503" s="492"/>
      <c r="U503" s="249"/>
      <c r="V503" s="481"/>
    </row>
    <row r="504" ht="12.75" customHeight="1">
      <c r="M504" s="480"/>
      <c r="N504" s="249"/>
      <c r="O504" s="479"/>
      <c r="Q504" s="480"/>
      <c r="R504" s="481"/>
      <c r="T504" s="492"/>
      <c r="U504" s="249"/>
      <c r="V504" s="481"/>
    </row>
    <row r="505" ht="12.75" customHeight="1">
      <c r="M505" s="480"/>
      <c r="N505" s="249"/>
      <c r="O505" s="479"/>
      <c r="Q505" s="480"/>
      <c r="R505" s="481"/>
      <c r="T505" s="492"/>
      <c r="U505" s="249"/>
      <c r="V505" s="481"/>
    </row>
    <row r="506" ht="12.75" customHeight="1">
      <c r="M506" s="480"/>
      <c r="N506" s="249"/>
      <c r="O506" s="479"/>
      <c r="Q506" s="480"/>
      <c r="R506" s="481"/>
      <c r="T506" s="492"/>
      <c r="U506" s="249"/>
      <c r="V506" s="481"/>
    </row>
    <row r="507" ht="12.75" customHeight="1">
      <c r="M507" s="480"/>
      <c r="N507" s="249"/>
      <c r="O507" s="479"/>
      <c r="Q507" s="480"/>
      <c r="R507" s="481"/>
      <c r="T507" s="492"/>
      <c r="U507" s="249"/>
      <c r="V507" s="481"/>
    </row>
    <row r="508" ht="12.75" customHeight="1">
      <c r="M508" s="480"/>
      <c r="N508" s="249"/>
      <c r="O508" s="479"/>
      <c r="Q508" s="480"/>
      <c r="R508" s="481"/>
      <c r="T508" s="492"/>
      <c r="U508" s="249"/>
      <c r="V508" s="481"/>
    </row>
    <row r="509" ht="12.75" customHeight="1">
      <c r="M509" s="480"/>
      <c r="N509" s="249"/>
      <c r="O509" s="479"/>
      <c r="Q509" s="480"/>
      <c r="R509" s="481"/>
      <c r="T509" s="492"/>
      <c r="U509" s="249"/>
      <c r="V509" s="481"/>
    </row>
    <row r="510" ht="12.75" customHeight="1">
      <c r="M510" s="480"/>
      <c r="N510" s="249"/>
      <c r="O510" s="479"/>
      <c r="Q510" s="480"/>
      <c r="R510" s="481"/>
      <c r="T510" s="492"/>
      <c r="U510" s="249"/>
      <c r="V510" s="481"/>
    </row>
    <row r="511" ht="12.75" customHeight="1">
      <c r="M511" s="480"/>
      <c r="N511" s="249"/>
      <c r="O511" s="479"/>
      <c r="Q511" s="480"/>
      <c r="R511" s="481"/>
      <c r="T511" s="492"/>
      <c r="U511" s="249"/>
      <c r="V511" s="481"/>
    </row>
    <row r="512" ht="12.75" customHeight="1">
      <c r="M512" s="480"/>
      <c r="N512" s="249"/>
      <c r="O512" s="479"/>
      <c r="Q512" s="480"/>
      <c r="R512" s="481"/>
      <c r="T512" s="492"/>
      <c r="U512" s="249"/>
      <c r="V512" s="481"/>
    </row>
    <row r="513" ht="12.75" customHeight="1">
      <c r="M513" s="480"/>
      <c r="N513" s="249"/>
      <c r="O513" s="479"/>
      <c r="Q513" s="480"/>
      <c r="R513" s="481"/>
      <c r="T513" s="492"/>
      <c r="U513" s="249"/>
      <c r="V513" s="481"/>
    </row>
    <row r="514" ht="12.75" customHeight="1">
      <c r="M514" s="480"/>
      <c r="N514" s="249"/>
      <c r="O514" s="479"/>
      <c r="Q514" s="480"/>
      <c r="R514" s="481"/>
      <c r="T514" s="492"/>
      <c r="U514" s="249"/>
      <c r="V514" s="481"/>
    </row>
    <row r="515" ht="12.75" customHeight="1">
      <c r="M515" s="480"/>
      <c r="N515" s="249"/>
      <c r="O515" s="479"/>
      <c r="Q515" s="480"/>
      <c r="R515" s="481"/>
      <c r="T515" s="492"/>
      <c r="U515" s="249"/>
      <c r="V515" s="481"/>
    </row>
    <row r="516" ht="12.75" customHeight="1">
      <c r="M516" s="480"/>
      <c r="N516" s="249"/>
      <c r="O516" s="479"/>
      <c r="Q516" s="480"/>
      <c r="R516" s="481"/>
      <c r="T516" s="492"/>
      <c r="U516" s="249"/>
      <c r="V516" s="481"/>
    </row>
    <row r="517" ht="12.75" customHeight="1">
      <c r="M517" s="480"/>
      <c r="N517" s="249"/>
      <c r="O517" s="479"/>
      <c r="Q517" s="480"/>
      <c r="R517" s="481"/>
      <c r="T517" s="492"/>
      <c r="U517" s="249"/>
      <c r="V517" s="481"/>
    </row>
    <row r="518" ht="12.75" customHeight="1">
      <c r="M518" s="480"/>
      <c r="N518" s="249"/>
      <c r="O518" s="479"/>
      <c r="Q518" s="480"/>
      <c r="R518" s="481"/>
      <c r="T518" s="492"/>
      <c r="U518" s="249"/>
      <c r="V518" s="481"/>
    </row>
    <row r="519" ht="12.75" customHeight="1">
      <c r="M519" s="480"/>
      <c r="N519" s="249"/>
      <c r="O519" s="479"/>
      <c r="Q519" s="480"/>
      <c r="R519" s="481"/>
      <c r="T519" s="492"/>
      <c r="U519" s="249"/>
      <c r="V519" s="481"/>
    </row>
    <row r="520" ht="12.75" customHeight="1">
      <c r="M520" s="480"/>
      <c r="N520" s="249"/>
      <c r="O520" s="479"/>
      <c r="Q520" s="480"/>
      <c r="R520" s="481"/>
      <c r="T520" s="492"/>
      <c r="U520" s="249"/>
      <c r="V520" s="481"/>
    </row>
    <row r="521" ht="12.75" customHeight="1">
      <c r="M521" s="480"/>
      <c r="N521" s="249"/>
      <c r="O521" s="479"/>
      <c r="Q521" s="480"/>
      <c r="R521" s="481"/>
      <c r="T521" s="492"/>
      <c r="U521" s="249"/>
      <c r="V521" s="481"/>
    </row>
    <row r="522" ht="12.75" customHeight="1">
      <c r="M522" s="480"/>
      <c r="N522" s="249"/>
      <c r="O522" s="479"/>
      <c r="Q522" s="480"/>
      <c r="R522" s="481"/>
      <c r="T522" s="492"/>
      <c r="U522" s="249"/>
      <c r="V522" s="481"/>
    </row>
    <row r="523" ht="12.75" customHeight="1">
      <c r="M523" s="480"/>
      <c r="N523" s="249"/>
      <c r="O523" s="479"/>
      <c r="Q523" s="480"/>
      <c r="R523" s="481"/>
      <c r="T523" s="492"/>
      <c r="U523" s="249"/>
      <c r="V523" s="481"/>
    </row>
    <row r="524" ht="12.75" customHeight="1">
      <c r="M524" s="480"/>
      <c r="N524" s="249"/>
      <c r="O524" s="479"/>
      <c r="Q524" s="480"/>
      <c r="R524" s="481"/>
      <c r="T524" s="492"/>
      <c r="U524" s="249"/>
      <c r="V524" s="481"/>
    </row>
    <row r="525" ht="12.75" customHeight="1">
      <c r="M525" s="480"/>
      <c r="N525" s="249"/>
      <c r="O525" s="479"/>
      <c r="Q525" s="480"/>
      <c r="R525" s="481"/>
      <c r="T525" s="492"/>
      <c r="U525" s="249"/>
      <c r="V525" s="481"/>
    </row>
    <row r="526" ht="12.75" customHeight="1">
      <c r="M526" s="480"/>
      <c r="N526" s="249"/>
      <c r="O526" s="479"/>
      <c r="Q526" s="480"/>
      <c r="R526" s="481"/>
      <c r="T526" s="492"/>
      <c r="U526" s="249"/>
      <c r="V526" s="481"/>
    </row>
    <row r="527" ht="12.75" customHeight="1">
      <c r="M527" s="480"/>
      <c r="N527" s="249"/>
      <c r="O527" s="479"/>
      <c r="Q527" s="480"/>
      <c r="R527" s="481"/>
      <c r="T527" s="492"/>
      <c r="U527" s="249"/>
      <c r="V527" s="481"/>
    </row>
    <row r="528" ht="12.75" customHeight="1">
      <c r="M528" s="480"/>
      <c r="N528" s="249"/>
      <c r="O528" s="479"/>
      <c r="Q528" s="480"/>
      <c r="R528" s="481"/>
      <c r="T528" s="492"/>
      <c r="U528" s="249"/>
      <c r="V528" s="481"/>
    </row>
    <row r="529" ht="12.75" customHeight="1">
      <c r="M529" s="480"/>
      <c r="N529" s="249"/>
      <c r="O529" s="479"/>
      <c r="Q529" s="480"/>
      <c r="R529" s="481"/>
      <c r="T529" s="492"/>
      <c r="U529" s="249"/>
      <c r="V529" s="481"/>
    </row>
    <row r="530" ht="12.75" customHeight="1">
      <c r="M530" s="480"/>
      <c r="N530" s="249"/>
      <c r="O530" s="479"/>
      <c r="Q530" s="480"/>
      <c r="R530" s="481"/>
      <c r="T530" s="492"/>
      <c r="U530" s="249"/>
      <c r="V530" s="481"/>
    </row>
    <row r="531" ht="12.75" customHeight="1">
      <c r="M531" s="480"/>
      <c r="N531" s="249"/>
      <c r="O531" s="479"/>
      <c r="Q531" s="480"/>
      <c r="R531" s="481"/>
      <c r="T531" s="492"/>
      <c r="U531" s="249"/>
      <c r="V531" s="481"/>
    </row>
    <row r="532" ht="12.75" customHeight="1">
      <c r="M532" s="480"/>
      <c r="N532" s="249"/>
      <c r="O532" s="479"/>
      <c r="Q532" s="480"/>
      <c r="R532" s="481"/>
      <c r="T532" s="492"/>
      <c r="U532" s="249"/>
      <c r="V532" s="481"/>
    </row>
    <row r="533" ht="12.75" customHeight="1">
      <c r="M533" s="480"/>
      <c r="N533" s="249"/>
      <c r="O533" s="479"/>
      <c r="Q533" s="480"/>
      <c r="R533" s="481"/>
      <c r="T533" s="492"/>
      <c r="U533" s="249"/>
      <c r="V533" s="481"/>
    </row>
    <row r="534" ht="12.75" customHeight="1">
      <c r="M534" s="480"/>
      <c r="N534" s="249"/>
      <c r="O534" s="479"/>
      <c r="Q534" s="480"/>
      <c r="R534" s="481"/>
      <c r="T534" s="492"/>
      <c r="U534" s="249"/>
      <c r="V534" s="481"/>
    </row>
    <row r="535" ht="12.75" customHeight="1">
      <c r="M535" s="480"/>
      <c r="N535" s="249"/>
      <c r="O535" s="479"/>
      <c r="Q535" s="480"/>
      <c r="R535" s="481"/>
      <c r="T535" s="492"/>
      <c r="U535" s="249"/>
      <c r="V535" s="481"/>
    </row>
    <row r="536" ht="12.75" customHeight="1">
      <c r="M536" s="480"/>
      <c r="N536" s="249"/>
      <c r="O536" s="479"/>
      <c r="Q536" s="480"/>
      <c r="R536" s="481"/>
      <c r="T536" s="492"/>
      <c r="U536" s="249"/>
      <c r="V536" s="481"/>
    </row>
    <row r="537" ht="12.75" customHeight="1">
      <c r="M537" s="480"/>
      <c r="N537" s="249"/>
      <c r="O537" s="479"/>
      <c r="Q537" s="480"/>
      <c r="R537" s="481"/>
      <c r="T537" s="492"/>
      <c r="U537" s="249"/>
      <c r="V537" s="481"/>
    </row>
    <row r="538" ht="12.75" customHeight="1">
      <c r="M538" s="480"/>
      <c r="N538" s="249"/>
      <c r="O538" s="479"/>
      <c r="Q538" s="480"/>
      <c r="R538" s="481"/>
      <c r="T538" s="492"/>
      <c r="U538" s="249"/>
      <c r="V538" s="481"/>
    </row>
    <row r="539" ht="12.75" customHeight="1">
      <c r="M539" s="480"/>
      <c r="N539" s="249"/>
      <c r="O539" s="479"/>
      <c r="Q539" s="480"/>
      <c r="R539" s="481"/>
      <c r="T539" s="492"/>
      <c r="U539" s="249"/>
      <c r="V539" s="481"/>
    </row>
    <row r="540" ht="12.75" customHeight="1">
      <c r="M540" s="480"/>
      <c r="N540" s="249"/>
      <c r="O540" s="479"/>
      <c r="Q540" s="480"/>
      <c r="R540" s="481"/>
      <c r="T540" s="492"/>
      <c r="U540" s="249"/>
      <c r="V540" s="481"/>
    </row>
    <row r="541" ht="12.75" customHeight="1">
      <c r="M541" s="480"/>
      <c r="N541" s="249"/>
      <c r="O541" s="479"/>
      <c r="Q541" s="480"/>
      <c r="R541" s="481"/>
      <c r="T541" s="492"/>
      <c r="U541" s="249"/>
      <c r="V541" s="481"/>
    </row>
    <row r="542" ht="12.75" customHeight="1">
      <c r="M542" s="480"/>
      <c r="N542" s="249"/>
      <c r="O542" s="479"/>
      <c r="Q542" s="480"/>
      <c r="R542" s="481"/>
      <c r="T542" s="492"/>
      <c r="U542" s="249"/>
      <c r="V542" s="481"/>
    </row>
    <row r="543" ht="12.75" customHeight="1">
      <c r="M543" s="480"/>
      <c r="N543" s="249"/>
      <c r="O543" s="479"/>
      <c r="Q543" s="480"/>
      <c r="R543" s="481"/>
      <c r="T543" s="492"/>
      <c r="U543" s="249"/>
      <c r="V543" s="481"/>
    </row>
    <row r="544" ht="12.75" customHeight="1">
      <c r="M544" s="480"/>
      <c r="N544" s="249"/>
      <c r="O544" s="479"/>
      <c r="Q544" s="480"/>
      <c r="R544" s="481"/>
      <c r="T544" s="492"/>
      <c r="U544" s="249"/>
      <c r="V544" s="481"/>
    </row>
    <row r="545" ht="12.75" customHeight="1">
      <c r="M545" s="480"/>
      <c r="N545" s="249"/>
      <c r="O545" s="479"/>
      <c r="Q545" s="480"/>
      <c r="R545" s="481"/>
      <c r="T545" s="492"/>
      <c r="U545" s="249"/>
      <c r="V545" s="481"/>
    </row>
    <row r="546" ht="12.75" customHeight="1">
      <c r="M546" s="480"/>
      <c r="N546" s="249"/>
      <c r="O546" s="479"/>
      <c r="Q546" s="480"/>
      <c r="R546" s="481"/>
      <c r="T546" s="492"/>
      <c r="U546" s="249"/>
      <c r="V546" s="481"/>
    </row>
    <row r="547" ht="12.75" customHeight="1">
      <c r="M547" s="480"/>
      <c r="N547" s="249"/>
      <c r="O547" s="479"/>
      <c r="Q547" s="480"/>
      <c r="R547" s="481"/>
      <c r="T547" s="492"/>
      <c r="U547" s="249"/>
      <c r="V547" s="481"/>
    </row>
    <row r="548" ht="12.75" customHeight="1">
      <c r="M548" s="480"/>
      <c r="N548" s="249"/>
      <c r="O548" s="479"/>
      <c r="Q548" s="480"/>
      <c r="R548" s="481"/>
      <c r="T548" s="492"/>
      <c r="U548" s="249"/>
      <c r="V548" s="481"/>
    </row>
    <row r="549" ht="12.75" customHeight="1">
      <c r="M549" s="480"/>
      <c r="N549" s="249"/>
      <c r="O549" s="479"/>
      <c r="Q549" s="480"/>
      <c r="R549" s="481"/>
      <c r="T549" s="492"/>
      <c r="U549" s="249"/>
      <c r="V549" s="481"/>
    </row>
    <row r="550" ht="12.75" customHeight="1">
      <c r="M550" s="480"/>
      <c r="N550" s="249"/>
      <c r="O550" s="479"/>
      <c r="Q550" s="480"/>
      <c r="R550" s="481"/>
      <c r="T550" s="492"/>
      <c r="U550" s="249"/>
      <c r="V550" s="481"/>
    </row>
    <row r="551" ht="12.75" customHeight="1">
      <c r="M551" s="480"/>
      <c r="N551" s="249"/>
      <c r="O551" s="479"/>
      <c r="Q551" s="480"/>
      <c r="R551" s="481"/>
      <c r="T551" s="492"/>
      <c r="U551" s="249"/>
      <c r="V551" s="481"/>
    </row>
    <row r="552" ht="12.75" customHeight="1">
      <c r="M552" s="480"/>
      <c r="N552" s="249"/>
      <c r="O552" s="479"/>
      <c r="Q552" s="480"/>
      <c r="R552" s="481"/>
      <c r="T552" s="492"/>
      <c r="U552" s="249"/>
      <c r="V552" s="481"/>
    </row>
    <row r="553" ht="12.75" customHeight="1">
      <c r="M553" s="480"/>
      <c r="N553" s="249"/>
      <c r="O553" s="479"/>
      <c r="Q553" s="480"/>
      <c r="R553" s="481"/>
      <c r="T553" s="492"/>
      <c r="U553" s="249"/>
      <c r="V553" s="481"/>
    </row>
    <row r="554" ht="12.75" customHeight="1">
      <c r="M554" s="480"/>
      <c r="N554" s="249"/>
      <c r="O554" s="479"/>
      <c r="Q554" s="480"/>
      <c r="R554" s="481"/>
      <c r="T554" s="492"/>
      <c r="U554" s="249"/>
      <c r="V554" s="481"/>
    </row>
    <row r="555" ht="12.75" customHeight="1">
      <c r="M555" s="480"/>
      <c r="N555" s="249"/>
      <c r="O555" s="479"/>
      <c r="Q555" s="480"/>
      <c r="R555" s="481"/>
      <c r="T555" s="492"/>
      <c r="U555" s="249"/>
      <c r="V555" s="481"/>
    </row>
    <row r="556" ht="12.75" customHeight="1">
      <c r="M556" s="480"/>
      <c r="N556" s="249"/>
      <c r="O556" s="479"/>
      <c r="Q556" s="480"/>
      <c r="R556" s="481"/>
      <c r="T556" s="492"/>
      <c r="U556" s="249"/>
      <c r="V556" s="481"/>
    </row>
    <row r="557" ht="12.75" customHeight="1">
      <c r="M557" s="480"/>
      <c r="N557" s="249"/>
      <c r="O557" s="479"/>
      <c r="Q557" s="480"/>
      <c r="R557" s="481"/>
      <c r="T557" s="492"/>
      <c r="U557" s="249"/>
      <c r="V557" s="481"/>
    </row>
    <row r="558" ht="12.75" customHeight="1">
      <c r="M558" s="480"/>
      <c r="N558" s="249"/>
      <c r="O558" s="479"/>
      <c r="Q558" s="480"/>
      <c r="R558" s="481"/>
      <c r="T558" s="492"/>
      <c r="U558" s="249"/>
      <c r="V558" s="481"/>
    </row>
    <row r="559" ht="12.75" customHeight="1">
      <c r="M559" s="480"/>
      <c r="N559" s="249"/>
      <c r="O559" s="479"/>
      <c r="Q559" s="480"/>
      <c r="R559" s="481"/>
      <c r="T559" s="492"/>
      <c r="U559" s="249"/>
      <c r="V559" s="481"/>
    </row>
    <row r="560" ht="12.75" customHeight="1">
      <c r="M560" s="480"/>
      <c r="N560" s="249"/>
      <c r="O560" s="479"/>
      <c r="Q560" s="480"/>
      <c r="R560" s="481"/>
      <c r="T560" s="492"/>
      <c r="U560" s="249"/>
      <c r="V560" s="481"/>
    </row>
    <row r="561" ht="12.75" customHeight="1">
      <c r="M561" s="480"/>
      <c r="N561" s="249"/>
      <c r="O561" s="479"/>
      <c r="Q561" s="480"/>
      <c r="R561" s="481"/>
      <c r="T561" s="492"/>
      <c r="U561" s="249"/>
      <c r="V561" s="481"/>
    </row>
    <row r="562" ht="12.75" customHeight="1">
      <c r="M562" s="480"/>
      <c r="N562" s="249"/>
      <c r="O562" s="479"/>
      <c r="Q562" s="480"/>
      <c r="R562" s="481"/>
      <c r="T562" s="492"/>
      <c r="U562" s="249"/>
      <c r="V562" s="481"/>
    </row>
    <row r="563" ht="12.75" customHeight="1">
      <c r="M563" s="480"/>
      <c r="N563" s="249"/>
      <c r="O563" s="479"/>
      <c r="Q563" s="480"/>
      <c r="R563" s="481"/>
      <c r="T563" s="492"/>
      <c r="U563" s="249"/>
      <c r="V563" s="481"/>
    </row>
    <row r="564" ht="12.75" customHeight="1">
      <c r="M564" s="480"/>
      <c r="N564" s="249"/>
      <c r="O564" s="479"/>
      <c r="Q564" s="480"/>
      <c r="R564" s="481"/>
      <c r="T564" s="492"/>
      <c r="U564" s="249"/>
      <c r="V564" s="481"/>
    </row>
    <row r="565" ht="12.75" customHeight="1">
      <c r="M565" s="480"/>
      <c r="N565" s="249"/>
      <c r="O565" s="479"/>
      <c r="Q565" s="480"/>
      <c r="R565" s="481"/>
      <c r="T565" s="492"/>
      <c r="U565" s="249"/>
      <c r="V565" s="481"/>
    </row>
    <row r="566" ht="12.75" customHeight="1">
      <c r="M566" s="480"/>
      <c r="N566" s="249"/>
      <c r="O566" s="479"/>
      <c r="Q566" s="480"/>
      <c r="R566" s="481"/>
      <c r="T566" s="492"/>
      <c r="U566" s="249"/>
      <c r="V566" s="481"/>
    </row>
    <row r="567" ht="12.75" customHeight="1">
      <c r="M567" s="480"/>
      <c r="N567" s="249"/>
      <c r="O567" s="479"/>
      <c r="Q567" s="480"/>
      <c r="R567" s="481"/>
      <c r="T567" s="492"/>
      <c r="U567" s="249"/>
      <c r="V567" s="481"/>
    </row>
    <row r="568" ht="12.75" customHeight="1">
      <c r="M568" s="480"/>
      <c r="N568" s="249"/>
      <c r="O568" s="479"/>
      <c r="Q568" s="480"/>
      <c r="R568" s="481"/>
      <c r="T568" s="492"/>
      <c r="U568" s="249"/>
      <c r="V568" s="481"/>
    </row>
    <row r="569" ht="12.75" customHeight="1">
      <c r="M569" s="480"/>
      <c r="N569" s="249"/>
      <c r="O569" s="479"/>
      <c r="Q569" s="480"/>
      <c r="R569" s="481"/>
      <c r="T569" s="492"/>
      <c r="U569" s="249"/>
      <c r="V569" s="481"/>
    </row>
    <row r="570" ht="12.75" customHeight="1">
      <c r="M570" s="480"/>
      <c r="N570" s="249"/>
      <c r="O570" s="479"/>
      <c r="Q570" s="480"/>
      <c r="R570" s="481"/>
      <c r="T570" s="492"/>
      <c r="U570" s="249"/>
      <c r="V570" s="481"/>
    </row>
    <row r="571" ht="12.75" customHeight="1">
      <c r="M571" s="480"/>
      <c r="N571" s="249"/>
      <c r="O571" s="479"/>
      <c r="Q571" s="480"/>
      <c r="R571" s="481"/>
      <c r="T571" s="492"/>
      <c r="U571" s="249"/>
      <c r="V571" s="481"/>
    </row>
    <row r="572" ht="12.75" customHeight="1">
      <c r="M572" s="480"/>
      <c r="N572" s="249"/>
      <c r="O572" s="479"/>
      <c r="Q572" s="480"/>
      <c r="R572" s="481"/>
      <c r="T572" s="492"/>
      <c r="U572" s="249"/>
      <c r="V572" s="481"/>
    </row>
    <row r="573" ht="12.75" customHeight="1">
      <c r="M573" s="480"/>
      <c r="N573" s="249"/>
      <c r="O573" s="479"/>
      <c r="Q573" s="480"/>
      <c r="R573" s="481"/>
      <c r="T573" s="492"/>
      <c r="U573" s="249"/>
      <c r="V573" s="481"/>
    </row>
    <row r="574" ht="12.75" customHeight="1">
      <c r="M574" s="480"/>
      <c r="N574" s="249"/>
      <c r="O574" s="479"/>
      <c r="Q574" s="480"/>
      <c r="R574" s="481"/>
      <c r="T574" s="492"/>
      <c r="U574" s="249"/>
      <c r="V574" s="481"/>
    </row>
    <row r="575" ht="12.75" customHeight="1">
      <c r="M575" s="480"/>
      <c r="N575" s="249"/>
      <c r="O575" s="479"/>
      <c r="Q575" s="480"/>
      <c r="R575" s="481"/>
      <c r="T575" s="492"/>
      <c r="U575" s="249"/>
      <c r="V575" s="481"/>
    </row>
    <row r="576" ht="12.75" customHeight="1">
      <c r="M576" s="480"/>
      <c r="N576" s="249"/>
      <c r="O576" s="479"/>
      <c r="Q576" s="480"/>
      <c r="R576" s="481"/>
      <c r="T576" s="492"/>
      <c r="U576" s="249"/>
      <c r="V576" s="481"/>
    </row>
    <row r="577" ht="12.75" customHeight="1">
      <c r="M577" s="480"/>
      <c r="N577" s="249"/>
      <c r="O577" s="479"/>
      <c r="Q577" s="480"/>
      <c r="R577" s="481"/>
      <c r="T577" s="492"/>
      <c r="U577" s="249"/>
      <c r="V577" s="481"/>
    </row>
    <row r="578" ht="12.75" customHeight="1">
      <c r="M578" s="480"/>
      <c r="N578" s="249"/>
      <c r="O578" s="479"/>
      <c r="Q578" s="480"/>
      <c r="R578" s="481"/>
      <c r="T578" s="492"/>
      <c r="U578" s="249"/>
      <c r="V578" s="481"/>
    </row>
    <row r="579" ht="12.75" customHeight="1">
      <c r="M579" s="480"/>
      <c r="N579" s="249"/>
      <c r="O579" s="479"/>
      <c r="Q579" s="480"/>
      <c r="R579" s="481"/>
      <c r="T579" s="492"/>
      <c r="U579" s="249"/>
      <c r="V579" s="481"/>
    </row>
    <row r="580" ht="12.75" customHeight="1">
      <c r="M580" s="480"/>
      <c r="N580" s="249"/>
      <c r="O580" s="479"/>
      <c r="Q580" s="480"/>
      <c r="R580" s="481"/>
      <c r="T580" s="492"/>
      <c r="U580" s="249"/>
      <c r="V580" s="481"/>
    </row>
    <row r="581" ht="12.75" customHeight="1">
      <c r="M581" s="480"/>
      <c r="N581" s="249"/>
      <c r="O581" s="479"/>
      <c r="Q581" s="480"/>
      <c r="R581" s="481"/>
      <c r="T581" s="492"/>
      <c r="U581" s="249"/>
      <c r="V581" s="481"/>
    </row>
    <row r="582" ht="12.75" customHeight="1">
      <c r="M582" s="480"/>
      <c r="N582" s="249"/>
      <c r="O582" s="479"/>
      <c r="Q582" s="480"/>
      <c r="R582" s="481"/>
      <c r="T582" s="492"/>
      <c r="U582" s="249"/>
      <c r="V582" s="481"/>
    </row>
    <row r="583" ht="12.75" customHeight="1">
      <c r="M583" s="480"/>
      <c r="N583" s="249"/>
      <c r="O583" s="479"/>
      <c r="Q583" s="480"/>
      <c r="R583" s="481"/>
      <c r="T583" s="492"/>
      <c r="U583" s="249"/>
      <c r="V583" s="481"/>
    </row>
    <row r="584" ht="12.75" customHeight="1">
      <c r="M584" s="480"/>
      <c r="N584" s="249"/>
      <c r="O584" s="479"/>
      <c r="Q584" s="480"/>
      <c r="R584" s="481"/>
      <c r="T584" s="492"/>
      <c r="U584" s="249"/>
      <c r="V584" s="481"/>
    </row>
    <row r="585" ht="12.75" customHeight="1">
      <c r="M585" s="480"/>
      <c r="N585" s="249"/>
      <c r="O585" s="479"/>
      <c r="Q585" s="480"/>
      <c r="R585" s="481"/>
      <c r="T585" s="492"/>
      <c r="U585" s="249"/>
      <c r="V585" s="481"/>
    </row>
    <row r="586" ht="12.75" customHeight="1">
      <c r="M586" s="480"/>
      <c r="N586" s="249"/>
      <c r="O586" s="479"/>
      <c r="Q586" s="480"/>
      <c r="R586" s="481"/>
      <c r="T586" s="492"/>
      <c r="U586" s="249"/>
      <c r="V586" s="481"/>
    </row>
    <row r="587" ht="12.75" customHeight="1">
      <c r="M587" s="480"/>
      <c r="N587" s="249"/>
      <c r="O587" s="479"/>
      <c r="Q587" s="480"/>
      <c r="R587" s="481"/>
      <c r="T587" s="492"/>
      <c r="U587" s="249"/>
      <c r="V587" s="481"/>
    </row>
    <row r="588" ht="12.75" customHeight="1">
      <c r="M588" s="480"/>
      <c r="N588" s="249"/>
      <c r="O588" s="479"/>
      <c r="Q588" s="480"/>
      <c r="R588" s="481"/>
      <c r="T588" s="492"/>
      <c r="U588" s="249"/>
      <c r="V588" s="481"/>
    </row>
    <row r="589" ht="12.75" customHeight="1">
      <c r="M589" s="480"/>
      <c r="N589" s="249"/>
      <c r="O589" s="479"/>
      <c r="Q589" s="480"/>
      <c r="R589" s="481"/>
      <c r="T589" s="492"/>
      <c r="U589" s="249"/>
      <c r="V589" s="481"/>
    </row>
    <row r="590" ht="12.75" customHeight="1">
      <c r="M590" s="480"/>
      <c r="N590" s="249"/>
      <c r="O590" s="479"/>
      <c r="Q590" s="480"/>
      <c r="R590" s="481"/>
      <c r="T590" s="492"/>
      <c r="U590" s="249"/>
      <c r="V590" s="481"/>
    </row>
    <row r="591" ht="12.75" customHeight="1">
      <c r="M591" s="480"/>
      <c r="N591" s="249"/>
      <c r="O591" s="479"/>
      <c r="Q591" s="480"/>
      <c r="R591" s="481"/>
      <c r="T591" s="492"/>
      <c r="U591" s="249"/>
      <c r="V591" s="481"/>
    </row>
    <row r="592" ht="12.75" customHeight="1">
      <c r="M592" s="480"/>
      <c r="N592" s="249"/>
      <c r="O592" s="479"/>
      <c r="Q592" s="480"/>
      <c r="R592" s="481"/>
      <c r="T592" s="492"/>
      <c r="U592" s="249"/>
      <c r="V592" s="481"/>
    </row>
    <row r="593" ht="12.75" customHeight="1">
      <c r="M593" s="480"/>
      <c r="N593" s="249"/>
      <c r="O593" s="479"/>
      <c r="Q593" s="480"/>
      <c r="R593" s="481"/>
      <c r="T593" s="492"/>
      <c r="U593" s="249"/>
      <c r="V593" s="481"/>
    </row>
    <row r="594" ht="12.75" customHeight="1">
      <c r="M594" s="480"/>
      <c r="N594" s="249"/>
      <c r="O594" s="479"/>
      <c r="Q594" s="480"/>
      <c r="R594" s="481"/>
      <c r="T594" s="492"/>
      <c r="U594" s="249"/>
      <c r="V594" s="481"/>
    </row>
    <row r="595" ht="12.75" customHeight="1">
      <c r="M595" s="480"/>
      <c r="N595" s="249"/>
      <c r="O595" s="479"/>
      <c r="Q595" s="480"/>
      <c r="R595" s="481"/>
      <c r="T595" s="492"/>
      <c r="U595" s="249"/>
      <c r="V595" s="481"/>
    </row>
    <row r="596" ht="12.75" customHeight="1">
      <c r="M596" s="480"/>
      <c r="N596" s="249"/>
      <c r="O596" s="479"/>
      <c r="Q596" s="480"/>
      <c r="R596" s="481"/>
      <c r="T596" s="492"/>
      <c r="U596" s="249"/>
      <c r="V596" s="481"/>
    </row>
    <row r="597" ht="12.75" customHeight="1">
      <c r="M597" s="480"/>
      <c r="N597" s="249"/>
      <c r="O597" s="479"/>
      <c r="Q597" s="480"/>
      <c r="R597" s="481"/>
      <c r="T597" s="492"/>
      <c r="U597" s="249"/>
      <c r="V597" s="481"/>
    </row>
    <row r="598" ht="12.75" customHeight="1">
      <c r="M598" s="480"/>
      <c r="N598" s="249"/>
      <c r="O598" s="479"/>
      <c r="Q598" s="480"/>
      <c r="R598" s="481"/>
      <c r="T598" s="492"/>
      <c r="U598" s="249"/>
      <c r="V598" s="481"/>
    </row>
    <row r="599" ht="12.75" customHeight="1">
      <c r="M599" s="480"/>
      <c r="N599" s="249"/>
      <c r="O599" s="479"/>
      <c r="Q599" s="480"/>
      <c r="R599" s="481"/>
      <c r="T599" s="492"/>
      <c r="U599" s="249"/>
      <c r="V599" s="481"/>
    </row>
    <row r="600" ht="12.75" customHeight="1">
      <c r="M600" s="480"/>
      <c r="N600" s="249"/>
      <c r="O600" s="479"/>
      <c r="Q600" s="480"/>
      <c r="R600" s="481"/>
      <c r="T600" s="492"/>
      <c r="U600" s="249"/>
      <c r="V600" s="481"/>
    </row>
    <row r="601" ht="12.75" customHeight="1">
      <c r="M601" s="480"/>
      <c r="N601" s="249"/>
      <c r="O601" s="479"/>
      <c r="Q601" s="480"/>
      <c r="R601" s="481"/>
      <c r="T601" s="492"/>
      <c r="U601" s="249"/>
      <c r="V601" s="481"/>
    </row>
    <row r="602" ht="12.75" customHeight="1">
      <c r="M602" s="480"/>
      <c r="N602" s="249"/>
      <c r="O602" s="479"/>
      <c r="Q602" s="480"/>
      <c r="R602" s="481"/>
      <c r="T602" s="492"/>
      <c r="U602" s="249"/>
      <c r="V602" s="481"/>
    </row>
    <row r="603" ht="12.75" customHeight="1">
      <c r="M603" s="480"/>
      <c r="N603" s="249"/>
      <c r="O603" s="479"/>
      <c r="Q603" s="480"/>
      <c r="R603" s="481"/>
      <c r="T603" s="492"/>
      <c r="U603" s="249"/>
      <c r="V603" s="481"/>
    </row>
    <row r="604" ht="12.75" customHeight="1">
      <c r="M604" s="480"/>
      <c r="N604" s="249"/>
      <c r="O604" s="479"/>
      <c r="Q604" s="480"/>
      <c r="R604" s="481"/>
      <c r="T604" s="492"/>
      <c r="U604" s="249"/>
      <c r="V604" s="481"/>
    </row>
    <row r="605" ht="12.75" customHeight="1">
      <c r="M605" s="480"/>
      <c r="N605" s="249"/>
      <c r="O605" s="479"/>
      <c r="Q605" s="480"/>
      <c r="R605" s="481"/>
      <c r="T605" s="492"/>
      <c r="U605" s="249"/>
      <c r="V605" s="481"/>
    </row>
    <row r="606" ht="12.75" customHeight="1">
      <c r="M606" s="480"/>
      <c r="N606" s="249"/>
      <c r="O606" s="479"/>
      <c r="Q606" s="480"/>
      <c r="R606" s="481"/>
      <c r="T606" s="492"/>
      <c r="U606" s="249"/>
      <c r="V606" s="481"/>
    </row>
    <row r="607" ht="12.75" customHeight="1">
      <c r="M607" s="480"/>
      <c r="N607" s="249"/>
      <c r="O607" s="479"/>
      <c r="Q607" s="480"/>
      <c r="R607" s="481"/>
      <c r="T607" s="492"/>
      <c r="U607" s="249"/>
      <c r="V607" s="481"/>
    </row>
    <row r="608" ht="12.75" customHeight="1">
      <c r="M608" s="480"/>
      <c r="N608" s="249"/>
      <c r="O608" s="479"/>
      <c r="Q608" s="480"/>
      <c r="R608" s="481"/>
      <c r="T608" s="492"/>
      <c r="U608" s="249"/>
      <c r="V608" s="481"/>
    </row>
    <row r="609" ht="12.75" customHeight="1">
      <c r="M609" s="480"/>
      <c r="N609" s="249"/>
      <c r="O609" s="479"/>
      <c r="Q609" s="480"/>
      <c r="R609" s="481"/>
      <c r="T609" s="492"/>
      <c r="U609" s="249"/>
      <c r="V609" s="481"/>
    </row>
    <row r="610" ht="12.75" customHeight="1">
      <c r="M610" s="480"/>
      <c r="N610" s="249"/>
      <c r="O610" s="479"/>
      <c r="Q610" s="480"/>
      <c r="R610" s="481"/>
      <c r="T610" s="492"/>
      <c r="U610" s="249"/>
      <c r="V610" s="481"/>
    </row>
    <row r="611" ht="12.75" customHeight="1">
      <c r="M611" s="480"/>
      <c r="N611" s="249"/>
      <c r="O611" s="479"/>
      <c r="Q611" s="480"/>
      <c r="R611" s="481"/>
      <c r="T611" s="492"/>
      <c r="U611" s="249"/>
      <c r="V611" s="481"/>
    </row>
    <row r="612" ht="12.75" customHeight="1">
      <c r="M612" s="480"/>
      <c r="N612" s="249"/>
      <c r="O612" s="479"/>
      <c r="Q612" s="480"/>
      <c r="R612" s="481"/>
      <c r="T612" s="492"/>
      <c r="U612" s="249"/>
      <c r="V612" s="481"/>
    </row>
    <row r="613" ht="12.75" customHeight="1">
      <c r="M613" s="480"/>
      <c r="N613" s="249"/>
      <c r="O613" s="479"/>
      <c r="Q613" s="480"/>
      <c r="R613" s="481"/>
      <c r="T613" s="492"/>
      <c r="U613" s="249"/>
      <c r="V613" s="481"/>
    </row>
    <row r="614" ht="12.75" customHeight="1">
      <c r="M614" s="480"/>
      <c r="N614" s="249"/>
      <c r="O614" s="479"/>
      <c r="Q614" s="480"/>
      <c r="R614" s="481"/>
      <c r="T614" s="492"/>
      <c r="U614" s="249"/>
      <c r="V614" s="481"/>
    </row>
    <row r="615" ht="12.75" customHeight="1">
      <c r="M615" s="480"/>
      <c r="N615" s="249"/>
      <c r="O615" s="479"/>
      <c r="Q615" s="480"/>
      <c r="R615" s="481"/>
      <c r="T615" s="492"/>
      <c r="U615" s="249"/>
      <c r="V615" s="481"/>
    </row>
    <row r="616" ht="12.75" customHeight="1">
      <c r="M616" s="480"/>
      <c r="N616" s="249"/>
      <c r="O616" s="479"/>
      <c r="Q616" s="480"/>
      <c r="R616" s="481"/>
      <c r="T616" s="492"/>
      <c r="U616" s="249"/>
      <c r="V616" s="481"/>
    </row>
    <row r="617" ht="12.75" customHeight="1">
      <c r="M617" s="480"/>
      <c r="N617" s="249"/>
      <c r="O617" s="479"/>
      <c r="Q617" s="480"/>
      <c r="R617" s="481"/>
      <c r="T617" s="492"/>
      <c r="U617" s="249"/>
      <c r="V617" s="481"/>
    </row>
    <row r="618" ht="12.75" customHeight="1">
      <c r="M618" s="480"/>
      <c r="N618" s="249"/>
      <c r="O618" s="479"/>
      <c r="Q618" s="480"/>
      <c r="R618" s="481"/>
      <c r="T618" s="492"/>
      <c r="U618" s="249"/>
      <c r="V618" s="481"/>
    </row>
    <row r="619" ht="12.75" customHeight="1">
      <c r="M619" s="480"/>
      <c r="N619" s="249"/>
      <c r="O619" s="479"/>
      <c r="Q619" s="480"/>
      <c r="R619" s="481"/>
      <c r="T619" s="492"/>
      <c r="U619" s="249"/>
      <c r="V619" s="481"/>
    </row>
    <row r="620" ht="12.75" customHeight="1">
      <c r="M620" s="480"/>
      <c r="N620" s="249"/>
      <c r="O620" s="479"/>
      <c r="Q620" s="480"/>
      <c r="R620" s="481"/>
      <c r="T620" s="492"/>
      <c r="U620" s="249"/>
      <c r="V620" s="481"/>
    </row>
    <row r="621" ht="12.75" customHeight="1">
      <c r="M621" s="480"/>
      <c r="N621" s="249"/>
      <c r="O621" s="479"/>
      <c r="Q621" s="480"/>
      <c r="R621" s="481"/>
      <c r="T621" s="492"/>
      <c r="U621" s="249"/>
      <c r="V621" s="481"/>
    </row>
    <row r="622" ht="12.75" customHeight="1">
      <c r="M622" s="480"/>
      <c r="N622" s="249"/>
      <c r="O622" s="479"/>
      <c r="Q622" s="480"/>
      <c r="R622" s="481"/>
      <c r="T622" s="492"/>
      <c r="U622" s="249"/>
      <c r="V622" s="481"/>
    </row>
    <row r="623" ht="12.75" customHeight="1">
      <c r="M623" s="480"/>
      <c r="N623" s="249"/>
      <c r="O623" s="479"/>
      <c r="Q623" s="480"/>
      <c r="R623" s="481"/>
      <c r="T623" s="492"/>
      <c r="U623" s="249"/>
      <c r="V623" s="481"/>
    </row>
    <row r="624" ht="12.75" customHeight="1">
      <c r="M624" s="480"/>
      <c r="N624" s="249"/>
      <c r="O624" s="479"/>
      <c r="Q624" s="480"/>
      <c r="R624" s="481"/>
      <c r="T624" s="492"/>
      <c r="U624" s="249"/>
      <c r="V624" s="481"/>
    </row>
    <row r="625" ht="12.75" customHeight="1">
      <c r="M625" s="480"/>
      <c r="N625" s="249"/>
      <c r="O625" s="479"/>
      <c r="Q625" s="480"/>
      <c r="R625" s="481"/>
      <c r="T625" s="492"/>
      <c r="U625" s="249"/>
      <c r="V625" s="481"/>
    </row>
    <row r="626" ht="12.75" customHeight="1">
      <c r="M626" s="480"/>
      <c r="N626" s="249"/>
      <c r="O626" s="479"/>
      <c r="Q626" s="480"/>
      <c r="R626" s="481"/>
      <c r="T626" s="492"/>
      <c r="U626" s="249"/>
      <c r="V626" s="481"/>
    </row>
    <row r="627" ht="12.75" customHeight="1">
      <c r="M627" s="480"/>
      <c r="N627" s="249"/>
      <c r="O627" s="479"/>
      <c r="Q627" s="480"/>
      <c r="R627" s="481"/>
      <c r="T627" s="492"/>
      <c r="U627" s="249"/>
      <c r="V627" s="481"/>
    </row>
    <row r="628" ht="12.75" customHeight="1">
      <c r="M628" s="480"/>
      <c r="N628" s="249"/>
      <c r="O628" s="479"/>
      <c r="Q628" s="480"/>
      <c r="R628" s="481"/>
      <c r="T628" s="492"/>
      <c r="U628" s="249"/>
      <c r="V628" s="481"/>
    </row>
    <row r="629" ht="12.75" customHeight="1">
      <c r="M629" s="480"/>
      <c r="N629" s="249"/>
      <c r="O629" s="479"/>
      <c r="Q629" s="480"/>
      <c r="R629" s="481"/>
      <c r="T629" s="492"/>
      <c r="U629" s="249"/>
      <c r="V629" s="481"/>
    </row>
    <row r="630" ht="12.75" customHeight="1">
      <c r="M630" s="480"/>
      <c r="N630" s="249"/>
      <c r="O630" s="479"/>
      <c r="Q630" s="480"/>
      <c r="R630" s="481"/>
      <c r="T630" s="492"/>
      <c r="U630" s="249"/>
      <c r="V630" s="481"/>
    </row>
    <row r="631" ht="12.75" customHeight="1">
      <c r="M631" s="480"/>
      <c r="N631" s="249"/>
      <c r="O631" s="479"/>
      <c r="Q631" s="480"/>
      <c r="R631" s="481"/>
      <c r="T631" s="492"/>
      <c r="U631" s="249"/>
      <c r="V631" s="481"/>
    </row>
    <row r="632" ht="12.75" customHeight="1">
      <c r="M632" s="480"/>
      <c r="N632" s="249"/>
      <c r="O632" s="479"/>
      <c r="Q632" s="480"/>
      <c r="R632" s="481"/>
      <c r="T632" s="492"/>
      <c r="U632" s="249"/>
      <c r="V632" s="481"/>
    </row>
    <row r="633" ht="12.75" customHeight="1">
      <c r="M633" s="480"/>
      <c r="N633" s="249"/>
      <c r="O633" s="479"/>
      <c r="Q633" s="480"/>
      <c r="R633" s="481"/>
      <c r="T633" s="492"/>
      <c r="U633" s="249"/>
      <c r="V633" s="481"/>
    </row>
    <row r="634" ht="12.75" customHeight="1">
      <c r="M634" s="480"/>
      <c r="N634" s="249"/>
      <c r="O634" s="479"/>
      <c r="Q634" s="480"/>
      <c r="R634" s="481"/>
      <c r="T634" s="492"/>
      <c r="U634" s="249"/>
      <c r="V634" s="481"/>
    </row>
    <row r="635" ht="12.75" customHeight="1">
      <c r="M635" s="480"/>
      <c r="N635" s="249"/>
      <c r="O635" s="479"/>
      <c r="Q635" s="480"/>
      <c r="R635" s="481"/>
      <c r="T635" s="492"/>
      <c r="U635" s="249"/>
      <c r="V635" s="481"/>
    </row>
    <row r="636" ht="12.75" customHeight="1">
      <c r="M636" s="480"/>
      <c r="N636" s="249"/>
      <c r="O636" s="479"/>
      <c r="Q636" s="480"/>
      <c r="R636" s="481"/>
      <c r="T636" s="492"/>
      <c r="U636" s="249"/>
      <c r="V636" s="481"/>
    </row>
    <row r="637" ht="12.75" customHeight="1">
      <c r="M637" s="480"/>
      <c r="N637" s="249"/>
      <c r="O637" s="479"/>
      <c r="Q637" s="480"/>
      <c r="R637" s="481"/>
      <c r="T637" s="492"/>
      <c r="U637" s="249"/>
      <c r="V637" s="481"/>
    </row>
    <row r="638" ht="12.75" customHeight="1">
      <c r="M638" s="480"/>
      <c r="N638" s="249"/>
      <c r="O638" s="479"/>
      <c r="Q638" s="480"/>
      <c r="R638" s="481"/>
      <c r="T638" s="492"/>
      <c r="U638" s="249"/>
      <c r="V638" s="481"/>
    </row>
    <row r="639" ht="12.75" customHeight="1">
      <c r="M639" s="480"/>
      <c r="N639" s="249"/>
      <c r="O639" s="479"/>
      <c r="Q639" s="480"/>
      <c r="R639" s="481"/>
      <c r="T639" s="492"/>
      <c r="U639" s="249"/>
      <c r="V639" s="481"/>
    </row>
    <row r="640" ht="12.75" customHeight="1">
      <c r="M640" s="480"/>
      <c r="N640" s="249"/>
      <c r="O640" s="479"/>
      <c r="Q640" s="480"/>
      <c r="R640" s="481"/>
      <c r="T640" s="492"/>
      <c r="U640" s="249"/>
      <c r="V640" s="481"/>
    </row>
    <row r="641" ht="12.75" customHeight="1">
      <c r="M641" s="480"/>
      <c r="N641" s="249"/>
      <c r="O641" s="479"/>
      <c r="Q641" s="480"/>
      <c r="R641" s="481"/>
      <c r="T641" s="492"/>
      <c r="U641" s="249"/>
      <c r="V641" s="481"/>
    </row>
    <row r="642" ht="12.75" customHeight="1">
      <c r="M642" s="480"/>
      <c r="N642" s="249"/>
      <c r="O642" s="479"/>
      <c r="Q642" s="480"/>
      <c r="R642" s="481"/>
      <c r="T642" s="492"/>
      <c r="U642" s="249"/>
      <c r="V642" s="481"/>
    </row>
    <row r="643" ht="12.75" customHeight="1">
      <c r="M643" s="480"/>
      <c r="N643" s="249"/>
      <c r="O643" s="479"/>
      <c r="Q643" s="480"/>
      <c r="R643" s="481"/>
      <c r="T643" s="492"/>
      <c r="U643" s="249"/>
      <c r="V643" s="481"/>
    </row>
    <row r="644" ht="12.75" customHeight="1">
      <c r="M644" s="480"/>
      <c r="N644" s="249"/>
      <c r="O644" s="479"/>
      <c r="Q644" s="480"/>
      <c r="R644" s="481"/>
      <c r="T644" s="492"/>
      <c r="U644" s="249"/>
      <c r="V644" s="481"/>
    </row>
    <row r="645" ht="12.75" customHeight="1">
      <c r="M645" s="480"/>
      <c r="N645" s="249"/>
      <c r="O645" s="479"/>
      <c r="Q645" s="480"/>
      <c r="R645" s="481"/>
      <c r="T645" s="492"/>
      <c r="U645" s="249"/>
      <c r="V645" s="481"/>
    </row>
    <row r="646" ht="12.75" customHeight="1">
      <c r="M646" s="480"/>
      <c r="N646" s="249"/>
      <c r="O646" s="479"/>
      <c r="Q646" s="480"/>
      <c r="R646" s="481"/>
      <c r="T646" s="492"/>
      <c r="U646" s="249"/>
      <c r="V646" s="481"/>
    </row>
    <row r="647" ht="12.75" customHeight="1">
      <c r="M647" s="480"/>
      <c r="N647" s="249"/>
      <c r="O647" s="479"/>
      <c r="Q647" s="480"/>
      <c r="R647" s="481"/>
      <c r="T647" s="492"/>
      <c r="U647" s="249"/>
      <c r="V647" s="481"/>
    </row>
    <row r="648" ht="12.75" customHeight="1">
      <c r="M648" s="480"/>
      <c r="N648" s="249"/>
      <c r="O648" s="479"/>
      <c r="Q648" s="480"/>
      <c r="R648" s="481"/>
      <c r="T648" s="492"/>
      <c r="U648" s="249"/>
      <c r="V648" s="481"/>
    </row>
    <row r="649" ht="12.75" customHeight="1">
      <c r="M649" s="480"/>
      <c r="N649" s="249"/>
      <c r="O649" s="479"/>
      <c r="Q649" s="480"/>
      <c r="R649" s="481"/>
      <c r="T649" s="492"/>
      <c r="U649" s="249"/>
      <c r="V649" s="481"/>
    </row>
    <row r="650" ht="12.75" customHeight="1">
      <c r="M650" s="480"/>
      <c r="N650" s="249"/>
      <c r="O650" s="479"/>
      <c r="Q650" s="480"/>
      <c r="R650" s="481"/>
      <c r="T650" s="492"/>
      <c r="U650" s="249"/>
      <c r="V650" s="481"/>
    </row>
    <row r="651" ht="12.75" customHeight="1">
      <c r="M651" s="480"/>
      <c r="N651" s="249"/>
      <c r="O651" s="479"/>
      <c r="Q651" s="480"/>
      <c r="R651" s="481"/>
      <c r="T651" s="492"/>
      <c r="U651" s="249"/>
      <c r="V651" s="481"/>
    </row>
    <row r="652" ht="12.75" customHeight="1">
      <c r="M652" s="480"/>
      <c r="N652" s="249"/>
      <c r="O652" s="479"/>
      <c r="Q652" s="480"/>
      <c r="R652" s="481"/>
      <c r="T652" s="492"/>
      <c r="U652" s="249"/>
      <c r="V652" s="481"/>
    </row>
    <row r="653" ht="12.75" customHeight="1">
      <c r="M653" s="480"/>
      <c r="N653" s="249"/>
      <c r="O653" s="479"/>
      <c r="Q653" s="480"/>
      <c r="R653" s="481"/>
      <c r="T653" s="492"/>
      <c r="U653" s="249"/>
      <c r="V653" s="481"/>
    </row>
    <row r="654" ht="12.75" customHeight="1">
      <c r="M654" s="480"/>
      <c r="N654" s="249"/>
      <c r="O654" s="479"/>
      <c r="Q654" s="480"/>
      <c r="R654" s="481"/>
      <c r="T654" s="492"/>
      <c r="U654" s="249"/>
      <c r="V654" s="481"/>
    </row>
    <row r="655" ht="12.75" customHeight="1">
      <c r="M655" s="480"/>
      <c r="N655" s="249"/>
      <c r="O655" s="479"/>
      <c r="Q655" s="480"/>
      <c r="R655" s="481"/>
      <c r="T655" s="492"/>
      <c r="U655" s="249"/>
      <c r="V655" s="481"/>
    </row>
    <row r="656" ht="12.75" customHeight="1">
      <c r="M656" s="480"/>
      <c r="N656" s="249"/>
      <c r="O656" s="479"/>
      <c r="Q656" s="480"/>
      <c r="R656" s="481"/>
      <c r="T656" s="492"/>
      <c r="U656" s="249"/>
      <c r="V656" s="481"/>
    </row>
    <row r="657" ht="12.75" customHeight="1">
      <c r="M657" s="480"/>
      <c r="N657" s="249"/>
      <c r="O657" s="479"/>
      <c r="Q657" s="480"/>
      <c r="R657" s="481"/>
      <c r="T657" s="492"/>
      <c r="U657" s="249"/>
      <c r="V657" s="481"/>
    </row>
    <row r="658" ht="12.75" customHeight="1">
      <c r="M658" s="480"/>
      <c r="N658" s="249"/>
      <c r="O658" s="479"/>
      <c r="Q658" s="480"/>
      <c r="R658" s="481"/>
      <c r="T658" s="492"/>
      <c r="U658" s="249"/>
      <c r="V658" s="481"/>
    </row>
    <row r="659" ht="12.75" customHeight="1">
      <c r="M659" s="480"/>
      <c r="N659" s="249"/>
      <c r="O659" s="479"/>
      <c r="Q659" s="480"/>
      <c r="R659" s="481"/>
      <c r="T659" s="492"/>
      <c r="U659" s="249"/>
      <c r="V659" s="481"/>
    </row>
    <row r="660" ht="12.75" customHeight="1">
      <c r="M660" s="480"/>
      <c r="N660" s="249"/>
      <c r="O660" s="479"/>
      <c r="Q660" s="480"/>
      <c r="R660" s="481"/>
      <c r="T660" s="492"/>
      <c r="U660" s="249"/>
      <c r="V660" s="481"/>
    </row>
    <row r="661" ht="12.75" customHeight="1">
      <c r="M661" s="480"/>
      <c r="N661" s="249"/>
      <c r="O661" s="479"/>
      <c r="Q661" s="480"/>
      <c r="R661" s="481"/>
      <c r="T661" s="492"/>
      <c r="U661" s="249"/>
      <c r="V661" s="481"/>
    </row>
    <row r="662" ht="12.75" customHeight="1">
      <c r="M662" s="480"/>
      <c r="N662" s="249"/>
      <c r="O662" s="479"/>
      <c r="Q662" s="480"/>
      <c r="R662" s="481"/>
      <c r="T662" s="492"/>
      <c r="U662" s="249"/>
      <c r="V662" s="481"/>
    </row>
    <row r="663" ht="12.75" customHeight="1">
      <c r="M663" s="480"/>
      <c r="N663" s="249"/>
      <c r="O663" s="479"/>
      <c r="Q663" s="480"/>
      <c r="R663" s="481"/>
      <c r="T663" s="492"/>
      <c r="U663" s="249"/>
      <c r="V663" s="481"/>
    </row>
    <row r="664" ht="12.75" customHeight="1">
      <c r="M664" s="480"/>
      <c r="N664" s="249"/>
      <c r="O664" s="479"/>
      <c r="Q664" s="480"/>
      <c r="R664" s="481"/>
      <c r="T664" s="492"/>
      <c r="U664" s="249"/>
      <c r="V664" s="481"/>
    </row>
    <row r="665" ht="12.75" customHeight="1">
      <c r="M665" s="480"/>
      <c r="N665" s="249"/>
      <c r="O665" s="479"/>
      <c r="Q665" s="480"/>
      <c r="R665" s="481"/>
      <c r="T665" s="492"/>
      <c r="U665" s="249"/>
      <c r="V665" s="481"/>
    </row>
    <row r="666" ht="12.75" customHeight="1">
      <c r="M666" s="480"/>
      <c r="N666" s="249"/>
      <c r="O666" s="479"/>
      <c r="Q666" s="480"/>
      <c r="R666" s="481"/>
      <c r="T666" s="492"/>
      <c r="U666" s="249"/>
      <c r="V666" s="481"/>
    </row>
    <row r="667" ht="12.75" customHeight="1">
      <c r="M667" s="480"/>
      <c r="N667" s="249"/>
      <c r="O667" s="479"/>
      <c r="Q667" s="480"/>
      <c r="R667" s="481"/>
      <c r="T667" s="492"/>
      <c r="U667" s="249"/>
      <c r="V667" s="481"/>
    </row>
    <row r="668" ht="12.75" customHeight="1">
      <c r="M668" s="480"/>
      <c r="N668" s="249"/>
      <c r="O668" s="479"/>
      <c r="Q668" s="480"/>
      <c r="R668" s="481"/>
      <c r="T668" s="492"/>
      <c r="U668" s="249"/>
      <c r="V668" s="481"/>
    </row>
    <row r="669" ht="12.75" customHeight="1">
      <c r="M669" s="480"/>
      <c r="N669" s="249"/>
      <c r="O669" s="479"/>
      <c r="Q669" s="480"/>
      <c r="R669" s="481"/>
      <c r="T669" s="492"/>
      <c r="U669" s="249"/>
      <c r="V669" s="481"/>
    </row>
    <row r="670" ht="12.75" customHeight="1">
      <c r="M670" s="480"/>
      <c r="N670" s="249"/>
      <c r="O670" s="479"/>
      <c r="Q670" s="480"/>
      <c r="R670" s="481"/>
      <c r="T670" s="492"/>
      <c r="U670" s="249"/>
      <c r="V670" s="481"/>
    </row>
    <row r="671" ht="12.75" customHeight="1">
      <c r="M671" s="480"/>
      <c r="N671" s="249"/>
      <c r="O671" s="479"/>
      <c r="Q671" s="480"/>
      <c r="R671" s="481"/>
      <c r="T671" s="492"/>
      <c r="U671" s="249"/>
      <c r="V671" s="481"/>
    </row>
    <row r="672" ht="12.75" customHeight="1">
      <c r="M672" s="480"/>
      <c r="N672" s="249"/>
      <c r="O672" s="479"/>
      <c r="Q672" s="480"/>
      <c r="R672" s="481"/>
      <c r="T672" s="492"/>
      <c r="U672" s="249"/>
      <c r="V672" s="481"/>
    </row>
    <row r="673" ht="12.75" customHeight="1">
      <c r="M673" s="480"/>
      <c r="N673" s="249"/>
      <c r="O673" s="479"/>
      <c r="Q673" s="480"/>
      <c r="R673" s="481"/>
      <c r="T673" s="492"/>
      <c r="U673" s="249"/>
      <c r="V673" s="481"/>
    </row>
    <row r="674" ht="12.75" customHeight="1">
      <c r="M674" s="480"/>
      <c r="N674" s="249"/>
      <c r="O674" s="479"/>
      <c r="Q674" s="480"/>
      <c r="R674" s="481"/>
      <c r="T674" s="492"/>
      <c r="U674" s="249"/>
      <c r="V674" s="481"/>
    </row>
    <row r="675" ht="12.75" customHeight="1">
      <c r="M675" s="480"/>
      <c r="N675" s="249"/>
      <c r="O675" s="479"/>
      <c r="Q675" s="480"/>
      <c r="R675" s="481"/>
      <c r="T675" s="492"/>
      <c r="U675" s="249"/>
      <c r="V675" s="481"/>
    </row>
    <row r="676" ht="12.75" customHeight="1">
      <c r="M676" s="480"/>
      <c r="N676" s="249"/>
      <c r="O676" s="479"/>
      <c r="Q676" s="480"/>
      <c r="R676" s="481"/>
      <c r="T676" s="492"/>
      <c r="U676" s="249"/>
      <c r="V676" s="481"/>
    </row>
    <row r="677" ht="12.75" customHeight="1">
      <c r="M677" s="480"/>
      <c r="N677" s="249"/>
      <c r="O677" s="479"/>
      <c r="Q677" s="480"/>
      <c r="R677" s="481"/>
      <c r="T677" s="492"/>
      <c r="U677" s="249"/>
      <c r="V677" s="481"/>
    </row>
    <row r="678" ht="12.75" customHeight="1">
      <c r="M678" s="480"/>
      <c r="N678" s="249"/>
      <c r="O678" s="479"/>
      <c r="Q678" s="480"/>
      <c r="R678" s="481"/>
      <c r="T678" s="492"/>
      <c r="U678" s="249"/>
      <c r="V678" s="481"/>
    </row>
    <row r="679" ht="12.75" customHeight="1">
      <c r="M679" s="480"/>
      <c r="N679" s="249"/>
      <c r="O679" s="479"/>
      <c r="Q679" s="480"/>
      <c r="R679" s="481"/>
      <c r="T679" s="492"/>
      <c r="U679" s="249"/>
      <c r="V679" s="481"/>
    </row>
    <row r="680" ht="12.75" customHeight="1">
      <c r="M680" s="480"/>
      <c r="N680" s="249"/>
      <c r="O680" s="479"/>
      <c r="Q680" s="480"/>
      <c r="R680" s="481"/>
      <c r="T680" s="492"/>
      <c r="U680" s="249"/>
      <c r="V680" s="481"/>
    </row>
    <row r="681" ht="12.75" customHeight="1">
      <c r="M681" s="480"/>
      <c r="N681" s="249"/>
      <c r="O681" s="479"/>
      <c r="Q681" s="480"/>
      <c r="R681" s="481"/>
      <c r="T681" s="492"/>
      <c r="U681" s="249"/>
      <c r="V681" s="481"/>
    </row>
    <row r="682" ht="12.75" customHeight="1">
      <c r="M682" s="480"/>
      <c r="N682" s="249"/>
      <c r="O682" s="479"/>
      <c r="Q682" s="480"/>
      <c r="R682" s="481"/>
      <c r="T682" s="492"/>
      <c r="U682" s="249"/>
      <c r="V682" s="481"/>
    </row>
    <row r="683" ht="12.75" customHeight="1">
      <c r="M683" s="480"/>
      <c r="N683" s="249"/>
      <c r="O683" s="479"/>
      <c r="Q683" s="480"/>
      <c r="R683" s="481"/>
      <c r="T683" s="492"/>
      <c r="U683" s="249"/>
      <c r="V683" s="481"/>
    </row>
    <row r="684" ht="12.75" customHeight="1">
      <c r="M684" s="480"/>
      <c r="N684" s="249"/>
      <c r="O684" s="479"/>
      <c r="Q684" s="480"/>
      <c r="R684" s="481"/>
      <c r="T684" s="492"/>
      <c r="U684" s="249"/>
      <c r="V684" s="481"/>
    </row>
    <row r="685" ht="12.75" customHeight="1">
      <c r="M685" s="480"/>
      <c r="N685" s="249"/>
      <c r="O685" s="479"/>
      <c r="Q685" s="480"/>
      <c r="R685" s="481"/>
      <c r="T685" s="492"/>
      <c r="U685" s="249"/>
      <c r="V685" s="481"/>
    </row>
    <row r="686" ht="12.75" customHeight="1">
      <c r="M686" s="480"/>
      <c r="N686" s="249"/>
      <c r="O686" s="479"/>
      <c r="Q686" s="480"/>
      <c r="R686" s="481"/>
      <c r="T686" s="492"/>
      <c r="U686" s="249"/>
      <c r="V686" s="481"/>
    </row>
    <row r="687" ht="12.75" customHeight="1">
      <c r="M687" s="480"/>
      <c r="N687" s="249"/>
      <c r="O687" s="479"/>
      <c r="Q687" s="480"/>
      <c r="R687" s="481"/>
      <c r="T687" s="492"/>
      <c r="U687" s="249"/>
      <c r="V687" s="481"/>
    </row>
    <row r="688" ht="12.75" customHeight="1">
      <c r="M688" s="480"/>
      <c r="N688" s="249"/>
      <c r="O688" s="479"/>
      <c r="Q688" s="480"/>
      <c r="R688" s="481"/>
      <c r="T688" s="492"/>
      <c r="U688" s="249"/>
      <c r="V688" s="481"/>
    </row>
    <row r="689" ht="12.75" customHeight="1">
      <c r="M689" s="480"/>
      <c r="N689" s="249"/>
      <c r="O689" s="479"/>
      <c r="Q689" s="480"/>
      <c r="R689" s="481"/>
      <c r="T689" s="492"/>
      <c r="U689" s="249"/>
      <c r="V689" s="481"/>
    </row>
    <row r="690" ht="12.75" customHeight="1">
      <c r="M690" s="480"/>
      <c r="N690" s="249"/>
      <c r="O690" s="479"/>
      <c r="Q690" s="480"/>
      <c r="R690" s="481"/>
      <c r="T690" s="492"/>
      <c r="U690" s="249"/>
      <c r="V690" s="481"/>
    </row>
    <row r="691" ht="12.75" customHeight="1">
      <c r="M691" s="480"/>
      <c r="N691" s="249"/>
      <c r="O691" s="479"/>
      <c r="Q691" s="480"/>
      <c r="R691" s="481"/>
      <c r="T691" s="492"/>
      <c r="U691" s="249"/>
      <c r="V691" s="481"/>
    </row>
    <row r="692" ht="12.75" customHeight="1">
      <c r="M692" s="480"/>
      <c r="N692" s="249"/>
      <c r="O692" s="479"/>
      <c r="Q692" s="480"/>
      <c r="R692" s="481"/>
      <c r="T692" s="492"/>
      <c r="U692" s="249"/>
      <c r="V692" s="481"/>
    </row>
    <row r="693" ht="12.75" customHeight="1">
      <c r="M693" s="480"/>
      <c r="N693" s="249"/>
      <c r="O693" s="479"/>
      <c r="Q693" s="480"/>
      <c r="R693" s="481"/>
      <c r="T693" s="492"/>
      <c r="U693" s="249"/>
      <c r="V693" s="481"/>
    </row>
    <row r="694" ht="12.75" customHeight="1">
      <c r="M694" s="480"/>
      <c r="N694" s="249"/>
      <c r="O694" s="479"/>
      <c r="Q694" s="480"/>
      <c r="R694" s="481"/>
      <c r="T694" s="492"/>
      <c r="U694" s="249"/>
      <c r="V694" s="481"/>
    </row>
    <row r="695" ht="12.75" customHeight="1">
      <c r="M695" s="480"/>
      <c r="N695" s="249"/>
      <c r="O695" s="479"/>
      <c r="Q695" s="480"/>
      <c r="R695" s="481"/>
      <c r="T695" s="492"/>
      <c r="U695" s="249"/>
      <c r="V695" s="481"/>
    </row>
    <row r="696" ht="12.75" customHeight="1">
      <c r="M696" s="480"/>
      <c r="N696" s="249"/>
      <c r="O696" s="479"/>
      <c r="Q696" s="480"/>
      <c r="R696" s="481"/>
      <c r="T696" s="492"/>
      <c r="U696" s="249"/>
      <c r="V696" s="481"/>
    </row>
    <row r="697" ht="12.75" customHeight="1">
      <c r="M697" s="480"/>
      <c r="N697" s="249"/>
      <c r="O697" s="479"/>
      <c r="Q697" s="480"/>
      <c r="R697" s="481"/>
      <c r="T697" s="492"/>
      <c r="U697" s="249"/>
      <c r="V697" s="481"/>
    </row>
    <row r="698" ht="12.75" customHeight="1">
      <c r="M698" s="480"/>
      <c r="N698" s="249"/>
      <c r="O698" s="479"/>
      <c r="Q698" s="480"/>
      <c r="R698" s="481"/>
      <c r="T698" s="492"/>
      <c r="U698" s="249"/>
      <c r="V698" s="481"/>
    </row>
    <row r="699" ht="12.75" customHeight="1">
      <c r="M699" s="480"/>
      <c r="N699" s="249"/>
      <c r="O699" s="479"/>
      <c r="Q699" s="480"/>
      <c r="R699" s="481"/>
      <c r="T699" s="492"/>
      <c r="U699" s="249"/>
      <c r="V699" s="481"/>
    </row>
    <row r="700" ht="12.75" customHeight="1">
      <c r="M700" s="480"/>
      <c r="N700" s="249"/>
      <c r="O700" s="479"/>
      <c r="Q700" s="480"/>
      <c r="R700" s="481"/>
      <c r="T700" s="492"/>
      <c r="U700" s="249"/>
      <c r="V700" s="481"/>
    </row>
    <row r="701" ht="12.75" customHeight="1">
      <c r="M701" s="480"/>
      <c r="N701" s="249"/>
      <c r="O701" s="479"/>
      <c r="Q701" s="480"/>
      <c r="R701" s="481"/>
      <c r="T701" s="492"/>
      <c r="U701" s="249"/>
      <c r="V701" s="481"/>
    </row>
    <row r="702" ht="12.75" customHeight="1">
      <c r="M702" s="480"/>
      <c r="N702" s="249"/>
      <c r="O702" s="479"/>
      <c r="Q702" s="480"/>
      <c r="R702" s="481"/>
      <c r="T702" s="492"/>
      <c r="U702" s="249"/>
      <c r="V702" s="481"/>
    </row>
    <row r="703" ht="12.75" customHeight="1">
      <c r="M703" s="480"/>
      <c r="N703" s="249"/>
      <c r="O703" s="479"/>
      <c r="Q703" s="480"/>
      <c r="R703" s="481"/>
      <c r="T703" s="492"/>
      <c r="U703" s="249"/>
      <c r="V703" s="481"/>
    </row>
    <row r="704" ht="12.75" customHeight="1">
      <c r="M704" s="480"/>
      <c r="N704" s="249"/>
      <c r="O704" s="479"/>
      <c r="Q704" s="480"/>
      <c r="R704" s="481"/>
      <c r="T704" s="492"/>
      <c r="U704" s="249"/>
      <c r="V704" s="481"/>
    </row>
    <row r="705" ht="12.75" customHeight="1">
      <c r="M705" s="480"/>
      <c r="N705" s="249"/>
      <c r="O705" s="479"/>
      <c r="Q705" s="480"/>
      <c r="R705" s="481"/>
      <c r="T705" s="492"/>
      <c r="U705" s="249"/>
      <c r="V705" s="481"/>
    </row>
    <row r="706" ht="12.75" customHeight="1">
      <c r="M706" s="480"/>
      <c r="N706" s="249"/>
      <c r="O706" s="479"/>
      <c r="Q706" s="480"/>
      <c r="R706" s="481"/>
      <c r="T706" s="492"/>
      <c r="U706" s="249"/>
      <c r="V706" s="481"/>
    </row>
    <row r="707" ht="12.75" customHeight="1">
      <c r="M707" s="480"/>
      <c r="N707" s="249"/>
      <c r="O707" s="479"/>
      <c r="Q707" s="480"/>
      <c r="R707" s="481"/>
      <c r="T707" s="492"/>
      <c r="U707" s="249"/>
      <c r="V707" s="481"/>
    </row>
    <row r="708" ht="12.75" customHeight="1">
      <c r="M708" s="480"/>
      <c r="N708" s="249"/>
      <c r="O708" s="479"/>
      <c r="Q708" s="480"/>
      <c r="R708" s="481"/>
      <c r="T708" s="492"/>
      <c r="U708" s="249"/>
      <c r="V708" s="481"/>
    </row>
    <row r="709" ht="12.75" customHeight="1">
      <c r="M709" s="480"/>
      <c r="N709" s="249"/>
      <c r="O709" s="479"/>
      <c r="Q709" s="480"/>
      <c r="R709" s="481"/>
      <c r="T709" s="492"/>
      <c r="U709" s="249"/>
      <c r="V709" s="481"/>
    </row>
    <row r="710" ht="12.75" customHeight="1">
      <c r="M710" s="480"/>
      <c r="N710" s="249"/>
      <c r="O710" s="479"/>
      <c r="Q710" s="480"/>
      <c r="R710" s="481"/>
      <c r="T710" s="492"/>
      <c r="U710" s="249"/>
      <c r="V710" s="481"/>
    </row>
    <row r="711" ht="12.75" customHeight="1">
      <c r="M711" s="480"/>
      <c r="N711" s="249"/>
      <c r="O711" s="479"/>
      <c r="Q711" s="480"/>
      <c r="R711" s="481"/>
      <c r="T711" s="492"/>
      <c r="U711" s="249"/>
      <c r="V711" s="481"/>
    </row>
    <row r="712" ht="12.75" customHeight="1">
      <c r="M712" s="480"/>
      <c r="N712" s="249"/>
      <c r="O712" s="479"/>
      <c r="Q712" s="480"/>
      <c r="R712" s="481"/>
      <c r="T712" s="492"/>
      <c r="U712" s="249"/>
      <c r="V712" s="481"/>
    </row>
    <row r="713" ht="12.75" customHeight="1">
      <c r="M713" s="480"/>
      <c r="N713" s="249"/>
      <c r="O713" s="479"/>
      <c r="Q713" s="480"/>
      <c r="R713" s="481"/>
      <c r="T713" s="492"/>
      <c r="U713" s="249"/>
      <c r="V713" s="481"/>
    </row>
    <row r="714" ht="12.75" customHeight="1">
      <c r="M714" s="480"/>
      <c r="N714" s="249"/>
      <c r="O714" s="479"/>
      <c r="Q714" s="480"/>
      <c r="R714" s="481"/>
      <c r="T714" s="492"/>
      <c r="U714" s="249"/>
      <c r="V714" s="481"/>
    </row>
    <row r="715" ht="12.75" customHeight="1">
      <c r="M715" s="480"/>
      <c r="N715" s="249"/>
      <c r="O715" s="479"/>
      <c r="Q715" s="480"/>
      <c r="R715" s="481"/>
      <c r="T715" s="492"/>
      <c r="U715" s="249"/>
      <c r="V715" s="481"/>
    </row>
    <row r="716" ht="12.75" customHeight="1">
      <c r="M716" s="480"/>
      <c r="N716" s="249"/>
      <c r="O716" s="479"/>
      <c r="Q716" s="480"/>
      <c r="R716" s="481"/>
      <c r="T716" s="492"/>
      <c r="U716" s="249"/>
      <c r="V716" s="481"/>
    </row>
    <row r="717" ht="12.75" customHeight="1">
      <c r="M717" s="480"/>
      <c r="N717" s="249"/>
      <c r="O717" s="479"/>
      <c r="Q717" s="480"/>
      <c r="R717" s="481"/>
      <c r="T717" s="492"/>
      <c r="U717" s="249"/>
      <c r="V717" s="481"/>
    </row>
    <row r="718" ht="12.75" customHeight="1">
      <c r="M718" s="480"/>
      <c r="N718" s="249"/>
      <c r="O718" s="479"/>
      <c r="Q718" s="480"/>
      <c r="R718" s="481"/>
      <c r="T718" s="492"/>
      <c r="U718" s="249"/>
      <c r="V718" s="481"/>
    </row>
    <row r="719" ht="12.75" customHeight="1">
      <c r="M719" s="480"/>
      <c r="N719" s="249"/>
      <c r="O719" s="479"/>
      <c r="Q719" s="480"/>
      <c r="R719" s="481"/>
      <c r="T719" s="492"/>
      <c r="U719" s="249"/>
      <c r="V719" s="481"/>
    </row>
    <row r="720" ht="12.75" customHeight="1">
      <c r="M720" s="480"/>
      <c r="N720" s="249"/>
      <c r="O720" s="479"/>
      <c r="Q720" s="480"/>
      <c r="R720" s="481"/>
      <c r="T720" s="492"/>
      <c r="U720" s="249"/>
      <c r="V720" s="481"/>
    </row>
    <row r="721" ht="12.75" customHeight="1">
      <c r="M721" s="480"/>
      <c r="N721" s="249"/>
      <c r="O721" s="479"/>
      <c r="Q721" s="480"/>
      <c r="R721" s="481"/>
      <c r="T721" s="492"/>
      <c r="U721" s="249"/>
      <c r="V721" s="481"/>
    </row>
    <row r="722" ht="12.75" customHeight="1">
      <c r="M722" s="480"/>
      <c r="N722" s="249"/>
      <c r="O722" s="479"/>
      <c r="Q722" s="480"/>
      <c r="R722" s="481"/>
      <c r="T722" s="492"/>
      <c r="U722" s="249"/>
      <c r="V722" s="481"/>
    </row>
    <row r="723" ht="12.75" customHeight="1">
      <c r="M723" s="480"/>
      <c r="N723" s="249"/>
      <c r="O723" s="479"/>
      <c r="Q723" s="480"/>
      <c r="R723" s="481"/>
      <c r="T723" s="492"/>
      <c r="U723" s="249"/>
      <c r="V723" s="481"/>
    </row>
    <row r="724" ht="12.75" customHeight="1">
      <c r="M724" s="480"/>
      <c r="N724" s="249"/>
      <c r="O724" s="479"/>
      <c r="Q724" s="480"/>
      <c r="R724" s="481"/>
      <c r="T724" s="492"/>
      <c r="U724" s="249"/>
      <c r="V724" s="481"/>
    </row>
    <row r="725" ht="12.75" customHeight="1">
      <c r="M725" s="480"/>
      <c r="N725" s="249"/>
      <c r="O725" s="479"/>
      <c r="Q725" s="480"/>
      <c r="R725" s="481"/>
      <c r="T725" s="492"/>
      <c r="U725" s="249"/>
      <c r="V725" s="481"/>
    </row>
    <row r="726" ht="12.75" customHeight="1">
      <c r="M726" s="480"/>
      <c r="N726" s="249"/>
      <c r="O726" s="479"/>
      <c r="Q726" s="480"/>
      <c r="R726" s="481"/>
      <c r="T726" s="492"/>
      <c r="U726" s="249"/>
      <c r="V726" s="481"/>
    </row>
    <row r="727" ht="12.75" customHeight="1">
      <c r="M727" s="480"/>
      <c r="N727" s="249"/>
      <c r="O727" s="479"/>
      <c r="Q727" s="480"/>
      <c r="R727" s="481"/>
      <c r="T727" s="492"/>
      <c r="U727" s="249"/>
      <c r="V727" s="481"/>
    </row>
    <row r="728" ht="12.75" customHeight="1">
      <c r="M728" s="480"/>
      <c r="N728" s="249"/>
      <c r="O728" s="479"/>
      <c r="Q728" s="480"/>
      <c r="R728" s="481"/>
      <c r="T728" s="492"/>
      <c r="U728" s="249"/>
      <c r="V728" s="481"/>
    </row>
    <row r="729" ht="12.75" customHeight="1">
      <c r="M729" s="480"/>
      <c r="N729" s="249"/>
      <c r="O729" s="479"/>
      <c r="Q729" s="480"/>
      <c r="R729" s="481"/>
      <c r="T729" s="492"/>
      <c r="U729" s="249"/>
      <c r="V729" s="481"/>
    </row>
    <row r="730" ht="12.75" customHeight="1">
      <c r="M730" s="480"/>
      <c r="N730" s="249"/>
      <c r="O730" s="479"/>
      <c r="Q730" s="480"/>
      <c r="R730" s="481"/>
      <c r="T730" s="492"/>
      <c r="U730" s="249"/>
      <c r="V730" s="481"/>
    </row>
    <row r="731" ht="12.75" customHeight="1">
      <c r="M731" s="480"/>
      <c r="N731" s="249"/>
      <c r="O731" s="479"/>
      <c r="Q731" s="480"/>
      <c r="R731" s="481"/>
      <c r="T731" s="492"/>
      <c r="U731" s="249"/>
      <c r="V731" s="481"/>
    </row>
    <row r="732" ht="12.75" customHeight="1">
      <c r="M732" s="480"/>
      <c r="N732" s="249"/>
      <c r="O732" s="479"/>
      <c r="Q732" s="480"/>
      <c r="R732" s="481"/>
      <c r="T732" s="492"/>
      <c r="U732" s="249"/>
      <c r="V732" s="481"/>
    </row>
    <row r="733" ht="12.75" customHeight="1">
      <c r="M733" s="480"/>
      <c r="N733" s="249"/>
      <c r="O733" s="479"/>
      <c r="Q733" s="480"/>
      <c r="R733" s="481"/>
      <c r="T733" s="492"/>
      <c r="U733" s="249"/>
      <c r="V733" s="481"/>
    </row>
    <row r="734" ht="12.75" customHeight="1">
      <c r="M734" s="480"/>
      <c r="N734" s="249"/>
      <c r="O734" s="479"/>
      <c r="Q734" s="480"/>
      <c r="R734" s="481"/>
      <c r="T734" s="492"/>
      <c r="U734" s="249"/>
      <c r="V734" s="481"/>
    </row>
    <row r="735" ht="12.75" customHeight="1">
      <c r="M735" s="480"/>
      <c r="N735" s="249"/>
      <c r="O735" s="479"/>
      <c r="Q735" s="480"/>
      <c r="R735" s="481"/>
      <c r="T735" s="492"/>
      <c r="U735" s="249"/>
      <c r="V735" s="481"/>
    </row>
    <row r="736" ht="12.75" customHeight="1">
      <c r="M736" s="480"/>
      <c r="N736" s="249"/>
      <c r="O736" s="479"/>
      <c r="Q736" s="480"/>
      <c r="R736" s="481"/>
      <c r="T736" s="492"/>
      <c r="U736" s="249"/>
      <c r="V736" s="481"/>
    </row>
    <row r="737" ht="12.75" customHeight="1">
      <c r="M737" s="480"/>
      <c r="N737" s="249"/>
      <c r="O737" s="479"/>
      <c r="Q737" s="480"/>
      <c r="R737" s="481"/>
      <c r="T737" s="492"/>
      <c r="U737" s="249"/>
      <c r="V737" s="481"/>
    </row>
    <row r="738" ht="12.75" customHeight="1">
      <c r="M738" s="480"/>
      <c r="N738" s="249"/>
      <c r="O738" s="479"/>
      <c r="Q738" s="480"/>
      <c r="R738" s="481"/>
      <c r="T738" s="492"/>
      <c r="U738" s="249"/>
      <c r="V738" s="481"/>
    </row>
    <row r="739" ht="12.75" customHeight="1">
      <c r="M739" s="480"/>
      <c r="N739" s="249"/>
      <c r="O739" s="479"/>
      <c r="Q739" s="480"/>
      <c r="R739" s="481"/>
      <c r="T739" s="492"/>
      <c r="U739" s="249"/>
      <c r="V739" s="481"/>
    </row>
    <row r="740" ht="12.75" customHeight="1">
      <c r="M740" s="480"/>
      <c r="N740" s="249"/>
      <c r="O740" s="479"/>
      <c r="Q740" s="480"/>
      <c r="R740" s="481"/>
      <c r="T740" s="492"/>
      <c r="U740" s="249"/>
      <c r="V740" s="481"/>
    </row>
    <row r="741" ht="12.75" customHeight="1">
      <c r="M741" s="480"/>
      <c r="N741" s="249"/>
      <c r="O741" s="479"/>
      <c r="Q741" s="480"/>
      <c r="R741" s="481"/>
      <c r="T741" s="492"/>
      <c r="U741" s="249"/>
      <c r="V741" s="481"/>
    </row>
    <row r="742" ht="12.75" customHeight="1">
      <c r="M742" s="480"/>
      <c r="N742" s="249"/>
      <c r="O742" s="479"/>
      <c r="Q742" s="480"/>
      <c r="R742" s="481"/>
      <c r="T742" s="492"/>
      <c r="U742" s="249"/>
      <c r="V742" s="481"/>
    </row>
    <row r="743" ht="12.75" customHeight="1">
      <c r="M743" s="480"/>
      <c r="N743" s="249"/>
      <c r="O743" s="479"/>
      <c r="Q743" s="480"/>
      <c r="R743" s="481"/>
      <c r="T743" s="492"/>
      <c r="U743" s="249"/>
      <c r="V743" s="481"/>
    </row>
    <row r="744" ht="12.75" customHeight="1">
      <c r="M744" s="480"/>
      <c r="N744" s="249"/>
      <c r="O744" s="479"/>
      <c r="Q744" s="480"/>
      <c r="R744" s="481"/>
      <c r="T744" s="492"/>
      <c r="U744" s="249"/>
      <c r="V744" s="481"/>
    </row>
    <row r="745" ht="12.75" customHeight="1">
      <c r="M745" s="480"/>
      <c r="N745" s="249"/>
      <c r="O745" s="479"/>
      <c r="Q745" s="480"/>
      <c r="R745" s="481"/>
      <c r="T745" s="492"/>
      <c r="U745" s="249"/>
      <c r="V745" s="481"/>
    </row>
    <row r="746" ht="12.75" customHeight="1">
      <c r="M746" s="480"/>
      <c r="N746" s="249"/>
      <c r="O746" s="479"/>
      <c r="Q746" s="480"/>
      <c r="R746" s="481"/>
      <c r="T746" s="492"/>
      <c r="U746" s="249"/>
      <c r="V746" s="481"/>
    </row>
    <row r="747" ht="12.75" customHeight="1">
      <c r="M747" s="480"/>
      <c r="N747" s="249"/>
      <c r="O747" s="479"/>
      <c r="Q747" s="480"/>
      <c r="R747" s="481"/>
      <c r="T747" s="492"/>
      <c r="U747" s="249"/>
      <c r="V747" s="481"/>
    </row>
    <row r="748" ht="12.75" customHeight="1">
      <c r="M748" s="480"/>
      <c r="N748" s="249"/>
      <c r="O748" s="479"/>
      <c r="Q748" s="480"/>
      <c r="R748" s="481"/>
      <c r="T748" s="492"/>
      <c r="U748" s="249"/>
      <c r="V748" s="481"/>
    </row>
    <row r="749" ht="12.75" customHeight="1">
      <c r="M749" s="480"/>
      <c r="N749" s="249"/>
      <c r="O749" s="479"/>
      <c r="Q749" s="480"/>
      <c r="R749" s="481"/>
      <c r="T749" s="492"/>
      <c r="U749" s="249"/>
      <c r="V749" s="481"/>
    </row>
    <row r="750" ht="12.75" customHeight="1">
      <c r="M750" s="480"/>
      <c r="N750" s="249"/>
      <c r="O750" s="479"/>
      <c r="Q750" s="480"/>
      <c r="R750" s="481"/>
      <c r="T750" s="492"/>
      <c r="U750" s="249"/>
      <c r="V750" s="481"/>
    </row>
    <row r="751" ht="12.75" customHeight="1">
      <c r="M751" s="480"/>
      <c r="N751" s="249"/>
      <c r="O751" s="479"/>
      <c r="Q751" s="480"/>
      <c r="R751" s="481"/>
      <c r="T751" s="492"/>
      <c r="U751" s="249"/>
      <c r="V751" s="481"/>
    </row>
    <row r="752" ht="12.75" customHeight="1">
      <c r="M752" s="480"/>
      <c r="N752" s="249"/>
      <c r="O752" s="479"/>
      <c r="Q752" s="480"/>
      <c r="R752" s="481"/>
      <c r="T752" s="492"/>
      <c r="U752" s="249"/>
      <c r="V752" s="481"/>
    </row>
    <row r="753" ht="12.75" customHeight="1">
      <c r="M753" s="480"/>
      <c r="N753" s="249"/>
      <c r="O753" s="479"/>
      <c r="Q753" s="480"/>
      <c r="R753" s="481"/>
      <c r="T753" s="492"/>
      <c r="U753" s="249"/>
      <c r="V753" s="481"/>
    </row>
    <row r="754" ht="12.75" customHeight="1">
      <c r="M754" s="480"/>
      <c r="N754" s="249"/>
      <c r="O754" s="479"/>
      <c r="Q754" s="480"/>
      <c r="R754" s="481"/>
      <c r="T754" s="492"/>
      <c r="U754" s="249"/>
      <c r="V754" s="481"/>
    </row>
    <row r="755" ht="12.75" customHeight="1">
      <c r="M755" s="480"/>
      <c r="N755" s="249"/>
      <c r="O755" s="479"/>
      <c r="Q755" s="480"/>
      <c r="R755" s="481"/>
      <c r="T755" s="492"/>
      <c r="U755" s="249"/>
      <c r="V755" s="481"/>
    </row>
    <row r="756" ht="12.75" customHeight="1">
      <c r="M756" s="480"/>
      <c r="N756" s="249"/>
      <c r="O756" s="479"/>
      <c r="Q756" s="480"/>
      <c r="R756" s="481"/>
      <c r="T756" s="492"/>
      <c r="U756" s="249"/>
      <c r="V756" s="481"/>
    </row>
    <row r="757" ht="12.75" customHeight="1">
      <c r="M757" s="480"/>
      <c r="N757" s="249"/>
      <c r="O757" s="479"/>
      <c r="Q757" s="480"/>
      <c r="R757" s="481"/>
      <c r="T757" s="492"/>
      <c r="U757" s="249"/>
      <c r="V757" s="481"/>
    </row>
    <row r="758" ht="12.75" customHeight="1">
      <c r="M758" s="480"/>
      <c r="N758" s="249"/>
      <c r="O758" s="479"/>
      <c r="Q758" s="480"/>
      <c r="R758" s="481"/>
      <c r="T758" s="492"/>
      <c r="U758" s="249"/>
      <c r="V758" s="481"/>
    </row>
    <row r="759" ht="12.75" customHeight="1">
      <c r="M759" s="480"/>
      <c r="N759" s="249"/>
      <c r="O759" s="479"/>
      <c r="Q759" s="480"/>
      <c r="R759" s="481"/>
      <c r="T759" s="492"/>
      <c r="U759" s="249"/>
      <c r="V759" s="481"/>
    </row>
    <row r="760" ht="12.75" customHeight="1">
      <c r="M760" s="480"/>
      <c r="N760" s="249"/>
      <c r="O760" s="479"/>
      <c r="Q760" s="480"/>
      <c r="R760" s="481"/>
      <c r="T760" s="492"/>
      <c r="U760" s="249"/>
      <c r="V760" s="481"/>
    </row>
    <row r="761" ht="12.75" customHeight="1">
      <c r="M761" s="480"/>
      <c r="N761" s="249"/>
      <c r="O761" s="479"/>
      <c r="Q761" s="480"/>
      <c r="R761" s="481"/>
      <c r="T761" s="492"/>
      <c r="U761" s="249"/>
      <c r="V761" s="481"/>
    </row>
    <row r="762" ht="12.75" customHeight="1">
      <c r="M762" s="480"/>
      <c r="N762" s="249"/>
      <c r="O762" s="479"/>
      <c r="Q762" s="480"/>
      <c r="R762" s="481"/>
      <c r="T762" s="492"/>
      <c r="U762" s="249"/>
      <c r="V762" s="481"/>
    </row>
    <row r="763" ht="12.75" customHeight="1">
      <c r="M763" s="480"/>
      <c r="N763" s="249"/>
      <c r="O763" s="479"/>
      <c r="Q763" s="480"/>
      <c r="R763" s="481"/>
      <c r="T763" s="492"/>
      <c r="U763" s="249"/>
      <c r="V763" s="481"/>
    </row>
    <row r="764" ht="12.75" customHeight="1">
      <c r="M764" s="480"/>
      <c r="N764" s="249"/>
      <c r="O764" s="479"/>
      <c r="Q764" s="480"/>
      <c r="R764" s="481"/>
      <c r="T764" s="492"/>
      <c r="U764" s="249"/>
      <c r="V764" s="481"/>
    </row>
    <row r="765" ht="12.75" customHeight="1">
      <c r="M765" s="480"/>
      <c r="N765" s="249"/>
      <c r="O765" s="479"/>
      <c r="Q765" s="480"/>
      <c r="R765" s="481"/>
      <c r="T765" s="492"/>
      <c r="U765" s="249"/>
      <c r="V765" s="481"/>
    </row>
    <row r="766" ht="12.75" customHeight="1">
      <c r="M766" s="480"/>
      <c r="N766" s="249"/>
      <c r="O766" s="479"/>
      <c r="Q766" s="480"/>
      <c r="R766" s="481"/>
      <c r="T766" s="492"/>
      <c r="U766" s="249"/>
      <c r="V766" s="481"/>
    </row>
    <row r="767" ht="12.75" customHeight="1">
      <c r="M767" s="480"/>
      <c r="N767" s="249"/>
      <c r="O767" s="479"/>
      <c r="Q767" s="480"/>
      <c r="R767" s="481"/>
      <c r="T767" s="492"/>
      <c r="U767" s="249"/>
      <c r="V767" s="481"/>
    </row>
    <row r="768" ht="12.75" customHeight="1">
      <c r="M768" s="480"/>
      <c r="N768" s="249"/>
      <c r="O768" s="479"/>
      <c r="Q768" s="480"/>
      <c r="R768" s="481"/>
      <c r="T768" s="492"/>
      <c r="U768" s="249"/>
      <c r="V768" s="481"/>
    </row>
    <row r="769" ht="12.75" customHeight="1">
      <c r="M769" s="480"/>
      <c r="N769" s="249"/>
      <c r="O769" s="479"/>
      <c r="Q769" s="480"/>
      <c r="R769" s="481"/>
      <c r="T769" s="492"/>
      <c r="U769" s="249"/>
      <c r="V769" s="481"/>
    </row>
    <row r="770" ht="12.75" customHeight="1">
      <c r="M770" s="480"/>
      <c r="N770" s="249"/>
      <c r="O770" s="479"/>
      <c r="Q770" s="480"/>
      <c r="R770" s="481"/>
      <c r="T770" s="492"/>
      <c r="U770" s="249"/>
      <c r="V770" s="481"/>
    </row>
    <row r="771" ht="12.75" customHeight="1">
      <c r="M771" s="480"/>
      <c r="N771" s="249"/>
      <c r="O771" s="479"/>
      <c r="Q771" s="480"/>
      <c r="R771" s="481"/>
      <c r="T771" s="492"/>
      <c r="U771" s="249"/>
      <c r="V771" s="481"/>
    </row>
    <row r="772" ht="12.75" customHeight="1">
      <c r="M772" s="480"/>
      <c r="N772" s="249"/>
      <c r="O772" s="479"/>
      <c r="Q772" s="480"/>
      <c r="R772" s="481"/>
      <c r="T772" s="492"/>
      <c r="U772" s="249"/>
      <c r="V772" s="481"/>
    </row>
    <row r="773" ht="12.75" customHeight="1">
      <c r="M773" s="480"/>
      <c r="N773" s="249"/>
      <c r="O773" s="479"/>
      <c r="Q773" s="480"/>
      <c r="R773" s="481"/>
      <c r="T773" s="492"/>
      <c r="U773" s="249"/>
      <c r="V773" s="481"/>
    </row>
    <row r="774" ht="12.75" customHeight="1">
      <c r="M774" s="480"/>
      <c r="N774" s="249"/>
      <c r="O774" s="479"/>
      <c r="Q774" s="480"/>
      <c r="R774" s="481"/>
      <c r="T774" s="492"/>
      <c r="U774" s="249"/>
      <c r="V774" s="481"/>
    </row>
    <row r="775" ht="12.75" customHeight="1">
      <c r="M775" s="480"/>
      <c r="N775" s="249"/>
      <c r="O775" s="479"/>
      <c r="Q775" s="480"/>
      <c r="R775" s="481"/>
      <c r="T775" s="492"/>
      <c r="U775" s="249"/>
      <c r="V775" s="481"/>
    </row>
    <row r="776" ht="12.75" customHeight="1">
      <c r="M776" s="480"/>
      <c r="N776" s="249"/>
      <c r="O776" s="479"/>
      <c r="Q776" s="480"/>
      <c r="R776" s="481"/>
      <c r="T776" s="492"/>
      <c r="U776" s="249"/>
      <c r="V776" s="481"/>
    </row>
    <row r="777" ht="12.75" customHeight="1">
      <c r="M777" s="480"/>
      <c r="N777" s="249"/>
      <c r="O777" s="479"/>
      <c r="Q777" s="480"/>
      <c r="R777" s="481"/>
      <c r="T777" s="492"/>
      <c r="U777" s="249"/>
      <c r="V777" s="481"/>
    </row>
    <row r="778" ht="12.75" customHeight="1">
      <c r="M778" s="480"/>
      <c r="N778" s="249"/>
      <c r="O778" s="479"/>
      <c r="Q778" s="480"/>
      <c r="R778" s="481"/>
      <c r="T778" s="492"/>
      <c r="U778" s="249"/>
      <c r="V778" s="481"/>
    </row>
    <row r="779" ht="12.75" customHeight="1">
      <c r="M779" s="480"/>
      <c r="N779" s="249"/>
      <c r="O779" s="479"/>
      <c r="Q779" s="480"/>
      <c r="R779" s="481"/>
      <c r="T779" s="492"/>
      <c r="U779" s="249"/>
      <c r="V779" s="481"/>
    </row>
    <row r="780" ht="12.75" customHeight="1">
      <c r="M780" s="480"/>
      <c r="N780" s="249"/>
      <c r="O780" s="479"/>
      <c r="Q780" s="480"/>
      <c r="R780" s="481"/>
      <c r="T780" s="492"/>
      <c r="U780" s="249"/>
      <c r="V780" s="481"/>
    </row>
    <row r="781" ht="12.75" customHeight="1">
      <c r="M781" s="480"/>
      <c r="N781" s="249"/>
      <c r="O781" s="479"/>
      <c r="Q781" s="480"/>
      <c r="R781" s="481"/>
      <c r="T781" s="492"/>
      <c r="U781" s="249"/>
      <c r="V781" s="481"/>
    </row>
    <row r="782" ht="12.75" customHeight="1">
      <c r="M782" s="480"/>
      <c r="N782" s="249"/>
      <c r="O782" s="479"/>
      <c r="Q782" s="480"/>
      <c r="R782" s="481"/>
      <c r="T782" s="492"/>
      <c r="U782" s="249"/>
      <c r="V782" s="481"/>
    </row>
    <row r="783" ht="12.75" customHeight="1">
      <c r="M783" s="480"/>
      <c r="N783" s="249"/>
      <c r="O783" s="479"/>
      <c r="Q783" s="480"/>
      <c r="R783" s="481"/>
      <c r="T783" s="492"/>
      <c r="U783" s="249"/>
      <c r="V783" s="481"/>
    </row>
    <row r="784" ht="12.75" customHeight="1">
      <c r="M784" s="480"/>
      <c r="N784" s="249"/>
      <c r="O784" s="479"/>
      <c r="Q784" s="480"/>
      <c r="R784" s="481"/>
      <c r="T784" s="492"/>
      <c r="U784" s="249"/>
      <c r="V784" s="481"/>
    </row>
    <row r="785" ht="12.75" customHeight="1">
      <c r="M785" s="480"/>
      <c r="N785" s="249"/>
      <c r="O785" s="479"/>
      <c r="Q785" s="480"/>
      <c r="R785" s="481"/>
      <c r="T785" s="492"/>
      <c r="U785" s="249"/>
      <c r="V785" s="481"/>
    </row>
    <row r="786" ht="12.75" customHeight="1">
      <c r="M786" s="480"/>
      <c r="N786" s="249"/>
      <c r="O786" s="479"/>
      <c r="Q786" s="480"/>
      <c r="R786" s="481"/>
      <c r="T786" s="492"/>
      <c r="U786" s="249"/>
      <c r="V786" s="481"/>
    </row>
    <row r="787" ht="12.75" customHeight="1">
      <c r="M787" s="480"/>
      <c r="N787" s="249"/>
      <c r="O787" s="479"/>
      <c r="Q787" s="480"/>
      <c r="R787" s="481"/>
      <c r="T787" s="492"/>
      <c r="U787" s="249"/>
      <c r="V787" s="481"/>
    </row>
    <row r="788" ht="12.75" customHeight="1">
      <c r="M788" s="480"/>
      <c r="N788" s="249"/>
      <c r="O788" s="479"/>
      <c r="Q788" s="480"/>
      <c r="R788" s="481"/>
      <c r="T788" s="492"/>
      <c r="U788" s="249"/>
      <c r="V788" s="481"/>
    </row>
    <row r="789" ht="12.75" customHeight="1">
      <c r="M789" s="480"/>
      <c r="N789" s="249"/>
      <c r="O789" s="479"/>
      <c r="Q789" s="480"/>
      <c r="R789" s="481"/>
      <c r="T789" s="492"/>
      <c r="U789" s="249"/>
      <c r="V789" s="481"/>
    </row>
    <row r="790" ht="12.75" customHeight="1">
      <c r="M790" s="480"/>
      <c r="N790" s="249"/>
      <c r="O790" s="479"/>
      <c r="Q790" s="480"/>
      <c r="R790" s="481"/>
      <c r="T790" s="492"/>
      <c r="U790" s="249"/>
      <c r="V790" s="481"/>
    </row>
    <row r="791" ht="12.75" customHeight="1">
      <c r="M791" s="480"/>
      <c r="N791" s="249"/>
      <c r="O791" s="479"/>
      <c r="Q791" s="480"/>
      <c r="R791" s="481"/>
      <c r="T791" s="492"/>
      <c r="U791" s="249"/>
      <c r="V791" s="481"/>
    </row>
    <row r="792" ht="12.75" customHeight="1">
      <c r="M792" s="480"/>
      <c r="N792" s="249"/>
      <c r="O792" s="479"/>
      <c r="Q792" s="480"/>
      <c r="R792" s="481"/>
      <c r="T792" s="492"/>
      <c r="U792" s="249"/>
      <c r="V792" s="481"/>
    </row>
    <row r="793" ht="12.75" customHeight="1">
      <c r="M793" s="480"/>
      <c r="N793" s="249"/>
      <c r="O793" s="479"/>
      <c r="Q793" s="480"/>
      <c r="R793" s="481"/>
      <c r="T793" s="492"/>
      <c r="U793" s="249"/>
      <c r="V793" s="481"/>
    </row>
    <row r="794" ht="12.75" customHeight="1">
      <c r="M794" s="480"/>
      <c r="N794" s="249"/>
      <c r="O794" s="479"/>
      <c r="Q794" s="480"/>
      <c r="R794" s="481"/>
      <c r="T794" s="492"/>
      <c r="U794" s="249"/>
      <c r="V794" s="481"/>
    </row>
    <row r="795" ht="12.75" customHeight="1">
      <c r="M795" s="480"/>
      <c r="N795" s="249"/>
      <c r="O795" s="479"/>
      <c r="Q795" s="480"/>
      <c r="R795" s="481"/>
      <c r="T795" s="492"/>
      <c r="U795" s="249"/>
      <c r="V795" s="481"/>
    </row>
    <row r="796" ht="12.75" customHeight="1">
      <c r="M796" s="480"/>
      <c r="N796" s="249"/>
      <c r="O796" s="479"/>
      <c r="Q796" s="480"/>
      <c r="R796" s="481"/>
      <c r="T796" s="492"/>
      <c r="U796" s="249"/>
      <c r="V796" s="481"/>
    </row>
    <row r="797" ht="12.75" customHeight="1">
      <c r="M797" s="480"/>
      <c r="N797" s="249"/>
      <c r="O797" s="479"/>
      <c r="Q797" s="480"/>
      <c r="R797" s="481"/>
      <c r="T797" s="492"/>
      <c r="U797" s="249"/>
      <c r="V797" s="481"/>
    </row>
    <row r="798" ht="12.75" customHeight="1">
      <c r="M798" s="480"/>
      <c r="N798" s="249"/>
      <c r="O798" s="479"/>
      <c r="Q798" s="480"/>
      <c r="R798" s="481"/>
      <c r="T798" s="492"/>
      <c r="U798" s="249"/>
      <c r="V798" s="481"/>
    </row>
    <row r="799" ht="12.75" customHeight="1">
      <c r="M799" s="480"/>
      <c r="N799" s="249"/>
      <c r="O799" s="479"/>
      <c r="Q799" s="480"/>
      <c r="R799" s="481"/>
      <c r="T799" s="492"/>
      <c r="U799" s="249"/>
      <c r="V799" s="481"/>
    </row>
    <row r="800" ht="12.75" customHeight="1">
      <c r="M800" s="480"/>
      <c r="N800" s="249"/>
      <c r="O800" s="479"/>
      <c r="Q800" s="480"/>
      <c r="R800" s="481"/>
      <c r="T800" s="492"/>
      <c r="U800" s="249"/>
      <c r="V800" s="481"/>
    </row>
    <row r="801" ht="12.75" customHeight="1">
      <c r="M801" s="480"/>
      <c r="N801" s="249"/>
      <c r="O801" s="479"/>
      <c r="Q801" s="480"/>
      <c r="R801" s="481"/>
      <c r="T801" s="492"/>
      <c r="U801" s="249"/>
      <c r="V801" s="481"/>
    </row>
    <row r="802" ht="12.75" customHeight="1">
      <c r="M802" s="480"/>
      <c r="N802" s="249"/>
      <c r="O802" s="479"/>
      <c r="Q802" s="480"/>
      <c r="R802" s="481"/>
      <c r="T802" s="492"/>
      <c r="U802" s="249"/>
      <c r="V802" s="481"/>
    </row>
    <row r="803" ht="12.75" customHeight="1">
      <c r="M803" s="480"/>
      <c r="N803" s="249"/>
      <c r="O803" s="479"/>
      <c r="Q803" s="480"/>
      <c r="R803" s="481"/>
      <c r="T803" s="492"/>
      <c r="U803" s="249"/>
      <c r="V803" s="481"/>
    </row>
    <row r="804" ht="12.75" customHeight="1">
      <c r="M804" s="480"/>
      <c r="N804" s="249"/>
      <c r="O804" s="479"/>
      <c r="Q804" s="480"/>
      <c r="R804" s="481"/>
      <c r="T804" s="492"/>
      <c r="U804" s="249"/>
      <c r="V804" s="481"/>
    </row>
    <row r="805" ht="12.75" customHeight="1">
      <c r="M805" s="480"/>
      <c r="N805" s="249"/>
      <c r="O805" s="479"/>
      <c r="Q805" s="480"/>
      <c r="R805" s="481"/>
      <c r="T805" s="492"/>
      <c r="U805" s="249"/>
      <c r="V805" s="481"/>
    </row>
    <row r="806" ht="12.75" customHeight="1">
      <c r="M806" s="480"/>
      <c r="N806" s="249"/>
      <c r="O806" s="479"/>
      <c r="Q806" s="480"/>
      <c r="R806" s="481"/>
      <c r="T806" s="492"/>
      <c r="U806" s="249"/>
      <c r="V806" s="481"/>
    </row>
    <row r="807" ht="12.75" customHeight="1">
      <c r="M807" s="480"/>
      <c r="N807" s="249"/>
      <c r="O807" s="479"/>
      <c r="Q807" s="480"/>
      <c r="R807" s="481"/>
      <c r="T807" s="492"/>
      <c r="U807" s="249"/>
      <c r="V807" s="481"/>
    </row>
    <row r="808" ht="12.75" customHeight="1">
      <c r="M808" s="480"/>
      <c r="N808" s="249"/>
      <c r="O808" s="479"/>
      <c r="Q808" s="480"/>
      <c r="R808" s="481"/>
      <c r="T808" s="492"/>
      <c r="U808" s="249"/>
      <c r="V808" s="481"/>
    </row>
    <row r="809" ht="12.75" customHeight="1">
      <c r="M809" s="480"/>
      <c r="N809" s="249"/>
      <c r="O809" s="479"/>
      <c r="Q809" s="480"/>
      <c r="R809" s="481"/>
      <c r="T809" s="492"/>
      <c r="U809" s="249"/>
      <c r="V809" s="481"/>
    </row>
    <row r="810" ht="12.75" customHeight="1">
      <c r="M810" s="480"/>
      <c r="N810" s="249"/>
      <c r="O810" s="479"/>
      <c r="Q810" s="480"/>
      <c r="R810" s="481"/>
      <c r="T810" s="492"/>
      <c r="U810" s="249"/>
      <c r="V810" s="481"/>
    </row>
    <row r="811" ht="12.75" customHeight="1">
      <c r="M811" s="480"/>
      <c r="N811" s="249"/>
      <c r="O811" s="479"/>
      <c r="Q811" s="480"/>
      <c r="R811" s="481"/>
      <c r="T811" s="492"/>
      <c r="U811" s="249"/>
      <c r="V811" s="481"/>
    </row>
    <row r="812" ht="12.75" customHeight="1">
      <c r="M812" s="480"/>
      <c r="N812" s="249"/>
      <c r="O812" s="479"/>
      <c r="Q812" s="480"/>
      <c r="R812" s="481"/>
      <c r="T812" s="492"/>
      <c r="U812" s="249"/>
      <c r="V812" s="481"/>
    </row>
    <row r="813" ht="12.75" customHeight="1">
      <c r="M813" s="480"/>
      <c r="N813" s="249"/>
      <c r="O813" s="479"/>
      <c r="Q813" s="480"/>
      <c r="R813" s="481"/>
      <c r="T813" s="492"/>
      <c r="U813" s="249"/>
      <c r="V813" s="481"/>
    </row>
    <row r="814" ht="12.75" customHeight="1">
      <c r="M814" s="480"/>
      <c r="N814" s="249"/>
      <c r="O814" s="479"/>
      <c r="Q814" s="480"/>
      <c r="R814" s="481"/>
      <c r="T814" s="492"/>
      <c r="U814" s="249"/>
      <c r="V814" s="481"/>
    </row>
    <row r="815" ht="12.75" customHeight="1">
      <c r="M815" s="480"/>
      <c r="N815" s="249"/>
      <c r="O815" s="479"/>
      <c r="Q815" s="480"/>
      <c r="R815" s="481"/>
      <c r="T815" s="492"/>
      <c r="U815" s="249"/>
      <c r="V815" s="481"/>
    </row>
    <row r="816" ht="12.75" customHeight="1">
      <c r="M816" s="480"/>
      <c r="N816" s="249"/>
      <c r="O816" s="479"/>
      <c r="Q816" s="480"/>
      <c r="R816" s="481"/>
      <c r="T816" s="492"/>
      <c r="U816" s="249"/>
      <c r="V816" s="481"/>
    </row>
    <row r="817" ht="12.75" customHeight="1">
      <c r="M817" s="480"/>
      <c r="N817" s="249"/>
      <c r="O817" s="479"/>
      <c r="Q817" s="480"/>
      <c r="R817" s="481"/>
      <c r="T817" s="492"/>
      <c r="U817" s="249"/>
      <c r="V817" s="481"/>
    </row>
    <row r="818" ht="12.75" customHeight="1">
      <c r="M818" s="480"/>
      <c r="N818" s="249"/>
      <c r="O818" s="479"/>
      <c r="Q818" s="480"/>
      <c r="R818" s="481"/>
      <c r="T818" s="492"/>
      <c r="U818" s="249"/>
      <c r="V818" s="481"/>
    </row>
    <row r="819" ht="12.75" customHeight="1">
      <c r="M819" s="480"/>
      <c r="N819" s="249"/>
      <c r="O819" s="479"/>
      <c r="Q819" s="480"/>
      <c r="R819" s="481"/>
      <c r="T819" s="492"/>
      <c r="U819" s="249"/>
      <c r="V819" s="481"/>
    </row>
    <row r="820" ht="12.75" customHeight="1">
      <c r="M820" s="480"/>
      <c r="N820" s="249"/>
      <c r="O820" s="479"/>
      <c r="Q820" s="480"/>
      <c r="R820" s="481"/>
      <c r="T820" s="492"/>
      <c r="U820" s="249"/>
      <c r="V820" s="481"/>
    </row>
    <row r="821" ht="12.75" customHeight="1">
      <c r="M821" s="480"/>
      <c r="N821" s="249"/>
      <c r="O821" s="479"/>
      <c r="Q821" s="480"/>
      <c r="R821" s="481"/>
      <c r="T821" s="492"/>
      <c r="U821" s="249"/>
      <c r="V821" s="481"/>
    </row>
    <row r="822" ht="12.75" customHeight="1">
      <c r="M822" s="480"/>
      <c r="N822" s="249"/>
      <c r="O822" s="479"/>
      <c r="Q822" s="480"/>
      <c r="R822" s="481"/>
      <c r="T822" s="492"/>
      <c r="U822" s="249"/>
      <c r="V822" s="481"/>
    </row>
    <row r="823" ht="12.75" customHeight="1">
      <c r="M823" s="480"/>
      <c r="N823" s="249"/>
      <c r="O823" s="479"/>
      <c r="Q823" s="480"/>
      <c r="R823" s="481"/>
      <c r="T823" s="492"/>
      <c r="U823" s="249"/>
      <c r="V823" s="481"/>
    </row>
    <row r="824" ht="12.75" customHeight="1">
      <c r="M824" s="480"/>
      <c r="N824" s="249"/>
      <c r="O824" s="479"/>
      <c r="Q824" s="480"/>
      <c r="R824" s="481"/>
      <c r="T824" s="492"/>
      <c r="U824" s="249"/>
      <c r="V824" s="481"/>
    </row>
    <row r="825" ht="12.75" customHeight="1">
      <c r="M825" s="480"/>
      <c r="N825" s="249"/>
      <c r="O825" s="479"/>
      <c r="Q825" s="480"/>
      <c r="R825" s="481"/>
      <c r="T825" s="492"/>
      <c r="U825" s="249"/>
      <c r="V825" s="481"/>
    </row>
    <row r="826" ht="12.75" customHeight="1">
      <c r="M826" s="480"/>
      <c r="N826" s="249"/>
      <c r="O826" s="479"/>
      <c r="Q826" s="480"/>
      <c r="R826" s="481"/>
      <c r="T826" s="492"/>
      <c r="U826" s="249"/>
      <c r="V826" s="481"/>
    </row>
    <row r="827" ht="12.75" customHeight="1">
      <c r="M827" s="480"/>
      <c r="N827" s="249"/>
      <c r="O827" s="479"/>
      <c r="Q827" s="480"/>
      <c r="R827" s="481"/>
      <c r="T827" s="492"/>
      <c r="U827" s="249"/>
      <c r="V827" s="481"/>
    </row>
    <row r="828" ht="12.75" customHeight="1">
      <c r="M828" s="480"/>
      <c r="N828" s="249"/>
      <c r="O828" s="479"/>
      <c r="Q828" s="480"/>
      <c r="R828" s="481"/>
      <c r="T828" s="492"/>
      <c r="U828" s="249"/>
      <c r="V828" s="481"/>
    </row>
    <row r="829" ht="12.75" customHeight="1">
      <c r="M829" s="480"/>
      <c r="N829" s="249"/>
      <c r="O829" s="479"/>
      <c r="Q829" s="480"/>
      <c r="R829" s="481"/>
      <c r="T829" s="492"/>
      <c r="U829" s="249"/>
      <c r="V829" s="481"/>
    </row>
    <row r="830" ht="12.75" customHeight="1">
      <c r="M830" s="480"/>
      <c r="N830" s="249"/>
      <c r="O830" s="479"/>
      <c r="Q830" s="480"/>
      <c r="R830" s="481"/>
      <c r="T830" s="492"/>
      <c r="U830" s="249"/>
      <c r="V830" s="481"/>
    </row>
    <row r="831" ht="12.75" customHeight="1">
      <c r="M831" s="480"/>
      <c r="N831" s="249"/>
      <c r="O831" s="479"/>
      <c r="Q831" s="480"/>
      <c r="R831" s="481"/>
      <c r="T831" s="492"/>
      <c r="U831" s="249"/>
      <c r="V831" s="481"/>
    </row>
    <row r="832" ht="12.75" customHeight="1">
      <c r="M832" s="480"/>
      <c r="N832" s="249"/>
      <c r="O832" s="479"/>
      <c r="Q832" s="480"/>
      <c r="R832" s="481"/>
      <c r="T832" s="492"/>
      <c r="U832" s="249"/>
      <c r="V832" s="481"/>
    </row>
    <row r="833" ht="12.75" customHeight="1">
      <c r="M833" s="480"/>
      <c r="N833" s="249"/>
      <c r="O833" s="479"/>
      <c r="Q833" s="480"/>
      <c r="R833" s="481"/>
      <c r="T833" s="492"/>
      <c r="U833" s="249"/>
      <c r="V833" s="481"/>
    </row>
    <row r="834" ht="12.75" customHeight="1">
      <c r="M834" s="480"/>
      <c r="N834" s="249"/>
      <c r="O834" s="479"/>
      <c r="Q834" s="480"/>
      <c r="R834" s="481"/>
      <c r="T834" s="492"/>
      <c r="U834" s="249"/>
      <c r="V834" s="481"/>
    </row>
    <row r="835" ht="12.75" customHeight="1">
      <c r="M835" s="480"/>
      <c r="N835" s="249"/>
      <c r="O835" s="479"/>
      <c r="Q835" s="480"/>
      <c r="R835" s="481"/>
      <c r="T835" s="492"/>
      <c r="U835" s="249"/>
      <c r="V835" s="481"/>
    </row>
    <row r="836" ht="12.75" customHeight="1">
      <c r="M836" s="480"/>
      <c r="N836" s="249"/>
      <c r="O836" s="479"/>
      <c r="Q836" s="480"/>
      <c r="R836" s="481"/>
      <c r="T836" s="492"/>
      <c r="U836" s="249"/>
      <c r="V836" s="481"/>
    </row>
    <row r="837" ht="12.75" customHeight="1">
      <c r="M837" s="480"/>
      <c r="N837" s="249"/>
      <c r="O837" s="479"/>
      <c r="Q837" s="480"/>
      <c r="R837" s="481"/>
      <c r="T837" s="492"/>
      <c r="U837" s="249"/>
      <c r="V837" s="481"/>
    </row>
    <row r="838" ht="12.75" customHeight="1">
      <c r="M838" s="480"/>
      <c r="N838" s="249"/>
      <c r="O838" s="479"/>
      <c r="Q838" s="480"/>
      <c r="R838" s="481"/>
      <c r="T838" s="492"/>
      <c r="U838" s="249"/>
      <c r="V838" s="481"/>
    </row>
    <row r="839" ht="12.75" customHeight="1">
      <c r="M839" s="480"/>
      <c r="N839" s="249"/>
      <c r="O839" s="479"/>
      <c r="Q839" s="480"/>
      <c r="R839" s="481"/>
      <c r="T839" s="492"/>
      <c r="U839" s="249"/>
      <c r="V839" s="481"/>
    </row>
    <row r="840" ht="12.75" customHeight="1">
      <c r="M840" s="480"/>
      <c r="N840" s="249"/>
      <c r="O840" s="479"/>
      <c r="Q840" s="480"/>
      <c r="R840" s="481"/>
      <c r="T840" s="492"/>
      <c r="U840" s="249"/>
      <c r="V840" s="481"/>
    </row>
    <row r="841" ht="12.75" customHeight="1">
      <c r="M841" s="480"/>
      <c r="N841" s="249"/>
      <c r="O841" s="479"/>
      <c r="Q841" s="480"/>
      <c r="R841" s="481"/>
      <c r="T841" s="492"/>
      <c r="U841" s="249"/>
      <c r="V841" s="481"/>
    </row>
    <row r="842" ht="12.75" customHeight="1">
      <c r="M842" s="480"/>
      <c r="N842" s="249"/>
      <c r="O842" s="479"/>
      <c r="Q842" s="480"/>
      <c r="R842" s="481"/>
      <c r="T842" s="492"/>
      <c r="U842" s="249"/>
      <c r="V842" s="481"/>
    </row>
    <row r="843" ht="12.75" customHeight="1">
      <c r="M843" s="480"/>
      <c r="N843" s="249"/>
      <c r="O843" s="479"/>
      <c r="Q843" s="480"/>
      <c r="R843" s="481"/>
      <c r="T843" s="492"/>
      <c r="U843" s="249"/>
      <c r="V843" s="481"/>
    </row>
    <row r="844" ht="12.75" customHeight="1">
      <c r="M844" s="480"/>
      <c r="N844" s="249"/>
      <c r="O844" s="479"/>
      <c r="Q844" s="480"/>
      <c r="R844" s="481"/>
      <c r="T844" s="492"/>
      <c r="U844" s="249"/>
      <c r="V844" s="481"/>
    </row>
    <row r="845" ht="12.75" customHeight="1">
      <c r="M845" s="480"/>
      <c r="N845" s="249"/>
      <c r="O845" s="479"/>
      <c r="Q845" s="480"/>
      <c r="R845" s="481"/>
      <c r="T845" s="492"/>
      <c r="U845" s="249"/>
      <c r="V845" s="481"/>
    </row>
    <row r="846" ht="12.75" customHeight="1">
      <c r="M846" s="480"/>
      <c r="N846" s="249"/>
      <c r="O846" s="479"/>
      <c r="Q846" s="480"/>
      <c r="R846" s="481"/>
      <c r="T846" s="492"/>
      <c r="U846" s="249"/>
      <c r="V846" s="481"/>
    </row>
    <row r="847" ht="12.75" customHeight="1">
      <c r="M847" s="480"/>
      <c r="N847" s="249"/>
      <c r="O847" s="479"/>
      <c r="Q847" s="480"/>
      <c r="R847" s="481"/>
      <c r="T847" s="492"/>
      <c r="U847" s="249"/>
      <c r="V847" s="481"/>
    </row>
    <row r="848" ht="12.75" customHeight="1">
      <c r="M848" s="480"/>
      <c r="N848" s="249"/>
      <c r="O848" s="479"/>
      <c r="Q848" s="480"/>
      <c r="R848" s="481"/>
      <c r="T848" s="492"/>
      <c r="U848" s="249"/>
      <c r="V848" s="481"/>
    </row>
    <row r="849" ht="12.75" customHeight="1">
      <c r="M849" s="480"/>
      <c r="N849" s="249"/>
      <c r="O849" s="479"/>
      <c r="Q849" s="480"/>
      <c r="R849" s="481"/>
      <c r="T849" s="492"/>
      <c r="U849" s="249"/>
      <c r="V849" s="481"/>
    </row>
    <row r="850" ht="12.75" customHeight="1">
      <c r="M850" s="480"/>
      <c r="N850" s="249"/>
      <c r="O850" s="479"/>
      <c r="Q850" s="480"/>
      <c r="R850" s="481"/>
      <c r="T850" s="492"/>
      <c r="U850" s="249"/>
      <c r="V850" s="481"/>
    </row>
    <row r="851" ht="12.75" customHeight="1">
      <c r="M851" s="480"/>
      <c r="N851" s="249"/>
      <c r="O851" s="479"/>
      <c r="Q851" s="480"/>
      <c r="R851" s="481"/>
      <c r="T851" s="492"/>
      <c r="U851" s="249"/>
      <c r="V851" s="481"/>
    </row>
    <row r="852" ht="12.75" customHeight="1">
      <c r="M852" s="480"/>
      <c r="N852" s="249"/>
      <c r="O852" s="479"/>
      <c r="Q852" s="480"/>
      <c r="R852" s="481"/>
      <c r="T852" s="492"/>
      <c r="U852" s="249"/>
      <c r="V852" s="481"/>
    </row>
    <row r="853" ht="12.75" customHeight="1">
      <c r="M853" s="480"/>
      <c r="N853" s="249"/>
      <c r="O853" s="479"/>
      <c r="Q853" s="480"/>
      <c r="R853" s="481"/>
      <c r="T853" s="492"/>
      <c r="U853" s="249"/>
      <c r="V853" s="481"/>
    </row>
    <row r="854" ht="12.75" customHeight="1">
      <c r="M854" s="480"/>
      <c r="N854" s="249"/>
      <c r="O854" s="479"/>
      <c r="Q854" s="480"/>
      <c r="R854" s="481"/>
      <c r="T854" s="492"/>
      <c r="U854" s="249"/>
      <c r="V854" s="481"/>
    </row>
    <row r="855" ht="12.75" customHeight="1">
      <c r="M855" s="480"/>
      <c r="N855" s="249"/>
      <c r="O855" s="479"/>
      <c r="Q855" s="480"/>
      <c r="R855" s="481"/>
      <c r="T855" s="492"/>
      <c r="U855" s="249"/>
      <c r="V855" s="481"/>
    </row>
    <row r="856" ht="12.75" customHeight="1">
      <c r="M856" s="480"/>
      <c r="N856" s="249"/>
      <c r="O856" s="479"/>
      <c r="Q856" s="480"/>
      <c r="R856" s="481"/>
      <c r="T856" s="492"/>
      <c r="U856" s="249"/>
      <c r="V856" s="481"/>
    </row>
    <row r="857" ht="12.75" customHeight="1">
      <c r="M857" s="480"/>
      <c r="N857" s="249"/>
      <c r="O857" s="479"/>
      <c r="Q857" s="480"/>
      <c r="R857" s="481"/>
      <c r="T857" s="492"/>
      <c r="U857" s="249"/>
      <c r="V857" s="481"/>
    </row>
    <row r="858" ht="12.75" customHeight="1">
      <c r="M858" s="480"/>
      <c r="N858" s="249"/>
      <c r="O858" s="479"/>
      <c r="Q858" s="480"/>
      <c r="R858" s="481"/>
      <c r="T858" s="492"/>
      <c r="U858" s="249"/>
      <c r="V858" s="481"/>
    </row>
    <row r="859" ht="12.75" customHeight="1">
      <c r="M859" s="480"/>
      <c r="N859" s="249"/>
      <c r="O859" s="479"/>
      <c r="Q859" s="480"/>
      <c r="R859" s="481"/>
      <c r="T859" s="492"/>
      <c r="U859" s="249"/>
      <c r="V859" s="481"/>
    </row>
    <row r="860" ht="12.75" customHeight="1">
      <c r="M860" s="480"/>
      <c r="N860" s="249"/>
      <c r="O860" s="479"/>
      <c r="Q860" s="480"/>
      <c r="R860" s="481"/>
      <c r="T860" s="492"/>
      <c r="U860" s="249"/>
      <c r="V860" s="481"/>
    </row>
    <row r="861" ht="12.75" customHeight="1">
      <c r="M861" s="480"/>
      <c r="N861" s="249"/>
      <c r="O861" s="479"/>
      <c r="Q861" s="480"/>
      <c r="R861" s="481"/>
      <c r="T861" s="492"/>
      <c r="U861" s="249"/>
      <c r="V861" s="481"/>
    </row>
    <row r="862" ht="12.75" customHeight="1">
      <c r="M862" s="480"/>
      <c r="N862" s="249"/>
      <c r="O862" s="479"/>
      <c r="Q862" s="480"/>
      <c r="R862" s="481"/>
      <c r="T862" s="492"/>
      <c r="U862" s="249"/>
      <c r="V862" s="481"/>
    </row>
    <row r="863" ht="12.75" customHeight="1">
      <c r="M863" s="480"/>
      <c r="N863" s="249"/>
      <c r="O863" s="479"/>
      <c r="Q863" s="480"/>
      <c r="R863" s="481"/>
      <c r="T863" s="492"/>
      <c r="U863" s="249"/>
      <c r="V863" s="481"/>
    </row>
    <row r="864" ht="12.75" customHeight="1">
      <c r="M864" s="480"/>
      <c r="N864" s="249"/>
      <c r="O864" s="479"/>
      <c r="Q864" s="480"/>
      <c r="R864" s="481"/>
      <c r="T864" s="492"/>
      <c r="U864" s="249"/>
      <c r="V864" s="481"/>
    </row>
    <row r="865" ht="12.75" customHeight="1">
      <c r="M865" s="480"/>
      <c r="N865" s="249"/>
      <c r="O865" s="479"/>
      <c r="Q865" s="480"/>
      <c r="R865" s="481"/>
      <c r="T865" s="492"/>
      <c r="U865" s="249"/>
      <c r="V865" s="481"/>
    </row>
    <row r="866" ht="12.75" customHeight="1">
      <c r="M866" s="480"/>
      <c r="N866" s="249"/>
      <c r="O866" s="479"/>
      <c r="Q866" s="480"/>
      <c r="R866" s="481"/>
      <c r="T866" s="492"/>
      <c r="U866" s="249"/>
      <c r="V866" s="481"/>
    </row>
    <row r="867" ht="12.75" customHeight="1">
      <c r="M867" s="480"/>
      <c r="N867" s="249"/>
      <c r="O867" s="479"/>
      <c r="Q867" s="480"/>
      <c r="R867" s="481"/>
      <c r="T867" s="492"/>
      <c r="U867" s="249"/>
      <c r="V867" s="481"/>
    </row>
    <row r="868" ht="12.75" customHeight="1">
      <c r="M868" s="480"/>
      <c r="N868" s="249"/>
      <c r="O868" s="479"/>
      <c r="Q868" s="480"/>
      <c r="R868" s="481"/>
      <c r="T868" s="492"/>
      <c r="U868" s="249"/>
      <c r="V868" s="481"/>
    </row>
    <row r="869" ht="12.75" customHeight="1">
      <c r="M869" s="480"/>
      <c r="N869" s="249"/>
      <c r="O869" s="479"/>
      <c r="Q869" s="480"/>
      <c r="R869" s="481"/>
      <c r="T869" s="492"/>
      <c r="U869" s="249"/>
      <c r="V869" s="481"/>
    </row>
    <row r="870" ht="12.75" customHeight="1">
      <c r="M870" s="480"/>
      <c r="N870" s="249"/>
      <c r="O870" s="479"/>
      <c r="Q870" s="480"/>
      <c r="R870" s="481"/>
      <c r="T870" s="492"/>
      <c r="U870" s="249"/>
      <c r="V870" s="481"/>
    </row>
    <row r="871" ht="12.75" customHeight="1">
      <c r="M871" s="480"/>
      <c r="N871" s="249"/>
      <c r="O871" s="479"/>
      <c r="Q871" s="480"/>
      <c r="R871" s="481"/>
      <c r="T871" s="492"/>
      <c r="U871" s="249"/>
      <c r="V871" s="481"/>
    </row>
    <row r="872" ht="12.75" customHeight="1">
      <c r="M872" s="480"/>
      <c r="N872" s="249"/>
      <c r="O872" s="479"/>
      <c r="Q872" s="480"/>
      <c r="R872" s="481"/>
      <c r="T872" s="492"/>
      <c r="U872" s="249"/>
      <c r="V872" s="481"/>
    </row>
    <row r="873" ht="12.75" customHeight="1">
      <c r="M873" s="480"/>
      <c r="N873" s="249"/>
      <c r="O873" s="479"/>
      <c r="Q873" s="480"/>
      <c r="R873" s="481"/>
      <c r="T873" s="492"/>
      <c r="U873" s="249"/>
      <c r="V873" s="481"/>
    </row>
    <row r="874" ht="12.75" customHeight="1">
      <c r="M874" s="480"/>
      <c r="N874" s="249"/>
      <c r="O874" s="479"/>
      <c r="Q874" s="480"/>
      <c r="R874" s="481"/>
      <c r="T874" s="492"/>
      <c r="U874" s="249"/>
      <c r="V874" s="481"/>
    </row>
    <row r="875" ht="12.75" customHeight="1">
      <c r="M875" s="480"/>
      <c r="N875" s="249"/>
      <c r="O875" s="479"/>
      <c r="Q875" s="480"/>
      <c r="R875" s="481"/>
      <c r="T875" s="492"/>
      <c r="U875" s="249"/>
      <c r="V875" s="481"/>
    </row>
    <row r="876" ht="12.75" customHeight="1">
      <c r="M876" s="480"/>
      <c r="N876" s="249"/>
      <c r="O876" s="479"/>
      <c r="Q876" s="480"/>
      <c r="R876" s="481"/>
      <c r="T876" s="492"/>
      <c r="U876" s="249"/>
      <c r="V876" s="481"/>
    </row>
    <row r="877" ht="12.75" customHeight="1">
      <c r="M877" s="480"/>
      <c r="N877" s="249"/>
      <c r="O877" s="479"/>
      <c r="Q877" s="480"/>
      <c r="R877" s="481"/>
      <c r="T877" s="492"/>
      <c r="U877" s="249"/>
      <c r="V877" s="481"/>
    </row>
    <row r="878" ht="12.75" customHeight="1">
      <c r="M878" s="480"/>
      <c r="N878" s="249"/>
      <c r="O878" s="479"/>
      <c r="Q878" s="480"/>
      <c r="R878" s="481"/>
      <c r="T878" s="492"/>
      <c r="U878" s="249"/>
      <c r="V878" s="481"/>
    </row>
    <row r="879" ht="12.75" customHeight="1">
      <c r="M879" s="480"/>
      <c r="N879" s="249"/>
      <c r="O879" s="479"/>
      <c r="Q879" s="480"/>
      <c r="R879" s="481"/>
      <c r="T879" s="492"/>
      <c r="U879" s="249"/>
      <c r="V879" s="481"/>
    </row>
    <row r="880" ht="12.75" customHeight="1">
      <c r="M880" s="480"/>
      <c r="N880" s="249"/>
      <c r="O880" s="479"/>
      <c r="Q880" s="480"/>
      <c r="R880" s="481"/>
      <c r="T880" s="492"/>
      <c r="U880" s="249"/>
      <c r="V880" s="481"/>
    </row>
    <row r="881" ht="12.75" customHeight="1">
      <c r="M881" s="480"/>
      <c r="N881" s="249"/>
      <c r="O881" s="479"/>
      <c r="Q881" s="480"/>
      <c r="R881" s="481"/>
      <c r="T881" s="492"/>
      <c r="U881" s="249"/>
      <c r="V881" s="481"/>
    </row>
    <row r="882" ht="12.75" customHeight="1">
      <c r="M882" s="480"/>
      <c r="N882" s="249"/>
      <c r="O882" s="479"/>
      <c r="Q882" s="480"/>
      <c r="R882" s="481"/>
      <c r="T882" s="492"/>
      <c r="U882" s="249"/>
      <c r="V882" s="481"/>
    </row>
    <row r="883" ht="12.75" customHeight="1">
      <c r="M883" s="480"/>
      <c r="N883" s="249"/>
      <c r="O883" s="479"/>
      <c r="Q883" s="480"/>
      <c r="R883" s="481"/>
      <c r="T883" s="492"/>
      <c r="U883" s="249"/>
      <c r="V883" s="481"/>
    </row>
    <row r="884" ht="12.75" customHeight="1">
      <c r="M884" s="480"/>
      <c r="N884" s="249"/>
      <c r="O884" s="479"/>
      <c r="Q884" s="480"/>
      <c r="R884" s="481"/>
      <c r="T884" s="492"/>
      <c r="U884" s="249"/>
      <c r="V884" s="481"/>
    </row>
    <row r="885" ht="12.75" customHeight="1">
      <c r="M885" s="480"/>
      <c r="N885" s="249"/>
      <c r="O885" s="479"/>
      <c r="Q885" s="480"/>
      <c r="R885" s="481"/>
      <c r="T885" s="492"/>
      <c r="U885" s="249"/>
      <c r="V885" s="481"/>
    </row>
    <row r="886" ht="12.75" customHeight="1">
      <c r="M886" s="480"/>
      <c r="N886" s="249"/>
      <c r="O886" s="479"/>
      <c r="Q886" s="480"/>
      <c r="R886" s="481"/>
      <c r="T886" s="492"/>
      <c r="U886" s="249"/>
      <c r="V886" s="481"/>
    </row>
    <row r="887" ht="12.75" customHeight="1">
      <c r="M887" s="480"/>
      <c r="N887" s="249"/>
      <c r="O887" s="479"/>
      <c r="Q887" s="480"/>
      <c r="R887" s="481"/>
      <c r="T887" s="492"/>
      <c r="U887" s="249"/>
      <c r="V887" s="481"/>
    </row>
    <row r="888" ht="12.75" customHeight="1">
      <c r="M888" s="480"/>
      <c r="N888" s="249"/>
      <c r="O888" s="479"/>
      <c r="Q888" s="480"/>
      <c r="R888" s="481"/>
      <c r="T888" s="492"/>
      <c r="U888" s="249"/>
      <c r="V888" s="481"/>
    </row>
    <row r="889" ht="12.75" customHeight="1">
      <c r="M889" s="480"/>
      <c r="N889" s="249"/>
      <c r="O889" s="479"/>
      <c r="Q889" s="480"/>
      <c r="R889" s="481"/>
      <c r="T889" s="492"/>
      <c r="U889" s="249"/>
      <c r="V889" s="481"/>
    </row>
    <row r="890" ht="12.75" customHeight="1">
      <c r="M890" s="480"/>
      <c r="N890" s="249"/>
      <c r="O890" s="479"/>
      <c r="Q890" s="480"/>
      <c r="R890" s="481"/>
      <c r="T890" s="492"/>
      <c r="U890" s="249"/>
      <c r="V890" s="481"/>
    </row>
    <row r="891" ht="12.75" customHeight="1">
      <c r="M891" s="480"/>
      <c r="N891" s="249"/>
      <c r="O891" s="479"/>
      <c r="Q891" s="480"/>
      <c r="R891" s="481"/>
      <c r="T891" s="492"/>
      <c r="U891" s="249"/>
      <c r="V891" s="481"/>
    </row>
    <row r="892" ht="12.75" customHeight="1">
      <c r="M892" s="480"/>
      <c r="N892" s="249"/>
      <c r="O892" s="479"/>
      <c r="Q892" s="480"/>
      <c r="R892" s="481"/>
      <c r="T892" s="492"/>
      <c r="U892" s="249"/>
      <c r="V892" s="481"/>
    </row>
    <row r="893" ht="12.75" customHeight="1">
      <c r="M893" s="480"/>
      <c r="N893" s="249"/>
      <c r="O893" s="479"/>
      <c r="Q893" s="480"/>
      <c r="R893" s="481"/>
      <c r="T893" s="492"/>
      <c r="U893" s="249"/>
      <c r="V893" s="481"/>
    </row>
    <row r="894" ht="12.75" customHeight="1">
      <c r="M894" s="480"/>
      <c r="N894" s="249"/>
      <c r="O894" s="479"/>
      <c r="Q894" s="480"/>
      <c r="R894" s="481"/>
      <c r="T894" s="492"/>
      <c r="U894" s="249"/>
      <c r="V894" s="481"/>
    </row>
    <row r="895" ht="12.75" customHeight="1">
      <c r="M895" s="480"/>
      <c r="N895" s="249"/>
      <c r="O895" s="479"/>
      <c r="Q895" s="480"/>
      <c r="R895" s="481"/>
      <c r="T895" s="492"/>
      <c r="U895" s="249"/>
      <c r="V895" s="481"/>
    </row>
    <row r="896" ht="12.75" customHeight="1">
      <c r="M896" s="480"/>
      <c r="N896" s="249"/>
      <c r="O896" s="479"/>
      <c r="Q896" s="480"/>
      <c r="R896" s="481"/>
      <c r="T896" s="492"/>
      <c r="U896" s="249"/>
      <c r="V896" s="481"/>
    </row>
    <row r="897" ht="12.75" customHeight="1">
      <c r="M897" s="480"/>
      <c r="N897" s="249"/>
      <c r="O897" s="479"/>
      <c r="Q897" s="480"/>
      <c r="R897" s="481"/>
      <c r="T897" s="492"/>
      <c r="U897" s="249"/>
      <c r="V897" s="481"/>
    </row>
    <row r="898" ht="12.75" customHeight="1">
      <c r="M898" s="480"/>
      <c r="N898" s="249"/>
      <c r="O898" s="479"/>
      <c r="Q898" s="480"/>
      <c r="R898" s="481"/>
      <c r="T898" s="492"/>
      <c r="U898" s="249"/>
      <c r="V898" s="481"/>
    </row>
    <row r="899" ht="12.75" customHeight="1">
      <c r="M899" s="480"/>
      <c r="N899" s="249"/>
      <c r="O899" s="479"/>
      <c r="Q899" s="480"/>
      <c r="R899" s="481"/>
      <c r="T899" s="492"/>
      <c r="U899" s="249"/>
      <c r="V899" s="481"/>
    </row>
    <row r="900" ht="12.75" customHeight="1">
      <c r="M900" s="480"/>
      <c r="N900" s="249"/>
      <c r="O900" s="479"/>
      <c r="Q900" s="480"/>
      <c r="R900" s="481"/>
      <c r="T900" s="492"/>
      <c r="U900" s="249"/>
      <c r="V900" s="481"/>
    </row>
    <row r="901" ht="12.75" customHeight="1">
      <c r="M901" s="480"/>
      <c r="N901" s="249"/>
      <c r="O901" s="479"/>
      <c r="Q901" s="480"/>
      <c r="R901" s="481"/>
      <c r="T901" s="492"/>
      <c r="U901" s="249"/>
      <c r="V901" s="481"/>
    </row>
    <row r="902" ht="12.75" customHeight="1">
      <c r="M902" s="480"/>
      <c r="N902" s="249"/>
      <c r="O902" s="479"/>
      <c r="Q902" s="480"/>
      <c r="R902" s="481"/>
      <c r="T902" s="492"/>
      <c r="U902" s="249"/>
      <c r="V902" s="481"/>
    </row>
    <row r="903" ht="12.75" customHeight="1">
      <c r="M903" s="480"/>
      <c r="N903" s="249"/>
      <c r="O903" s="479"/>
      <c r="Q903" s="480"/>
      <c r="R903" s="481"/>
      <c r="T903" s="492"/>
      <c r="U903" s="249"/>
      <c r="V903" s="481"/>
    </row>
    <row r="904" ht="12.75" customHeight="1">
      <c r="M904" s="480"/>
      <c r="N904" s="249"/>
      <c r="O904" s="479"/>
      <c r="Q904" s="480"/>
      <c r="R904" s="481"/>
      <c r="T904" s="492"/>
      <c r="U904" s="249"/>
      <c r="V904" s="481"/>
    </row>
    <row r="905" ht="12.75" customHeight="1">
      <c r="M905" s="480"/>
      <c r="N905" s="249"/>
      <c r="O905" s="479"/>
      <c r="Q905" s="480"/>
      <c r="R905" s="481"/>
      <c r="T905" s="492"/>
      <c r="U905" s="249"/>
      <c r="V905" s="481"/>
    </row>
    <row r="906" ht="12.75" customHeight="1">
      <c r="M906" s="480"/>
      <c r="N906" s="249"/>
      <c r="O906" s="479"/>
      <c r="Q906" s="480"/>
      <c r="R906" s="481"/>
      <c r="T906" s="492"/>
      <c r="U906" s="249"/>
      <c r="V906" s="481"/>
    </row>
    <row r="907" ht="12.75" customHeight="1">
      <c r="M907" s="480"/>
      <c r="N907" s="249"/>
      <c r="O907" s="479"/>
      <c r="Q907" s="480"/>
      <c r="R907" s="481"/>
      <c r="T907" s="492"/>
      <c r="U907" s="249"/>
      <c r="V907" s="481"/>
    </row>
    <row r="908" ht="12.75" customHeight="1">
      <c r="M908" s="480"/>
      <c r="N908" s="249"/>
      <c r="O908" s="479"/>
      <c r="Q908" s="480"/>
      <c r="R908" s="481"/>
      <c r="T908" s="492"/>
      <c r="U908" s="249"/>
      <c r="V908" s="481"/>
    </row>
    <row r="909" ht="12.75" customHeight="1">
      <c r="M909" s="480"/>
      <c r="N909" s="249"/>
      <c r="O909" s="479"/>
      <c r="Q909" s="480"/>
      <c r="R909" s="481"/>
      <c r="T909" s="492"/>
      <c r="U909" s="249"/>
      <c r="V909" s="481"/>
    </row>
    <row r="910" ht="12.75" customHeight="1">
      <c r="M910" s="480"/>
      <c r="N910" s="249"/>
      <c r="O910" s="479"/>
      <c r="Q910" s="480"/>
      <c r="R910" s="481"/>
      <c r="T910" s="492"/>
      <c r="U910" s="249"/>
      <c r="V910" s="481"/>
    </row>
    <row r="911" ht="12.75" customHeight="1">
      <c r="M911" s="480"/>
      <c r="N911" s="249"/>
      <c r="O911" s="479"/>
      <c r="Q911" s="480"/>
      <c r="R911" s="481"/>
      <c r="T911" s="492"/>
      <c r="U911" s="249"/>
      <c r="V911" s="481"/>
    </row>
    <row r="912" ht="12.75" customHeight="1">
      <c r="M912" s="480"/>
      <c r="N912" s="249"/>
      <c r="O912" s="479"/>
      <c r="Q912" s="480"/>
      <c r="R912" s="481"/>
      <c r="T912" s="492"/>
      <c r="U912" s="249"/>
      <c r="V912" s="481"/>
    </row>
    <row r="913" ht="12.75" customHeight="1">
      <c r="M913" s="480"/>
      <c r="N913" s="249"/>
      <c r="O913" s="479"/>
      <c r="Q913" s="480"/>
      <c r="R913" s="481"/>
      <c r="T913" s="492"/>
      <c r="U913" s="249"/>
      <c r="V913" s="481"/>
    </row>
    <row r="914" ht="12.75" customHeight="1">
      <c r="M914" s="480"/>
      <c r="N914" s="249"/>
      <c r="O914" s="479"/>
      <c r="Q914" s="480"/>
      <c r="R914" s="481"/>
      <c r="T914" s="492"/>
      <c r="U914" s="249"/>
      <c r="V914" s="481"/>
    </row>
    <row r="915" ht="12.75" customHeight="1">
      <c r="M915" s="480"/>
      <c r="N915" s="249"/>
      <c r="O915" s="479"/>
      <c r="Q915" s="480"/>
      <c r="R915" s="481"/>
      <c r="T915" s="492"/>
      <c r="U915" s="249"/>
      <c r="V915" s="481"/>
    </row>
    <row r="916" ht="12.75" customHeight="1">
      <c r="M916" s="480"/>
      <c r="N916" s="249"/>
      <c r="O916" s="479"/>
      <c r="Q916" s="480"/>
      <c r="R916" s="481"/>
      <c r="T916" s="492"/>
      <c r="U916" s="249"/>
      <c r="V916" s="481"/>
    </row>
    <row r="917" ht="12.75" customHeight="1">
      <c r="M917" s="480"/>
      <c r="N917" s="249"/>
      <c r="O917" s="479"/>
      <c r="Q917" s="480"/>
      <c r="R917" s="481"/>
      <c r="T917" s="492"/>
      <c r="U917" s="249"/>
      <c r="V917" s="481"/>
    </row>
    <row r="918" ht="12.75" customHeight="1">
      <c r="M918" s="480"/>
      <c r="N918" s="249"/>
      <c r="O918" s="479"/>
      <c r="Q918" s="480"/>
      <c r="R918" s="481"/>
      <c r="T918" s="492"/>
      <c r="U918" s="249"/>
      <c r="V918" s="481"/>
    </row>
    <row r="919" ht="12.75" customHeight="1">
      <c r="M919" s="480"/>
      <c r="N919" s="249"/>
      <c r="O919" s="479"/>
      <c r="Q919" s="480"/>
      <c r="R919" s="481"/>
      <c r="T919" s="492"/>
      <c r="U919" s="249"/>
      <c r="V919" s="481"/>
    </row>
    <row r="920" ht="12.75" customHeight="1">
      <c r="M920" s="480"/>
      <c r="N920" s="249"/>
      <c r="O920" s="479"/>
      <c r="Q920" s="480"/>
      <c r="R920" s="481"/>
      <c r="T920" s="492"/>
      <c r="U920" s="249"/>
      <c r="V920" s="481"/>
    </row>
    <row r="921" ht="12.75" customHeight="1">
      <c r="M921" s="480"/>
      <c r="N921" s="249"/>
      <c r="O921" s="479"/>
      <c r="Q921" s="480"/>
      <c r="R921" s="481"/>
      <c r="T921" s="492"/>
      <c r="U921" s="249"/>
      <c r="V921" s="481"/>
    </row>
    <row r="922" ht="12.75" customHeight="1">
      <c r="M922" s="480"/>
      <c r="N922" s="249"/>
      <c r="O922" s="479"/>
      <c r="Q922" s="480"/>
      <c r="R922" s="481"/>
      <c r="T922" s="492"/>
      <c r="U922" s="249"/>
      <c r="V922" s="481"/>
    </row>
    <row r="923" ht="12.75" customHeight="1">
      <c r="M923" s="480"/>
      <c r="N923" s="249"/>
      <c r="O923" s="479"/>
      <c r="Q923" s="480"/>
      <c r="R923" s="481"/>
      <c r="T923" s="492"/>
      <c r="U923" s="249"/>
      <c r="V923" s="481"/>
    </row>
    <row r="924" ht="12.75" customHeight="1">
      <c r="M924" s="480"/>
      <c r="N924" s="249"/>
      <c r="O924" s="479"/>
      <c r="Q924" s="480"/>
      <c r="R924" s="481"/>
      <c r="T924" s="492"/>
      <c r="U924" s="249"/>
      <c r="V924" s="481"/>
    </row>
    <row r="925" ht="12.75" customHeight="1">
      <c r="M925" s="480"/>
      <c r="N925" s="249"/>
      <c r="O925" s="479"/>
      <c r="Q925" s="480"/>
      <c r="R925" s="481"/>
      <c r="T925" s="492"/>
      <c r="U925" s="249"/>
      <c r="V925" s="481"/>
    </row>
    <row r="926" ht="12.75" customHeight="1">
      <c r="M926" s="480"/>
      <c r="N926" s="249"/>
      <c r="O926" s="479"/>
      <c r="Q926" s="480"/>
      <c r="R926" s="481"/>
      <c r="T926" s="492"/>
      <c r="U926" s="249"/>
      <c r="V926" s="481"/>
    </row>
    <row r="927" ht="12.75" customHeight="1">
      <c r="M927" s="480"/>
      <c r="N927" s="249"/>
      <c r="O927" s="479"/>
      <c r="Q927" s="480"/>
      <c r="R927" s="481"/>
      <c r="T927" s="492"/>
      <c r="U927" s="249"/>
      <c r="V927" s="481"/>
    </row>
    <row r="928" ht="12.75" customHeight="1">
      <c r="M928" s="480"/>
      <c r="N928" s="249"/>
      <c r="O928" s="479"/>
      <c r="Q928" s="480"/>
      <c r="R928" s="481"/>
      <c r="T928" s="492"/>
      <c r="U928" s="249"/>
      <c r="V928" s="481"/>
    </row>
    <row r="929" ht="12.75" customHeight="1">
      <c r="M929" s="480"/>
      <c r="N929" s="249"/>
      <c r="O929" s="479"/>
      <c r="Q929" s="480"/>
      <c r="R929" s="481"/>
      <c r="T929" s="492"/>
      <c r="U929" s="249"/>
      <c r="V929" s="481"/>
    </row>
    <row r="930" ht="12.75" customHeight="1">
      <c r="M930" s="480"/>
      <c r="N930" s="249"/>
      <c r="O930" s="479"/>
      <c r="Q930" s="480"/>
      <c r="R930" s="481"/>
      <c r="T930" s="492"/>
      <c r="U930" s="249"/>
      <c r="V930" s="481"/>
    </row>
    <row r="931" ht="12.75" customHeight="1">
      <c r="M931" s="480"/>
      <c r="N931" s="249"/>
      <c r="O931" s="479"/>
      <c r="Q931" s="480"/>
      <c r="R931" s="481"/>
      <c r="T931" s="492"/>
      <c r="U931" s="249"/>
      <c r="V931" s="481"/>
    </row>
    <row r="932" ht="12.75" customHeight="1">
      <c r="M932" s="480"/>
      <c r="N932" s="249"/>
      <c r="O932" s="479"/>
      <c r="Q932" s="480"/>
      <c r="R932" s="481"/>
      <c r="T932" s="492"/>
      <c r="U932" s="249"/>
      <c r="V932" s="481"/>
    </row>
    <row r="933" ht="12.75" customHeight="1">
      <c r="M933" s="480"/>
      <c r="N933" s="249"/>
      <c r="O933" s="479"/>
      <c r="Q933" s="480"/>
      <c r="R933" s="481"/>
      <c r="T933" s="492"/>
      <c r="U933" s="249"/>
      <c r="V933" s="481"/>
    </row>
    <row r="934" ht="12.75" customHeight="1">
      <c r="M934" s="480"/>
      <c r="N934" s="249"/>
      <c r="O934" s="479"/>
      <c r="Q934" s="480"/>
      <c r="R934" s="481"/>
      <c r="T934" s="492"/>
      <c r="U934" s="249"/>
      <c r="V934" s="481"/>
    </row>
    <row r="935" ht="12.75" customHeight="1">
      <c r="M935" s="480"/>
      <c r="N935" s="249"/>
      <c r="O935" s="479"/>
      <c r="Q935" s="480"/>
      <c r="R935" s="481"/>
      <c r="T935" s="492"/>
      <c r="U935" s="249"/>
      <c r="V935" s="481"/>
    </row>
    <row r="936" ht="12.75" customHeight="1">
      <c r="M936" s="480"/>
      <c r="N936" s="249"/>
      <c r="O936" s="479"/>
      <c r="Q936" s="480"/>
      <c r="R936" s="481"/>
      <c r="T936" s="492"/>
      <c r="U936" s="249"/>
      <c r="V936" s="481"/>
    </row>
    <row r="937" ht="12.75" customHeight="1">
      <c r="M937" s="480"/>
      <c r="N937" s="249"/>
      <c r="O937" s="479"/>
      <c r="Q937" s="480"/>
      <c r="R937" s="481"/>
      <c r="T937" s="492"/>
      <c r="U937" s="249"/>
      <c r="V937" s="481"/>
    </row>
    <row r="938" ht="12.75" customHeight="1">
      <c r="M938" s="480"/>
      <c r="N938" s="249"/>
      <c r="O938" s="479"/>
      <c r="Q938" s="480"/>
      <c r="R938" s="481"/>
      <c r="T938" s="492"/>
      <c r="U938" s="249"/>
      <c r="V938" s="481"/>
    </row>
    <row r="939" ht="12.75" customHeight="1">
      <c r="M939" s="480"/>
      <c r="N939" s="249"/>
      <c r="O939" s="479"/>
      <c r="Q939" s="480"/>
      <c r="R939" s="481"/>
      <c r="T939" s="492"/>
      <c r="U939" s="249"/>
      <c r="V939" s="481"/>
    </row>
    <row r="940" ht="12.75" customHeight="1">
      <c r="M940" s="480"/>
      <c r="N940" s="249"/>
      <c r="O940" s="479"/>
      <c r="Q940" s="480"/>
      <c r="R940" s="481"/>
      <c r="T940" s="492"/>
      <c r="U940" s="249"/>
      <c r="V940" s="481"/>
    </row>
    <row r="941" ht="12.75" customHeight="1">
      <c r="M941" s="480"/>
      <c r="N941" s="249"/>
      <c r="O941" s="479"/>
      <c r="Q941" s="480"/>
      <c r="R941" s="481"/>
      <c r="T941" s="492"/>
      <c r="U941" s="249"/>
      <c r="V941" s="481"/>
    </row>
    <row r="942" ht="12.75" customHeight="1">
      <c r="M942" s="480"/>
      <c r="N942" s="249"/>
      <c r="O942" s="479"/>
      <c r="Q942" s="480"/>
      <c r="R942" s="481"/>
      <c r="T942" s="492"/>
      <c r="U942" s="249"/>
      <c r="V942" s="481"/>
    </row>
    <row r="943" ht="12.75" customHeight="1">
      <c r="M943" s="480"/>
      <c r="N943" s="249"/>
      <c r="O943" s="479"/>
      <c r="Q943" s="480"/>
      <c r="R943" s="481"/>
      <c r="T943" s="492"/>
      <c r="U943" s="249"/>
      <c r="V943" s="481"/>
    </row>
    <row r="944" ht="12.75" customHeight="1">
      <c r="M944" s="480"/>
      <c r="N944" s="249"/>
      <c r="O944" s="479"/>
      <c r="Q944" s="480"/>
      <c r="R944" s="481"/>
      <c r="T944" s="492"/>
      <c r="U944" s="249"/>
      <c r="V944" s="481"/>
    </row>
    <row r="945" ht="12.75" customHeight="1">
      <c r="M945" s="480"/>
      <c r="N945" s="249"/>
      <c r="O945" s="479"/>
      <c r="Q945" s="480"/>
      <c r="R945" s="481"/>
      <c r="T945" s="492"/>
      <c r="U945" s="249"/>
      <c r="V945" s="481"/>
    </row>
    <row r="946" ht="12.75" customHeight="1">
      <c r="M946" s="480"/>
      <c r="N946" s="249"/>
      <c r="O946" s="479"/>
      <c r="Q946" s="480"/>
      <c r="R946" s="481"/>
      <c r="T946" s="492"/>
      <c r="U946" s="249"/>
      <c r="V946" s="481"/>
    </row>
    <row r="947" ht="12.75" customHeight="1">
      <c r="M947" s="480"/>
      <c r="N947" s="249"/>
      <c r="O947" s="479"/>
      <c r="Q947" s="480"/>
      <c r="R947" s="481"/>
      <c r="T947" s="492"/>
      <c r="U947" s="249"/>
      <c r="V947" s="481"/>
    </row>
    <row r="948" ht="12.75" customHeight="1">
      <c r="M948" s="480"/>
      <c r="N948" s="249"/>
      <c r="O948" s="479"/>
      <c r="Q948" s="480"/>
      <c r="R948" s="481"/>
      <c r="T948" s="492"/>
      <c r="U948" s="249"/>
      <c r="V948" s="481"/>
    </row>
    <row r="949" ht="12.75" customHeight="1">
      <c r="M949" s="480"/>
      <c r="N949" s="249"/>
      <c r="O949" s="479"/>
      <c r="Q949" s="480"/>
      <c r="R949" s="481"/>
      <c r="T949" s="492"/>
      <c r="U949" s="249"/>
      <c r="V949" s="481"/>
    </row>
    <row r="950" ht="12.75" customHeight="1">
      <c r="M950" s="480"/>
      <c r="N950" s="249"/>
      <c r="O950" s="479"/>
      <c r="Q950" s="480"/>
      <c r="R950" s="481"/>
      <c r="T950" s="492"/>
      <c r="U950" s="249"/>
      <c r="V950" s="481"/>
    </row>
    <row r="951" ht="12.75" customHeight="1">
      <c r="M951" s="480"/>
      <c r="N951" s="249"/>
      <c r="O951" s="479"/>
      <c r="Q951" s="480"/>
      <c r="R951" s="481"/>
      <c r="T951" s="492"/>
      <c r="U951" s="249"/>
      <c r="V951" s="481"/>
    </row>
    <row r="952" ht="12.75" customHeight="1">
      <c r="M952" s="480"/>
      <c r="N952" s="249"/>
      <c r="O952" s="479"/>
      <c r="Q952" s="480"/>
      <c r="R952" s="481"/>
      <c r="T952" s="492"/>
      <c r="U952" s="249"/>
      <c r="V952" s="481"/>
    </row>
    <row r="953" ht="12.75" customHeight="1">
      <c r="M953" s="480"/>
      <c r="N953" s="249"/>
      <c r="O953" s="479"/>
      <c r="Q953" s="480"/>
      <c r="R953" s="481"/>
      <c r="T953" s="492"/>
      <c r="U953" s="249"/>
      <c r="V953" s="481"/>
    </row>
    <row r="954" ht="12.75" customHeight="1">
      <c r="M954" s="480"/>
      <c r="N954" s="249"/>
      <c r="O954" s="479"/>
      <c r="Q954" s="480"/>
      <c r="R954" s="481"/>
      <c r="T954" s="492"/>
      <c r="U954" s="249"/>
      <c r="V954" s="481"/>
    </row>
    <row r="955" ht="12.75" customHeight="1">
      <c r="M955" s="480"/>
      <c r="N955" s="249"/>
      <c r="O955" s="479"/>
      <c r="Q955" s="480"/>
      <c r="R955" s="481"/>
      <c r="T955" s="492"/>
      <c r="U955" s="249"/>
      <c r="V955" s="481"/>
    </row>
    <row r="956" ht="12.75" customHeight="1">
      <c r="M956" s="480"/>
      <c r="N956" s="249"/>
      <c r="O956" s="479"/>
      <c r="Q956" s="480"/>
      <c r="R956" s="481"/>
      <c r="T956" s="492"/>
      <c r="U956" s="249"/>
      <c r="V956" s="481"/>
    </row>
    <row r="957" ht="12.75" customHeight="1">
      <c r="M957" s="480"/>
      <c r="N957" s="249"/>
      <c r="O957" s="479"/>
      <c r="Q957" s="480"/>
      <c r="R957" s="481"/>
      <c r="T957" s="492"/>
      <c r="U957" s="249"/>
      <c r="V957" s="481"/>
    </row>
    <row r="958" ht="12.75" customHeight="1">
      <c r="M958" s="480"/>
      <c r="N958" s="249"/>
      <c r="O958" s="479"/>
      <c r="Q958" s="480"/>
      <c r="R958" s="481"/>
      <c r="T958" s="492"/>
      <c r="U958" s="249"/>
      <c r="V958" s="481"/>
    </row>
    <row r="959" ht="12.75" customHeight="1">
      <c r="M959" s="480"/>
      <c r="N959" s="249"/>
      <c r="O959" s="479"/>
      <c r="Q959" s="480"/>
      <c r="R959" s="481"/>
      <c r="T959" s="492"/>
      <c r="U959" s="249"/>
      <c r="V959" s="481"/>
    </row>
    <row r="960" ht="12.75" customHeight="1">
      <c r="M960" s="480"/>
      <c r="N960" s="249"/>
      <c r="O960" s="479"/>
      <c r="Q960" s="480"/>
      <c r="R960" s="481"/>
      <c r="T960" s="492"/>
      <c r="U960" s="249"/>
      <c r="V960" s="481"/>
    </row>
    <row r="961" ht="12.75" customHeight="1">
      <c r="M961" s="480"/>
      <c r="N961" s="249"/>
      <c r="O961" s="479"/>
      <c r="Q961" s="480"/>
      <c r="R961" s="481"/>
      <c r="T961" s="492"/>
      <c r="U961" s="249"/>
      <c r="V961" s="481"/>
    </row>
    <row r="962" ht="12.75" customHeight="1">
      <c r="M962" s="480"/>
      <c r="N962" s="249"/>
      <c r="O962" s="479"/>
      <c r="Q962" s="480"/>
      <c r="R962" s="481"/>
      <c r="T962" s="492"/>
      <c r="U962" s="249"/>
      <c r="V962" s="481"/>
    </row>
    <row r="963" ht="12.75" customHeight="1">
      <c r="M963" s="480"/>
      <c r="N963" s="249"/>
      <c r="O963" s="479"/>
      <c r="Q963" s="480"/>
      <c r="R963" s="481"/>
      <c r="T963" s="492"/>
      <c r="U963" s="249"/>
      <c r="V963" s="481"/>
    </row>
    <row r="964" ht="12.75" customHeight="1">
      <c r="M964" s="480"/>
      <c r="N964" s="249"/>
      <c r="O964" s="479"/>
      <c r="Q964" s="480"/>
      <c r="R964" s="481"/>
      <c r="T964" s="492"/>
      <c r="U964" s="249"/>
      <c r="V964" s="481"/>
    </row>
    <row r="965" ht="12.75" customHeight="1">
      <c r="M965" s="480"/>
      <c r="N965" s="249"/>
      <c r="O965" s="479"/>
      <c r="Q965" s="480"/>
      <c r="R965" s="481"/>
      <c r="T965" s="492"/>
      <c r="U965" s="249"/>
      <c r="V965" s="481"/>
    </row>
    <row r="966" ht="12.75" customHeight="1">
      <c r="M966" s="480"/>
      <c r="N966" s="249"/>
      <c r="O966" s="479"/>
      <c r="Q966" s="480"/>
      <c r="R966" s="481"/>
      <c r="T966" s="492"/>
      <c r="U966" s="249"/>
      <c r="V966" s="481"/>
    </row>
    <row r="967" ht="12.75" customHeight="1">
      <c r="M967" s="480"/>
      <c r="N967" s="249"/>
      <c r="O967" s="479"/>
      <c r="Q967" s="480"/>
      <c r="R967" s="481"/>
      <c r="T967" s="492"/>
      <c r="U967" s="249"/>
      <c r="V967" s="481"/>
    </row>
    <row r="968" ht="12.75" customHeight="1">
      <c r="M968" s="480"/>
      <c r="N968" s="249"/>
      <c r="O968" s="479"/>
      <c r="Q968" s="480"/>
      <c r="R968" s="481"/>
      <c r="T968" s="492"/>
      <c r="U968" s="249"/>
      <c r="V968" s="481"/>
    </row>
    <row r="969" ht="12.75" customHeight="1">
      <c r="M969" s="480"/>
      <c r="N969" s="249"/>
      <c r="O969" s="479"/>
      <c r="Q969" s="480"/>
      <c r="R969" s="481"/>
      <c r="T969" s="492"/>
      <c r="U969" s="249"/>
      <c r="V969" s="481"/>
    </row>
    <row r="970" ht="12.75" customHeight="1">
      <c r="M970" s="480"/>
      <c r="N970" s="249"/>
      <c r="O970" s="479"/>
      <c r="Q970" s="480"/>
      <c r="R970" s="481"/>
      <c r="T970" s="492"/>
      <c r="U970" s="249"/>
      <c r="V970" s="481"/>
    </row>
    <row r="971" ht="12.75" customHeight="1">
      <c r="M971" s="480"/>
      <c r="N971" s="249"/>
      <c r="O971" s="479"/>
      <c r="Q971" s="480"/>
      <c r="R971" s="481"/>
      <c r="T971" s="492"/>
      <c r="U971" s="249"/>
      <c r="V971" s="481"/>
    </row>
    <row r="972" ht="12.75" customHeight="1">
      <c r="M972" s="480"/>
      <c r="N972" s="249"/>
      <c r="O972" s="479"/>
      <c r="Q972" s="480"/>
      <c r="R972" s="481"/>
      <c r="T972" s="492"/>
      <c r="U972" s="249"/>
      <c r="V972" s="481"/>
    </row>
    <row r="973" ht="12.75" customHeight="1">
      <c r="M973" s="480"/>
      <c r="N973" s="249"/>
      <c r="O973" s="479"/>
      <c r="Q973" s="480"/>
      <c r="R973" s="481"/>
      <c r="T973" s="492"/>
      <c r="U973" s="249"/>
      <c r="V973" s="481"/>
    </row>
    <row r="974" ht="12.75" customHeight="1">
      <c r="M974" s="480"/>
      <c r="N974" s="249"/>
      <c r="O974" s="479"/>
      <c r="Q974" s="480"/>
      <c r="R974" s="481"/>
      <c r="T974" s="492"/>
      <c r="U974" s="249"/>
      <c r="V974" s="481"/>
    </row>
    <row r="975" ht="12.75" customHeight="1">
      <c r="M975" s="480"/>
      <c r="N975" s="249"/>
      <c r="O975" s="479"/>
      <c r="Q975" s="480"/>
      <c r="R975" s="481"/>
      <c r="T975" s="492"/>
      <c r="U975" s="249"/>
      <c r="V975" s="481"/>
    </row>
    <row r="976" ht="12.75" customHeight="1">
      <c r="M976" s="480"/>
      <c r="N976" s="249"/>
      <c r="O976" s="479"/>
      <c r="Q976" s="480"/>
      <c r="R976" s="481"/>
      <c r="T976" s="492"/>
      <c r="U976" s="249"/>
      <c r="V976" s="481"/>
    </row>
    <row r="977" ht="12.75" customHeight="1">
      <c r="M977" s="480"/>
      <c r="N977" s="249"/>
      <c r="O977" s="479"/>
      <c r="Q977" s="480"/>
      <c r="R977" s="481"/>
      <c r="T977" s="492"/>
      <c r="U977" s="249"/>
      <c r="V977" s="481"/>
    </row>
    <row r="978" ht="12.75" customHeight="1">
      <c r="M978" s="480"/>
      <c r="N978" s="249"/>
      <c r="O978" s="479"/>
      <c r="Q978" s="480"/>
      <c r="R978" s="481"/>
      <c r="T978" s="492"/>
      <c r="U978" s="249"/>
      <c r="V978" s="481"/>
    </row>
    <row r="979" ht="12.75" customHeight="1">
      <c r="M979" s="480"/>
      <c r="N979" s="249"/>
      <c r="O979" s="479"/>
      <c r="Q979" s="480"/>
      <c r="R979" s="481"/>
      <c r="T979" s="492"/>
      <c r="U979" s="249"/>
      <c r="V979" s="481"/>
    </row>
    <row r="980" ht="12.75" customHeight="1">
      <c r="M980" s="480"/>
      <c r="N980" s="249"/>
      <c r="O980" s="479"/>
      <c r="Q980" s="480"/>
      <c r="R980" s="481"/>
      <c r="T980" s="492"/>
      <c r="U980" s="249"/>
      <c r="V980" s="481"/>
    </row>
    <row r="981" ht="12.75" customHeight="1">
      <c r="M981" s="480"/>
      <c r="N981" s="249"/>
      <c r="O981" s="479"/>
      <c r="Q981" s="480"/>
      <c r="R981" s="481"/>
      <c r="T981" s="492"/>
      <c r="U981" s="249"/>
      <c r="V981" s="481"/>
    </row>
    <row r="982" ht="12.75" customHeight="1">
      <c r="M982" s="480"/>
      <c r="N982" s="249"/>
      <c r="O982" s="479"/>
      <c r="Q982" s="480"/>
      <c r="R982" s="481"/>
      <c r="T982" s="492"/>
      <c r="U982" s="249"/>
      <c r="V982" s="481"/>
    </row>
    <row r="983" ht="12.75" customHeight="1">
      <c r="M983" s="480"/>
      <c r="N983" s="249"/>
      <c r="O983" s="479"/>
      <c r="Q983" s="480"/>
      <c r="R983" s="481"/>
      <c r="T983" s="492"/>
      <c r="U983" s="249"/>
      <c r="V983" s="481"/>
    </row>
    <row r="984" ht="12.75" customHeight="1">
      <c r="M984" s="480"/>
      <c r="N984" s="249"/>
      <c r="O984" s="479"/>
      <c r="Q984" s="480"/>
      <c r="R984" s="481"/>
      <c r="T984" s="492"/>
      <c r="U984" s="249"/>
      <c r="V984" s="481"/>
    </row>
    <row r="985" ht="12.75" customHeight="1">
      <c r="M985" s="480"/>
      <c r="N985" s="249"/>
      <c r="O985" s="479"/>
      <c r="Q985" s="480"/>
      <c r="R985" s="481"/>
      <c r="T985" s="492"/>
      <c r="U985" s="249"/>
      <c r="V985" s="481"/>
    </row>
    <row r="986" ht="12.75" customHeight="1">
      <c r="M986" s="480"/>
      <c r="N986" s="249"/>
      <c r="O986" s="479"/>
      <c r="Q986" s="480"/>
      <c r="R986" s="481"/>
      <c r="T986" s="492"/>
      <c r="U986" s="249"/>
      <c r="V986" s="481"/>
    </row>
    <row r="987" ht="12.75" customHeight="1">
      <c r="M987" s="480"/>
      <c r="N987" s="249"/>
      <c r="O987" s="479"/>
      <c r="Q987" s="480"/>
      <c r="R987" s="481"/>
      <c r="T987" s="492"/>
      <c r="U987" s="249"/>
      <c r="V987" s="481"/>
    </row>
    <row r="988" ht="12.75" customHeight="1">
      <c r="M988" s="480"/>
      <c r="N988" s="249"/>
      <c r="O988" s="479"/>
      <c r="Q988" s="480"/>
      <c r="R988" s="481"/>
      <c r="T988" s="492"/>
      <c r="U988" s="249"/>
      <c r="V988" s="481"/>
    </row>
    <row r="989" ht="12.75" customHeight="1">
      <c r="M989" s="480"/>
      <c r="N989" s="249"/>
      <c r="O989" s="479"/>
      <c r="Q989" s="480"/>
      <c r="R989" s="481"/>
      <c r="T989" s="492"/>
      <c r="U989" s="249"/>
      <c r="V989" s="481"/>
    </row>
    <row r="990" ht="12.75" customHeight="1">
      <c r="M990" s="480"/>
      <c r="N990" s="249"/>
      <c r="O990" s="479"/>
      <c r="Q990" s="480"/>
      <c r="R990" s="481"/>
      <c r="T990" s="492"/>
      <c r="U990" s="249"/>
      <c r="V990" s="481"/>
    </row>
    <row r="991" ht="12.75" customHeight="1">
      <c r="M991" s="480"/>
      <c r="N991" s="249"/>
      <c r="O991" s="479"/>
      <c r="Q991" s="480"/>
      <c r="R991" s="481"/>
      <c r="T991" s="492"/>
      <c r="U991" s="249"/>
      <c r="V991" s="481"/>
    </row>
    <row r="992" ht="12.75" customHeight="1">
      <c r="M992" s="480"/>
      <c r="N992" s="249"/>
      <c r="O992" s="479"/>
      <c r="Q992" s="480"/>
      <c r="R992" s="481"/>
      <c r="T992" s="492"/>
      <c r="U992" s="249"/>
      <c r="V992" s="481"/>
    </row>
    <row r="993" ht="12.75" customHeight="1">
      <c r="M993" s="480"/>
      <c r="N993" s="249"/>
      <c r="O993" s="479"/>
      <c r="Q993" s="480"/>
      <c r="R993" s="481"/>
      <c r="T993" s="492"/>
      <c r="U993" s="249"/>
      <c r="V993" s="481"/>
    </row>
    <row r="994" ht="12.75" customHeight="1">
      <c r="M994" s="480"/>
      <c r="N994" s="249"/>
      <c r="O994" s="479"/>
      <c r="Q994" s="480"/>
      <c r="R994" s="481"/>
      <c r="T994" s="492"/>
      <c r="U994" s="249"/>
      <c r="V994" s="481"/>
    </row>
    <row r="995" ht="12.75" customHeight="1">
      <c r="M995" s="480"/>
      <c r="N995" s="249"/>
      <c r="O995" s="479"/>
      <c r="Q995" s="480"/>
      <c r="R995" s="481"/>
      <c r="T995" s="492"/>
      <c r="U995" s="249"/>
      <c r="V995" s="481"/>
    </row>
    <row r="996" ht="12.75" customHeight="1">
      <c r="M996" s="480"/>
      <c r="N996" s="249"/>
      <c r="O996" s="479"/>
      <c r="Q996" s="480"/>
      <c r="R996" s="481"/>
      <c r="T996" s="492"/>
      <c r="U996" s="249"/>
      <c r="V996" s="481"/>
    </row>
    <row r="997" ht="12.75" customHeight="1">
      <c r="M997" s="480"/>
      <c r="N997" s="249"/>
      <c r="O997" s="479"/>
      <c r="Q997" s="480"/>
      <c r="R997" s="481"/>
      <c r="T997" s="492"/>
      <c r="U997" s="249"/>
      <c r="V997" s="481"/>
    </row>
    <row r="998" ht="12.75" customHeight="1">
      <c r="M998" s="480"/>
      <c r="N998" s="249"/>
      <c r="O998" s="479"/>
      <c r="Q998" s="480"/>
      <c r="R998" s="481"/>
      <c r="T998" s="492"/>
      <c r="U998" s="249"/>
      <c r="V998" s="481"/>
    </row>
    <row r="999" ht="12.75" customHeight="1">
      <c r="M999" s="480"/>
      <c r="N999" s="249"/>
      <c r="O999" s="479"/>
      <c r="Q999" s="480"/>
      <c r="R999" s="481"/>
      <c r="T999" s="492"/>
      <c r="U999" s="249"/>
      <c r="V999" s="481"/>
    </row>
  </sheetData>
  <conditionalFormatting sqref="B187:N194 P187:P194 B198:N205 P198:P205 B209:N216 P209:P216">
    <cfRule type="cellIs" dxfId="9" priority="1" operator="greaterThan">
      <formula>0</formula>
    </cfRule>
  </conditionalFormatting>
  <conditionalFormatting sqref="B220:N222 P220:P222">
    <cfRule type="cellIs" dxfId="9" priority="2" operator="greaterThan">
      <formula>0</formula>
    </cfRule>
  </conditionalFormatting>
  <conditionalFormatting sqref="B176:H183">
    <cfRule type="cellIs" dxfId="10" priority="3" operator="lessThan">
      <formula>1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3.0"/>
    <col customWidth="1" min="3" max="4" width="12.25"/>
    <col customWidth="1" min="5" max="5" width="7.75"/>
    <col customWidth="1" min="6" max="6" width="3.75"/>
    <col customWidth="1" min="7" max="7" width="29.25"/>
    <col customWidth="1" min="8" max="9" width="13.0"/>
    <col customWidth="1" min="10" max="10" width="20.13"/>
    <col customWidth="1" min="11" max="11" width="31.13"/>
    <col customWidth="1" min="12" max="12" width="25.63"/>
    <col customWidth="1" min="13" max="13" width="8.63"/>
    <col customWidth="1" min="14" max="14" width="3.75"/>
    <col customWidth="1" min="15" max="15" width="25.38"/>
    <col customWidth="1" min="16" max="17" width="11.25"/>
    <col customWidth="1" min="18" max="22" width="8.63"/>
  </cols>
  <sheetData>
    <row r="1" ht="12.75" customHeight="1">
      <c r="A1" s="472" t="s">
        <v>580</v>
      </c>
      <c r="G1" s="477"/>
      <c r="H1" s="249"/>
      <c r="I1" s="493"/>
      <c r="K1" s="249"/>
      <c r="L1" s="486"/>
      <c r="O1" s="477"/>
      <c r="P1" s="249"/>
    </row>
    <row r="2" ht="12.75" customHeight="1">
      <c r="A2" s="494" t="s">
        <v>499</v>
      </c>
      <c r="B2" s="494" t="s">
        <v>525</v>
      </c>
      <c r="C2" s="494" t="s">
        <v>585</v>
      </c>
      <c r="D2" s="494" t="s">
        <v>500</v>
      </c>
      <c r="E2" s="494" t="s">
        <v>586</v>
      </c>
      <c r="G2" s="477"/>
      <c r="H2" s="249"/>
      <c r="I2" s="493"/>
      <c r="K2" s="249"/>
      <c r="L2" s="486"/>
      <c r="O2" s="477"/>
      <c r="P2" s="249"/>
    </row>
    <row r="3" ht="12.75" customHeight="1">
      <c r="A3" s="496" t="s">
        <v>468</v>
      </c>
      <c r="B3" s="157">
        <v>50.0</v>
      </c>
      <c r="C3" s="497">
        <f>IFERROR(__xludf.DUMMYFUNCTION("COUNTIF(ARRAYFORMULA(RIGHT(SPLIT($A$16:$A$87, ""★""), 1)), ""1"")"),21.0)</f>
        <v>21</v>
      </c>
      <c r="D3" s="498">
        <v>281.0</v>
      </c>
      <c r="E3" s="500">
        <f t="shared" ref="E3:E7" si="1">B3*D3 / SUMPRODUCT($B$3:$B$7, $D$3:$D$7)</f>
        <v>0.6863032435</v>
      </c>
      <c r="G3" s="477"/>
      <c r="H3" s="258" t="s">
        <v>593</v>
      </c>
      <c r="I3" s="493"/>
      <c r="K3" s="249"/>
      <c r="L3" s="486"/>
      <c r="O3" s="477"/>
      <c r="P3" s="249"/>
    </row>
    <row r="4" ht="12.75" customHeight="1">
      <c r="A4" s="51" t="s">
        <v>469</v>
      </c>
      <c r="B4" s="157">
        <v>20.0</v>
      </c>
      <c r="C4" s="497">
        <f>IFERROR(__xludf.DUMMYFUNCTION("COUNTIF(ARRAYFORMULA(RIGHT(SPLIT($A$16:$A$87, ""★""), 1)), ""2"")"),17.0)</f>
        <v>17</v>
      </c>
      <c r="D4" s="498">
        <v>215.0</v>
      </c>
      <c r="E4" s="500">
        <f t="shared" si="1"/>
        <v>0.2100429855</v>
      </c>
      <c r="G4" s="477"/>
      <c r="H4" s="258" t="s">
        <v>602</v>
      </c>
      <c r="I4" s="493"/>
      <c r="K4" s="249"/>
      <c r="L4" s="486"/>
      <c r="O4" s="477"/>
      <c r="P4" s="249"/>
    </row>
    <row r="5" ht="12.75" customHeight="1">
      <c r="A5" s="51" t="s">
        <v>470</v>
      </c>
      <c r="B5" s="157">
        <v>10.0</v>
      </c>
      <c r="C5" s="497">
        <f>IFERROR(__xludf.DUMMYFUNCTION("COUNTIF(ARRAYFORMULA(RIGHT(SPLIT($A$16:$A$87, ""★""), 1)), ""3"")"),11.0)</f>
        <v>11</v>
      </c>
      <c r="D5" s="498">
        <v>143.0</v>
      </c>
      <c r="E5" s="500">
        <f t="shared" si="1"/>
        <v>0.06985150449</v>
      </c>
      <c r="G5" s="477"/>
      <c r="H5" s="258" t="s">
        <v>604</v>
      </c>
      <c r="I5" s="502"/>
      <c r="K5" s="249"/>
      <c r="L5" s="486"/>
      <c r="O5" s="477"/>
      <c r="P5" s="249"/>
    </row>
    <row r="6" ht="12.75" customHeight="1">
      <c r="A6" s="51" t="s">
        <v>471</v>
      </c>
      <c r="B6" s="157">
        <v>5.0</v>
      </c>
      <c r="C6" s="497">
        <f>IFERROR(__xludf.DUMMYFUNCTION("COUNTIF(ARRAYFORMULA(RIGHT(SPLIT($A$16:$A$87, ""★""), 1)), ""4"")"),10.0)</f>
        <v>10</v>
      </c>
      <c r="D6" s="498">
        <v>112.0</v>
      </c>
      <c r="E6" s="500">
        <f t="shared" si="1"/>
        <v>0.02735443533</v>
      </c>
      <c r="G6" s="477"/>
      <c r="H6" s="258"/>
      <c r="I6" s="477"/>
      <c r="K6" s="249"/>
      <c r="L6" s="486"/>
      <c r="O6" s="477"/>
      <c r="P6" s="249"/>
    </row>
    <row r="7" ht="12.75" customHeight="1">
      <c r="A7" s="51" t="s">
        <v>472</v>
      </c>
      <c r="B7" s="157">
        <v>2.0</v>
      </c>
      <c r="C7" s="497">
        <f>IFERROR(__xludf.DUMMYFUNCTION("COUNTIF(ARRAYFORMULA(RIGHT(SPLIT($A$16:$A$87, ""★""), 1)), ""5"")"),13.0)</f>
        <v>13</v>
      </c>
      <c r="D7" s="498">
        <v>66.0</v>
      </c>
      <c r="E7" s="500">
        <f t="shared" si="1"/>
        <v>0.006447831184</v>
      </c>
      <c r="G7" s="477"/>
      <c r="H7" s="258"/>
      <c r="I7" s="502"/>
      <c r="K7" s="249"/>
      <c r="L7" s="486"/>
      <c r="O7" s="477"/>
      <c r="P7" s="249"/>
    </row>
    <row r="8" ht="12.75" customHeight="1">
      <c r="A8" s="477"/>
      <c r="C8" s="249"/>
      <c r="G8" s="477"/>
      <c r="H8" s="258"/>
      <c r="I8" s="493"/>
      <c r="K8" s="249"/>
      <c r="L8" s="486"/>
      <c r="O8" s="477"/>
      <c r="P8" s="249"/>
    </row>
    <row r="9" ht="12.75" customHeight="1">
      <c r="A9" s="477"/>
      <c r="G9" s="477"/>
      <c r="H9" s="249"/>
      <c r="I9" s="493"/>
      <c r="K9" s="249"/>
      <c r="L9" s="486"/>
      <c r="O9" s="477"/>
      <c r="P9" s="249"/>
    </row>
    <row r="10" ht="12.75" customHeight="1">
      <c r="A10" s="477"/>
      <c r="G10" s="477"/>
      <c r="H10" s="249"/>
      <c r="I10" s="493"/>
      <c r="K10" s="249"/>
      <c r="L10" s="486"/>
      <c r="O10" s="477"/>
      <c r="P10" s="249"/>
    </row>
    <row r="11" ht="12.75" customHeight="1">
      <c r="A11" s="477"/>
      <c r="G11" s="477"/>
      <c r="H11" s="249"/>
      <c r="I11" s="493"/>
      <c r="K11" s="477" t="s">
        <v>611</v>
      </c>
      <c r="O11" s="477"/>
      <c r="P11" s="249"/>
    </row>
    <row r="12" ht="12.75" customHeight="1">
      <c r="A12" s="477"/>
      <c r="G12" s="477"/>
      <c r="H12" s="249"/>
      <c r="I12" s="493"/>
      <c r="K12" s="258" t="s">
        <v>612</v>
      </c>
      <c r="L12" s="157">
        <v>55.0</v>
      </c>
      <c r="O12" s="477"/>
      <c r="P12" s="249"/>
    </row>
    <row r="13" ht="12.75" customHeight="1">
      <c r="A13" s="477"/>
      <c r="G13" s="477"/>
      <c r="H13" s="249"/>
      <c r="I13" s="493"/>
      <c r="K13" s="249"/>
      <c r="L13" s="486"/>
      <c r="O13" s="477"/>
      <c r="P13" s="249"/>
    </row>
    <row r="14" ht="12.75" customHeight="1">
      <c r="A14" s="477" t="s">
        <v>519</v>
      </c>
      <c r="G14" s="478" t="s">
        <v>613</v>
      </c>
      <c r="H14" s="249"/>
      <c r="I14" s="486"/>
      <c r="K14" s="249"/>
      <c r="L14" s="486"/>
      <c r="O14" s="478" t="s">
        <v>521</v>
      </c>
      <c r="P14" s="249"/>
      <c r="Q14" s="481"/>
    </row>
    <row r="15" ht="12.75" customHeight="1">
      <c r="A15" s="494" t="s">
        <v>524</v>
      </c>
      <c r="B15" s="494" t="s">
        <v>525</v>
      </c>
      <c r="C15" s="494" t="s">
        <v>526</v>
      </c>
      <c r="D15" s="249"/>
      <c r="E15" s="249"/>
      <c r="F15" s="249"/>
      <c r="G15" s="503" t="s">
        <v>524</v>
      </c>
      <c r="H15" s="494" t="s">
        <v>525</v>
      </c>
      <c r="I15" s="504" t="s">
        <v>527</v>
      </c>
      <c r="J15" s="477"/>
      <c r="K15" s="503" t="s">
        <v>617</v>
      </c>
      <c r="L15" s="503" t="s">
        <v>618</v>
      </c>
      <c r="M15" s="505"/>
      <c r="O15" s="503" t="s">
        <v>524</v>
      </c>
      <c r="P15" s="494" t="s">
        <v>525</v>
      </c>
      <c r="Q15" s="506" t="s">
        <v>527</v>
      </c>
    </row>
    <row r="16" ht="12.75" customHeight="1">
      <c r="A16" s="486" t="str">
        <f>AlbumConfig!B3&amp;" "&amp;AlbumConfig!E3</f>
        <v>Skull Isle - Compass 1★</v>
      </c>
      <c r="B16" s="497">
        <f>IFERROR(__xludf.DUMMYFUNCTION("index($B$3:$B$7, right(index(split(A16, ""★""),0,1)), 0)"),50.0)</f>
        <v>50</v>
      </c>
      <c r="C16" s="497">
        <f>IFERROR(__xludf.DUMMYFUNCTION("LET(
  ct, COUNTIF(ARRAYFORMULA(RIGHT(SPLIT($A$16:$A16, ""★""), 1)), TO_TEXT(RIGHT(SPLIT(A16, ""★""), 1))),
  n, index($C$3:$C$7, right(index(split(A16, ""★""), 0, 1), 1), 0),
  total, index($D$3:$D$7, right(index(split(A16, ""★""), 0, 1), 1), 0),
  base,"&amp;" INT(total/n),
  rem, total - base*n,
  index(MAP(SEQUENCE(n), LAMBDA(i, IF(i &lt;= rem, base+1, base))), ct, 0)
)"),14.0)</f>
        <v>14</v>
      </c>
      <c r="G16" s="480" t="str">
        <f t="array" ref="G16:I832">LET(
  names, A16:A87,
  weights, B16:B87,
  counts, C16:C87,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H16" s="249">
        <v>50.0</v>
      </c>
      <c r="I16" s="479">
        <v>0.0024423602969910123</v>
      </c>
      <c r="K16" s="489" t="str">
        <f>IFERROR(__xludf.DUMMYFUNCTION("LET(
  cards_raw,   G16:G949,
  weights_raw, H16:H949,
  valid,       ARRAYFORMULA((cards_raw&lt;&gt;"""")*ISNUMBER(weights_raw)),
  names,       FILTER(cards_raw, valid),
  wts,         FILTER(weights_raw, valid),
  pool_size,   ROWS(names),
  n,           MIN"&amp;"(L12, pool_size),
  idx,         SEQUENCE(pool_size),
  picks, REDUCE(
    SEQUENCE(n, 1, 0, 0),
    SEQUENCE(n),
    LAMBDA(picked, k,
      LET(
        alive,     ARRAYFORMULA(wts * (COUNTIF(picked, idx) = 0)),
        total,     SUM(alive),
        r,"&amp;"         RAND() * total,
        cum,       SCAN(0, alive, LAMBDA(a, x, a + x)),
        this_pick, XMATCH(r, cum, 1),
        ARRAYFORMULA(IF(SEQUENCE(n) = k, this_pick, picked))
      )
    )
  ),
  ARRAYFORMULA(XLOOKUP(picks, idx, names))
)"),"Gold Cove - Diamond 2★ #557")</f>
        <v>Gold Cove - Diamond 2★ #557</v>
      </c>
      <c r="L16" s="492"/>
      <c r="M16" s="499"/>
      <c r="O16" s="480" t="str">
        <f>IFERROR(__xludf.DUMMYFUNCTION("LET(
  pool,    G16:H949,
  picks,   L51:L113,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P16" s="249">
        <f>IFERROR(__xludf.DUMMYFUNCTION("""COMPUTED_VALUE"""),50.0)</f>
        <v>50</v>
      </c>
      <c r="Q16" s="479">
        <f>IFERROR(__xludf.DUMMYFUNCTION("if(P16="""", """", P16/sum(filter($P$16:$P$949, $P$16:$P$949&lt;&gt;"""")))"),0.0024423602969910123)</f>
        <v>0.002442360297</v>
      </c>
    </row>
    <row r="17" ht="12.75" customHeight="1">
      <c r="A17" s="486" t="str">
        <f>AlbumConfig!B4&amp;" "&amp;AlbumConfig!E4</f>
        <v>Skull Isle - Map 1★</v>
      </c>
      <c r="B17" s="497">
        <f>IFERROR(__xludf.DUMMYFUNCTION("index($B$3:$B$7, right(index(split(A17, ""★""),0,1)), 0)"),50.0)</f>
        <v>50</v>
      </c>
      <c r="C17" s="497">
        <f>IFERROR(__xludf.DUMMYFUNCTION("LET(
  ct, COUNTIF(ARRAYFORMULA(RIGHT(SPLIT($A$16:$A17, ""★""), 1)), TO_TEXT(RIGHT(SPLIT(A17, ""★""), 1))),
  n, index($C$3:$C$7, right(index(split(A17, ""★""), 0, 1), 1), 0),
  total, index($D$3:$D$7, right(index(split(A17, ""★""), 0, 1), 1), 0),
  base,"&amp;" INT(total/n),
  rem, total - base*n,
  index(MAP(SEQUENCE(n), LAMBDA(i, IF(i &lt;= rem, base+1, base))), ct, 0)
)"),14.0)</f>
        <v>14</v>
      </c>
      <c r="G17" s="480" t="s">
        <v>536</v>
      </c>
      <c r="H17" s="249">
        <v>50.0</v>
      </c>
      <c r="I17" s="479">
        <v>0.0024423602969910123</v>
      </c>
      <c r="K17" s="489" t="str">
        <f>IFERROR(__xludf.DUMMYFUNCTION("""COMPUTED_VALUE"""),"Storm Port - Lightning 1★ #C3E")</f>
        <v>Storm Port - Lightning 1★ #C3E</v>
      </c>
      <c r="L17" s="480"/>
      <c r="M17" s="499"/>
      <c r="O17" s="480" t="str">
        <f>IFERROR(__xludf.DUMMYFUNCTION("""COMPUTED_VALUE"""),"Skull Isle - Compass 1★ #9F5")</f>
        <v>Skull Isle - Compass 1★ #9F5</v>
      </c>
      <c r="P17" s="249">
        <f>IFERROR(__xludf.DUMMYFUNCTION("""COMPUTED_VALUE"""),50.0)</f>
        <v>50</v>
      </c>
      <c r="Q17" s="479">
        <f>IFERROR(__xludf.DUMMYFUNCTION("if(P17="""", """", P17/sum(filter($P$16:$P$949, $P$16:$P$949&lt;&gt;"""")))"),0.0024423602969910123)</f>
        <v>0.002442360297</v>
      </c>
    </row>
    <row r="18" ht="12.75" customHeight="1">
      <c r="A18" s="486" t="str">
        <f>AlbumConfig!B5&amp;" "&amp;AlbumConfig!E5</f>
        <v>Skull Isle - Spyglass 1★</v>
      </c>
      <c r="B18" s="497">
        <f>IFERROR(__xludf.DUMMYFUNCTION("index($B$3:$B$7, right(index(split(A18, ""★""),0,1)), 0)"),50.0)</f>
        <v>50</v>
      </c>
      <c r="C18" s="497">
        <f>IFERROR(__xludf.DUMMYFUNCTION("LET(
  ct, COUNTIF(ARRAYFORMULA(RIGHT(SPLIT($A$16:$A18, ""★""), 1)), TO_TEXT(RIGHT(SPLIT(A18, ""★""), 1))),
  n, index($C$3:$C$7, right(index(split(A18, ""★""), 0, 1), 1), 0),
  total, index($D$3:$D$7, right(index(split(A18, ""★""), 0, 1), 1), 0),
  base,"&amp;" INT(total/n),
  rem, total - base*n,
  index(MAP(SEQUENCE(n), LAMBDA(i, IF(i &lt;= rem, base+1, base))), ct, 0)
)"),14.0)</f>
        <v>14</v>
      </c>
      <c r="G18" s="480" t="s">
        <v>539</v>
      </c>
      <c r="H18" s="249">
        <v>50.0</v>
      </c>
      <c r="I18" s="479">
        <v>0.0024423602969910123</v>
      </c>
      <c r="K18" s="489" t="str">
        <f>IFERROR(__xludf.DUMMYFUNCTION("""COMPUTED_VALUE"""),"Gold Cove - Doubloon 1★ #90F")</f>
        <v>Gold Cove - Doubloon 1★ #90F</v>
      </c>
      <c r="L18" s="489" t="s">
        <v>540</v>
      </c>
      <c r="M18" s="499"/>
      <c r="O18" s="480" t="str">
        <f>IFERROR(__xludf.DUMMYFUNCTION("""COMPUTED_VALUE"""),"Skull Isle - Compass 1★ #4AA")</f>
        <v>Skull Isle - Compass 1★ #4AA</v>
      </c>
      <c r="P18" s="249">
        <f>IFERROR(__xludf.DUMMYFUNCTION("""COMPUTED_VALUE"""),50.0)</f>
        <v>50</v>
      </c>
      <c r="Q18" s="479">
        <f>IFERROR(__xludf.DUMMYFUNCTION("if(P18="""", """", P18/sum(filter($P$16:$P$949, $P$16:$P$949&lt;&gt;"""")))"),0.0024423602969910123)</f>
        <v>0.002442360297</v>
      </c>
    </row>
    <row r="19" ht="12.75" customHeight="1">
      <c r="A19" s="486" t="str">
        <f>AlbumConfig!B6&amp;" "&amp;AlbumConfig!E6</f>
        <v>Skull Isle - Anchor 1★</v>
      </c>
      <c r="B19" s="497">
        <f>IFERROR(__xludf.DUMMYFUNCTION("index($B$3:$B$7, right(index(split(A19, ""★""),0,1)), 0)"),50.0)</f>
        <v>50</v>
      </c>
      <c r="C19" s="497">
        <f>IFERROR(__xludf.DUMMYFUNCTION("LET(
  ct, COUNTIF(ARRAYFORMULA(RIGHT(SPLIT($A$16:$A19, ""★""), 1)), TO_TEXT(RIGHT(SPLIT(A19, ""★""), 1))),
  n, index($C$3:$C$7, right(index(split(A19, ""★""), 0, 1), 1), 0),
  total, index($D$3:$D$7, right(index(split(A19, ""★""), 0, 1), 1), 0),
  base,"&amp;" INT(total/n),
  rem, total - base*n,
  index(MAP(SEQUENCE(n), LAMBDA(i, IF(i &lt;= rem, base+1, base))), ct, 0)
)"),14.0)</f>
        <v>14</v>
      </c>
      <c r="G19" s="480" t="s">
        <v>543</v>
      </c>
      <c r="H19" s="249">
        <v>50.0</v>
      </c>
      <c r="I19" s="479">
        <v>0.0024423602969910123</v>
      </c>
      <c r="K19" s="489" t="str">
        <f>IFERROR(__xludf.DUMMYFUNCTION("""COMPUTED_VALUE"""),"Gold Cove - Doubloon 1★ #E5A")</f>
        <v>Gold Cove - Doubloon 1★ #E5A</v>
      </c>
      <c r="L19" s="490" t="str">
        <f>IFERROR(__xludf.DUMMYFUNCTION("LET(
  list,  L51:L113,
  stars, ARRAYFORMULA(IFERROR(REGEXEXTRACT(list, ""\d+★""))),
  clean, FILTER(stars, stars&lt;&gt;""""),
  u,     SORT(UNIQUE(clean)),
  HSTACK(u, ARRAYFORMULA(COUNTIF(clean, u)))
)"),"1★")</f>
        <v>1★</v>
      </c>
      <c r="M19" s="507">
        <f>IFERROR(__xludf.DUMMYFUNCTION("""COMPUTED_VALUE"""),10.0)</f>
        <v>10</v>
      </c>
      <c r="O19" s="480" t="str">
        <f>IFERROR(__xludf.DUMMYFUNCTION("""COMPUTED_VALUE"""),"Skull Isle - Compass 1★ #F5F")</f>
        <v>Skull Isle - Compass 1★ #F5F</v>
      </c>
      <c r="P19" s="249">
        <f>IFERROR(__xludf.DUMMYFUNCTION("""COMPUTED_VALUE"""),50.0)</f>
        <v>50</v>
      </c>
      <c r="Q19" s="479">
        <f>IFERROR(__xludf.DUMMYFUNCTION("if(P19="""", """", P19/sum(filter($P$16:$P$949, $P$16:$P$949&lt;&gt;"""")))"),0.0024423602969910123)</f>
        <v>0.002442360297</v>
      </c>
    </row>
    <row r="20" ht="12.75" customHeight="1">
      <c r="A20" s="486" t="str">
        <f>AlbumConfig!B7&amp;" "&amp;AlbumConfig!E7</f>
        <v>Skull Isle - Helm 2★</v>
      </c>
      <c r="B20" s="497">
        <f>IFERROR(__xludf.DUMMYFUNCTION("index($B$3:$B$7, right(index(split(A20, ""★""),0,1)), 0)"),20.0)</f>
        <v>20</v>
      </c>
      <c r="C20" s="497">
        <f>IFERROR(__xludf.DUMMYFUNCTION("LET(
  ct, COUNTIF(ARRAYFORMULA(RIGHT(SPLIT($A$16:$A20, ""★""), 1)), TO_TEXT(RIGHT(SPLIT(A20, ""★""), 1))),
  n, index($C$3:$C$7, right(index(split(A20, ""★""), 0, 1), 1), 0),
  total, index($D$3:$D$7, right(index(split(A20, ""★""), 0, 1), 1), 0),
  base,"&amp;" INT(total/n),
  rem, total - base*n,
  index(MAP(SEQUENCE(n), LAMBDA(i, IF(i &lt;= rem, base+1, base))), ct, 0)
)"),13.0)</f>
        <v>13</v>
      </c>
      <c r="G20" s="480" t="s">
        <v>546</v>
      </c>
      <c r="H20" s="249">
        <v>50.0</v>
      </c>
      <c r="I20" s="479">
        <v>0.0024423602969910123</v>
      </c>
      <c r="K20" s="489" t="str">
        <f>IFERROR(__xludf.DUMMYFUNCTION("""COMPUTED_VALUE"""),"Storm Port - Rope 2★ #D55")</f>
        <v>Storm Port - Rope 2★ #D55</v>
      </c>
      <c r="L20" s="487" t="str">
        <f>IFERROR(__xludf.DUMMYFUNCTION("""COMPUTED_VALUE"""),"2★")</f>
        <v>2★</v>
      </c>
      <c r="M20" s="507">
        <f>IFERROR(__xludf.DUMMYFUNCTION("""COMPUTED_VALUE"""),7.0)</f>
        <v>7</v>
      </c>
      <c r="O20" s="480" t="str">
        <f>IFERROR(__xludf.DUMMYFUNCTION("""COMPUTED_VALUE"""),"Skull Isle - Compass 1★ #A14")</f>
        <v>Skull Isle - Compass 1★ #A14</v>
      </c>
      <c r="P20" s="249">
        <f>IFERROR(__xludf.DUMMYFUNCTION("""COMPUTED_VALUE"""),50.0)</f>
        <v>50</v>
      </c>
      <c r="Q20" s="479">
        <f>IFERROR(__xludf.DUMMYFUNCTION("if(P20="""", """", P20/sum(filter($P$16:$P$949, $P$16:$P$949&lt;&gt;"""")))"),0.0024423602969910123)</f>
        <v>0.002442360297</v>
      </c>
    </row>
    <row r="21" ht="12.75" customHeight="1">
      <c r="A21" s="486" t="str">
        <f>AlbumConfig!B8&amp;" "&amp;AlbumConfig!E8</f>
        <v>Skull Isle - Cutlass 2★</v>
      </c>
      <c r="B21" s="497">
        <f>IFERROR(__xludf.DUMMYFUNCTION("index($B$3:$B$7, right(index(split(A21, ""★""),0,1)), 0)"),20.0)</f>
        <v>20</v>
      </c>
      <c r="C21" s="497">
        <f>IFERROR(__xludf.DUMMYFUNCTION("LET(
  ct, COUNTIF(ARRAYFORMULA(RIGHT(SPLIT($A$16:$A21, ""★""), 1)), TO_TEXT(RIGHT(SPLIT(A21, ""★""), 1))),
  n, index($C$3:$C$7, right(index(split(A21, ""★""), 0, 1), 1), 0),
  total, index($D$3:$D$7, right(index(split(A21, ""★""), 0, 1), 1), 0),
  base,"&amp;" INT(total/n),
  rem, total - base*n,
  index(MAP(SEQUENCE(n), LAMBDA(i, IF(i &lt;= rem, base+1, base))), ct, 0)
)"),13.0)</f>
        <v>13</v>
      </c>
      <c r="G21" s="480" t="s">
        <v>549</v>
      </c>
      <c r="H21" s="249">
        <v>50.0</v>
      </c>
      <c r="I21" s="479">
        <v>0.0024423602969910123</v>
      </c>
      <c r="K21" s="489" t="str">
        <f>IFERROR(__xludf.DUMMYFUNCTION("""COMPUTED_VALUE"""),"Skull Isle - Compass 1★ #4C9")</f>
        <v>Skull Isle - Compass 1★ #4C9</v>
      </c>
      <c r="L21" s="487" t="str">
        <f>IFERROR(__xludf.DUMMYFUNCTION("""COMPUTED_VALUE"""),"3★")</f>
        <v>3★</v>
      </c>
      <c r="M21" s="507">
        <f>IFERROR(__xludf.DUMMYFUNCTION("""COMPUTED_VALUE"""),2.0)</f>
        <v>2</v>
      </c>
      <c r="O21" s="480" t="str">
        <f>IFERROR(__xludf.DUMMYFUNCTION("""COMPUTED_VALUE"""),"Skull Isle - Compass 1★ #4C9")</f>
        <v>Skull Isle - Compass 1★ #4C9</v>
      </c>
      <c r="P21" s="249">
        <f>IFERROR(__xludf.DUMMYFUNCTION("""COMPUTED_VALUE"""),50.0)</f>
        <v>50</v>
      </c>
      <c r="Q21" s="479">
        <f>IFERROR(__xludf.DUMMYFUNCTION("if(P21="""", """", P21/sum(filter($P$16:$P$949, $P$16:$P$949&lt;&gt;"""")))"),0.0024423602969910123)</f>
        <v>0.002442360297</v>
      </c>
    </row>
    <row r="22" ht="12.75" customHeight="1">
      <c r="A22" s="486" t="str">
        <f>AlbumConfig!B9&amp;" "&amp;AlbumConfig!E9</f>
        <v>Skull Isle - Parrot 2★</v>
      </c>
      <c r="B22" s="497">
        <f>IFERROR(__xludf.DUMMYFUNCTION("index($B$3:$B$7, right(index(split(A22, ""★""),0,1)), 0)"),20.0)</f>
        <v>20</v>
      </c>
      <c r="C22" s="497">
        <f>IFERROR(__xludf.DUMMYFUNCTION("LET(
  ct, COUNTIF(ARRAYFORMULA(RIGHT(SPLIT($A$16:$A22, ""★""), 1)), TO_TEXT(RIGHT(SPLIT(A22, ""★""), 1))),
  n, index($C$3:$C$7, right(index(split(A22, ""★""), 0, 1), 1), 0),
  total, index($D$3:$D$7, right(index(split(A22, ""★""), 0, 1), 1), 0),
  base,"&amp;" INT(total/n),
  rem, total - base*n,
  index(MAP(SEQUENCE(n), LAMBDA(i, IF(i &lt;= rem, base+1, base))), ct, 0)
)"),13.0)</f>
        <v>13</v>
      </c>
      <c r="G22" s="480" t="s">
        <v>552</v>
      </c>
      <c r="H22" s="249">
        <v>50.0</v>
      </c>
      <c r="I22" s="479">
        <v>0.0024423602969910123</v>
      </c>
      <c r="K22" s="489" t="str">
        <f>IFERROR(__xludf.DUMMYFUNCTION("""COMPUTED_VALUE"""),"Kraken Lair - Pearl 1★ #AD7")</f>
        <v>Kraken Lair - Pearl 1★ #AD7</v>
      </c>
      <c r="L22" s="487"/>
      <c r="M22" s="499"/>
      <c r="O22" s="480" t="str">
        <f>IFERROR(__xludf.DUMMYFUNCTION("""COMPUTED_VALUE"""),"Skull Isle - Compass 1★ #F7E")</f>
        <v>Skull Isle - Compass 1★ #F7E</v>
      </c>
      <c r="P22" s="249">
        <f>IFERROR(__xludf.DUMMYFUNCTION("""COMPUTED_VALUE"""),50.0)</f>
        <v>50</v>
      </c>
      <c r="Q22" s="479">
        <f>IFERROR(__xludf.DUMMYFUNCTION("if(P22="""", """", P22/sum(filter($P$16:$P$949, $P$16:$P$949&lt;&gt;"""")))"),0.0024423602969910123)</f>
        <v>0.002442360297</v>
      </c>
    </row>
    <row r="23" ht="12.75" customHeight="1">
      <c r="A23" s="486" t="str">
        <f>AlbumConfig!B10&amp;" "&amp;AlbumConfig!E10</f>
        <v>Skull Isle - Chest 3★</v>
      </c>
      <c r="B23" s="497">
        <f>IFERROR(__xludf.DUMMYFUNCTION("index($B$3:$B$7, right(index(split(A23, ""★""),0,1)), 0)"),10.0)</f>
        <v>10</v>
      </c>
      <c r="C23" s="497">
        <f>IFERROR(__xludf.DUMMYFUNCTION("LET(
  ct, COUNTIF(ARRAYFORMULA(RIGHT(SPLIT($A$16:$A23, ""★""), 1)), TO_TEXT(RIGHT(SPLIT(A23, ""★""), 1))),
  n, index($C$3:$C$7, right(index(split(A23, ""★""), 0, 1), 1), 0),
  total, index($D$3:$D$7, right(index(split(A23, ""★""), 0, 1), 1), 0),
  base,"&amp;" INT(total/n),
  rem, total - base*n,
  index(MAP(SEQUENCE(n), LAMBDA(i, IF(i &lt;= rem, base+1, base))), ct, 0)
)"),13.0)</f>
        <v>13</v>
      </c>
      <c r="G23" s="480" t="s">
        <v>556</v>
      </c>
      <c r="H23" s="249">
        <v>50.0</v>
      </c>
      <c r="I23" s="479">
        <v>0.0024423602969910123</v>
      </c>
      <c r="K23" s="489" t="str">
        <f>IFERROR(__xludf.DUMMYFUNCTION("""COMPUTED_VALUE"""),"Gold Cove - Crown 2★ #B1E")</f>
        <v>Gold Cove - Crown 2★ #B1E</v>
      </c>
      <c r="L23" s="487"/>
      <c r="M23" s="499"/>
      <c r="O23" s="480" t="str">
        <f>IFERROR(__xludf.DUMMYFUNCTION("""COMPUTED_VALUE"""),"Skull Isle - Compass 1★ #A33")</f>
        <v>Skull Isle - Compass 1★ #A33</v>
      </c>
      <c r="P23" s="249">
        <f>IFERROR(__xludf.DUMMYFUNCTION("""COMPUTED_VALUE"""),50.0)</f>
        <v>50</v>
      </c>
      <c r="Q23" s="479">
        <f>IFERROR(__xludf.DUMMYFUNCTION("if(P23="""", """", P23/sum(filter($P$16:$P$949, $P$16:$P$949&lt;&gt;"""")))"),0.0024423602969910123)</f>
        <v>0.002442360297</v>
      </c>
    </row>
    <row r="24" ht="12.75" customHeight="1">
      <c r="A24" s="486" t="str">
        <f>AlbumConfig!B11&amp;" "&amp;AlbumConfig!E11</f>
        <v>Skull Isle - Skull 3★</v>
      </c>
      <c r="B24" s="497">
        <f>IFERROR(__xludf.DUMMYFUNCTION("index($B$3:$B$7, right(index(split(A24, ""★""),0,1)), 0)"),10.0)</f>
        <v>10</v>
      </c>
      <c r="C24" s="497">
        <f>IFERROR(__xludf.DUMMYFUNCTION("LET(
  ct, COUNTIF(ARRAYFORMULA(RIGHT(SPLIT($A$16:$A24, ""★""), 1)), TO_TEXT(RIGHT(SPLIT(A24, ""★""), 1))),
  n, index($C$3:$C$7, right(index(split(A24, ""★""), 0, 1), 1), 0),
  total, index($D$3:$D$7, right(index(split(A24, ""★""), 0, 1), 1), 0),
  base,"&amp;" INT(total/n),
  rem, total - base*n,
  index(MAP(SEQUENCE(n), LAMBDA(i, IF(i &lt;= rem, base+1, base))), ct, 0)
)"),13.0)</f>
        <v>13</v>
      </c>
      <c r="G24" s="480" t="s">
        <v>559</v>
      </c>
      <c r="H24" s="249">
        <v>50.0</v>
      </c>
      <c r="I24" s="479">
        <v>0.0024423602969910123</v>
      </c>
      <c r="K24" s="489" t="str">
        <f>IFERROR(__xludf.DUMMYFUNCTION("""COMPUTED_VALUE"""),"Kraken Lair - Tentacle 1★ #F2A")</f>
        <v>Kraken Lair - Tentacle 1★ #F2A</v>
      </c>
      <c r="L24" s="489" t="s">
        <v>741</v>
      </c>
      <c r="M24" s="499"/>
      <c r="O24" s="480" t="str">
        <f>IFERROR(__xludf.DUMMYFUNCTION("""COMPUTED_VALUE"""),"Skull Isle - Compass 1★ #4E8")</f>
        <v>Skull Isle - Compass 1★ #4E8</v>
      </c>
      <c r="P24" s="249">
        <f>IFERROR(__xludf.DUMMYFUNCTION("""COMPUTED_VALUE"""),50.0)</f>
        <v>50</v>
      </c>
      <c r="Q24" s="479">
        <f>IFERROR(__xludf.DUMMYFUNCTION("if(P24="""", """", P24/sum(filter($P$16:$P$949, $P$16:$P$949&lt;&gt;"""")))"),0.0024423602969910123)</f>
        <v>0.002442360297</v>
      </c>
    </row>
    <row r="25" ht="12.75" customHeight="1">
      <c r="A25" s="486" t="str">
        <f>AlbumConfig!B12&amp;" "&amp;AlbumConfig!E12</f>
        <v>Kraken Lair - Tentacle 1★</v>
      </c>
      <c r="B25" s="497">
        <f>IFERROR(__xludf.DUMMYFUNCTION("index($B$3:$B$7, right(index(split(A25, ""★""),0,1)), 0)"),50.0)</f>
        <v>50</v>
      </c>
      <c r="C25" s="497">
        <f>IFERROR(__xludf.DUMMYFUNCTION("LET(
  ct, COUNTIF(ARRAYFORMULA(RIGHT(SPLIT($A$16:$A25, ""★""), 1)), TO_TEXT(RIGHT(SPLIT(A25, ""★""), 1))),
  n, index($C$3:$C$7, right(index(split(A25, ""★""), 0, 1), 1), 0),
  total, index($D$3:$D$7, right(index(split(A25, ""★""), 0, 1), 1), 0),
  base,"&amp;" INT(total/n),
  rem, total - base*n,
  index(MAP(SEQUENCE(n), LAMBDA(i, IF(i &lt;= rem, base+1, base))), ct, 0)
)"),14.0)</f>
        <v>14</v>
      </c>
      <c r="G25" s="480" t="s">
        <v>564</v>
      </c>
      <c r="H25" s="249">
        <v>50.0</v>
      </c>
      <c r="I25" s="479">
        <v>0.0024423602969910123</v>
      </c>
      <c r="K25" s="489" t="str">
        <f>IFERROR(__xludf.DUMMYFUNCTION("""COMPUTED_VALUE"""),"Siren Reef - Comb 2★ #FAB")</f>
        <v>Siren Reef - Comb 2★ #FAB</v>
      </c>
      <c r="L25" s="480" t="str">
        <f t="shared" ref="L25:L28" si="2">L19</f>
        <v>1★</v>
      </c>
      <c r="M25" s="508">
        <f t="shared" ref="M25:M28" si="3">if(L25="", "", M19/sum($M$19:$M$23))</f>
        <v>0.5263157895</v>
      </c>
      <c r="O25" s="480" t="str">
        <f>IFERROR(__xludf.DUMMYFUNCTION("""COMPUTED_VALUE"""),"Skull Isle - Compass 1★ #F9D")</f>
        <v>Skull Isle - Compass 1★ #F9D</v>
      </c>
      <c r="P25" s="249">
        <f>IFERROR(__xludf.DUMMYFUNCTION("""COMPUTED_VALUE"""),50.0)</f>
        <v>50</v>
      </c>
      <c r="Q25" s="479">
        <f>IFERROR(__xludf.DUMMYFUNCTION("if(P25="""", """", P25/sum(filter($P$16:$P$949, $P$16:$P$949&lt;&gt;"""")))"),0.0024423602969910123)</f>
        <v>0.002442360297</v>
      </c>
    </row>
    <row r="26" ht="12.75" customHeight="1">
      <c r="A26" s="486" t="str">
        <f>AlbumConfig!B13&amp;" "&amp;AlbumConfig!E13</f>
        <v>Kraken Lair - Ink Cloud 1★</v>
      </c>
      <c r="B26" s="497">
        <f>IFERROR(__xludf.DUMMYFUNCTION("index($B$3:$B$7, right(index(split(A26, ""★""),0,1)), 0)"),50.0)</f>
        <v>50</v>
      </c>
      <c r="C26" s="497">
        <f>IFERROR(__xludf.DUMMYFUNCTION("LET(
  ct, COUNTIF(ARRAYFORMULA(RIGHT(SPLIT($A$16:$A26, ""★""), 1)), TO_TEXT(RIGHT(SPLIT(A26, ""★""), 1))),
  n, index($C$3:$C$7, right(index(split(A26, ""★""), 0, 1), 1), 0),
  total, index($D$3:$D$7, right(index(split(A26, ""★""), 0, 1), 1), 0),
  base,"&amp;" INT(total/n),
  rem, total - base*n,
  index(MAP(SEQUENCE(n), LAMBDA(i, IF(i &lt;= rem, base+1, base))), ct, 0)
)"),14.0)</f>
        <v>14</v>
      </c>
      <c r="G26" s="480" t="s">
        <v>752</v>
      </c>
      <c r="H26" s="249">
        <v>50.0</v>
      </c>
      <c r="I26" s="479">
        <v>0.0024423602969910123</v>
      </c>
      <c r="K26" s="489" t="str">
        <f>IFERROR(__xludf.DUMMYFUNCTION("""COMPUTED_VALUE"""),"Skull Isle - Chest 3★ #DF4")</f>
        <v>Skull Isle - Chest 3★ #DF4</v>
      </c>
      <c r="L26" s="480" t="str">
        <f t="shared" si="2"/>
        <v>2★</v>
      </c>
      <c r="M26" s="508">
        <f t="shared" si="3"/>
        <v>0.3684210526</v>
      </c>
      <c r="O26" s="480" t="str">
        <f>IFERROR(__xludf.DUMMYFUNCTION("""COMPUTED_VALUE"""),"Skull Isle - Compass 1★ #A52")</f>
        <v>Skull Isle - Compass 1★ #A52</v>
      </c>
      <c r="P26" s="249">
        <f>IFERROR(__xludf.DUMMYFUNCTION("""COMPUTED_VALUE"""),50.0)</f>
        <v>50</v>
      </c>
      <c r="Q26" s="479">
        <f>IFERROR(__xludf.DUMMYFUNCTION("if(P26="""", """", P26/sum(filter($P$16:$P$949, $P$16:$P$949&lt;&gt;"""")))"),0.0024423602969910123)</f>
        <v>0.002442360297</v>
      </c>
    </row>
    <row r="27" ht="12.75" customHeight="1">
      <c r="A27" s="486" t="str">
        <f>AlbumConfig!B14&amp;" "&amp;AlbumConfig!E14</f>
        <v>Kraken Lair - Pearl 1★</v>
      </c>
      <c r="B27" s="497">
        <f>IFERROR(__xludf.DUMMYFUNCTION("index($B$3:$B$7, right(index(split(A27, ""★""),0,1)), 0)"),50.0)</f>
        <v>50</v>
      </c>
      <c r="C27" s="497">
        <f>IFERROR(__xludf.DUMMYFUNCTION("LET(
  ct, COUNTIF(ARRAYFORMULA(RIGHT(SPLIT($A$16:$A27, ""★""), 1)), TO_TEXT(RIGHT(SPLIT(A27, ""★""), 1))),
  n, index($C$3:$C$7, right(index(split(A27, ""★""), 0, 1), 1), 0),
  total, index($D$3:$D$7, right(index(split(A27, ""★""), 0, 1), 1), 0),
  base,"&amp;" INT(total/n),
  rem, total - base*n,
  index(MAP(SEQUENCE(n), LAMBDA(i, IF(i &lt;= rem, base+1, base))), ct, 0)
)"),14.0)</f>
        <v>14</v>
      </c>
      <c r="G27" s="480" t="s">
        <v>755</v>
      </c>
      <c r="H27" s="249">
        <v>50.0</v>
      </c>
      <c r="I27" s="479">
        <v>0.0024423602969910123</v>
      </c>
      <c r="K27" s="489" t="str">
        <f>IFERROR(__xludf.DUMMYFUNCTION("""COMPUTED_VALUE"""),"Gold Cove - Ring 4★ #766")</f>
        <v>Gold Cove - Ring 4★ #766</v>
      </c>
      <c r="L27" s="480" t="str">
        <f t="shared" si="2"/>
        <v>3★</v>
      </c>
      <c r="M27" s="508">
        <f t="shared" si="3"/>
        <v>0.1052631579</v>
      </c>
      <c r="O27" s="480" t="str">
        <f>IFERROR(__xludf.DUMMYFUNCTION("""COMPUTED_VALUE"""),"Skull Isle - Compass 1★ #507")</f>
        <v>Skull Isle - Compass 1★ #507</v>
      </c>
      <c r="P27" s="249">
        <f>IFERROR(__xludf.DUMMYFUNCTION("""COMPUTED_VALUE"""),50.0)</f>
        <v>50</v>
      </c>
      <c r="Q27" s="479">
        <f>IFERROR(__xludf.DUMMYFUNCTION("if(P27="""", """", P27/sum(filter($P$16:$P$949, $P$16:$P$949&lt;&gt;"""")))"),0.0024423602969910123)</f>
        <v>0.002442360297</v>
      </c>
    </row>
    <row r="28" ht="12.75" customHeight="1">
      <c r="A28" s="486" t="str">
        <f>AlbumConfig!B15&amp;" "&amp;AlbumConfig!E15</f>
        <v>Kraken Lair - Trident 1★</v>
      </c>
      <c r="B28" s="497">
        <f>IFERROR(__xludf.DUMMYFUNCTION("index($B$3:$B$7, right(index(split(A28, ""★""),0,1)), 0)"),50.0)</f>
        <v>50</v>
      </c>
      <c r="C28" s="497">
        <f>IFERROR(__xludf.DUMMYFUNCTION("LET(
  ct, COUNTIF(ARRAYFORMULA(RIGHT(SPLIT($A$16:$A28, ""★""), 1)), TO_TEXT(RIGHT(SPLIT(A28, ""★""), 1))),
  n, index($C$3:$C$7, right(index(split(A28, ""★""), 0, 1), 1), 0),
  total, index($D$3:$D$7, right(index(split(A28, ""★""), 0, 1), 1), 0),
  base,"&amp;" INT(total/n),
  rem, total - base*n,
  index(MAP(SEQUENCE(n), LAMBDA(i, IF(i &lt;= rem, base+1, base))), ct, 0)
)"),14.0)</f>
        <v>14</v>
      </c>
      <c r="G28" s="480" t="s">
        <v>770</v>
      </c>
      <c r="H28" s="249">
        <v>50.0</v>
      </c>
      <c r="I28" s="479">
        <v>0.0024423602969910123</v>
      </c>
      <c r="K28" s="489" t="str">
        <f>IFERROR(__xludf.DUMMYFUNCTION("""COMPUTED_VALUE"""),"Dead Man Bay - Rum 1★ #2B2")</f>
        <v>Dead Man Bay - Rum 1★ #2B2</v>
      </c>
      <c r="L28" s="480" t="str">
        <f t="shared" si="2"/>
        <v/>
      </c>
      <c r="M28" s="479" t="str">
        <f t="shared" si="3"/>
        <v/>
      </c>
      <c r="O28" s="480" t="str">
        <f>IFERROR(__xludf.DUMMYFUNCTION("""COMPUTED_VALUE"""),"Skull Isle - Compass 1★ #FBC")</f>
        <v>Skull Isle - Compass 1★ #FBC</v>
      </c>
      <c r="P28" s="249">
        <f>IFERROR(__xludf.DUMMYFUNCTION("""COMPUTED_VALUE"""),50.0)</f>
        <v>50</v>
      </c>
      <c r="Q28" s="479">
        <f>IFERROR(__xludf.DUMMYFUNCTION("if(P28="""", """", P28/sum(filter($P$16:$P$949, $P$16:$P$949&lt;&gt;"""")))"),0.0024423602969910123)</f>
        <v>0.002442360297</v>
      </c>
    </row>
    <row r="29" ht="12.75" customHeight="1">
      <c r="A29" s="486" t="str">
        <f>AlbumConfig!B16&amp;" "&amp;AlbumConfig!E16</f>
        <v>Kraken Lair - Shell 2★</v>
      </c>
      <c r="B29" s="497">
        <f>IFERROR(__xludf.DUMMYFUNCTION("index($B$3:$B$7, right(index(split(A29, ""★""),0,1)), 0)"),20.0)</f>
        <v>20</v>
      </c>
      <c r="C29" s="497">
        <f>IFERROR(__xludf.DUMMYFUNCTION("LET(
  ct, COUNTIF(ARRAYFORMULA(RIGHT(SPLIT($A$16:$A29, ""★""), 1)), TO_TEXT(RIGHT(SPLIT(A29, ""★""), 1))),
  n, index($C$3:$C$7, right(index(split(A29, ""★""), 0, 1), 1), 0),
  total, index($D$3:$D$7, right(index(split(A29, ""★""), 0, 1), 1), 0),
  base,"&amp;" INT(total/n),
  rem, total - base*n,
  index(MAP(SEQUENCE(n), LAMBDA(i, IF(i &lt;= rem, base+1, base))), ct, 0)
)"),13.0)</f>
        <v>13</v>
      </c>
      <c r="G29" s="480" t="s">
        <v>782</v>
      </c>
      <c r="H29" s="249">
        <v>50.0</v>
      </c>
      <c r="I29" s="479">
        <v>0.0024423602969910123</v>
      </c>
      <c r="K29" s="489" t="str">
        <f>IFERROR(__xludf.DUMMYFUNCTION("""COMPUTED_VALUE"""),"Gold Cove - Ruby 1★ #9E8")</f>
        <v>Gold Cove - Ruby 1★ #9E8</v>
      </c>
      <c r="L29" s="492"/>
      <c r="M29" s="499"/>
      <c r="O29" s="480" t="str">
        <f>IFERROR(__xludf.DUMMYFUNCTION("""COMPUTED_VALUE"""),"Skull Isle - Compass 1★ #A71")</f>
        <v>Skull Isle - Compass 1★ #A71</v>
      </c>
      <c r="P29" s="249">
        <f>IFERROR(__xludf.DUMMYFUNCTION("""COMPUTED_VALUE"""),50.0)</f>
        <v>50</v>
      </c>
      <c r="Q29" s="479">
        <f>IFERROR(__xludf.DUMMYFUNCTION("if(P29="""", """", P29/sum(filter($P$16:$P$949, $P$16:$P$949&lt;&gt;"""")))"),0.0024423602969910123)</f>
        <v>0.002442360297</v>
      </c>
    </row>
    <row r="30" ht="12.75" customHeight="1">
      <c r="A30" s="486" t="str">
        <f>AlbumConfig!B17&amp;" "&amp;AlbumConfig!E17</f>
        <v>Kraken Lair - Coral 2★</v>
      </c>
      <c r="B30" s="497">
        <f>IFERROR(__xludf.DUMMYFUNCTION("index($B$3:$B$7, right(index(split(A30, ""★""),0,1)), 0)"),20.0)</f>
        <v>20</v>
      </c>
      <c r="C30" s="497">
        <f>IFERROR(__xludf.DUMMYFUNCTION("LET(
  ct, COUNTIF(ARRAYFORMULA(RIGHT(SPLIT($A$16:$A30, ""★""), 1)), TO_TEXT(RIGHT(SPLIT(A30, ""★""), 1))),
  n, index($C$3:$C$7, right(index(split(A30, ""★""), 0, 1), 1), 0),
  total, index($D$3:$D$7, right(index(split(A30, ""★""), 0, 1), 1), 0),
  base,"&amp;" INT(total/n),
  rem, total - base*n,
  index(MAP(SEQUENCE(n), LAMBDA(i, IF(i &lt;= rem, base+1, base))), ct, 0)
)"),13.0)</f>
        <v>13</v>
      </c>
      <c r="G30" s="480" t="s">
        <v>579</v>
      </c>
      <c r="H30" s="249">
        <v>50.0</v>
      </c>
      <c r="I30" s="479">
        <v>0.0024423602969910123</v>
      </c>
      <c r="K30" s="489" t="str">
        <f>IFERROR(__xludf.DUMMYFUNCTION("""COMPUTED_VALUE"""),"Siren Reef - Mirror 1★ #9A6")</f>
        <v>Siren Reef - Mirror 1★ #9A6</v>
      </c>
      <c r="L30" s="492"/>
      <c r="M30" s="499"/>
      <c r="O30" s="480" t="str">
        <f>IFERROR(__xludf.DUMMYFUNCTION("""COMPUTED_VALUE"""),"Skull Isle - Map 1★ #526")</f>
        <v>Skull Isle - Map 1★ #526</v>
      </c>
      <c r="P30" s="249">
        <f>IFERROR(__xludf.DUMMYFUNCTION("""COMPUTED_VALUE"""),50.0)</f>
        <v>50</v>
      </c>
      <c r="Q30" s="479">
        <f>IFERROR(__xludf.DUMMYFUNCTION("if(P30="""", """", P30/sum(filter($P$16:$P$949, $P$16:$P$949&lt;&gt;"""")))"),0.0024423602969910123)</f>
        <v>0.002442360297</v>
      </c>
    </row>
    <row r="31" ht="12.75" customHeight="1">
      <c r="A31" s="486" t="str">
        <f>AlbumConfig!B18&amp;" "&amp;AlbumConfig!E18</f>
        <v>Kraken Lair - Lantern 3★</v>
      </c>
      <c r="B31" s="497">
        <f>IFERROR(__xludf.DUMMYFUNCTION("index($B$3:$B$7, right(index(split(A31, ""★""),0,1)), 0)"),10.0)</f>
        <v>10</v>
      </c>
      <c r="C31" s="497">
        <f>IFERROR(__xludf.DUMMYFUNCTION("LET(
  ct, COUNTIF(ARRAYFORMULA(RIGHT(SPLIT($A$16:$A31, ""★""), 1)), TO_TEXT(RIGHT(SPLIT(A31, ""★""), 1))),
  n, index($C$3:$C$7, right(index(split(A31, ""★""), 0, 1), 1), 0),
  total, index($D$3:$D$7, right(index(split(A31, ""★""), 0, 1), 1), 0),
  base,"&amp;" INT(total/n),
  rem, total - base*n,
  index(MAP(SEQUENCE(n), LAMBDA(i, IF(i &lt;= rem, base+1, base))), ct, 0)
)"),13.0)</f>
        <v>13</v>
      </c>
      <c r="G31" s="480" t="s">
        <v>583</v>
      </c>
      <c r="H31" s="249">
        <v>50.0</v>
      </c>
      <c r="I31" s="479">
        <v>0.0024423602969910123</v>
      </c>
      <c r="K31" s="489" t="str">
        <f>IFERROR(__xludf.DUMMYFUNCTION("""COMPUTED_VALUE"""),"Siren Reef - Harp 1★ #3C0")</f>
        <v>Siren Reef - Harp 1★ #3C0</v>
      </c>
      <c r="L31" s="480" t="str">
        <f>L23</f>
        <v/>
      </c>
      <c r="M31" s="495" t="s">
        <v>584</v>
      </c>
      <c r="O31" s="480" t="str">
        <f>IFERROR(__xludf.DUMMYFUNCTION("""COMPUTED_VALUE"""),"Skull Isle - Map 1★ #FDB")</f>
        <v>Skull Isle - Map 1★ #FDB</v>
      </c>
      <c r="P31" s="249">
        <f>IFERROR(__xludf.DUMMYFUNCTION("""COMPUTED_VALUE"""),50.0)</f>
        <v>50</v>
      </c>
      <c r="Q31" s="479">
        <f>IFERROR(__xludf.DUMMYFUNCTION("if(P31="""", """", P31/sum(filter($P$16:$P$949, $P$16:$P$949&lt;&gt;"""")))"),0.0024423602969910123)</f>
        <v>0.002442360297</v>
      </c>
    </row>
    <row r="32" ht="12.75" customHeight="1">
      <c r="A32" s="486" t="str">
        <f>AlbumConfig!B19&amp;" "&amp;AlbumConfig!E19</f>
        <v>Kraken Lair - Hook 3★</v>
      </c>
      <c r="B32" s="497">
        <f>IFERROR(__xludf.DUMMYFUNCTION("index($B$3:$B$7, right(index(split(A32, ""★""),0,1)), 0)"),10.0)</f>
        <v>10</v>
      </c>
      <c r="C32" s="497">
        <f>IFERROR(__xludf.DUMMYFUNCTION("LET(
  ct, COUNTIF(ARRAYFORMULA(RIGHT(SPLIT($A$16:$A32, ""★""), 1)), TO_TEXT(RIGHT(SPLIT(A32, ""★""), 1))),
  n, index($C$3:$C$7, right(index(split(A32, ""★""), 0, 1), 1), 0),
  total, index($D$3:$D$7, right(index(split(A32, ""★""), 0, 1), 1), 0),
  base,"&amp;" INT(total/n),
  rem, total - base*n,
  index(MAP(SEQUENCE(n), LAMBDA(i, IF(i &lt;= rem, base+1, base))), ct, 0)
)"),13.0)</f>
        <v>13</v>
      </c>
      <c r="G32" s="480" t="s">
        <v>589</v>
      </c>
      <c r="H32" s="249">
        <v>50.0</v>
      </c>
      <c r="I32" s="479">
        <v>0.0024423602969910123</v>
      </c>
      <c r="K32" s="489" t="str">
        <f>IFERROR(__xludf.DUMMYFUNCTION("""COMPUTED_VALUE"""),"Kraken Lair - Eyepatch 4★ #386")</f>
        <v>Kraken Lair - Eyepatch 4★ #386</v>
      </c>
      <c r="L32" s="492"/>
      <c r="M32" s="507">
        <f>IFERROR(__xludf.DUMMYFUNCTION("sum(arrayformula(right(index(split(filter($L$35:$L$48, $L$35:$L$48&lt;&gt;""""), ""★""), 0, 1), 1) * (filter($M$35:$M$48, $M$35:$M$48&lt;&gt;"""")-1)))"),13.0)</f>
        <v>13</v>
      </c>
      <c r="O32" s="480" t="str">
        <f>IFERROR(__xludf.DUMMYFUNCTION("""COMPUTED_VALUE"""),"Skull Isle - Map 1★ #A90")</f>
        <v>Skull Isle - Map 1★ #A90</v>
      </c>
      <c r="P32" s="249">
        <f>IFERROR(__xludf.DUMMYFUNCTION("""COMPUTED_VALUE"""),50.0)</f>
        <v>50</v>
      </c>
      <c r="Q32" s="479">
        <f>IFERROR(__xludf.DUMMYFUNCTION("if(P32="""", """", P32/sum(filter($P$16:$P$949, $P$16:$P$949&lt;&gt;"""")))"),0.0024423602969910123)</f>
        <v>0.002442360297</v>
      </c>
    </row>
    <row r="33" ht="12.75" customHeight="1">
      <c r="A33" s="486" t="str">
        <f>AlbumConfig!B20&amp;" "&amp;AlbumConfig!E20</f>
        <v>Kraken Lair - Eyepatch 4★</v>
      </c>
      <c r="B33" s="497">
        <f>IFERROR(__xludf.DUMMYFUNCTION("index($B$3:$B$7, right(index(split(A33, ""★""),0,1)), 0)"),5.0)</f>
        <v>5</v>
      </c>
      <c r="C33" s="497">
        <f>IFERROR(__xludf.DUMMYFUNCTION("LET(
  ct, COUNTIF(ARRAYFORMULA(RIGHT(SPLIT($A$16:$A33, ""★""), 1)), TO_TEXT(RIGHT(SPLIT(A33, ""★""), 1))),
  n, index($C$3:$C$7, right(index(split(A33, ""★""), 0, 1), 1), 0),
  total, index($D$3:$D$7, right(index(split(A33, ""★""), 0, 1), 1), 0),
  base,"&amp;" INT(total/n),
  rem, total - base*n,
  index(MAP(SEQUENCE(n), LAMBDA(i, IF(i &lt;= rem, base+1, base))), ct, 0)
)"),12.0)</f>
        <v>12</v>
      </c>
      <c r="G33" s="480" t="s">
        <v>592</v>
      </c>
      <c r="H33" s="249">
        <v>50.0</v>
      </c>
      <c r="I33" s="479">
        <v>0.0024423602969910123</v>
      </c>
      <c r="K33" s="489" t="str">
        <f>IFERROR(__xludf.DUMMYFUNCTION("""COMPUTED_VALUE"""),"Kraken Lair - Tentacle 1★ #456")</f>
        <v>Kraken Lair - Tentacle 1★ #456</v>
      </c>
      <c r="L33" s="480"/>
      <c r="M33" s="499"/>
      <c r="O33" s="480" t="str">
        <f>IFERROR(__xludf.DUMMYFUNCTION("""COMPUTED_VALUE"""),"Skull Isle - Map 1★ #545")</f>
        <v>Skull Isle - Map 1★ #545</v>
      </c>
      <c r="P33" s="249">
        <f>IFERROR(__xludf.DUMMYFUNCTION("""COMPUTED_VALUE"""),50.0)</f>
        <v>50</v>
      </c>
      <c r="Q33" s="479">
        <f>IFERROR(__xludf.DUMMYFUNCTION("if(P33="""", """", P33/sum(filter($P$16:$P$949, $P$16:$P$949&lt;&gt;"""")))"),0.0024423602969910123)</f>
        <v>0.002442360297</v>
      </c>
    </row>
    <row r="34" ht="12.75" customHeight="1">
      <c r="A34" s="486" t="str">
        <f>AlbumConfig!B21&amp;" "&amp;AlbumConfig!E21</f>
        <v>Gold Cove - Doubloon 1★</v>
      </c>
      <c r="B34" s="497">
        <f>IFERROR(__xludf.DUMMYFUNCTION("index($B$3:$B$7, right(index(split(A34, ""★""),0,1)), 0)"),50.0)</f>
        <v>50</v>
      </c>
      <c r="C34" s="497">
        <f>IFERROR(__xludf.DUMMYFUNCTION("LET(
  ct, COUNTIF(ARRAYFORMULA(RIGHT(SPLIT($A$16:$A34, ""★""), 1)), TO_TEXT(RIGHT(SPLIT(A34, ""★""), 1))),
  n, index($C$3:$C$7, right(index(split(A34, ""★""), 0, 1), 1), 0),
  total, index($D$3:$D$7, right(index(split(A34, ""★""), 0, 1), 1), 0),
  base,"&amp;" INT(total/n),
  rem, total - base*n,
  index(MAP(SEQUENCE(n), LAMBDA(i, IF(i &lt;= rem, base+1, base))), ct, 0)
)"),13.0)</f>
        <v>13</v>
      </c>
      <c r="G34" s="480" t="s">
        <v>597</v>
      </c>
      <c r="H34" s="249">
        <v>50.0</v>
      </c>
      <c r="I34" s="479">
        <v>0.0024423602969910123</v>
      </c>
      <c r="K34" s="489" t="str">
        <f>IFERROR(__xludf.DUMMYFUNCTION("""COMPUTED_VALUE"""),"Skull Isle - Parrot 2★ #D97")</f>
        <v>Skull Isle - Parrot 2★ #D97</v>
      </c>
      <c r="L34" s="478" t="s">
        <v>598</v>
      </c>
      <c r="M34" s="483" t="s">
        <v>599</v>
      </c>
      <c r="O34" s="480" t="str">
        <f>IFERROR(__xludf.DUMMYFUNCTION("""COMPUTED_VALUE"""),"Skull Isle - Map 1★ #FFA")</f>
        <v>Skull Isle - Map 1★ #FFA</v>
      </c>
      <c r="P34" s="249">
        <f>IFERROR(__xludf.DUMMYFUNCTION("""COMPUTED_VALUE"""),50.0)</f>
        <v>50</v>
      </c>
      <c r="Q34" s="479">
        <f>IFERROR(__xludf.DUMMYFUNCTION("if(P34="""", """", P34/sum(filter($P$16:$P$949, $P$16:$P$949&lt;&gt;"""")))"),0.0024423602969910123)</f>
        <v>0.002442360297</v>
      </c>
    </row>
    <row r="35" ht="12.75" customHeight="1">
      <c r="A35" s="486" t="str">
        <f>AlbumConfig!B22&amp;" "&amp;AlbumConfig!E22</f>
        <v>Gold Cove - Ruby 1★</v>
      </c>
      <c r="B35" s="497">
        <f>IFERROR(__xludf.DUMMYFUNCTION("index($B$3:$B$7, right(index(split(A35, ""★""),0,1)), 0)"),50.0)</f>
        <v>50</v>
      </c>
      <c r="C35" s="497">
        <f>IFERROR(__xludf.DUMMYFUNCTION("LET(
  ct, COUNTIF(ARRAYFORMULA(RIGHT(SPLIT($A$16:$A35, ""★""), 1)), TO_TEXT(RIGHT(SPLIT(A35, ""★""), 1))),
  n, index($C$3:$C$7, right(index(split(A35, ""★""), 0, 1), 1), 0),
  total, index($D$3:$D$7, right(index(split(A35, ""★""), 0, 1), 1), 0),
  base,"&amp;" INT(total/n),
  rem, total - base*n,
  index(MAP(SEQUENCE(n), LAMBDA(i, IF(i &lt;= rem, base+1, base))), ct, 0)
)"),13.0)</f>
        <v>13</v>
      </c>
      <c r="G35" s="480" t="s">
        <v>603</v>
      </c>
      <c r="H35" s="249">
        <v>50.0</v>
      </c>
      <c r="I35" s="479">
        <v>0.0024423602969910123</v>
      </c>
      <c r="K35" s="489" t="str">
        <f>IFERROR(__xludf.DUMMYFUNCTION("""COMPUTED_VALUE"""),"Storm Port - Cleat 2★ #8E3")</f>
        <v>Storm Port - Cleat 2★ #8E3</v>
      </c>
      <c r="L35" s="501" t="str">
        <f>IFERROR(__xludf.DUMMYFUNCTION("unique(index(arrayformula(split(filter($K$16:$K$449, $K$16:$K$449&lt;&gt;""""), ""★"")&amp;""★""), 0, 1))"),"Gold Cove - Diamond 2★")</f>
        <v>Gold Cove - Diamond 2★</v>
      </c>
      <c r="M35" s="499">
        <f>IFERROR(__xludf.DUMMYFUNCTION("if(L35="""", """", counta(filter(index(arrayformula(split(filter($K$16:$K$449, $K$16:$K$449&lt;&gt;""""), ""★"")&amp;""★""), 0, 1), index(arrayformula(split(filter($K$16:$K$449, $K$16:$K$449&lt;&gt;""""), ""★"")&amp;""★""), 0, 1)=L35)))"),1.0)</f>
        <v>1</v>
      </c>
      <c r="O35" s="480" t="str">
        <f>IFERROR(__xludf.DUMMYFUNCTION("""COMPUTED_VALUE"""),"Skull Isle - Map 1★ #AAF")</f>
        <v>Skull Isle - Map 1★ #AAF</v>
      </c>
      <c r="P35" s="249">
        <f>IFERROR(__xludf.DUMMYFUNCTION("""COMPUTED_VALUE"""),50.0)</f>
        <v>50</v>
      </c>
      <c r="Q35" s="479">
        <f>IFERROR(__xludf.DUMMYFUNCTION("if(P35="""", """", P35/sum(filter($P$16:$P$949, $P$16:$P$949&lt;&gt;"""")))"),0.0024423602969910123)</f>
        <v>0.002442360297</v>
      </c>
    </row>
    <row r="36" ht="12.75" customHeight="1">
      <c r="A36" s="486" t="str">
        <f>AlbumConfig!B23&amp;" "&amp;AlbumConfig!E23</f>
        <v>Gold Cove - Emerald 1★</v>
      </c>
      <c r="B36" s="497">
        <f>IFERROR(__xludf.DUMMYFUNCTION("index($B$3:$B$7, right(index(split(A36, ""★""),0,1)), 0)"),50.0)</f>
        <v>50</v>
      </c>
      <c r="C36" s="497">
        <f>IFERROR(__xludf.DUMMYFUNCTION("LET(
  ct, COUNTIF(ARRAYFORMULA(RIGHT(SPLIT($A$16:$A36, ""★""), 1)), TO_TEXT(RIGHT(SPLIT(A36, ""★""), 1))),
  n, index($C$3:$C$7, right(index(split(A36, ""★""), 0, 1), 1), 0),
  total, index($D$3:$D$7, right(index(split(A36, ""★""), 0, 1), 1), 0),
  base,"&amp;" INT(total/n),
  rem, total - base*n,
  index(MAP(SEQUENCE(n), LAMBDA(i, IF(i &lt;= rem, base+1, base))), ct, 0)
)"),13.0)</f>
        <v>13</v>
      </c>
      <c r="G36" s="480" t="s">
        <v>806</v>
      </c>
      <c r="H36" s="249">
        <v>50.0</v>
      </c>
      <c r="I36" s="479">
        <v>0.0024423602969910123</v>
      </c>
      <c r="K36" s="489" t="str">
        <f>IFERROR(__xludf.DUMMYFUNCTION("""COMPUTED_VALUE"""),"Dead Man Bay - Pistol 1★ #CCC")</f>
        <v>Dead Man Bay - Pistol 1★ #CCC</v>
      </c>
      <c r="L36" s="501" t="str">
        <f>IFERROR(__xludf.DUMMYFUNCTION("""COMPUTED_VALUE"""),"Storm Port - Lightning 1★")</f>
        <v>Storm Port - Lightning 1★</v>
      </c>
      <c r="M36" s="499">
        <f>IFERROR(__xludf.DUMMYFUNCTION("if(L36="""", """", counta(filter(index(arrayformula(split(filter($K$16:$K$449, $K$16:$K$449&lt;&gt;""""), ""★"")&amp;""★""), 0, 1), index(arrayformula(split(filter($K$16:$K$449, $K$16:$K$449&lt;&gt;""""), ""★"")&amp;""★""), 0, 1)=L36)))"),2.0)</f>
        <v>2</v>
      </c>
      <c r="O36" s="480" t="str">
        <f>IFERROR(__xludf.DUMMYFUNCTION("""COMPUTED_VALUE"""),"Skull Isle - Map 1★ #564")</f>
        <v>Skull Isle - Map 1★ #564</v>
      </c>
      <c r="P36" s="249">
        <f>IFERROR(__xludf.DUMMYFUNCTION("""COMPUTED_VALUE"""),50.0)</f>
        <v>50</v>
      </c>
      <c r="Q36" s="479">
        <f>IFERROR(__xludf.DUMMYFUNCTION("if(P36="""", """", P36/sum(filter($P$16:$P$949, $P$16:$P$949&lt;&gt;"""")))"),0.0024423602969910123)</f>
        <v>0.002442360297</v>
      </c>
    </row>
    <row r="37" ht="12.75" customHeight="1">
      <c r="A37" s="486" t="str">
        <f>AlbumConfig!B24&amp;" "&amp;AlbumConfig!E24</f>
        <v>Gold Cove - Diamond 2★</v>
      </c>
      <c r="B37" s="497">
        <f>IFERROR(__xludf.DUMMYFUNCTION("index($B$3:$B$7, right(index(split(A37, ""★""),0,1)), 0)"),20.0)</f>
        <v>20</v>
      </c>
      <c r="C37" s="497">
        <f>IFERROR(__xludf.DUMMYFUNCTION("LET(
  ct, COUNTIF(ARRAYFORMULA(RIGHT(SPLIT($A$16:$A37, ""★""), 1)), TO_TEXT(RIGHT(SPLIT(A37, ""★""), 1))),
  n, index($C$3:$C$7, right(index(split(A37, ""★""), 0, 1), 1), 0),
  total, index($D$3:$D$7, right(index(split(A37, ""★""), 0, 1), 1), 0),
  base,"&amp;" INT(total/n),
  rem, total - base*n,
  index(MAP(SEQUENCE(n), LAMBDA(i, IF(i &lt;= rem, base+1, base))), ct, 0)
)"),13.0)</f>
        <v>13</v>
      </c>
      <c r="G37" s="480" t="s">
        <v>819</v>
      </c>
      <c r="H37" s="249">
        <v>50.0</v>
      </c>
      <c r="I37" s="479">
        <v>0.0024423602969910123</v>
      </c>
      <c r="K37" s="489" t="str">
        <f>IFERROR(__xludf.DUMMYFUNCTION("""COMPUTED_VALUE"""),"Dead Man Bay - Rum 1★ #D29")</f>
        <v>Dead Man Bay - Rum 1★ #D29</v>
      </c>
      <c r="L37" s="501" t="str">
        <f>IFERROR(__xludf.DUMMYFUNCTION("""COMPUTED_VALUE"""),"Gold Cove - Doubloon 1★")</f>
        <v>Gold Cove - Doubloon 1★</v>
      </c>
      <c r="M37" s="499">
        <f>IFERROR(__xludf.DUMMYFUNCTION("if(L37="""", """", counta(filter(index(arrayformula(split(filter($K$16:$K$449, $K$16:$K$449&lt;&gt;""""), ""★"")&amp;""★""), 0, 1), index(arrayformula(split(filter($K$16:$K$449, $K$16:$K$449&lt;&gt;""""), ""★"")&amp;""★""), 0, 1)=L37)))"),3.0)</f>
        <v>3</v>
      </c>
      <c r="O37" s="480" t="str">
        <f>IFERROR(__xludf.DUMMYFUNCTION("""COMPUTED_VALUE"""),"Skull Isle - Map 1★ #019")</f>
        <v>Skull Isle - Map 1★ #019</v>
      </c>
      <c r="P37" s="249">
        <f>IFERROR(__xludf.DUMMYFUNCTION("""COMPUTED_VALUE"""),50.0)</f>
        <v>50</v>
      </c>
      <c r="Q37" s="479">
        <f>IFERROR(__xludf.DUMMYFUNCTION("if(P37="""", """", P37/sum(filter($P$16:$P$949, $P$16:$P$949&lt;&gt;"""")))"),0.0024423602969910123)</f>
        <v>0.002442360297</v>
      </c>
    </row>
    <row r="38" ht="12.75" customHeight="1">
      <c r="A38" s="486" t="str">
        <f>AlbumConfig!B25&amp;" "&amp;AlbumConfig!E25</f>
        <v>Gold Cove - Crown 2★</v>
      </c>
      <c r="B38" s="497">
        <f>IFERROR(__xludf.DUMMYFUNCTION("index($B$3:$B$7, right(index(split(A38, ""★""),0,1)), 0)"),20.0)</f>
        <v>20</v>
      </c>
      <c r="C38" s="497">
        <f>IFERROR(__xludf.DUMMYFUNCTION("LET(
  ct, COUNTIF(ARRAYFORMULA(RIGHT(SPLIT($A$16:$A38, ""★""), 1)), TO_TEXT(RIGHT(SPLIT(A38, ""★""), 1))),
  n, index($C$3:$C$7, right(index(split(A38, ""★""), 0, 1), 1), 0),
  total, index($D$3:$D$7, right(index(split(A38, ""★""), 0, 1), 1), 0),
  base,"&amp;" INT(total/n),
  rem, total - base*n,
  index(MAP(SEQUENCE(n), LAMBDA(i, IF(i &lt;= rem, base+1, base))), ct, 0)
)"),13.0)</f>
        <v>13</v>
      </c>
      <c r="G38" s="480" t="s">
        <v>835</v>
      </c>
      <c r="H38" s="249">
        <v>50.0</v>
      </c>
      <c r="I38" s="479">
        <v>0.0024423602969910123</v>
      </c>
      <c r="K38" s="489" t="str">
        <f>IFERROR(__xludf.DUMMYFUNCTION("""COMPUTED_VALUE"""),"Kraken Lair - Hook 3★ #DBF")</f>
        <v>Kraken Lair - Hook 3★ #DBF</v>
      </c>
      <c r="L38" s="501" t="str">
        <f>IFERROR(__xludf.DUMMYFUNCTION("""COMPUTED_VALUE"""),"Storm Port - Rope 2★")</f>
        <v>Storm Port - Rope 2★</v>
      </c>
      <c r="M38" s="499">
        <f>IFERROR(__xludf.DUMMYFUNCTION("if(L38="""", """", counta(filter(index(arrayformula(split(filter($K$16:$K$449, $K$16:$K$449&lt;&gt;""""), ""★"")&amp;""★""), 0, 1), index(arrayformula(split(filter($K$16:$K$449, $K$16:$K$449&lt;&gt;""""), ""★"")&amp;""★""), 0, 1)=L38)))"),1.0)</f>
        <v>1</v>
      </c>
      <c r="O38" s="480" t="str">
        <f>IFERROR(__xludf.DUMMYFUNCTION("""COMPUTED_VALUE"""),"Skull Isle - Map 1★ #ACE")</f>
        <v>Skull Isle - Map 1★ #ACE</v>
      </c>
      <c r="P38" s="249">
        <f>IFERROR(__xludf.DUMMYFUNCTION("""COMPUTED_VALUE"""),50.0)</f>
        <v>50</v>
      </c>
      <c r="Q38" s="479">
        <f>IFERROR(__xludf.DUMMYFUNCTION("if(P38="""", """", P38/sum(filter($P$16:$P$949, $P$16:$P$949&lt;&gt;"""")))"),0.0024423602969910123)</f>
        <v>0.002442360297</v>
      </c>
    </row>
    <row r="39" ht="12.75" customHeight="1">
      <c r="A39" s="486" t="str">
        <f>AlbumConfig!B26&amp;" "&amp;AlbumConfig!E26</f>
        <v>Gold Cove - Goblet 3★</v>
      </c>
      <c r="B39" s="497">
        <f>IFERROR(__xludf.DUMMYFUNCTION("index($B$3:$B$7, right(index(split(A39, ""★""),0,1)), 0)"),10.0)</f>
        <v>10</v>
      </c>
      <c r="C39" s="497">
        <f>IFERROR(__xludf.DUMMYFUNCTION("LET(
  ct, COUNTIF(ARRAYFORMULA(RIGHT(SPLIT($A$16:$A39, ""★""), 1)), TO_TEXT(RIGHT(SPLIT(A39, ""★""), 1))),
  n, index($C$3:$C$7, right(index(split(A39, ""★""), 0, 1), 1), 0),
  total, index($D$3:$D$7, right(index(split(A39, ""★""), 0, 1), 1), 0),
  base,"&amp;" INT(total/n),
  rem, total - base*n,
  index(MAP(SEQUENCE(n), LAMBDA(i, IF(i &lt;= rem, base+1, base))), ct, 0)
)"),13.0)</f>
        <v>13</v>
      </c>
      <c r="G39" s="480" t="s">
        <v>845</v>
      </c>
      <c r="H39" s="249">
        <v>50.0</v>
      </c>
      <c r="I39" s="479">
        <v>0.0024423602969910123</v>
      </c>
      <c r="K39" s="489" t="str">
        <f>IFERROR(__xludf.DUMMYFUNCTION("""COMPUTED_VALUE"""),"Cannon Fort - Powder 1★ #B4F")</f>
        <v>Cannon Fort - Powder 1★ #B4F</v>
      </c>
      <c r="L39" s="501" t="str">
        <f>IFERROR(__xludf.DUMMYFUNCTION("""COMPUTED_VALUE"""),"Skull Isle - Compass 1★")</f>
        <v>Skull Isle - Compass 1★</v>
      </c>
      <c r="M39" s="499">
        <f>IFERROR(__xludf.DUMMYFUNCTION("if(L39="""", """", counta(filter(index(arrayformula(split(filter($K$16:$K$449, $K$16:$K$449&lt;&gt;""""), ""★"")&amp;""★""), 0, 1), index(arrayformula(split(filter($K$16:$K$449, $K$16:$K$449&lt;&gt;""""), ""★"")&amp;""★""), 0, 1)=L39)))"),1.0)</f>
        <v>1</v>
      </c>
      <c r="O39" s="480" t="str">
        <f>IFERROR(__xludf.DUMMYFUNCTION("""COMPUTED_VALUE"""),"Skull Isle - Map 1★ #583")</f>
        <v>Skull Isle - Map 1★ #583</v>
      </c>
      <c r="P39" s="249">
        <f>IFERROR(__xludf.DUMMYFUNCTION("""COMPUTED_VALUE"""),50.0)</f>
        <v>50</v>
      </c>
      <c r="Q39" s="479">
        <f>IFERROR(__xludf.DUMMYFUNCTION("if(P39="""", """", P39/sum(filter($P$16:$P$949, $P$16:$P$949&lt;&gt;"""")))"),0.0024423602969910123)</f>
        <v>0.002442360297</v>
      </c>
    </row>
    <row r="40" ht="12.75" customHeight="1">
      <c r="A40" s="486" t="str">
        <f>AlbumConfig!B27&amp;" "&amp;AlbumConfig!E27</f>
        <v>Gold Cove - Necklace 4★</v>
      </c>
      <c r="B40" s="497">
        <f>IFERROR(__xludf.DUMMYFUNCTION("index($B$3:$B$7, right(index(split(A40, ""★""),0,1)), 0)"),5.0)</f>
        <v>5</v>
      </c>
      <c r="C40" s="497">
        <f>IFERROR(__xludf.DUMMYFUNCTION("LET(
  ct, COUNTIF(ARRAYFORMULA(RIGHT(SPLIT($A$16:$A40, ""★""), 1)), TO_TEXT(RIGHT(SPLIT(A40, ""★""), 1))),
  n, index($C$3:$C$7, right(index(split(A40, ""★""), 0, 1), 1), 0),
  total, index($D$3:$D$7, right(index(split(A40, ""★""), 0, 1), 1), 0),
  base,"&amp;" INT(total/n),
  rem, total - base*n,
  index(MAP(SEQUENCE(n), LAMBDA(i, IF(i &lt;= rem, base+1, base))), ct, 0)
)"),12.0)</f>
        <v>12</v>
      </c>
      <c r="G40" s="480" t="s">
        <v>847</v>
      </c>
      <c r="H40" s="249">
        <v>50.0</v>
      </c>
      <c r="I40" s="479">
        <v>0.0024423602969910123</v>
      </c>
      <c r="K40" s="489" t="str">
        <f>IFERROR(__xludf.DUMMYFUNCTION("""COMPUTED_VALUE"""),"Siren Reef - Mirror 1★ #F2F")</f>
        <v>Siren Reef - Mirror 1★ #F2F</v>
      </c>
      <c r="L40" s="501" t="str">
        <f>IFERROR(__xludf.DUMMYFUNCTION("""COMPUTED_VALUE"""),"Kraken Lair - Pearl 1★")</f>
        <v>Kraken Lair - Pearl 1★</v>
      </c>
      <c r="M40" s="499">
        <f>IFERROR(__xludf.DUMMYFUNCTION("if(L40="""", """", counta(filter(index(arrayformula(split(filter($K$16:$K$449, $K$16:$K$449&lt;&gt;""""), ""★"")&amp;""★""), 0, 1), index(arrayformula(split(filter($K$16:$K$449, $K$16:$K$449&lt;&gt;""""), ""★"")&amp;""★""), 0, 1)=L40)))"),3.0)</f>
        <v>3</v>
      </c>
      <c r="O40" s="480" t="str">
        <f>IFERROR(__xludf.DUMMYFUNCTION("""COMPUTED_VALUE"""),"Skull Isle - Map 1★ #038")</f>
        <v>Skull Isle - Map 1★ #038</v>
      </c>
      <c r="P40" s="249">
        <f>IFERROR(__xludf.DUMMYFUNCTION("""COMPUTED_VALUE"""),50.0)</f>
        <v>50</v>
      </c>
      <c r="Q40" s="479">
        <f>IFERROR(__xludf.DUMMYFUNCTION("if(P40="""", """", P40/sum(filter($P$16:$P$949, $P$16:$P$949&lt;&gt;"""")))"),0.0024423602969910123)</f>
        <v>0.002442360297</v>
      </c>
    </row>
    <row r="41" ht="12.75" customHeight="1">
      <c r="A41" s="486" t="str">
        <f>AlbumConfig!B28&amp;" "&amp;AlbumConfig!E28</f>
        <v>Gold Cove - Ring 4★</v>
      </c>
      <c r="B41" s="497">
        <f>IFERROR(__xludf.DUMMYFUNCTION("index($B$3:$B$7, right(index(split(A41, ""★""),0,1)), 0)"),5.0)</f>
        <v>5</v>
      </c>
      <c r="C41" s="497">
        <f>IFERROR(__xludf.DUMMYFUNCTION("LET(
  ct, COUNTIF(ARRAYFORMULA(RIGHT(SPLIT($A$16:$A41, ""★""), 1)), TO_TEXT(RIGHT(SPLIT(A41, ""★""), 1))),
  n, index($C$3:$C$7, right(index(split(A41, ""★""), 0, 1), 1), 0),
  total, index($D$3:$D$7, right(index(split(A41, ""★""), 0, 1), 1), 0),
  base,"&amp;" INT(total/n),
  rem, total - base*n,
  index(MAP(SEQUENCE(n), LAMBDA(i, IF(i &lt;= rem, base+1, base))), ct, 0)
)"),11.0)</f>
        <v>11</v>
      </c>
      <c r="G41" s="480" t="s">
        <v>849</v>
      </c>
      <c r="H41" s="249">
        <v>50.0</v>
      </c>
      <c r="I41" s="479">
        <v>0.0024423602969910123</v>
      </c>
      <c r="K41" s="489" t="str">
        <f>IFERROR(__xludf.DUMMYFUNCTION("""COMPUTED_VALUE"""),"Storm Port - Flare 3★ #95F")</f>
        <v>Storm Port - Flare 3★ #95F</v>
      </c>
      <c r="L41" s="501" t="str">
        <f>IFERROR(__xludf.DUMMYFUNCTION("""COMPUTED_VALUE"""),"Gold Cove - Crown 2★")</f>
        <v>Gold Cove - Crown 2★</v>
      </c>
      <c r="M41" s="499">
        <f>IFERROR(__xludf.DUMMYFUNCTION("if(L41="""", """", counta(filter(index(arrayformula(split(filter($K$16:$K$449, $K$16:$K$449&lt;&gt;""""), ""★"")&amp;""★""), 0, 1), index(arrayformula(split(filter($K$16:$K$449, $K$16:$K$449&lt;&gt;""""), ""★"")&amp;""★""), 0, 1)=L41)))"),2.0)</f>
        <v>2</v>
      </c>
      <c r="O41" s="480" t="str">
        <f>IFERROR(__xludf.DUMMYFUNCTION("""COMPUTED_VALUE"""),"Skull Isle - Map 1★ #AED")</f>
        <v>Skull Isle - Map 1★ #AED</v>
      </c>
      <c r="P41" s="249">
        <f>IFERROR(__xludf.DUMMYFUNCTION("""COMPUTED_VALUE"""),50.0)</f>
        <v>50</v>
      </c>
      <c r="Q41" s="479">
        <f>IFERROR(__xludf.DUMMYFUNCTION("if(P41="""", """", P41/sum(filter($P$16:$P$949, $P$16:$P$949&lt;&gt;"""")))"),0.0024423602969910123)</f>
        <v>0.002442360297</v>
      </c>
    </row>
    <row r="42" ht="12.75" customHeight="1">
      <c r="A42" s="486" t="str">
        <f>AlbumConfig!B29&amp;" "&amp;AlbumConfig!E29</f>
        <v>Gold Cove - Scepter 5★</v>
      </c>
      <c r="B42" s="497">
        <f>IFERROR(__xludf.DUMMYFUNCTION("index($B$3:$B$7, right(index(split(A42, ""★""),0,1)), 0)"),2.0)</f>
        <v>2</v>
      </c>
      <c r="C42" s="497">
        <f>IFERROR(__xludf.DUMMYFUNCTION("LET(
  ct, COUNTIF(ARRAYFORMULA(RIGHT(SPLIT($A$16:$A42, ""★""), 1)), TO_TEXT(RIGHT(SPLIT(A42, ""★""), 1))),
  n, index($C$3:$C$7, right(index(split(A42, ""★""), 0, 1), 1), 0),
  total, index($D$3:$D$7, right(index(split(A42, ""★""), 0, 1), 1), 0),
  base,"&amp;" INT(total/n),
  rem, total - base*n,
  index(MAP(SEQUENCE(n), LAMBDA(i, IF(i &lt;= rem, base+1, base))), ct, 0)
)"),6.0)</f>
        <v>6</v>
      </c>
      <c r="G42" s="480" t="s">
        <v>850</v>
      </c>
      <c r="H42" s="249">
        <v>50.0</v>
      </c>
      <c r="I42" s="479">
        <v>0.0024423602969910123</v>
      </c>
      <c r="K42" s="489" t="str">
        <f>IFERROR(__xludf.DUMMYFUNCTION("""COMPUTED_VALUE"""),"Skull Isle - Spyglass 1★ #5FF")</f>
        <v>Skull Isle - Spyglass 1★ #5FF</v>
      </c>
      <c r="L42" s="501" t="str">
        <f>IFERROR(__xludf.DUMMYFUNCTION("""COMPUTED_VALUE"""),"Kraken Lair - Tentacle 1★")</f>
        <v>Kraken Lair - Tentacle 1★</v>
      </c>
      <c r="M42" s="499">
        <f>IFERROR(__xludf.DUMMYFUNCTION("if(L42="""", """", counta(filter(index(arrayformula(split(filter($K$16:$K$449, $K$16:$K$449&lt;&gt;""""), ""★"")&amp;""★""), 0, 1), index(arrayformula(split(filter($K$16:$K$449, $K$16:$K$449&lt;&gt;""""), ""★"")&amp;""★""), 0, 1)=L42)))"),4.0)</f>
        <v>4</v>
      </c>
      <c r="O42" s="480" t="str">
        <f>IFERROR(__xludf.DUMMYFUNCTION("""COMPUTED_VALUE"""),"Skull Isle - Map 1★ #5A2")</f>
        <v>Skull Isle - Map 1★ #5A2</v>
      </c>
      <c r="P42" s="249">
        <f>IFERROR(__xludf.DUMMYFUNCTION("""COMPUTED_VALUE"""),50.0)</f>
        <v>50</v>
      </c>
      <c r="Q42" s="479">
        <f>IFERROR(__xludf.DUMMYFUNCTION("if(P42="""", """", P42/sum(filter($P$16:$P$949, $P$16:$P$949&lt;&gt;"""")))"),0.0024423602969910123)</f>
        <v>0.002442360297</v>
      </c>
    </row>
    <row r="43" ht="12.75" customHeight="1">
      <c r="A43" s="486" t="str">
        <f>AlbumConfig!B30&amp;" "&amp;AlbumConfig!E30</f>
        <v>Ghost Ship - Fog Horn 1★</v>
      </c>
      <c r="B43" s="497">
        <f>IFERROR(__xludf.DUMMYFUNCTION("index($B$3:$B$7, right(index(split(A43, ""★""),0,1)), 0)"),50.0)</f>
        <v>50</v>
      </c>
      <c r="C43" s="497">
        <f>IFERROR(__xludf.DUMMYFUNCTION("LET(
  ct, COUNTIF(ARRAYFORMULA(RIGHT(SPLIT($A$16:$A43, ""★""), 1)), TO_TEXT(RIGHT(SPLIT(A43, ""★""), 1))),
  n, index($C$3:$C$7, right(index(split(A43, ""★""), 0, 1), 1), 0),
  total, index($D$3:$D$7, right(index(split(A43, ""★""), 0, 1), 1), 0),
  base,"&amp;" INT(total/n),
  rem, total - base*n,
  index(MAP(SEQUENCE(n), LAMBDA(i, IF(i &lt;= rem, base+1, base))), ct, 0)
)"),13.0)</f>
        <v>13</v>
      </c>
      <c r="G43" s="480" t="s">
        <v>851</v>
      </c>
      <c r="H43" s="249">
        <v>50.0</v>
      </c>
      <c r="I43" s="479">
        <v>0.0024423602969910123</v>
      </c>
      <c r="K43" s="489" t="str">
        <f>IFERROR(__xludf.DUMMYFUNCTION("""COMPUTED_VALUE"""),"Ghost Ship - Key 2★ #EFE")</f>
        <v>Ghost Ship - Key 2★ #EFE</v>
      </c>
      <c r="L43" s="501" t="str">
        <f>IFERROR(__xludf.DUMMYFUNCTION("""COMPUTED_VALUE"""),"Siren Reef - Comb 2★")</f>
        <v>Siren Reef - Comb 2★</v>
      </c>
      <c r="M43" s="499">
        <f>IFERROR(__xludf.DUMMYFUNCTION("if(L43="""", """", counta(filter(index(arrayformula(split(filter($K$16:$K$449, $K$16:$K$449&lt;&gt;""""), ""★"")&amp;""★""), 0, 1), index(arrayformula(split(filter($K$16:$K$449, $K$16:$K$449&lt;&gt;""""), ""★"")&amp;""★""), 0, 1)=L43)))"),1.0)</f>
        <v>1</v>
      </c>
      <c r="O43" s="480" t="str">
        <f>IFERROR(__xludf.DUMMYFUNCTION("""COMPUTED_VALUE"""),"Skull Isle - Map 1★ #057")</f>
        <v>Skull Isle - Map 1★ #057</v>
      </c>
      <c r="P43" s="249">
        <f>IFERROR(__xludf.DUMMYFUNCTION("""COMPUTED_VALUE"""),50.0)</f>
        <v>50</v>
      </c>
      <c r="Q43" s="479">
        <f>IFERROR(__xludf.DUMMYFUNCTION("if(P43="""", """", P43/sum(filter($P$16:$P$949, $P$16:$P$949&lt;&gt;"""")))"),0.0024423602969910123)</f>
        <v>0.002442360297</v>
      </c>
    </row>
    <row r="44" ht="12.75" customHeight="1">
      <c r="A44" s="486" t="str">
        <f>AlbumConfig!B31&amp;" "&amp;AlbumConfig!E31</f>
        <v>Ghost Ship - Sail 1★</v>
      </c>
      <c r="B44" s="497">
        <f>IFERROR(__xludf.DUMMYFUNCTION("index($B$3:$B$7, right(index(split(A44, ""★""),0,1)), 0)"),50.0)</f>
        <v>50</v>
      </c>
      <c r="C44" s="497">
        <f>IFERROR(__xludf.DUMMYFUNCTION("LET(
  ct, COUNTIF(ARRAYFORMULA(RIGHT(SPLIT($A$16:$A44, ""★""), 1)), TO_TEXT(RIGHT(SPLIT(A44, ""★""), 1))),
  n, index($C$3:$C$7, right(index(split(A44, ""★""), 0, 1), 1), 0),
  total, index($D$3:$D$7, right(index(split(A44, ""★""), 0, 1), 1), 0),
  base,"&amp;" INT(total/n),
  rem, total - base*n,
  index(MAP(SEQUENCE(n), LAMBDA(i, IF(i &lt;= rem, base+1, base))), ct, 0)
)"),13.0)</f>
        <v>13</v>
      </c>
      <c r="G44" s="480" t="s">
        <v>637</v>
      </c>
      <c r="H44" s="249">
        <v>50.0</v>
      </c>
      <c r="I44" s="479">
        <v>0.0024423602969910123</v>
      </c>
      <c r="K44" s="489" t="str">
        <f>IFERROR(__xludf.DUMMYFUNCTION("""COMPUTED_VALUE"""),"Kraken Lair - Ink Cloud 1★ #52F")</f>
        <v>Kraken Lair - Ink Cloud 1★ #52F</v>
      </c>
      <c r="L44" s="501" t="str">
        <f>IFERROR(__xludf.DUMMYFUNCTION("""COMPUTED_VALUE"""),"Skull Isle - Chest 3★")</f>
        <v>Skull Isle - Chest 3★</v>
      </c>
      <c r="M44" s="499">
        <f>IFERROR(__xludf.DUMMYFUNCTION("if(L44="""", """", counta(filter(index(arrayformula(split(filter($K$16:$K$449, $K$16:$K$449&lt;&gt;""""), ""★"")&amp;""★""), 0, 1), index(arrayformula(split(filter($K$16:$K$449, $K$16:$K$449&lt;&gt;""""), ""★"")&amp;""★""), 0, 1)=L44)))"),1.0)</f>
        <v>1</v>
      </c>
      <c r="O44" s="480" t="str">
        <f>IFERROR(__xludf.DUMMYFUNCTION("""COMPUTED_VALUE"""),"Skull Isle - Spyglass 1★ #B0C")</f>
        <v>Skull Isle - Spyglass 1★ #B0C</v>
      </c>
      <c r="P44" s="249">
        <f>IFERROR(__xludf.DUMMYFUNCTION("""COMPUTED_VALUE"""),50.0)</f>
        <v>50</v>
      </c>
      <c r="Q44" s="479">
        <f>IFERROR(__xludf.DUMMYFUNCTION("if(P44="""", """", P44/sum(filter($P$16:$P$949, $P$16:$P$949&lt;&gt;"""")))"),0.0024423602969910123)</f>
        <v>0.002442360297</v>
      </c>
    </row>
    <row r="45" ht="12.75" customHeight="1">
      <c r="A45" s="486" t="str">
        <f>AlbumConfig!B32&amp;" "&amp;AlbumConfig!E32</f>
        <v>Ghost Ship - Ghost Lamp 2★</v>
      </c>
      <c r="B45" s="497">
        <f>IFERROR(__xludf.DUMMYFUNCTION("index($B$3:$B$7, right(index(split(A45, ""★""),0,1)), 0)"),20.0)</f>
        <v>20</v>
      </c>
      <c r="C45" s="497">
        <f>IFERROR(__xludf.DUMMYFUNCTION("LET(
  ct, COUNTIF(ARRAYFORMULA(RIGHT(SPLIT($A$16:$A45, ""★""), 1)), TO_TEXT(RIGHT(SPLIT(A45, ""★""), 1))),
  n, index($C$3:$C$7, right(index(split(A45, ""★""), 0, 1), 1), 0),
  total, index($D$3:$D$7, right(index(split(A45, ""★""), 0, 1), 1), 0),
  base,"&amp;" INT(total/n),
  rem, total - base*n,
  index(MAP(SEQUENCE(n), LAMBDA(i, IF(i &lt;= rem, base+1, base))), ct, 0)
)"),13.0)</f>
        <v>13</v>
      </c>
      <c r="G45" s="480" t="s">
        <v>640</v>
      </c>
      <c r="H45" s="249">
        <v>50.0</v>
      </c>
      <c r="I45" s="479">
        <v>0.0024423602969910123</v>
      </c>
      <c r="K45" s="489" t="str">
        <f>IFERROR(__xludf.DUMMYFUNCTION("""COMPUTED_VALUE"""),"Storm Port - Flare 3★ #EAA")</f>
        <v>Storm Port - Flare 3★ #EAA</v>
      </c>
      <c r="L45" s="501" t="str">
        <f>IFERROR(__xludf.DUMMYFUNCTION("""COMPUTED_VALUE"""),"Gold Cove - Ring 4★")</f>
        <v>Gold Cove - Ring 4★</v>
      </c>
      <c r="M45" s="499">
        <f>IFERROR(__xludf.DUMMYFUNCTION("if(L45="""", """", counta(filter(index(arrayformula(split(filter($K$16:$K$449, $K$16:$K$449&lt;&gt;""""), ""★"")&amp;""★""), 0, 1), index(arrayformula(split(filter($K$16:$K$449, $K$16:$K$449&lt;&gt;""""), ""★"")&amp;""★""), 0, 1)=L45)))"),1.0)</f>
        <v>1</v>
      </c>
      <c r="O45" s="480" t="str">
        <f>IFERROR(__xludf.DUMMYFUNCTION("""COMPUTED_VALUE"""),"Skull Isle - Spyglass 1★ #5C1")</f>
        <v>Skull Isle - Spyglass 1★ #5C1</v>
      </c>
      <c r="P45" s="249">
        <f>IFERROR(__xludf.DUMMYFUNCTION("""COMPUTED_VALUE"""),50.0)</f>
        <v>50</v>
      </c>
      <c r="Q45" s="479">
        <f>IFERROR(__xludf.DUMMYFUNCTION("if(P45="""", """", P45/sum(filter($P$16:$P$949, $P$16:$P$949&lt;&gt;"""")))"),0.0024423602969910123)</f>
        <v>0.002442360297</v>
      </c>
    </row>
    <row r="46" ht="12.75" customHeight="1">
      <c r="A46" s="486" t="str">
        <f>AlbumConfig!B33&amp;" "&amp;AlbumConfig!E33</f>
        <v>Ghost Ship - Key 2★</v>
      </c>
      <c r="B46" s="497">
        <f>IFERROR(__xludf.DUMMYFUNCTION("index($B$3:$B$7, right(index(split(A46, ""★""),0,1)), 0)"),20.0)</f>
        <v>20</v>
      </c>
      <c r="C46" s="497">
        <f>IFERROR(__xludf.DUMMYFUNCTION("LET(
  ct, COUNTIF(ARRAYFORMULA(RIGHT(SPLIT($A$16:$A46, ""★""), 1)), TO_TEXT(RIGHT(SPLIT(A46, ""★""), 1))),
  n, index($C$3:$C$7, right(index(split(A46, ""★""), 0, 1), 1), 0),
  total, index($D$3:$D$7, right(index(split(A46, ""★""), 0, 1), 1), 0),
  base,"&amp;" INT(total/n),
  rem, total - base*n,
  index(MAP(SEQUENCE(n), LAMBDA(i, IF(i &lt;= rem, base+1, base))), ct, 0)
)"),13.0)</f>
        <v>13</v>
      </c>
      <c r="G46" s="480" t="s">
        <v>861</v>
      </c>
      <c r="H46" s="249">
        <v>50.0</v>
      </c>
      <c r="I46" s="479">
        <v>0.0024423602969910123</v>
      </c>
      <c r="K46" s="489" t="str">
        <f>IFERROR(__xludf.DUMMYFUNCTION("""COMPUTED_VALUE"""),"Kraken Lair - Pearl 1★ #060")</f>
        <v>Kraken Lair - Pearl 1★ #060</v>
      </c>
      <c r="L46" s="501" t="str">
        <f>IFERROR(__xludf.DUMMYFUNCTION("""COMPUTED_VALUE"""),"Dead Man Bay - Rum 1★")</f>
        <v>Dead Man Bay - Rum 1★</v>
      </c>
      <c r="M46" s="499">
        <f>IFERROR(__xludf.DUMMYFUNCTION("if(L46="""", """", counta(filter(index(arrayformula(split(filter($K$16:$K$449, $K$16:$K$449&lt;&gt;""""), ""★"")&amp;""★""), 0, 1), index(arrayformula(split(filter($K$16:$K$449, $K$16:$K$449&lt;&gt;""""), ""★"")&amp;""★""), 0, 1)=L46)))"),2.0)</f>
        <v>2</v>
      </c>
      <c r="O46" s="480" t="str">
        <f>IFERROR(__xludf.DUMMYFUNCTION("""COMPUTED_VALUE"""),"Skull Isle - Spyglass 1★ #076")</f>
        <v>Skull Isle - Spyglass 1★ #076</v>
      </c>
      <c r="P46" s="249">
        <f>IFERROR(__xludf.DUMMYFUNCTION("""COMPUTED_VALUE"""),50.0)</f>
        <v>50</v>
      </c>
      <c r="Q46" s="479">
        <f>IFERROR(__xludf.DUMMYFUNCTION("if(P46="""", """", P46/sum(filter($P$16:$P$949, $P$16:$P$949&lt;&gt;"""")))"),0.0024423602969910123)</f>
        <v>0.002442360297</v>
      </c>
    </row>
    <row r="47" ht="12.75" customHeight="1">
      <c r="A47" s="486" t="str">
        <f>AlbumConfig!B34&amp;" "&amp;AlbumConfig!E34</f>
        <v>Ghost Ship - Plank 3★</v>
      </c>
      <c r="B47" s="497">
        <f>IFERROR(__xludf.DUMMYFUNCTION("index($B$3:$B$7, right(index(split(A47, ""★""),0,1)), 0)"),10.0)</f>
        <v>10</v>
      </c>
      <c r="C47" s="497">
        <f>IFERROR(__xludf.DUMMYFUNCTION("LET(
  ct, COUNTIF(ARRAYFORMULA(RIGHT(SPLIT($A$16:$A47, ""★""), 1)), TO_TEXT(RIGHT(SPLIT(A47, ""★""), 1))),
  n, index($C$3:$C$7, right(index(split(A47, ""★""), 0, 1), 1), 0),
  total, index($D$3:$D$7, right(index(split(A47, ""★""), 0, 1), 1), 0),
  base,"&amp;" INT(total/n),
  rem, total - base*n,
  index(MAP(SEQUENCE(n), LAMBDA(i, IF(i &lt;= rem, base+1, base))), ct, 0)
)"),13.0)</f>
        <v>13</v>
      </c>
      <c r="G47" s="480" t="s">
        <v>863</v>
      </c>
      <c r="H47" s="249">
        <v>50.0</v>
      </c>
      <c r="I47" s="479">
        <v>0.0024423602969910123</v>
      </c>
      <c r="K47" s="489" t="str">
        <f>IFERROR(__xludf.DUMMYFUNCTION("""COMPUTED_VALUE"""),"Gold Cove - Emerald 1★ #F71")</f>
        <v>Gold Cove - Emerald 1★ #F71</v>
      </c>
      <c r="L47" s="501" t="str">
        <f>IFERROR(__xludf.DUMMYFUNCTION("""COMPUTED_VALUE"""),"Gold Cove - Ruby 1★")</f>
        <v>Gold Cove - Ruby 1★</v>
      </c>
      <c r="M47" s="499">
        <f>IFERROR(__xludf.DUMMYFUNCTION("if(L47="""", """", counta(filter(index(arrayformula(split(filter($K$16:$K$449, $K$16:$K$449&lt;&gt;""""), ""★"")&amp;""★""), 0, 1), index(arrayformula(split(filter($K$16:$K$449, $K$16:$K$449&lt;&gt;""""), ""★"")&amp;""★""), 0, 1)=L47)))"),2.0)</f>
        <v>2</v>
      </c>
      <c r="O47" s="480" t="str">
        <f>IFERROR(__xludf.DUMMYFUNCTION("""COMPUTED_VALUE"""),"Skull Isle - Spyglass 1★ #B2B")</f>
        <v>Skull Isle - Spyglass 1★ #B2B</v>
      </c>
      <c r="P47" s="249">
        <f>IFERROR(__xludf.DUMMYFUNCTION("""COMPUTED_VALUE"""),50.0)</f>
        <v>50</v>
      </c>
      <c r="Q47" s="479">
        <f>IFERROR(__xludf.DUMMYFUNCTION("if(P47="""", """", P47/sum(filter($P$16:$P$949, $P$16:$P$949&lt;&gt;"""")))"),0.0024423602969910123)</f>
        <v>0.002442360297</v>
      </c>
    </row>
    <row r="48" ht="12.75" customHeight="1">
      <c r="A48" s="486" t="str">
        <f>AlbumConfig!B35&amp;" "&amp;AlbumConfig!E35</f>
        <v>Ghost Ship - Nest 3★</v>
      </c>
      <c r="B48" s="497">
        <f>IFERROR(__xludf.DUMMYFUNCTION("index($B$3:$B$7, right(index(split(A48, ""★""),0,1)), 0)"),10.0)</f>
        <v>10</v>
      </c>
      <c r="C48" s="497">
        <f>IFERROR(__xludf.DUMMYFUNCTION("LET(
  ct, COUNTIF(ARRAYFORMULA(RIGHT(SPLIT($A$16:$A48, ""★""), 1)), TO_TEXT(RIGHT(SPLIT(A48, ""★""), 1))),
  n, index($C$3:$C$7, right(index(split(A48, ""★""), 0, 1), 1), 0),
  total, index($D$3:$D$7, right(index(split(A48, ""★""), 0, 1), 1), 0),
  base,"&amp;" INT(total/n),
  rem, total - base*n,
  index(MAP(SEQUENCE(n), LAMBDA(i, IF(i &lt;= rem, base+1, base))), ct, 0)
)"),13.0)</f>
        <v>13</v>
      </c>
      <c r="G48" s="480" t="s">
        <v>864</v>
      </c>
      <c r="H48" s="249">
        <v>50.0</v>
      </c>
      <c r="I48" s="479">
        <v>0.0024423602969910123</v>
      </c>
      <c r="K48" s="489" t="str">
        <f>IFERROR(__xludf.DUMMYFUNCTION("""COMPUTED_VALUE"""),"Skull Isle - Spyglass 1★ #B2B")</f>
        <v>Skull Isle - Spyglass 1★ #B2B</v>
      </c>
      <c r="L48" s="501" t="str">
        <f>IFERROR(__xludf.DUMMYFUNCTION("""COMPUTED_VALUE"""),"Siren Reef - Mirror 1★")</f>
        <v>Siren Reef - Mirror 1★</v>
      </c>
      <c r="M48" s="499">
        <f>IFERROR(__xludf.DUMMYFUNCTION("if(L48="""", """", counta(filter(index(arrayformula(split(filter($K$16:$K$449, $K$16:$K$449&lt;&gt;""""), ""★"")&amp;""★""), 0, 1), index(arrayformula(split(filter($K$16:$K$449, $K$16:$K$449&lt;&gt;""""), ""★"")&amp;""★""), 0, 1)=L48)))"),2.0)</f>
        <v>2</v>
      </c>
      <c r="O48" s="480" t="str">
        <f>IFERROR(__xludf.DUMMYFUNCTION("""COMPUTED_VALUE"""),"Skull Isle - Spyglass 1★ #5E0")</f>
        <v>Skull Isle - Spyglass 1★ #5E0</v>
      </c>
      <c r="P48" s="249">
        <f>IFERROR(__xludf.DUMMYFUNCTION("""COMPUTED_VALUE"""),50.0)</f>
        <v>50</v>
      </c>
      <c r="Q48" s="479">
        <f>IFERROR(__xludf.DUMMYFUNCTION("if(P48="""", """", P48/sum(filter($P$16:$P$949, $P$16:$P$949&lt;&gt;"""")))"),0.0024423602969910123)</f>
        <v>0.002442360297</v>
      </c>
    </row>
    <row r="49" ht="12.75" customHeight="1">
      <c r="A49" s="486" t="str">
        <f>AlbumConfig!B36&amp;" "&amp;AlbumConfig!E36</f>
        <v>Ghost Ship - Flag 4★</v>
      </c>
      <c r="B49" s="497">
        <f>IFERROR(__xludf.DUMMYFUNCTION("index($B$3:$B$7, right(index(split(A49, ""★""),0,1)), 0)"),5.0)</f>
        <v>5</v>
      </c>
      <c r="C49" s="497">
        <f>IFERROR(__xludf.DUMMYFUNCTION("LET(
  ct, COUNTIF(ARRAYFORMULA(RIGHT(SPLIT($A$16:$A49, ""★""), 1)), TO_TEXT(RIGHT(SPLIT(A49, ""★""), 1))),
  n, index($C$3:$C$7, right(index(split(A49, ""★""), 0, 1), 1), 0),
  total, index($D$3:$D$7, right(index(split(A49, ""★""), 0, 1), 1), 0),
  base,"&amp;" INT(total/n),
  rem, total - base*n,
  index(MAP(SEQUENCE(n), LAMBDA(i, IF(i &lt;= rem, base+1, base))), ct, 0)
)"),11.0)</f>
        <v>11</v>
      </c>
      <c r="G49" s="480" t="s">
        <v>867</v>
      </c>
      <c r="H49" s="249">
        <v>50.0</v>
      </c>
      <c r="I49" s="479">
        <v>0.0024423602969910123</v>
      </c>
      <c r="K49" s="489" t="str">
        <f>IFERROR(__xludf.DUMMYFUNCTION("""COMPUTED_VALUE"""),"Kraken Lair - Trident 1★ #09E")</f>
        <v>Kraken Lair - Trident 1★ #09E</v>
      </c>
      <c r="L49" s="501" t="str">
        <f>IFERROR(__xludf.DUMMYFUNCTION("""COMPUTED_VALUE"""),"Siren Reef - Harp 1★")</f>
        <v>Siren Reef - Harp 1★</v>
      </c>
      <c r="M49" s="499">
        <f>IFERROR(__xludf.DUMMYFUNCTION("if(L49="""", """", counta(filter(index(arrayformula(split(filter($K$16:$K$449, $K$16:$K$449&lt;&gt;""""), ""★"")&amp;""★""), 0, 1), index(arrayformula(split(filter($K$16:$K$449, $K$16:$K$449&lt;&gt;""""), ""★"")&amp;""★""), 0, 1)=L49)))"),1.0)</f>
        <v>1</v>
      </c>
      <c r="O49" s="480" t="str">
        <f>IFERROR(__xludf.DUMMYFUNCTION("""COMPUTED_VALUE"""),"Skull Isle - Spyglass 1★ #095")</f>
        <v>Skull Isle - Spyglass 1★ #095</v>
      </c>
      <c r="P49" s="249">
        <f>IFERROR(__xludf.DUMMYFUNCTION("""COMPUTED_VALUE"""),50.0)</f>
        <v>50</v>
      </c>
      <c r="Q49" s="479">
        <f>IFERROR(__xludf.DUMMYFUNCTION("if(P49="""", """", P49/sum(filter($P$16:$P$949, $P$16:$P$949&lt;&gt;"""")))"),0.0024423602969910123)</f>
        <v>0.002442360297</v>
      </c>
    </row>
    <row r="50" ht="12.75" customHeight="1">
      <c r="A50" s="486" t="str">
        <f>AlbumConfig!B37&amp;" "&amp;AlbumConfig!E37</f>
        <v>Ghost Ship - Chain 4★</v>
      </c>
      <c r="B50" s="497">
        <f>IFERROR(__xludf.DUMMYFUNCTION("index($B$3:$B$7, right(index(split(A50, ""★""),0,1)), 0)"),5.0)</f>
        <v>5</v>
      </c>
      <c r="C50" s="497">
        <f>IFERROR(__xludf.DUMMYFUNCTION("LET(
  ct, COUNTIF(ARRAYFORMULA(RIGHT(SPLIT($A$16:$A50, ""★""), 1)), TO_TEXT(RIGHT(SPLIT(A50, ""★""), 1))),
  n, index($C$3:$C$7, right(index(split(A50, ""★""), 0, 1), 1), 0),
  total, index($D$3:$D$7, right(index(split(A50, ""★""), 0, 1), 1), 0),
  base,"&amp;" INT(total/n),
  rem, total - base*n,
  index(MAP(SEQUENCE(n), LAMBDA(i, IF(i &lt;= rem, base+1, base))), ct, 0)
)"),11.0)</f>
        <v>11</v>
      </c>
      <c r="G50" s="480" t="s">
        <v>879</v>
      </c>
      <c r="H50" s="249">
        <v>50.0</v>
      </c>
      <c r="I50" s="479">
        <v>0.0024423602969910123</v>
      </c>
      <c r="K50" s="489" t="str">
        <f>IFERROR(__xludf.DUMMYFUNCTION("""COMPUTED_VALUE"""),"Dead Man Bay - Jolly Roger 2★ #38B")</f>
        <v>Dead Man Bay - Jolly Roger 2★ #38B</v>
      </c>
      <c r="L50" s="249" t="str">
        <f>IFERROR(__xludf.DUMMYFUNCTION("""COMPUTED_VALUE"""),"Kraken Lair - Eyepatch 4★")</f>
        <v>Kraken Lair - Eyepatch 4★</v>
      </c>
      <c r="M50" s="499">
        <f>IFERROR(__xludf.DUMMYFUNCTION("if(L50="""", """", counta(filter(index(arrayformula(split(filter($K$16:$K$449, $K$16:$K$449&lt;&gt;""""), ""★"")&amp;""★""), 0, 1), index(arrayformula(split(filter($K$16:$K$449, $K$16:$K$449&lt;&gt;""""), ""★"")&amp;""★""), 0, 1)=L50)))"),1.0)</f>
        <v>1</v>
      </c>
      <c r="O50" s="480" t="str">
        <f>IFERROR(__xludf.DUMMYFUNCTION("""COMPUTED_VALUE"""),"Skull Isle - Spyglass 1★ #B4A")</f>
        <v>Skull Isle - Spyglass 1★ #B4A</v>
      </c>
      <c r="P50" s="249">
        <f>IFERROR(__xludf.DUMMYFUNCTION("""COMPUTED_VALUE"""),50.0)</f>
        <v>50</v>
      </c>
      <c r="Q50" s="479">
        <f>IFERROR(__xludf.DUMMYFUNCTION("if(P50="""", """", P50/sum(filter($P$16:$P$949, $P$16:$P$949&lt;&gt;"""")))"),0.0024423602969910123)</f>
        <v>0.002442360297</v>
      </c>
    </row>
    <row r="51" ht="12.75" customHeight="1">
      <c r="A51" s="486" t="str">
        <f>AlbumConfig!B38&amp;" "&amp;AlbumConfig!E38</f>
        <v>Ghost Ship - Log 5★</v>
      </c>
      <c r="B51" s="497">
        <f>IFERROR(__xludf.DUMMYFUNCTION("index($B$3:$B$7, right(index(split(A51, ""★""),0,1)), 0)"),2.0)</f>
        <v>2</v>
      </c>
      <c r="C51" s="497">
        <f>IFERROR(__xludf.DUMMYFUNCTION("LET(
  ct, COUNTIF(ARRAYFORMULA(RIGHT(SPLIT($A$16:$A51, ""★""), 1)), TO_TEXT(RIGHT(SPLIT(A51, ""★""), 1))),
  n, index($C$3:$C$7, right(index(split(A51, ""★""), 0, 1), 1), 0),
  total, index($D$3:$D$7, right(index(split(A51, ""★""), 0, 1), 1), 0),
  base,"&amp;" INT(total/n),
  rem, total - base*n,
  index(MAP(SEQUENCE(n), LAMBDA(i, IF(i &lt;= rem, base+1, base))), ct, 0)
)"),5.0)</f>
        <v>5</v>
      </c>
      <c r="G51" s="480" t="s">
        <v>895</v>
      </c>
      <c r="H51" s="249">
        <v>50.0</v>
      </c>
      <c r="I51" s="479">
        <v>0.0024423602969910123</v>
      </c>
      <c r="K51" s="249" t="str">
        <f>IFERROR(__xludf.DUMMYFUNCTION("""COMPUTED_VALUE"""),"Kraken Lair - Ink Cloud 1★ #FE4")</f>
        <v>Kraken Lair - Ink Cloud 1★ #FE4</v>
      </c>
      <c r="L51" s="249" t="str">
        <f>IFERROR(__xludf.DUMMYFUNCTION("""COMPUTED_VALUE"""),"Skull Isle - Parrot 2★")</f>
        <v>Skull Isle - Parrot 2★</v>
      </c>
      <c r="M51" s="499">
        <f>IFERROR(__xludf.DUMMYFUNCTION("if(L51="""", """", counta(filter(index(arrayformula(split(filter($K$16:$K$449, $K$16:$K$449&lt;&gt;""""), ""★"")&amp;""★""), 0, 1), index(arrayformula(split(filter($K$16:$K$449, $K$16:$K$449&lt;&gt;""""), ""★"")&amp;""★""), 0, 1)=L51)))"),1.0)</f>
        <v>1</v>
      </c>
      <c r="O51" s="480" t="str">
        <f>IFERROR(__xludf.DUMMYFUNCTION("""COMPUTED_VALUE"""),"Skull Isle - Spyglass 1★ #5FF")</f>
        <v>Skull Isle - Spyglass 1★ #5FF</v>
      </c>
      <c r="P51" s="249">
        <f>IFERROR(__xludf.DUMMYFUNCTION("""COMPUTED_VALUE"""),50.0)</f>
        <v>50</v>
      </c>
      <c r="Q51" s="479">
        <f>IFERROR(__xludf.DUMMYFUNCTION("if(P51="""", """", P51/sum(filter($P$16:$P$949, $P$16:$P$949&lt;&gt;"""")))"),0.0024423602969910123)</f>
        <v>0.002442360297</v>
      </c>
    </row>
    <row r="52" ht="12.75" customHeight="1">
      <c r="A52" s="486" t="str">
        <f>AlbumConfig!B39&amp;" "&amp;AlbumConfig!E39</f>
        <v>Storm Port - Lightning 1★</v>
      </c>
      <c r="B52" s="497">
        <f>IFERROR(__xludf.DUMMYFUNCTION("index($B$3:$B$7, right(index(split(A52, ""★""),0,1)), 0)"),50.0)</f>
        <v>50</v>
      </c>
      <c r="C52" s="497">
        <f>IFERROR(__xludf.DUMMYFUNCTION("LET(
  ct, COUNTIF(ARRAYFORMULA(RIGHT(SPLIT($A$16:$A52, ""★""), 1)), TO_TEXT(RIGHT(SPLIT(A52, ""★""), 1))),
  n, index($C$3:$C$7, right(index(split(A52, ""★""), 0, 1), 1), 0),
  total, index($D$3:$D$7, right(index(split(A52, ""★""), 0, 1), 1), 0),
  base,"&amp;" INT(total/n),
  rem, total - base*n,
  index(MAP(SEQUENCE(n), LAMBDA(i, IF(i &lt;= rem, base+1, base))), ct, 0)
)"),13.0)</f>
        <v>13</v>
      </c>
      <c r="G52" s="480" t="s">
        <v>896</v>
      </c>
      <c r="H52" s="249">
        <v>50.0</v>
      </c>
      <c r="I52" s="479">
        <v>0.0024423602969910123</v>
      </c>
      <c r="K52" s="249" t="str">
        <f>IFERROR(__xludf.DUMMYFUNCTION("""COMPUTED_VALUE"""),"Kraken Lair - Pearl 1★ #B15")</f>
        <v>Kraken Lair - Pearl 1★ #B15</v>
      </c>
      <c r="L52" s="501" t="str">
        <f>IFERROR(__xludf.DUMMYFUNCTION("""COMPUTED_VALUE"""),"Storm Port - Cleat 2★")</f>
        <v>Storm Port - Cleat 2★</v>
      </c>
      <c r="M52" s="499">
        <f>IFERROR(__xludf.DUMMYFUNCTION("if(L52="""", """", counta(filter(index(arrayformula(split(filter($K$16:$K$449, $K$16:$K$449&lt;&gt;""""), ""★"")&amp;""★""), 0, 1), index(arrayformula(split(filter($K$16:$K$449, $K$16:$K$449&lt;&gt;""""), ""★"")&amp;""★""), 0, 1)=L52)))"),1.0)</f>
        <v>1</v>
      </c>
      <c r="O52" s="480" t="str">
        <f>IFERROR(__xludf.DUMMYFUNCTION("""COMPUTED_VALUE"""),"Skull Isle - Spyglass 1★ #0B4")</f>
        <v>Skull Isle - Spyglass 1★ #0B4</v>
      </c>
      <c r="P52" s="249">
        <f>IFERROR(__xludf.DUMMYFUNCTION("""COMPUTED_VALUE"""),50.0)</f>
        <v>50</v>
      </c>
      <c r="Q52" s="479">
        <f>IFERROR(__xludf.DUMMYFUNCTION("if(P52="""", """", P52/sum(filter($P$16:$P$949, $P$16:$P$949&lt;&gt;"""")))"),0.0024423602969910123)</f>
        <v>0.002442360297</v>
      </c>
    </row>
    <row r="53" ht="12.75" customHeight="1">
      <c r="A53" s="486" t="str">
        <f>AlbumConfig!B40&amp;" "&amp;AlbumConfig!E40</f>
        <v>Storm Port - Barrel 1★</v>
      </c>
      <c r="B53" s="497">
        <f>IFERROR(__xludf.DUMMYFUNCTION("index($B$3:$B$7, right(index(split(A53, ""★""),0,1)), 0)"),50.0)</f>
        <v>50</v>
      </c>
      <c r="C53" s="497">
        <f>IFERROR(__xludf.DUMMYFUNCTION("LET(
  ct, COUNTIF(ARRAYFORMULA(RIGHT(SPLIT($A$16:$A53, ""★""), 1)), TO_TEXT(RIGHT(SPLIT(A53, ""★""), 1))),
  n, index($C$3:$C$7, right(index(split(A53, ""★""), 0, 1), 1), 0),
  total, index($D$3:$D$7, right(index(split(A53, ""★""), 0, 1), 1), 0),
  base,"&amp;" INT(total/n),
  rem, total - base*n,
  index(MAP(SEQUENCE(n), LAMBDA(i, IF(i &lt;= rem, base+1, base))), ct, 0)
)"),13.0)</f>
        <v>13</v>
      </c>
      <c r="G53" s="480" t="s">
        <v>900</v>
      </c>
      <c r="H53" s="249">
        <v>50.0</v>
      </c>
      <c r="I53" s="479">
        <v>0.0024423602969910123</v>
      </c>
      <c r="K53" s="249" t="str">
        <f>IFERROR(__xludf.DUMMYFUNCTION("""COMPUTED_VALUE"""),"Gold Cove - Doubloon 1★ #3C4")</f>
        <v>Gold Cove - Doubloon 1★ #3C4</v>
      </c>
      <c r="L53" s="501" t="str">
        <f>IFERROR(__xludf.DUMMYFUNCTION("""COMPUTED_VALUE"""),"Dead Man Bay - Pistol 1★")</f>
        <v>Dead Man Bay - Pistol 1★</v>
      </c>
      <c r="M53" s="499">
        <f>IFERROR(__xludf.DUMMYFUNCTION("if(L53="""", """", counta(filter(index(arrayformula(split(filter($K$16:$K$449, $K$16:$K$449&lt;&gt;""""), ""★"")&amp;""★""), 0, 1), index(arrayformula(split(filter($K$16:$K$449, $K$16:$K$449&lt;&gt;""""), ""★"")&amp;""★""), 0, 1)=L53)))"),1.0)</f>
        <v>1</v>
      </c>
      <c r="O53" s="480" t="str">
        <f>IFERROR(__xludf.DUMMYFUNCTION("""COMPUTED_VALUE"""),"Skull Isle - Spyglass 1★ #B69")</f>
        <v>Skull Isle - Spyglass 1★ #B69</v>
      </c>
      <c r="P53" s="249">
        <f>IFERROR(__xludf.DUMMYFUNCTION("""COMPUTED_VALUE"""),50.0)</f>
        <v>50</v>
      </c>
      <c r="Q53" s="479">
        <f>IFERROR(__xludf.DUMMYFUNCTION("if(P53="""", """", P53/sum(filter($P$16:$P$949, $P$16:$P$949&lt;&gt;"""")))"),0.0024423602969910123)</f>
        <v>0.002442360297</v>
      </c>
    </row>
    <row r="54" ht="12.75" customHeight="1">
      <c r="A54" s="486" t="str">
        <f>AlbumConfig!B41&amp;" "&amp;AlbumConfig!E41</f>
        <v>Storm Port - Rope 2★</v>
      </c>
      <c r="B54" s="497">
        <f>IFERROR(__xludf.DUMMYFUNCTION("index($B$3:$B$7, right(index(split(A54, ""★""),0,1)), 0)"),20.0)</f>
        <v>20</v>
      </c>
      <c r="C54" s="497">
        <f>IFERROR(__xludf.DUMMYFUNCTION("LET(
  ct, COUNTIF(ARRAYFORMULA(RIGHT(SPLIT($A$16:$A54, ""★""), 1)), TO_TEXT(RIGHT(SPLIT(A54, ""★""), 1))),
  n, index($C$3:$C$7, right(index(split(A54, ""★""), 0, 1), 1), 0),
  total, index($D$3:$D$7, right(index(split(A54, ""★""), 0, 1), 1), 0),
  base,"&amp;" INT(total/n),
  rem, total - base*n,
  index(MAP(SEQUENCE(n), LAMBDA(i, IF(i &lt;= rem, base+1, base))), ct, 0)
)"),13.0)</f>
        <v>13</v>
      </c>
      <c r="G54" s="480" t="s">
        <v>907</v>
      </c>
      <c r="H54" s="249">
        <v>50.0</v>
      </c>
      <c r="I54" s="479">
        <v>0.0024423602969910123</v>
      </c>
      <c r="K54" s="249" t="str">
        <f>IFERROR(__xludf.DUMMYFUNCTION("""COMPUTED_VALUE"""),"Kraken Lair - Tentacle 1★ #F0B")</f>
        <v>Kraken Lair - Tentacle 1★ #F0B</v>
      </c>
      <c r="L54" s="501" t="str">
        <f>IFERROR(__xludf.DUMMYFUNCTION("""COMPUTED_VALUE"""),"Kraken Lair - Hook 3★")</f>
        <v>Kraken Lair - Hook 3★</v>
      </c>
      <c r="M54" s="499">
        <f>IFERROR(__xludf.DUMMYFUNCTION("if(L54="""", """", counta(filter(index(arrayformula(split(filter($K$16:$K$449, $K$16:$K$449&lt;&gt;""""), ""★"")&amp;""★""), 0, 1), index(arrayformula(split(filter($K$16:$K$449, $K$16:$K$449&lt;&gt;""""), ""★"")&amp;""★""), 0, 1)=L54)))"),2.0)</f>
        <v>2</v>
      </c>
      <c r="O54" s="480" t="str">
        <f>IFERROR(__xludf.DUMMYFUNCTION("""COMPUTED_VALUE"""),"Skull Isle - Spyglass 1★ #61E")</f>
        <v>Skull Isle - Spyglass 1★ #61E</v>
      </c>
      <c r="P54" s="249">
        <f>IFERROR(__xludf.DUMMYFUNCTION("""COMPUTED_VALUE"""),50.0)</f>
        <v>50</v>
      </c>
      <c r="Q54" s="479">
        <f>IFERROR(__xludf.DUMMYFUNCTION("if(P54="""", """", P54/sum(filter($P$16:$P$949, $P$16:$P$949&lt;&gt;"""")))"),0.0024423602969910123)</f>
        <v>0.002442360297</v>
      </c>
    </row>
    <row r="55" ht="12.75" customHeight="1">
      <c r="A55" s="486" t="str">
        <f>AlbumConfig!B42&amp;" "&amp;AlbumConfig!E42</f>
        <v>Storm Port - Cleat 2★</v>
      </c>
      <c r="B55" s="497">
        <f>IFERROR(__xludf.DUMMYFUNCTION("index($B$3:$B$7, right(index(split(A55, ""★""),0,1)), 0)"),20.0)</f>
        <v>20</v>
      </c>
      <c r="C55" s="497">
        <f>IFERROR(__xludf.DUMMYFUNCTION("LET(
  ct, COUNTIF(ARRAYFORMULA(RIGHT(SPLIT($A$16:$A55, ""★""), 1)), TO_TEXT(RIGHT(SPLIT(A55, ""★""), 1))),
  n, index($C$3:$C$7, right(index(split(A55, ""★""), 0, 1), 1), 0),
  total, index($D$3:$D$7, right(index(split(A55, ""★""), 0, 1), 1), 0),
  base,"&amp;" INT(total/n),
  rem, total - base*n,
  index(MAP(SEQUENCE(n), LAMBDA(i, IF(i &lt;= rem, base+1, base))), ct, 0)
)"),13.0)</f>
        <v>13</v>
      </c>
      <c r="G55" s="480" t="s">
        <v>921</v>
      </c>
      <c r="H55" s="249">
        <v>50.0</v>
      </c>
      <c r="I55" s="479">
        <v>0.0024423602969910123</v>
      </c>
      <c r="K55" s="249" t="str">
        <f>IFERROR(__xludf.DUMMYFUNCTION("""COMPUTED_VALUE"""),"Gold Cove - Crown 2★ #5F2")</f>
        <v>Gold Cove - Crown 2★ #5F2</v>
      </c>
      <c r="L55" s="501" t="str">
        <f>IFERROR(__xludf.DUMMYFUNCTION("""COMPUTED_VALUE"""),"Cannon Fort - Powder 1★")</f>
        <v>Cannon Fort - Powder 1★</v>
      </c>
      <c r="M55" s="499">
        <f>IFERROR(__xludf.DUMMYFUNCTION("if(L55="""", """", counta(filter(index(arrayformula(split(filter($K$16:$K$449, $K$16:$K$449&lt;&gt;""""), ""★"")&amp;""★""), 0, 1), index(arrayformula(split(filter($K$16:$K$449, $K$16:$K$449&lt;&gt;""""), ""★"")&amp;""★""), 0, 1)=L55)))"),1.0)</f>
        <v>1</v>
      </c>
      <c r="O55" s="480" t="str">
        <f>IFERROR(__xludf.DUMMYFUNCTION("""COMPUTED_VALUE"""),"Skull Isle - Spyglass 1★ #0D3")</f>
        <v>Skull Isle - Spyglass 1★ #0D3</v>
      </c>
      <c r="P55" s="249">
        <f>IFERROR(__xludf.DUMMYFUNCTION("""COMPUTED_VALUE"""),50.0)</f>
        <v>50</v>
      </c>
      <c r="Q55" s="479">
        <f>IFERROR(__xludf.DUMMYFUNCTION("if(P55="""", """", P55/sum(filter($P$16:$P$949, $P$16:$P$949&lt;&gt;"""")))"),0.0024423602969910123)</f>
        <v>0.002442360297</v>
      </c>
    </row>
    <row r="56" ht="12.75" customHeight="1">
      <c r="A56" s="486" t="str">
        <f>AlbumConfig!B43&amp;" "&amp;AlbumConfig!E43</f>
        <v>Storm Port - Flare 3★</v>
      </c>
      <c r="B56" s="497">
        <f>IFERROR(__xludf.DUMMYFUNCTION("index($B$3:$B$7, right(index(split(A56, ""★""),0,1)), 0)"),10.0)</f>
        <v>10</v>
      </c>
      <c r="C56" s="497">
        <f>IFERROR(__xludf.DUMMYFUNCTION("LET(
  ct, COUNTIF(ARRAYFORMULA(RIGHT(SPLIT($A$16:$A56, ""★""), 1)), TO_TEXT(RIGHT(SPLIT(A56, ""★""), 1))),
  n, index($C$3:$C$7, right(index(split(A56, ""★""), 0, 1), 1), 0),
  total, index($D$3:$D$7, right(index(split(A56, ""★""), 0, 1), 1), 0),
  base,"&amp;" INT(total/n),
  rem, total - base*n,
  index(MAP(SEQUENCE(n), LAMBDA(i, IF(i &lt;= rem, base+1, base))), ct, 0)
)"),13.0)</f>
        <v>13</v>
      </c>
      <c r="G56" s="480" t="s">
        <v>935</v>
      </c>
      <c r="H56" s="249">
        <v>50.0</v>
      </c>
      <c r="I56" s="479">
        <v>0.0024423602969910123</v>
      </c>
      <c r="K56" s="249" t="str">
        <f>IFERROR(__xludf.DUMMYFUNCTION("""COMPUTED_VALUE"""),"Kraken Lair - Tentacle 1★ #ECD")</f>
        <v>Kraken Lair - Tentacle 1★ #ECD</v>
      </c>
      <c r="L56" s="501" t="str">
        <f>IFERROR(__xludf.DUMMYFUNCTION("""COMPUTED_VALUE"""),"Storm Port - Flare 3★")</f>
        <v>Storm Port - Flare 3★</v>
      </c>
      <c r="M56" s="499">
        <f>IFERROR(__xludf.DUMMYFUNCTION("if(L56="""", """", counta(filter(index(arrayformula(split(filter($K$16:$K$449, $K$16:$K$449&lt;&gt;""""), ""★"")&amp;""★""), 0, 1), index(arrayformula(split(filter($K$16:$K$449, $K$16:$K$449&lt;&gt;""""), ""★"")&amp;""★""), 0, 1)=L56)))"),2.0)</f>
        <v>2</v>
      </c>
      <c r="O56" s="480" t="str">
        <f>IFERROR(__xludf.DUMMYFUNCTION("""COMPUTED_VALUE"""),"Skull Isle - Spyglass 1★ #B88")</f>
        <v>Skull Isle - Spyglass 1★ #B88</v>
      </c>
      <c r="P56" s="249">
        <f>IFERROR(__xludf.DUMMYFUNCTION("""COMPUTED_VALUE"""),50.0)</f>
        <v>50</v>
      </c>
      <c r="Q56" s="479">
        <f>IFERROR(__xludf.DUMMYFUNCTION("if(P56="""", """", P56/sum(filter($P$16:$P$949, $P$16:$P$949&lt;&gt;"""")))"),0.0024423602969910123)</f>
        <v>0.002442360297</v>
      </c>
    </row>
    <row r="57" ht="12.75" customHeight="1">
      <c r="A57" s="486" t="str">
        <f>AlbumConfig!B44&amp;" "&amp;AlbumConfig!E44</f>
        <v>Storm Port - Bucket 4★</v>
      </c>
      <c r="B57" s="497">
        <f>IFERROR(__xludf.DUMMYFUNCTION("index($B$3:$B$7, right(index(split(A57, ""★""),0,1)), 0)"),5.0)</f>
        <v>5</v>
      </c>
      <c r="C57" s="497">
        <f>IFERROR(__xludf.DUMMYFUNCTION("LET(
  ct, COUNTIF(ARRAYFORMULA(RIGHT(SPLIT($A$16:$A57, ""★""), 1)), TO_TEXT(RIGHT(SPLIT(A57, ""★""), 1))),
  n, index($C$3:$C$7, right(index(split(A57, ""★""), 0, 1), 1), 0),
  total, index($D$3:$D$7, right(index(split(A57, ""★""), 0, 1), 1), 0),
  base,"&amp;" INT(total/n),
  rem, total - base*n,
  index(MAP(SEQUENCE(n), LAMBDA(i, IF(i &lt;= rem, base+1, base))), ct, 0)
)"),11.0)</f>
        <v>11</v>
      </c>
      <c r="G57" s="480" t="s">
        <v>955</v>
      </c>
      <c r="H57" s="249">
        <v>50.0</v>
      </c>
      <c r="I57" s="479">
        <v>0.0024423602969910123</v>
      </c>
      <c r="K57" s="249" t="str">
        <f>IFERROR(__xludf.DUMMYFUNCTION("""COMPUTED_VALUE"""),"Skull Isle - Cutlass 2★ #7D0")</f>
        <v>Skull Isle - Cutlass 2★ #7D0</v>
      </c>
      <c r="L57" s="501" t="str">
        <f>IFERROR(__xludf.DUMMYFUNCTION("""COMPUTED_VALUE"""),"Skull Isle - Spyglass 1★")</f>
        <v>Skull Isle - Spyglass 1★</v>
      </c>
      <c r="M57" s="499">
        <f>IFERROR(__xludf.DUMMYFUNCTION("if(L57="""", """", counta(filter(index(arrayformula(split(filter($K$16:$K$449, $K$16:$K$449&lt;&gt;""""), ""★"")&amp;""★""), 0, 1), index(arrayformula(split(filter($K$16:$K$449, $K$16:$K$449&lt;&gt;""""), ""★"")&amp;""★""), 0, 1)=L57)))"),2.0)</f>
        <v>2</v>
      </c>
      <c r="O57" s="480" t="str">
        <f>IFERROR(__xludf.DUMMYFUNCTION("""COMPUTED_VALUE"""),"Skull Isle - Spyglass 1★ #63D")</f>
        <v>Skull Isle - Spyglass 1★ #63D</v>
      </c>
      <c r="P57" s="249">
        <f>IFERROR(__xludf.DUMMYFUNCTION("""COMPUTED_VALUE"""),50.0)</f>
        <v>50</v>
      </c>
      <c r="Q57" s="479">
        <f>IFERROR(__xludf.DUMMYFUNCTION("if(P57="""", """", P57/sum(filter($P$16:$P$949, $P$16:$P$949&lt;&gt;"""")))"),0.0024423602969910123)</f>
        <v>0.002442360297</v>
      </c>
    </row>
    <row r="58" ht="12.75" customHeight="1">
      <c r="A58" s="486" t="str">
        <f>AlbumConfig!B45&amp;" "&amp;AlbumConfig!E45</f>
        <v>Storm Port - Windmill 4★</v>
      </c>
      <c r="B58" s="497">
        <f>IFERROR(__xludf.DUMMYFUNCTION("index($B$3:$B$7, right(index(split(A58, ""★""),0,1)), 0)"),5.0)</f>
        <v>5</v>
      </c>
      <c r="C58" s="497">
        <f>IFERROR(__xludf.DUMMYFUNCTION("LET(
  ct, COUNTIF(ARRAYFORMULA(RIGHT(SPLIT($A$16:$A58, ""★""), 1)), TO_TEXT(RIGHT(SPLIT(A58, ""★""), 1))),
  n, index($C$3:$C$7, right(index(split(A58, ""★""), 0, 1), 1), 0),
  total, index($D$3:$D$7, right(index(split(A58, ""★""), 0, 1), 1), 0),
  base,"&amp;" INT(total/n),
  rem, total - base*n,
  index(MAP(SEQUENCE(n), LAMBDA(i, IF(i &lt;= rem, base+1, base))), ct, 0)
)"),11.0)</f>
        <v>11</v>
      </c>
      <c r="G58" s="480" t="s">
        <v>968</v>
      </c>
      <c r="H58" s="249">
        <v>50.0</v>
      </c>
      <c r="I58" s="479">
        <v>0.0024423602969910123</v>
      </c>
      <c r="K58" s="249" t="str">
        <f>IFERROR(__xludf.DUMMYFUNCTION("""COMPUTED_VALUE"""),"Skull Isle - Map 1★ #A90")</f>
        <v>Skull Isle - Map 1★ #A90</v>
      </c>
      <c r="L58" s="501" t="str">
        <f>IFERROR(__xludf.DUMMYFUNCTION("""COMPUTED_VALUE"""),"Ghost Ship - Key 2★")</f>
        <v>Ghost Ship - Key 2★</v>
      </c>
      <c r="M58" s="499">
        <f>IFERROR(__xludf.DUMMYFUNCTION("if(L58="""", """", counta(filter(index(arrayformula(split(filter($K$16:$K$449, $K$16:$K$449&lt;&gt;""""), ""★"")&amp;""★""), 0, 1), index(arrayformula(split(filter($K$16:$K$449, $K$16:$K$449&lt;&gt;""""), ""★"")&amp;""★""), 0, 1)=L58)))"),1.0)</f>
        <v>1</v>
      </c>
      <c r="O58" s="480" t="str">
        <f>IFERROR(__xludf.DUMMYFUNCTION("""COMPUTED_VALUE"""),"Skull Isle - Anchor 1★ #0F2")</f>
        <v>Skull Isle - Anchor 1★ #0F2</v>
      </c>
      <c r="P58" s="249">
        <f>IFERROR(__xludf.DUMMYFUNCTION("""COMPUTED_VALUE"""),50.0)</f>
        <v>50</v>
      </c>
      <c r="Q58" s="479">
        <f>IFERROR(__xludf.DUMMYFUNCTION("if(P58="""", """", P58/sum(filter($P$16:$P$949, $P$16:$P$949&lt;&gt;"""")))"),0.0024423602969910123)</f>
        <v>0.002442360297</v>
      </c>
    </row>
    <row r="59" ht="12.75" customHeight="1">
      <c r="A59" s="486" t="str">
        <f>AlbumConfig!B46&amp;" "&amp;AlbumConfig!E46</f>
        <v>Storm Port - Lighthouse 5★</v>
      </c>
      <c r="B59" s="497">
        <f>IFERROR(__xludf.DUMMYFUNCTION("index($B$3:$B$7, right(index(split(A59, ""★""),0,1)), 0)"),2.0)</f>
        <v>2</v>
      </c>
      <c r="C59" s="497">
        <f>IFERROR(__xludf.DUMMYFUNCTION("LET(
  ct, COUNTIF(ARRAYFORMULA(RIGHT(SPLIT($A$16:$A59, ""★""), 1)), TO_TEXT(RIGHT(SPLIT(A59, ""★""), 1))),
  n, index($C$3:$C$7, right(index(split(A59, ""★""), 0, 1), 1), 0),
  total, index($D$3:$D$7, right(index(split(A59, ""★""), 0, 1), 1), 0),
  base,"&amp;" INT(total/n),
  rem, total - base*n,
  index(MAP(SEQUENCE(n), LAMBDA(i, IF(i &lt;= rem, base+1, base))), ct, 0)
)"),5.0)</f>
        <v>5</v>
      </c>
      <c r="G59" s="480" t="s">
        <v>978</v>
      </c>
      <c r="H59" s="249">
        <v>50.0</v>
      </c>
      <c r="I59" s="479">
        <v>0.0024423602969910123</v>
      </c>
      <c r="K59" s="249" t="str">
        <f>IFERROR(__xludf.DUMMYFUNCTION("""COMPUTED_VALUE"""),"Cannon Fort - Cannonball 1★ #AF2")</f>
        <v>Cannon Fort - Cannonball 1★ #AF2</v>
      </c>
      <c r="L59" s="501" t="str">
        <f>IFERROR(__xludf.DUMMYFUNCTION("""COMPUTED_VALUE"""),"Kraken Lair - Ink Cloud 1★")</f>
        <v>Kraken Lair - Ink Cloud 1★</v>
      </c>
      <c r="M59" s="499">
        <f>IFERROR(__xludf.DUMMYFUNCTION("if(L59="""", """", counta(filter(index(arrayformula(split(filter($K$16:$K$449, $K$16:$K$449&lt;&gt;""""), ""★"")&amp;""★""), 0, 1), index(arrayformula(split(filter($K$16:$K$449, $K$16:$K$449&lt;&gt;""""), ""★"")&amp;""★""), 0, 1)=L59)))"),2.0)</f>
        <v>2</v>
      </c>
      <c r="O59" s="492" t="str">
        <f>IFERROR(__xludf.DUMMYFUNCTION("""COMPUTED_VALUE"""),"Skull Isle - Anchor 1★ #BA7")</f>
        <v>Skull Isle - Anchor 1★ #BA7</v>
      </c>
      <c r="P59" s="249">
        <f>IFERROR(__xludf.DUMMYFUNCTION("""COMPUTED_VALUE"""),50.0)</f>
        <v>50</v>
      </c>
      <c r="Q59" s="479">
        <f>IFERROR(__xludf.DUMMYFUNCTION("if(P59="""", """", P59/sum(filter($P$16:$P$949, $P$16:$P$949&lt;&gt;"""")))"),0.0024423602969910123)</f>
        <v>0.002442360297</v>
      </c>
    </row>
    <row r="60" ht="12.75" customHeight="1">
      <c r="A60" s="486" t="str">
        <f>AlbumConfig!B47&amp;" "&amp;AlbumConfig!E47</f>
        <v>Storm Port - Drum 5★</v>
      </c>
      <c r="B60" s="497">
        <f>IFERROR(__xludf.DUMMYFUNCTION("index($B$3:$B$7, right(index(split(A60, ""★""),0,1)), 0)"),2.0)</f>
        <v>2</v>
      </c>
      <c r="C60" s="497">
        <f>IFERROR(__xludf.DUMMYFUNCTION("LET(
  ct, COUNTIF(ARRAYFORMULA(RIGHT(SPLIT($A$16:$A60, ""★""), 1)), TO_TEXT(RIGHT(SPLIT(A60, ""★""), 1))),
  n, index($C$3:$C$7, right(index(split(A60, ""★""), 0, 1), 1), 0),
  total, index($D$3:$D$7, right(index(split(A60, ""★""), 0, 1), 1), 0),
  base,"&amp;" INT(total/n),
  rem, total - base*n,
  index(MAP(SEQUENCE(n), LAMBDA(i, IF(i &lt;= rem, base+1, base))), ct, 0)
)"),5.0)</f>
        <v>5</v>
      </c>
      <c r="G60" s="480" t="s">
        <v>997</v>
      </c>
      <c r="H60" s="249">
        <v>50.0</v>
      </c>
      <c r="I60" s="479">
        <v>0.0024423602969910123</v>
      </c>
      <c r="K60" s="249" t="str">
        <f>IFERROR(__xludf.DUMMYFUNCTION("""COMPUTED_VALUE"""),"Kraken Lair - Hook 3★ #855")</f>
        <v>Kraken Lair - Hook 3★ #855</v>
      </c>
      <c r="L60" s="501" t="str">
        <f>IFERROR(__xludf.DUMMYFUNCTION("""COMPUTED_VALUE"""),"Gold Cove - Emerald 1★")</f>
        <v>Gold Cove - Emerald 1★</v>
      </c>
      <c r="M60" s="499">
        <f>IFERROR(__xludf.DUMMYFUNCTION("if(L60="""", """", counta(filter(index(arrayformula(split(filter($K$16:$K$449, $K$16:$K$449&lt;&gt;""""), ""★"")&amp;""★""), 0, 1), index(arrayformula(split(filter($K$16:$K$449, $K$16:$K$449&lt;&gt;""""), ""★"")&amp;""★""), 0, 1)=L60)))"),1.0)</f>
        <v>1</v>
      </c>
      <c r="O60" s="492" t="str">
        <f>IFERROR(__xludf.DUMMYFUNCTION("""COMPUTED_VALUE"""),"Skull Isle - Anchor 1★ #65C")</f>
        <v>Skull Isle - Anchor 1★ #65C</v>
      </c>
      <c r="P60" s="249">
        <f>IFERROR(__xludf.DUMMYFUNCTION("""COMPUTED_VALUE"""),50.0)</f>
        <v>50</v>
      </c>
      <c r="Q60" s="479">
        <f>IFERROR(__xludf.DUMMYFUNCTION("if(P60="""", """", P60/sum(filter($P$16:$P$949, $P$16:$P$949&lt;&gt;"""")))"),0.0024423602969910123)</f>
        <v>0.002442360297</v>
      </c>
    </row>
    <row r="61" ht="12.75" customHeight="1">
      <c r="A61" s="486" t="str">
        <f>AlbumConfig!B48&amp;" "&amp;AlbumConfig!E48</f>
        <v>Cannon Fort - Cannonball 1★</v>
      </c>
      <c r="B61" s="497">
        <f>IFERROR(__xludf.DUMMYFUNCTION("index($B$3:$B$7, right(index(split(A61, ""★""),0,1)), 0)"),50.0)</f>
        <v>50</v>
      </c>
      <c r="C61" s="497">
        <f>IFERROR(__xludf.DUMMYFUNCTION("LET(
  ct, COUNTIF(ARRAYFORMULA(RIGHT(SPLIT($A$16:$A61, ""★""), 1)), TO_TEXT(RIGHT(SPLIT(A61, ""★""), 1))),
  n, index($C$3:$C$7, right(index(split(A61, ""★""), 0, 1), 1), 0),
  total, index($D$3:$D$7, right(index(split(A61, ""★""), 0, 1), 1), 0),
  base,"&amp;" INT(total/n),
  rem, total - base*n,
  index(MAP(SEQUENCE(n), LAMBDA(i, IF(i &lt;= rem, base+1, base))), ct, 0)
)"),13.0)</f>
        <v>13</v>
      </c>
      <c r="G61" s="480" t="s">
        <v>1010</v>
      </c>
      <c r="H61" s="249">
        <v>50.0</v>
      </c>
      <c r="I61" s="479">
        <v>0.0024423602969910123</v>
      </c>
      <c r="K61" s="249" t="str">
        <f>IFERROR(__xludf.DUMMYFUNCTION("""COMPUTED_VALUE"""),"Ghost Ship - Ghost Lamp 2★ #E63")</f>
        <v>Ghost Ship - Ghost Lamp 2★ #E63</v>
      </c>
      <c r="L61" s="501" t="str">
        <f>IFERROR(__xludf.DUMMYFUNCTION("""COMPUTED_VALUE"""),"Kraken Lair - Trident 1★")</f>
        <v>Kraken Lair - Trident 1★</v>
      </c>
      <c r="M61" s="499">
        <f>IFERROR(__xludf.DUMMYFUNCTION("if(L61="""", """", counta(filter(index(arrayformula(split(filter($K$16:$K$449, $K$16:$K$449&lt;&gt;""""), ""★"")&amp;""★""), 0, 1), index(arrayformula(split(filter($K$16:$K$449, $K$16:$K$449&lt;&gt;""""), ""★"")&amp;""★""), 0, 1)=L61)))"),2.0)</f>
        <v>2</v>
      </c>
      <c r="O61" s="492" t="str">
        <f>IFERROR(__xludf.DUMMYFUNCTION("""COMPUTED_VALUE"""),"Skull Isle - Anchor 1★ #111")</f>
        <v>Skull Isle - Anchor 1★ #111</v>
      </c>
      <c r="P61" s="249">
        <f>IFERROR(__xludf.DUMMYFUNCTION("""COMPUTED_VALUE"""),50.0)</f>
        <v>50</v>
      </c>
      <c r="Q61" s="479">
        <f>IFERROR(__xludf.DUMMYFUNCTION("if(P61="""", """", P61/sum(filter($P$16:$P$949, $P$16:$P$949&lt;&gt;"""")))"),0.0024423602969910123)</f>
        <v>0.002442360297</v>
      </c>
    </row>
    <row r="62" ht="12.75" customHeight="1">
      <c r="A62" s="486" t="str">
        <f>AlbumConfig!B49&amp;" "&amp;AlbumConfig!E49</f>
        <v>Cannon Fort - Powder 1★</v>
      </c>
      <c r="B62" s="497">
        <f>IFERROR(__xludf.DUMMYFUNCTION("index($B$3:$B$7, right(index(split(A62, ""★""),0,1)), 0)"),50.0)</f>
        <v>50</v>
      </c>
      <c r="C62" s="497">
        <f>IFERROR(__xludf.DUMMYFUNCTION("LET(
  ct, COUNTIF(ARRAYFORMULA(RIGHT(SPLIT($A$16:$A62, ""★""), 1)), TO_TEXT(RIGHT(SPLIT(A62, ""★""), 1))),
  n, index($C$3:$C$7, right(index(split(A62, ""★""), 0, 1), 1), 0),
  total, index($D$3:$D$7, right(index(split(A62, ""★""), 0, 1), 1), 0),
  base,"&amp;" INT(total/n),
  rem, total - base*n,
  index(MAP(SEQUENCE(n), LAMBDA(i, IF(i &lt;= rem, base+1, base))), ct, 0)
)"),13.0)</f>
        <v>13</v>
      </c>
      <c r="G62" s="480" t="s">
        <v>1020</v>
      </c>
      <c r="H62" s="249">
        <v>50.0</v>
      </c>
      <c r="I62" s="479">
        <v>0.0024423602969910123</v>
      </c>
      <c r="K62" s="249" t="str">
        <f>IFERROR(__xludf.DUMMYFUNCTION("""COMPUTED_VALUE"""),"Gold Cove - Ruby 1★ #49D")</f>
        <v>Gold Cove - Ruby 1★ #49D</v>
      </c>
      <c r="L62" s="501" t="str">
        <f>IFERROR(__xludf.DUMMYFUNCTION("""COMPUTED_VALUE"""),"Dead Man Bay - Jolly Roger 2★")</f>
        <v>Dead Man Bay - Jolly Roger 2★</v>
      </c>
      <c r="M62" s="499">
        <f>IFERROR(__xludf.DUMMYFUNCTION("if(L62="""", """", counta(filter(index(arrayformula(split(filter($K$16:$K$449, $K$16:$K$449&lt;&gt;""""), ""★"")&amp;""★""), 0, 1), index(arrayformula(split(filter($K$16:$K$449, $K$16:$K$449&lt;&gt;""""), ""★"")&amp;""★""), 0, 1)=L62)))"),1.0)</f>
        <v>1</v>
      </c>
      <c r="O62" s="492" t="str">
        <f>IFERROR(__xludf.DUMMYFUNCTION("""COMPUTED_VALUE"""),"Skull Isle - Anchor 1★ #BC6")</f>
        <v>Skull Isle - Anchor 1★ #BC6</v>
      </c>
      <c r="P62" s="249">
        <f>IFERROR(__xludf.DUMMYFUNCTION("""COMPUTED_VALUE"""),50.0)</f>
        <v>50</v>
      </c>
      <c r="Q62" s="479">
        <f>IFERROR(__xludf.DUMMYFUNCTION("if(P62="""", """", P62/sum(filter($P$16:$P$949, $P$16:$P$949&lt;&gt;"""")))"),0.0024423602969910123)</f>
        <v>0.002442360297</v>
      </c>
    </row>
    <row r="63" ht="12.75" customHeight="1">
      <c r="A63" s="486" t="str">
        <f>AlbumConfig!B50&amp;" "&amp;AlbumConfig!E50</f>
        <v>Cannon Fort - Fuse 2★</v>
      </c>
      <c r="B63" s="497">
        <f>IFERROR(__xludf.DUMMYFUNCTION("index($B$3:$B$7, right(index(split(A63, ""★""),0,1)), 0)"),20.0)</f>
        <v>20</v>
      </c>
      <c r="C63" s="497">
        <f>IFERROR(__xludf.DUMMYFUNCTION("LET(
  ct, COUNTIF(ARRAYFORMULA(RIGHT(SPLIT($A$16:$A63, ""★""), 1)), TO_TEXT(RIGHT(SPLIT(A63, ""★""), 1))),
  n, index($C$3:$C$7, right(index(split(A63, ""★""), 0, 1), 1), 0),
  total, index($D$3:$D$7, right(index(split(A63, ""★""), 0, 1), 1), 0),
  base,"&amp;" INT(total/n),
  rem, total - base*n,
  index(MAP(SEQUENCE(n), LAMBDA(i, IF(i &lt;= rem, base+1, base))), ct, 0)
)"),12.0)</f>
        <v>12</v>
      </c>
      <c r="G63" s="480" t="s">
        <v>1034</v>
      </c>
      <c r="H63" s="249">
        <v>50.0</v>
      </c>
      <c r="I63" s="479">
        <v>0.0024423602969910123</v>
      </c>
      <c r="K63" s="249" t="str">
        <f>IFERROR(__xludf.DUMMYFUNCTION("""COMPUTED_VALUE"""),"Kraken Lair - Trident 1★ #627")</f>
        <v>Kraken Lair - Trident 1★ #627</v>
      </c>
      <c r="L63" s="501" t="str">
        <f>IFERROR(__xludf.DUMMYFUNCTION("""COMPUTED_VALUE"""),"Skull Isle - Cutlass 2★")</f>
        <v>Skull Isle - Cutlass 2★</v>
      </c>
      <c r="M63" s="499">
        <f>IFERROR(__xludf.DUMMYFUNCTION("if(L63="""", """", counta(filter(index(arrayformula(split(filter($K$16:$K$449, $K$16:$K$449&lt;&gt;""""), ""★"")&amp;""★""), 0, 1), index(arrayformula(split(filter($K$16:$K$449, $K$16:$K$449&lt;&gt;""""), ""★"")&amp;""★""), 0, 1)=L63)))"),1.0)</f>
        <v>1</v>
      </c>
      <c r="O63" s="492" t="str">
        <f>IFERROR(__xludf.DUMMYFUNCTION("""COMPUTED_VALUE"""),"Skull Isle - Anchor 1★ #67B")</f>
        <v>Skull Isle - Anchor 1★ #67B</v>
      </c>
      <c r="P63" s="249">
        <f>IFERROR(__xludf.DUMMYFUNCTION("""COMPUTED_VALUE"""),50.0)</f>
        <v>50</v>
      </c>
      <c r="Q63" s="479">
        <f>IFERROR(__xludf.DUMMYFUNCTION("if(P63="""", """", P63/sum(filter($P$16:$P$949, $P$16:$P$949&lt;&gt;"""")))"),0.0024423602969910123)</f>
        <v>0.002442360297</v>
      </c>
    </row>
    <row r="64" ht="12.75" customHeight="1">
      <c r="A64" s="486" t="str">
        <f>AlbumConfig!B51&amp;" "&amp;AlbumConfig!E51</f>
        <v>Cannon Fort - Ramrod 2★</v>
      </c>
      <c r="B64" s="497">
        <f>IFERROR(__xludf.DUMMYFUNCTION("index($B$3:$B$7, right(index(split(A64, ""★""),0,1)), 0)"),20.0)</f>
        <v>20</v>
      </c>
      <c r="C64" s="497">
        <f>IFERROR(__xludf.DUMMYFUNCTION("LET(
  ct, COUNTIF(ARRAYFORMULA(RIGHT(SPLIT($A$16:$A64, ""★""), 1)), TO_TEXT(RIGHT(SPLIT(A64, ""★""), 1))),
  n, index($C$3:$C$7, right(index(split(A64, ""★""), 0, 1), 1), 0),
  total, index($D$3:$D$7, right(index(split(A64, ""★""), 0, 1), 1), 0),
  base,"&amp;" INT(total/n),
  rem, total - base*n,
  index(MAP(SEQUENCE(n), LAMBDA(i, IF(i &lt;= rem, base+1, base))), ct, 0)
)"),12.0)</f>
        <v>12</v>
      </c>
      <c r="G64" s="480" t="s">
        <v>1046</v>
      </c>
      <c r="H64" s="249">
        <v>50.0</v>
      </c>
      <c r="I64" s="479">
        <v>0.0024423602969910123</v>
      </c>
      <c r="K64" s="249" t="str">
        <f>IFERROR(__xludf.DUMMYFUNCTION("""COMPUTED_VALUE"""),"Skull Isle - Map 1★ #AAF")</f>
        <v>Skull Isle - Map 1★ #AAF</v>
      </c>
      <c r="L64" s="501" t="str">
        <f>IFERROR(__xludf.DUMMYFUNCTION("""COMPUTED_VALUE"""),"Skull Isle - Map 1★")</f>
        <v>Skull Isle - Map 1★</v>
      </c>
      <c r="M64" s="499">
        <f>IFERROR(__xludf.DUMMYFUNCTION("if(L64="""", """", counta(filter(index(arrayformula(split(filter($K$16:$K$449, $K$16:$K$449&lt;&gt;""""), ""★"")&amp;""★""), 0, 1), index(arrayformula(split(filter($K$16:$K$449, $K$16:$K$449&lt;&gt;""""), ""★"")&amp;""★""), 0, 1)=L64)))"),3.0)</f>
        <v>3</v>
      </c>
      <c r="O64" s="492" t="str">
        <f>IFERROR(__xludf.DUMMYFUNCTION("""COMPUTED_VALUE"""),"Skull Isle - Anchor 1★ #130")</f>
        <v>Skull Isle - Anchor 1★ #130</v>
      </c>
      <c r="P64" s="249">
        <f>IFERROR(__xludf.DUMMYFUNCTION("""COMPUTED_VALUE"""),50.0)</f>
        <v>50</v>
      </c>
      <c r="Q64" s="479">
        <f>IFERROR(__xludf.DUMMYFUNCTION("if(P64="""", """", P64/sum(filter($P$16:$P$949, $P$16:$P$949&lt;&gt;"""")))"),0.0024423602969910123)</f>
        <v>0.002442360297</v>
      </c>
    </row>
    <row r="65" ht="12.75" customHeight="1">
      <c r="A65" s="486" t="str">
        <f>AlbumConfig!B52&amp;" "&amp;AlbumConfig!E52</f>
        <v>Cannon Fort - War Flag 3★</v>
      </c>
      <c r="B65" s="497">
        <f>IFERROR(__xludf.DUMMYFUNCTION("index($B$3:$B$7, right(index(split(A65, ""★""),0,1)), 0)"),10.0)</f>
        <v>10</v>
      </c>
      <c r="C65" s="497">
        <f>IFERROR(__xludf.DUMMYFUNCTION("LET(
  ct, COUNTIF(ARRAYFORMULA(RIGHT(SPLIT($A$16:$A65, ""★""), 1)), TO_TEXT(RIGHT(SPLIT(A65, ""★""), 1))),
  n, index($C$3:$C$7, right(index(split(A65, ""★""), 0, 1), 1), 0),
  total, index($D$3:$D$7, right(index(split(A65, ""★""), 0, 1), 1), 0),
  base,"&amp;" INT(total/n),
  rem, total - base*n,
  index(MAP(SEQUENCE(n), LAMBDA(i, IF(i &lt;= rem, base+1, base))), ct, 0)
)"),13.0)</f>
        <v>13</v>
      </c>
      <c r="G65" s="480" t="s">
        <v>1056</v>
      </c>
      <c r="H65" s="249">
        <v>50.0</v>
      </c>
      <c r="I65" s="479">
        <v>0.0024423602969910123</v>
      </c>
      <c r="K65" s="249" t="str">
        <f>IFERROR(__xludf.DUMMYFUNCTION("""COMPUTED_VALUE"""),"Kraken Lair - Coral 2★ #71F")</f>
        <v>Kraken Lair - Coral 2★ #71F</v>
      </c>
      <c r="L65" s="501" t="str">
        <f>IFERROR(__xludf.DUMMYFUNCTION("""COMPUTED_VALUE"""),"Cannon Fort - Cannonball 1★")</f>
        <v>Cannon Fort - Cannonball 1★</v>
      </c>
      <c r="M65" s="499">
        <f>IFERROR(__xludf.DUMMYFUNCTION("if(L65="""", """", counta(filter(index(arrayformula(split(filter($K$16:$K$449, $K$16:$K$449&lt;&gt;""""), ""★"")&amp;""★""), 0, 1), index(arrayformula(split(filter($K$16:$K$449, $K$16:$K$449&lt;&gt;""""), ""★"")&amp;""★""), 0, 1)=L65)))"),1.0)</f>
        <v>1</v>
      </c>
      <c r="O65" s="492" t="str">
        <f>IFERROR(__xludf.DUMMYFUNCTION("""COMPUTED_VALUE"""),"Skull Isle - Anchor 1★ #BE5")</f>
        <v>Skull Isle - Anchor 1★ #BE5</v>
      </c>
      <c r="P65" s="249">
        <f>IFERROR(__xludf.DUMMYFUNCTION("""COMPUTED_VALUE"""),50.0)</f>
        <v>50</v>
      </c>
      <c r="Q65" s="479">
        <f>IFERROR(__xludf.DUMMYFUNCTION("if(P65="""", """", P65/sum(filter($P$16:$P$949, $P$16:$P$949&lt;&gt;"""")))"),0.0024423602969910123)</f>
        <v>0.002442360297</v>
      </c>
    </row>
    <row r="66" ht="12.75" customHeight="1">
      <c r="A66" s="486" t="str">
        <f>AlbumConfig!B53&amp;" "&amp;AlbumConfig!E53</f>
        <v>Cannon Fort - Tower 4★</v>
      </c>
      <c r="B66" s="497">
        <f>IFERROR(__xludf.DUMMYFUNCTION("index($B$3:$B$7, right(index(split(A66, ""★""),0,1)), 0)"),5.0)</f>
        <v>5</v>
      </c>
      <c r="C66" s="497">
        <f>IFERROR(__xludf.DUMMYFUNCTION("LET(
  ct, COUNTIF(ARRAYFORMULA(RIGHT(SPLIT($A$16:$A66, ""★""), 1)), TO_TEXT(RIGHT(SPLIT(A66, ""★""), 1))),
  n, index($C$3:$C$7, right(index(split(A66, ""★""), 0, 1), 1), 0),
  total, index($D$3:$D$7, right(index(split(A66, ""★""), 0, 1), 1), 0),
  base,"&amp;" INT(total/n),
  rem, total - base*n,
  index(MAP(SEQUENCE(n), LAMBDA(i, IF(i &lt;= rem, base+1, base))), ct, 0)
)"),11.0)</f>
        <v>11</v>
      </c>
      <c r="G66" s="480" t="s">
        <v>1069</v>
      </c>
      <c r="H66" s="249">
        <v>50.0</v>
      </c>
      <c r="I66" s="479">
        <v>0.0024423602969910123</v>
      </c>
      <c r="K66" s="249" t="str">
        <f>IFERROR(__xludf.DUMMYFUNCTION("""COMPUTED_VALUE"""),"Ghost Ship - Fog Horn 1★ #820")</f>
        <v>Ghost Ship - Fog Horn 1★ #820</v>
      </c>
      <c r="L66" s="501" t="str">
        <f>IFERROR(__xludf.DUMMYFUNCTION("""COMPUTED_VALUE"""),"Ghost Ship - Ghost Lamp 2★")</f>
        <v>Ghost Ship - Ghost Lamp 2★</v>
      </c>
      <c r="M66" s="499">
        <f>IFERROR(__xludf.DUMMYFUNCTION("if(L66="""", """", counta(filter(index(arrayformula(split(filter($K$16:$K$449, $K$16:$K$449&lt;&gt;""""), ""★"")&amp;""★""), 0, 1), index(arrayformula(split(filter($K$16:$K$449, $K$16:$K$449&lt;&gt;""""), ""★"")&amp;""★""), 0, 1)=L66)))"),1.0)</f>
        <v>1</v>
      </c>
      <c r="O66" s="492" t="str">
        <f>IFERROR(__xludf.DUMMYFUNCTION("""COMPUTED_VALUE"""),"Skull Isle - Anchor 1★ #69A")</f>
        <v>Skull Isle - Anchor 1★ #69A</v>
      </c>
      <c r="P66" s="249">
        <f>IFERROR(__xludf.DUMMYFUNCTION("""COMPUTED_VALUE"""),50.0)</f>
        <v>50</v>
      </c>
      <c r="Q66" s="479">
        <f>IFERROR(__xludf.DUMMYFUNCTION("if(P66="""", """", P66/sum(filter($P$16:$P$949, $P$16:$P$949&lt;&gt;"""")))"),0.0024423602969910123)</f>
        <v>0.002442360297</v>
      </c>
    </row>
    <row r="67" ht="12.75" customHeight="1">
      <c r="A67" s="486" t="str">
        <f>AlbumConfig!B54&amp;" "&amp;AlbumConfig!E54</f>
        <v>Cannon Fort - Bridge 5★</v>
      </c>
      <c r="B67" s="497">
        <f>IFERROR(__xludf.DUMMYFUNCTION("index($B$3:$B$7, right(index(split(A67, ""★""),0,1)), 0)"),2.0)</f>
        <v>2</v>
      </c>
      <c r="C67" s="497">
        <f>IFERROR(__xludf.DUMMYFUNCTION("LET(
  ct, COUNTIF(ARRAYFORMULA(RIGHT(SPLIT($A$16:$A67, ""★""), 1)), TO_TEXT(RIGHT(SPLIT(A67, ""★""), 1))),
  n, index($C$3:$C$7, right(index(split(A67, ""★""), 0, 1), 1), 0),
  total, index($D$3:$D$7, right(index(split(A67, ""★""), 0, 1), 1), 0),
  base,"&amp;" INT(total/n),
  rem, total - base*n,
  index(MAP(SEQUENCE(n), LAMBDA(i, IF(i &lt;= rem, base+1, base))), ct, 0)
)"),5.0)</f>
        <v>5</v>
      </c>
      <c r="G67" s="480" t="s">
        <v>1079</v>
      </c>
      <c r="H67" s="249">
        <v>50.0</v>
      </c>
      <c r="I67" s="479">
        <v>0.0024423602969910123</v>
      </c>
      <c r="K67" s="249" t="str">
        <f>IFERROR(__xludf.DUMMYFUNCTION("""COMPUTED_VALUE"""),"Skull Isle - Anchor 1★ #130")</f>
        <v>Skull Isle - Anchor 1★ #130</v>
      </c>
      <c r="L67" s="501" t="str">
        <f>IFERROR(__xludf.DUMMYFUNCTION("""COMPUTED_VALUE"""),"Kraken Lair - Coral 2★")</f>
        <v>Kraken Lair - Coral 2★</v>
      </c>
      <c r="M67" s="499">
        <f>IFERROR(__xludf.DUMMYFUNCTION("if(L67="""", """", counta(filter(index(arrayformula(split(filter($K$16:$K$449, $K$16:$K$449&lt;&gt;""""), ""★"")&amp;""★""), 0, 1), index(arrayformula(split(filter($K$16:$K$449, $K$16:$K$449&lt;&gt;""""), ""★"")&amp;""★""), 0, 1)=L67)))"),1.0)</f>
        <v>1</v>
      </c>
      <c r="O67" s="492" t="str">
        <f>IFERROR(__xludf.DUMMYFUNCTION("""COMPUTED_VALUE"""),"Skull Isle - Anchor 1★ #14F")</f>
        <v>Skull Isle - Anchor 1★ #14F</v>
      </c>
      <c r="P67" s="249">
        <f>IFERROR(__xludf.DUMMYFUNCTION("""COMPUTED_VALUE"""),50.0)</f>
        <v>50</v>
      </c>
      <c r="Q67" s="479">
        <f>IFERROR(__xludf.DUMMYFUNCTION("if(P67="""", """", P67/sum(filter($P$16:$P$949, $P$16:$P$949&lt;&gt;"""")))"),0.0024423602969910123)</f>
        <v>0.002442360297</v>
      </c>
    </row>
    <row r="68" ht="12.75" customHeight="1">
      <c r="A68" s="486" t="str">
        <f>AlbumConfig!B55&amp;" "&amp;AlbumConfig!E55</f>
        <v>Cannon Fort - Catapult 5★</v>
      </c>
      <c r="B68" s="497">
        <f>IFERROR(__xludf.DUMMYFUNCTION("index($B$3:$B$7, right(index(split(A68, ""★""),0,1)), 0)"),2.0)</f>
        <v>2</v>
      </c>
      <c r="C68" s="497">
        <f>IFERROR(__xludf.DUMMYFUNCTION("LET(
  ct, COUNTIF(ARRAYFORMULA(RIGHT(SPLIT($A$16:$A68, ""★""), 1)), TO_TEXT(RIGHT(SPLIT(A68, ""★""), 1))),
  n, index($C$3:$C$7, right(index(split(A68, ""★""), 0, 1), 1), 0),
  total, index($D$3:$D$7, right(index(split(A68, ""★""), 0, 1), 1), 0),
  base,"&amp;" INT(total/n),
  rem, total - base*n,
  index(MAP(SEQUENCE(n), LAMBDA(i, IF(i &lt;= rem, base+1, base))), ct, 0)
)"),5.0)</f>
        <v>5</v>
      </c>
      <c r="G68" s="480" t="s">
        <v>1096</v>
      </c>
      <c r="H68" s="249">
        <v>50.0</v>
      </c>
      <c r="I68" s="479">
        <v>0.0024423602969910123</v>
      </c>
      <c r="K68" s="249" t="str">
        <f>IFERROR(__xludf.DUMMYFUNCTION("""COMPUTED_VALUE"""),"Skull Isle - Anchor 1★ #67B")</f>
        <v>Skull Isle - Anchor 1★ #67B</v>
      </c>
      <c r="L68" s="501" t="str">
        <f>IFERROR(__xludf.DUMMYFUNCTION("""COMPUTED_VALUE"""),"Ghost Ship - Fog Horn 1★")</f>
        <v>Ghost Ship - Fog Horn 1★</v>
      </c>
      <c r="M68" s="499">
        <f>IFERROR(__xludf.DUMMYFUNCTION("if(L68="""", """", counta(filter(index(arrayformula(split(filter($K$16:$K$449, $K$16:$K$449&lt;&gt;""""), ""★"")&amp;""★""), 0, 1), index(arrayformula(split(filter($K$16:$K$449, $K$16:$K$449&lt;&gt;""""), ""★"")&amp;""★""), 0, 1)=L68)))"),1.0)</f>
        <v>1</v>
      </c>
      <c r="O68" s="492" t="str">
        <f>IFERROR(__xludf.DUMMYFUNCTION("""COMPUTED_VALUE"""),"Skull Isle - Anchor 1★ #C04")</f>
        <v>Skull Isle - Anchor 1★ #C04</v>
      </c>
      <c r="P68" s="249">
        <f>IFERROR(__xludf.DUMMYFUNCTION("""COMPUTED_VALUE"""),50.0)</f>
        <v>50</v>
      </c>
      <c r="Q68" s="479">
        <f>IFERROR(__xludf.DUMMYFUNCTION("if(P68="""", """", P68/sum(filter($P$16:$P$949, $P$16:$P$949&lt;&gt;"""")))"),0.0024423602969910123)</f>
        <v>0.002442360297</v>
      </c>
    </row>
    <row r="69" ht="12.75" customHeight="1">
      <c r="A69" s="486" t="str">
        <f>AlbumConfig!B56&amp;" "&amp;AlbumConfig!E56</f>
        <v>Cannon Fort - Horn 5★</v>
      </c>
      <c r="B69" s="497">
        <f>IFERROR(__xludf.DUMMYFUNCTION("index($B$3:$B$7, right(index(split(A69, ""★""),0,1)), 0)"),2.0)</f>
        <v>2</v>
      </c>
      <c r="C69" s="497">
        <f>IFERROR(__xludf.DUMMYFUNCTION("LET(
  ct, COUNTIF(ARRAYFORMULA(RIGHT(SPLIT($A$16:$A69, ""★""), 1)), TO_TEXT(RIGHT(SPLIT(A69, ""★""), 1))),
  n, index($C$3:$C$7, right(index(split(A69, ""★""), 0, 1), 1), 0),
  total, index($D$3:$D$7, right(index(split(A69, ""★""), 0, 1), 1), 0),
  base,"&amp;" INT(total/n),
  rem, total - base*n,
  index(MAP(SEQUENCE(n), LAMBDA(i, IF(i &lt;= rem, base+1, base))), ct, 0)
)"),5.0)</f>
        <v>5</v>
      </c>
      <c r="G69" s="480" t="s">
        <v>1111</v>
      </c>
      <c r="H69" s="249">
        <v>50.0</v>
      </c>
      <c r="I69" s="479">
        <v>0.0024423602969910123</v>
      </c>
      <c r="K69" s="249" t="str">
        <f>IFERROR(__xludf.DUMMYFUNCTION("""COMPUTED_VALUE"""),"Storm Port - Lightning 1★ #C5D")</f>
        <v>Storm Port - Lightning 1★ #C5D</v>
      </c>
      <c r="L69" s="501" t="str">
        <f>IFERROR(__xludf.DUMMYFUNCTION("""COMPUTED_VALUE"""),"Skull Isle - Anchor 1★")</f>
        <v>Skull Isle - Anchor 1★</v>
      </c>
      <c r="M69" s="499">
        <f>IFERROR(__xludf.DUMMYFUNCTION("if(L69="""", """", counta(filter(index(arrayformula(split(filter($K$16:$K$449, $K$16:$K$449&lt;&gt;""""), ""★"")&amp;""★""), 0, 1), index(arrayformula(split(filter($K$16:$K$449, $K$16:$K$449&lt;&gt;""""), ""★"")&amp;""★""), 0, 1)=L69)))"),2.0)</f>
        <v>2</v>
      </c>
      <c r="O69" s="492" t="str">
        <f>IFERROR(__xludf.DUMMYFUNCTION("""COMPUTED_VALUE"""),"Skull Isle - Anchor 1★ #6B9")</f>
        <v>Skull Isle - Anchor 1★ #6B9</v>
      </c>
      <c r="P69" s="249">
        <f>IFERROR(__xludf.DUMMYFUNCTION("""COMPUTED_VALUE"""),50.0)</f>
        <v>50</v>
      </c>
      <c r="Q69" s="479">
        <f>IFERROR(__xludf.DUMMYFUNCTION("if(P69="""", """", P69/sum(filter($P$16:$P$949, $P$16:$P$949&lt;&gt;"""")))"),0.0024423602969910123)</f>
        <v>0.002442360297</v>
      </c>
    </row>
    <row r="70" ht="12.75" customHeight="1">
      <c r="A70" s="486" t="str">
        <f>AlbumConfig!B57&amp;" "&amp;AlbumConfig!E57</f>
        <v>Siren Reef - Harp 1★</v>
      </c>
      <c r="B70" s="497">
        <f>IFERROR(__xludf.DUMMYFUNCTION("index($B$3:$B$7, right(index(split(A70, ""★""),0,1)), 0)"),50.0)</f>
        <v>50</v>
      </c>
      <c r="C70" s="497">
        <f>IFERROR(__xludf.DUMMYFUNCTION("LET(
  ct, COUNTIF(ARRAYFORMULA(RIGHT(SPLIT($A$16:$A70, ""★""), 1)), TO_TEXT(RIGHT(SPLIT(A70, ""★""), 1))),
  n, index($C$3:$C$7, right(index(split(A70, ""★""), 0, 1), 1), 0),
  total, index($D$3:$D$7, right(index(split(A70, ""★""), 0, 1), 1), 0),
  base,"&amp;" INT(total/n),
  rem, total - base*n,
  index(MAP(SEQUENCE(n), LAMBDA(i, IF(i &lt;= rem, base+1, base))), ct, 0)
)"),13.0)</f>
        <v>13</v>
      </c>
      <c r="G70" s="480" t="s">
        <v>1122</v>
      </c>
      <c r="H70" s="249">
        <v>50.0</v>
      </c>
      <c r="I70" s="479">
        <v>0.0024423602969910123</v>
      </c>
      <c r="K70" s="249" t="str">
        <f>IFERROR(__xludf.DUMMYFUNCTION("""COMPUTED_VALUE"""),"Skull Isle - Map 1★ #038")</f>
        <v>Skull Isle - Map 1★ #038</v>
      </c>
      <c r="L70" s="501"/>
      <c r="M70" s="499" t="str">
        <f>IFERROR(__xludf.DUMMYFUNCTION("if(L70="""", """", counta(filter(index(arrayformula(split(filter($K$16:$K$449, $K$16:$K$449&lt;&gt;""""), ""★"")&amp;""★""), 0, 1), index(arrayformula(split(filter($K$16:$K$449, $K$16:$K$449&lt;&gt;""""), ""★"")&amp;""★""), 0, 1)=L70)))"),"")</f>
        <v/>
      </c>
      <c r="O70" s="492" t="str">
        <f>IFERROR(__xludf.DUMMYFUNCTION("""COMPUTED_VALUE"""),"Skull Isle - Anchor 1★ #16E")</f>
        <v>Skull Isle - Anchor 1★ #16E</v>
      </c>
      <c r="P70" s="249">
        <f>IFERROR(__xludf.DUMMYFUNCTION("""COMPUTED_VALUE"""),50.0)</f>
        <v>50</v>
      </c>
      <c r="Q70" s="479">
        <f>IFERROR(__xludf.DUMMYFUNCTION("if(P70="""", """", P70/sum(filter($P$16:$P$949, $P$16:$P$949&lt;&gt;"""")))"),0.0024423602969910123)</f>
        <v>0.002442360297</v>
      </c>
    </row>
    <row r="71" ht="12.75" customHeight="1">
      <c r="A71" s="486" t="str">
        <f>AlbumConfig!B58&amp;" "&amp;AlbumConfig!E58</f>
        <v>Siren Reef - Mirror 1★</v>
      </c>
      <c r="B71" s="497">
        <f>IFERROR(__xludf.DUMMYFUNCTION("index($B$3:$B$7, right(index(split(A71, ""★""),0,1)), 0)"),50.0)</f>
        <v>50</v>
      </c>
      <c r="C71" s="497">
        <f>IFERROR(__xludf.DUMMYFUNCTION("LET(
  ct, COUNTIF(ARRAYFORMULA(RIGHT(SPLIT($A$16:$A71, ""★""), 1)), TO_TEXT(RIGHT(SPLIT(A71, ""★""), 1))),
  n, index($C$3:$C$7, right(index(split(A71, ""★""), 0, 1), 1), 0),
  total, index($D$3:$D$7, right(index(split(A71, ""★""), 0, 1), 1), 0),
  base,"&amp;" INT(total/n),
  rem, total - base*n,
  index(MAP(SEQUENCE(n), LAMBDA(i, IF(i &lt;= rem, base+1, base))), ct, 0)
)"),13.0)</f>
        <v>13</v>
      </c>
      <c r="G71" s="480" t="s">
        <v>1123</v>
      </c>
      <c r="H71" s="249">
        <v>50.0</v>
      </c>
      <c r="I71" s="479">
        <v>0.0024423602969910123</v>
      </c>
      <c r="K71" s="249"/>
      <c r="L71" s="501"/>
      <c r="M71" s="499" t="str">
        <f>IFERROR(__xludf.DUMMYFUNCTION("if(L71="""", """", counta(filter(index(arrayformula(split(filter($K$16:$K$449, $K$16:$K$449&lt;&gt;""""), ""★"")&amp;""★""), 0, 1), index(arrayformula(split(filter($K$16:$K$449, $K$16:$K$449&lt;&gt;""""), ""★"")&amp;""★""), 0, 1)=L71)))"),"")</f>
        <v/>
      </c>
      <c r="O71" s="492" t="str">
        <f>IFERROR(__xludf.DUMMYFUNCTION("""COMPUTED_VALUE"""),"Skull Isle - Anchor 1★ #C23")</f>
        <v>Skull Isle - Anchor 1★ #C23</v>
      </c>
      <c r="P71" s="249">
        <f>IFERROR(__xludf.DUMMYFUNCTION("""COMPUTED_VALUE"""),50.0)</f>
        <v>50</v>
      </c>
      <c r="Q71" s="479">
        <f>IFERROR(__xludf.DUMMYFUNCTION("if(P71="""", """", P71/sum(filter($P$16:$P$949, $P$16:$P$949&lt;&gt;"""")))"),0.0024423602969910123)</f>
        <v>0.002442360297</v>
      </c>
    </row>
    <row r="72" ht="12.75" customHeight="1">
      <c r="A72" s="486" t="str">
        <f>AlbumConfig!B59&amp;" "&amp;AlbumConfig!E59</f>
        <v>Siren Reef - Comb 2★</v>
      </c>
      <c r="B72" s="497">
        <f>IFERROR(__xludf.DUMMYFUNCTION("index($B$3:$B$7, right(index(split(A72, ""★""),0,1)), 0)"),20.0)</f>
        <v>20</v>
      </c>
      <c r="C72" s="497">
        <f>IFERROR(__xludf.DUMMYFUNCTION("LET(
  ct, COUNTIF(ARRAYFORMULA(RIGHT(SPLIT($A$16:$A72, ""★""), 1)), TO_TEXT(RIGHT(SPLIT(A72, ""★""), 1))),
  n, index($C$3:$C$7, right(index(split(A72, ""★""), 0, 1), 1), 0),
  total, index($D$3:$D$7, right(index(split(A72, ""★""), 0, 1), 1), 0),
  base,"&amp;" INT(total/n),
  rem, total - base*n,
  index(MAP(SEQUENCE(n), LAMBDA(i, IF(i &lt;= rem, base+1, base))), ct, 0)
)"),12.0)</f>
        <v>12</v>
      </c>
      <c r="G72" s="480" t="s">
        <v>1124</v>
      </c>
      <c r="H72" s="249">
        <v>20.0</v>
      </c>
      <c r="I72" s="479">
        <v>9.769441187964048E-4</v>
      </c>
      <c r="K72" s="249"/>
      <c r="L72" s="501"/>
      <c r="M72" s="499" t="str">
        <f>IFERROR(__xludf.DUMMYFUNCTION("if(L72="""", """", counta(filter(index(arrayformula(split(filter($K$16:$K$449, $K$16:$K$449&lt;&gt;""""), ""★"")&amp;""★""), 0, 1), index(arrayformula(split(filter($K$16:$K$449, $K$16:$K$449&lt;&gt;""""), ""★"")&amp;""★""), 0, 1)=L72)))"),"")</f>
        <v/>
      </c>
      <c r="O72" s="492" t="str">
        <f>IFERROR(__xludf.DUMMYFUNCTION("""COMPUTED_VALUE"""),"Skull Isle - Helm 2★ #6D8")</f>
        <v>Skull Isle - Helm 2★ #6D8</v>
      </c>
      <c r="P72" s="249">
        <f>IFERROR(__xludf.DUMMYFUNCTION("""COMPUTED_VALUE"""),20.0)</f>
        <v>20</v>
      </c>
      <c r="Q72" s="479">
        <f>IFERROR(__xludf.DUMMYFUNCTION("if(P72="""", """", P72/sum(filter($P$16:$P$949, $P$16:$P$949&lt;&gt;"""")))"),9.769441187964048E-4)</f>
        <v>0.0009769441188</v>
      </c>
    </row>
    <row r="73" ht="12.75" customHeight="1">
      <c r="A73" s="486" t="str">
        <f>AlbumConfig!B60&amp;" "&amp;AlbumConfig!E60</f>
        <v>Siren Reef - Witch 2★</v>
      </c>
      <c r="B73" s="497">
        <f>IFERROR(__xludf.DUMMYFUNCTION("index($B$3:$B$7, right(index(split(A73, ""★""),0,1)), 0)"),20.0)</f>
        <v>20</v>
      </c>
      <c r="C73" s="497">
        <f>IFERROR(__xludf.DUMMYFUNCTION("LET(
  ct, COUNTIF(ARRAYFORMULA(RIGHT(SPLIT($A$16:$A73, ""★""), 1)), TO_TEXT(RIGHT(SPLIT(A73, ""★""), 1))),
  n, index($C$3:$C$7, right(index(split(A73, ""★""), 0, 1), 1), 0),
  total, index($D$3:$D$7, right(index(split(A73, ""★""), 0, 1), 1), 0),
  base,"&amp;" INT(total/n),
  rem, total - base*n,
  index(MAP(SEQUENCE(n), LAMBDA(i, IF(i &lt;= rem, base+1, base))), ct, 0)
)"),12.0)</f>
        <v>12</v>
      </c>
      <c r="G73" s="480" t="s">
        <v>1125</v>
      </c>
      <c r="H73" s="249">
        <v>20.0</v>
      </c>
      <c r="I73" s="479">
        <v>9.769441187964048E-4</v>
      </c>
      <c r="K73" s="249"/>
      <c r="L73" s="501"/>
      <c r="M73" s="499" t="str">
        <f>IFERROR(__xludf.DUMMYFUNCTION("if(L73="""", """", counta(filter(index(arrayformula(split(filter($K$16:$K$449, $K$16:$K$449&lt;&gt;""""), ""★"")&amp;""★""), 0, 1), index(arrayformula(split(filter($K$16:$K$449, $K$16:$K$449&lt;&gt;""""), ""★"")&amp;""★""), 0, 1)=L73)))"),"")</f>
        <v/>
      </c>
      <c r="O73" s="492" t="str">
        <f>IFERROR(__xludf.DUMMYFUNCTION("""COMPUTED_VALUE"""),"Skull Isle - Helm 2★ #18D")</f>
        <v>Skull Isle - Helm 2★ #18D</v>
      </c>
      <c r="P73" s="249">
        <f>IFERROR(__xludf.DUMMYFUNCTION("""COMPUTED_VALUE"""),20.0)</f>
        <v>20</v>
      </c>
      <c r="Q73" s="479">
        <f>IFERROR(__xludf.DUMMYFUNCTION("if(P73="""", """", P73/sum(filter($P$16:$P$949, $P$16:$P$949&lt;&gt;"""")))"),9.769441187964048E-4)</f>
        <v>0.0009769441188</v>
      </c>
    </row>
    <row r="74" ht="12.75" customHeight="1">
      <c r="A74" s="486" t="str">
        <f>AlbumConfig!B61&amp;" "&amp;AlbumConfig!E61</f>
        <v>Siren Reef - Starfish 3★</v>
      </c>
      <c r="B74" s="497">
        <f>IFERROR(__xludf.DUMMYFUNCTION("index($B$3:$B$7, right(index(split(A74, ""★""),0,1)), 0)"),10.0)</f>
        <v>10</v>
      </c>
      <c r="C74" s="497">
        <f>IFERROR(__xludf.DUMMYFUNCTION("LET(
  ct, COUNTIF(ARRAYFORMULA(RIGHT(SPLIT($A$16:$A74, ""★""), 1)), TO_TEXT(RIGHT(SPLIT(A74, ""★""), 1))),
  n, index($C$3:$C$7, right(index(split(A74, ""★""), 0, 1), 1), 0),
  total, index($D$3:$D$7, right(index(split(A74, ""★""), 0, 1), 1), 0),
  base,"&amp;" INT(total/n),
  rem, total - base*n,
  index(MAP(SEQUENCE(n), LAMBDA(i, IF(i &lt;= rem, base+1, base))), ct, 0)
)"),13.0)</f>
        <v>13</v>
      </c>
      <c r="G74" s="480" t="s">
        <v>1126</v>
      </c>
      <c r="H74" s="249">
        <v>20.0</v>
      </c>
      <c r="I74" s="479">
        <v>9.769441187964048E-4</v>
      </c>
      <c r="K74" s="249"/>
      <c r="L74" s="501"/>
      <c r="M74" s="499" t="str">
        <f>IFERROR(__xludf.DUMMYFUNCTION("if(L74="""", """", counta(filter(index(arrayformula(split(filter($K$16:$K$449, $K$16:$K$449&lt;&gt;""""), ""★"")&amp;""★""), 0, 1), index(arrayformula(split(filter($K$16:$K$449, $K$16:$K$449&lt;&gt;""""), ""★"")&amp;""★""), 0, 1)=L74)))"),"")</f>
        <v/>
      </c>
      <c r="O74" s="492" t="str">
        <f>IFERROR(__xludf.DUMMYFUNCTION("""COMPUTED_VALUE"""),"Skull Isle - Helm 2★ #C42")</f>
        <v>Skull Isle - Helm 2★ #C42</v>
      </c>
      <c r="P74" s="249">
        <f>IFERROR(__xludf.DUMMYFUNCTION("""COMPUTED_VALUE"""),20.0)</f>
        <v>20</v>
      </c>
      <c r="Q74" s="479">
        <f>IFERROR(__xludf.DUMMYFUNCTION("if(P74="""", """", P74/sum(filter($P$16:$P$949, $P$16:$P$949&lt;&gt;"""")))"),9.769441187964048E-4)</f>
        <v>0.0009769441188</v>
      </c>
    </row>
    <row r="75" ht="12.75" customHeight="1">
      <c r="A75" s="486" t="str">
        <f>AlbumConfig!B62&amp;" "&amp;AlbumConfig!E62</f>
        <v>Siren Reef - Moonstone 4★</v>
      </c>
      <c r="B75" s="497">
        <f>IFERROR(__xludf.DUMMYFUNCTION("index($B$3:$B$7, right(index(split(A75, ""★""),0,1)), 0)"),5.0)</f>
        <v>5</v>
      </c>
      <c r="C75" s="497">
        <f>IFERROR(__xludf.DUMMYFUNCTION("LET(
  ct, COUNTIF(ARRAYFORMULA(RIGHT(SPLIT($A$16:$A75, ""★""), 1)), TO_TEXT(RIGHT(SPLIT(A75, ""★""), 1))),
  n, index($C$3:$C$7, right(index(split(A75, ""★""), 0, 1), 1), 0),
  total, index($D$3:$D$7, right(index(split(A75, ""★""), 0, 1), 1), 0),
  base,"&amp;" INT(total/n),
  rem, total - base*n,
  index(MAP(SEQUENCE(n), LAMBDA(i, IF(i &lt;= rem, base+1, base))), ct, 0)
)"),11.0)</f>
        <v>11</v>
      </c>
      <c r="G75" s="480" t="s">
        <v>1127</v>
      </c>
      <c r="H75" s="249">
        <v>20.0</v>
      </c>
      <c r="I75" s="479">
        <v>9.769441187964048E-4</v>
      </c>
      <c r="K75" s="249"/>
      <c r="L75" s="501"/>
      <c r="M75" s="499" t="str">
        <f>IFERROR(__xludf.DUMMYFUNCTION("if(L75="""", """", counta(filter(index(arrayformula(split(filter($K$16:$K$449, $K$16:$K$449&lt;&gt;""""), ""★"")&amp;""★""), 0, 1), index(arrayformula(split(filter($K$16:$K$449, $K$16:$K$449&lt;&gt;""""), ""★"")&amp;""★""), 0, 1)=L75)))"),"")</f>
        <v/>
      </c>
      <c r="O75" s="492" t="str">
        <f>IFERROR(__xludf.DUMMYFUNCTION("""COMPUTED_VALUE"""),"Skull Isle - Helm 2★ #6F7")</f>
        <v>Skull Isle - Helm 2★ #6F7</v>
      </c>
      <c r="P75" s="249">
        <f>IFERROR(__xludf.DUMMYFUNCTION("""COMPUTED_VALUE"""),20.0)</f>
        <v>20</v>
      </c>
      <c r="Q75" s="479">
        <f>IFERROR(__xludf.DUMMYFUNCTION("if(P75="""", """", P75/sum(filter($P$16:$P$949, $P$16:$P$949&lt;&gt;"""")))"),9.769441187964048E-4)</f>
        <v>0.0009769441188</v>
      </c>
    </row>
    <row r="76" ht="12.75" customHeight="1">
      <c r="A76" s="486" t="str">
        <f>AlbumConfig!B63&amp;" "&amp;AlbumConfig!E63</f>
        <v>Siren Reef - Wave 5★</v>
      </c>
      <c r="B76" s="497">
        <f>IFERROR(__xludf.DUMMYFUNCTION("index($B$3:$B$7, right(index(split(A76, ""★""),0,1)), 0)"),2.0)</f>
        <v>2</v>
      </c>
      <c r="C76" s="497">
        <f>IFERROR(__xludf.DUMMYFUNCTION("LET(
  ct, COUNTIF(ARRAYFORMULA(RIGHT(SPLIT($A$16:$A76, ""★""), 1)), TO_TEXT(RIGHT(SPLIT(A76, ""★""), 1))),
  n, index($C$3:$C$7, right(index(split(A76, ""★""), 0, 1), 1), 0),
  total, index($D$3:$D$7, right(index(split(A76, ""★""), 0, 1), 1), 0),
  base,"&amp;" INT(total/n),
  rem, total - base*n,
  index(MAP(SEQUENCE(n), LAMBDA(i, IF(i &lt;= rem, base+1, base))), ct, 0)
)"),5.0)</f>
        <v>5</v>
      </c>
      <c r="G76" s="480" t="s">
        <v>1128</v>
      </c>
      <c r="H76" s="249">
        <v>20.0</v>
      </c>
      <c r="I76" s="479">
        <v>9.769441187964048E-4</v>
      </c>
      <c r="K76" s="249"/>
      <c r="L76" s="501"/>
      <c r="M76" s="499" t="str">
        <f>IFERROR(__xludf.DUMMYFUNCTION("if(L76="""", """", counta(filter(index(arrayformula(split(filter($K$16:$K$449, $K$16:$K$449&lt;&gt;""""), ""★"")&amp;""★""), 0, 1), index(arrayformula(split(filter($K$16:$K$449, $K$16:$K$449&lt;&gt;""""), ""★"")&amp;""★""), 0, 1)=L76)))"),"")</f>
        <v/>
      </c>
      <c r="O76" s="492" t="str">
        <f>IFERROR(__xludf.DUMMYFUNCTION("""COMPUTED_VALUE"""),"Skull Isle - Helm 2★ #1AC")</f>
        <v>Skull Isle - Helm 2★ #1AC</v>
      </c>
      <c r="P76" s="249">
        <f>IFERROR(__xludf.DUMMYFUNCTION("""COMPUTED_VALUE"""),20.0)</f>
        <v>20</v>
      </c>
      <c r="Q76" s="479">
        <f>IFERROR(__xludf.DUMMYFUNCTION("if(P76="""", """", P76/sum(filter($P$16:$P$949, $P$16:$P$949&lt;&gt;"""")))"),9.769441187964048E-4)</f>
        <v>0.0009769441188</v>
      </c>
    </row>
    <row r="77" ht="12.75" customHeight="1">
      <c r="A77" s="486" t="str">
        <f>AlbumConfig!B64&amp;" "&amp;AlbumConfig!E64</f>
        <v>Siren Reef - Driftwood 5★</v>
      </c>
      <c r="B77" s="497">
        <f>IFERROR(__xludf.DUMMYFUNCTION("index($B$3:$B$7, right(index(split(A77, ""★""),0,1)), 0)"),2.0)</f>
        <v>2</v>
      </c>
      <c r="C77" s="497">
        <f>IFERROR(__xludf.DUMMYFUNCTION("LET(
  ct, COUNTIF(ARRAYFORMULA(RIGHT(SPLIT($A$16:$A77, ""★""), 1)), TO_TEXT(RIGHT(SPLIT(A77, ""★""), 1))),
  n, index($C$3:$C$7, right(index(split(A77, ""★""), 0, 1), 1), 0),
  total, index($D$3:$D$7, right(index(split(A77, ""★""), 0, 1), 1), 0),
  base,"&amp;" INT(total/n),
  rem, total - base*n,
  index(MAP(SEQUENCE(n), LAMBDA(i, IF(i &lt;= rem, base+1, base))), ct, 0)
)"),5.0)</f>
        <v>5</v>
      </c>
      <c r="G77" s="480" t="s">
        <v>1129</v>
      </c>
      <c r="H77" s="249">
        <v>20.0</v>
      </c>
      <c r="I77" s="479">
        <v>9.769441187964048E-4</v>
      </c>
      <c r="K77" s="249"/>
      <c r="L77" s="501"/>
      <c r="M77" s="499" t="str">
        <f>IFERROR(__xludf.DUMMYFUNCTION("if(L77="""", """", counta(filter(index(arrayformula(split(filter($K$16:$K$449, $K$16:$K$449&lt;&gt;""""), ""★"")&amp;""★""), 0, 1), index(arrayformula(split(filter($K$16:$K$449, $K$16:$K$449&lt;&gt;""""), ""★"")&amp;""★""), 0, 1)=L77)))"),"")</f>
        <v/>
      </c>
      <c r="O77" s="492" t="str">
        <f>IFERROR(__xludf.DUMMYFUNCTION("""COMPUTED_VALUE"""),"Skull Isle - Helm 2★ #C61")</f>
        <v>Skull Isle - Helm 2★ #C61</v>
      </c>
      <c r="P77" s="249">
        <f>IFERROR(__xludf.DUMMYFUNCTION("""COMPUTED_VALUE"""),20.0)</f>
        <v>20</v>
      </c>
      <c r="Q77" s="479">
        <f>IFERROR(__xludf.DUMMYFUNCTION("if(P77="""", """", P77/sum(filter($P$16:$P$949, $P$16:$P$949&lt;&gt;"""")))"),9.769441187964048E-4)</f>
        <v>0.0009769441188</v>
      </c>
    </row>
    <row r="78" ht="12.75" customHeight="1">
      <c r="A78" s="486" t="str">
        <f>AlbumConfig!B65&amp;" "&amp;AlbumConfig!E65</f>
        <v>Siren Reef - Conch 5★</v>
      </c>
      <c r="B78" s="497">
        <f>IFERROR(__xludf.DUMMYFUNCTION("index($B$3:$B$7, right(index(split(A78, ""★""),0,1)), 0)"),2.0)</f>
        <v>2</v>
      </c>
      <c r="C78" s="497">
        <f>IFERROR(__xludf.DUMMYFUNCTION("LET(
  ct, COUNTIF(ARRAYFORMULA(RIGHT(SPLIT($A$16:$A78, ""★""), 1)), TO_TEXT(RIGHT(SPLIT(A78, ""★""), 1))),
  n, index($C$3:$C$7, right(index(split(A78, ""★""), 0, 1), 1), 0),
  total, index($D$3:$D$7, right(index(split(A78, ""★""), 0, 1), 1), 0),
  base,"&amp;" INT(total/n),
  rem, total - base*n,
  index(MAP(SEQUENCE(n), LAMBDA(i, IF(i &lt;= rem, base+1, base))), ct, 0)
)"),5.0)</f>
        <v>5</v>
      </c>
      <c r="G78" s="480" t="s">
        <v>1130</v>
      </c>
      <c r="H78" s="249">
        <v>20.0</v>
      </c>
      <c r="I78" s="479">
        <v>9.769441187964048E-4</v>
      </c>
      <c r="K78" s="249"/>
      <c r="L78" s="501"/>
      <c r="M78" s="499" t="str">
        <f>IFERROR(__xludf.DUMMYFUNCTION("if(L78="""", """", counta(filter(index(arrayformula(split(filter($K$16:$K$449, $K$16:$K$449&lt;&gt;""""), ""★"")&amp;""★""), 0, 1), index(arrayformula(split(filter($K$16:$K$449, $K$16:$K$449&lt;&gt;""""), ""★"")&amp;""★""), 0, 1)=L78)))"),"")</f>
        <v/>
      </c>
      <c r="O78" s="492" t="str">
        <f>IFERROR(__xludf.DUMMYFUNCTION("""COMPUTED_VALUE"""),"Skull Isle - Helm 2★ #716")</f>
        <v>Skull Isle - Helm 2★ #716</v>
      </c>
      <c r="P78" s="249">
        <f>IFERROR(__xludf.DUMMYFUNCTION("""COMPUTED_VALUE"""),20.0)</f>
        <v>20</v>
      </c>
      <c r="Q78" s="479">
        <f>IFERROR(__xludf.DUMMYFUNCTION("if(P78="""", """", P78/sum(filter($P$16:$P$949, $P$16:$P$949&lt;&gt;"""")))"),9.769441187964048E-4)</f>
        <v>0.0009769441188</v>
      </c>
    </row>
    <row r="79" ht="12.75" customHeight="1">
      <c r="A79" s="486" t="str">
        <f>AlbumConfig!B66&amp;" "&amp;AlbumConfig!E66</f>
        <v>Dead Man Bay - Pistol 1★</v>
      </c>
      <c r="B79" s="497">
        <f>IFERROR(__xludf.DUMMYFUNCTION("index($B$3:$B$7, right(index(split(A79, ""★""),0,1)), 0)"),50.0)</f>
        <v>50</v>
      </c>
      <c r="C79" s="497">
        <f>IFERROR(__xludf.DUMMYFUNCTION("LET(
  ct, COUNTIF(ARRAYFORMULA(RIGHT(SPLIT($A$16:$A79, ""★""), 1)), TO_TEXT(RIGHT(SPLIT(A79, ""★""), 1))),
  n, index($C$3:$C$7, right(index(split(A79, ""★""), 0, 1), 1), 0),
  total, index($D$3:$D$7, right(index(split(A79, ""★""), 0, 1), 1), 0),
  base,"&amp;" INT(total/n),
  rem, total - base*n,
  index(MAP(SEQUENCE(n), LAMBDA(i, IF(i &lt;= rem, base+1, base))), ct, 0)
)"),13.0)</f>
        <v>13</v>
      </c>
      <c r="G79" s="480" t="s">
        <v>1131</v>
      </c>
      <c r="H79" s="249">
        <v>20.0</v>
      </c>
      <c r="I79" s="479">
        <v>9.769441187964048E-4</v>
      </c>
      <c r="K79" s="249"/>
      <c r="L79" s="501"/>
      <c r="M79" s="499" t="str">
        <f>IFERROR(__xludf.DUMMYFUNCTION("if(L79="""", """", counta(filter(index(arrayformula(split(filter($K$16:$K$449, $K$16:$K$449&lt;&gt;""""), ""★"")&amp;""★""), 0, 1), index(arrayformula(split(filter($K$16:$K$449, $K$16:$K$449&lt;&gt;""""), ""★"")&amp;""★""), 0, 1)=L79)))"),"")</f>
        <v/>
      </c>
      <c r="O79" s="492" t="str">
        <f>IFERROR(__xludf.DUMMYFUNCTION("""COMPUTED_VALUE"""),"Skull Isle - Helm 2★ #1CB")</f>
        <v>Skull Isle - Helm 2★ #1CB</v>
      </c>
      <c r="P79" s="249">
        <f>IFERROR(__xludf.DUMMYFUNCTION("""COMPUTED_VALUE"""),20.0)</f>
        <v>20</v>
      </c>
      <c r="Q79" s="479">
        <f>IFERROR(__xludf.DUMMYFUNCTION("if(P79="""", """", P79/sum(filter($P$16:$P$949, $P$16:$P$949&lt;&gt;"""")))"),9.769441187964048E-4)</f>
        <v>0.0009769441188</v>
      </c>
    </row>
    <row r="80" ht="12.75" customHeight="1">
      <c r="A80" s="486" t="str">
        <f>AlbumConfig!B67&amp;" "&amp;AlbumConfig!E67</f>
        <v>Dead Man Bay - Rum 1★</v>
      </c>
      <c r="B80" s="497">
        <f>IFERROR(__xludf.DUMMYFUNCTION("index($B$3:$B$7, right(index(split(A80, ""★""),0,1)), 0)"),50.0)</f>
        <v>50</v>
      </c>
      <c r="C80" s="497">
        <f>IFERROR(__xludf.DUMMYFUNCTION("LET(
  ct, COUNTIF(ARRAYFORMULA(RIGHT(SPLIT($A$16:$A80, ""★""), 1)), TO_TEXT(RIGHT(SPLIT(A80, ""★""), 1))),
  n, index($C$3:$C$7, right(index(split(A80, ""★""), 0, 1), 1), 0),
  total, index($D$3:$D$7, right(index(split(A80, ""★""), 0, 1), 1), 0),
  base,"&amp;" INT(total/n),
  rem, total - base*n,
  index(MAP(SEQUENCE(n), LAMBDA(i, IF(i &lt;= rem, base+1, base))), ct, 0)
)"),13.0)</f>
        <v>13</v>
      </c>
      <c r="G80" s="480" t="s">
        <v>1132</v>
      </c>
      <c r="H80" s="249">
        <v>20.0</v>
      </c>
      <c r="I80" s="479">
        <v>9.769441187964048E-4</v>
      </c>
      <c r="K80" s="249"/>
      <c r="L80" s="501"/>
      <c r="M80" s="499" t="str">
        <f>IFERROR(__xludf.DUMMYFUNCTION("if(L80="""", """", counta(filter(index(arrayformula(split(filter($K$16:$K$449, $K$16:$K$449&lt;&gt;""""), ""★"")&amp;""★""), 0, 1), index(arrayformula(split(filter($K$16:$K$449, $K$16:$K$449&lt;&gt;""""), ""★"")&amp;""★""), 0, 1)=L80)))"),"")</f>
        <v/>
      </c>
      <c r="O80" s="492" t="str">
        <f>IFERROR(__xludf.DUMMYFUNCTION("""COMPUTED_VALUE"""),"Skull Isle - Helm 2★ #C80")</f>
        <v>Skull Isle - Helm 2★ #C80</v>
      </c>
      <c r="P80" s="249">
        <f>IFERROR(__xludf.DUMMYFUNCTION("""COMPUTED_VALUE"""),20.0)</f>
        <v>20</v>
      </c>
      <c r="Q80" s="479">
        <f>IFERROR(__xludf.DUMMYFUNCTION("if(P80="""", """", P80/sum(filter($P$16:$P$949, $P$16:$P$949&lt;&gt;"""")))"),9.769441187964048E-4)</f>
        <v>0.0009769441188</v>
      </c>
    </row>
    <row r="81" ht="12.75" customHeight="1">
      <c r="A81" s="486" t="str">
        <f>AlbumConfig!B68&amp;" "&amp;AlbumConfig!E68</f>
        <v>Dead Man Bay - Treasure Map 2★</v>
      </c>
      <c r="B81" s="497">
        <f>IFERROR(__xludf.DUMMYFUNCTION("index($B$3:$B$7, right(index(split(A81, ""★""),0,1)), 0)"),20.0)</f>
        <v>20</v>
      </c>
      <c r="C81" s="497">
        <f>IFERROR(__xludf.DUMMYFUNCTION("LET(
  ct, COUNTIF(ARRAYFORMULA(RIGHT(SPLIT($A$16:$A81, ""★""), 1)), TO_TEXT(RIGHT(SPLIT(A81, ""★""), 1))),
  n, index($C$3:$C$7, right(index(split(A81, ""★""), 0, 1), 1), 0),
  total, index($D$3:$D$7, right(index(split(A81, ""★""), 0, 1), 1), 0),
  base,"&amp;" INT(total/n),
  rem, total - base*n,
  index(MAP(SEQUENCE(n), LAMBDA(i, IF(i &lt;= rem, base+1, base))), ct, 0)
)"),12.0)</f>
        <v>12</v>
      </c>
      <c r="G81" s="480" t="s">
        <v>1133</v>
      </c>
      <c r="H81" s="249">
        <v>20.0</v>
      </c>
      <c r="I81" s="479">
        <v>9.769441187964048E-4</v>
      </c>
      <c r="K81" s="249"/>
      <c r="L81" s="501"/>
      <c r="M81" s="499" t="str">
        <f>IFERROR(__xludf.DUMMYFUNCTION("if(L81="""", """", counta(filter(index(arrayformula(split(filter($K$16:$K$449, $K$16:$K$449&lt;&gt;""""), ""★"")&amp;""★""), 0, 1), index(arrayformula(split(filter($K$16:$K$449, $K$16:$K$449&lt;&gt;""""), ""★"")&amp;""★""), 0, 1)=L81)))"),"")</f>
        <v/>
      </c>
      <c r="O81" s="492" t="str">
        <f>IFERROR(__xludf.DUMMYFUNCTION("""COMPUTED_VALUE"""),"Skull Isle - Helm 2★ #735")</f>
        <v>Skull Isle - Helm 2★ #735</v>
      </c>
      <c r="P81" s="249">
        <f>IFERROR(__xludf.DUMMYFUNCTION("""COMPUTED_VALUE"""),20.0)</f>
        <v>20</v>
      </c>
      <c r="Q81" s="479">
        <f>IFERROR(__xludf.DUMMYFUNCTION("if(P81="""", """", P81/sum(filter($P$16:$P$949, $P$16:$P$949&lt;&gt;"""")))"),9.769441187964048E-4)</f>
        <v>0.0009769441188</v>
      </c>
    </row>
    <row r="82" ht="12.75" customHeight="1">
      <c r="A82" s="486" t="str">
        <f>AlbumConfig!B69&amp;" "&amp;AlbumConfig!E69</f>
        <v>Dead Man Bay - Jolly Roger 2★</v>
      </c>
      <c r="B82" s="497">
        <f>IFERROR(__xludf.DUMMYFUNCTION("index($B$3:$B$7, right(index(split(A82, ""★""),0,1)), 0)"),20.0)</f>
        <v>20</v>
      </c>
      <c r="C82" s="497">
        <f>IFERROR(__xludf.DUMMYFUNCTION("LET(
  ct, COUNTIF(ARRAYFORMULA(RIGHT(SPLIT($A$16:$A82, ""★""), 1)), TO_TEXT(RIGHT(SPLIT(A82, ""★""), 1))),
  n, index($C$3:$C$7, right(index(split(A82, ""★""), 0, 1), 1), 0),
  total, index($D$3:$D$7, right(index(split(A82, ""★""), 0, 1), 1), 0),
  base,"&amp;" INT(total/n),
  rem, total - base*n,
  index(MAP(SEQUENCE(n), LAMBDA(i, IF(i &lt;= rem, base+1, base))), ct, 0)
)"),12.0)</f>
        <v>12</v>
      </c>
      <c r="G82" s="480" t="s">
        <v>1134</v>
      </c>
      <c r="H82" s="249">
        <v>20.0</v>
      </c>
      <c r="I82" s="479">
        <v>9.769441187964048E-4</v>
      </c>
      <c r="K82" s="249"/>
      <c r="L82" s="501"/>
      <c r="M82" s="499" t="str">
        <f>IFERROR(__xludf.DUMMYFUNCTION("if(L82="""", """", counta(filter(index(arrayformula(split(filter($K$16:$K$449, $K$16:$K$449&lt;&gt;""""), ""★"")&amp;""★""), 0, 1), index(arrayformula(split(filter($K$16:$K$449, $K$16:$K$449&lt;&gt;""""), ""★"")&amp;""★""), 0, 1)=L82)))"),"")</f>
        <v/>
      </c>
      <c r="O82" s="492" t="str">
        <f>IFERROR(__xludf.DUMMYFUNCTION("""COMPUTED_VALUE"""),"Skull Isle - Helm 2★ #1EA")</f>
        <v>Skull Isle - Helm 2★ #1EA</v>
      </c>
      <c r="P82" s="249">
        <f>IFERROR(__xludf.DUMMYFUNCTION("""COMPUTED_VALUE"""),20.0)</f>
        <v>20</v>
      </c>
      <c r="Q82" s="479">
        <f>IFERROR(__xludf.DUMMYFUNCTION("if(P82="""", """", P82/sum(filter($P$16:$P$949, $P$16:$P$949&lt;&gt;"""")))"),9.769441187964048E-4)</f>
        <v>0.0009769441188</v>
      </c>
    </row>
    <row r="83" ht="12.75" customHeight="1">
      <c r="A83" s="486" t="str">
        <f>AlbumConfig!B70&amp;" "&amp;AlbumConfig!E70</f>
        <v>Dead Man Bay - Gold Tooth 3★</v>
      </c>
      <c r="B83" s="497">
        <f>IFERROR(__xludf.DUMMYFUNCTION("index($B$3:$B$7, right(index(split(A83, ""★""),0,1)), 0)"),10.0)</f>
        <v>10</v>
      </c>
      <c r="C83" s="497">
        <f>IFERROR(__xludf.DUMMYFUNCTION("LET(
  ct, COUNTIF(ARRAYFORMULA(RIGHT(SPLIT($A$16:$A83, ""★""), 1)), TO_TEXT(RIGHT(SPLIT(A83, ""★""), 1))),
  n, index($C$3:$C$7, right(index(split(A83, ""★""), 0, 1), 1), 0),
  total, index($D$3:$D$7, right(index(split(A83, ""★""), 0, 1), 1), 0),
  base,"&amp;" INT(total/n),
  rem, total - base*n,
  index(MAP(SEQUENCE(n), LAMBDA(i, IF(i &lt;= rem, base+1, base))), ct, 0)
)"),13.0)</f>
        <v>13</v>
      </c>
      <c r="G83" s="480" t="s">
        <v>1135</v>
      </c>
      <c r="H83" s="249">
        <v>20.0</v>
      </c>
      <c r="I83" s="479">
        <v>9.769441187964048E-4</v>
      </c>
      <c r="K83" s="249"/>
      <c r="L83" s="501"/>
      <c r="M83" s="499" t="str">
        <f>IFERROR(__xludf.DUMMYFUNCTION("if(L83="""", """", counta(filter(index(arrayformula(split(filter($K$16:$K$449, $K$16:$K$449&lt;&gt;""""), ""★"")&amp;""★""), 0, 1), index(arrayformula(split(filter($K$16:$K$449, $K$16:$K$449&lt;&gt;""""), ""★"")&amp;""★""), 0, 1)=L83)))"),"")</f>
        <v/>
      </c>
      <c r="O83" s="492" t="str">
        <f>IFERROR(__xludf.DUMMYFUNCTION("""COMPUTED_VALUE"""),"Skull Isle - Helm 2★ #C9F")</f>
        <v>Skull Isle - Helm 2★ #C9F</v>
      </c>
      <c r="P83" s="249">
        <f>IFERROR(__xludf.DUMMYFUNCTION("""COMPUTED_VALUE"""),20.0)</f>
        <v>20</v>
      </c>
      <c r="Q83" s="479">
        <f>IFERROR(__xludf.DUMMYFUNCTION("if(P83="""", """", P83/sum(filter($P$16:$P$949, $P$16:$P$949&lt;&gt;"""")))"),9.769441187964048E-4)</f>
        <v>0.0009769441188</v>
      </c>
    </row>
    <row r="84" ht="12.75" customHeight="1">
      <c r="A84" s="486" t="str">
        <f>AlbumConfig!B71&amp;" "&amp;AlbumConfig!E71</f>
        <v>Dead Man Bay - Dagger 4★</v>
      </c>
      <c r="B84" s="497">
        <f>IFERROR(__xludf.DUMMYFUNCTION("index($B$3:$B$7, right(index(split(A84, ""★""),0,1)), 0)"),5.0)</f>
        <v>5</v>
      </c>
      <c r="C84" s="497">
        <f>IFERROR(__xludf.DUMMYFUNCTION("LET(
  ct, COUNTIF(ARRAYFORMULA(RIGHT(SPLIT($A$16:$A84, ""★""), 1)), TO_TEXT(RIGHT(SPLIT(A84, ""★""), 1))),
  n, index($C$3:$C$7, right(index(split(A84, ""★""), 0, 1), 1), 0),
  total, index($D$3:$D$7, right(index(split(A84, ""★""), 0, 1), 1), 0),
  base,"&amp;" INT(total/n),
  rem, total - base*n,
  index(MAP(SEQUENCE(n), LAMBDA(i, IF(i &lt;= rem, base+1, base))), ct, 0)
)"),11.0)</f>
        <v>11</v>
      </c>
      <c r="G84" s="480" t="s">
        <v>1136</v>
      </c>
      <c r="H84" s="249">
        <v>20.0</v>
      </c>
      <c r="I84" s="479">
        <v>9.769441187964048E-4</v>
      </c>
      <c r="K84" s="249"/>
      <c r="L84" s="501"/>
      <c r="M84" s="499" t="str">
        <f>IFERROR(__xludf.DUMMYFUNCTION("if(L84="""", """", counta(filter(index(arrayformula(split(filter($K$16:$K$449, $K$16:$K$449&lt;&gt;""""), ""★"")&amp;""★""), 0, 1), index(arrayformula(split(filter($K$16:$K$449, $K$16:$K$449&lt;&gt;""""), ""★"")&amp;""★""), 0, 1)=L84)))"),"")</f>
        <v/>
      </c>
      <c r="O84" s="492" t="str">
        <f>IFERROR(__xludf.DUMMYFUNCTION("""COMPUTED_VALUE"""),"Skull Isle - Helm 2★ #754")</f>
        <v>Skull Isle - Helm 2★ #754</v>
      </c>
      <c r="P84" s="249">
        <f>IFERROR(__xludf.DUMMYFUNCTION("""COMPUTED_VALUE"""),20.0)</f>
        <v>20</v>
      </c>
      <c r="Q84" s="479">
        <f>IFERROR(__xludf.DUMMYFUNCTION("if(P84="""", """", P84/sum(filter($P$16:$P$949, $P$16:$P$949&lt;&gt;"""")))"),9.769441187964048E-4)</f>
        <v>0.0009769441188</v>
      </c>
    </row>
    <row r="85" ht="12.75" customHeight="1">
      <c r="A85" s="486" t="str">
        <f>AlbumConfig!B72&amp;" "&amp;AlbumConfig!E72</f>
        <v>Dead Man Bay - Bandana 5★</v>
      </c>
      <c r="B85" s="497">
        <f>IFERROR(__xludf.DUMMYFUNCTION("index($B$3:$B$7, right(index(split(A85, ""★""),0,1)), 0)"),2.0)</f>
        <v>2</v>
      </c>
      <c r="C85" s="497">
        <f>IFERROR(__xludf.DUMMYFUNCTION("LET(
  ct, COUNTIF(ARRAYFORMULA(RIGHT(SPLIT($A$16:$A85, ""★""), 1)), TO_TEXT(RIGHT(SPLIT(A85, ""★""), 1))),
  n, index($C$3:$C$7, right(index(split(A85, ""★""), 0, 1), 1), 0),
  total, index($D$3:$D$7, right(index(split(A85, ""★""), 0, 1), 1), 0),
  base,"&amp;" INT(total/n),
  rem, total - base*n,
  index(MAP(SEQUENCE(n), LAMBDA(i, IF(i &lt;= rem, base+1, base))), ct, 0)
)"),5.0)</f>
        <v>5</v>
      </c>
      <c r="G85" s="480" t="s">
        <v>1137</v>
      </c>
      <c r="H85" s="249">
        <v>20.0</v>
      </c>
      <c r="I85" s="479">
        <v>9.769441187964048E-4</v>
      </c>
      <c r="K85" s="249"/>
      <c r="L85" s="501"/>
      <c r="M85" s="499" t="str">
        <f>IFERROR(__xludf.DUMMYFUNCTION("if(L85="""", """", counta(filter(index(arrayformula(split(filter($K$16:$K$449, $K$16:$K$449&lt;&gt;""""), ""★"")&amp;""★""), 0, 1), index(arrayformula(split(filter($K$16:$K$449, $K$16:$K$449&lt;&gt;""""), ""★"")&amp;""★""), 0, 1)=L85)))"),"")</f>
        <v/>
      </c>
      <c r="O85" s="492" t="str">
        <f>IFERROR(__xludf.DUMMYFUNCTION("""COMPUTED_VALUE"""),"Skull Isle - Cutlass 2★ #209")</f>
        <v>Skull Isle - Cutlass 2★ #209</v>
      </c>
      <c r="P85" s="249">
        <f>IFERROR(__xludf.DUMMYFUNCTION("""COMPUTED_VALUE"""),20.0)</f>
        <v>20</v>
      </c>
      <c r="Q85" s="479">
        <f>IFERROR(__xludf.DUMMYFUNCTION("if(P85="""", """", P85/sum(filter($P$16:$P$949, $P$16:$P$949&lt;&gt;"""")))"),9.769441187964048E-4)</f>
        <v>0.0009769441188</v>
      </c>
    </row>
    <row r="86" ht="12.75" customHeight="1">
      <c r="A86" s="486" t="str">
        <f>AlbumConfig!B73&amp;" "&amp;AlbumConfig!E73</f>
        <v>Dead Man Bay - Boots 5★</v>
      </c>
      <c r="B86" s="497">
        <f>IFERROR(__xludf.DUMMYFUNCTION("index($B$3:$B$7, right(index(split(A86, ""★""),0,1)), 0)"),2.0)</f>
        <v>2</v>
      </c>
      <c r="C86" s="497">
        <f>IFERROR(__xludf.DUMMYFUNCTION("LET(
  ct, COUNTIF(ARRAYFORMULA(RIGHT(SPLIT($A$16:$A86, ""★""), 1)), TO_TEXT(RIGHT(SPLIT(A86, ""★""), 1))),
  n, index($C$3:$C$7, right(index(split(A86, ""★""), 0, 1), 1), 0),
  total, index($D$3:$D$7, right(index(split(A86, ""★""), 0, 1), 1), 0),
  base,"&amp;" INT(total/n),
  rem, total - base*n,
  index(MAP(SEQUENCE(n), LAMBDA(i, IF(i &lt;= rem, base+1, base))), ct, 0)
)"),5.0)</f>
        <v>5</v>
      </c>
      <c r="G86" s="480" t="s">
        <v>1138</v>
      </c>
      <c r="H86" s="249">
        <v>20.0</v>
      </c>
      <c r="I86" s="479">
        <v>9.769441187964048E-4</v>
      </c>
      <c r="K86" s="249"/>
      <c r="L86" s="501"/>
      <c r="M86" s="499" t="str">
        <f>IFERROR(__xludf.DUMMYFUNCTION("if(L86="""", """", counta(filter(index(arrayformula(split(filter($K$16:$K$449, $K$16:$K$449&lt;&gt;""""), ""★"")&amp;""★""), 0, 1), index(arrayformula(split(filter($K$16:$K$449, $K$16:$K$449&lt;&gt;""""), ""★"")&amp;""★""), 0, 1)=L86)))"),"")</f>
        <v/>
      </c>
      <c r="O86" s="492" t="str">
        <f>IFERROR(__xludf.DUMMYFUNCTION("""COMPUTED_VALUE"""),"Skull Isle - Cutlass 2★ #CBE")</f>
        <v>Skull Isle - Cutlass 2★ #CBE</v>
      </c>
      <c r="P86" s="249">
        <f>IFERROR(__xludf.DUMMYFUNCTION("""COMPUTED_VALUE"""),20.0)</f>
        <v>20</v>
      </c>
      <c r="Q86" s="479">
        <f>IFERROR(__xludf.DUMMYFUNCTION("if(P86="""", """", P86/sum(filter($P$16:$P$949, $P$16:$P$949&lt;&gt;"""")))"),9.769441187964048E-4)</f>
        <v>0.0009769441188</v>
      </c>
    </row>
    <row r="87" ht="12.75" customHeight="1">
      <c r="A87" s="486" t="str">
        <f>AlbumConfig!B74&amp;" "&amp;AlbumConfig!E74</f>
        <v>Dead Man Bay - Beard 5★</v>
      </c>
      <c r="B87" s="497">
        <f>IFERROR(__xludf.DUMMYFUNCTION("index($B$3:$B$7, right(index(split(A87, ""★""),0,1)), 0)"),2.0)</f>
        <v>2</v>
      </c>
      <c r="C87" s="497">
        <f>IFERROR(__xludf.DUMMYFUNCTION("LET(
  ct, COUNTIF(ARRAYFORMULA(RIGHT(SPLIT($A$16:$A87, ""★""), 1)), TO_TEXT(RIGHT(SPLIT(A87, ""★""), 1))),
  n, index($C$3:$C$7, right(index(split(A87, ""★""), 0, 1), 1), 0),
  total, index($D$3:$D$7, right(index(split(A87, ""★""), 0, 1), 1), 0),
  base,"&amp;" INT(total/n),
  rem, total - base*n,
  index(MAP(SEQUENCE(n), LAMBDA(i, IF(i &lt;= rem, base+1, base))), ct, 0)
)"),5.0)</f>
        <v>5</v>
      </c>
      <c r="G87" s="480" t="s">
        <v>1139</v>
      </c>
      <c r="H87" s="249">
        <v>20.0</v>
      </c>
      <c r="I87" s="479">
        <v>9.769441187964048E-4</v>
      </c>
      <c r="K87" s="249"/>
      <c r="L87" s="501"/>
      <c r="M87" s="499" t="str">
        <f>IFERROR(__xludf.DUMMYFUNCTION("if(L87="""", """", counta(filter(index(arrayformula(split(filter($K$16:$K$449, $K$16:$K$449&lt;&gt;""""), ""★"")&amp;""★""), 0, 1), index(arrayformula(split(filter($K$16:$K$449, $K$16:$K$449&lt;&gt;""""), ""★"")&amp;""★""), 0, 1)=L87)))"),"")</f>
        <v/>
      </c>
      <c r="O87" s="492" t="str">
        <f>IFERROR(__xludf.DUMMYFUNCTION("""COMPUTED_VALUE"""),"Skull Isle - Cutlass 2★ #773")</f>
        <v>Skull Isle - Cutlass 2★ #773</v>
      </c>
      <c r="P87" s="249">
        <f>IFERROR(__xludf.DUMMYFUNCTION("""COMPUTED_VALUE"""),20.0)</f>
        <v>20</v>
      </c>
      <c r="Q87" s="479">
        <f>IFERROR(__xludf.DUMMYFUNCTION("if(P87="""", """", P87/sum(filter($P$16:$P$949, $P$16:$P$949&lt;&gt;"""")))"),9.769441187964048E-4)</f>
        <v>0.0009769441188</v>
      </c>
    </row>
    <row r="88" ht="12.75" customHeight="1">
      <c r="A88" s="486" t="str">
        <f>AlbumConfig!B75&amp;" "&amp;AlbumConfig!E75</f>
        <v> </v>
      </c>
      <c r="G88" s="480" t="s">
        <v>1140</v>
      </c>
      <c r="H88" s="249">
        <v>20.0</v>
      </c>
      <c r="I88" s="479">
        <v>9.769441187964048E-4</v>
      </c>
      <c r="K88" s="249"/>
      <c r="L88" s="501"/>
      <c r="M88" s="499" t="str">
        <f>IFERROR(__xludf.DUMMYFUNCTION("if(L88="""", """", counta(filter(index(arrayformula(split(filter($K$16:$K$449, $K$16:$K$449&lt;&gt;""""), ""★"")&amp;""★""), 0, 1), index(arrayformula(split(filter($K$16:$K$449, $K$16:$K$449&lt;&gt;""""), ""★"")&amp;""★""), 0, 1)=L88)))"),"")</f>
        <v/>
      </c>
      <c r="O88" s="492" t="str">
        <f>IFERROR(__xludf.DUMMYFUNCTION("""COMPUTED_VALUE"""),"Skull Isle - Cutlass 2★ #228")</f>
        <v>Skull Isle - Cutlass 2★ #228</v>
      </c>
      <c r="P88" s="249">
        <f>IFERROR(__xludf.DUMMYFUNCTION("""COMPUTED_VALUE"""),20.0)</f>
        <v>20</v>
      </c>
      <c r="Q88" s="479">
        <f>IFERROR(__xludf.DUMMYFUNCTION("if(P88="""", """", P88/sum(filter($P$16:$P$949, $P$16:$P$949&lt;&gt;"""")))"),9.769441187964048E-4)</f>
        <v>0.0009769441188</v>
      </c>
    </row>
    <row r="89" ht="12.75" customHeight="1">
      <c r="A89" s="486" t="str">
        <f>AlbumConfig!B76&amp;" "&amp;AlbumConfig!E76</f>
        <v> </v>
      </c>
      <c r="G89" s="480" t="s">
        <v>1141</v>
      </c>
      <c r="H89" s="249">
        <v>20.0</v>
      </c>
      <c r="I89" s="479">
        <v>9.769441187964048E-4</v>
      </c>
      <c r="K89" s="249"/>
      <c r="L89" s="501"/>
      <c r="M89" s="499" t="str">
        <f>IFERROR(__xludf.DUMMYFUNCTION("if(L89="""", """", counta(filter(index(arrayformula(split(filter($K$16:$K$449, $K$16:$K$449&lt;&gt;""""), ""★"")&amp;""★""), 0, 1), index(arrayformula(split(filter($K$16:$K$449, $K$16:$K$449&lt;&gt;""""), ""★"")&amp;""★""), 0, 1)=L89)))"),"")</f>
        <v/>
      </c>
      <c r="O89" s="492" t="str">
        <f>IFERROR(__xludf.DUMMYFUNCTION("""COMPUTED_VALUE"""),"Skull Isle - Cutlass 2★ #CDD")</f>
        <v>Skull Isle - Cutlass 2★ #CDD</v>
      </c>
      <c r="P89" s="249">
        <f>IFERROR(__xludf.DUMMYFUNCTION("""COMPUTED_VALUE"""),20.0)</f>
        <v>20</v>
      </c>
      <c r="Q89" s="479">
        <f>IFERROR(__xludf.DUMMYFUNCTION("if(P89="""", """", P89/sum(filter($P$16:$P$949, $P$16:$P$949&lt;&gt;"""")))"),9.769441187964048E-4)</f>
        <v>0.0009769441188</v>
      </c>
    </row>
    <row r="90" ht="12.75" customHeight="1">
      <c r="A90" s="486" t="str">
        <f>AlbumConfig!B77&amp;" "&amp;AlbumConfig!E77</f>
        <v> </v>
      </c>
      <c r="G90" s="480" t="s">
        <v>1142</v>
      </c>
      <c r="H90" s="249">
        <v>20.0</v>
      </c>
      <c r="I90" s="479">
        <v>9.769441187964048E-4</v>
      </c>
      <c r="K90" s="249"/>
      <c r="L90" s="501"/>
      <c r="M90" s="499" t="str">
        <f>IFERROR(__xludf.DUMMYFUNCTION("if(L90="""", """", counta(filter(index(arrayformula(split(filter($K$16:$K$449, $K$16:$K$449&lt;&gt;""""), ""★"")&amp;""★""), 0, 1), index(arrayformula(split(filter($K$16:$K$449, $K$16:$K$449&lt;&gt;""""), ""★"")&amp;""★""), 0, 1)=L90)))"),"")</f>
        <v/>
      </c>
      <c r="O90" s="492" t="str">
        <f>IFERROR(__xludf.DUMMYFUNCTION("""COMPUTED_VALUE"""),"Skull Isle - Cutlass 2★ #792")</f>
        <v>Skull Isle - Cutlass 2★ #792</v>
      </c>
      <c r="P90" s="249">
        <f>IFERROR(__xludf.DUMMYFUNCTION("""COMPUTED_VALUE"""),20.0)</f>
        <v>20</v>
      </c>
      <c r="Q90" s="479">
        <f>IFERROR(__xludf.DUMMYFUNCTION("if(P90="""", """", P90/sum(filter($P$16:$P$949, $P$16:$P$949&lt;&gt;"""")))"),9.769441187964048E-4)</f>
        <v>0.0009769441188</v>
      </c>
    </row>
    <row r="91" ht="12.75" customHeight="1">
      <c r="A91" s="486"/>
      <c r="G91" s="480" t="s">
        <v>1143</v>
      </c>
      <c r="H91" s="249">
        <v>20.0</v>
      </c>
      <c r="I91" s="479">
        <v>9.769441187964048E-4</v>
      </c>
      <c r="K91" s="249"/>
      <c r="L91" s="501"/>
      <c r="M91" s="499" t="str">
        <f>IFERROR(__xludf.DUMMYFUNCTION("if(L91="""", """", counta(filter(index(arrayformula(split(filter($K$16:$K$449, $K$16:$K$449&lt;&gt;""""), ""★"")&amp;""★""), 0, 1), index(arrayformula(split(filter($K$16:$K$449, $K$16:$K$449&lt;&gt;""""), ""★"")&amp;""★""), 0, 1)=L91)))"),"")</f>
        <v/>
      </c>
      <c r="O91" s="492" t="str">
        <f>IFERROR(__xludf.DUMMYFUNCTION("""COMPUTED_VALUE"""),"Skull Isle - Cutlass 2★ #247")</f>
        <v>Skull Isle - Cutlass 2★ #247</v>
      </c>
      <c r="P91" s="249">
        <f>IFERROR(__xludf.DUMMYFUNCTION("""COMPUTED_VALUE"""),20.0)</f>
        <v>20</v>
      </c>
      <c r="Q91" s="479">
        <f>IFERROR(__xludf.DUMMYFUNCTION("if(P91="""", """", P91/sum(filter($P$16:$P$949, $P$16:$P$949&lt;&gt;"""")))"),9.769441187964048E-4)</f>
        <v>0.0009769441188</v>
      </c>
    </row>
    <row r="92" ht="12.75" customHeight="1">
      <c r="A92" s="486"/>
      <c r="G92" s="480" t="s">
        <v>1144</v>
      </c>
      <c r="H92" s="249">
        <v>20.0</v>
      </c>
      <c r="I92" s="479">
        <v>9.769441187964048E-4</v>
      </c>
      <c r="K92" s="249"/>
      <c r="L92" s="501"/>
      <c r="M92" s="499" t="str">
        <f>IFERROR(__xludf.DUMMYFUNCTION("if(L92="""", """", counta(filter(index(arrayformula(split(filter($K$16:$K$449, $K$16:$K$449&lt;&gt;""""), ""★"")&amp;""★""), 0, 1), index(arrayformula(split(filter($K$16:$K$449, $K$16:$K$449&lt;&gt;""""), ""★"")&amp;""★""), 0, 1)=L92)))"),"")</f>
        <v/>
      </c>
      <c r="O92" s="492" t="str">
        <f>IFERROR(__xludf.DUMMYFUNCTION("""COMPUTED_VALUE"""),"Skull Isle - Cutlass 2★ #CFC")</f>
        <v>Skull Isle - Cutlass 2★ #CFC</v>
      </c>
      <c r="P92" s="249">
        <f>IFERROR(__xludf.DUMMYFUNCTION("""COMPUTED_VALUE"""),20.0)</f>
        <v>20</v>
      </c>
      <c r="Q92" s="479">
        <f>IFERROR(__xludf.DUMMYFUNCTION("if(P92="""", """", P92/sum(filter($P$16:$P$949, $P$16:$P$949&lt;&gt;"""")))"),9.769441187964048E-4)</f>
        <v>0.0009769441188</v>
      </c>
    </row>
    <row r="93" ht="12.75" customHeight="1">
      <c r="A93" s="486"/>
      <c r="G93" s="480" t="s">
        <v>1145</v>
      </c>
      <c r="H93" s="249">
        <v>20.0</v>
      </c>
      <c r="I93" s="479">
        <v>9.769441187964048E-4</v>
      </c>
      <c r="K93" s="249"/>
      <c r="L93" s="501"/>
      <c r="M93" s="499" t="str">
        <f>IFERROR(__xludf.DUMMYFUNCTION("if(L93="""", """", counta(filter(index(arrayformula(split(filter($K$16:$K$449, $K$16:$K$449&lt;&gt;""""), ""★"")&amp;""★""), 0, 1), index(arrayformula(split(filter($K$16:$K$449, $K$16:$K$449&lt;&gt;""""), ""★"")&amp;""★""), 0, 1)=L93)))"),"")</f>
        <v/>
      </c>
      <c r="O93" s="492" t="str">
        <f>IFERROR(__xludf.DUMMYFUNCTION("""COMPUTED_VALUE"""),"Skull Isle - Cutlass 2★ #7B1")</f>
        <v>Skull Isle - Cutlass 2★ #7B1</v>
      </c>
      <c r="P93" s="249">
        <f>IFERROR(__xludf.DUMMYFUNCTION("""COMPUTED_VALUE"""),20.0)</f>
        <v>20</v>
      </c>
      <c r="Q93" s="479">
        <f>IFERROR(__xludf.DUMMYFUNCTION("if(P93="""", """", P93/sum(filter($P$16:$P$949, $P$16:$P$949&lt;&gt;"""")))"),9.769441187964048E-4)</f>
        <v>0.0009769441188</v>
      </c>
    </row>
    <row r="94" ht="12.75" customHeight="1">
      <c r="A94" s="486"/>
      <c r="G94" s="480" t="s">
        <v>1146</v>
      </c>
      <c r="H94" s="249">
        <v>20.0</v>
      </c>
      <c r="I94" s="479">
        <v>9.769441187964048E-4</v>
      </c>
      <c r="K94" s="249"/>
      <c r="L94" s="501"/>
      <c r="M94" s="499" t="str">
        <f>IFERROR(__xludf.DUMMYFUNCTION("if(L94="""", """", counta(filter(index(arrayformula(split(filter($K$16:$K$449, $K$16:$K$449&lt;&gt;""""), ""★"")&amp;""★""), 0, 1), index(arrayformula(split(filter($K$16:$K$449, $K$16:$K$449&lt;&gt;""""), ""★"")&amp;""★""), 0, 1)=L94)))"),"")</f>
        <v/>
      </c>
      <c r="O94" s="492" t="str">
        <f>IFERROR(__xludf.DUMMYFUNCTION("""COMPUTED_VALUE"""),"Skull Isle - Cutlass 2★ #266")</f>
        <v>Skull Isle - Cutlass 2★ #266</v>
      </c>
      <c r="P94" s="249">
        <f>IFERROR(__xludf.DUMMYFUNCTION("""COMPUTED_VALUE"""),20.0)</f>
        <v>20</v>
      </c>
      <c r="Q94" s="479">
        <f>IFERROR(__xludf.DUMMYFUNCTION("if(P94="""", """", P94/sum(filter($P$16:$P$949, $P$16:$P$949&lt;&gt;"""")))"),9.769441187964048E-4)</f>
        <v>0.0009769441188</v>
      </c>
    </row>
    <row r="95" ht="12.75" customHeight="1">
      <c r="A95" s="486"/>
      <c r="G95" s="480" t="s">
        <v>1147</v>
      </c>
      <c r="H95" s="249">
        <v>20.0</v>
      </c>
      <c r="I95" s="479">
        <v>9.769441187964048E-4</v>
      </c>
      <c r="K95" s="249"/>
      <c r="L95" s="501"/>
      <c r="M95" s="499" t="str">
        <f>IFERROR(__xludf.DUMMYFUNCTION("if(L95="""", """", counta(filter(index(arrayformula(split(filter($K$16:$K$449, $K$16:$K$449&lt;&gt;""""), ""★"")&amp;""★""), 0, 1), index(arrayformula(split(filter($K$16:$K$449, $K$16:$K$449&lt;&gt;""""), ""★"")&amp;""★""), 0, 1)=L95)))"),"")</f>
        <v/>
      </c>
      <c r="O95" s="492" t="str">
        <f>IFERROR(__xludf.DUMMYFUNCTION("""COMPUTED_VALUE"""),"Skull Isle - Cutlass 2★ #D1B")</f>
        <v>Skull Isle - Cutlass 2★ #D1B</v>
      </c>
      <c r="P95" s="249">
        <f>IFERROR(__xludf.DUMMYFUNCTION("""COMPUTED_VALUE"""),20.0)</f>
        <v>20</v>
      </c>
      <c r="Q95" s="479">
        <f>IFERROR(__xludf.DUMMYFUNCTION("if(P95="""", """", P95/sum(filter($P$16:$P$949, $P$16:$P$949&lt;&gt;"""")))"),9.769441187964048E-4)</f>
        <v>0.0009769441188</v>
      </c>
    </row>
    <row r="96" ht="12.75" customHeight="1">
      <c r="A96" s="486"/>
      <c r="G96" s="480" t="s">
        <v>1148</v>
      </c>
      <c r="H96" s="249">
        <v>20.0</v>
      </c>
      <c r="I96" s="479">
        <v>9.769441187964048E-4</v>
      </c>
      <c r="K96" s="249"/>
      <c r="L96" s="501"/>
      <c r="M96" s="499" t="str">
        <f>IFERROR(__xludf.DUMMYFUNCTION("if(L96="""", """", counta(filter(index(arrayformula(split(filter($K$16:$K$449, $K$16:$K$449&lt;&gt;""""), ""★"")&amp;""★""), 0, 1), index(arrayformula(split(filter($K$16:$K$449, $K$16:$K$449&lt;&gt;""""), ""★"")&amp;""★""), 0, 1)=L96)))"),"")</f>
        <v/>
      </c>
      <c r="O96" s="492" t="str">
        <f>IFERROR(__xludf.DUMMYFUNCTION("""COMPUTED_VALUE"""),"Skull Isle - Cutlass 2★ #7D0")</f>
        <v>Skull Isle - Cutlass 2★ #7D0</v>
      </c>
      <c r="P96" s="249">
        <f>IFERROR(__xludf.DUMMYFUNCTION("""COMPUTED_VALUE"""),20.0)</f>
        <v>20</v>
      </c>
      <c r="Q96" s="479">
        <f>IFERROR(__xludf.DUMMYFUNCTION("if(P96="""", """", P96/sum(filter($P$16:$P$949, $P$16:$P$949&lt;&gt;"""")))"),9.769441187964048E-4)</f>
        <v>0.0009769441188</v>
      </c>
    </row>
    <row r="97" ht="12.75" customHeight="1">
      <c r="A97" s="486"/>
      <c r="G97" s="480" t="s">
        <v>1149</v>
      </c>
      <c r="H97" s="249">
        <v>20.0</v>
      </c>
      <c r="I97" s="479">
        <v>9.769441187964048E-4</v>
      </c>
      <c r="K97" s="249"/>
      <c r="L97" s="501"/>
      <c r="M97" s="499" t="str">
        <f>IFERROR(__xludf.DUMMYFUNCTION("if(L97="""", """", counta(filter(index(arrayformula(split(filter($K$16:$K$449, $K$16:$K$449&lt;&gt;""""), ""★"")&amp;""★""), 0, 1), index(arrayformula(split(filter($K$16:$K$449, $K$16:$K$449&lt;&gt;""""), ""★"")&amp;""★""), 0, 1)=L97)))"),"")</f>
        <v/>
      </c>
      <c r="O97" s="492" t="str">
        <f>IFERROR(__xludf.DUMMYFUNCTION("""COMPUTED_VALUE"""),"Skull Isle - Cutlass 2★ #285")</f>
        <v>Skull Isle - Cutlass 2★ #285</v>
      </c>
      <c r="P97" s="249">
        <f>IFERROR(__xludf.DUMMYFUNCTION("""COMPUTED_VALUE"""),20.0)</f>
        <v>20</v>
      </c>
      <c r="Q97" s="479">
        <f>IFERROR(__xludf.DUMMYFUNCTION("if(P97="""", """", P97/sum(filter($P$16:$P$949, $P$16:$P$949&lt;&gt;"""")))"),9.769441187964048E-4)</f>
        <v>0.0009769441188</v>
      </c>
    </row>
    <row r="98" ht="12.75" customHeight="1">
      <c r="A98" s="486"/>
      <c r="G98" s="480" t="s">
        <v>1150</v>
      </c>
      <c r="H98" s="249">
        <v>20.0</v>
      </c>
      <c r="I98" s="479">
        <v>9.769441187964048E-4</v>
      </c>
      <c r="K98" s="249"/>
      <c r="L98" s="501"/>
      <c r="M98" s="499" t="str">
        <f>IFERROR(__xludf.DUMMYFUNCTION("if(L98="""", """", counta(filter(index(arrayformula(split(filter($K$16:$K$449, $K$16:$K$449&lt;&gt;""""), ""★"")&amp;""★""), 0, 1), index(arrayformula(split(filter($K$16:$K$449, $K$16:$K$449&lt;&gt;""""), ""★"")&amp;""★""), 0, 1)=L98)))"),"")</f>
        <v/>
      </c>
      <c r="O98" s="492" t="str">
        <f>IFERROR(__xludf.DUMMYFUNCTION("""COMPUTED_VALUE"""),"Skull Isle - Parrot 2★ #D3A")</f>
        <v>Skull Isle - Parrot 2★ #D3A</v>
      </c>
      <c r="P98" s="249">
        <f>IFERROR(__xludf.DUMMYFUNCTION("""COMPUTED_VALUE"""),20.0)</f>
        <v>20</v>
      </c>
      <c r="Q98" s="479">
        <f>IFERROR(__xludf.DUMMYFUNCTION("if(P98="""", """", P98/sum(filter($P$16:$P$949, $P$16:$P$949&lt;&gt;"""")))"),9.769441187964048E-4)</f>
        <v>0.0009769441188</v>
      </c>
    </row>
    <row r="99" ht="12.75" customHeight="1">
      <c r="A99" s="486"/>
      <c r="G99" s="480" t="s">
        <v>1151</v>
      </c>
      <c r="H99" s="249">
        <v>20.0</v>
      </c>
      <c r="I99" s="479">
        <v>9.769441187964048E-4</v>
      </c>
      <c r="K99" s="249"/>
      <c r="L99" s="501"/>
      <c r="M99" s="499" t="str">
        <f>IFERROR(__xludf.DUMMYFUNCTION("if(L99="""", """", counta(filter(index(arrayformula(split(filter($K$16:$K$449, $K$16:$K$449&lt;&gt;""""), ""★"")&amp;""★""), 0, 1), index(arrayformula(split(filter($K$16:$K$449, $K$16:$K$449&lt;&gt;""""), ""★"")&amp;""★""), 0, 1)=L99)))"),"")</f>
        <v/>
      </c>
      <c r="O99" s="492" t="str">
        <f>IFERROR(__xludf.DUMMYFUNCTION("""COMPUTED_VALUE"""),"Skull Isle - Parrot 2★ #7EF")</f>
        <v>Skull Isle - Parrot 2★ #7EF</v>
      </c>
      <c r="P99" s="249">
        <f>IFERROR(__xludf.DUMMYFUNCTION("""COMPUTED_VALUE"""),20.0)</f>
        <v>20</v>
      </c>
      <c r="Q99" s="479">
        <f>IFERROR(__xludf.DUMMYFUNCTION("if(P99="""", """", P99/sum(filter($P$16:$P$949, $P$16:$P$949&lt;&gt;"""")))"),9.769441187964048E-4)</f>
        <v>0.0009769441188</v>
      </c>
    </row>
    <row r="100" ht="12.75" customHeight="1">
      <c r="A100" s="486"/>
      <c r="G100" s="480" t="s">
        <v>1152</v>
      </c>
      <c r="H100" s="249">
        <v>20.0</v>
      </c>
      <c r="I100" s="479">
        <v>9.769441187964048E-4</v>
      </c>
      <c r="K100" s="249"/>
      <c r="L100" s="501"/>
      <c r="M100" s="499" t="str">
        <f>IFERROR(__xludf.DUMMYFUNCTION("if(L100="""", """", counta(filter(index(arrayformula(split(filter($K$16:$K$449, $K$16:$K$449&lt;&gt;""""), ""★"")&amp;""★""), 0, 1), index(arrayformula(split(filter($K$16:$K$449, $K$16:$K$449&lt;&gt;""""), ""★"")&amp;""★""), 0, 1)=L100)))"),"")</f>
        <v/>
      </c>
      <c r="O100" s="492" t="str">
        <f>IFERROR(__xludf.DUMMYFUNCTION("""COMPUTED_VALUE"""),"Skull Isle - Parrot 2★ #2A4")</f>
        <v>Skull Isle - Parrot 2★ #2A4</v>
      </c>
      <c r="P100" s="249">
        <f>IFERROR(__xludf.DUMMYFUNCTION("""COMPUTED_VALUE"""),20.0)</f>
        <v>20</v>
      </c>
      <c r="Q100" s="479">
        <f>IFERROR(__xludf.DUMMYFUNCTION("if(P100="""", """", P100/sum(filter($P$16:$P$949, $P$16:$P$949&lt;&gt;"""")))"),9.769441187964048E-4)</f>
        <v>0.0009769441188</v>
      </c>
    </row>
    <row r="101" ht="12.75" customHeight="1">
      <c r="G101" s="480" t="s">
        <v>1153</v>
      </c>
      <c r="H101" s="249">
        <v>20.0</v>
      </c>
      <c r="I101" s="479">
        <v>9.769441187964048E-4</v>
      </c>
      <c r="K101" s="249"/>
      <c r="L101" s="501"/>
      <c r="M101" s="499" t="str">
        <f>IFERROR(__xludf.DUMMYFUNCTION("if(L101="""", """", counta(filter(index(arrayformula(split(filter($K$16:$K$449, $K$16:$K$449&lt;&gt;""""), ""★"")&amp;""★""), 0, 1), index(arrayformula(split(filter($K$16:$K$449, $K$16:$K$449&lt;&gt;""""), ""★"")&amp;""★""), 0, 1)=L101)))"),"")</f>
        <v/>
      </c>
      <c r="O101" s="492" t="str">
        <f>IFERROR(__xludf.DUMMYFUNCTION("""COMPUTED_VALUE"""),"Skull Isle - Parrot 2★ #D59")</f>
        <v>Skull Isle - Parrot 2★ #D59</v>
      </c>
      <c r="P101" s="249">
        <f>IFERROR(__xludf.DUMMYFUNCTION("""COMPUTED_VALUE"""),20.0)</f>
        <v>20</v>
      </c>
      <c r="Q101" s="479">
        <f>IFERROR(__xludf.DUMMYFUNCTION("if(P101="""", """", P101/sum(filter($P$16:$P$949, $P$16:$P$949&lt;&gt;"""")))"),9.769441187964048E-4)</f>
        <v>0.0009769441188</v>
      </c>
    </row>
    <row r="102" ht="12.75" customHeight="1">
      <c r="G102" s="480" t="s">
        <v>1154</v>
      </c>
      <c r="H102" s="249">
        <v>20.0</v>
      </c>
      <c r="I102" s="479">
        <v>9.769441187964048E-4</v>
      </c>
      <c r="K102" s="249"/>
      <c r="L102" s="501"/>
      <c r="M102" s="499" t="str">
        <f>IFERROR(__xludf.DUMMYFUNCTION("if(L102="""", """", counta(filter(index(arrayformula(split(filter($K$16:$K$449, $K$16:$K$449&lt;&gt;""""), ""★"")&amp;""★""), 0, 1), index(arrayformula(split(filter($K$16:$K$449, $K$16:$K$449&lt;&gt;""""), ""★"")&amp;""★""), 0, 1)=L102)))"),"")</f>
        <v/>
      </c>
      <c r="O102" s="492" t="str">
        <f>IFERROR(__xludf.DUMMYFUNCTION("""COMPUTED_VALUE"""),"Skull Isle - Parrot 2★ #80E")</f>
        <v>Skull Isle - Parrot 2★ #80E</v>
      </c>
      <c r="P102" s="249">
        <f>IFERROR(__xludf.DUMMYFUNCTION("""COMPUTED_VALUE"""),20.0)</f>
        <v>20</v>
      </c>
      <c r="Q102" s="479">
        <f>IFERROR(__xludf.DUMMYFUNCTION("if(P102="""", """", P102/sum(filter($P$16:$P$949, $P$16:$P$949&lt;&gt;"""")))"),9.769441187964048E-4)</f>
        <v>0.0009769441188</v>
      </c>
    </row>
    <row r="103" ht="12.75" customHeight="1">
      <c r="G103" s="480" t="s">
        <v>1155</v>
      </c>
      <c r="H103" s="249">
        <v>20.0</v>
      </c>
      <c r="I103" s="479">
        <v>9.769441187964048E-4</v>
      </c>
      <c r="K103" s="249"/>
      <c r="L103" s="501"/>
      <c r="M103" s="499" t="str">
        <f>IFERROR(__xludf.DUMMYFUNCTION("if(L103="""", """", counta(filter(index(arrayformula(split(filter($K$16:$K$449, $K$16:$K$449&lt;&gt;""""), ""★"")&amp;""★""), 0, 1), index(arrayformula(split(filter($K$16:$K$449, $K$16:$K$449&lt;&gt;""""), ""★"")&amp;""★""), 0, 1)=L103)))"),"")</f>
        <v/>
      </c>
      <c r="O103" s="492" t="str">
        <f>IFERROR(__xludf.DUMMYFUNCTION("""COMPUTED_VALUE"""),"Skull Isle - Parrot 2★ #2C3")</f>
        <v>Skull Isle - Parrot 2★ #2C3</v>
      </c>
      <c r="P103" s="249">
        <f>IFERROR(__xludf.DUMMYFUNCTION("""COMPUTED_VALUE"""),20.0)</f>
        <v>20</v>
      </c>
      <c r="Q103" s="479">
        <f>IFERROR(__xludf.DUMMYFUNCTION("if(P103="""", """", P103/sum(filter($P$16:$P$949, $P$16:$P$949&lt;&gt;"""")))"),9.769441187964048E-4)</f>
        <v>0.0009769441188</v>
      </c>
    </row>
    <row r="104" ht="12.75" customHeight="1">
      <c r="G104" s="480" t="s">
        <v>1156</v>
      </c>
      <c r="H104" s="249">
        <v>20.0</v>
      </c>
      <c r="I104" s="479">
        <v>9.769441187964048E-4</v>
      </c>
      <c r="K104" s="249"/>
      <c r="L104" s="480"/>
      <c r="M104" s="499" t="str">
        <f>IFERROR(__xludf.DUMMYFUNCTION("if(L104="""", """", counta(filter(index(arrayformula(split(filter($K$16:$K$449, $K$16:$K$449&lt;&gt;""""), ""★"")&amp;""★""), 0, 1), index(arrayformula(split(filter($K$16:$K$449, $K$16:$K$449&lt;&gt;""""), ""★"")&amp;""★""), 0, 1)=L104)))"),"")</f>
        <v/>
      </c>
      <c r="O104" s="492" t="str">
        <f>IFERROR(__xludf.DUMMYFUNCTION("""COMPUTED_VALUE"""),"Skull Isle - Parrot 2★ #D78")</f>
        <v>Skull Isle - Parrot 2★ #D78</v>
      </c>
      <c r="P104" s="249">
        <f>IFERROR(__xludf.DUMMYFUNCTION("""COMPUTED_VALUE"""),20.0)</f>
        <v>20</v>
      </c>
      <c r="Q104" s="479">
        <f>IFERROR(__xludf.DUMMYFUNCTION("if(P104="""", """", P104/sum(filter($P$16:$P$949, $P$16:$P$949&lt;&gt;"""")))"),9.769441187964048E-4)</f>
        <v>0.0009769441188</v>
      </c>
    </row>
    <row r="105" ht="12.75" customHeight="1">
      <c r="G105" s="480" t="s">
        <v>1157</v>
      </c>
      <c r="H105" s="249">
        <v>20.0</v>
      </c>
      <c r="I105" s="479">
        <v>9.769441187964048E-4</v>
      </c>
      <c r="K105" s="249"/>
      <c r="L105" s="480"/>
      <c r="M105" s="499" t="str">
        <f>IFERROR(__xludf.DUMMYFUNCTION("if(L105="""", """", counta(filter(index(arrayformula(split(filter($K$16:$K$449, $K$16:$K$449&lt;&gt;""""), ""★"")&amp;""★""), 0, 1), index(arrayformula(split(filter($K$16:$K$449, $K$16:$K$449&lt;&gt;""""), ""★"")&amp;""★""), 0, 1)=L105)))"),"")</f>
        <v/>
      </c>
      <c r="O105" s="492" t="str">
        <f>IFERROR(__xludf.DUMMYFUNCTION("""COMPUTED_VALUE"""),"Skull Isle - Parrot 2★ #82D")</f>
        <v>Skull Isle - Parrot 2★ #82D</v>
      </c>
      <c r="P105" s="249">
        <f>IFERROR(__xludf.DUMMYFUNCTION("""COMPUTED_VALUE"""),20.0)</f>
        <v>20</v>
      </c>
      <c r="Q105" s="479">
        <f>IFERROR(__xludf.DUMMYFUNCTION("if(P105="""", """", P105/sum(filter($P$16:$P$949, $P$16:$P$949&lt;&gt;"""")))"),9.769441187964048E-4)</f>
        <v>0.0009769441188</v>
      </c>
    </row>
    <row r="106" ht="12.75" customHeight="1">
      <c r="G106" s="480" t="s">
        <v>1158</v>
      </c>
      <c r="H106" s="249">
        <v>20.0</v>
      </c>
      <c r="I106" s="479">
        <v>9.769441187964048E-4</v>
      </c>
      <c r="K106" s="249"/>
      <c r="L106" s="480"/>
      <c r="M106" s="499" t="str">
        <f>IFERROR(__xludf.DUMMYFUNCTION("if(L106="""", """", counta(filter(index(arrayformula(split(filter($K$16:$K$449, $K$16:$K$449&lt;&gt;""""), ""★"")&amp;""★""), 0, 1), index(arrayformula(split(filter($K$16:$K$449, $K$16:$K$449&lt;&gt;""""), ""★"")&amp;""★""), 0, 1)=L106)))"),"")</f>
        <v/>
      </c>
      <c r="O106" s="492" t="str">
        <f>IFERROR(__xludf.DUMMYFUNCTION("""COMPUTED_VALUE"""),"Skull Isle - Parrot 2★ #2E2")</f>
        <v>Skull Isle - Parrot 2★ #2E2</v>
      </c>
      <c r="P106" s="249">
        <f>IFERROR(__xludf.DUMMYFUNCTION("""COMPUTED_VALUE"""),20.0)</f>
        <v>20</v>
      </c>
      <c r="Q106" s="479">
        <f>IFERROR(__xludf.DUMMYFUNCTION("if(P106="""", """", P106/sum(filter($P$16:$P$949, $P$16:$P$949&lt;&gt;"""")))"),9.769441187964048E-4)</f>
        <v>0.0009769441188</v>
      </c>
    </row>
    <row r="107" ht="12.75" customHeight="1">
      <c r="G107" s="480" t="s">
        <v>1159</v>
      </c>
      <c r="H107" s="249">
        <v>20.0</v>
      </c>
      <c r="I107" s="479">
        <v>9.769441187964048E-4</v>
      </c>
      <c r="K107" s="249"/>
      <c r="L107" s="480"/>
      <c r="M107" s="499" t="str">
        <f>IFERROR(__xludf.DUMMYFUNCTION("if(L107="""", """", counta(filter(index(arrayformula(split(filter($K$16:$K$449, $K$16:$K$449&lt;&gt;""""), ""★"")&amp;""★""), 0, 1), index(arrayformula(split(filter($K$16:$K$449, $K$16:$K$449&lt;&gt;""""), ""★"")&amp;""★""), 0, 1)=L107)))"),"")</f>
        <v/>
      </c>
      <c r="O107" s="492" t="str">
        <f>IFERROR(__xludf.DUMMYFUNCTION("""COMPUTED_VALUE"""),"Skull Isle - Parrot 2★ #D97")</f>
        <v>Skull Isle - Parrot 2★ #D97</v>
      </c>
      <c r="P107" s="249">
        <f>IFERROR(__xludf.DUMMYFUNCTION("""COMPUTED_VALUE"""),20.0)</f>
        <v>20</v>
      </c>
      <c r="Q107" s="479">
        <f>IFERROR(__xludf.DUMMYFUNCTION("if(P107="""", """", P107/sum(filter($P$16:$P$949, $P$16:$P$949&lt;&gt;"""")))"),9.769441187964048E-4)</f>
        <v>0.0009769441188</v>
      </c>
    </row>
    <row r="108" ht="12.75" customHeight="1">
      <c r="G108" s="480" t="s">
        <v>1160</v>
      </c>
      <c r="H108" s="249">
        <v>20.0</v>
      </c>
      <c r="I108" s="479">
        <v>9.769441187964048E-4</v>
      </c>
      <c r="K108" s="249"/>
      <c r="L108" s="480"/>
      <c r="M108" s="499" t="str">
        <f>IFERROR(__xludf.DUMMYFUNCTION("if(L108="""", """", counta(filter(index(arrayformula(split(filter($K$16:$K$449, $K$16:$K$449&lt;&gt;""""), ""★"")&amp;""★""), 0, 1), index(arrayformula(split(filter($K$16:$K$449, $K$16:$K$449&lt;&gt;""""), ""★"")&amp;""★""), 0, 1)=L108)))"),"")</f>
        <v/>
      </c>
      <c r="O108" s="492" t="str">
        <f>IFERROR(__xludf.DUMMYFUNCTION("""COMPUTED_VALUE"""),"Skull Isle - Parrot 2★ #84C")</f>
        <v>Skull Isle - Parrot 2★ #84C</v>
      </c>
      <c r="P108" s="249">
        <f>IFERROR(__xludf.DUMMYFUNCTION("""COMPUTED_VALUE"""),20.0)</f>
        <v>20</v>
      </c>
      <c r="Q108" s="479">
        <f>IFERROR(__xludf.DUMMYFUNCTION("if(P108="""", """", P108/sum(filter($P$16:$P$949, $P$16:$P$949&lt;&gt;"""")))"),9.769441187964048E-4)</f>
        <v>0.0009769441188</v>
      </c>
    </row>
    <row r="109" ht="12.75" customHeight="1">
      <c r="G109" s="480" t="s">
        <v>1161</v>
      </c>
      <c r="H109" s="249">
        <v>20.0</v>
      </c>
      <c r="I109" s="479">
        <v>9.769441187964048E-4</v>
      </c>
      <c r="K109" s="249"/>
      <c r="L109" s="480"/>
      <c r="M109" s="499" t="str">
        <f>IFERROR(__xludf.DUMMYFUNCTION("if(L109="""", """", counta(filter(index(arrayformula(split(filter($K$16:$K$449, $K$16:$K$449&lt;&gt;""""), ""★"")&amp;""★""), 0, 1), index(arrayformula(split(filter($K$16:$K$449, $K$16:$K$449&lt;&gt;""""), ""★"")&amp;""★""), 0, 1)=L109)))"),"")</f>
        <v/>
      </c>
      <c r="O109" s="492" t="str">
        <f>IFERROR(__xludf.DUMMYFUNCTION("""COMPUTED_VALUE"""),"Skull Isle - Parrot 2★ #301")</f>
        <v>Skull Isle - Parrot 2★ #301</v>
      </c>
      <c r="P109" s="249">
        <f>IFERROR(__xludf.DUMMYFUNCTION("""COMPUTED_VALUE"""),20.0)</f>
        <v>20</v>
      </c>
      <c r="Q109" s="479">
        <f>IFERROR(__xludf.DUMMYFUNCTION("if(P109="""", """", P109/sum(filter($P$16:$P$949, $P$16:$P$949&lt;&gt;"""")))"),9.769441187964048E-4)</f>
        <v>0.0009769441188</v>
      </c>
    </row>
    <row r="110" ht="12.75" customHeight="1">
      <c r="G110" s="480" t="s">
        <v>1162</v>
      </c>
      <c r="H110" s="249">
        <v>20.0</v>
      </c>
      <c r="I110" s="479">
        <v>9.769441187964048E-4</v>
      </c>
      <c r="K110" s="249"/>
      <c r="L110" s="480"/>
      <c r="M110" s="499" t="str">
        <f>IFERROR(__xludf.DUMMYFUNCTION("if(L110="""", """", counta(filter(index(arrayformula(split(filter($K$16:$K$449, $K$16:$K$449&lt;&gt;""""), ""★"")&amp;""★""), 0, 1), index(arrayformula(split(filter($K$16:$K$449, $K$16:$K$449&lt;&gt;""""), ""★"")&amp;""★""), 0, 1)=L110)))"),"")</f>
        <v/>
      </c>
      <c r="O110" s="492" t="str">
        <f>IFERROR(__xludf.DUMMYFUNCTION("""COMPUTED_VALUE"""),"Skull Isle - Parrot 2★ #DB6")</f>
        <v>Skull Isle - Parrot 2★ #DB6</v>
      </c>
      <c r="P110" s="249">
        <f>IFERROR(__xludf.DUMMYFUNCTION("""COMPUTED_VALUE"""),20.0)</f>
        <v>20</v>
      </c>
      <c r="Q110" s="479">
        <f>IFERROR(__xludf.DUMMYFUNCTION("if(P110="""", """", P110/sum(filter($P$16:$P$949, $P$16:$P$949&lt;&gt;"""")))"),9.769441187964048E-4)</f>
        <v>0.0009769441188</v>
      </c>
    </row>
    <row r="111" ht="12.75" customHeight="1">
      <c r="G111" s="480" t="s">
        <v>1163</v>
      </c>
      <c r="H111" s="249">
        <v>10.0</v>
      </c>
      <c r="I111" s="479">
        <v>4.884720593982024E-4</v>
      </c>
      <c r="K111" s="249"/>
      <c r="L111" s="480"/>
      <c r="M111" s="499" t="str">
        <f>IFERROR(__xludf.DUMMYFUNCTION("if(L111="""", """", counta(filter(index(arrayformula(split(filter($K$16:$K$449, $K$16:$K$449&lt;&gt;""""), ""★"")&amp;""★""), 0, 1), index(arrayformula(split(filter($K$16:$K$449, $K$16:$K$449&lt;&gt;""""), ""★"")&amp;""★""), 0, 1)=L111)))"),"")</f>
        <v/>
      </c>
      <c r="O111" s="492" t="str">
        <f>IFERROR(__xludf.DUMMYFUNCTION("""COMPUTED_VALUE"""),"Skull Isle - Chest 3★ #86B")</f>
        <v>Skull Isle - Chest 3★ #86B</v>
      </c>
      <c r="P111" s="249">
        <f>IFERROR(__xludf.DUMMYFUNCTION("""COMPUTED_VALUE"""),10.0)</f>
        <v>10</v>
      </c>
      <c r="Q111" s="479">
        <f>IFERROR(__xludf.DUMMYFUNCTION("if(P111="""", """", P111/sum(filter($P$16:$P$949, $P$16:$P$949&lt;&gt;"""")))"),4.884720593982024E-4)</f>
        <v>0.0004884720594</v>
      </c>
    </row>
    <row r="112" ht="12.75" customHeight="1">
      <c r="G112" s="480" t="s">
        <v>1164</v>
      </c>
      <c r="H112" s="249">
        <v>10.0</v>
      </c>
      <c r="I112" s="479">
        <v>4.884720593982024E-4</v>
      </c>
      <c r="K112" s="249"/>
      <c r="L112" s="480"/>
      <c r="M112" s="499" t="str">
        <f>IFERROR(__xludf.DUMMYFUNCTION("if(L112="""", """", counta(filter(index(arrayformula(split(filter($K$16:$K$449, $K$16:$K$449&lt;&gt;""""), ""★"")&amp;""★""), 0, 1), index(arrayformula(split(filter($K$16:$K$449, $K$16:$K$449&lt;&gt;""""), ""★"")&amp;""★""), 0, 1)=L112)))"),"")</f>
        <v/>
      </c>
      <c r="O112" s="492" t="str">
        <f>IFERROR(__xludf.DUMMYFUNCTION("""COMPUTED_VALUE"""),"Skull Isle - Chest 3★ #320")</f>
        <v>Skull Isle - Chest 3★ #320</v>
      </c>
      <c r="P112" s="249">
        <f>IFERROR(__xludf.DUMMYFUNCTION("""COMPUTED_VALUE"""),10.0)</f>
        <v>10</v>
      </c>
      <c r="Q112" s="479">
        <f>IFERROR(__xludf.DUMMYFUNCTION("if(P112="""", """", P112/sum(filter($P$16:$P$949, $P$16:$P$949&lt;&gt;"""")))"),4.884720593982024E-4)</f>
        <v>0.0004884720594</v>
      </c>
    </row>
    <row r="113" ht="12.75" customHeight="1">
      <c r="G113" s="480" t="s">
        <v>1165</v>
      </c>
      <c r="H113" s="249">
        <v>10.0</v>
      </c>
      <c r="I113" s="479">
        <v>4.884720593982024E-4</v>
      </c>
      <c r="K113" s="249"/>
      <c r="L113" s="480"/>
      <c r="M113" s="499" t="str">
        <f>IFERROR(__xludf.DUMMYFUNCTION("if(L113="""", """", counta(filter(index(arrayformula(split(filter($K$16:$K$449, $K$16:$K$449&lt;&gt;""""), ""★"")&amp;""★""), 0, 1), index(arrayformula(split(filter($K$16:$K$449, $K$16:$K$449&lt;&gt;""""), ""★"")&amp;""★""), 0, 1)=L113)))"),"")</f>
        <v/>
      </c>
      <c r="O113" s="492" t="str">
        <f>IFERROR(__xludf.DUMMYFUNCTION("""COMPUTED_VALUE"""),"Skull Isle - Chest 3★ #DD5")</f>
        <v>Skull Isle - Chest 3★ #DD5</v>
      </c>
      <c r="P113" s="249">
        <f>IFERROR(__xludf.DUMMYFUNCTION("""COMPUTED_VALUE"""),10.0)</f>
        <v>10</v>
      </c>
      <c r="Q113" s="479">
        <f>IFERROR(__xludf.DUMMYFUNCTION("if(P113="""", """", P113/sum(filter($P$16:$P$949, $P$16:$P$949&lt;&gt;"""")))"),4.884720593982024E-4)</f>
        <v>0.0004884720594</v>
      </c>
    </row>
    <row r="114" ht="12.75" customHeight="1">
      <c r="G114" s="480" t="s">
        <v>1166</v>
      </c>
      <c r="H114" s="249">
        <v>10.0</v>
      </c>
      <c r="I114" s="479">
        <v>4.884720593982024E-4</v>
      </c>
      <c r="K114" s="249"/>
      <c r="L114" s="480"/>
      <c r="M114" s="499" t="str">
        <f>IFERROR(__xludf.DUMMYFUNCTION("if(L114="""", """", counta(filter(index(arrayformula(split(filter($K$16:$K$449, $K$16:$K$449&lt;&gt;""""), ""★"")&amp;""★""), 0, 1), index(arrayformula(split(filter($K$16:$K$449, $K$16:$K$449&lt;&gt;""""), ""★"")&amp;""★""), 0, 1)=L114)))"),"")</f>
        <v/>
      </c>
      <c r="O114" s="492" t="str">
        <f>IFERROR(__xludf.DUMMYFUNCTION("""COMPUTED_VALUE"""),"Skull Isle - Chest 3★ #88A")</f>
        <v>Skull Isle - Chest 3★ #88A</v>
      </c>
      <c r="P114" s="249">
        <f>IFERROR(__xludf.DUMMYFUNCTION("""COMPUTED_VALUE"""),10.0)</f>
        <v>10</v>
      </c>
      <c r="Q114" s="479">
        <f>IFERROR(__xludf.DUMMYFUNCTION("if(P114="""", """", P114/sum(filter($P$16:$P$949, $P$16:$P$949&lt;&gt;"""")))"),4.884720593982024E-4)</f>
        <v>0.0004884720594</v>
      </c>
    </row>
    <row r="115" ht="12.75" customHeight="1">
      <c r="G115" s="480" t="s">
        <v>1167</v>
      </c>
      <c r="H115" s="249">
        <v>10.0</v>
      </c>
      <c r="I115" s="479">
        <v>4.884720593982024E-4</v>
      </c>
      <c r="K115" s="249"/>
      <c r="L115" s="480"/>
      <c r="M115" s="499" t="str">
        <f>IFERROR(__xludf.DUMMYFUNCTION("if(L115="""", """", counta(filter(index(arrayformula(split(filter($K$16:$K$449, $K$16:$K$449&lt;&gt;""""), ""★"")&amp;""★""), 0, 1), index(arrayformula(split(filter($K$16:$K$449, $K$16:$K$449&lt;&gt;""""), ""★"")&amp;""★""), 0, 1)=L115)))"),"")</f>
        <v/>
      </c>
      <c r="O115" s="492" t="str">
        <f>IFERROR(__xludf.DUMMYFUNCTION("""COMPUTED_VALUE"""),"Skull Isle - Chest 3★ #33F")</f>
        <v>Skull Isle - Chest 3★ #33F</v>
      </c>
      <c r="P115" s="249">
        <f>IFERROR(__xludf.DUMMYFUNCTION("""COMPUTED_VALUE"""),10.0)</f>
        <v>10</v>
      </c>
      <c r="Q115" s="479">
        <f>IFERROR(__xludf.DUMMYFUNCTION("if(P115="""", """", P115/sum(filter($P$16:$P$949, $P$16:$P$949&lt;&gt;"""")))"),4.884720593982024E-4)</f>
        <v>0.0004884720594</v>
      </c>
    </row>
    <row r="116" ht="12.75" customHeight="1">
      <c r="G116" s="480" t="s">
        <v>1168</v>
      </c>
      <c r="H116" s="249">
        <v>10.0</v>
      </c>
      <c r="I116" s="479">
        <v>4.884720593982024E-4</v>
      </c>
      <c r="K116" s="249"/>
      <c r="L116" s="480"/>
      <c r="M116" s="499" t="str">
        <f>IFERROR(__xludf.DUMMYFUNCTION("if(L116="""", """", counta(filter(index(arrayformula(split(filter($K$16:$K$449, $K$16:$K$449&lt;&gt;""""), ""★"")&amp;""★""), 0, 1), index(arrayformula(split(filter($K$16:$K$449, $K$16:$K$449&lt;&gt;""""), ""★"")&amp;""★""), 0, 1)=L116)))"),"")</f>
        <v/>
      </c>
      <c r="O116" s="492" t="str">
        <f>IFERROR(__xludf.DUMMYFUNCTION("""COMPUTED_VALUE"""),"Skull Isle - Chest 3★ #DF4")</f>
        <v>Skull Isle - Chest 3★ #DF4</v>
      </c>
      <c r="P116" s="249">
        <f>IFERROR(__xludf.DUMMYFUNCTION("""COMPUTED_VALUE"""),10.0)</f>
        <v>10</v>
      </c>
      <c r="Q116" s="479">
        <f>IFERROR(__xludf.DUMMYFUNCTION("if(P116="""", """", P116/sum(filter($P$16:$P$949, $P$16:$P$949&lt;&gt;"""")))"),4.884720593982024E-4)</f>
        <v>0.0004884720594</v>
      </c>
    </row>
    <row r="117" ht="12.75" customHeight="1">
      <c r="G117" s="480" t="s">
        <v>1169</v>
      </c>
      <c r="H117" s="249">
        <v>10.0</v>
      </c>
      <c r="I117" s="479">
        <v>4.884720593982024E-4</v>
      </c>
      <c r="K117" s="249"/>
      <c r="L117" s="480"/>
      <c r="M117" s="499" t="str">
        <f>IFERROR(__xludf.DUMMYFUNCTION("if(L117="""", """", counta(filter(index(arrayformula(split(filter($K$16:$K$449, $K$16:$K$449&lt;&gt;""""), ""★"")&amp;""★""), 0, 1), index(arrayformula(split(filter($K$16:$K$449, $K$16:$K$449&lt;&gt;""""), ""★"")&amp;""★""), 0, 1)=L117)))"),"")</f>
        <v/>
      </c>
      <c r="O117" s="492" t="str">
        <f>IFERROR(__xludf.DUMMYFUNCTION("""COMPUTED_VALUE"""),"Skull Isle - Chest 3★ #8A9")</f>
        <v>Skull Isle - Chest 3★ #8A9</v>
      </c>
      <c r="P117" s="249">
        <f>IFERROR(__xludf.DUMMYFUNCTION("""COMPUTED_VALUE"""),10.0)</f>
        <v>10</v>
      </c>
      <c r="Q117" s="479">
        <f>IFERROR(__xludf.DUMMYFUNCTION("if(P117="""", """", P117/sum(filter($P$16:$P$949, $P$16:$P$949&lt;&gt;"""")))"),4.884720593982024E-4)</f>
        <v>0.0004884720594</v>
      </c>
    </row>
    <row r="118" ht="12.75" customHeight="1">
      <c r="G118" s="480" t="s">
        <v>1170</v>
      </c>
      <c r="H118" s="249">
        <v>10.0</v>
      </c>
      <c r="I118" s="479">
        <v>4.884720593982024E-4</v>
      </c>
      <c r="K118" s="249"/>
      <c r="L118" s="480"/>
      <c r="M118" s="499" t="str">
        <f>IFERROR(__xludf.DUMMYFUNCTION("if(L118="""", """", counta(filter(index(arrayformula(split(filter($K$16:$K$449, $K$16:$K$449&lt;&gt;""""), ""★"")&amp;""★""), 0, 1), index(arrayformula(split(filter($K$16:$K$449, $K$16:$K$449&lt;&gt;""""), ""★"")&amp;""★""), 0, 1)=L118)))"),"")</f>
        <v/>
      </c>
      <c r="O118" s="492" t="str">
        <f>IFERROR(__xludf.DUMMYFUNCTION("""COMPUTED_VALUE"""),"Skull Isle - Chest 3★ #35E")</f>
        <v>Skull Isle - Chest 3★ #35E</v>
      </c>
      <c r="P118" s="249">
        <f>IFERROR(__xludf.DUMMYFUNCTION("""COMPUTED_VALUE"""),10.0)</f>
        <v>10</v>
      </c>
      <c r="Q118" s="479">
        <f>IFERROR(__xludf.DUMMYFUNCTION("if(P118="""", """", P118/sum(filter($P$16:$P$949, $P$16:$P$949&lt;&gt;"""")))"),4.884720593982024E-4)</f>
        <v>0.0004884720594</v>
      </c>
    </row>
    <row r="119" ht="12.75" customHeight="1">
      <c r="G119" s="480" t="s">
        <v>1171</v>
      </c>
      <c r="H119" s="249">
        <v>10.0</v>
      </c>
      <c r="I119" s="479">
        <v>4.884720593982024E-4</v>
      </c>
      <c r="K119" s="249"/>
      <c r="L119" s="480"/>
      <c r="M119" s="499" t="str">
        <f>IFERROR(__xludf.DUMMYFUNCTION("if(L119="""", """", counta(filter(index(arrayformula(split(filter($K$16:$K$449, $K$16:$K$449&lt;&gt;""""), ""★"")&amp;""★""), 0, 1), index(arrayformula(split(filter($K$16:$K$449, $K$16:$K$449&lt;&gt;""""), ""★"")&amp;""★""), 0, 1)=L119)))"),"")</f>
        <v/>
      </c>
      <c r="O119" s="492" t="str">
        <f>IFERROR(__xludf.DUMMYFUNCTION("""COMPUTED_VALUE"""),"Skull Isle - Chest 3★ #E13")</f>
        <v>Skull Isle - Chest 3★ #E13</v>
      </c>
      <c r="P119" s="249">
        <f>IFERROR(__xludf.DUMMYFUNCTION("""COMPUTED_VALUE"""),10.0)</f>
        <v>10</v>
      </c>
      <c r="Q119" s="479">
        <f>IFERROR(__xludf.DUMMYFUNCTION("if(P119="""", """", P119/sum(filter($P$16:$P$949, $P$16:$P$949&lt;&gt;"""")))"),4.884720593982024E-4)</f>
        <v>0.0004884720594</v>
      </c>
    </row>
    <row r="120" ht="12.75" customHeight="1">
      <c r="G120" s="480" t="s">
        <v>1172</v>
      </c>
      <c r="H120" s="249">
        <v>10.0</v>
      </c>
      <c r="I120" s="479">
        <v>4.884720593982024E-4</v>
      </c>
      <c r="K120" s="249"/>
      <c r="L120" s="480"/>
      <c r="M120" s="499" t="str">
        <f>IFERROR(__xludf.DUMMYFUNCTION("if(L120="""", """", counta(filter(index(arrayformula(split(filter($K$16:$K$449, $K$16:$K$449&lt;&gt;""""), ""★"")&amp;""★""), 0, 1), index(arrayformula(split(filter($K$16:$K$449, $K$16:$K$449&lt;&gt;""""), ""★"")&amp;""★""), 0, 1)=L120)))"),"")</f>
        <v/>
      </c>
      <c r="O120" s="492" t="str">
        <f>IFERROR(__xludf.DUMMYFUNCTION("""COMPUTED_VALUE"""),"Skull Isle - Chest 3★ #8C8")</f>
        <v>Skull Isle - Chest 3★ #8C8</v>
      </c>
      <c r="P120" s="249">
        <f>IFERROR(__xludf.DUMMYFUNCTION("""COMPUTED_VALUE"""),10.0)</f>
        <v>10</v>
      </c>
      <c r="Q120" s="479">
        <f>IFERROR(__xludf.DUMMYFUNCTION("if(P120="""", """", P120/sum(filter($P$16:$P$949, $P$16:$P$949&lt;&gt;"""")))"),4.884720593982024E-4)</f>
        <v>0.0004884720594</v>
      </c>
    </row>
    <row r="121" ht="12.75" customHeight="1">
      <c r="G121" s="480" t="s">
        <v>1173</v>
      </c>
      <c r="H121" s="249">
        <v>10.0</v>
      </c>
      <c r="I121" s="479">
        <v>4.884720593982024E-4</v>
      </c>
      <c r="K121" s="249"/>
      <c r="L121" s="480"/>
      <c r="M121" s="499" t="str">
        <f>IFERROR(__xludf.DUMMYFUNCTION("if(L121="""", """", counta(filter(index(arrayformula(split(filter($K$16:$K$449, $K$16:$K$449&lt;&gt;""""), ""★"")&amp;""★""), 0, 1), index(arrayformula(split(filter($K$16:$K$449, $K$16:$K$449&lt;&gt;""""), ""★"")&amp;""★""), 0, 1)=L121)))"),"")</f>
        <v/>
      </c>
      <c r="O121" s="492" t="str">
        <f>IFERROR(__xludf.DUMMYFUNCTION("""COMPUTED_VALUE"""),"Skull Isle - Chest 3★ #37D")</f>
        <v>Skull Isle - Chest 3★ #37D</v>
      </c>
      <c r="P121" s="249">
        <f>IFERROR(__xludf.DUMMYFUNCTION("""COMPUTED_VALUE"""),10.0)</f>
        <v>10</v>
      </c>
      <c r="Q121" s="479">
        <f>IFERROR(__xludf.DUMMYFUNCTION("if(P121="""", """", P121/sum(filter($P$16:$P$949, $P$16:$P$949&lt;&gt;"""")))"),4.884720593982024E-4)</f>
        <v>0.0004884720594</v>
      </c>
    </row>
    <row r="122" ht="12.75" customHeight="1">
      <c r="G122" s="480" t="s">
        <v>1174</v>
      </c>
      <c r="H122" s="249">
        <v>10.0</v>
      </c>
      <c r="I122" s="479">
        <v>4.884720593982024E-4</v>
      </c>
      <c r="K122" s="249"/>
      <c r="L122" s="480"/>
      <c r="M122" s="499" t="str">
        <f>IFERROR(__xludf.DUMMYFUNCTION("if(L122="""", """", counta(filter(index(arrayformula(split(filter($K$16:$K$449, $K$16:$K$449&lt;&gt;""""), ""★"")&amp;""★""), 0, 1), index(arrayformula(split(filter($K$16:$K$449, $K$16:$K$449&lt;&gt;""""), ""★"")&amp;""★""), 0, 1)=L122)))"),"")</f>
        <v/>
      </c>
      <c r="O122" s="492" t="str">
        <f>IFERROR(__xludf.DUMMYFUNCTION("""COMPUTED_VALUE"""),"Skull Isle - Chest 3★ #E32")</f>
        <v>Skull Isle - Chest 3★ #E32</v>
      </c>
      <c r="P122" s="249">
        <f>IFERROR(__xludf.DUMMYFUNCTION("""COMPUTED_VALUE"""),10.0)</f>
        <v>10</v>
      </c>
      <c r="Q122" s="479">
        <f>IFERROR(__xludf.DUMMYFUNCTION("if(P122="""", """", P122/sum(filter($P$16:$P$949, $P$16:$P$949&lt;&gt;"""")))"),4.884720593982024E-4)</f>
        <v>0.0004884720594</v>
      </c>
    </row>
    <row r="123" ht="12.75" customHeight="1">
      <c r="G123" s="480" t="s">
        <v>1175</v>
      </c>
      <c r="H123" s="249">
        <v>10.0</v>
      </c>
      <c r="I123" s="479">
        <v>4.884720593982024E-4</v>
      </c>
      <c r="K123" s="249"/>
      <c r="L123" s="480"/>
      <c r="M123" s="499" t="str">
        <f>IFERROR(__xludf.DUMMYFUNCTION("if(L123="""", """", counta(filter(index(arrayformula(split(filter($K$16:$K$449, $K$16:$K$449&lt;&gt;""""), ""★"")&amp;""★""), 0, 1), index(arrayformula(split(filter($K$16:$K$449, $K$16:$K$449&lt;&gt;""""), ""★"")&amp;""★""), 0, 1)=L123)))"),"")</f>
        <v/>
      </c>
      <c r="O123" s="492" t="str">
        <f>IFERROR(__xludf.DUMMYFUNCTION("""COMPUTED_VALUE"""),"Skull Isle - Chest 3★ #8E7")</f>
        <v>Skull Isle - Chest 3★ #8E7</v>
      </c>
      <c r="P123" s="249">
        <f>IFERROR(__xludf.DUMMYFUNCTION("""COMPUTED_VALUE"""),10.0)</f>
        <v>10</v>
      </c>
      <c r="Q123" s="479">
        <f>IFERROR(__xludf.DUMMYFUNCTION("if(P123="""", """", P123/sum(filter($P$16:$P$949, $P$16:$P$949&lt;&gt;"""")))"),4.884720593982024E-4)</f>
        <v>0.0004884720594</v>
      </c>
    </row>
    <row r="124" ht="12.75" customHeight="1">
      <c r="G124" s="480" t="s">
        <v>1176</v>
      </c>
      <c r="H124" s="249">
        <v>10.0</v>
      </c>
      <c r="I124" s="479">
        <v>4.884720593982024E-4</v>
      </c>
      <c r="K124" s="249"/>
      <c r="L124" s="480"/>
      <c r="M124" s="499" t="str">
        <f>IFERROR(__xludf.DUMMYFUNCTION("if(L124="""", """", counta(filter(index(arrayformula(split(filter($K$16:$K$449, $K$16:$K$449&lt;&gt;""""), ""★"")&amp;""★""), 0, 1), index(arrayformula(split(filter($K$16:$K$449, $K$16:$K$449&lt;&gt;""""), ""★"")&amp;""★""), 0, 1)=L124)))"),"")</f>
        <v/>
      </c>
      <c r="O124" s="492" t="str">
        <f>IFERROR(__xludf.DUMMYFUNCTION("""COMPUTED_VALUE"""),"Skull Isle - Skull 3★ #39C")</f>
        <v>Skull Isle - Skull 3★ #39C</v>
      </c>
      <c r="P124" s="249">
        <f>IFERROR(__xludf.DUMMYFUNCTION("""COMPUTED_VALUE"""),10.0)</f>
        <v>10</v>
      </c>
      <c r="Q124" s="479">
        <f>IFERROR(__xludf.DUMMYFUNCTION("if(P124="""", """", P124/sum(filter($P$16:$P$949, $P$16:$P$949&lt;&gt;"""")))"),4.884720593982024E-4)</f>
        <v>0.0004884720594</v>
      </c>
    </row>
    <row r="125" ht="12.75" customHeight="1">
      <c r="G125" s="480" t="s">
        <v>1177</v>
      </c>
      <c r="H125" s="249">
        <v>10.0</v>
      </c>
      <c r="I125" s="479">
        <v>4.884720593982024E-4</v>
      </c>
      <c r="K125" s="249"/>
      <c r="L125" s="480"/>
      <c r="M125" s="499" t="str">
        <f>IFERROR(__xludf.DUMMYFUNCTION("if(L125="""", """", counta(filter(index(arrayformula(split(filter($K$16:$K$449, $K$16:$K$449&lt;&gt;""""), ""★"")&amp;""★""), 0, 1), index(arrayformula(split(filter($K$16:$K$449, $K$16:$K$449&lt;&gt;""""), ""★"")&amp;""★""), 0, 1)=L125)))"),"")</f>
        <v/>
      </c>
      <c r="O125" s="492" t="str">
        <f>IFERROR(__xludf.DUMMYFUNCTION("""COMPUTED_VALUE"""),"Skull Isle - Skull 3★ #E51")</f>
        <v>Skull Isle - Skull 3★ #E51</v>
      </c>
      <c r="P125" s="249">
        <f>IFERROR(__xludf.DUMMYFUNCTION("""COMPUTED_VALUE"""),10.0)</f>
        <v>10</v>
      </c>
      <c r="Q125" s="479">
        <f>IFERROR(__xludf.DUMMYFUNCTION("if(P125="""", """", P125/sum(filter($P$16:$P$949, $P$16:$P$949&lt;&gt;"""")))"),4.884720593982024E-4)</f>
        <v>0.0004884720594</v>
      </c>
    </row>
    <row r="126" ht="12.75" customHeight="1">
      <c r="G126" s="480" t="s">
        <v>1178</v>
      </c>
      <c r="H126" s="249">
        <v>10.0</v>
      </c>
      <c r="I126" s="479">
        <v>4.884720593982024E-4</v>
      </c>
      <c r="K126" s="249"/>
      <c r="L126" s="480"/>
      <c r="M126" s="499" t="str">
        <f>IFERROR(__xludf.DUMMYFUNCTION("if(L126="""", """", counta(filter(index(arrayformula(split(filter($K$16:$K$449, $K$16:$K$449&lt;&gt;""""), ""★"")&amp;""★""), 0, 1), index(arrayformula(split(filter($K$16:$K$449, $K$16:$K$449&lt;&gt;""""), ""★"")&amp;""★""), 0, 1)=L126)))"),"")</f>
        <v/>
      </c>
      <c r="O126" s="492" t="str">
        <f>IFERROR(__xludf.DUMMYFUNCTION("""COMPUTED_VALUE"""),"Skull Isle - Skull 3★ #906")</f>
        <v>Skull Isle - Skull 3★ #906</v>
      </c>
      <c r="P126" s="249">
        <f>IFERROR(__xludf.DUMMYFUNCTION("""COMPUTED_VALUE"""),10.0)</f>
        <v>10</v>
      </c>
      <c r="Q126" s="479">
        <f>IFERROR(__xludf.DUMMYFUNCTION("if(P126="""", """", P126/sum(filter($P$16:$P$949, $P$16:$P$949&lt;&gt;"""")))"),4.884720593982024E-4)</f>
        <v>0.0004884720594</v>
      </c>
    </row>
    <row r="127" ht="12.75" customHeight="1">
      <c r="G127" s="480" t="s">
        <v>1179</v>
      </c>
      <c r="H127" s="249">
        <v>10.0</v>
      </c>
      <c r="I127" s="479">
        <v>4.884720593982024E-4</v>
      </c>
      <c r="K127" s="249"/>
      <c r="L127" s="480"/>
      <c r="M127" s="499" t="str">
        <f>IFERROR(__xludf.DUMMYFUNCTION("if(L127="""", """", counta(filter(index(arrayformula(split(filter($K$16:$K$449, $K$16:$K$449&lt;&gt;""""), ""★"")&amp;""★""), 0, 1), index(arrayformula(split(filter($K$16:$K$449, $K$16:$K$449&lt;&gt;""""), ""★"")&amp;""★""), 0, 1)=L127)))"),"")</f>
        <v/>
      </c>
      <c r="O127" s="492" t="str">
        <f>IFERROR(__xludf.DUMMYFUNCTION("""COMPUTED_VALUE"""),"Skull Isle - Skull 3★ #3BB")</f>
        <v>Skull Isle - Skull 3★ #3BB</v>
      </c>
      <c r="P127" s="249">
        <f>IFERROR(__xludf.DUMMYFUNCTION("""COMPUTED_VALUE"""),10.0)</f>
        <v>10</v>
      </c>
      <c r="Q127" s="479">
        <f>IFERROR(__xludf.DUMMYFUNCTION("if(P127="""", """", P127/sum(filter($P$16:$P$949, $P$16:$P$949&lt;&gt;"""")))"),4.884720593982024E-4)</f>
        <v>0.0004884720594</v>
      </c>
    </row>
    <row r="128" ht="12.75" customHeight="1">
      <c r="G128" s="480" t="s">
        <v>1180</v>
      </c>
      <c r="H128" s="249">
        <v>10.0</v>
      </c>
      <c r="I128" s="479">
        <v>4.884720593982024E-4</v>
      </c>
      <c r="K128" s="249"/>
      <c r="L128" s="480"/>
      <c r="M128" s="499" t="str">
        <f>IFERROR(__xludf.DUMMYFUNCTION("if(L128="""", """", counta(filter(index(arrayformula(split(filter($K$16:$K$449, $K$16:$K$449&lt;&gt;""""), ""★"")&amp;""★""), 0, 1), index(arrayformula(split(filter($K$16:$K$449, $K$16:$K$449&lt;&gt;""""), ""★"")&amp;""★""), 0, 1)=L128)))"),"")</f>
        <v/>
      </c>
      <c r="O128" s="492" t="str">
        <f>IFERROR(__xludf.DUMMYFUNCTION("""COMPUTED_VALUE"""),"Skull Isle - Skull 3★ #E70")</f>
        <v>Skull Isle - Skull 3★ #E70</v>
      </c>
      <c r="P128" s="249">
        <f>IFERROR(__xludf.DUMMYFUNCTION("""COMPUTED_VALUE"""),10.0)</f>
        <v>10</v>
      </c>
      <c r="Q128" s="479">
        <f>IFERROR(__xludf.DUMMYFUNCTION("if(P128="""", """", P128/sum(filter($P$16:$P$949, $P$16:$P$949&lt;&gt;"""")))"),4.884720593982024E-4)</f>
        <v>0.0004884720594</v>
      </c>
    </row>
    <row r="129" ht="12.75" customHeight="1">
      <c r="G129" s="480" t="s">
        <v>1181</v>
      </c>
      <c r="H129" s="249">
        <v>10.0</v>
      </c>
      <c r="I129" s="479">
        <v>4.884720593982024E-4</v>
      </c>
      <c r="K129" s="249"/>
      <c r="L129" s="480"/>
      <c r="M129" s="499" t="str">
        <f>IFERROR(__xludf.DUMMYFUNCTION("if(L129="""", """", counta(filter(index(arrayformula(split(filter($K$16:$K$449, $K$16:$K$449&lt;&gt;""""), ""★"")&amp;""★""), 0, 1), index(arrayformula(split(filter($K$16:$K$449, $K$16:$K$449&lt;&gt;""""), ""★"")&amp;""★""), 0, 1)=L129)))"),"")</f>
        <v/>
      </c>
      <c r="O129" s="492" t="str">
        <f>IFERROR(__xludf.DUMMYFUNCTION("""COMPUTED_VALUE"""),"Skull Isle - Skull 3★ #925")</f>
        <v>Skull Isle - Skull 3★ #925</v>
      </c>
      <c r="P129" s="249">
        <f>IFERROR(__xludf.DUMMYFUNCTION("""COMPUTED_VALUE"""),10.0)</f>
        <v>10</v>
      </c>
      <c r="Q129" s="479">
        <f>IFERROR(__xludf.DUMMYFUNCTION("if(P129="""", """", P129/sum(filter($P$16:$P$949, $P$16:$P$949&lt;&gt;"""")))"),4.884720593982024E-4)</f>
        <v>0.0004884720594</v>
      </c>
    </row>
    <row r="130" ht="12.75" customHeight="1">
      <c r="G130" s="480" t="s">
        <v>1182</v>
      </c>
      <c r="H130" s="249">
        <v>10.0</v>
      </c>
      <c r="I130" s="479">
        <v>4.884720593982024E-4</v>
      </c>
      <c r="K130" s="249"/>
      <c r="L130" s="480"/>
      <c r="M130" s="499" t="str">
        <f>IFERROR(__xludf.DUMMYFUNCTION("if(L130="""", """", counta(filter(index(arrayformula(split(filter($K$16:$K$449, $K$16:$K$449&lt;&gt;""""), ""★"")&amp;""★""), 0, 1), index(arrayformula(split(filter($K$16:$K$449, $K$16:$K$449&lt;&gt;""""), ""★"")&amp;""★""), 0, 1)=L130)))"),"")</f>
        <v/>
      </c>
      <c r="O130" s="492" t="str">
        <f>IFERROR(__xludf.DUMMYFUNCTION("""COMPUTED_VALUE"""),"Skull Isle - Skull 3★ #3DA")</f>
        <v>Skull Isle - Skull 3★ #3DA</v>
      </c>
      <c r="P130" s="249">
        <f>IFERROR(__xludf.DUMMYFUNCTION("""COMPUTED_VALUE"""),10.0)</f>
        <v>10</v>
      </c>
      <c r="Q130" s="479">
        <f>IFERROR(__xludf.DUMMYFUNCTION("if(P130="""", """", P130/sum(filter($P$16:$P$949, $P$16:$P$949&lt;&gt;"""")))"),4.884720593982024E-4)</f>
        <v>0.0004884720594</v>
      </c>
    </row>
    <row r="131" ht="12.75" customHeight="1">
      <c r="G131" s="480" t="s">
        <v>1183</v>
      </c>
      <c r="H131" s="249">
        <v>10.0</v>
      </c>
      <c r="I131" s="479">
        <v>4.884720593982024E-4</v>
      </c>
      <c r="K131" s="249"/>
      <c r="L131" s="480"/>
      <c r="M131" s="499" t="str">
        <f>IFERROR(__xludf.DUMMYFUNCTION("if(L131="""", """", counta(filter(index(arrayformula(split(filter($K$16:$K$449, $K$16:$K$449&lt;&gt;""""), ""★"")&amp;""★""), 0, 1), index(arrayformula(split(filter($K$16:$K$449, $K$16:$K$449&lt;&gt;""""), ""★"")&amp;""★""), 0, 1)=L131)))"),"")</f>
        <v/>
      </c>
      <c r="O131" s="492" t="str">
        <f>IFERROR(__xludf.DUMMYFUNCTION("""COMPUTED_VALUE"""),"Skull Isle - Skull 3★ #E8F")</f>
        <v>Skull Isle - Skull 3★ #E8F</v>
      </c>
      <c r="P131" s="249">
        <f>IFERROR(__xludf.DUMMYFUNCTION("""COMPUTED_VALUE"""),10.0)</f>
        <v>10</v>
      </c>
      <c r="Q131" s="479">
        <f>IFERROR(__xludf.DUMMYFUNCTION("if(P131="""", """", P131/sum(filter($P$16:$P$949, $P$16:$P$949&lt;&gt;"""")))"),4.884720593982024E-4)</f>
        <v>0.0004884720594</v>
      </c>
    </row>
    <row r="132" ht="12.75" customHeight="1">
      <c r="G132" s="480" t="s">
        <v>1184</v>
      </c>
      <c r="H132" s="249">
        <v>10.0</v>
      </c>
      <c r="I132" s="479">
        <v>4.884720593982024E-4</v>
      </c>
      <c r="K132" s="249"/>
      <c r="L132" s="480"/>
      <c r="M132" s="499" t="str">
        <f>IFERROR(__xludf.DUMMYFUNCTION("if(L132="""", """", counta(filter(index(arrayformula(split(filter($K$16:$K$449, $K$16:$K$449&lt;&gt;""""), ""★"")&amp;""★""), 0, 1), index(arrayformula(split(filter($K$16:$K$449, $K$16:$K$449&lt;&gt;""""), ""★"")&amp;""★""), 0, 1)=L132)))"),"")</f>
        <v/>
      </c>
      <c r="O132" s="492" t="str">
        <f>IFERROR(__xludf.DUMMYFUNCTION("""COMPUTED_VALUE"""),"Skull Isle - Skull 3★ #944")</f>
        <v>Skull Isle - Skull 3★ #944</v>
      </c>
      <c r="P132" s="249">
        <f>IFERROR(__xludf.DUMMYFUNCTION("""COMPUTED_VALUE"""),10.0)</f>
        <v>10</v>
      </c>
      <c r="Q132" s="479">
        <f>IFERROR(__xludf.DUMMYFUNCTION("if(P132="""", """", P132/sum(filter($P$16:$P$949, $P$16:$P$949&lt;&gt;"""")))"),4.884720593982024E-4)</f>
        <v>0.0004884720594</v>
      </c>
    </row>
    <row r="133" ht="12.75" customHeight="1">
      <c r="G133" s="480" t="s">
        <v>1185</v>
      </c>
      <c r="H133" s="249">
        <v>10.0</v>
      </c>
      <c r="I133" s="479">
        <v>4.884720593982024E-4</v>
      </c>
      <c r="K133" s="249"/>
      <c r="L133" s="480"/>
      <c r="M133" s="499" t="str">
        <f>IFERROR(__xludf.DUMMYFUNCTION("if(L133="""", """", counta(filter(index(arrayformula(split(filter($K$16:$K$449, $K$16:$K$449&lt;&gt;""""), ""★"")&amp;""★""), 0, 1), index(arrayformula(split(filter($K$16:$K$449, $K$16:$K$449&lt;&gt;""""), ""★"")&amp;""★""), 0, 1)=L133)))"),"")</f>
        <v/>
      </c>
      <c r="O133" s="492" t="str">
        <f>IFERROR(__xludf.DUMMYFUNCTION("""COMPUTED_VALUE"""),"Skull Isle - Skull 3★ #3F9")</f>
        <v>Skull Isle - Skull 3★ #3F9</v>
      </c>
      <c r="P133" s="249">
        <f>IFERROR(__xludf.DUMMYFUNCTION("""COMPUTED_VALUE"""),10.0)</f>
        <v>10</v>
      </c>
      <c r="Q133" s="479">
        <f>IFERROR(__xludf.DUMMYFUNCTION("if(P133="""", """", P133/sum(filter($P$16:$P$949, $P$16:$P$949&lt;&gt;"""")))"),4.884720593982024E-4)</f>
        <v>0.0004884720594</v>
      </c>
    </row>
    <row r="134" ht="12.75" customHeight="1">
      <c r="G134" s="480" t="s">
        <v>1186</v>
      </c>
      <c r="H134" s="249">
        <v>10.0</v>
      </c>
      <c r="I134" s="479">
        <v>4.884720593982024E-4</v>
      </c>
      <c r="K134" s="249"/>
      <c r="L134" s="480"/>
      <c r="M134" s="499" t="str">
        <f>IFERROR(__xludf.DUMMYFUNCTION("if(L134="""", """", counta(filter(index(arrayformula(split(filter($K$16:$K$449, $K$16:$K$449&lt;&gt;""""), ""★"")&amp;""★""), 0, 1), index(arrayformula(split(filter($K$16:$K$449, $K$16:$K$449&lt;&gt;""""), ""★"")&amp;""★""), 0, 1)=L134)))"),"")</f>
        <v/>
      </c>
      <c r="O134" s="492" t="str">
        <f>IFERROR(__xludf.DUMMYFUNCTION("""COMPUTED_VALUE"""),"Skull Isle - Skull 3★ #EAE")</f>
        <v>Skull Isle - Skull 3★ #EAE</v>
      </c>
      <c r="P134" s="249">
        <f>IFERROR(__xludf.DUMMYFUNCTION("""COMPUTED_VALUE"""),10.0)</f>
        <v>10</v>
      </c>
      <c r="Q134" s="479">
        <f>IFERROR(__xludf.DUMMYFUNCTION("if(P134="""", """", P134/sum(filter($P$16:$P$949, $P$16:$P$949&lt;&gt;"""")))"),4.884720593982024E-4)</f>
        <v>0.0004884720594</v>
      </c>
    </row>
    <row r="135" ht="12.75" customHeight="1">
      <c r="G135" s="480" t="s">
        <v>1187</v>
      </c>
      <c r="H135" s="249">
        <v>10.0</v>
      </c>
      <c r="I135" s="479">
        <v>4.884720593982024E-4</v>
      </c>
      <c r="K135" s="249"/>
      <c r="L135" s="480"/>
      <c r="M135" s="499" t="str">
        <f>IFERROR(__xludf.DUMMYFUNCTION("if(L135="""", """", counta(filter(index(arrayformula(split(filter($K$16:$K$449, $K$16:$K$449&lt;&gt;""""), ""★"")&amp;""★""), 0, 1), index(arrayformula(split(filter($K$16:$K$449, $K$16:$K$449&lt;&gt;""""), ""★"")&amp;""★""), 0, 1)=L135)))"),"")</f>
        <v/>
      </c>
      <c r="O135" s="492" t="str">
        <f>IFERROR(__xludf.DUMMYFUNCTION("""COMPUTED_VALUE"""),"Skull Isle - Skull 3★ #963")</f>
        <v>Skull Isle - Skull 3★ #963</v>
      </c>
      <c r="P135" s="249">
        <f>IFERROR(__xludf.DUMMYFUNCTION("""COMPUTED_VALUE"""),10.0)</f>
        <v>10</v>
      </c>
      <c r="Q135" s="479">
        <f>IFERROR(__xludf.DUMMYFUNCTION("if(P135="""", """", P135/sum(filter($P$16:$P$949, $P$16:$P$949&lt;&gt;"""")))"),4.884720593982024E-4)</f>
        <v>0.0004884720594</v>
      </c>
    </row>
    <row r="136" ht="12.75" customHeight="1">
      <c r="G136" s="480" t="s">
        <v>1190</v>
      </c>
      <c r="H136" s="249">
        <v>10.0</v>
      </c>
      <c r="I136" s="479">
        <v>4.884720593982024E-4</v>
      </c>
      <c r="K136" s="249"/>
      <c r="L136" s="480"/>
      <c r="M136" s="499" t="str">
        <f>IFERROR(__xludf.DUMMYFUNCTION("if(L136="""", """", counta(filter(index(arrayformula(split(filter($K$16:$K$449, $K$16:$K$449&lt;&gt;""""), ""★"")&amp;""★""), 0, 1), index(arrayformula(split(filter($K$16:$K$449, $K$16:$K$449&lt;&gt;""""), ""★"")&amp;""★""), 0, 1)=L136)))"),"")</f>
        <v/>
      </c>
      <c r="O136" s="492" t="str">
        <f>IFERROR(__xludf.DUMMYFUNCTION("""COMPUTED_VALUE"""),"Skull Isle - Skull 3★ #418")</f>
        <v>Skull Isle - Skull 3★ #418</v>
      </c>
      <c r="P136" s="249">
        <f>IFERROR(__xludf.DUMMYFUNCTION("""COMPUTED_VALUE"""),10.0)</f>
        <v>10</v>
      </c>
      <c r="Q136" s="479">
        <f>IFERROR(__xludf.DUMMYFUNCTION("if(P136="""", """", P136/sum(filter($P$16:$P$949, $P$16:$P$949&lt;&gt;"""")))"),4.884720593982024E-4)</f>
        <v>0.0004884720594</v>
      </c>
    </row>
    <row r="137" ht="12.75" customHeight="1">
      <c r="G137" s="480" t="s">
        <v>1194</v>
      </c>
      <c r="H137" s="249">
        <v>50.0</v>
      </c>
      <c r="I137" s="479">
        <v>0.0024423602969910123</v>
      </c>
      <c r="K137" s="249"/>
      <c r="L137" s="480"/>
      <c r="M137" s="499" t="str">
        <f>IFERROR(__xludf.DUMMYFUNCTION("if(L137="""", """", counta(filter(index(arrayformula(split(filter($K$16:$K$449, $K$16:$K$449&lt;&gt;""""), ""★"")&amp;""★""), 0, 1), index(arrayformula(split(filter($K$16:$K$449, $K$16:$K$449&lt;&gt;""""), ""★"")&amp;""★""), 0, 1)=L137)))"),"")</f>
        <v/>
      </c>
      <c r="O137" s="492" t="str">
        <f>IFERROR(__xludf.DUMMYFUNCTION("""COMPUTED_VALUE"""),"Kraken Lair - Tentacle 1★ #ECD")</f>
        <v>Kraken Lair - Tentacle 1★ #ECD</v>
      </c>
      <c r="P137" s="249">
        <f>IFERROR(__xludf.DUMMYFUNCTION("""COMPUTED_VALUE"""),50.0)</f>
        <v>50</v>
      </c>
      <c r="Q137" s="479">
        <f>IFERROR(__xludf.DUMMYFUNCTION("if(P137="""", """", P137/sum(filter($P$16:$P$949, $P$16:$P$949&lt;&gt;"""")))"),0.0024423602969910123)</f>
        <v>0.002442360297</v>
      </c>
    </row>
    <row r="138" ht="12.75" customHeight="1">
      <c r="G138" s="480" t="s">
        <v>1199</v>
      </c>
      <c r="H138" s="249">
        <v>50.0</v>
      </c>
      <c r="I138" s="479">
        <v>0.0024423602969910123</v>
      </c>
      <c r="K138" s="249"/>
      <c r="L138" s="480"/>
      <c r="M138" s="499" t="str">
        <f>IFERROR(__xludf.DUMMYFUNCTION("if(L138="""", """", counta(filter(index(arrayformula(split(filter($K$16:$K$449, $K$16:$K$449&lt;&gt;""""), ""★"")&amp;""★""), 0, 1), index(arrayformula(split(filter($K$16:$K$449, $K$16:$K$449&lt;&gt;""""), ""★"")&amp;""★""), 0, 1)=L138)))"),"")</f>
        <v/>
      </c>
      <c r="O138" s="492" t="str">
        <f>IFERROR(__xludf.DUMMYFUNCTION("""COMPUTED_VALUE"""),"Kraken Lair - Tentacle 1★ #982")</f>
        <v>Kraken Lair - Tentacle 1★ #982</v>
      </c>
      <c r="P138" s="249">
        <f>IFERROR(__xludf.DUMMYFUNCTION("""COMPUTED_VALUE"""),50.0)</f>
        <v>50</v>
      </c>
      <c r="Q138" s="479">
        <f>IFERROR(__xludf.DUMMYFUNCTION("if(P138="""", """", P138/sum(filter($P$16:$P$949, $P$16:$P$949&lt;&gt;"""")))"),0.0024423602969910123)</f>
        <v>0.002442360297</v>
      </c>
    </row>
    <row r="139" ht="12.75" customHeight="1">
      <c r="G139" s="480" t="s">
        <v>1202</v>
      </c>
      <c r="H139" s="249">
        <v>50.0</v>
      </c>
      <c r="I139" s="479">
        <v>0.0024423602969910123</v>
      </c>
      <c r="K139" s="249"/>
      <c r="L139" s="480"/>
      <c r="M139" s="499" t="str">
        <f>IFERROR(__xludf.DUMMYFUNCTION("if(L139="""", """", counta(filter(index(arrayformula(split(filter($K$16:$K$449, $K$16:$K$449&lt;&gt;""""), ""★"")&amp;""★""), 0, 1), index(arrayformula(split(filter($K$16:$K$449, $K$16:$K$449&lt;&gt;""""), ""★"")&amp;""★""), 0, 1)=L139)))"),"")</f>
        <v/>
      </c>
      <c r="O139" s="492" t="str">
        <f>IFERROR(__xludf.DUMMYFUNCTION("""COMPUTED_VALUE"""),"Kraken Lair - Tentacle 1★ #437")</f>
        <v>Kraken Lair - Tentacle 1★ #437</v>
      </c>
      <c r="P139" s="249">
        <f>IFERROR(__xludf.DUMMYFUNCTION("""COMPUTED_VALUE"""),50.0)</f>
        <v>50</v>
      </c>
      <c r="Q139" s="479">
        <f>IFERROR(__xludf.DUMMYFUNCTION("if(P139="""", """", P139/sum(filter($P$16:$P$949, $P$16:$P$949&lt;&gt;"""")))"),0.0024423602969910123)</f>
        <v>0.002442360297</v>
      </c>
    </row>
    <row r="140" ht="12.75" customHeight="1">
      <c r="G140" s="480" t="s">
        <v>1212</v>
      </c>
      <c r="H140" s="249">
        <v>50.0</v>
      </c>
      <c r="I140" s="479">
        <v>0.0024423602969910123</v>
      </c>
      <c r="K140" s="249"/>
      <c r="L140" s="480"/>
      <c r="M140" s="499" t="str">
        <f>IFERROR(__xludf.DUMMYFUNCTION("if(L140="""", """", counta(filter(index(arrayformula(split(filter($K$16:$K$449, $K$16:$K$449&lt;&gt;""""), ""★"")&amp;""★""), 0, 1), index(arrayformula(split(filter($K$16:$K$449, $K$16:$K$449&lt;&gt;""""), ""★"")&amp;""★""), 0, 1)=L140)))"),"")</f>
        <v/>
      </c>
      <c r="O140" s="492" t="str">
        <f>IFERROR(__xludf.DUMMYFUNCTION("""COMPUTED_VALUE"""),"Kraken Lair - Tentacle 1★ #EEC")</f>
        <v>Kraken Lair - Tentacle 1★ #EEC</v>
      </c>
      <c r="P140" s="249">
        <f>IFERROR(__xludf.DUMMYFUNCTION("""COMPUTED_VALUE"""),50.0)</f>
        <v>50</v>
      </c>
      <c r="Q140" s="479">
        <f>IFERROR(__xludf.DUMMYFUNCTION("if(P140="""", """", P140/sum(filter($P$16:$P$949, $P$16:$P$949&lt;&gt;"""")))"),0.0024423602969910123)</f>
        <v>0.002442360297</v>
      </c>
    </row>
    <row r="141" ht="12.75" customHeight="1">
      <c r="G141" s="480" t="s">
        <v>1217</v>
      </c>
      <c r="H141" s="249">
        <v>50.0</v>
      </c>
      <c r="I141" s="479">
        <v>0.0024423602969910123</v>
      </c>
      <c r="K141" s="249"/>
      <c r="L141" s="480"/>
      <c r="M141" s="499" t="str">
        <f>IFERROR(__xludf.DUMMYFUNCTION("if(L141="""", """", counta(filter(index(arrayformula(split(filter($L$51:$L$449, $L$51:$L$449&lt;&gt;""""), ""★"")&amp;""★""), 0, 1), index(arrayformula(split(filter($L$51:$L$449, $L$51:$L$449&lt;&gt;""""), ""★"")&amp;""★""), 0, 1)=L141)))"),"")</f>
        <v/>
      </c>
      <c r="O141" s="492" t="str">
        <f>IFERROR(__xludf.DUMMYFUNCTION("""COMPUTED_VALUE"""),"Kraken Lair - Tentacle 1★ #9A1")</f>
        <v>Kraken Lair - Tentacle 1★ #9A1</v>
      </c>
      <c r="P141" s="249">
        <f>IFERROR(__xludf.DUMMYFUNCTION("""COMPUTED_VALUE"""),50.0)</f>
        <v>50</v>
      </c>
      <c r="Q141" s="479">
        <f>IFERROR(__xludf.DUMMYFUNCTION("if(P141="""", """", P141/sum(filter($P$16:$P$949, $P$16:$P$949&lt;&gt;"""")))"),0.0024423602969910123)</f>
        <v>0.002442360297</v>
      </c>
    </row>
    <row r="142" ht="12.75" customHeight="1">
      <c r="G142" s="480" t="s">
        <v>1218</v>
      </c>
      <c r="H142" s="249">
        <v>50.0</v>
      </c>
      <c r="I142" s="479">
        <v>0.0024423602969910123</v>
      </c>
      <c r="K142" s="249"/>
      <c r="L142" s="480"/>
      <c r="M142" s="499" t="str">
        <f>IFERROR(__xludf.DUMMYFUNCTION("if(L142="""", """", counta(filter(index(arrayformula(split(filter($L$51:$L$449, $L$51:$L$449&lt;&gt;""""), ""★"")&amp;""★""), 0, 1), index(arrayformula(split(filter($L$51:$L$449, $L$51:$L$449&lt;&gt;""""), ""★"")&amp;""★""), 0, 1)=L142)))"),"")</f>
        <v/>
      </c>
      <c r="O142" s="492" t="str">
        <f>IFERROR(__xludf.DUMMYFUNCTION("""COMPUTED_VALUE"""),"Kraken Lair - Tentacle 1★ #456")</f>
        <v>Kraken Lair - Tentacle 1★ #456</v>
      </c>
      <c r="P142" s="249">
        <f>IFERROR(__xludf.DUMMYFUNCTION("""COMPUTED_VALUE"""),50.0)</f>
        <v>50</v>
      </c>
      <c r="Q142" s="479">
        <f>IFERROR(__xludf.DUMMYFUNCTION("if(P142="""", """", P142/sum(filter($P$16:$P$949, $P$16:$P$949&lt;&gt;"""")))"),0.0024423602969910123)</f>
        <v>0.002442360297</v>
      </c>
    </row>
    <row r="143" ht="12.75" customHeight="1">
      <c r="G143" s="480" t="s">
        <v>1219</v>
      </c>
      <c r="H143" s="249">
        <v>50.0</v>
      </c>
      <c r="I143" s="479">
        <v>0.0024423602969910123</v>
      </c>
      <c r="K143" s="249"/>
      <c r="L143" s="480"/>
      <c r="M143" s="499" t="str">
        <f>IFERROR(__xludf.DUMMYFUNCTION("if(L143="""", """", counta(filter(index(arrayformula(split(filter($L$51:$L$449, $L$51:$L$449&lt;&gt;""""), ""★"")&amp;""★""), 0, 1), index(arrayformula(split(filter($L$51:$L$449, $L$51:$L$449&lt;&gt;""""), ""★"")&amp;""★""), 0, 1)=L143)))"),"")</f>
        <v/>
      </c>
      <c r="O143" s="492" t="str">
        <f>IFERROR(__xludf.DUMMYFUNCTION("""COMPUTED_VALUE"""),"Kraken Lair - Tentacle 1★ #F0B")</f>
        <v>Kraken Lair - Tentacle 1★ #F0B</v>
      </c>
      <c r="P143" s="249">
        <f>IFERROR(__xludf.DUMMYFUNCTION("""COMPUTED_VALUE"""),50.0)</f>
        <v>50</v>
      </c>
      <c r="Q143" s="479">
        <f>IFERROR(__xludf.DUMMYFUNCTION("if(P143="""", """", P143/sum(filter($P$16:$P$949, $P$16:$P$949&lt;&gt;"""")))"),0.0024423602969910123)</f>
        <v>0.002442360297</v>
      </c>
    </row>
    <row r="144" ht="12.75" customHeight="1">
      <c r="G144" s="480" t="s">
        <v>1220</v>
      </c>
      <c r="H144" s="249">
        <v>50.0</v>
      </c>
      <c r="I144" s="479">
        <v>0.0024423602969910123</v>
      </c>
      <c r="K144" s="249"/>
      <c r="L144" s="480"/>
      <c r="M144" s="499" t="str">
        <f>IFERROR(__xludf.DUMMYFUNCTION("if(L144="""", """", counta(filter(index(arrayformula(split(filter($L$51:$L$449, $L$51:$L$449&lt;&gt;""""), ""★"")&amp;""★""), 0, 1), index(arrayformula(split(filter($L$51:$L$449, $L$51:$L$449&lt;&gt;""""), ""★"")&amp;""★""), 0, 1)=L144)))"),"")</f>
        <v/>
      </c>
      <c r="O144" s="492" t="str">
        <f>IFERROR(__xludf.DUMMYFUNCTION("""COMPUTED_VALUE"""),"Kraken Lair - Tentacle 1★ #9C0")</f>
        <v>Kraken Lair - Tentacle 1★ #9C0</v>
      </c>
      <c r="P144" s="249">
        <f>IFERROR(__xludf.DUMMYFUNCTION("""COMPUTED_VALUE"""),50.0)</f>
        <v>50</v>
      </c>
      <c r="Q144" s="479">
        <f>IFERROR(__xludf.DUMMYFUNCTION("if(P144="""", """", P144/sum(filter($P$16:$P$949, $P$16:$P$949&lt;&gt;"""")))"),0.0024423602969910123)</f>
        <v>0.002442360297</v>
      </c>
    </row>
    <row r="145" ht="12.75" customHeight="1">
      <c r="G145" s="480" t="s">
        <v>1221</v>
      </c>
      <c r="H145" s="249">
        <v>50.0</v>
      </c>
      <c r="I145" s="479">
        <v>0.0024423602969910123</v>
      </c>
      <c r="K145" s="249"/>
      <c r="L145" s="480"/>
      <c r="M145" s="499" t="str">
        <f>IFERROR(__xludf.DUMMYFUNCTION("if(L145="""", """", counta(filter(index(arrayformula(split(filter($L$51:$L$449, $L$51:$L$449&lt;&gt;""""), ""★"")&amp;""★""), 0, 1), index(arrayformula(split(filter($L$51:$L$449, $L$51:$L$449&lt;&gt;""""), ""★"")&amp;""★""), 0, 1)=L145)))"),"")</f>
        <v/>
      </c>
      <c r="O145" s="492" t="str">
        <f>IFERROR(__xludf.DUMMYFUNCTION("""COMPUTED_VALUE"""),"Kraken Lair - Tentacle 1★ #475")</f>
        <v>Kraken Lair - Tentacle 1★ #475</v>
      </c>
      <c r="P145" s="249">
        <f>IFERROR(__xludf.DUMMYFUNCTION("""COMPUTED_VALUE"""),50.0)</f>
        <v>50</v>
      </c>
      <c r="Q145" s="479">
        <f>IFERROR(__xludf.DUMMYFUNCTION("if(P145="""", """", P145/sum(filter($P$16:$P$949, $P$16:$P$949&lt;&gt;"""")))"),0.0024423602969910123)</f>
        <v>0.002442360297</v>
      </c>
    </row>
    <row r="146" ht="12.75" customHeight="1">
      <c r="G146" s="480" t="s">
        <v>1222</v>
      </c>
      <c r="H146" s="249">
        <v>50.0</v>
      </c>
      <c r="I146" s="479">
        <v>0.0024423602969910123</v>
      </c>
      <c r="K146" s="249"/>
      <c r="L146" s="480"/>
      <c r="M146" s="499" t="str">
        <f>IFERROR(__xludf.DUMMYFUNCTION("if(L146="""", """", counta(filter(index(arrayformula(split(filter($L$51:$L$449, $L$51:$L$449&lt;&gt;""""), ""★"")&amp;""★""), 0, 1), index(arrayformula(split(filter($L$51:$L$449, $L$51:$L$449&lt;&gt;""""), ""★"")&amp;""★""), 0, 1)=L146)))"),"")</f>
        <v/>
      </c>
      <c r="O146" s="492" t="str">
        <f>IFERROR(__xludf.DUMMYFUNCTION("""COMPUTED_VALUE"""),"Kraken Lair - Tentacle 1★ #F2A")</f>
        <v>Kraken Lair - Tentacle 1★ #F2A</v>
      </c>
      <c r="P146" s="249">
        <f>IFERROR(__xludf.DUMMYFUNCTION("""COMPUTED_VALUE"""),50.0)</f>
        <v>50</v>
      </c>
      <c r="Q146" s="479">
        <f>IFERROR(__xludf.DUMMYFUNCTION("if(P146="""", """", P146/sum(filter($P$16:$P$949, $P$16:$P$949&lt;&gt;"""")))"),0.0024423602969910123)</f>
        <v>0.002442360297</v>
      </c>
    </row>
    <row r="147" ht="12.75" customHeight="1">
      <c r="G147" s="480" t="s">
        <v>1223</v>
      </c>
      <c r="H147" s="249">
        <v>50.0</v>
      </c>
      <c r="I147" s="479">
        <v>0.0024423602969910123</v>
      </c>
      <c r="K147" s="249"/>
      <c r="L147" s="480"/>
      <c r="M147" s="499" t="str">
        <f>IFERROR(__xludf.DUMMYFUNCTION("if(L147="""", """", counta(filter(index(arrayformula(split(filter($L$51:$L$449, $L$51:$L$449&lt;&gt;""""), ""★"")&amp;""★""), 0, 1), index(arrayformula(split(filter($L$51:$L$449, $L$51:$L$449&lt;&gt;""""), ""★"")&amp;""★""), 0, 1)=L147)))"),"")</f>
        <v/>
      </c>
      <c r="O147" s="492" t="str">
        <f>IFERROR(__xludf.DUMMYFUNCTION("""COMPUTED_VALUE"""),"Kraken Lair - Tentacle 1★ #9DF")</f>
        <v>Kraken Lair - Tentacle 1★ #9DF</v>
      </c>
      <c r="P147" s="249">
        <f>IFERROR(__xludf.DUMMYFUNCTION("""COMPUTED_VALUE"""),50.0)</f>
        <v>50</v>
      </c>
      <c r="Q147" s="479">
        <f>IFERROR(__xludf.DUMMYFUNCTION("if(P147="""", """", P147/sum(filter($P$16:$P$949, $P$16:$P$949&lt;&gt;"""")))"),0.0024423602969910123)</f>
        <v>0.002442360297</v>
      </c>
    </row>
    <row r="148" ht="12.75" customHeight="1">
      <c r="G148" s="480" t="s">
        <v>1224</v>
      </c>
      <c r="H148" s="249">
        <v>50.0</v>
      </c>
      <c r="I148" s="479">
        <v>0.0024423602969910123</v>
      </c>
      <c r="K148" s="249"/>
      <c r="L148" s="480"/>
      <c r="M148" s="499" t="str">
        <f>IFERROR(__xludf.DUMMYFUNCTION("if(L148="""", """", counta(filter(index(arrayformula(split(filter($L$51:$L$449, $L$51:$L$449&lt;&gt;""""), ""★"")&amp;""★""), 0, 1), index(arrayformula(split(filter($L$51:$L$449, $L$51:$L$449&lt;&gt;""""), ""★"")&amp;""★""), 0, 1)=L148)))"),"")</f>
        <v/>
      </c>
      <c r="O148" s="492" t="str">
        <f>IFERROR(__xludf.DUMMYFUNCTION("""COMPUTED_VALUE"""),"Kraken Lair - Tentacle 1★ #494")</f>
        <v>Kraken Lair - Tentacle 1★ #494</v>
      </c>
      <c r="P148" s="249">
        <f>IFERROR(__xludf.DUMMYFUNCTION("""COMPUTED_VALUE"""),50.0)</f>
        <v>50</v>
      </c>
      <c r="Q148" s="479">
        <f>IFERROR(__xludf.DUMMYFUNCTION("if(P148="""", """", P148/sum(filter($P$16:$P$949, $P$16:$P$949&lt;&gt;"""")))"),0.0024423602969910123)</f>
        <v>0.002442360297</v>
      </c>
    </row>
    <row r="149" ht="12.75" customHeight="1">
      <c r="G149" s="480" t="s">
        <v>1225</v>
      </c>
      <c r="H149" s="249">
        <v>50.0</v>
      </c>
      <c r="I149" s="479">
        <v>0.0024423602969910123</v>
      </c>
      <c r="K149" s="249"/>
      <c r="L149" s="480"/>
      <c r="M149" s="499" t="str">
        <f>IFERROR(__xludf.DUMMYFUNCTION("if(L149="""", """", counta(filter(index(arrayformula(split(filter($L$51:$L$449, $L$51:$L$449&lt;&gt;""""), ""★"")&amp;""★""), 0, 1), index(arrayformula(split(filter($L$51:$L$449, $L$51:$L$449&lt;&gt;""""), ""★"")&amp;""★""), 0, 1)=L149)))"),"")</f>
        <v/>
      </c>
      <c r="O149" s="492" t="str">
        <f>IFERROR(__xludf.DUMMYFUNCTION("""COMPUTED_VALUE"""),"Kraken Lair - Tentacle 1★ #F49")</f>
        <v>Kraken Lair - Tentacle 1★ #F49</v>
      </c>
      <c r="P149" s="249">
        <f>IFERROR(__xludf.DUMMYFUNCTION("""COMPUTED_VALUE"""),50.0)</f>
        <v>50</v>
      </c>
      <c r="Q149" s="479">
        <f>IFERROR(__xludf.DUMMYFUNCTION("if(P149="""", """", P149/sum(filter($P$16:$P$949, $P$16:$P$949&lt;&gt;"""")))"),0.0024423602969910123)</f>
        <v>0.002442360297</v>
      </c>
    </row>
    <row r="150" ht="12.75" customHeight="1">
      <c r="G150" s="480" t="s">
        <v>1226</v>
      </c>
      <c r="H150" s="249">
        <v>50.0</v>
      </c>
      <c r="I150" s="479">
        <v>0.0024423602969910123</v>
      </c>
      <c r="K150" s="249"/>
      <c r="L150" s="480"/>
      <c r="M150" s="499" t="str">
        <f>IFERROR(__xludf.DUMMYFUNCTION("if(L150="""", """", counta(filter(index(arrayformula(split(filter($L$51:$L$449, $L$51:$L$449&lt;&gt;""""), ""★"")&amp;""★""), 0, 1), index(arrayformula(split(filter($L$51:$L$449, $L$51:$L$449&lt;&gt;""""), ""★"")&amp;""★""), 0, 1)=L150)))"),"")</f>
        <v/>
      </c>
      <c r="O150" s="492" t="str">
        <f>IFERROR(__xludf.DUMMYFUNCTION("""COMPUTED_VALUE"""),"Kraken Lair - Tentacle 1★ #9FE")</f>
        <v>Kraken Lair - Tentacle 1★ #9FE</v>
      </c>
      <c r="P150" s="249">
        <f>IFERROR(__xludf.DUMMYFUNCTION("""COMPUTED_VALUE"""),50.0)</f>
        <v>50</v>
      </c>
      <c r="Q150" s="479">
        <f>IFERROR(__xludf.DUMMYFUNCTION("if(P150="""", """", P150/sum(filter($P$16:$P$949, $P$16:$P$949&lt;&gt;"""")))"),0.0024423602969910123)</f>
        <v>0.002442360297</v>
      </c>
    </row>
    <row r="151" ht="12.75" customHeight="1">
      <c r="G151" s="480" t="s">
        <v>1227</v>
      </c>
      <c r="H151" s="249">
        <v>50.0</v>
      </c>
      <c r="I151" s="479">
        <v>0.0024423602969910123</v>
      </c>
      <c r="K151" s="249"/>
      <c r="L151" s="480"/>
      <c r="M151" s="499" t="str">
        <f>IFERROR(__xludf.DUMMYFUNCTION("if(L151="""", """", counta(filter(index(arrayformula(split(filter($L$51:$L$449, $L$51:$L$449&lt;&gt;""""), ""★"")&amp;""★""), 0, 1), index(arrayformula(split(filter($L$51:$L$449, $L$51:$L$449&lt;&gt;""""), ""★"")&amp;""★""), 0, 1)=L151)))"),"")</f>
        <v/>
      </c>
      <c r="O151" s="492" t="str">
        <f>IFERROR(__xludf.DUMMYFUNCTION("""COMPUTED_VALUE"""),"Kraken Lair - Ink Cloud 1★ #4B3")</f>
        <v>Kraken Lair - Ink Cloud 1★ #4B3</v>
      </c>
      <c r="P151" s="249">
        <f>IFERROR(__xludf.DUMMYFUNCTION("""COMPUTED_VALUE"""),50.0)</f>
        <v>50</v>
      </c>
      <c r="Q151" s="479">
        <f>IFERROR(__xludf.DUMMYFUNCTION("if(P151="""", """", P151/sum(filter($P$16:$P$949, $P$16:$P$949&lt;&gt;"""")))"),0.0024423602969910123)</f>
        <v>0.002442360297</v>
      </c>
    </row>
    <row r="152" ht="12.75" customHeight="1">
      <c r="G152" s="480" t="s">
        <v>1228</v>
      </c>
      <c r="H152" s="249">
        <v>50.0</v>
      </c>
      <c r="I152" s="479">
        <v>0.0024423602969910123</v>
      </c>
      <c r="K152" s="249"/>
      <c r="L152" s="480"/>
      <c r="M152" s="481"/>
      <c r="O152" s="492" t="str">
        <f>IFERROR(__xludf.DUMMYFUNCTION("""COMPUTED_VALUE"""),"Kraken Lair - Ink Cloud 1★ #F68")</f>
        <v>Kraken Lair - Ink Cloud 1★ #F68</v>
      </c>
      <c r="P152" s="249">
        <f>IFERROR(__xludf.DUMMYFUNCTION("""COMPUTED_VALUE"""),50.0)</f>
        <v>50</v>
      </c>
      <c r="Q152" s="479">
        <f>IFERROR(__xludf.DUMMYFUNCTION("if(P152="""", """", P152/sum(filter($P$16:$P$949, $P$16:$P$949&lt;&gt;"""")))"),0.0024423602969910123)</f>
        <v>0.002442360297</v>
      </c>
    </row>
    <row r="153" ht="12.75" customHeight="1">
      <c r="G153" s="480" t="s">
        <v>1229</v>
      </c>
      <c r="H153" s="249">
        <v>50.0</v>
      </c>
      <c r="I153" s="479">
        <v>0.0024423602969910123</v>
      </c>
      <c r="K153" s="249"/>
      <c r="L153" s="480"/>
      <c r="M153" s="481"/>
      <c r="O153" s="492" t="str">
        <f>IFERROR(__xludf.DUMMYFUNCTION("""COMPUTED_VALUE"""),"Kraken Lair - Ink Cloud 1★ #A1D")</f>
        <v>Kraken Lair - Ink Cloud 1★ #A1D</v>
      </c>
      <c r="P153" s="249">
        <f>IFERROR(__xludf.DUMMYFUNCTION("""COMPUTED_VALUE"""),50.0)</f>
        <v>50</v>
      </c>
      <c r="Q153" s="479">
        <f>IFERROR(__xludf.DUMMYFUNCTION("if(P153="""", """", P153/sum(filter($P$16:$P$949, $P$16:$P$949&lt;&gt;"""")))"),0.0024423602969910123)</f>
        <v>0.002442360297</v>
      </c>
    </row>
    <row r="154" ht="12.75" customHeight="1">
      <c r="G154" s="480" t="s">
        <v>1230</v>
      </c>
      <c r="H154" s="249">
        <v>50.0</v>
      </c>
      <c r="I154" s="479">
        <v>0.0024423602969910123</v>
      </c>
      <c r="K154" s="249"/>
      <c r="L154" s="480"/>
      <c r="M154" s="481"/>
      <c r="O154" s="492" t="str">
        <f>IFERROR(__xludf.DUMMYFUNCTION("""COMPUTED_VALUE"""),"Kraken Lair - Ink Cloud 1★ #4D2")</f>
        <v>Kraken Lair - Ink Cloud 1★ #4D2</v>
      </c>
      <c r="P154" s="249">
        <f>IFERROR(__xludf.DUMMYFUNCTION("""COMPUTED_VALUE"""),50.0)</f>
        <v>50</v>
      </c>
      <c r="Q154" s="479">
        <f>IFERROR(__xludf.DUMMYFUNCTION("if(P154="""", """", P154/sum(filter($P$16:$P$949, $P$16:$P$949&lt;&gt;"""")))"),0.0024423602969910123)</f>
        <v>0.002442360297</v>
      </c>
    </row>
    <row r="155" ht="12.75" customHeight="1">
      <c r="G155" s="480" t="s">
        <v>1231</v>
      </c>
      <c r="H155" s="249">
        <v>50.0</v>
      </c>
      <c r="I155" s="479">
        <v>0.0024423602969910123</v>
      </c>
      <c r="K155" s="249"/>
      <c r="L155" s="480"/>
      <c r="M155" s="481"/>
      <c r="O155" s="492" t="str">
        <f>IFERROR(__xludf.DUMMYFUNCTION("""COMPUTED_VALUE"""),"Kraken Lair - Ink Cloud 1★ #F87")</f>
        <v>Kraken Lair - Ink Cloud 1★ #F87</v>
      </c>
      <c r="P155" s="249">
        <f>IFERROR(__xludf.DUMMYFUNCTION("""COMPUTED_VALUE"""),50.0)</f>
        <v>50</v>
      </c>
      <c r="Q155" s="479">
        <f>IFERROR(__xludf.DUMMYFUNCTION("if(P155="""", """", P155/sum(filter($P$16:$P$949, $P$16:$P$949&lt;&gt;"""")))"),0.0024423602969910123)</f>
        <v>0.002442360297</v>
      </c>
    </row>
    <row r="156" ht="12.75" customHeight="1">
      <c r="G156" s="480" t="s">
        <v>1232</v>
      </c>
      <c r="H156" s="249">
        <v>50.0</v>
      </c>
      <c r="I156" s="479">
        <v>0.0024423602969910123</v>
      </c>
      <c r="K156" s="249"/>
      <c r="L156" s="480"/>
      <c r="M156" s="481"/>
      <c r="O156" s="492" t="str">
        <f>IFERROR(__xludf.DUMMYFUNCTION("""COMPUTED_VALUE"""),"Kraken Lair - Ink Cloud 1★ #A3C")</f>
        <v>Kraken Lair - Ink Cloud 1★ #A3C</v>
      </c>
      <c r="P156" s="249">
        <f>IFERROR(__xludf.DUMMYFUNCTION("""COMPUTED_VALUE"""),50.0)</f>
        <v>50</v>
      </c>
      <c r="Q156" s="479">
        <f>IFERROR(__xludf.DUMMYFUNCTION("if(P156="""", """", P156/sum(filter($P$16:$P$949, $P$16:$P$949&lt;&gt;"""")))"),0.0024423602969910123)</f>
        <v>0.002442360297</v>
      </c>
    </row>
    <row r="157" ht="12.75" customHeight="1">
      <c r="G157" s="480" t="s">
        <v>1233</v>
      </c>
      <c r="H157" s="249">
        <v>50.0</v>
      </c>
      <c r="I157" s="479">
        <v>0.0024423602969910123</v>
      </c>
      <c r="K157" s="249"/>
      <c r="L157" s="480"/>
      <c r="M157" s="481"/>
      <c r="O157" s="492" t="str">
        <f>IFERROR(__xludf.DUMMYFUNCTION("""COMPUTED_VALUE"""),"Kraken Lair - Ink Cloud 1★ #4F1")</f>
        <v>Kraken Lair - Ink Cloud 1★ #4F1</v>
      </c>
      <c r="P157" s="249">
        <f>IFERROR(__xludf.DUMMYFUNCTION("""COMPUTED_VALUE"""),50.0)</f>
        <v>50</v>
      </c>
      <c r="Q157" s="479">
        <f>IFERROR(__xludf.DUMMYFUNCTION("if(P157="""", """", P157/sum(filter($P$16:$P$949, $P$16:$P$949&lt;&gt;"""")))"),0.0024423602969910123)</f>
        <v>0.002442360297</v>
      </c>
    </row>
    <row r="158" ht="12.75" customHeight="1">
      <c r="G158" s="480" t="s">
        <v>1234</v>
      </c>
      <c r="H158" s="249">
        <v>50.0</v>
      </c>
      <c r="I158" s="479">
        <v>0.0024423602969910123</v>
      </c>
      <c r="K158" s="249"/>
      <c r="L158" s="480"/>
      <c r="M158" s="481"/>
      <c r="O158" s="492" t="str">
        <f>IFERROR(__xludf.DUMMYFUNCTION("""COMPUTED_VALUE"""),"Kraken Lair - Ink Cloud 1★ #FA6")</f>
        <v>Kraken Lair - Ink Cloud 1★ #FA6</v>
      </c>
      <c r="P158" s="249">
        <f>IFERROR(__xludf.DUMMYFUNCTION("""COMPUTED_VALUE"""),50.0)</f>
        <v>50</v>
      </c>
      <c r="Q158" s="479">
        <f>IFERROR(__xludf.DUMMYFUNCTION("if(P158="""", """", P158/sum(filter($P$16:$P$949, $P$16:$P$949&lt;&gt;"""")))"),0.0024423602969910123)</f>
        <v>0.002442360297</v>
      </c>
    </row>
    <row r="159" ht="12.75" customHeight="1">
      <c r="G159" s="480" t="s">
        <v>1235</v>
      </c>
      <c r="H159" s="249">
        <v>50.0</v>
      </c>
      <c r="I159" s="479">
        <v>0.0024423602969910123</v>
      </c>
      <c r="K159" s="249"/>
      <c r="L159" s="480"/>
      <c r="M159" s="481"/>
      <c r="O159" s="492" t="str">
        <f>IFERROR(__xludf.DUMMYFUNCTION("""COMPUTED_VALUE"""),"Kraken Lair - Ink Cloud 1★ #A5B")</f>
        <v>Kraken Lair - Ink Cloud 1★ #A5B</v>
      </c>
      <c r="P159" s="249">
        <f>IFERROR(__xludf.DUMMYFUNCTION("""COMPUTED_VALUE"""),50.0)</f>
        <v>50</v>
      </c>
      <c r="Q159" s="479">
        <f>IFERROR(__xludf.DUMMYFUNCTION("if(P159="""", """", P159/sum(filter($P$16:$P$949, $P$16:$P$949&lt;&gt;"""")))"),0.0024423602969910123)</f>
        <v>0.002442360297</v>
      </c>
    </row>
    <row r="160" ht="12.75" customHeight="1">
      <c r="G160" s="480" t="s">
        <v>1236</v>
      </c>
      <c r="H160" s="249">
        <v>50.0</v>
      </c>
      <c r="I160" s="479">
        <v>0.0024423602969910123</v>
      </c>
      <c r="K160" s="249"/>
      <c r="L160" s="480"/>
      <c r="M160" s="481"/>
      <c r="O160" s="492" t="str">
        <f>IFERROR(__xludf.DUMMYFUNCTION("""COMPUTED_VALUE"""),"Kraken Lair - Ink Cloud 1★ #510")</f>
        <v>Kraken Lair - Ink Cloud 1★ #510</v>
      </c>
      <c r="P160" s="249">
        <f>IFERROR(__xludf.DUMMYFUNCTION("""COMPUTED_VALUE"""),50.0)</f>
        <v>50</v>
      </c>
      <c r="Q160" s="479">
        <f>IFERROR(__xludf.DUMMYFUNCTION("if(P160="""", """", P160/sum(filter($P$16:$P$949, $P$16:$P$949&lt;&gt;"""")))"),0.0024423602969910123)</f>
        <v>0.002442360297</v>
      </c>
    </row>
    <row r="161" ht="12.75" customHeight="1">
      <c r="G161" s="480" t="s">
        <v>1237</v>
      </c>
      <c r="H161" s="249">
        <v>50.0</v>
      </c>
      <c r="I161" s="479">
        <v>0.0024423602969910123</v>
      </c>
      <c r="K161" s="249"/>
      <c r="L161" s="480"/>
      <c r="M161" s="481"/>
      <c r="O161" s="492" t="str">
        <f>IFERROR(__xludf.DUMMYFUNCTION("""COMPUTED_VALUE"""),"Kraken Lair - Ink Cloud 1★ #FC5")</f>
        <v>Kraken Lair - Ink Cloud 1★ #FC5</v>
      </c>
      <c r="P161" s="249">
        <f>IFERROR(__xludf.DUMMYFUNCTION("""COMPUTED_VALUE"""),50.0)</f>
        <v>50</v>
      </c>
      <c r="Q161" s="481"/>
    </row>
    <row r="162" ht="12.75" customHeight="1">
      <c r="G162" s="480" t="s">
        <v>1238</v>
      </c>
      <c r="H162" s="249">
        <v>50.0</v>
      </c>
      <c r="I162" s="479">
        <v>0.0024423602969910123</v>
      </c>
      <c r="K162" s="249"/>
      <c r="L162" s="480"/>
      <c r="M162" s="481"/>
      <c r="O162" s="492" t="str">
        <f>IFERROR(__xludf.DUMMYFUNCTION("""COMPUTED_VALUE"""),"Kraken Lair - Ink Cloud 1★ #A7A")</f>
        <v>Kraken Lair - Ink Cloud 1★ #A7A</v>
      </c>
      <c r="P162" s="249">
        <f>IFERROR(__xludf.DUMMYFUNCTION("""COMPUTED_VALUE"""),50.0)</f>
        <v>50</v>
      </c>
      <c r="Q162" s="481"/>
    </row>
    <row r="163" ht="12.75" customHeight="1">
      <c r="G163" s="480" t="s">
        <v>1239</v>
      </c>
      <c r="H163" s="249">
        <v>50.0</v>
      </c>
      <c r="I163" s="479">
        <v>0.0024423602969910123</v>
      </c>
      <c r="K163" s="249"/>
      <c r="L163" s="480"/>
      <c r="M163" s="481"/>
      <c r="O163" s="492" t="str">
        <f>IFERROR(__xludf.DUMMYFUNCTION("""COMPUTED_VALUE"""),"Kraken Lair - Ink Cloud 1★ #52F")</f>
        <v>Kraken Lair - Ink Cloud 1★ #52F</v>
      </c>
      <c r="P163" s="249">
        <f>IFERROR(__xludf.DUMMYFUNCTION("""COMPUTED_VALUE"""),50.0)</f>
        <v>50</v>
      </c>
      <c r="Q163" s="481"/>
    </row>
    <row r="164" ht="12.75" customHeight="1">
      <c r="G164" s="480" t="s">
        <v>1240</v>
      </c>
      <c r="H164" s="249">
        <v>50.0</v>
      </c>
      <c r="I164" s="479">
        <v>0.0024423602969910123</v>
      </c>
      <c r="K164" s="249"/>
      <c r="L164" s="480"/>
      <c r="M164" s="481"/>
      <c r="O164" s="492" t="str">
        <f>IFERROR(__xludf.DUMMYFUNCTION("""COMPUTED_VALUE"""),"Kraken Lair - Ink Cloud 1★ #FE4")</f>
        <v>Kraken Lair - Ink Cloud 1★ #FE4</v>
      </c>
      <c r="P164" s="249">
        <f>IFERROR(__xludf.DUMMYFUNCTION("""COMPUTED_VALUE"""),50.0)</f>
        <v>50</v>
      </c>
      <c r="Q164" s="481"/>
    </row>
    <row r="165" ht="12.75" customHeight="1">
      <c r="G165" s="480" t="s">
        <v>1241</v>
      </c>
      <c r="H165" s="249">
        <v>50.0</v>
      </c>
      <c r="I165" s="479">
        <v>0.0024423602969910123</v>
      </c>
      <c r="K165" s="249"/>
      <c r="L165" s="480"/>
      <c r="M165" s="481"/>
      <c r="O165" s="492" t="str">
        <f>IFERROR(__xludf.DUMMYFUNCTION("""COMPUTED_VALUE"""),"Kraken Lair - Pearl 1★ #A99")</f>
        <v>Kraken Lair - Pearl 1★ #A99</v>
      </c>
      <c r="P165" s="249">
        <f>IFERROR(__xludf.DUMMYFUNCTION("""COMPUTED_VALUE"""),50.0)</f>
        <v>50</v>
      </c>
      <c r="Q165" s="481"/>
    </row>
    <row r="166" ht="12.75" customHeight="1">
      <c r="G166" s="480" t="s">
        <v>1242</v>
      </c>
      <c r="H166" s="249">
        <v>50.0</v>
      </c>
      <c r="I166" s="479">
        <v>0.0024423602969910123</v>
      </c>
      <c r="K166" s="249"/>
      <c r="L166" s="480"/>
      <c r="M166" s="481"/>
      <c r="O166" s="492" t="str">
        <f>IFERROR(__xludf.DUMMYFUNCTION("""COMPUTED_VALUE"""),"Kraken Lair - Pearl 1★ #54E")</f>
        <v>Kraken Lair - Pearl 1★ #54E</v>
      </c>
      <c r="P166" s="249">
        <f>IFERROR(__xludf.DUMMYFUNCTION("""COMPUTED_VALUE"""),50.0)</f>
        <v>50</v>
      </c>
      <c r="Q166" s="481"/>
    </row>
    <row r="167" ht="12.75" customHeight="1">
      <c r="G167" s="480" t="s">
        <v>1243</v>
      </c>
      <c r="H167" s="249">
        <v>50.0</v>
      </c>
      <c r="I167" s="479">
        <v>0.0024423602969910123</v>
      </c>
      <c r="K167" s="249"/>
      <c r="L167" s="480"/>
      <c r="M167" s="481"/>
      <c r="O167" s="492" t="str">
        <f>IFERROR(__xludf.DUMMYFUNCTION("""COMPUTED_VALUE"""),"Kraken Lair - Pearl 1★ #003")</f>
        <v>Kraken Lair - Pearl 1★ #003</v>
      </c>
      <c r="P167" s="249">
        <f>IFERROR(__xludf.DUMMYFUNCTION("""COMPUTED_VALUE"""),50.0)</f>
        <v>50</v>
      </c>
      <c r="Q167" s="481"/>
    </row>
    <row r="168" ht="12.75" customHeight="1">
      <c r="G168" s="480" t="s">
        <v>1244</v>
      </c>
      <c r="H168" s="249">
        <v>50.0</v>
      </c>
      <c r="I168" s="479">
        <v>0.0024423602969910123</v>
      </c>
      <c r="K168" s="249"/>
      <c r="L168" s="480"/>
      <c r="M168" s="481"/>
      <c r="O168" s="492" t="str">
        <f>IFERROR(__xludf.DUMMYFUNCTION("""COMPUTED_VALUE"""),"Kraken Lair - Pearl 1★ #AB8")</f>
        <v>Kraken Lair - Pearl 1★ #AB8</v>
      </c>
      <c r="P168" s="249">
        <f>IFERROR(__xludf.DUMMYFUNCTION("""COMPUTED_VALUE"""),50.0)</f>
        <v>50</v>
      </c>
      <c r="Q168" s="481"/>
    </row>
    <row r="169" ht="12.75" customHeight="1">
      <c r="G169" s="480" t="s">
        <v>1245</v>
      </c>
      <c r="H169" s="249">
        <v>50.0</v>
      </c>
      <c r="I169" s="479">
        <v>0.0024423602969910123</v>
      </c>
      <c r="K169" s="249"/>
      <c r="L169" s="480"/>
      <c r="M169" s="481"/>
      <c r="O169" s="492" t="str">
        <f>IFERROR(__xludf.DUMMYFUNCTION("""COMPUTED_VALUE"""),"Kraken Lair - Pearl 1★ #56D")</f>
        <v>Kraken Lair - Pearl 1★ #56D</v>
      </c>
      <c r="P169" s="249">
        <f>IFERROR(__xludf.DUMMYFUNCTION("""COMPUTED_VALUE"""),50.0)</f>
        <v>50</v>
      </c>
      <c r="Q169" s="481"/>
    </row>
    <row r="170" ht="12.75" customHeight="1">
      <c r="G170" s="480" t="s">
        <v>1246</v>
      </c>
      <c r="H170" s="249">
        <v>50.0</v>
      </c>
      <c r="I170" s="479">
        <v>0.0024423602969910123</v>
      </c>
      <c r="K170" s="249"/>
      <c r="L170" s="480"/>
      <c r="M170" s="481"/>
      <c r="O170" s="492" t="str">
        <f>IFERROR(__xludf.DUMMYFUNCTION("""COMPUTED_VALUE"""),"Kraken Lair - Pearl 1★ #022")</f>
        <v>Kraken Lair - Pearl 1★ #022</v>
      </c>
      <c r="P170" s="249">
        <f>IFERROR(__xludf.DUMMYFUNCTION("""COMPUTED_VALUE"""),50.0)</f>
        <v>50</v>
      </c>
      <c r="Q170" s="481"/>
    </row>
    <row r="171" ht="12.75" customHeight="1">
      <c r="G171" s="480" t="s">
        <v>1247</v>
      </c>
      <c r="H171" s="249">
        <v>50.0</v>
      </c>
      <c r="I171" s="479">
        <v>0.0024423602969910123</v>
      </c>
      <c r="K171" s="249"/>
      <c r="L171" s="480"/>
      <c r="M171" s="481"/>
      <c r="O171" s="492" t="str">
        <f>IFERROR(__xludf.DUMMYFUNCTION("""COMPUTED_VALUE"""),"Kraken Lair - Pearl 1★ #AD7")</f>
        <v>Kraken Lair - Pearl 1★ #AD7</v>
      </c>
      <c r="P171" s="249">
        <f>IFERROR(__xludf.DUMMYFUNCTION("""COMPUTED_VALUE"""),50.0)</f>
        <v>50</v>
      </c>
      <c r="Q171" s="481"/>
    </row>
    <row r="172" ht="12.75" customHeight="1">
      <c r="G172" s="480" t="s">
        <v>1248</v>
      </c>
      <c r="H172" s="249">
        <v>50.0</v>
      </c>
      <c r="I172" s="479">
        <v>0.0024423602969910123</v>
      </c>
      <c r="K172" s="249"/>
      <c r="L172" s="480"/>
      <c r="M172" s="481"/>
      <c r="O172" s="492" t="str">
        <f>IFERROR(__xludf.DUMMYFUNCTION("""COMPUTED_VALUE"""),"Kraken Lair - Pearl 1★ #58C")</f>
        <v>Kraken Lair - Pearl 1★ #58C</v>
      </c>
      <c r="P172" s="249">
        <f>IFERROR(__xludf.DUMMYFUNCTION("""COMPUTED_VALUE"""),50.0)</f>
        <v>50</v>
      </c>
      <c r="Q172" s="481"/>
    </row>
    <row r="173" ht="12.75" customHeight="1">
      <c r="G173" s="480" t="s">
        <v>1249</v>
      </c>
      <c r="H173" s="249">
        <v>50.0</v>
      </c>
      <c r="I173" s="479">
        <v>0.0024423602969910123</v>
      </c>
      <c r="K173" s="249"/>
      <c r="L173" s="480"/>
      <c r="M173" s="481"/>
      <c r="O173" s="492" t="str">
        <f>IFERROR(__xludf.DUMMYFUNCTION("""COMPUTED_VALUE"""),"Kraken Lair - Pearl 1★ #041")</f>
        <v>Kraken Lair - Pearl 1★ #041</v>
      </c>
      <c r="P173" s="249">
        <f>IFERROR(__xludf.DUMMYFUNCTION("""COMPUTED_VALUE"""),50.0)</f>
        <v>50</v>
      </c>
      <c r="Q173" s="481"/>
    </row>
    <row r="174" ht="12.75" customHeight="1">
      <c r="G174" s="480" t="s">
        <v>1250</v>
      </c>
      <c r="H174" s="249">
        <v>50.0</v>
      </c>
      <c r="I174" s="479">
        <v>0.0024423602969910123</v>
      </c>
      <c r="K174" s="249"/>
      <c r="L174" s="480"/>
      <c r="M174" s="481"/>
      <c r="O174" s="492" t="str">
        <f>IFERROR(__xludf.DUMMYFUNCTION("""COMPUTED_VALUE"""),"Kraken Lair - Pearl 1★ #AF6")</f>
        <v>Kraken Lair - Pearl 1★ #AF6</v>
      </c>
      <c r="P174" s="249">
        <f>IFERROR(__xludf.DUMMYFUNCTION("""COMPUTED_VALUE"""),50.0)</f>
        <v>50</v>
      </c>
      <c r="Q174" s="481"/>
    </row>
    <row r="175" ht="12.75" customHeight="1">
      <c r="G175" s="480" t="s">
        <v>1251</v>
      </c>
      <c r="H175" s="249">
        <v>50.0</v>
      </c>
      <c r="I175" s="479">
        <v>0.0024423602969910123</v>
      </c>
      <c r="K175" s="249"/>
      <c r="L175" s="480"/>
      <c r="M175" s="481"/>
      <c r="O175" s="492" t="str">
        <f>IFERROR(__xludf.DUMMYFUNCTION("""COMPUTED_VALUE"""),"Kraken Lair - Pearl 1★ #5AB")</f>
        <v>Kraken Lair - Pearl 1★ #5AB</v>
      </c>
      <c r="P175" s="249">
        <f>IFERROR(__xludf.DUMMYFUNCTION("""COMPUTED_VALUE"""),50.0)</f>
        <v>50</v>
      </c>
      <c r="Q175" s="481"/>
    </row>
    <row r="176" ht="12.75" customHeight="1">
      <c r="G176" s="480" t="s">
        <v>1252</v>
      </c>
      <c r="H176" s="249">
        <v>50.0</v>
      </c>
      <c r="I176" s="479">
        <v>0.0024423602969910123</v>
      </c>
      <c r="K176" s="249"/>
      <c r="L176" s="480"/>
      <c r="M176" s="481"/>
      <c r="O176" s="492" t="str">
        <f>IFERROR(__xludf.DUMMYFUNCTION("""COMPUTED_VALUE"""),"Kraken Lair - Pearl 1★ #060")</f>
        <v>Kraken Lair - Pearl 1★ #060</v>
      </c>
      <c r="P176" s="249">
        <f>IFERROR(__xludf.DUMMYFUNCTION("""COMPUTED_VALUE"""),50.0)</f>
        <v>50</v>
      </c>
      <c r="Q176" s="481"/>
    </row>
    <row r="177" ht="12.75" customHeight="1">
      <c r="G177" s="480" t="s">
        <v>1253</v>
      </c>
      <c r="H177" s="249">
        <v>50.0</v>
      </c>
      <c r="I177" s="479">
        <v>0.0024423602969910123</v>
      </c>
      <c r="K177" s="249"/>
      <c r="L177" s="480"/>
      <c r="M177" s="481"/>
      <c r="O177" s="492" t="str">
        <f>IFERROR(__xludf.DUMMYFUNCTION("""COMPUTED_VALUE"""),"Kraken Lair - Pearl 1★ #B15")</f>
        <v>Kraken Lair - Pearl 1★ #B15</v>
      </c>
      <c r="P177" s="249">
        <f>IFERROR(__xludf.DUMMYFUNCTION("""COMPUTED_VALUE"""),50.0)</f>
        <v>50</v>
      </c>
      <c r="Q177" s="481"/>
    </row>
    <row r="178" ht="12.75" customHeight="1">
      <c r="G178" s="480" t="s">
        <v>1254</v>
      </c>
      <c r="H178" s="249">
        <v>50.0</v>
      </c>
      <c r="I178" s="479">
        <v>0.0024423602969910123</v>
      </c>
      <c r="K178" s="249"/>
      <c r="L178" s="480"/>
      <c r="M178" s="481"/>
      <c r="O178" s="492" t="str">
        <f>IFERROR(__xludf.DUMMYFUNCTION("""COMPUTED_VALUE"""),"Kraken Lair - Pearl 1★ #5CA")</f>
        <v>Kraken Lair - Pearl 1★ #5CA</v>
      </c>
      <c r="P178" s="249">
        <f>IFERROR(__xludf.DUMMYFUNCTION("""COMPUTED_VALUE"""),50.0)</f>
        <v>50</v>
      </c>
      <c r="Q178" s="481"/>
    </row>
    <row r="179" ht="12.75" customHeight="1">
      <c r="G179" s="480" t="s">
        <v>1255</v>
      </c>
      <c r="H179" s="249">
        <v>50.0</v>
      </c>
      <c r="I179" s="479">
        <v>0.0024423602969910123</v>
      </c>
      <c r="K179" s="249"/>
      <c r="L179" s="480"/>
      <c r="M179" s="481"/>
      <c r="O179" s="492" t="str">
        <f>IFERROR(__xludf.DUMMYFUNCTION("""COMPUTED_VALUE"""),"Kraken Lair - Trident 1★ #07F")</f>
        <v>Kraken Lair - Trident 1★ #07F</v>
      </c>
      <c r="P179" s="249">
        <f>IFERROR(__xludf.DUMMYFUNCTION("""COMPUTED_VALUE"""),50.0)</f>
        <v>50</v>
      </c>
      <c r="Q179" s="481"/>
    </row>
    <row r="180" ht="12.75" customHeight="1">
      <c r="G180" s="480" t="s">
        <v>1256</v>
      </c>
      <c r="H180" s="249">
        <v>50.0</v>
      </c>
      <c r="I180" s="479">
        <v>0.0024423602969910123</v>
      </c>
      <c r="K180" s="249"/>
      <c r="L180" s="480"/>
      <c r="M180" s="481"/>
      <c r="O180" s="492" t="str">
        <f>IFERROR(__xludf.DUMMYFUNCTION("""COMPUTED_VALUE"""),"Kraken Lair - Trident 1★ #B34")</f>
        <v>Kraken Lair - Trident 1★ #B34</v>
      </c>
      <c r="P180" s="249">
        <f>IFERROR(__xludf.DUMMYFUNCTION("""COMPUTED_VALUE"""),50.0)</f>
        <v>50</v>
      </c>
      <c r="Q180" s="481"/>
    </row>
    <row r="181" ht="12.75" customHeight="1">
      <c r="G181" s="480" t="s">
        <v>1257</v>
      </c>
      <c r="H181" s="249">
        <v>50.0</v>
      </c>
      <c r="I181" s="479">
        <v>0.0024423602969910123</v>
      </c>
      <c r="K181" s="249"/>
      <c r="L181" s="480"/>
      <c r="M181" s="481"/>
      <c r="O181" s="492" t="str">
        <f>IFERROR(__xludf.DUMMYFUNCTION("""COMPUTED_VALUE"""),"Kraken Lair - Trident 1★ #5E9")</f>
        <v>Kraken Lair - Trident 1★ #5E9</v>
      </c>
      <c r="P181" s="249">
        <f>IFERROR(__xludf.DUMMYFUNCTION("""COMPUTED_VALUE"""),50.0)</f>
        <v>50</v>
      </c>
      <c r="Q181" s="481"/>
    </row>
    <row r="182" ht="12.75" customHeight="1">
      <c r="G182" s="480" t="s">
        <v>1258</v>
      </c>
      <c r="H182" s="249">
        <v>50.0</v>
      </c>
      <c r="I182" s="479">
        <v>0.0024423602969910123</v>
      </c>
      <c r="K182" s="249"/>
      <c r="L182" s="480"/>
      <c r="M182" s="481"/>
      <c r="O182" s="492" t="str">
        <f>IFERROR(__xludf.DUMMYFUNCTION("""COMPUTED_VALUE"""),"Kraken Lair - Trident 1★ #09E")</f>
        <v>Kraken Lair - Trident 1★ #09E</v>
      </c>
      <c r="P182" s="249">
        <f>IFERROR(__xludf.DUMMYFUNCTION("""COMPUTED_VALUE"""),50.0)</f>
        <v>50</v>
      </c>
      <c r="Q182" s="481"/>
    </row>
    <row r="183" ht="12.75" customHeight="1">
      <c r="G183" s="480" t="s">
        <v>1259</v>
      </c>
      <c r="H183" s="249">
        <v>50.0</v>
      </c>
      <c r="I183" s="479">
        <v>0.0024423602969910123</v>
      </c>
      <c r="K183" s="249"/>
      <c r="L183" s="480"/>
      <c r="M183" s="481"/>
      <c r="O183" s="492" t="str">
        <f>IFERROR(__xludf.DUMMYFUNCTION("""COMPUTED_VALUE"""),"Kraken Lair - Trident 1★ #B53")</f>
        <v>Kraken Lair - Trident 1★ #B53</v>
      </c>
      <c r="P183" s="249">
        <f>IFERROR(__xludf.DUMMYFUNCTION("""COMPUTED_VALUE"""),50.0)</f>
        <v>50</v>
      </c>
      <c r="Q183" s="481"/>
    </row>
    <row r="184" ht="12.75" customHeight="1">
      <c r="G184" s="480" t="s">
        <v>1260</v>
      </c>
      <c r="H184" s="249">
        <v>50.0</v>
      </c>
      <c r="I184" s="479">
        <v>0.0024423602969910123</v>
      </c>
      <c r="K184" s="249"/>
      <c r="L184" s="480"/>
      <c r="M184" s="481"/>
      <c r="O184" s="492" t="str">
        <f>IFERROR(__xludf.DUMMYFUNCTION("""COMPUTED_VALUE"""),"Kraken Lair - Trident 1★ #608")</f>
        <v>Kraken Lair - Trident 1★ #608</v>
      </c>
      <c r="P184" s="249">
        <f>IFERROR(__xludf.DUMMYFUNCTION("""COMPUTED_VALUE"""),50.0)</f>
        <v>50</v>
      </c>
      <c r="Q184" s="481"/>
    </row>
    <row r="185" ht="12.75" customHeight="1">
      <c r="G185" s="480" t="s">
        <v>1261</v>
      </c>
      <c r="H185" s="249">
        <v>50.0</v>
      </c>
      <c r="I185" s="479">
        <v>0.0024423602969910123</v>
      </c>
      <c r="K185" s="249"/>
      <c r="L185" s="480"/>
      <c r="M185" s="481"/>
      <c r="O185" s="492" t="str">
        <f>IFERROR(__xludf.DUMMYFUNCTION("""COMPUTED_VALUE"""),"Kraken Lair - Trident 1★ #0BD")</f>
        <v>Kraken Lair - Trident 1★ #0BD</v>
      </c>
      <c r="P185" s="249">
        <f>IFERROR(__xludf.DUMMYFUNCTION("""COMPUTED_VALUE"""),50.0)</f>
        <v>50</v>
      </c>
      <c r="Q185" s="481"/>
    </row>
    <row r="186" ht="12.75" customHeight="1">
      <c r="G186" s="480" t="s">
        <v>1262</v>
      </c>
      <c r="H186" s="249">
        <v>50.0</v>
      </c>
      <c r="I186" s="479">
        <v>0.0024423602969910123</v>
      </c>
      <c r="K186" s="249"/>
      <c r="L186" s="480"/>
      <c r="M186" s="481"/>
      <c r="O186" s="492" t="str">
        <f>IFERROR(__xludf.DUMMYFUNCTION("""COMPUTED_VALUE"""),"Kraken Lair - Trident 1★ #B72")</f>
        <v>Kraken Lair - Trident 1★ #B72</v>
      </c>
      <c r="P186" s="249">
        <f>IFERROR(__xludf.DUMMYFUNCTION("""COMPUTED_VALUE"""),50.0)</f>
        <v>50</v>
      </c>
      <c r="Q186" s="481"/>
    </row>
    <row r="187" ht="12.75" customHeight="1">
      <c r="G187" s="480" t="s">
        <v>1263</v>
      </c>
      <c r="H187" s="249">
        <v>50.0</v>
      </c>
      <c r="I187" s="479">
        <v>0.0024423602969910123</v>
      </c>
      <c r="K187" s="249"/>
      <c r="L187" s="480"/>
      <c r="M187" s="481"/>
      <c r="O187" s="492" t="str">
        <f>IFERROR(__xludf.DUMMYFUNCTION("""COMPUTED_VALUE"""),"Kraken Lair - Trident 1★ #627")</f>
        <v>Kraken Lair - Trident 1★ #627</v>
      </c>
      <c r="P187" s="249">
        <f>IFERROR(__xludf.DUMMYFUNCTION("""COMPUTED_VALUE"""),50.0)</f>
        <v>50</v>
      </c>
      <c r="Q187" s="481"/>
    </row>
    <row r="188" ht="12.75" customHeight="1">
      <c r="B188" s="250" t="str">
        <f>IFERROR(__xludf.DUMMYFUNCTION("iferror(filter(#REF!, #REF!=#REF!, #REF!=#REF!), """")"),"")</f>
        <v/>
      </c>
      <c r="G188" s="480" t="s">
        <v>1264</v>
      </c>
      <c r="H188" s="249">
        <v>50.0</v>
      </c>
      <c r="I188" s="479">
        <v>0.0024423602969910123</v>
      </c>
      <c r="K188" s="249"/>
      <c r="L188" s="480"/>
      <c r="M188" s="481"/>
      <c r="O188" s="492" t="str">
        <f>IFERROR(__xludf.DUMMYFUNCTION("""COMPUTED_VALUE"""),"Kraken Lair - Trident 1★ #0DC")</f>
        <v>Kraken Lair - Trident 1★ #0DC</v>
      </c>
      <c r="P188" s="249">
        <f>IFERROR(__xludf.DUMMYFUNCTION("""COMPUTED_VALUE"""),50.0)</f>
        <v>50</v>
      </c>
      <c r="Q188" s="481"/>
    </row>
    <row r="189" ht="12.75" customHeight="1">
      <c r="G189" s="480" t="s">
        <v>1265</v>
      </c>
      <c r="H189" s="249">
        <v>50.0</v>
      </c>
      <c r="I189" s="479">
        <v>0.0024423602969910123</v>
      </c>
      <c r="K189" s="249"/>
      <c r="L189" s="480"/>
      <c r="M189" s="481"/>
      <c r="O189" s="492" t="str">
        <f>IFERROR(__xludf.DUMMYFUNCTION("""COMPUTED_VALUE"""),"Kraken Lair - Trident 1★ #B91")</f>
        <v>Kraken Lair - Trident 1★ #B91</v>
      </c>
      <c r="P189" s="249">
        <f>IFERROR(__xludf.DUMMYFUNCTION("""COMPUTED_VALUE"""),50.0)</f>
        <v>50</v>
      </c>
      <c r="Q189" s="481"/>
    </row>
    <row r="190" ht="12.75" customHeight="1">
      <c r="G190" s="480" t="s">
        <v>1268</v>
      </c>
      <c r="H190" s="249">
        <v>50.0</v>
      </c>
      <c r="I190" s="479">
        <v>0.0024423602969910123</v>
      </c>
      <c r="K190" s="249"/>
      <c r="L190" s="480"/>
      <c r="M190" s="481"/>
      <c r="O190" s="492" t="str">
        <f>IFERROR(__xludf.DUMMYFUNCTION("""COMPUTED_VALUE"""),"Kraken Lair - Trident 1★ #646")</f>
        <v>Kraken Lair - Trident 1★ #646</v>
      </c>
      <c r="P190" s="249">
        <f>IFERROR(__xludf.DUMMYFUNCTION("""COMPUTED_VALUE"""),50.0)</f>
        <v>50</v>
      </c>
      <c r="Q190" s="481"/>
    </row>
    <row r="191" ht="12.75" customHeight="1">
      <c r="G191" s="480" t="s">
        <v>1272</v>
      </c>
      <c r="H191" s="249">
        <v>50.0</v>
      </c>
      <c r="I191" s="479">
        <v>0.0024423602969910123</v>
      </c>
      <c r="K191" s="249"/>
      <c r="L191" s="480"/>
      <c r="M191" s="481"/>
      <c r="O191" s="492" t="str">
        <f>IFERROR(__xludf.DUMMYFUNCTION("""COMPUTED_VALUE"""),"Kraken Lair - Trident 1★ #0FB")</f>
        <v>Kraken Lair - Trident 1★ #0FB</v>
      </c>
      <c r="P191" s="249">
        <f>IFERROR(__xludf.DUMMYFUNCTION("""COMPUTED_VALUE"""),50.0)</f>
        <v>50</v>
      </c>
      <c r="Q191" s="481"/>
    </row>
    <row r="192" ht="12.75" customHeight="1">
      <c r="G192" s="480" t="s">
        <v>1273</v>
      </c>
      <c r="H192" s="249">
        <v>50.0</v>
      </c>
      <c r="I192" s="479">
        <v>0.0024423602969910123</v>
      </c>
      <c r="K192" s="249"/>
      <c r="L192" s="480"/>
      <c r="M192" s="481"/>
      <c r="O192" s="492" t="str">
        <f>IFERROR(__xludf.DUMMYFUNCTION("""COMPUTED_VALUE"""),"Kraken Lair - Trident 1★ #BB0")</f>
        <v>Kraken Lair - Trident 1★ #BB0</v>
      </c>
      <c r="P192" s="249">
        <f>IFERROR(__xludf.DUMMYFUNCTION("""COMPUTED_VALUE"""),50.0)</f>
        <v>50</v>
      </c>
      <c r="Q192" s="481"/>
    </row>
    <row r="193" ht="12.75" customHeight="1">
      <c r="G193" s="480" t="s">
        <v>1276</v>
      </c>
      <c r="H193" s="249">
        <v>20.0</v>
      </c>
      <c r="I193" s="479">
        <v>9.769441187964048E-4</v>
      </c>
      <c r="K193" s="249"/>
      <c r="L193" s="480"/>
      <c r="M193" s="481"/>
      <c r="O193" s="492" t="str">
        <f>IFERROR(__xludf.DUMMYFUNCTION("""COMPUTED_VALUE"""),"Kraken Lair - Shell 2★ #665")</f>
        <v>Kraken Lair - Shell 2★ #665</v>
      </c>
      <c r="P193" s="249">
        <f>IFERROR(__xludf.DUMMYFUNCTION("""COMPUTED_VALUE"""),20.0)</f>
        <v>20</v>
      </c>
      <c r="Q193" s="481"/>
    </row>
    <row r="194" ht="12.75" customHeight="1">
      <c r="G194" s="480" t="s">
        <v>1277</v>
      </c>
      <c r="H194" s="249">
        <v>20.0</v>
      </c>
      <c r="I194" s="479">
        <v>9.769441187964048E-4</v>
      </c>
      <c r="K194" s="249"/>
      <c r="L194" s="480"/>
      <c r="M194" s="481"/>
      <c r="O194" s="492" t="str">
        <f>IFERROR(__xludf.DUMMYFUNCTION("""COMPUTED_VALUE"""),"Kraken Lair - Shell 2★ #11A")</f>
        <v>Kraken Lair - Shell 2★ #11A</v>
      </c>
      <c r="P194" s="249">
        <f>IFERROR(__xludf.DUMMYFUNCTION("""COMPUTED_VALUE"""),20.0)</f>
        <v>20</v>
      </c>
      <c r="Q194" s="481"/>
    </row>
    <row r="195" ht="12.75" customHeight="1">
      <c r="G195" s="480" t="s">
        <v>1278</v>
      </c>
      <c r="H195" s="249">
        <v>20.0</v>
      </c>
      <c r="I195" s="479">
        <v>9.769441187964048E-4</v>
      </c>
      <c r="K195" s="249"/>
      <c r="L195" s="480"/>
      <c r="M195" s="481"/>
      <c r="O195" s="492" t="str">
        <f>IFERROR(__xludf.DUMMYFUNCTION("""COMPUTED_VALUE"""),"Kraken Lair - Shell 2★ #BCF")</f>
        <v>Kraken Lair - Shell 2★ #BCF</v>
      </c>
      <c r="P195" s="249">
        <f>IFERROR(__xludf.DUMMYFUNCTION("""COMPUTED_VALUE"""),20.0)</f>
        <v>20</v>
      </c>
      <c r="Q195" s="481"/>
    </row>
    <row r="196" ht="12.75" customHeight="1">
      <c r="G196" s="480" t="s">
        <v>1279</v>
      </c>
      <c r="H196" s="249">
        <v>20.0</v>
      </c>
      <c r="I196" s="479">
        <v>9.769441187964048E-4</v>
      </c>
      <c r="K196" s="249"/>
      <c r="L196" s="480"/>
      <c r="M196" s="481"/>
      <c r="O196" s="492" t="str">
        <f>IFERROR(__xludf.DUMMYFUNCTION("""COMPUTED_VALUE"""),"Kraken Lair - Shell 2★ #684")</f>
        <v>Kraken Lair - Shell 2★ #684</v>
      </c>
      <c r="P196" s="249">
        <f>IFERROR(__xludf.DUMMYFUNCTION("""COMPUTED_VALUE"""),20.0)</f>
        <v>20</v>
      </c>
      <c r="Q196" s="481"/>
    </row>
    <row r="197" ht="12.75" customHeight="1">
      <c r="G197" s="480" t="s">
        <v>1280</v>
      </c>
      <c r="H197" s="249">
        <v>20.0</v>
      </c>
      <c r="I197" s="479">
        <v>9.769441187964048E-4</v>
      </c>
      <c r="K197" s="249"/>
      <c r="L197" s="480"/>
      <c r="M197" s="481"/>
      <c r="O197" s="492" t="str">
        <f>IFERROR(__xludf.DUMMYFUNCTION("""COMPUTED_VALUE"""),"Kraken Lair - Shell 2★ #139")</f>
        <v>Kraken Lair - Shell 2★ #139</v>
      </c>
      <c r="P197" s="249">
        <f>IFERROR(__xludf.DUMMYFUNCTION("""COMPUTED_VALUE"""),20.0)</f>
        <v>20</v>
      </c>
      <c r="Q197" s="481"/>
    </row>
    <row r="198" ht="12.75" customHeight="1">
      <c r="G198" s="480" t="s">
        <v>1287</v>
      </c>
      <c r="H198" s="249">
        <v>20.0</v>
      </c>
      <c r="I198" s="479">
        <v>9.769441187964048E-4</v>
      </c>
      <c r="K198" s="249"/>
      <c r="L198" s="480"/>
      <c r="M198" s="481"/>
      <c r="O198" s="492" t="str">
        <f>IFERROR(__xludf.DUMMYFUNCTION("""COMPUTED_VALUE"""),"Kraken Lair - Shell 2★ #BEE")</f>
        <v>Kraken Lair - Shell 2★ #BEE</v>
      </c>
      <c r="P198" s="249">
        <f>IFERROR(__xludf.DUMMYFUNCTION("""COMPUTED_VALUE"""),20.0)</f>
        <v>20</v>
      </c>
      <c r="Q198" s="481"/>
    </row>
    <row r="199" ht="12.75" customHeight="1">
      <c r="G199" s="480" t="s">
        <v>1291</v>
      </c>
      <c r="H199" s="249">
        <v>20.0</v>
      </c>
      <c r="I199" s="479">
        <v>9.769441187964048E-4</v>
      </c>
      <c r="K199" s="249"/>
      <c r="L199" s="480"/>
      <c r="M199" s="481"/>
      <c r="O199" s="492" t="str">
        <f>IFERROR(__xludf.DUMMYFUNCTION("""COMPUTED_VALUE"""),"Kraken Lair - Shell 2★ #6A3")</f>
        <v>Kraken Lair - Shell 2★ #6A3</v>
      </c>
      <c r="P199" s="249">
        <f>IFERROR(__xludf.DUMMYFUNCTION("""COMPUTED_VALUE"""),20.0)</f>
        <v>20</v>
      </c>
      <c r="Q199" s="481"/>
    </row>
    <row r="200" ht="12.75" customHeight="1">
      <c r="G200" s="480" t="s">
        <v>1297</v>
      </c>
      <c r="H200" s="249">
        <v>20.0</v>
      </c>
      <c r="I200" s="479">
        <v>9.769441187964048E-4</v>
      </c>
      <c r="K200" s="249"/>
      <c r="L200" s="480"/>
      <c r="M200" s="481"/>
      <c r="O200" s="492" t="str">
        <f>IFERROR(__xludf.DUMMYFUNCTION("""COMPUTED_VALUE"""),"Kraken Lair - Shell 2★ #158")</f>
        <v>Kraken Lair - Shell 2★ #158</v>
      </c>
      <c r="P200" s="249">
        <f>IFERROR(__xludf.DUMMYFUNCTION("""COMPUTED_VALUE"""),20.0)</f>
        <v>20</v>
      </c>
      <c r="Q200" s="481"/>
    </row>
    <row r="201" ht="12.75" customHeight="1">
      <c r="G201" s="480" t="s">
        <v>1303</v>
      </c>
      <c r="H201" s="249">
        <v>20.0</v>
      </c>
      <c r="I201" s="479">
        <v>9.769441187964048E-4</v>
      </c>
      <c r="K201" s="249"/>
      <c r="L201" s="480"/>
      <c r="M201" s="481"/>
      <c r="O201" s="492" t="str">
        <f>IFERROR(__xludf.DUMMYFUNCTION("""COMPUTED_VALUE"""),"Kraken Lair - Shell 2★ #C0D")</f>
        <v>Kraken Lair - Shell 2★ #C0D</v>
      </c>
      <c r="P201" s="249">
        <f>IFERROR(__xludf.DUMMYFUNCTION("""COMPUTED_VALUE"""),20.0)</f>
        <v>20</v>
      </c>
      <c r="Q201" s="481"/>
    </row>
    <row r="202" ht="12.75" customHeight="1">
      <c r="G202" s="480" t="s">
        <v>1308</v>
      </c>
      <c r="H202" s="249">
        <v>20.0</v>
      </c>
      <c r="I202" s="479">
        <v>9.769441187964048E-4</v>
      </c>
      <c r="K202" s="249"/>
      <c r="L202" s="480"/>
      <c r="M202" s="481"/>
      <c r="O202" s="492" t="str">
        <f>IFERROR(__xludf.DUMMYFUNCTION("""COMPUTED_VALUE"""),"Kraken Lair - Shell 2★ #6C2")</f>
        <v>Kraken Lair - Shell 2★ #6C2</v>
      </c>
      <c r="P202" s="249">
        <f>IFERROR(__xludf.DUMMYFUNCTION("""COMPUTED_VALUE"""),20.0)</f>
        <v>20</v>
      </c>
      <c r="Q202" s="481"/>
    </row>
    <row r="203" ht="12.75" customHeight="1">
      <c r="G203" s="480" t="s">
        <v>1311</v>
      </c>
      <c r="H203" s="249">
        <v>20.0</v>
      </c>
      <c r="I203" s="479">
        <v>9.769441187964048E-4</v>
      </c>
      <c r="K203" s="249"/>
      <c r="L203" s="480"/>
      <c r="M203" s="481"/>
      <c r="O203" s="492" t="str">
        <f>IFERROR(__xludf.DUMMYFUNCTION("""COMPUTED_VALUE"""),"Kraken Lair - Shell 2★ #177")</f>
        <v>Kraken Lair - Shell 2★ #177</v>
      </c>
      <c r="P203" s="249">
        <f>IFERROR(__xludf.DUMMYFUNCTION("""COMPUTED_VALUE"""),20.0)</f>
        <v>20</v>
      </c>
      <c r="Q203" s="481"/>
    </row>
    <row r="204" ht="12.75" customHeight="1">
      <c r="G204" s="480" t="s">
        <v>1315</v>
      </c>
      <c r="H204" s="249">
        <v>20.0</v>
      </c>
      <c r="I204" s="479">
        <v>9.769441187964048E-4</v>
      </c>
      <c r="K204" s="249"/>
      <c r="L204" s="480"/>
      <c r="M204" s="481"/>
      <c r="O204" s="492" t="str">
        <f>IFERROR(__xludf.DUMMYFUNCTION("""COMPUTED_VALUE"""),"Kraken Lair - Shell 2★ #C2C")</f>
        <v>Kraken Lair - Shell 2★ #C2C</v>
      </c>
      <c r="P204" s="249">
        <f>IFERROR(__xludf.DUMMYFUNCTION("""COMPUTED_VALUE"""),20.0)</f>
        <v>20</v>
      </c>
      <c r="Q204" s="481"/>
    </row>
    <row r="205" ht="12.75" customHeight="1">
      <c r="G205" s="480" t="s">
        <v>1316</v>
      </c>
      <c r="H205" s="249">
        <v>20.0</v>
      </c>
      <c r="I205" s="479">
        <v>9.769441187964048E-4</v>
      </c>
      <c r="K205" s="249"/>
      <c r="L205" s="480"/>
      <c r="M205" s="481"/>
      <c r="O205" s="492" t="str">
        <f>IFERROR(__xludf.DUMMYFUNCTION("""COMPUTED_VALUE"""),"Kraken Lair - Shell 2★ #6E1")</f>
        <v>Kraken Lair - Shell 2★ #6E1</v>
      </c>
      <c r="P205" s="249">
        <f>IFERROR(__xludf.DUMMYFUNCTION("""COMPUTED_VALUE"""),20.0)</f>
        <v>20</v>
      </c>
      <c r="Q205" s="481"/>
    </row>
    <row r="206" ht="12.75" customHeight="1">
      <c r="G206" s="480" t="s">
        <v>1317</v>
      </c>
      <c r="H206" s="249">
        <v>20.0</v>
      </c>
      <c r="I206" s="479">
        <v>9.769441187964048E-4</v>
      </c>
      <c r="K206" s="249"/>
      <c r="L206" s="480"/>
      <c r="M206" s="481"/>
      <c r="O206" s="492" t="str">
        <f>IFERROR(__xludf.DUMMYFUNCTION("""COMPUTED_VALUE"""),"Kraken Lair - Coral 2★ #196")</f>
        <v>Kraken Lair - Coral 2★ #196</v>
      </c>
      <c r="P206" s="249">
        <f>IFERROR(__xludf.DUMMYFUNCTION("""COMPUTED_VALUE"""),20.0)</f>
        <v>20</v>
      </c>
      <c r="Q206" s="481"/>
    </row>
    <row r="207" ht="12.75" customHeight="1">
      <c r="G207" s="480" t="s">
        <v>1323</v>
      </c>
      <c r="H207" s="249">
        <v>20.0</v>
      </c>
      <c r="I207" s="479">
        <v>9.769441187964048E-4</v>
      </c>
      <c r="K207" s="249"/>
      <c r="L207" s="480"/>
      <c r="M207" s="481"/>
      <c r="O207" s="492" t="str">
        <f>IFERROR(__xludf.DUMMYFUNCTION("""COMPUTED_VALUE"""),"Kraken Lair - Coral 2★ #C4B")</f>
        <v>Kraken Lair - Coral 2★ #C4B</v>
      </c>
      <c r="P207" s="249">
        <f>IFERROR(__xludf.DUMMYFUNCTION("""COMPUTED_VALUE"""),20.0)</f>
        <v>20</v>
      </c>
      <c r="Q207" s="481"/>
    </row>
    <row r="208" ht="12.75" customHeight="1">
      <c r="G208" s="480" t="s">
        <v>1328</v>
      </c>
      <c r="H208" s="249">
        <v>20.0</v>
      </c>
      <c r="I208" s="479">
        <v>9.769441187964048E-4</v>
      </c>
      <c r="K208" s="249"/>
      <c r="L208" s="480"/>
      <c r="M208" s="481"/>
      <c r="O208" s="492" t="str">
        <f>IFERROR(__xludf.DUMMYFUNCTION("""COMPUTED_VALUE"""),"Kraken Lair - Coral 2★ #700")</f>
        <v>Kraken Lair - Coral 2★ #700</v>
      </c>
      <c r="P208" s="249">
        <f>IFERROR(__xludf.DUMMYFUNCTION("""COMPUTED_VALUE"""),20.0)</f>
        <v>20</v>
      </c>
      <c r="Q208" s="481"/>
    </row>
    <row r="209" ht="12.75" customHeight="1">
      <c r="G209" s="480" t="s">
        <v>1334</v>
      </c>
      <c r="H209" s="249">
        <v>20.0</v>
      </c>
      <c r="I209" s="479">
        <v>9.769441187964048E-4</v>
      </c>
      <c r="K209" s="249"/>
      <c r="L209" s="480"/>
      <c r="M209" s="481"/>
      <c r="O209" s="492" t="str">
        <f>IFERROR(__xludf.DUMMYFUNCTION("""COMPUTED_VALUE"""),"Kraken Lair - Coral 2★ #1B5")</f>
        <v>Kraken Lair - Coral 2★ #1B5</v>
      </c>
      <c r="P209" s="249">
        <f>IFERROR(__xludf.DUMMYFUNCTION("""COMPUTED_VALUE"""),20.0)</f>
        <v>20</v>
      </c>
      <c r="Q209" s="481"/>
    </row>
    <row r="210" ht="12.75" customHeight="1">
      <c r="G210" s="480" t="s">
        <v>1336</v>
      </c>
      <c r="H210" s="249">
        <v>20.0</v>
      </c>
      <c r="I210" s="479">
        <v>9.769441187964048E-4</v>
      </c>
      <c r="K210" s="249"/>
      <c r="L210" s="480"/>
      <c r="M210" s="481"/>
      <c r="O210" s="492" t="str">
        <f>IFERROR(__xludf.DUMMYFUNCTION("""COMPUTED_VALUE"""),"Kraken Lair - Coral 2★ #C6A")</f>
        <v>Kraken Lair - Coral 2★ #C6A</v>
      </c>
      <c r="P210" s="249">
        <f>IFERROR(__xludf.DUMMYFUNCTION("""COMPUTED_VALUE"""),20.0)</f>
        <v>20</v>
      </c>
      <c r="Q210" s="481"/>
    </row>
    <row r="211" ht="12.75" customHeight="1">
      <c r="G211" s="480" t="s">
        <v>1337</v>
      </c>
      <c r="H211" s="249">
        <v>20.0</v>
      </c>
      <c r="I211" s="479">
        <v>9.769441187964048E-4</v>
      </c>
      <c r="K211" s="249"/>
      <c r="L211" s="480"/>
      <c r="M211" s="481"/>
      <c r="O211" s="492" t="str">
        <f>IFERROR(__xludf.DUMMYFUNCTION("""COMPUTED_VALUE"""),"Kraken Lair - Coral 2★ #71F")</f>
        <v>Kraken Lair - Coral 2★ #71F</v>
      </c>
      <c r="P211" s="249">
        <f>IFERROR(__xludf.DUMMYFUNCTION("""COMPUTED_VALUE"""),20.0)</f>
        <v>20</v>
      </c>
      <c r="Q211" s="481"/>
    </row>
    <row r="212" ht="12.75" customHeight="1">
      <c r="G212" s="480" t="s">
        <v>1338</v>
      </c>
      <c r="H212" s="249">
        <v>20.0</v>
      </c>
      <c r="I212" s="479">
        <v>9.769441187964048E-4</v>
      </c>
      <c r="K212" s="249"/>
      <c r="L212" s="480"/>
      <c r="M212" s="481"/>
      <c r="O212" s="492" t="str">
        <f>IFERROR(__xludf.DUMMYFUNCTION("""COMPUTED_VALUE"""),"Kraken Lair - Coral 2★ #1D4")</f>
        <v>Kraken Lair - Coral 2★ #1D4</v>
      </c>
      <c r="P212" s="249">
        <f>IFERROR(__xludf.DUMMYFUNCTION("""COMPUTED_VALUE"""),20.0)</f>
        <v>20</v>
      </c>
      <c r="Q212" s="481"/>
    </row>
    <row r="213" ht="12.75" customHeight="1">
      <c r="G213" s="480" t="s">
        <v>1339</v>
      </c>
      <c r="H213" s="249">
        <v>20.0</v>
      </c>
      <c r="I213" s="479">
        <v>9.769441187964048E-4</v>
      </c>
      <c r="K213" s="249"/>
      <c r="L213" s="480"/>
      <c r="M213" s="481"/>
      <c r="O213" s="492" t="str">
        <f>IFERROR(__xludf.DUMMYFUNCTION("""COMPUTED_VALUE"""),"Kraken Lair - Coral 2★ #C89")</f>
        <v>Kraken Lair - Coral 2★ #C89</v>
      </c>
      <c r="P213" s="249">
        <f>IFERROR(__xludf.DUMMYFUNCTION("""COMPUTED_VALUE"""),20.0)</f>
        <v>20</v>
      </c>
      <c r="Q213" s="481"/>
    </row>
    <row r="214" ht="12.75" customHeight="1">
      <c r="G214" s="480" t="s">
        <v>1341</v>
      </c>
      <c r="H214" s="249">
        <v>20.0</v>
      </c>
      <c r="I214" s="479">
        <v>9.769441187964048E-4</v>
      </c>
      <c r="K214" s="249"/>
      <c r="L214" s="480"/>
      <c r="M214" s="481"/>
      <c r="O214" s="492" t="str">
        <f>IFERROR(__xludf.DUMMYFUNCTION("""COMPUTED_VALUE"""),"Kraken Lair - Coral 2★ #73E")</f>
        <v>Kraken Lair - Coral 2★ #73E</v>
      </c>
      <c r="P214" s="249">
        <f>IFERROR(__xludf.DUMMYFUNCTION("""COMPUTED_VALUE"""),20.0)</f>
        <v>20</v>
      </c>
      <c r="Q214" s="481"/>
    </row>
    <row r="215" ht="12.75" customHeight="1">
      <c r="G215" s="480" t="s">
        <v>1342</v>
      </c>
      <c r="H215" s="249">
        <v>20.0</v>
      </c>
      <c r="I215" s="479">
        <v>9.769441187964048E-4</v>
      </c>
      <c r="K215" s="249"/>
      <c r="L215" s="480"/>
      <c r="M215" s="481"/>
      <c r="O215" s="492" t="str">
        <f>IFERROR(__xludf.DUMMYFUNCTION("""COMPUTED_VALUE"""),"Kraken Lair - Coral 2★ #1F3")</f>
        <v>Kraken Lair - Coral 2★ #1F3</v>
      </c>
      <c r="P215" s="249">
        <f>IFERROR(__xludf.DUMMYFUNCTION("""COMPUTED_VALUE"""),20.0)</f>
        <v>20</v>
      </c>
      <c r="Q215" s="481"/>
    </row>
    <row r="216" ht="12.75" customHeight="1">
      <c r="G216" s="480" t="s">
        <v>1343</v>
      </c>
      <c r="H216" s="249">
        <v>20.0</v>
      </c>
      <c r="I216" s="479">
        <v>9.769441187964048E-4</v>
      </c>
      <c r="K216" s="249"/>
      <c r="L216" s="480"/>
      <c r="M216" s="481"/>
      <c r="O216" s="492" t="str">
        <f>IFERROR(__xludf.DUMMYFUNCTION("""COMPUTED_VALUE"""),"Kraken Lair - Coral 2★ #CA8")</f>
        <v>Kraken Lair - Coral 2★ #CA8</v>
      </c>
      <c r="P216" s="249">
        <f>IFERROR(__xludf.DUMMYFUNCTION("""COMPUTED_VALUE"""),20.0)</f>
        <v>20</v>
      </c>
      <c r="Q216" s="481"/>
    </row>
    <row r="217" ht="12.75" customHeight="1">
      <c r="G217" s="480" t="s">
        <v>1344</v>
      </c>
      <c r="H217" s="249">
        <v>20.0</v>
      </c>
      <c r="I217" s="479">
        <v>9.769441187964048E-4</v>
      </c>
      <c r="K217" s="249"/>
      <c r="L217" s="480"/>
      <c r="M217" s="481"/>
      <c r="O217" s="492" t="str">
        <f>IFERROR(__xludf.DUMMYFUNCTION("""COMPUTED_VALUE"""),"Kraken Lair - Coral 2★ #75D")</f>
        <v>Kraken Lair - Coral 2★ #75D</v>
      </c>
      <c r="P217" s="249">
        <f>IFERROR(__xludf.DUMMYFUNCTION("""COMPUTED_VALUE"""),20.0)</f>
        <v>20</v>
      </c>
      <c r="Q217" s="481"/>
    </row>
    <row r="218" ht="12.75" customHeight="1">
      <c r="G218" s="480" t="s">
        <v>1346</v>
      </c>
      <c r="H218" s="249">
        <v>20.0</v>
      </c>
      <c r="I218" s="479">
        <v>9.769441187964048E-4</v>
      </c>
      <c r="K218" s="249"/>
      <c r="L218" s="480"/>
      <c r="M218" s="481"/>
      <c r="O218" s="492" t="str">
        <f>IFERROR(__xludf.DUMMYFUNCTION("""COMPUTED_VALUE"""),"Kraken Lair - Coral 2★ #212")</f>
        <v>Kraken Lair - Coral 2★ #212</v>
      </c>
      <c r="P218" s="249">
        <f>IFERROR(__xludf.DUMMYFUNCTION("""COMPUTED_VALUE"""),20.0)</f>
        <v>20</v>
      </c>
      <c r="Q218" s="481"/>
    </row>
    <row r="219" ht="12.75" customHeight="1">
      <c r="G219" s="480" t="s">
        <v>1347</v>
      </c>
      <c r="H219" s="249">
        <v>10.0</v>
      </c>
      <c r="I219" s="479">
        <v>4.884720593982024E-4</v>
      </c>
      <c r="K219" s="249"/>
      <c r="L219" s="480"/>
      <c r="M219" s="481"/>
      <c r="O219" s="492" t="str">
        <f>IFERROR(__xludf.DUMMYFUNCTION("""COMPUTED_VALUE"""),"Kraken Lair - Lantern 3★ #CC7")</f>
        <v>Kraken Lair - Lantern 3★ #CC7</v>
      </c>
      <c r="P219" s="249">
        <f>IFERROR(__xludf.DUMMYFUNCTION("""COMPUTED_VALUE"""),10.0)</f>
        <v>10</v>
      </c>
      <c r="Q219" s="481"/>
    </row>
    <row r="220" ht="12.75" customHeight="1">
      <c r="G220" s="480" t="s">
        <v>1350</v>
      </c>
      <c r="H220" s="249">
        <v>10.0</v>
      </c>
      <c r="I220" s="479">
        <v>4.884720593982024E-4</v>
      </c>
      <c r="K220" s="249"/>
      <c r="L220" s="480"/>
      <c r="M220" s="481"/>
      <c r="O220" s="492" t="str">
        <f>IFERROR(__xludf.DUMMYFUNCTION("""COMPUTED_VALUE"""),"Kraken Lair - Lantern 3★ #77C")</f>
        <v>Kraken Lair - Lantern 3★ #77C</v>
      </c>
      <c r="P220" s="249">
        <f>IFERROR(__xludf.DUMMYFUNCTION("""COMPUTED_VALUE"""),10.0)</f>
        <v>10</v>
      </c>
      <c r="Q220" s="481"/>
    </row>
    <row r="221" ht="12.75" customHeight="1">
      <c r="G221" s="480" t="s">
        <v>1351</v>
      </c>
      <c r="H221" s="249">
        <v>10.0</v>
      </c>
      <c r="I221" s="479">
        <v>4.884720593982024E-4</v>
      </c>
      <c r="K221" s="249"/>
      <c r="L221" s="480"/>
      <c r="M221" s="481"/>
      <c r="O221" s="492" t="str">
        <f>IFERROR(__xludf.DUMMYFUNCTION("""COMPUTED_VALUE"""),"Kraken Lair - Lantern 3★ #231")</f>
        <v>Kraken Lair - Lantern 3★ #231</v>
      </c>
      <c r="P221" s="249">
        <f>IFERROR(__xludf.DUMMYFUNCTION("""COMPUTED_VALUE"""),10.0)</f>
        <v>10</v>
      </c>
      <c r="Q221" s="481"/>
    </row>
    <row r="222" ht="12.75" customHeight="1">
      <c r="G222" s="480" t="s">
        <v>1353</v>
      </c>
      <c r="H222" s="249">
        <v>10.0</v>
      </c>
      <c r="I222" s="479">
        <v>4.884720593982024E-4</v>
      </c>
      <c r="K222" s="249"/>
      <c r="L222" s="480"/>
      <c r="M222" s="481"/>
      <c r="O222" s="492" t="str">
        <f>IFERROR(__xludf.DUMMYFUNCTION("""COMPUTED_VALUE"""),"Kraken Lair - Lantern 3★ #CE6")</f>
        <v>Kraken Lair - Lantern 3★ #CE6</v>
      </c>
      <c r="P222" s="249">
        <f>IFERROR(__xludf.DUMMYFUNCTION("""COMPUTED_VALUE"""),10.0)</f>
        <v>10</v>
      </c>
      <c r="Q222" s="481"/>
    </row>
    <row r="223" ht="12.75" customHeight="1">
      <c r="G223" s="480" t="s">
        <v>1355</v>
      </c>
      <c r="H223" s="249">
        <v>10.0</v>
      </c>
      <c r="I223" s="479">
        <v>4.884720593982024E-4</v>
      </c>
      <c r="K223" s="249"/>
      <c r="L223" s="480"/>
      <c r="M223" s="481"/>
      <c r="O223" s="492" t="str">
        <f>IFERROR(__xludf.DUMMYFUNCTION("""COMPUTED_VALUE"""),"Kraken Lair - Lantern 3★ #79B")</f>
        <v>Kraken Lair - Lantern 3★ #79B</v>
      </c>
      <c r="P223" s="249">
        <f>IFERROR(__xludf.DUMMYFUNCTION("""COMPUTED_VALUE"""),10.0)</f>
        <v>10</v>
      </c>
      <c r="Q223" s="481"/>
    </row>
    <row r="224" ht="12.75" customHeight="1">
      <c r="G224" s="480" t="s">
        <v>1357</v>
      </c>
      <c r="H224" s="249">
        <v>10.0</v>
      </c>
      <c r="I224" s="479">
        <v>4.884720593982024E-4</v>
      </c>
      <c r="K224" s="249"/>
      <c r="L224" s="480"/>
      <c r="M224" s="481"/>
      <c r="O224" s="492" t="str">
        <f>IFERROR(__xludf.DUMMYFUNCTION("""COMPUTED_VALUE"""),"Kraken Lair - Lantern 3★ #250")</f>
        <v>Kraken Lair - Lantern 3★ #250</v>
      </c>
      <c r="P224" s="249">
        <f>IFERROR(__xludf.DUMMYFUNCTION("""COMPUTED_VALUE"""),10.0)</f>
        <v>10</v>
      </c>
      <c r="Q224" s="481"/>
    </row>
    <row r="225" ht="12.75" customHeight="1">
      <c r="G225" s="480" t="s">
        <v>1358</v>
      </c>
      <c r="H225" s="249">
        <v>10.0</v>
      </c>
      <c r="I225" s="479">
        <v>4.884720593982024E-4</v>
      </c>
      <c r="K225" s="249"/>
      <c r="L225" s="480"/>
      <c r="M225" s="481"/>
      <c r="O225" s="492" t="str">
        <f>IFERROR(__xludf.DUMMYFUNCTION("""COMPUTED_VALUE"""),"Kraken Lair - Lantern 3★ #D05")</f>
        <v>Kraken Lair - Lantern 3★ #D05</v>
      </c>
      <c r="P225" s="249">
        <f>IFERROR(__xludf.DUMMYFUNCTION("""COMPUTED_VALUE"""),10.0)</f>
        <v>10</v>
      </c>
      <c r="Q225" s="481"/>
    </row>
    <row r="226" ht="12.75" customHeight="1">
      <c r="G226" s="480" t="s">
        <v>1360</v>
      </c>
      <c r="H226" s="249">
        <v>10.0</v>
      </c>
      <c r="I226" s="479">
        <v>4.884720593982024E-4</v>
      </c>
      <c r="K226" s="249"/>
      <c r="L226" s="480"/>
      <c r="M226" s="481"/>
      <c r="O226" s="492" t="str">
        <f>IFERROR(__xludf.DUMMYFUNCTION("""COMPUTED_VALUE"""),"Kraken Lair - Lantern 3★ #7BA")</f>
        <v>Kraken Lair - Lantern 3★ #7BA</v>
      </c>
      <c r="P226" s="249">
        <f>IFERROR(__xludf.DUMMYFUNCTION("""COMPUTED_VALUE"""),10.0)</f>
        <v>10</v>
      </c>
      <c r="Q226" s="481"/>
    </row>
    <row r="227" ht="12.75" customHeight="1">
      <c r="G227" s="480" t="s">
        <v>1361</v>
      </c>
      <c r="H227" s="249">
        <v>10.0</v>
      </c>
      <c r="I227" s="479">
        <v>4.884720593982024E-4</v>
      </c>
      <c r="K227" s="249"/>
      <c r="L227" s="480"/>
      <c r="M227" s="481"/>
      <c r="O227" s="492" t="str">
        <f>IFERROR(__xludf.DUMMYFUNCTION("""COMPUTED_VALUE"""),"Kraken Lair - Lantern 3★ #26F")</f>
        <v>Kraken Lair - Lantern 3★ #26F</v>
      </c>
      <c r="P227" s="249">
        <f>IFERROR(__xludf.DUMMYFUNCTION("""COMPUTED_VALUE"""),10.0)</f>
        <v>10</v>
      </c>
      <c r="Q227" s="481"/>
    </row>
    <row r="228" ht="12.75" customHeight="1">
      <c r="G228" s="480" t="s">
        <v>1363</v>
      </c>
      <c r="H228" s="249">
        <v>10.0</v>
      </c>
      <c r="I228" s="479">
        <v>4.884720593982024E-4</v>
      </c>
      <c r="K228" s="249"/>
      <c r="L228" s="480"/>
      <c r="M228" s="481"/>
      <c r="O228" s="492" t="str">
        <f>IFERROR(__xludf.DUMMYFUNCTION("""COMPUTED_VALUE"""),"Kraken Lair - Lantern 3★ #D24")</f>
        <v>Kraken Lair - Lantern 3★ #D24</v>
      </c>
      <c r="P228" s="249">
        <f>IFERROR(__xludf.DUMMYFUNCTION("""COMPUTED_VALUE"""),10.0)</f>
        <v>10</v>
      </c>
      <c r="Q228" s="481"/>
    </row>
    <row r="229" ht="12.75" customHeight="1">
      <c r="G229" s="480" t="s">
        <v>1366</v>
      </c>
      <c r="H229" s="249">
        <v>10.0</v>
      </c>
      <c r="I229" s="479">
        <v>4.884720593982024E-4</v>
      </c>
      <c r="K229" s="249"/>
      <c r="L229" s="480"/>
      <c r="M229" s="481"/>
      <c r="O229" s="492" t="str">
        <f>IFERROR(__xludf.DUMMYFUNCTION("""COMPUTED_VALUE"""),"Kraken Lair - Lantern 3★ #7D9")</f>
        <v>Kraken Lair - Lantern 3★ #7D9</v>
      </c>
      <c r="P229" s="249">
        <f>IFERROR(__xludf.DUMMYFUNCTION("""COMPUTED_VALUE"""),10.0)</f>
        <v>10</v>
      </c>
      <c r="Q229" s="481"/>
    </row>
    <row r="230" ht="12.75" customHeight="1">
      <c r="G230" s="480" t="s">
        <v>1367</v>
      </c>
      <c r="H230" s="249">
        <v>10.0</v>
      </c>
      <c r="I230" s="479">
        <v>4.884720593982024E-4</v>
      </c>
      <c r="K230" s="249"/>
      <c r="L230" s="480"/>
      <c r="M230" s="481"/>
      <c r="O230" s="492" t="str">
        <f>IFERROR(__xludf.DUMMYFUNCTION("""COMPUTED_VALUE"""),"Kraken Lair - Lantern 3★ #28E")</f>
        <v>Kraken Lair - Lantern 3★ #28E</v>
      </c>
      <c r="P230" s="249">
        <f>IFERROR(__xludf.DUMMYFUNCTION("""COMPUTED_VALUE"""),10.0)</f>
        <v>10</v>
      </c>
      <c r="Q230" s="481"/>
    </row>
    <row r="231" ht="12.75" customHeight="1">
      <c r="G231" s="480" t="s">
        <v>1369</v>
      </c>
      <c r="H231" s="249">
        <v>10.0</v>
      </c>
      <c r="I231" s="479">
        <v>4.884720593982024E-4</v>
      </c>
      <c r="K231" s="249"/>
      <c r="L231" s="480"/>
      <c r="M231" s="481"/>
      <c r="O231" s="492" t="str">
        <f>IFERROR(__xludf.DUMMYFUNCTION("""COMPUTED_VALUE"""),"Kraken Lair - Lantern 3★ #D43")</f>
        <v>Kraken Lair - Lantern 3★ #D43</v>
      </c>
      <c r="P231" s="249">
        <f>IFERROR(__xludf.DUMMYFUNCTION("""COMPUTED_VALUE"""),10.0)</f>
        <v>10</v>
      </c>
      <c r="Q231" s="481"/>
    </row>
    <row r="232" ht="12.75" customHeight="1">
      <c r="G232" s="480" t="s">
        <v>1370</v>
      </c>
      <c r="H232" s="249">
        <v>10.0</v>
      </c>
      <c r="I232" s="479">
        <v>4.884720593982024E-4</v>
      </c>
      <c r="K232" s="249"/>
      <c r="L232" s="480"/>
      <c r="M232" s="481"/>
      <c r="O232" s="492" t="str">
        <f>IFERROR(__xludf.DUMMYFUNCTION("""COMPUTED_VALUE"""),"Kraken Lair - Hook 3★ #7F8")</f>
        <v>Kraken Lair - Hook 3★ #7F8</v>
      </c>
      <c r="P232" s="249">
        <f>IFERROR(__xludf.DUMMYFUNCTION("""COMPUTED_VALUE"""),10.0)</f>
        <v>10</v>
      </c>
      <c r="Q232" s="481"/>
    </row>
    <row r="233" ht="12.75" customHeight="1">
      <c r="G233" s="480" t="s">
        <v>1371</v>
      </c>
      <c r="H233" s="249">
        <v>10.0</v>
      </c>
      <c r="I233" s="479">
        <v>4.884720593982024E-4</v>
      </c>
      <c r="K233" s="249"/>
      <c r="L233" s="480"/>
      <c r="M233" s="481"/>
      <c r="O233" s="492" t="str">
        <f>IFERROR(__xludf.DUMMYFUNCTION("""COMPUTED_VALUE"""),"Kraken Lair - Hook 3★ #2AD")</f>
        <v>Kraken Lair - Hook 3★ #2AD</v>
      </c>
      <c r="P233" s="249">
        <f>IFERROR(__xludf.DUMMYFUNCTION("""COMPUTED_VALUE"""),10.0)</f>
        <v>10</v>
      </c>
      <c r="Q233" s="481"/>
    </row>
    <row r="234" ht="12.75" customHeight="1">
      <c r="G234" s="480" t="s">
        <v>1373</v>
      </c>
      <c r="H234" s="249">
        <v>10.0</v>
      </c>
      <c r="I234" s="479">
        <v>4.884720593982024E-4</v>
      </c>
      <c r="K234" s="249"/>
      <c r="L234" s="480"/>
      <c r="M234" s="481"/>
      <c r="O234" s="492" t="str">
        <f>IFERROR(__xludf.DUMMYFUNCTION("""COMPUTED_VALUE"""),"Kraken Lair - Hook 3★ #D62")</f>
        <v>Kraken Lair - Hook 3★ #D62</v>
      </c>
      <c r="P234" s="249">
        <f>IFERROR(__xludf.DUMMYFUNCTION("""COMPUTED_VALUE"""),10.0)</f>
        <v>10</v>
      </c>
      <c r="Q234" s="481"/>
    </row>
    <row r="235" ht="12.75" customHeight="1">
      <c r="G235" s="480" t="s">
        <v>1374</v>
      </c>
      <c r="H235" s="249">
        <v>10.0</v>
      </c>
      <c r="I235" s="479">
        <v>4.884720593982024E-4</v>
      </c>
      <c r="K235" s="249"/>
      <c r="L235" s="480"/>
      <c r="M235" s="481"/>
      <c r="O235" s="492" t="str">
        <f>IFERROR(__xludf.DUMMYFUNCTION("""COMPUTED_VALUE"""),"Kraken Lair - Hook 3★ #817")</f>
        <v>Kraken Lair - Hook 3★ #817</v>
      </c>
      <c r="P235" s="249">
        <f>IFERROR(__xludf.DUMMYFUNCTION("""COMPUTED_VALUE"""),10.0)</f>
        <v>10</v>
      </c>
      <c r="Q235" s="481"/>
    </row>
    <row r="236" ht="12.75" customHeight="1">
      <c r="G236" s="480" t="s">
        <v>1375</v>
      </c>
      <c r="H236" s="249">
        <v>10.0</v>
      </c>
      <c r="I236" s="479">
        <v>4.884720593982024E-4</v>
      </c>
      <c r="K236" s="249"/>
      <c r="L236" s="480"/>
      <c r="M236" s="481"/>
      <c r="O236" s="492" t="str">
        <f>IFERROR(__xludf.DUMMYFUNCTION("""COMPUTED_VALUE"""),"Kraken Lair - Hook 3★ #2CC")</f>
        <v>Kraken Lair - Hook 3★ #2CC</v>
      </c>
      <c r="P236" s="249">
        <f>IFERROR(__xludf.DUMMYFUNCTION("""COMPUTED_VALUE"""),10.0)</f>
        <v>10</v>
      </c>
      <c r="Q236" s="481"/>
    </row>
    <row r="237" ht="12.75" customHeight="1">
      <c r="G237" s="480" t="s">
        <v>1378</v>
      </c>
      <c r="H237" s="249">
        <v>10.0</v>
      </c>
      <c r="I237" s="479">
        <v>4.884720593982024E-4</v>
      </c>
      <c r="K237" s="249"/>
      <c r="L237" s="480"/>
      <c r="M237" s="481"/>
      <c r="O237" s="492" t="str">
        <f>IFERROR(__xludf.DUMMYFUNCTION("""COMPUTED_VALUE"""),"Kraken Lair - Hook 3★ #D81")</f>
        <v>Kraken Lair - Hook 3★ #D81</v>
      </c>
      <c r="P237" s="249">
        <f>IFERROR(__xludf.DUMMYFUNCTION("""COMPUTED_VALUE"""),10.0)</f>
        <v>10</v>
      </c>
      <c r="Q237" s="481"/>
    </row>
    <row r="238" ht="12.75" customHeight="1">
      <c r="G238" s="480" t="s">
        <v>1379</v>
      </c>
      <c r="H238" s="249">
        <v>10.0</v>
      </c>
      <c r="I238" s="479">
        <v>4.884720593982024E-4</v>
      </c>
      <c r="K238" s="249"/>
      <c r="L238" s="480"/>
      <c r="M238" s="481"/>
      <c r="O238" s="492" t="str">
        <f>IFERROR(__xludf.DUMMYFUNCTION("""COMPUTED_VALUE"""),"Kraken Lair - Hook 3★ #836")</f>
        <v>Kraken Lair - Hook 3★ #836</v>
      </c>
      <c r="P238" s="249">
        <f>IFERROR(__xludf.DUMMYFUNCTION("""COMPUTED_VALUE"""),10.0)</f>
        <v>10</v>
      </c>
      <c r="Q238" s="481"/>
    </row>
    <row r="239" ht="12.75" customHeight="1">
      <c r="G239" s="480" t="s">
        <v>1380</v>
      </c>
      <c r="H239" s="249">
        <v>10.0</v>
      </c>
      <c r="I239" s="479">
        <v>4.884720593982024E-4</v>
      </c>
      <c r="K239" s="249"/>
      <c r="L239" s="480"/>
      <c r="M239" s="481"/>
      <c r="O239" s="492" t="str">
        <f>IFERROR(__xludf.DUMMYFUNCTION("""COMPUTED_VALUE"""),"Kraken Lair - Hook 3★ #2EB")</f>
        <v>Kraken Lair - Hook 3★ #2EB</v>
      </c>
      <c r="P239" s="249">
        <f>IFERROR(__xludf.DUMMYFUNCTION("""COMPUTED_VALUE"""),10.0)</f>
        <v>10</v>
      </c>
      <c r="Q239" s="481"/>
    </row>
    <row r="240" ht="12.75" customHeight="1">
      <c r="G240" s="480" t="s">
        <v>1381</v>
      </c>
      <c r="H240" s="249">
        <v>10.0</v>
      </c>
      <c r="I240" s="479">
        <v>4.884720593982024E-4</v>
      </c>
      <c r="K240" s="249"/>
      <c r="L240" s="480"/>
      <c r="M240" s="481"/>
      <c r="O240" s="492" t="str">
        <f>IFERROR(__xludf.DUMMYFUNCTION("""COMPUTED_VALUE"""),"Kraken Lair - Hook 3★ #DA0")</f>
        <v>Kraken Lair - Hook 3★ #DA0</v>
      </c>
      <c r="P240" s="249">
        <f>IFERROR(__xludf.DUMMYFUNCTION("""COMPUTED_VALUE"""),10.0)</f>
        <v>10</v>
      </c>
      <c r="Q240" s="481"/>
    </row>
    <row r="241" ht="12.75" customHeight="1">
      <c r="G241" s="480" t="s">
        <v>1384</v>
      </c>
      <c r="H241" s="249">
        <v>10.0</v>
      </c>
      <c r="I241" s="479">
        <v>4.884720593982024E-4</v>
      </c>
      <c r="K241" s="249"/>
      <c r="L241" s="480"/>
      <c r="M241" s="481"/>
      <c r="O241" s="492" t="str">
        <f>IFERROR(__xludf.DUMMYFUNCTION("""COMPUTED_VALUE"""),"Kraken Lair - Hook 3★ #855")</f>
        <v>Kraken Lair - Hook 3★ #855</v>
      </c>
      <c r="P241" s="249">
        <f>IFERROR(__xludf.DUMMYFUNCTION("""COMPUTED_VALUE"""),10.0)</f>
        <v>10</v>
      </c>
      <c r="Q241" s="481"/>
    </row>
    <row r="242" ht="12.75" customHeight="1">
      <c r="G242" s="480" t="s">
        <v>1388</v>
      </c>
      <c r="H242" s="249">
        <v>10.0</v>
      </c>
      <c r="I242" s="479">
        <v>4.884720593982024E-4</v>
      </c>
      <c r="K242" s="249"/>
      <c r="L242" s="480"/>
      <c r="M242" s="481"/>
      <c r="O242" s="492" t="str">
        <f>IFERROR(__xludf.DUMMYFUNCTION("""COMPUTED_VALUE"""),"Kraken Lair - Hook 3★ #30A")</f>
        <v>Kraken Lair - Hook 3★ #30A</v>
      </c>
      <c r="P242" s="249">
        <f>IFERROR(__xludf.DUMMYFUNCTION("""COMPUTED_VALUE"""),10.0)</f>
        <v>10</v>
      </c>
      <c r="Q242" s="481"/>
    </row>
    <row r="243" ht="12.75" customHeight="1">
      <c r="G243" s="480" t="s">
        <v>1389</v>
      </c>
      <c r="H243" s="249">
        <v>10.0</v>
      </c>
      <c r="I243" s="479">
        <v>4.884720593982024E-4</v>
      </c>
      <c r="K243" s="249"/>
      <c r="L243" s="480"/>
      <c r="M243" s="481"/>
      <c r="O243" s="492" t="str">
        <f>IFERROR(__xludf.DUMMYFUNCTION("""COMPUTED_VALUE"""),"Kraken Lair - Hook 3★ #DBF")</f>
        <v>Kraken Lair - Hook 3★ #DBF</v>
      </c>
      <c r="P243" s="249">
        <f>IFERROR(__xludf.DUMMYFUNCTION("""COMPUTED_VALUE"""),10.0)</f>
        <v>10</v>
      </c>
      <c r="Q243" s="481"/>
    </row>
    <row r="244" ht="12.75" customHeight="1">
      <c r="G244" s="480" t="s">
        <v>1391</v>
      </c>
      <c r="H244" s="249">
        <v>10.0</v>
      </c>
      <c r="I244" s="479">
        <v>4.884720593982024E-4</v>
      </c>
      <c r="K244" s="249"/>
      <c r="L244" s="480"/>
      <c r="M244" s="481"/>
      <c r="O244" s="492" t="str">
        <f>IFERROR(__xludf.DUMMYFUNCTION("""COMPUTED_VALUE"""),"Kraken Lair - Hook 3★ #874")</f>
        <v>Kraken Lair - Hook 3★ #874</v>
      </c>
      <c r="P244" s="249">
        <f>IFERROR(__xludf.DUMMYFUNCTION("""COMPUTED_VALUE"""),10.0)</f>
        <v>10</v>
      </c>
      <c r="Q244" s="481"/>
    </row>
    <row r="245" ht="12.75" customHeight="1">
      <c r="G245" s="480" t="s">
        <v>1393</v>
      </c>
      <c r="H245" s="249">
        <v>5.0</v>
      </c>
      <c r="I245" s="479">
        <v>2.442360296991012E-4</v>
      </c>
      <c r="K245" s="249"/>
      <c r="L245" s="480"/>
      <c r="M245" s="481"/>
      <c r="O245" s="492" t="str">
        <f>IFERROR(__xludf.DUMMYFUNCTION("""COMPUTED_VALUE"""),"Kraken Lair - Eyepatch 4★ #329")</f>
        <v>Kraken Lair - Eyepatch 4★ #329</v>
      </c>
      <c r="P245" s="249">
        <f>IFERROR(__xludf.DUMMYFUNCTION("""COMPUTED_VALUE"""),5.0)</f>
        <v>5</v>
      </c>
      <c r="Q245" s="481"/>
    </row>
    <row r="246" ht="12.75" customHeight="1">
      <c r="G246" s="480" t="s">
        <v>1396</v>
      </c>
      <c r="H246" s="249">
        <v>5.0</v>
      </c>
      <c r="I246" s="479">
        <v>2.442360296991012E-4</v>
      </c>
      <c r="K246" s="249"/>
      <c r="L246" s="480"/>
      <c r="M246" s="481"/>
      <c r="O246" s="492" t="str">
        <f>IFERROR(__xludf.DUMMYFUNCTION("""COMPUTED_VALUE"""),"Kraken Lair - Eyepatch 4★ #DDE")</f>
        <v>Kraken Lair - Eyepatch 4★ #DDE</v>
      </c>
      <c r="P246" s="249">
        <f>IFERROR(__xludf.DUMMYFUNCTION("""COMPUTED_VALUE"""),5.0)</f>
        <v>5</v>
      </c>
      <c r="Q246" s="481"/>
    </row>
    <row r="247" ht="12.75" customHeight="1">
      <c r="G247" s="480" t="s">
        <v>1397</v>
      </c>
      <c r="H247" s="249">
        <v>5.0</v>
      </c>
      <c r="I247" s="479">
        <v>2.442360296991012E-4</v>
      </c>
      <c r="K247" s="249"/>
      <c r="L247" s="480"/>
      <c r="M247" s="481"/>
      <c r="O247" s="492" t="str">
        <f>IFERROR(__xludf.DUMMYFUNCTION("""COMPUTED_VALUE"""),"Kraken Lair - Eyepatch 4★ #893")</f>
        <v>Kraken Lair - Eyepatch 4★ #893</v>
      </c>
      <c r="P247" s="249">
        <f>IFERROR(__xludf.DUMMYFUNCTION("""COMPUTED_VALUE"""),5.0)</f>
        <v>5</v>
      </c>
      <c r="Q247" s="481"/>
    </row>
    <row r="248" ht="12.75" customHeight="1">
      <c r="G248" s="480" t="s">
        <v>1400</v>
      </c>
      <c r="H248" s="249">
        <v>5.0</v>
      </c>
      <c r="I248" s="479">
        <v>2.442360296991012E-4</v>
      </c>
      <c r="K248" s="249"/>
      <c r="L248" s="480"/>
      <c r="M248" s="481"/>
      <c r="O248" s="492" t="str">
        <f>IFERROR(__xludf.DUMMYFUNCTION("""COMPUTED_VALUE"""),"Kraken Lair - Eyepatch 4★ #348")</f>
        <v>Kraken Lair - Eyepatch 4★ #348</v>
      </c>
      <c r="P248" s="249">
        <f>IFERROR(__xludf.DUMMYFUNCTION("""COMPUTED_VALUE"""),5.0)</f>
        <v>5</v>
      </c>
      <c r="Q248" s="481"/>
    </row>
    <row r="249" ht="12.75" customHeight="1">
      <c r="G249" s="480" t="s">
        <v>1401</v>
      </c>
      <c r="H249" s="249">
        <v>5.0</v>
      </c>
      <c r="I249" s="479">
        <v>2.442360296991012E-4</v>
      </c>
      <c r="K249" s="249"/>
      <c r="L249" s="480"/>
      <c r="M249" s="481"/>
      <c r="O249" s="492" t="str">
        <f>IFERROR(__xludf.DUMMYFUNCTION("""COMPUTED_VALUE"""),"Kraken Lair - Eyepatch 4★ #DFD")</f>
        <v>Kraken Lair - Eyepatch 4★ #DFD</v>
      </c>
      <c r="P249" s="249">
        <f>IFERROR(__xludf.DUMMYFUNCTION("""COMPUTED_VALUE"""),5.0)</f>
        <v>5</v>
      </c>
      <c r="Q249" s="481"/>
    </row>
    <row r="250" ht="12.75" customHeight="1">
      <c r="G250" s="480" t="s">
        <v>1403</v>
      </c>
      <c r="H250" s="249">
        <v>5.0</v>
      </c>
      <c r="I250" s="479">
        <v>2.442360296991012E-4</v>
      </c>
      <c r="K250" s="249"/>
      <c r="L250" s="480"/>
      <c r="M250" s="481"/>
      <c r="O250" s="492" t="str">
        <f>IFERROR(__xludf.DUMMYFUNCTION("""COMPUTED_VALUE"""),"Kraken Lair - Eyepatch 4★ #8B2")</f>
        <v>Kraken Lair - Eyepatch 4★ #8B2</v>
      </c>
      <c r="P250" s="249">
        <f>IFERROR(__xludf.DUMMYFUNCTION("""COMPUTED_VALUE"""),5.0)</f>
        <v>5</v>
      </c>
      <c r="Q250" s="481"/>
    </row>
    <row r="251" ht="12.75" customHeight="1">
      <c r="G251" s="480" t="s">
        <v>1405</v>
      </c>
      <c r="H251" s="249">
        <v>5.0</v>
      </c>
      <c r="I251" s="479">
        <v>2.442360296991012E-4</v>
      </c>
      <c r="K251" s="249"/>
      <c r="L251" s="480"/>
      <c r="M251" s="481"/>
      <c r="O251" s="492" t="str">
        <f>IFERROR(__xludf.DUMMYFUNCTION("""COMPUTED_VALUE"""),"Kraken Lair - Eyepatch 4★ #367")</f>
        <v>Kraken Lair - Eyepatch 4★ #367</v>
      </c>
      <c r="P251" s="249">
        <f>IFERROR(__xludf.DUMMYFUNCTION("""COMPUTED_VALUE"""),5.0)</f>
        <v>5</v>
      </c>
      <c r="Q251" s="481"/>
    </row>
    <row r="252" ht="12.75" customHeight="1">
      <c r="G252" s="480" t="s">
        <v>1406</v>
      </c>
      <c r="H252" s="249">
        <v>5.0</v>
      </c>
      <c r="I252" s="479">
        <v>2.442360296991012E-4</v>
      </c>
      <c r="K252" s="249"/>
      <c r="L252" s="480"/>
      <c r="M252" s="481"/>
      <c r="O252" s="492" t="str">
        <f>IFERROR(__xludf.DUMMYFUNCTION("""COMPUTED_VALUE"""),"Kraken Lair - Eyepatch 4★ #E1C")</f>
        <v>Kraken Lair - Eyepatch 4★ #E1C</v>
      </c>
      <c r="P252" s="249">
        <f>IFERROR(__xludf.DUMMYFUNCTION("""COMPUTED_VALUE"""),5.0)</f>
        <v>5</v>
      </c>
      <c r="Q252" s="481"/>
    </row>
    <row r="253" ht="12.75" customHeight="1">
      <c r="G253" s="480" t="s">
        <v>1408</v>
      </c>
      <c r="H253" s="249">
        <v>5.0</v>
      </c>
      <c r="I253" s="479">
        <v>2.442360296991012E-4</v>
      </c>
      <c r="K253" s="249"/>
      <c r="L253" s="480"/>
      <c r="M253" s="481"/>
      <c r="O253" s="492" t="str">
        <f>IFERROR(__xludf.DUMMYFUNCTION("""COMPUTED_VALUE"""),"Kraken Lair - Eyepatch 4★ #8D1")</f>
        <v>Kraken Lair - Eyepatch 4★ #8D1</v>
      </c>
      <c r="P253" s="249">
        <f>IFERROR(__xludf.DUMMYFUNCTION("""COMPUTED_VALUE"""),5.0)</f>
        <v>5</v>
      </c>
      <c r="Q253" s="481"/>
    </row>
    <row r="254" ht="12.75" customHeight="1">
      <c r="G254" s="480" t="s">
        <v>1409</v>
      </c>
      <c r="H254" s="249">
        <v>5.0</v>
      </c>
      <c r="I254" s="479">
        <v>2.442360296991012E-4</v>
      </c>
      <c r="K254" s="249"/>
      <c r="L254" s="480"/>
      <c r="M254" s="481"/>
      <c r="O254" s="492" t="str">
        <f>IFERROR(__xludf.DUMMYFUNCTION("""COMPUTED_VALUE"""),"Kraken Lair - Eyepatch 4★ #386")</f>
        <v>Kraken Lair - Eyepatch 4★ #386</v>
      </c>
      <c r="P254" s="249">
        <f>IFERROR(__xludf.DUMMYFUNCTION("""COMPUTED_VALUE"""),5.0)</f>
        <v>5</v>
      </c>
      <c r="Q254" s="481"/>
    </row>
    <row r="255" ht="12.75" customHeight="1">
      <c r="G255" s="480" t="s">
        <v>1410</v>
      </c>
      <c r="H255" s="249">
        <v>5.0</v>
      </c>
      <c r="I255" s="479">
        <v>2.442360296991012E-4</v>
      </c>
      <c r="K255" s="249"/>
      <c r="L255" s="480"/>
      <c r="M255" s="481"/>
      <c r="O255" s="492" t="str">
        <f>IFERROR(__xludf.DUMMYFUNCTION("""COMPUTED_VALUE"""),"Kraken Lair - Eyepatch 4★ #E3B")</f>
        <v>Kraken Lair - Eyepatch 4★ #E3B</v>
      </c>
      <c r="P255" s="249">
        <f>IFERROR(__xludf.DUMMYFUNCTION("""COMPUTED_VALUE"""),5.0)</f>
        <v>5</v>
      </c>
      <c r="Q255" s="481"/>
    </row>
    <row r="256" ht="12.75" customHeight="1">
      <c r="G256" s="480" t="s">
        <v>1411</v>
      </c>
      <c r="H256" s="249">
        <v>5.0</v>
      </c>
      <c r="I256" s="479">
        <v>2.442360296991012E-4</v>
      </c>
      <c r="K256" s="249"/>
      <c r="L256" s="480"/>
      <c r="M256" s="481"/>
      <c r="O256" s="492" t="str">
        <f>IFERROR(__xludf.DUMMYFUNCTION("""COMPUTED_VALUE"""),"Kraken Lair - Eyepatch 4★ #8F0")</f>
        <v>Kraken Lair - Eyepatch 4★ #8F0</v>
      </c>
      <c r="P256" s="249">
        <f>IFERROR(__xludf.DUMMYFUNCTION("""COMPUTED_VALUE"""),5.0)</f>
        <v>5</v>
      </c>
      <c r="Q256" s="481"/>
    </row>
    <row r="257" ht="12.75" customHeight="1">
      <c r="G257" s="480" t="s">
        <v>1413</v>
      </c>
      <c r="H257" s="249">
        <v>50.0</v>
      </c>
      <c r="I257" s="479">
        <v>0.0024423602969910123</v>
      </c>
      <c r="K257" s="249"/>
      <c r="L257" s="480"/>
      <c r="M257" s="481"/>
      <c r="O257" s="492" t="str">
        <f>IFERROR(__xludf.DUMMYFUNCTION("""COMPUTED_VALUE"""),"Gold Cove - Doubloon 1★ #3A5")</f>
        <v>Gold Cove - Doubloon 1★ #3A5</v>
      </c>
      <c r="P257" s="249">
        <f>IFERROR(__xludf.DUMMYFUNCTION("""COMPUTED_VALUE"""),50.0)</f>
        <v>50</v>
      </c>
      <c r="Q257" s="481"/>
    </row>
    <row r="258" ht="12.75" customHeight="1">
      <c r="G258" s="480" t="s">
        <v>1415</v>
      </c>
      <c r="H258" s="249">
        <v>50.0</v>
      </c>
      <c r="I258" s="479">
        <v>0.0024423602969910123</v>
      </c>
      <c r="K258" s="249"/>
      <c r="L258" s="480"/>
      <c r="M258" s="481"/>
      <c r="O258" s="492" t="str">
        <f>IFERROR(__xludf.DUMMYFUNCTION("""COMPUTED_VALUE"""),"Gold Cove - Doubloon 1★ #E5A")</f>
        <v>Gold Cove - Doubloon 1★ #E5A</v>
      </c>
      <c r="P258" s="249">
        <f>IFERROR(__xludf.DUMMYFUNCTION("""COMPUTED_VALUE"""),50.0)</f>
        <v>50</v>
      </c>
      <c r="Q258" s="481"/>
    </row>
    <row r="259" ht="12.75" customHeight="1">
      <c r="G259" s="480" t="s">
        <v>1417</v>
      </c>
      <c r="H259" s="249">
        <v>50.0</v>
      </c>
      <c r="I259" s="479">
        <v>0.0024423602969910123</v>
      </c>
      <c r="K259" s="249"/>
      <c r="L259" s="480"/>
      <c r="M259" s="481"/>
      <c r="O259" s="492" t="str">
        <f>IFERROR(__xludf.DUMMYFUNCTION("""COMPUTED_VALUE"""),"Gold Cove - Doubloon 1★ #90F")</f>
        <v>Gold Cove - Doubloon 1★ #90F</v>
      </c>
      <c r="P259" s="249">
        <f>IFERROR(__xludf.DUMMYFUNCTION("""COMPUTED_VALUE"""),50.0)</f>
        <v>50</v>
      </c>
      <c r="Q259" s="481"/>
    </row>
    <row r="260" ht="12.75" customHeight="1">
      <c r="G260" s="480" t="s">
        <v>1418</v>
      </c>
      <c r="H260" s="249">
        <v>50.0</v>
      </c>
      <c r="I260" s="479">
        <v>0.0024423602969910123</v>
      </c>
      <c r="K260" s="249"/>
      <c r="L260" s="480"/>
      <c r="M260" s="481"/>
      <c r="O260" s="492" t="str">
        <f>IFERROR(__xludf.DUMMYFUNCTION("""COMPUTED_VALUE"""),"Gold Cove - Doubloon 1★ #3C4")</f>
        <v>Gold Cove - Doubloon 1★ #3C4</v>
      </c>
      <c r="P260" s="249">
        <f>IFERROR(__xludf.DUMMYFUNCTION("""COMPUTED_VALUE"""),50.0)</f>
        <v>50</v>
      </c>
      <c r="Q260" s="481"/>
    </row>
    <row r="261" ht="12.75" customHeight="1">
      <c r="G261" s="480" t="s">
        <v>1419</v>
      </c>
      <c r="H261" s="249">
        <v>50.0</v>
      </c>
      <c r="I261" s="479">
        <v>0.0024423602969910123</v>
      </c>
      <c r="K261" s="249"/>
      <c r="L261" s="480"/>
      <c r="M261" s="481"/>
      <c r="O261" s="492" t="str">
        <f>IFERROR(__xludf.DUMMYFUNCTION("""COMPUTED_VALUE"""),"Gold Cove - Doubloon 1★ #E79")</f>
        <v>Gold Cove - Doubloon 1★ #E79</v>
      </c>
      <c r="P261" s="249">
        <f>IFERROR(__xludf.DUMMYFUNCTION("""COMPUTED_VALUE"""),50.0)</f>
        <v>50</v>
      </c>
      <c r="Q261" s="481"/>
    </row>
    <row r="262" ht="12.75" customHeight="1">
      <c r="G262" s="480" t="s">
        <v>1420</v>
      </c>
      <c r="H262" s="249">
        <v>50.0</v>
      </c>
      <c r="I262" s="479">
        <v>0.0024423602969910123</v>
      </c>
      <c r="K262" s="249"/>
      <c r="L262" s="480"/>
      <c r="M262" s="481"/>
      <c r="O262" s="492" t="str">
        <f>IFERROR(__xludf.DUMMYFUNCTION("""COMPUTED_VALUE"""),"Gold Cove - Doubloon 1★ #92E")</f>
        <v>Gold Cove - Doubloon 1★ #92E</v>
      </c>
      <c r="P262" s="249">
        <f>IFERROR(__xludf.DUMMYFUNCTION("""COMPUTED_VALUE"""),50.0)</f>
        <v>50</v>
      </c>
      <c r="Q262" s="481"/>
    </row>
    <row r="263" ht="12.75" customHeight="1">
      <c r="G263" s="480" t="s">
        <v>1422</v>
      </c>
      <c r="H263" s="249">
        <v>50.0</v>
      </c>
      <c r="I263" s="479">
        <v>0.0024423602969910123</v>
      </c>
      <c r="K263" s="249"/>
      <c r="L263" s="480"/>
      <c r="M263" s="481"/>
      <c r="O263" s="492" t="str">
        <f>IFERROR(__xludf.DUMMYFUNCTION("""COMPUTED_VALUE"""),"Gold Cove - Doubloon 1★ #3E3")</f>
        <v>Gold Cove - Doubloon 1★ #3E3</v>
      </c>
      <c r="P263" s="249">
        <f>IFERROR(__xludf.DUMMYFUNCTION("""COMPUTED_VALUE"""),50.0)</f>
        <v>50</v>
      </c>
      <c r="Q263" s="481"/>
    </row>
    <row r="264" ht="12.75" customHeight="1">
      <c r="G264" s="480" t="s">
        <v>1423</v>
      </c>
      <c r="H264" s="249">
        <v>50.0</v>
      </c>
      <c r="I264" s="479">
        <v>0.0024423602969910123</v>
      </c>
      <c r="K264" s="249"/>
      <c r="L264" s="480"/>
      <c r="M264" s="481"/>
      <c r="O264" s="492" t="str">
        <f>IFERROR(__xludf.DUMMYFUNCTION("""COMPUTED_VALUE"""),"Gold Cove - Doubloon 1★ #E98")</f>
        <v>Gold Cove - Doubloon 1★ #E98</v>
      </c>
      <c r="P264" s="249">
        <f>IFERROR(__xludf.DUMMYFUNCTION("""COMPUTED_VALUE"""),50.0)</f>
        <v>50</v>
      </c>
      <c r="Q264" s="481"/>
    </row>
    <row r="265" ht="12.75" customHeight="1">
      <c r="G265" s="480" t="s">
        <v>1425</v>
      </c>
      <c r="H265" s="249">
        <v>50.0</v>
      </c>
      <c r="I265" s="479">
        <v>0.0024423602969910123</v>
      </c>
      <c r="K265" s="249"/>
      <c r="L265" s="480"/>
      <c r="M265" s="481"/>
      <c r="O265" s="492" t="str">
        <f>IFERROR(__xludf.DUMMYFUNCTION("""COMPUTED_VALUE"""),"Gold Cove - Doubloon 1★ #94D")</f>
        <v>Gold Cove - Doubloon 1★ #94D</v>
      </c>
      <c r="P265" s="249">
        <f>IFERROR(__xludf.DUMMYFUNCTION("""COMPUTED_VALUE"""),50.0)</f>
        <v>50</v>
      </c>
      <c r="Q265" s="481"/>
    </row>
    <row r="266" ht="12.75" customHeight="1">
      <c r="G266" s="480" t="s">
        <v>1426</v>
      </c>
      <c r="H266" s="249">
        <v>50.0</v>
      </c>
      <c r="I266" s="479">
        <v>0.0024423602969910123</v>
      </c>
      <c r="K266" s="249"/>
      <c r="L266" s="480"/>
      <c r="M266" s="481"/>
      <c r="O266" s="492" t="str">
        <f>IFERROR(__xludf.DUMMYFUNCTION("""COMPUTED_VALUE"""),"Gold Cove - Doubloon 1★ #402")</f>
        <v>Gold Cove - Doubloon 1★ #402</v>
      </c>
      <c r="P266" s="249">
        <f>IFERROR(__xludf.DUMMYFUNCTION("""COMPUTED_VALUE"""),50.0)</f>
        <v>50</v>
      </c>
      <c r="Q266" s="481"/>
    </row>
    <row r="267" ht="12.75" customHeight="1">
      <c r="G267" s="480" t="s">
        <v>1427</v>
      </c>
      <c r="H267" s="249">
        <v>50.0</v>
      </c>
      <c r="I267" s="479">
        <v>0.0024423602969910123</v>
      </c>
      <c r="K267" s="249"/>
      <c r="L267" s="480"/>
      <c r="M267" s="481"/>
      <c r="O267" s="492" t="str">
        <f>IFERROR(__xludf.DUMMYFUNCTION("""COMPUTED_VALUE"""),"Gold Cove - Doubloon 1★ #EB7")</f>
        <v>Gold Cove - Doubloon 1★ #EB7</v>
      </c>
      <c r="P267" s="249">
        <f>IFERROR(__xludf.DUMMYFUNCTION("""COMPUTED_VALUE"""),50.0)</f>
        <v>50</v>
      </c>
      <c r="Q267" s="481"/>
    </row>
    <row r="268" ht="12.75" customHeight="1">
      <c r="G268" s="480" t="s">
        <v>1429</v>
      </c>
      <c r="H268" s="249">
        <v>50.0</v>
      </c>
      <c r="I268" s="479">
        <v>0.0024423602969910123</v>
      </c>
      <c r="K268" s="249"/>
      <c r="L268" s="480"/>
      <c r="M268" s="481"/>
      <c r="O268" s="492" t="str">
        <f>IFERROR(__xludf.DUMMYFUNCTION("""COMPUTED_VALUE"""),"Gold Cove - Doubloon 1★ #96C")</f>
        <v>Gold Cove - Doubloon 1★ #96C</v>
      </c>
      <c r="P268" s="249">
        <f>IFERROR(__xludf.DUMMYFUNCTION("""COMPUTED_VALUE"""),50.0)</f>
        <v>50</v>
      </c>
      <c r="Q268" s="481"/>
    </row>
    <row r="269" ht="12.75" customHeight="1">
      <c r="G269" s="480" t="s">
        <v>1431</v>
      </c>
      <c r="H269" s="249">
        <v>50.0</v>
      </c>
      <c r="I269" s="479">
        <v>0.0024423602969910123</v>
      </c>
      <c r="K269" s="249"/>
      <c r="L269" s="480"/>
      <c r="M269" s="481"/>
      <c r="O269" s="492" t="str">
        <f>IFERROR(__xludf.DUMMYFUNCTION("""COMPUTED_VALUE"""),"Gold Cove - Doubloon 1★ #421")</f>
        <v>Gold Cove - Doubloon 1★ #421</v>
      </c>
      <c r="P269" s="249">
        <f>IFERROR(__xludf.DUMMYFUNCTION("""COMPUTED_VALUE"""),50.0)</f>
        <v>50</v>
      </c>
      <c r="Q269" s="481"/>
    </row>
    <row r="270" ht="12.75" customHeight="1">
      <c r="G270" s="480" t="s">
        <v>1433</v>
      </c>
      <c r="H270" s="249">
        <v>50.0</v>
      </c>
      <c r="I270" s="479">
        <v>0.0024423602969910123</v>
      </c>
      <c r="K270" s="249"/>
      <c r="L270" s="480"/>
      <c r="M270" s="481"/>
      <c r="O270" s="492" t="str">
        <f>IFERROR(__xludf.DUMMYFUNCTION("""COMPUTED_VALUE"""),"Gold Cove - Ruby 1★ #ED6")</f>
        <v>Gold Cove - Ruby 1★ #ED6</v>
      </c>
      <c r="P270" s="249">
        <f>IFERROR(__xludf.DUMMYFUNCTION("""COMPUTED_VALUE"""),50.0)</f>
        <v>50</v>
      </c>
      <c r="Q270" s="481"/>
    </row>
    <row r="271" ht="12.75" customHeight="1">
      <c r="G271" s="480" t="s">
        <v>1435</v>
      </c>
      <c r="H271" s="249">
        <v>50.0</v>
      </c>
      <c r="I271" s="479">
        <v>0.0024423602969910123</v>
      </c>
      <c r="K271" s="249"/>
      <c r="L271" s="480"/>
      <c r="M271" s="481"/>
      <c r="O271" s="492" t="str">
        <f>IFERROR(__xludf.DUMMYFUNCTION("""COMPUTED_VALUE"""),"Gold Cove - Ruby 1★ #98B")</f>
        <v>Gold Cove - Ruby 1★ #98B</v>
      </c>
      <c r="P271" s="249">
        <f>IFERROR(__xludf.DUMMYFUNCTION("""COMPUTED_VALUE"""),50.0)</f>
        <v>50</v>
      </c>
      <c r="Q271" s="481"/>
    </row>
    <row r="272" ht="12.75" customHeight="1">
      <c r="G272" s="480" t="s">
        <v>1437</v>
      </c>
      <c r="H272" s="249">
        <v>50.0</v>
      </c>
      <c r="I272" s="479">
        <v>0.0024423602969910123</v>
      </c>
      <c r="K272" s="249"/>
      <c r="L272" s="480"/>
      <c r="M272" s="481"/>
      <c r="O272" s="492" t="str">
        <f>IFERROR(__xludf.DUMMYFUNCTION("""COMPUTED_VALUE"""),"Gold Cove - Ruby 1★ #440")</f>
        <v>Gold Cove - Ruby 1★ #440</v>
      </c>
      <c r="P272" s="249">
        <f>IFERROR(__xludf.DUMMYFUNCTION("""COMPUTED_VALUE"""),50.0)</f>
        <v>50</v>
      </c>
      <c r="Q272" s="481"/>
    </row>
    <row r="273" ht="12.75" customHeight="1">
      <c r="G273" s="480" t="s">
        <v>1439</v>
      </c>
      <c r="H273" s="249">
        <v>50.0</v>
      </c>
      <c r="I273" s="479">
        <v>0.0024423602969910123</v>
      </c>
      <c r="K273" s="249"/>
      <c r="L273" s="480"/>
      <c r="M273" s="481"/>
      <c r="O273" s="492" t="str">
        <f>IFERROR(__xludf.DUMMYFUNCTION("""COMPUTED_VALUE"""),"Gold Cove - Ruby 1★ #EF5")</f>
        <v>Gold Cove - Ruby 1★ #EF5</v>
      </c>
      <c r="P273" s="249">
        <f>IFERROR(__xludf.DUMMYFUNCTION("""COMPUTED_VALUE"""),50.0)</f>
        <v>50</v>
      </c>
      <c r="Q273" s="481"/>
    </row>
    <row r="274" ht="12.75" customHeight="1">
      <c r="G274" s="480" t="s">
        <v>1440</v>
      </c>
      <c r="H274" s="249">
        <v>50.0</v>
      </c>
      <c r="I274" s="479">
        <v>0.0024423602969910123</v>
      </c>
      <c r="K274" s="249"/>
      <c r="L274" s="480"/>
      <c r="M274" s="481"/>
      <c r="O274" s="492" t="str">
        <f>IFERROR(__xludf.DUMMYFUNCTION("""COMPUTED_VALUE"""),"Gold Cove - Ruby 1★ #9AA")</f>
        <v>Gold Cove - Ruby 1★ #9AA</v>
      </c>
      <c r="P274" s="249">
        <f>IFERROR(__xludf.DUMMYFUNCTION("""COMPUTED_VALUE"""),50.0)</f>
        <v>50</v>
      </c>
      <c r="Q274" s="481"/>
    </row>
    <row r="275" ht="12.75" customHeight="1">
      <c r="G275" s="480" t="s">
        <v>1443</v>
      </c>
      <c r="H275" s="249">
        <v>50.0</v>
      </c>
      <c r="I275" s="479">
        <v>0.0024423602969910123</v>
      </c>
      <c r="K275" s="249"/>
      <c r="L275" s="480"/>
      <c r="M275" s="481"/>
      <c r="O275" s="492" t="str">
        <f>IFERROR(__xludf.DUMMYFUNCTION("""COMPUTED_VALUE"""),"Gold Cove - Ruby 1★ #45F")</f>
        <v>Gold Cove - Ruby 1★ #45F</v>
      </c>
      <c r="P275" s="249">
        <f>IFERROR(__xludf.DUMMYFUNCTION("""COMPUTED_VALUE"""),50.0)</f>
        <v>50</v>
      </c>
      <c r="Q275" s="481"/>
    </row>
    <row r="276" ht="12.75" customHeight="1">
      <c r="G276" s="480" t="s">
        <v>1444</v>
      </c>
      <c r="H276" s="249">
        <v>50.0</v>
      </c>
      <c r="I276" s="479">
        <v>0.0024423602969910123</v>
      </c>
      <c r="K276" s="249"/>
      <c r="L276" s="480"/>
      <c r="M276" s="481"/>
      <c r="O276" s="492" t="str">
        <f>IFERROR(__xludf.DUMMYFUNCTION("""COMPUTED_VALUE"""),"Gold Cove - Ruby 1★ #F14")</f>
        <v>Gold Cove - Ruby 1★ #F14</v>
      </c>
      <c r="P276" s="249">
        <f>IFERROR(__xludf.DUMMYFUNCTION("""COMPUTED_VALUE"""),50.0)</f>
        <v>50</v>
      </c>
      <c r="Q276" s="481"/>
    </row>
    <row r="277" ht="12.75" customHeight="1">
      <c r="G277" s="480" t="s">
        <v>1445</v>
      </c>
      <c r="H277" s="249">
        <v>50.0</v>
      </c>
      <c r="I277" s="479">
        <v>0.0024423602969910123</v>
      </c>
      <c r="K277" s="249"/>
      <c r="L277" s="480"/>
      <c r="M277" s="481"/>
      <c r="O277" s="492" t="str">
        <f>IFERROR(__xludf.DUMMYFUNCTION("""COMPUTED_VALUE"""),"Gold Cove - Ruby 1★ #9C9")</f>
        <v>Gold Cove - Ruby 1★ #9C9</v>
      </c>
      <c r="P277" s="249">
        <f>IFERROR(__xludf.DUMMYFUNCTION("""COMPUTED_VALUE"""),50.0)</f>
        <v>50</v>
      </c>
      <c r="Q277" s="481"/>
    </row>
    <row r="278" ht="12.75" customHeight="1">
      <c r="G278" s="480" t="s">
        <v>1447</v>
      </c>
      <c r="H278" s="249">
        <v>50.0</v>
      </c>
      <c r="I278" s="479">
        <v>0.0024423602969910123</v>
      </c>
      <c r="K278" s="249"/>
      <c r="L278" s="480"/>
      <c r="M278" s="481"/>
      <c r="O278" s="492" t="str">
        <f>IFERROR(__xludf.DUMMYFUNCTION("""COMPUTED_VALUE"""),"Gold Cove - Ruby 1★ #47E")</f>
        <v>Gold Cove - Ruby 1★ #47E</v>
      </c>
      <c r="P278" s="249">
        <f>IFERROR(__xludf.DUMMYFUNCTION("""COMPUTED_VALUE"""),50.0)</f>
        <v>50</v>
      </c>
      <c r="Q278" s="481"/>
    </row>
    <row r="279" ht="12.75" customHeight="1">
      <c r="G279" s="480" t="s">
        <v>1448</v>
      </c>
      <c r="H279" s="249">
        <v>50.0</v>
      </c>
      <c r="I279" s="479">
        <v>0.0024423602969910123</v>
      </c>
      <c r="K279" s="249"/>
      <c r="L279" s="480"/>
      <c r="M279" s="481"/>
      <c r="O279" s="492" t="str">
        <f>IFERROR(__xludf.DUMMYFUNCTION("""COMPUTED_VALUE"""),"Gold Cove - Ruby 1★ #F33")</f>
        <v>Gold Cove - Ruby 1★ #F33</v>
      </c>
      <c r="P279" s="249">
        <f>IFERROR(__xludf.DUMMYFUNCTION("""COMPUTED_VALUE"""),50.0)</f>
        <v>50</v>
      </c>
      <c r="Q279" s="481"/>
    </row>
    <row r="280" ht="12.75" customHeight="1">
      <c r="G280" s="480" t="s">
        <v>1450</v>
      </c>
      <c r="H280" s="249">
        <v>50.0</v>
      </c>
      <c r="I280" s="479">
        <v>0.0024423602969910123</v>
      </c>
      <c r="K280" s="249"/>
      <c r="L280" s="480"/>
      <c r="M280" s="481"/>
      <c r="O280" s="492" t="str">
        <f>IFERROR(__xludf.DUMMYFUNCTION("""COMPUTED_VALUE"""),"Gold Cove - Ruby 1★ #9E8")</f>
        <v>Gold Cove - Ruby 1★ #9E8</v>
      </c>
      <c r="P280" s="249">
        <f>IFERROR(__xludf.DUMMYFUNCTION("""COMPUTED_VALUE"""),50.0)</f>
        <v>50</v>
      </c>
      <c r="Q280" s="481"/>
    </row>
    <row r="281" ht="12.75" customHeight="1">
      <c r="G281" s="480" t="s">
        <v>1451</v>
      </c>
      <c r="H281" s="249">
        <v>50.0</v>
      </c>
      <c r="I281" s="479">
        <v>0.0024423602969910123</v>
      </c>
      <c r="K281" s="249"/>
      <c r="L281" s="480"/>
      <c r="M281" s="481"/>
      <c r="O281" s="492" t="str">
        <f>IFERROR(__xludf.DUMMYFUNCTION("""COMPUTED_VALUE"""),"Gold Cove - Ruby 1★ #49D")</f>
        <v>Gold Cove - Ruby 1★ #49D</v>
      </c>
      <c r="P281" s="249">
        <f>IFERROR(__xludf.DUMMYFUNCTION("""COMPUTED_VALUE"""),50.0)</f>
        <v>50</v>
      </c>
      <c r="Q281" s="481"/>
    </row>
    <row r="282" ht="12.75" customHeight="1">
      <c r="G282" s="480" t="s">
        <v>1452</v>
      </c>
      <c r="H282" s="249">
        <v>50.0</v>
      </c>
      <c r="I282" s="479">
        <v>0.0024423602969910123</v>
      </c>
      <c r="K282" s="249"/>
      <c r="L282" s="480"/>
      <c r="M282" s="481"/>
      <c r="O282" s="492" t="str">
        <f>IFERROR(__xludf.DUMMYFUNCTION("""COMPUTED_VALUE"""),"Gold Cove - Ruby 1★ #F52")</f>
        <v>Gold Cove - Ruby 1★ #F52</v>
      </c>
      <c r="P282" s="249">
        <f>IFERROR(__xludf.DUMMYFUNCTION("""COMPUTED_VALUE"""),50.0)</f>
        <v>50</v>
      </c>
      <c r="Q282" s="481"/>
    </row>
    <row r="283" ht="12.75" customHeight="1">
      <c r="G283" s="480" t="s">
        <v>1454</v>
      </c>
      <c r="H283" s="249">
        <v>50.0</v>
      </c>
      <c r="I283" s="479">
        <v>0.0024423602969910123</v>
      </c>
      <c r="K283" s="249"/>
      <c r="L283" s="480"/>
      <c r="M283" s="481"/>
      <c r="O283" s="492" t="str">
        <f>IFERROR(__xludf.DUMMYFUNCTION("""COMPUTED_VALUE"""),"Gold Cove - Emerald 1★ #A07")</f>
        <v>Gold Cove - Emerald 1★ #A07</v>
      </c>
      <c r="P283" s="249">
        <f>IFERROR(__xludf.DUMMYFUNCTION("""COMPUTED_VALUE"""),50.0)</f>
        <v>50</v>
      </c>
      <c r="Q283" s="481"/>
    </row>
    <row r="284" ht="12.75" customHeight="1">
      <c r="G284" s="480" t="s">
        <v>1455</v>
      </c>
      <c r="H284" s="249">
        <v>50.0</v>
      </c>
      <c r="I284" s="479">
        <v>0.0024423602969910123</v>
      </c>
      <c r="K284" s="249"/>
      <c r="L284" s="480"/>
      <c r="M284" s="481"/>
      <c r="O284" s="492" t="str">
        <f>IFERROR(__xludf.DUMMYFUNCTION("""COMPUTED_VALUE"""),"Gold Cove - Emerald 1★ #4BC")</f>
        <v>Gold Cove - Emerald 1★ #4BC</v>
      </c>
      <c r="P284" s="249">
        <f>IFERROR(__xludf.DUMMYFUNCTION("""COMPUTED_VALUE"""),50.0)</f>
        <v>50</v>
      </c>
      <c r="Q284" s="481"/>
    </row>
    <row r="285" ht="12.75" customHeight="1">
      <c r="G285" s="480" t="s">
        <v>1457</v>
      </c>
      <c r="H285" s="249">
        <v>50.0</v>
      </c>
      <c r="I285" s="479">
        <v>0.0024423602969910123</v>
      </c>
      <c r="K285" s="249"/>
      <c r="L285" s="480"/>
      <c r="M285" s="481"/>
      <c r="O285" s="492" t="str">
        <f>IFERROR(__xludf.DUMMYFUNCTION("""COMPUTED_VALUE"""),"Gold Cove - Emerald 1★ #F71")</f>
        <v>Gold Cove - Emerald 1★ #F71</v>
      </c>
      <c r="P285" s="249">
        <f>IFERROR(__xludf.DUMMYFUNCTION("""COMPUTED_VALUE"""),50.0)</f>
        <v>50</v>
      </c>
      <c r="Q285" s="481"/>
    </row>
    <row r="286" ht="12.75" customHeight="1">
      <c r="G286" s="480" t="s">
        <v>1459</v>
      </c>
      <c r="H286" s="249">
        <v>50.0</v>
      </c>
      <c r="I286" s="479">
        <v>0.0024423602969910123</v>
      </c>
      <c r="K286" s="249"/>
      <c r="L286" s="480"/>
      <c r="M286" s="481"/>
      <c r="O286" s="492" t="str">
        <f>IFERROR(__xludf.DUMMYFUNCTION("""COMPUTED_VALUE"""),"Gold Cove - Emerald 1★ #A26")</f>
        <v>Gold Cove - Emerald 1★ #A26</v>
      </c>
      <c r="P286" s="249">
        <f>IFERROR(__xludf.DUMMYFUNCTION("""COMPUTED_VALUE"""),50.0)</f>
        <v>50</v>
      </c>
      <c r="Q286" s="481"/>
    </row>
    <row r="287" ht="12.75" customHeight="1">
      <c r="G287" s="480" t="s">
        <v>1460</v>
      </c>
      <c r="H287" s="249">
        <v>50.0</v>
      </c>
      <c r="I287" s="479">
        <v>0.0024423602969910123</v>
      </c>
      <c r="K287" s="249"/>
      <c r="L287" s="480"/>
      <c r="M287" s="481"/>
      <c r="O287" s="492" t="str">
        <f>IFERROR(__xludf.DUMMYFUNCTION("""COMPUTED_VALUE"""),"Gold Cove - Emerald 1★ #4DB")</f>
        <v>Gold Cove - Emerald 1★ #4DB</v>
      </c>
      <c r="P287" s="249">
        <f>IFERROR(__xludf.DUMMYFUNCTION("""COMPUTED_VALUE"""),50.0)</f>
        <v>50</v>
      </c>
      <c r="Q287" s="481"/>
    </row>
    <row r="288" ht="12.75" customHeight="1">
      <c r="G288" s="480" t="s">
        <v>1463</v>
      </c>
      <c r="H288" s="249">
        <v>50.0</v>
      </c>
      <c r="I288" s="479">
        <v>0.0024423602969910123</v>
      </c>
      <c r="K288" s="249"/>
      <c r="L288" s="480"/>
      <c r="M288" s="481"/>
      <c r="O288" s="492" t="str">
        <f>IFERROR(__xludf.DUMMYFUNCTION("""COMPUTED_VALUE"""),"Gold Cove - Emerald 1★ #F90")</f>
        <v>Gold Cove - Emerald 1★ #F90</v>
      </c>
      <c r="P288" s="249">
        <f>IFERROR(__xludf.DUMMYFUNCTION("""COMPUTED_VALUE"""),50.0)</f>
        <v>50</v>
      </c>
      <c r="Q288" s="481"/>
    </row>
    <row r="289" ht="12.75" customHeight="1">
      <c r="G289" s="480" t="s">
        <v>1465</v>
      </c>
      <c r="H289" s="249">
        <v>50.0</v>
      </c>
      <c r="I289" s="479">
        <v>0.0024423602969910123</v>
      </c>
      <c r="K289" s="249"/>
      <c r="L289" s="480"/>
      <c r="M289" s="481"/>
      <c r="O289" s="492" t="str">
        <f>IFERROR(__xludf.DUMMYFUNCTION("""COMPUTED_VALUE"""),"Gold Cove - Emerald 1★ #A45")</f>
        <v>Gold Cove - Emerald 1★ #A45</v>
      </c>
      <c r="P289" s="249">
        <f>IFERROR(__xludf.DUMMYFUNCTION("""COMPUTED_VALUE"""),50.0)</f>
        <v>50</v>
      </c>
      <c r="Q289" s="481"/>
    </row>
    <row r="290" ht="12.75" customHeight="1">
      <c r="G290" s="480" t="s">
        <v>1467</v>
      </c>
      <c r="H290" s="249">
        <v>50.0</v>
      </c>
      <c r="I290" s="479">
        <v>0.0024423602969910123</v>
      </c>
      <c r="K290" s="249"/>
      <c r="L290" s="480"/>
      <c r="M290" s="481"/>
      <c r="O290" s="492" t="str">
        <f>IFERROR(__xludf.DUMMYFUNCTION("""COMPUTED_VALUE"""),"Gold Cove - Emerald 1★ #4FA")</f>
        <v>Gold Cove - Emerald 1★ #4FA</v>
      </c>
      <c r="P290" s="249">
        <f>IFERROR(__xludf.DUMMYFUNCTION("""COMPUTED_VALUE"""),50.0)</f>
        <v>50</v>
      </c>
      <c r="Q290" s="481"/>
    </row>
    <row r="291" ht="12.75" customHeight="1">
      <c r="G291" s="480" t="s">
        <v>1469</v>
      </c>
      <c r="H291" s="249">
        <v>50.0</v>
      </c>
      <c r="I291" s="479">
        <v>0.0024423602969910123</v>
      </c>
      <c r="K291" s="249"/>
      <c r="L291" s="480"/>
      <c r="M291" s="481"/>
      <c r="O291" s="492" t="str">
        <f>IFERROR(__xludf.DUMMYFUNCTION("""COMPUTED_VALUE"""),"Gold Cove - Emerald 1★ #FAF")</f>
        <v>Gold Cove - Emerald 1★ #FAF</v>
      </c>
      <c r="P291" s="249">
        <f>IFERROR(__xludf.DUMMYFUNCTION("""COMPUTED_VALUE"""),50.0)</f>
        <v>50</v>
      </c>
      <c r="Q291" s="481"/>
    </row>
    <row r="292" ht="12.75" customHeight="1">
      <c r="G292" s="480" t="s">
        <v>1470</v>
      </c>
      <c r="H292" s="249">
        <v>50.0</v>
      </c>
      <c r="I292" s="479">
        <v>0.0024423602969910123</v>
      </c>
      <c r="K292" s="249"/>
      <c r="L292" s="480"/>
      <c r="M292" s="481"/>
      <c r="O292" s="492" t="str">
        <f>IFERROR(__xludf.DUMMYFUNCTION("""COMPUTED_VALUE"""),"Gold Cove - Emerald 1★ #A64")</f>
        <v>Gold Cove - Emerald 1★ #A64</v>
      </c>
      <c r="P292" s="249">
        <f>IFERROR(__xludf.DUMMYFUNCTION("""COMPUTED_VALUE"""),50.0)</f>
        <v>50</v>
      </c>
      <c r="Q292" s="481"/>
    </row>
    <row r="293" ht="12.75" customHeight="1">
      <c r="G293" s="480" t="s">
        <v>1472</v>
      </c>
      <c r="H293" s="249">
        <v>50.0</v>
      </c>
      <c r="I293" s="479">
        <v>0.0024423602969910123</v>
      </c>
      <c r="K293" s="249"/>
      <c r="L293" s="480"/>
      <c r="M293" s="481"/>
      <c r="O293" s="492" t="str">
        <f>IFERROR(__xludf.DUMMYFUNCTION("""COMPUTED_VALUE"""),"Gold Cove - Emerald 1★ #519")</f>
        <v>Gold Cove - Emerald 1★ #519</v>
      </c>
      <c r="P293" s="249">
        <f>IFERROR(__xludf.DUMMYFUNCTION("""COMPUTED_VALUE"""),50.0)</f>
        <v>50</v>
      </c>
      <c r="Q293" s="481"/>
    </row>
    <row r="294" ht="12.75" customHeight="1">
      <c r="G294" s="480" t="s">
        <v>1473</v>
      </c>
      <c r="H294" s="249">
        <v>50.0</v>
      </c>
      <c r="I294" s="479">
        <v>0.0024423602969910123</v>
      </c>
      <c r="K294" s="249"/>
      <c r="L294" s="480"/>
      <c r="M294" s="481"/>
      <c r="O294" s="492" t="str">
        <f>IFERROR(__xludf.DUMMYFUNCTION("""COMPUTED_VALUE"""),"Gold Cove - Emerald 1★ #FCE")</f>
        <v>Gold Cove - Emerald 1★ #FCE</v>
      </c>
      <c r="P294" s="249">
        <f>IFERROR(__xludf.DUMMYFUNCTION("""COMPUTED_VALUE"""),50.0)</f>
        <v>50</v>
      </c>
      <c r="Q294" s="481"/>
    </row>
    <row r="295" ht="12.75" customHeight="1">
      <c r="G295" s="480" t="s">
        <v>1474</v>
      </c>
      <c r="H295" s="249">
        <v>50.0</v>
      </c>
      <c r="I295" s="479">
        <v>0.0024423602969910123</v>
      </c>
      <c r="K295" s="249"/>
      <c r="L295" s="480"/>
      <c r="M295" s="481"/>
      <c r="O295" s="492" t="str">
        <f>IFERROR(__xludf.DUMMYFUNCTION("""COMPUTED_VALUE"""),"Gold Cove - Emerald 1★ #A83")</f>
        <v>Gold Cove - Emerald 1★ #A83</v>
      </c>
      <c r="P295" s="249">
        <f>IFERROR(__xludf.DUMMYFUNCTION("""COMPUTED_VALUE"""),50.0)</f>
        <v>50</v>
      </c>
      <c r="Q295" s="481"/>
    </row>
    <row r="296" ht="12.75" customHeight="1">
      <c r="G296" s="480" t="s">
        <v>1476</v>
      </c>
      <c r="H296" s="249">
        <v>20.0</v>
      </c>
      <c r="I296" s="479">
        <v>9.769441187964048E-4</v>
      </c>
      <c r="K296" s="249"/>
      <c r="L296" s="480"/>
      <c r="M296" s="481"/>
      <c r="O296" s="492" t="str">
        <f>IFERROR(__xludf.DUMMYFUNCTION("""COMPUTED_VALUE"""),"Gold Cove - Diamond 2★ #538")</f>
        <v>Gold Cove - Diamond 2★ #538</v>
      </c>
      <c r="P296" s="249">
        <f>IFERROR(__xludf.DUMMYFUNCTION("""COMPUTED_VALUE"""),20.0)</f>
        <v>20</v>
      </c>
      <c r="Q296" s="481"/>
    </row>
    <row r="297" ht="12.75" customHeight="1">
      <c r="G297" s="480" t="s">
        <v>1477</v>
      </c>
      <c r="H297" s="249">
        <v>20.0</v>
      </c>
      <c r="I297" s="479">
        <v>9.769441187964048E-4</v>
      </c>
      <c r="K297" s="249"/>
      <c r="L297" s="480"/>
      <c r="M297" s="481"/>
      <c r="O297" s="492" t="str">
        <f>IFERROR(__xludf.DUMMYFUNCTION("""COMPUTED_VALUE"""),"Gold Cove - Diamond 2★ #FED")</f>
        <v>Gold Cove - Diamond 2★ #FED</v>
      </c>
      <c r="P297" s="249">
        <f>IFERROR(__xludf.DUMMYFUNCTION("""COMPUTED_VALUE"""),20.0)</f>
        <v>20</v>
      </c>
      <c r="Q297" s="481"/>
    </row>
    <row r="298" ht="12.75" customHeight="1">
      <c r="G298" s="480" t="s">
        <v>1478</v>
      </c>
      <c r="H298" s="249">
        <v>20.0</v>
      </c>
      <c r="I298" s="479">
        <v>9.769441187964048E-4</v>
      </c>
      <c r="K298" s="249"/>
      <c r="L298" s="480"/>
      <c r="M298" s="481"/>
      <c r="O298" s="492" t="str">
        <f>IFERROR(__xludf.DUMMYFUNCTION("""COMPUTED_VALUE"""),"Gold Cove - Diamond 2★ #AA2")</f>
        <v>Gold Cove - Diamond 2★ #AA2</v>
      </c>
      <c r="P298" s="249">
        <f>IFERROR(__xludf.DUMMYFUNCTION("""COMPUTED_VALUE"""),20.0)</f>
        <v>20</v>
      </c>
      <c r="Q298" s="481"/>
    </row>
    <row r="299" ht="12.75" customHeight="1">
      <c r="G299" s="480" t="s">
        <v>1479</v>
      </c>
      <c r="H299" s="249">
        <v>20.0</v>
      </c>
      <c r="I299" s="479">
        <v>9.769441187964048E-4</v>
      </c>
      <c r="K299" s="249"/>
      <c r="L299" s="480"/>
      <c r="M299" s="481"/>
      <c r="O299" s="492" t="str">
        <f>IFERROR(__xludf.DUMMYFUNCTION("""COMPUTED_VALUE"""),"Gold Cove - Diamond 2★ #557")</f>
        <v>Gold Cove - Diamond 2★ #557</v>
      </c>
      <c r="P299" s="249">
        <f>IFERROR(__xludf.DUMMYFUNCTION("""COMPUTED_VALUE"""),20.0)</f>
        <v>20</v>
      </c>
      <c r="Q299" s="481"/>
    </row>
    <row r="300" ht="12.75" customHeight="1">
      <c r="G300" s="480" t="s">
        <v>1481</v>
      </c>
      <c r="H300" s="249">
        <v>20.0</v>
      </c>
      <c r="I300" s="479">
        <v>9.769441187964048E-4</v>
      </c>
      <c r="K300" s="249"/>
      <c r="L300" s="480"/>
      <c r="M300" s="481"/>
      <c r="O300" s="492" t="str">
        <f>IFERROR(__xludf.DUMMYFUNCTION("""COMPUTED_VALUE"""),"Gold Cove - Diamond 2★ #00C")</f>
        <v>Gold Cove - Diamond 2★ #00C</v>
      </c>
      <c r="P300" s="249">
        <f>IFERROR(__xludf.DUMMYFUNCTION("""COMPUTED_VALUE"""),20.0)</f>
        <v>20</v>
      </c>
      <c r="Q300" s="481"/>
    </row>
    <row r="301" ht="12.75" customHeight="1">
      <c r="G301" s="480" t="s">
        <v>1482</v>
      </c>
      <c r="H301" s="249">
        <v>20.0</v>
      </c>
      <c r="I301" s="479">
        <v>9.769441187964048E-4</v>
      </c>
      <c r="K301" s="249"/>
      <c r="L301" s="480"/>
      <c r="M301" s="481"/>
      <c r="O301" s="492" t="str">
        <f>IFERROR(__xludf.DUMMYFUNCTION("""COMPUTED_VALUE"""),"Gold Cove - Diamond 2★ #AC1")</f>
        <v>Gold Cove - Diamond 2★ #AC1</v>
      </c>
      <c r="P301" s="249">
        <f>IFERROR(__xludf.DUMMYFUNCTION("""COMPUTED_VALUE"""),20.0)</f>
        <v>20</v>
      </c>
      <c r="Q301" s="481"/>
    </row>
    <row r="302" ht="12.75" customHeight="1">
      <c r="G302" s="480" t="s">
        <v>1483</v>
      </c>
      <c r="H302" s="249">
        <v>20.0</v>
      </c>
      <c r="I302" s="479">
        <v>9.769441187964048E-4</v>
      </c>
      <c r="K302" s="249"/>
      <c r="L302" s="480"/>
      <c r="M302" s="481"/>
      <c r="O302" s="492" t="str">
        <f>IFERROR(__xludf.DUMMYFUNCTION("""COMPUTED_VALUE"""),"Gold Cove - Diamond 2★ #576")</f>
        <v>Gold Cove - Diamond 2★ #576</v>
      </c>
      <c r="P302" s="249">
        <f>IFERROR(__xludf.DUMMYFUNCTION("""COMPUTED_VALUE"""),20.0)</f>
        <v>20</v>
      </c>
      <c r="Q302" s="481"/>
    </row>
    <row r="303" ht="12.75" customHeight="1">
      <c r="G303" s="480" t="s">
        <v>1485</v>
      </c>
      <c r="H303" s="249">
        <v>20.0</v>
      </c>
      <c r="I303" s="479">
        <v>9.769441187964048E-4</v>
      </c>
      <c r="K303" s="249"/>
      <c r="L303" s="480"/>
      <c r="M303" s="481"/>
      <c r="O303" s="492" t="str">
        <f>IFERROR(__xludf.DUMMYFUNCTION("""COMPUTED_VALUE"""),"Gold Cove - Diamond 2★ #02B")</f>
        <v>Gold Cove - Diamond 2★ #02B</v>
      </c>
      <c r="P303" s="249">
        <f>IFERROR(__xludf.DUMMYFUNCTION("""COMPUTED_VALUE"""),20.0)</f>
        <v>20</v>
      </c>
      <c r="Q303" s="481"/>
    </row>
    <row r="304" ht="12.75" customHeight="1">
      <c r="G304" s="480" t="s">
        <v>1486</v>
      </c>
      <c r="H304" s="249">
        <v>20.0</v>
      </c>
      <c r="I304" s="479">
        <v>9.769441187964048E-4</v>
      </c>
      <c r="K304" s="249"/>
      <c r="L304" s="480"/>
      <c r="M304" s="481"/>
      <c r="O304" s="492" t="str">
        <f>IFERROR(__xludf.DUMMYFUNCTION("""COMPUTED_VALUE"""),"Gold Cove - Diamond 2★ #AE0")</f>
        <v>Gold Cove - Diamond 2★ #AE0</v>
      </c>
      <c r="P304" s="249">
        <f>IFERROR(__xludf.DUMMYFUNCTION("""COMPUTED_VALUE"""),20.0)</f>
        <v>20</v>
      </c>
      <c r="Q304" s="481"/>
    </row>
    <row r="305" ht="12.75" customHeight="1">
      <c r="G305" s="480" t="s">
        <v>1487</v>
      </c>
      <c r="H305" s="249">
        <v>20.0</v>
      </c>
      <c r="I305" s="479">
        <v>9.769441187964048E-4</v>
      </c>
      <c r="K305" s="249"/>
      <c r="L305" s="480"/>
      <c r="M305" s="481"/>
      <c r="O305" s="492" t="str">
        <f>IFERROR(__xludf.DUMMYFUNCTION("""COMPUTED_VALUE"""),"Gold Cove - Diamond 2★ #595")</f>
        <v>Gold Cove - Diamond 2★ #595</v>
      </c>
      <c r="P305" s="249">
        <f>IFERROR(__xludf.DUMMYFUNCTION("""COMPUTED_VALUE"""),20.0)</f>
        <v>20</v>
      </c>
      <c r="Q305" s="481"/>
    </row>
    <row r="306" ht="12.75" customHeight="1">
      <c r="G306" s="480" t="s">
        <v>1489</v>
      </c>
      <c r="H306" s="249">
        <v>20.0</v>
      </c>
      <c r="I306" s="479">
        <v>9.769441187964048E-4</v>
      </c>
      <c r="K306" s="249"/>
      <c r="L306" s="480"/>
      <c r="M306" s="481"/>
      <c r="O306" s="492" t="str">
        <f>IFERROR(__xludf.DUMMYFUNCTION("""COMPUTED_VALUE"""),"Gold Cove - Diamond 2★ #04A")</f>
        <v>Gold Cove - Diamond 2★ #04A</v>
      </c>
      <c r="P306" s="249">
        <f>IFERROR(__xludf.DUMMYFUNCTION("""COMPUTED_VALUE"""),20.0)</f>
        <v>20</v>
      </c>
      <c r="Q306" s="481"/>
    </row>
    <row r="307" ht="12.75" customHeight="1">
      <c r="G307" s="480" t="s">
        <v>1490</v>
      </c>
      <c r="H307" s="249">
        <v>20.0</v>
      </c>
      <c r="I307" s="479">
        <v>9.769441187964048E-4</v>
      </c>
      <c r="K307" s="249"/>
      <c r="L307" s="480"/>
      <c r="M307" s="481"/>
      <c r="O307" s="492" t="str">
        <f>IFERROR(__xludf.DUMMYFUNCTION("""COMPUTED_VALUE"""),"Gold Cove - Diamond 2★ #AFF")</f>
        <v>Gold Cove - Diamond 2★ #AFF</v>
      </c>
      <c r="P307" s="249">
        <f>IFERROR(__xludf.DUMMYFUNCTION("""COMPUTED_VALUE"""),20.0)</f>
        <v>20</v>
      </c>
      <c r="Q307" s="481"/>
    </row>
    <row r="308" ht="12.75" customHeight="1">
      <c r="G308" s="480" t="s">
        <v>1491</v>
      </c>
      <c r="H308" s="249">
        <v>20.0</v>
      </c>
      <c r="I308" s="479">
        <v>9.769441187964048E-4</v>
      </c>
      <c r="K308" s="249"/>
      <c r="L308" s="480"/>
      <c r="M308" s="481"/>
      <c r="O308" s="492" t="str">
        <f>IFERROR(__xludf.DUMMYFUNCTION("""COMPUTED_VALUE"""),"Gold Cove - Diamond 2★ #5B4")</f>
        <v>Gold Cove - Diamond 2★ #5B4</v>
      </c>
      <c r="P308" s="249">
        <f>IFERROR(__xludf.DUMMYFUNCTION("""COMPUTED_VALUE"""),20.0)</f>
        <v>20</v>
      </c>
      <c r="Q308" s="481"/>
    </row>
    <row r="309" ht="12.75" customHeight="1">
      <c r="G309" s="480" t="s">
        <v>1493</v>
      </c>
      <c r="H309" s="249">
        <v>20.0</v>
      </c>
      <c r="I309" s="479">
        <v>9.769441187964048E-4</v>
      </c>
      <c r="K309" s="249"/>
      <c r="L309" s="480"/>
      <c r="M309" s="481"/>
      <c r="O309" s="492" t="str">
        <f>IFERROR(__xludf.DUMMYFUNCTION("""COMPUTED_VALUE"""),"Gold Cove - Crown 2★ #069")</f>
        <v>Gold Cove - Crown 2★ #069</v>
      </c>
      <c r="P309" s="249">
        <f>IFERROR(__xludf.DUMMYFUNCTION("""COMPUTED_VALUE"""),20.0)</f>
        <v>20</v>
      </c>
      <c r="Q309" s="481"/>
    </row>
    <row r="310" ht="12.75" customHeight="1">
      <c r="G310" s="480" t="s">
        <v>1494</v>
      </c>
      <c r="H310" s="249">
        <v>20.0</v>
      </c>
      <c r="I310" s="479">
        <v>9.769441187964048E-4</v>
      </c>
      <c r="K310" s="249"/>
      <c r="L310" s="480"/>
      <c r="M310" s="481"/>
      <c r="O310" s="492" t="str">
        <f>IFERROR(__xludf.DUMMYFUNCTION("""COMPUTED_VALUE"""),"Gold Cove - Crown 2★ #B1E")</f>
        <v>Gold Cove - Crown 2★ #B1E</v>
      </c>
      <c r="P310" s="249">
        <f>IFERROR(__xludf.DUMMYFUNCTION("""COMPUTED_VALUE"""),20.0)</f>
        <v>20</v>
      </c>
      <c r="Q310" s="481"/>
    </row>
    <row r="311" ht="12.75" customHeight="1">
      <c r="G311" s="480" t="s">
        <v>1496</v>
      </c>
      <c r="H311" s="249">
        <v>20.0</v>
      </c>
      <c r="I311" s="479">
        <v>9.769441187964048E-4</v>
      </c>
      <c r="K311" s="249"/>
      <c r="L311" s="480"/>
      <c r="M311" s="481"/>
      <c r="O311" s="492" t="str">
        <f>IFERROR(__xludf.DUMMYFUNCTION("""COMPUTED_VALUE"""),"Gold Cove - Crown 2★ #5D3")</f>
        <v>Gold Cove - Crown 2★ #5D3</v>
      </c>
      <c r="P311" s="249">
        <f>IFERROR(__xludf.DUMMYFUNCTION("""COMPUTED_VALUE"""),20.0)</f>
        <v>20</v>
      </c>
      <c r="Q311" s="481"/>
    </row>
    <row r="312" ht="12.75" customHeight="1">
      <c r="G312" s="480" t="s">
        <v>1497</v>
      </c>
      <c r="H312" s="249">
        <v>20.0</v>
      </c>
      <c r="I312" s="479">
        <v>9.769441187964048E-4</v>
      </c>
      <c r="K312" s="249"/>
      <c r="L312" s="480"/>
      <c r="M312" s="481"/>
      <c r="O312" s="492" t="str">
        <f>IFERROR(__xludf.DUMMYFUNCTION("""COMPUTED_VALUE"""),"Gold Cove - Crown 2★ #088")</f>
        <v>Gold Cove - Crown 2★ #088</v>
      </c>
      <c r="P312" s="249">
        <f>IFERROR(__xludf.DUMMYFUNCTION("""COMPUTED_VALUE"""),20.0)</f>
        <v>20</v>
      </c>
      <c r="Q312" s="481"/>
    </row>
    <row r="313" ht="12.75" customHeight="1">
      <c r="G313" s="480" t="s">
        <v>1499</v>
      </c>
      <c r="H313" s="249">
        <v>20.0</v>
      </c>
      <c r="I313" s="479">
        <v>9.769441187964048E-4</v>
      </c>
      <c r="K313" s="249"/>
      <c r="L313" s="480"/>
      <c r="M313" s="481"/>
      <c r="O313" s="492" t="str">
        <f>IFERROR(__xludf.DUMMYFUNCTION("""COMPUTED_VALUE"""),"Gold Cove - Crown 2★ #B3D")</f>
        <v>Gold Cove - Crown 2★ #B3D</v>
      </c>
      <c r="P313" s="249">
        <f>IFERROR(__xludf.DUMMYFUNCTION("""COMPUTED_VALUE"""),20.0)</f>
        <v>20</v>
      </c>
      <c r="Q313" s="481"/>
    </row>
    <row r="314" ht="12.75" customHeight="1">
      <c r="G314" s="480" t="s">
        <v>1500</v>
      </c>
      <c r="H314" s="249">
        <v>20.0</v>
      </c>
      <c r="I314" s="479">
        <v>9.769441187964048E-4</v>
      </c>
      <c r="K314" s="249"/>
      <c r="L314" s="480"/>
      <c r="M314" s="481"/>
      <c r="O314" s="492" t="str">
        <f>IFERROR(__xludf.DUMMYFUNCTION("""COMPUTED_VALUE"""),"Gold Cove - Crown 2★ #5F2")</f>
        <v>Gold Cove - Crown 2★ #5F2</v>
      </c>
      <c r="P314" s="249">
        <f>IFERROR(__xludf.DUMMYFUNCTION("""COMPUTED_VALUE"""),20.0)</f>
        <v>20</v>
      </c>
      <c r="Q314" s="481"/>
    </row>
    <row r="315" ht="12.75" customHeight="1">
      <c r="G315" s="480" t="s">
        <v>1502</v>
      </c>
      <c r="H315" s="249">
        <v>20.0</v>
      </c>
      <c r="I315" s="479">
        <v>9.769441187964048E-4</v>
      </c>
      <c r="K315" s="249"/>
      <c r="L315" s="480"/>
      <c r="M315" s="481"/>
      <c r="O315" s="492" t="str">
        <f>IFERROR(__xludf.DUMMYFUNCTION("""COMPUTED_VALUE"""),"Gold Cove - Crown 2★ #0A7")</f>
        <v>Gold Cove - Crown 2★ #0A7</v>
      </c>
      <c r="P315" s="249">
        <f>IFERROR(__xludf.DUMMYFUNCTION("""COMPUTED_VALUE"""),20.0)</f>
        <v>20</v>
      </c>
      <c r="Q315" s="481"/>
    </row>
    <row r="316" ht="12.75" customHeight="1">
      <c r="G316" s="480" t="s">
        <v>1503</v>
      </c>
      <c r="H316" s="249">
        <v>20.0</v>
      </c>
      <c r="I316" s="479">
        <v>9.769441187964048E-4</v>
      </c>
      <c r="K316" s="249"/>
      <c r="L316" s="480"/>
      <c r="M316" s="481"/>
      <c r="O316" s="492" t="str">
        <f>IFERROR(__xludf.DUMMYFUNCTION("""COMPUTED_VALUE"""),"Gold Cove - Crown 2★ #B5C")</f>
        <v>Gold Cove - Crown 2★ #B5C</v>
      </c>
      <c r="P316" s="249">
        <f>IFERROR(__xludf.DUMMYFUNCTION("""COMPUTED_VALUE"""),20.0)</f>
        <v>20</v>
      </c>
      <c r="Q316" s="481"/>
    </row>
    <row r="317" ht="12.75" customHeight="1">
      <c r="G317" s="480" t="s">
        <v>1504</v>
      </c>
      <c r="H317" s="249">
        <v>20.0</v>
      </c>
      <c r="I317" s="479">
        <v>9.769441187964048E-4</v>
      </c>
      <c r="K317" s="249"/>
      <c r="L317" s="480"/>
      <c r="M317" s="481"/>
      <c r="O317" s="492" t="str">
        <f>IFERROR(__xludf.DUMMYFUNCTION("""COMPUTED_VALUE"""),"Gold Cove - Crown 2★ #611")</f>
        <v>Gold Cove - Crown 2★ #611</v>
      </c>
      <c r="P317" s="249">
        <f>IFERROR(__xludf.DUMMYFUNCTION("""COMPUTED_VALUE"""),20.0)</f>
        <v>20</v>
      </c>
      <c r="Q317" s="481"/>
    </row>
    <row r="318" ht="12.75" customHeight="1">
      <c r="G318" s="480" t="s">
        <v>1506</v>
      </c>
      <c r="H318" s="249">
        <v>20.0</v>
      </c>
      <c r="I318" s="479">
        <v>9.769441187964048E-4</v>
      </c>
      <c r="K318" s="249"/>
      <c r="L318" s="480"/>
      <c r="M318" s="481"/>
      <c r="O318" s="492" t="str">
        <f>IFERROR(__xludf.DUMMYFUNCTION("""COMPUTED_VALUE"""),"Gold Cove - Crown 2★ #0C6")</f>
        <v>Gold Cove - Crown 2★ #0C6</v>
      </c>
      <c r="P318" s="249">
        <f>IFERROR(__xludf.DUMMYFUNCTION("""COMPUTED_VALUE"""),20.0)</f>
        <v>20</v>
      </c>
      <c r="Q318" s="481"/>
    </row>
    <row r="319" ht="12.75" customHeight="1">
      <c r="G319" s="480" t="s">
        <v>1507</v>
      </c>
      <c r="H319" s="249">
        <v>20.0</v>
      </c>
      <c r="I319" s="479">
        <v>9.769441187964048E-4</v>
      </c>
      <c r="K319" s="249"/>
      <c r="L319" s="480"/>
      <c r="M319" s="481"/>
      <c r="O319" s="492" t="str">
        <f>IFERROR(__xludf.DUMMYFUNCTION("""COMPUTED_VALUE"""),"Gold Cove - Crown 2★ #B7B")</f>
        <v>Gold Cove - Crown 2★ #B7B</v>
      </c>
      <c r="P319" s="249">
        <f>IFERROR(__xludf.DUMMYFUNCTION("""COMPUTED_VALUE"""),20.0)</f>
        <v>20</v>
      </c>
      <c r="Q319" s="481"/>
    </row>
    <row r="320" ht="12.75" customHeight="1">
      <c r="G320" s="480" t="s">
        <v>1509</v>
      </c>
      <c r="H320" s="249">
        <v>20.0</v>
      </c>
      <c r="I320" s="479">
        <v>9.769441187964048E-4</v>
      </c>
      <c r="K320" s="249"/>
      <c r="L320" s="480"/>
      <c r="M320" s="481"/>
      <c r="O320" s="492" t="str">
        <f>IFERROR(__xludf.DUMMYFUNCTION("""COMPUTED_VALUE"""),"Gold Cove - Crown 2★ #630")</f>
        <v>Gold Cove - Crown 2★ #630</v>
      </c>
      <c r="P320" s="249">
        <f>IFERROR(__xludf.DUMMYFUNCTION("""COMPUTED_VALUE"""),20.0)</f>
        <v>20</v>
      </c>
      <c r="Q320" s="481"/>
    </row>
    <row r="321" ht="12.75" customHeight="1">
      <c r="G321" s="480" t="s">
        <v>1511</v>
      </c>
      <c r="H321" s="249">
        <v>20.0</v>
      </c>
      <c r="I321" s="479">
        <v>9.769441187964048E-4</v>
      </c>
      <c r="K321" s="249"/>
      <c r="L321" s="480"/>
      <c r="M321" s="481"/>
      <c r="O321" s="492" t="str">
        <f>IFERROR(__xludf.DUMMYFUNCTION("""COMPUTED_VALUE"""),"Gold Cove - Crown 2★ #0E5")</f>
        <v>Gold Cove - Crown 2★ #0E5</v>
      </c>
      <c r="P321" s="249">
        <f>IFERROR(__xludf.DUMMYFUNCTION("""COMPUTED_VALUE"""),20.0)</f>
        <v>20</v>
      </c>
      <c r="Q321" s="481"/>
    </row>
    <row r="322" ht="12.75" customHeight="1">
      <c r="G322" s="480" t="s">
        <v>1512</v>
      </c>
      <c r="H322" s="249">
        <v>10.0</v>
      </c>
      <c r="I322" s="479">
        <v>4.884720593982024E-4</v>
      </c>
      <c r="K322" s="249"/>
      <c r="L322" s="480"/>
      <c r="M322" s="481"/>
      <c r="O322" s="492" t="str">
        <f>IFERROR(__xludf.DUMMYFUNCTION("""COMPUTED_VALUE"""),"Gold Cove - Goblet 3★ #B9A")</f>
        <v>Gold Cove - Goblet 3★ #B9A</v>
      </c>
      <c r="P322" s="249">
        <f>IFERROR(__xludf.DUMMYFUNCTION("""COMPUTED_VALUE"""),10.0)</f>
        <v>10</v>
      </c>
      <c r="Q322" s="481"/>
    </row>
    <row r="323" ht="12.75" customHeight="1">
      <c r="G323" s="480" t="s">
        <v>1513</v>
      </c>
      <c r="H323" s="249">
        <v>10.0</v>
      </c>
      <c r="I323" s="479">
        <v>4.884720593982024E-4</v>
      </c>
      <c r="K323" s="249"/>
      <c r="L323" s="480"/>
      <c r="M323" s="481"/>
      <c r="O323" s="492" t="str">
        <f>IFERROR(__xludf.DUMMYFUNCTION("""COMPUTED_VALUE"""),"Gold Cove - Goblet 3★ #64F")</f>
        <v>Gold Cove - Goblet 3★ #64F</v>
      </c>
      <c r="P323" s="249">
        <f>IFERROR(__xludf.DUMMYFUNCTION("""COMPUTED_VALUE"""),10.0)</f>
        <v>10</v>
      </c>
      <c r="Q323" s="481"/>
    </row>
    <row r="324" ht="12.75" customHeight="1">
      <c r="G324" s="480" t="s">
        <v>1515</v>
      </c>
      <c r="H324" s="249">
        <v>10.0</v>
      </c>
      <c r="I324" s="479">
        <v>4.884720593982024E-4</v>
      </c>
      <c r="K324" s="249"/>
      <c r="L324" s="480"/>
      <c r="M324" s="481"/>
      <c r="O324" s="492" t="str">
        <f>IFERROR(__xludf.DUMMYFUNCTION("""COMPUTED_VALUE"""),"Gold Cove - Goblet 3★ #104")</f>
        <v>Gold Cove - Goblet 3★ #104</v>
      </c>
      <c r="P324" s="249">
        <f>IFERROR(__xludf.DUMMYFUNCTION("""COMPUTED_VALUE"""),10.0)</f>
        <v>10</v>
      </c>
      <c r="Q324" s="481"/>
    </row>
    <row r="325" ht="12.75" customHeight="1">
      <c r="G325" s="480" t="s">
        <v>1517</v>
      </c>
      <c r="H325" s="249">
        <v>10.0</v>
      </c>
      <c r="I325" s="479">
        <v>4.884720593982024E-4</v>
      </c>
      <c r="K325" s="249"/>
      <c r="L325" s="480"/>
      <c r="M325" s="481"/>
      <c r="O325" s="492" t="str">
        <f>IFERROR(__xludf.DUMMYFUNCTION("""COMPUTED_VALUE"""),"Gold Cove - Goblet 3★ #BB9")</f>
        <v>Gold Cove - Goblet 3★ #BB9</v>
      </c>
      <c r="P325" s="249">
        <f>IFERROR(__xludf.DUMMYFUNCTION("""COMPUTED_VALUE"""),10.0)</f>
        <v>10</v>
      </c>
      <c r="Q325" s="481"/>
    </row>
    <row r="326" ht="12.75" customHeight="1">
      <c r="G326" s="480" t="s">
        <v>1518</v>
      </c>
      <c r="H326" s="249">
        <v>10.0</v>
      </c>
      <c r="I326" s="479">
        <v>4.884720593982024E-4</v>
      </c>
      <c r="K326" s="249"/>
      <c r="L326" s="480"/>
      <c r="M326" s="481"/>
      <c r="O326" s="492" t="str">
        <f>IFERROR(__xludf.DUMMYFUNCTION("""COMPUTED_VALUE"""),"Gold Cove - Goblet 3★ #66E")</f>
        <v>Gold Cove - Goblet 3★ #66E</v>
      </c>
      <c r="P326" s="249">
        <f>IFERROR(__xludf.DUMMYFUNCTION("""COMPUTED_VALUE"""),10.0)</f>
        <v>10</v>
      </c>
      <c r="Q326" s="481"/>
    </row>
    <row r="327" ht="12.75" customHeight="1">
      <c r="G327" s="480" t="s">
        <v>1520</v>
      </c>
      <c r="H327" s="249">
        <v>10.0</v>
      </c>
      <c r="I327" s="479">
        <v>4.884720593982024E-4</v>
      </c>
      <c r="K327" s="249"/>
      <c r="L327" s="480"/>
      <c r="M327" s="481"/>
      <c r="O327" s="492" t="str">
        <f>IFERROR(__xludf.DUMMYFUNCTION("""COMPUTED_VALUE"""),"Gold Cove - Goblet 3★ #123")</f>
        <v>Gold Cove - Goblet 3★ #123</v>
      </c>
      <c r="P327" s="249">
        <f>IFERROR(__xludf.DUMMYFUNCTION("""COMPUTED_VALUE"""),10.0)</f>
        <v>10</v>
      </c>
      <c r="Q327" s="481"/>
    </row>
    <row r="328" ht="12.75" customHeight="1">
      <c r="G328" s="480" t="s">
        <v>1521</v>
      </c>
      <c r="H328" s="249">
        <v>10.0</v>
      </c>
      <c r="I328" s="479">
        <v>4.884720593982024E-4</v>
      </c>
      <c r="K328" s="249"/>
      <c r="L328" s="480"/>
      <c r="M328" s="481"/>
      <c r="O328" s="492" t="str">
        <f>IFERROR(__xludf.DUMMYFUNCTION("""COMPUTED_VALUE"""),"Gold Cove - Goblet 3★ #BD8")</f>
        <v>Gold Cove - Goblet 3★ #BD8</v>
      </c>
      <c r="P328" s="249">
        <f>IFERROR(__xludf.DUMMYFUNCTION("""COMPUTED_VALUE"""),10.0)</f>
        <v>10</v>
      </c>
      <c r="Q328" s="481"/>
    </row>
    <row r="329" ht="12.75" customHeight="1">
      <c r="G329" s="480" t="s">
        <v>1522</v>
      </c>
      <c r="H329" s="249">
        <v>10.0</v>
      </c>
      <c r="I329" s="479">
        <v>4.884720593982024E-4</v>
      </c>
      <c r="K329" s="249"/>
      <c r="L329" s="480"/>
      <c r="M329" s="481"/>
      <c r="O329" s="492" t="str">
        <f>IFERROR(__xludf.DUMMYFUNCTION("""COMPUTED_VALUE"""),"Gold Cove - Goblet 3★ #68D")</f>
        <v>Gold Cove - Goblet 3★ #68D</v>
      </c>
      <c r="P329" s="249">
        <f>IFERROR(__xludf.DUMMYFUNCTION("""COMPUTED_VALUE"""),10.0)</f>
        <v>10</v>
      </c>
      <c r="Q329" s="481"/>
    </row>
    <row r="330" ht="12.75" customHeight="1">
      <c r="G330" s="480" t="s">
        <v>1524</v>
      </c>
      <c r="H330" s="249">
        <v>10.0</v>
      </c>
      <c r="I330" s="479">
        <v>4.884720593982024E-4</v>
      </c>
      <c r="K330" s="249"/>
      <c r="L330" s="480"/>
      <c r="M330" s="481"/>
      <c r="O330" s="492" t="str">
        <f>IFERROR(__xludf.DUMMYFUNCTION("""COMPUTED_VALUE"""),"Gold Cove - Goblet 3★ #142")</f>
        <v>Gold Cove - Goblet 3★ #142</v>
      </c>
      <c r="P330" s="249">
        <f>IFERROR(__xludf.DUMMYFUNCTION("""COMPUTED_VALUE"""),10.0)</f>
        <v>10</v>
      </c>
      <c r="Q330" s="481"/>
    </row>
    <row r="331" ht="12.75" customHeight="1">
      <c r="G331" s="480" t="s">
        <v>1526</v>
      </c>
      <c r="H331" s="249">
        <v>10.0</v>
      </c>
      <c r="I331" s="479">
        <v>4.884720593982024E-4</v>
      </c>
      <c r="K331" s="249"/>
      <c r="L331" s="480"/>
      <c r="M331" s="481"/>
      <c r="O331" s="492" t="str">
        <f>IFERROR(__xludf.DUMMYFUNCTION("""COMPUTED_VALUE"""),"Gold Cove - Goblet 3★ #BF7")</f>
        <v>Gold Cove - Goblet 3★ #BF7</v>
      </c>
      <c r="P331" s="249">
        <f>IFERROR(__xludf.DUMMYFUNCTION("""COMPUTED_VALUE"""),10.0)</f>
        <v>10</v>
      </c>
      <c r="Q331" s="481"/>
    </row>
    <row r="332" ht="12.75" customHeight="1">
      <c r="G332" s="480" t="s">
        <v>1527</v>
      </c>
      <c r="H332" s="249">
        <v>10.0</v>
      </c>
      <c r="I332" s="479">
        <v>4.884720593982024E-4</v>
      </c>
      <c r="K332" s="249"/>
      <c r="L332" s="480"/>
      <c r="M332" s="481"/>
      <c r="O332" s="492" t="str">
        <f>IFERROR(__xludf.DUMMYFUNCTION("""COMPUTED_VALUE"""),"Gold Cove - Goblet 3★ #6AC")</f>
        <v>Gold Cove - Goblet 3★ #6AC</v>
      </c>
      <c r="P332" s="249">
        <f>IFERROR(__xludf.DUMMYFUNCTION("""COMPUTED_VALUE"""),10.0)</f>
        <v>10</v>
      </c>
      <c r="Q332" s="481"/>
    </row>
    <row r="333" ht="12.75" customHeight="1">
      <c r="G333" s="480" t="s">
        <v>1528</v>
      </c>
      <c r="H333" s="249">
        <v>10.0</v>
      </c>
      <c r="I333" s="479">
        <v>4.884720593982024E-4</v>
      </c>
      <c r="K333" s="249"/>
      <c r="L333" s="480"/>
      <c r="M333" s="481"/>
      <c r="O333" s="492" t="str">
        <f>IFERROR(__xludf.DUMMYFUNCTION("""COMPUTED_VALUE"""),"Gold Cove - Goblet 3★ #161")</f>
        <v>Gold Cove - Goblet 3★ #161</v>
      </c>
      <c r="P333" s="249">
        <f>IFERROR(__xludf.DUMMYFUNCTION("""COMPUTED_VALUE"""),10.0)</f>
        <v>10</v>
      </c>
      <c r="Q333" s="481"/>
    </row>
    <row r="334" ht="12.75" customHeight="1">
      <c r="G334" s="480" t="s">
        <v>1529</v>
      </c>
      <c r="H334" s="249">
        <v>10.0</v>
      </c>
      <c r="I334" s="479">
        <v>4.884720593982024E-4</v>
      </c>
      <c r="K334" s="249"/>
      <c r="L334" s="480"/>
      <c r="M334" s="481"/>
      <c r="O334" s="492" t="str">
        <f>IFERROR(__xludf.DUMMYFUNCTION("""COMPUTED_VALUE"""),"Gold Cove - Goblet 3★ #C16")</f>
        <v>Gold Cove - Goblet 3★ #C16</v>
      </c>
      <c r="P334" s="249">
        <f>IFERROR(__xludf.DUMMYFUNCTION("""COMPUTED_VALUE"""),10.0)</f>
        <v>10</v>
      </c>
      <c r="Q334" s="481"/>
    </row>
    <row r="335" ht="12.75" customHeight="1">
      <c r="G335" s="480" t="s">
        <v>1530</v>
      </c>
      <c r="H335" s="249">
        <v>5.0</v>
      </c>
      <c r="I335" s="479">
        <v>2.442360296991012E-4</v>
      </c>
      <c r="K335" s="249"/>
      <c r="L335" s="480"/>
      <c r="M335" s="481"/>
      <c r="O335" s="492" t="str">
        <f>IFERROR(__xludf.DUMMYFUNCTION("""COMPUTED_VALUE"""),"Gold Cove - Necklace 4★ #6CB")</f>
        <v>Gold Cove - Necklace 4★ #6CB</v>
      </c>
      <c r="P335" s="249">
        <f>IFERROR(__xludf.DUMMYFUNCTION("""COMPUTED_VALUE"""),5.0)</f>
        <v>5</v>
      </c>
      <c r="Q335" s="481"/>
    </row>
    <row r="336" ht="12.75" customHeight="1">
      <c r="G336" s="480" t="s">
        <v>1532</v>
      </c>
      <c r="H336" s="249">
        <v>5.0</v>
      </c>
      <c r="I336" s="479">
        <v>2.442360296991012E-4</v>
      </c>
      <c r="K336" s="249"/>
      <c r="L336" s="480"/>
      <c r="M336" s="481"/>
      <c r="O336" s="492" t="str">
        <f>IFERROR(__xludf.DUMMYFUNCTION("""COMPUTED_VALUE"""),"Gold Cove - Necklace 4★ #180")</f>
        <v>Gold Cove - Necklace 4★ #180</v>
      </c>
      <c r="P336" s="249">
        <f>IFERROR(__xludf.DUMMYFUNCTION("""COMPUTED_VALUE"""),5.0)</f>
        <v>5</v>
      </c>
      <c r="Q336" s="481"/>
    </row>
    <row r="337" ht="12.75" customHeight="1">
      <c r="G337" s="480" t="s">
        <v>1533</v>
      </c>
      <c r="H337" s="249">
        <v>5.0</v>
      </c>
      <c r="I337" s="479">
        <v>2.442360296991012E-4</v>
      </c>
      <c r="K337" s="249"/>
      <c r="L337" s="480"/>
      <c r="M337" s="481"/>
      <c r="O337" s="492" t="str">
        <f>IFERROR(__xludf.DUMMYFUNCTION("""COMPUTED_VALUE"""),"Gold Cove - Necklace 4★ #C35")</f>
        <v>Gold Cove - Necklace 4★ #C35</v>
      </c>
      <c r="P337" s="249">
        <f>IFERROR(__xludf.DUMMYFUNCTION("""COMPUTED_VALUE"""),5.0)</f>
        <v>5</v>
      </c>
      <c r="Q337" s="481"/>
    </row>
    <row r="338" ht="12.75" customHeight="1">
      <c r="G338" s="480" t="s">
        <v>1534</v>
      </c>
      <c r="H338" s="249">
        <v>5.0</v>
      </c>
      <c r="I338" s="479">
        <v>2.442360296991012E-4</v>
      </c>
      <c r="K338" s="249"/>
      <c r="L338" s="480"/>
      <c r="M338" s="481"/>
      <c r="O338" s="492" t="str">
        <f>IFERROR(__xludf.DUMMYFUNCTION("""COMPUTED_VALUE"""),"Gold Cove - Necklace 4★ #6EA")</f>
        <v>Gold Cove - Necklace 4★ #6EA</v>
      </c>
      <c r="P338" s="249">
        <f>IFERROR(__xludf.DUMMYFUNCTION("""COMPUTED_VALUE"""),5.0)</f>
        <v>5</v>
      </c>
      <c r="Q338" s="481"/>
    </row>
    <row r="339" ht="12.75" customHeight="1">
      <c r="G339" s="480" t="s">
        <v>1536</v>
      </c>
      <c r="H339" s="249">
        <v>5.0</v>
      </c>
      <c r="I339" s="479">
        <v>2.442360296991012E-4</v>
      </c>
      <c r="K339" s="249"/>
      <c r="L339" s="480"/>
      <c r="M339" s="481"/>
      <c r="O339" s="492" t="str">
        <f>IFERROR(__xludf.DUMMYFUNCTION("""COMPUTED_VALUE"""),"Gold Cove - Necklace 4★ #19F")</f>
        <v>Gold Cove - Necklace 4★ #19F</v>
      </c>
      <c r="P339" s="249">
        <f>IFERROR(__xludf.DUMMYFUNCTION("""COMPUTED_VALUE"""),5.0)</f>
        <v>5</v>
      </c>
      <c r="Q339" s="481"/>
    </row>
    <row r="340" ht="12.75" customHeight="1">
      <c r="G340" s="480" t="s">
        <v>1537</v>
      </c>
      <c r="H340" s="249">
        <v>5.0</v>
      </c>
      <c r="I340" s="479">
        <v>2.442360296991012E-4</v>
      </c>
      <c r="K340" s="249"/>
      <c r="L340" s="480"/>
      <c r="M340" s="481"/>
      <c r="O340" s="492" t="str">
        <f>IFERROR(__xludf.DUMMYFUNCTION("""COMPUTED_VALUE"""),"Gold Cove - Necklace 4★ #C54")</f>
        <v>Gold Cove - Necklace 4★ #C54</v>
      </c>
      <c r="P340" s="249">
        <f>IFERROR(__xludf.DUMMYFUNCTION("""COMPUTED_VALUE"""),5.0)</f>
        <v>5</v>
      </c>
      <c r="Q340" s="481"/>
    </row>
    <row r="341" ht="12.75" customHeight="1">
      <c r="G341" s="480" t="s">
        <v>1540</v>
      </c>
      <c r="H341" s="249">
        <v>5.0</v>
      </c>
      <c r="I341" s="479">
        <v>2.442360296991012E-4</v>
      </c>
      <c r="K341" s="249"/>
      <c r="L341" s="480"/>
      <c r="M341" s="481"/>
      <c r="O341" s="492" t="str">
        <f>IFERROR(__xludf.DUMMYFUNCTION("""COMPUTED_VALUE"""),"Gold Cove - Necklace 4★ #709")</f>
        <v>Gold Cove - Necklace 4★ #709</v>
      </c>
      <c r="P341" s="249">
        <f>IFERROR(__xludf.DUMMYFUNCTION("""COMPUTED_VALUE"""),5.0)</f>
        <v>5</v>
      </c>
      <c r="Q341" s="481"/>
    </row>
    <row r="342" ht="12.75" customHeight="1">
      <c r="G342" s="480" t="s">
        <v>1541</v>
      </c>
      <c r="H342" s="249">
        <v>5.0</v>
      </c>
      <c r="I342" s="479">
        <v>2.442360296991012E-4</v>
      </c>
      <c r="K342" s="249"/>
      <c r="L342" s="480"/>
      <c r="M342" s="481"/>
      <c r="O342" s="492" t="str">
        <f>IFERROR(__xludf.DUMMYFUNCTION("""COMPUTED_VALUE"""),"Gold Cove - Necklace 4★ #1BE")</f>
        <v>Gold Cove - Necklace 4★ #1BE</v>
      </c>
      <c r="P342" s="249">
        <f>IFERROR(__xludf.DUMMYFUNCTION("""COMPUTED_VALUE"""),5.0)</f>
        <v>5</v>
      </c>
      <c r="Q342" s="481"/>
    </row>
    <row r="343" ht="12.75" customHeight="1">
      <c r="G343" s="480" t="s">
        <v>1543</v>
      </c>
      <c r="H343" s="249">
        <v>5.0</v>
      </c>
      <c r="I343" s="479">
        <v>2.442360296991012E-4</v>
      </c>
      <c r="K343" s="249"/>
      <c r="L343" s="480"/>
      <c r="M343" s="481"/>
      <c r="O343" s="492" t="str">
        <f>IFERROR(__xludf.DUMMYFUNCTION("""COMPUTED_VALUE"""),"Gold Cove - Necklace 4★ #C73")</f>
        <v>Gold Cove - Necklace 4★ #C73</v>
      </c>
      <c r="P343" s="249">
        <f>IFERROR(__xludf.DUMMYFUNCTION("""COMPUTED_VALUE"""),5.0)</f>
        <v>5</v>
      </c>
      <c r="Q343" s="481"/>
    </row>
    <row r="344" ht="12.75" customHeight="1">
      <c r="G344" s="480" t="s">
        <v>1544</v>
      </c>
      <c r="H344" s="249">
        <v>5.0</v>
      </c>
      <c r="I344" s="479">
        <v>2.442360296991012E-4</v>
      </c>
      <c r="K344" s="249"/>
      <c r="L344" s="480"/>
      <c r="M344" s="481"/>
      <c r="O344" s="492" t="str">
        <f>IFERROR(__xludf.DUMMYFUNCTION("""COMPUTED_VALUE"""),"Gold Cove - Necklace 4★ #728")</f>
        <v>Gold Cove - Necklace 4★ #728</v>
      </c>
      <c r="P344" s="249">
        <f>IFERROR(__xludf.DUMMYFUNCTION("""COMPUTED_VALUE"""),5.0)</f>
        <v>5</v>
      </c>
      <c r="Q344" s="481"/>
    </row>
    <row r="345" ht="12.75" customHeight="1">
      <c r="G345" s="480" t="s">
        <v>1545</v>
      </c>
      <c r="H345" s="249">
        <v>5.0</v>
      </c>
      <c r="I345" s="479">
        <v>2.442360296991012E-4</v>
      </c>
      <c r="K345" s="249"/>
      <c r="L345" s="480"/>
      <c r="M345" s="481"/>
      <c r="O345" s="492" t="str">
        <f>IFERROR(__xludf.DUMMYFUNCTION("""COMPUTED_VALUE"""),"Gold Cove - Necklace 4★ #1DD")</f>
        <v>Gold Cove - Necklace 4★ #1DD</v>
      </c>
      <c r="P345" s="249">
        <f>IFERROR(__xludf.DUMMYFUNCTION("""COMPUTED_VALUE"""),5.0)</f>
        <v>5</v>
      </c>
      <c r="Q345" s="481"/>
    </row>
    <row r="346" ht="12.75" customHeight="1">
      <c r="G346" s="480" t="s">
        <v>1546</v>
      </c>
      <c r="H346" s="249">
        <v>5.0</v>
      </c>
      <c r="I346" s="479">
        <v>2.442360296991012E-4</v>
      </c>
      <c r="K346" s="249"/>
      <c r="L346" s="480"/>
      <c r="M346" s="481"/>
      <c r="O346" s="492" t="str">
        <f>IFERROR(__xludf.DUMMYFUNCTION("""COMPUTED_VALUE"""),"Gold Cove - Necklace 4★ #C92")</f>
        <v>Gold Cove - Necklace 4★ #C92</v>
      </c>
      <c r="P346" s="249">
        <f>IFERROR(__xludf.DUMMYFUNCTION("""COMPUTED_VALUE"""),5.0)</f>
        <v>5</v>
      </c>
      <c r="Q346" s="481"/>
    </row>
    <row r="347" ht="12.75" customHeight="1">
      <c r="G347" s="480" t="s">
        <v>1547</v>
      </c>
      <c r="H347" s="249">
        <v>5.0</v>
      </c>
      <c r="I347" s="479">
        <v>2.442360296991012E-4</v>
      </c>
      <c r="K347" s="249"/>
      <c r="L347" s="480"/>
      <c r="M347" s="481"/>
      <c r="O347" s="492" t="str">
        <f>IFERROR(__xludf.DUMMYFUNCTION("""COMPUTED_VALUE"""),"Gold Cove - Ring 4★ #747")</f>
        <v>Gold Cove - Ring 4★ #747</v>
      </c>
      <c r="P347" s="249">
        <f>IFERROR(__xludf.DUMMYFUNCTION("""COMPUTED_VALUE"""),5.0)</f>
        <v>5</v>
      </c>
      <c r="Q347" s="481"/>
    </row>
    <row r="348" ht="12.75" customHeight="1">
      <c r="G348" s="480" t="s">
        <v>1548</v>
      </c>
      <c r="H348" s="249">
        <v>5.0</v>
      </c>
      <c r="I348" s="479">
        <v>2.442360296991012E-4</v>
      </c>
      <c r="K348" s="249"/>
      <c r="L348" s="480"/>
      <c r="M348" s="481"/>
      <c r="O348" s="492" t="str">
        <f>IFERROR(__xludf.DUMMYFUNCTION("""COMPUTED_VALUE"""),"Gold Cove - Ring 4★ #1FC")</f>
        <v>Gold Cove - Ring 4★ #1FC</v>
      </c>
      <c r="P348" s="249">
        <f>IFERROR(__xludf.DUMMYFUNCTION("""COMPUTED_VALUE"""),5.0)</f>
        <v>5</v>
      </c>
      <c r="Q348" s="481"/>
    </row>
    <row r="349" ht="12.75" customHeight="1">
      <c r="G349" s="480" t="s">
        <v>1549</v>
      </c>
      <c r="H349" s="249">
        <v>5.0</v>
      </c>
      <c r="I349" s="479">
        <v>2.442360296991012E-4</v>
      </c>
      <c r="K349" s="249"/>
      <c r="L349" s="480"/>
      <c r="M349" s="481"/>
      <c r="O349" s="492" t="str">
        <f>IFERROR(__xludf.DUMMYFUNCTION("""COMPUTED_VALUE"""),"Gold Cove - Ring 4★ #CB1")</f>
        <v>Gold Cove - Ring 4★ #CB1</v>
      </c>
      <c r="P349" s="249">
        <f>IFERROR(__xludf.DUMMYFUNCTION("""COMPUTED_VALUE"""),5.0)</f>
        <v>5</v>
      </c>
      <c r="Q349" s="481"/>
    </row>
    <row r="350" ht="12.75" customHeight="1">
      <c r="G350" s="480" t="s">
        <v>1551</v>
      </c>
      <c r="H350" s="249">
        <v>5.0</v>
      </c>
      <c r="I350" s="479">
        <v>2.442360296991012E-4</v>
      </c>
      <c r="K350" s="249"/>
      <c r="L350" s="480"/>
      <c r="M350" s="481"/>
      <c r="O350" s="492" t="str">
        <f>IFERROR(__xludf.DUMMYFUNCTION("""COMPUTED_VALUE"""),"Gold Cove - Ring 4★ #766")</f>
        <v>Gold Cove - Ring 4★ #766</v>
      </c>
      <c r="P350" s="249">
        <f>IFERROR(__xludf.DUMMYFUNCTION("""COMPUTED_VALUE"""),5.0)</f>
        <v>5</v>
      </c>
      <c r="Q350" s="481"/>
    </row>
    <row r="351" ht="12.75" customHeight="1">
      <c r="G351" s="480" t="s">
        <v>1552</v>
      </c>
      <c r="H351" s="249">
        <v>5.0</v>
      </c>
      <c r="I351" s="479">
        <v>2.442360296991012E-4</v>
      </c>
      <c r="K351" s="249"/>
      <c r="L351" s="480"/>
      <c r="M351" s="481"/>
      <c r="O351" s="492" t="str">
        <f>IFERROR(__xludf.DUMMYFUNCTION("""COMPUTED_VALUE"""),"Gold Cove - Ring 4★ #21B")</f>
        <v>Gold Cove - Ring 4★ #21B</v>
      </c>
      <c r="P351" s="249">
        <f>IFERROR(__xludf.DUMMYFUNCTION("""COMPUTED_VALUE"""),5.0)</f>
        <v>5</v>
      </c>
      <c r="Q351" s="481"/>
    </row>
    <row r="352" ht="12.75" customHeight="1">
      <c r="G352" s="480" t="s">
        <v>1553</v>
      </c>
      <c r="H352" s="249">
        <v>5.0</v>
      </c>
      <c r="I352" s="479">
        <v>2.442360296991012E-4</v>
      </c>
      <c r="K352" s="249"/>
      <c r="L352" s="480"/>
      <c r="M352" s="481"/>
      <c r="O352" s="492" t="str">
        <f>IFERROR(__xludf.DUMMYFUNCTION("""COMPUTED_VALUE"""),"Gold Cove - Ring 4★ #CD0")</f>
        <v>Gold Cove - Ring 4★ #CD0</v>
      </c>
      <c r="P352" s="249">
        <f>IFERROR(__xludf.DUMMYFUNCTION("""COMPUTED_VALUE"""),5.0)</f>
        <v>5</v>
      </c>
      <c r="Q352" s="481"/>
    </row>
    <row r="353" ht="12.75" customHeight="1">
      <c r="G353" s="480" t="s">
        <v>1554</v>
      </c>
      <c r="H353" s="249">
        <v>5.0</v>
      </c>
      <c r="I353" s="479">
        <v>2.442360296991012E-4</v>
      </c>
      <c r="K353" s="249"/>
      <c r="L353" s="480"/>
      <c r="M353" s="481"/>
      <c r="O353" s="492" t="str">
        <f>IFERROR(__xludf.DUMMYFUNCTION("""COMPUTED_VALUE"""),"Gold Cove - Ring 4★ #785")</f>
        <v>Gold Cove - Ring 4★ #785</v>
      </c>
      <c r="P353" s="249">
        <f>IFERROR(__xludf.DUMMYFUNCTION("""COMPUTED_VALUE"""),5.0)</f>
        <v>5</v>
      </c>
      <c r="Q353" s="481"/>
    </row>
    <row r="354" ht="12.75" customHeight="1">
      <c r="G354" s="480" t="s">
        <v>1555</v>
      </c>
      <c r="H354" s="249">
        <v>5.0</v>
      </c>
      <c r="I354" s="479">
        <v>2.442360296991012E-4</v>
      </c>
      <c r="K354" s="249"/>
      <c r="L354" s="480"/>
      <c r="M354" s="481"/>
      <c r="O354" s="492" t="str">
        <f>IFERROR(__xludf.DUMMYFUNCTION("""COMPUTED_VALUE"""),"Gold Cove - Ring 4★ #23A")</f>
        <v>Gold Cove - Ring 4★ #23A</v>
      </c>
      <c r="P354" s="249">
        <f>IFERROR(__xludf.DUMMYFUNCTION("""COMPUTED_VALUE"""),5.0)</f>
        <v>5</v>
      </c>
      <c r="Q354" s="481"/>
    </row>
    <row r="355" ht="12.75" customHeight="1">
      <c r="G355" s="480" t="s">
        <v>1556</v>
      </c>
      <c r="H355" s="249">
        <v>5.0</v>
      </c>
      <c r="I355" s="479">
        <v>2.442360296991012E-4</v>
      </c>
      <c r="K355" s="249"/>
      <c r="L355" s="480"/>
      <c r="M355" s="481"/>
      <c r="O355" s="492" t="str">
        <f>IFERROR(__xludf.DUMMYFUNCTION("""COMPUTED_VALUE"""),"Gold Cove - Ring 4★ #CEF")</f>
        <v>Gold Cove - Ring 4★ #CEF</v>
      </c>
      <c r="P355" s="249">
        <f>IFERROR(__xludf.DUMMYFUNCTION("""COMPUTED_VALUE"""),5.0)</f>
        <v>5</v>
      </c>
      <c r="Q355" s="481"/>
    </row>
    <row r="356" ht="12.75" customHeight="1">
      <c r="G356" s="480" t="s">
        <v>1557</v>
      </c>
      <c r="H356" s="249">
        <v>5.0</v>
      </c>
      <c r="I356" s="479">
        <v>2.442360296991012E-4</v>
      </c>
      <c r="K356" s="249"/>
      <c r="L356" s="480"/>
      <c r="M356" s="481"/>
      <c r="O356" s="492" t="str">
        <f>IFERROR(__xludf.DUMMYFUNCTION("""COMPUTED_VALUE"""),"Gold Cove - Ring 4★ #7A4")</f>
        <v>Gold Cove - Ring 4★ #7A4</v>
      </c>
      <c r="P356" s="249">
        <f>IFERROR(__xludf.DUMMYFUNCTION("""COMPUTED_VALUE"""),5.0)</f>
        <v>5</v>
      </c>
      <c r="Q356" s="481"/>
    </row>
    <row r="357" ht="12.75" customHeight="1">
      <c r="G357" s="480" t="s">
        <v>1559</v>
      </c>
      <c r="H357" s="249">
        <v>5.0</v>
      </c>
      <c r="I357" s="479">
        <v>2.442360296991012E-4</v>
      </c>
      <c r="K357" s="249"/>
      <c r="L357" s="480"/>
      <c r="M357" s="481"/>
      <c r="O357" s="492" t="str">
        <f>IFERROR(__xludf.DUMMYFUNCTION("""COMPUTED_VALUE"""),"Gold Cove - Ring 4★ #259")</f>
        <v>Gold Cove - Ring 4★ #259</v>
      </c>
      <c r="P357" s="249">
        <f>IFERROR(__xludf.DUMMYFUNCTION("""COMPUTED_VALUE"""),5.0)</f>
        <v>5</v>
      </c>
      <c r="Q357" s="481"/>
    </row>
    <row r="358" ht="12.75" customHeight="1">
      <c r="G358" s="480" t="s">
        <v>1560</v>
      </c>
      <c r="H358" s="249">
        <v>2.0</v>
      </c>
      <c r="I358" s="479">
        <v>9.769441187964049E-5</v>
      </c>
      <c r="K358" s="249"/>
      <c r="L358" s="480"/>
      <c r="M358" s="481"/>
      <c r="O358" s="492" t="str">
        <f>IFERROR(__xludf.DUMMYFUNCTION("""COMPUTED_VALUE"""),"Gold Cove - Scepter 5★ #D0E")</f>
        <v>Gold Cove - Scepter 5★ #D0E</v>
      </c>
      <c r="P358" s="249">
        <f>IFERROR(__xludf.DUMMYFUNCTION("""COMPUTED_VALUE"""),2.0)</f>
        <v>2</v>
      </c>
      <c r="Q358" s="481"/>
    </row>
    <row r="359" ht="12.75" customHeight="1">
      <c r="G359" s="480" t="s">
        <v>1561</v>
      </c>
      <c r="H359" s="249">
        <v>2.0</v>
      </c>
      <c r="I359" s="479">
        <v>9.769441187964049E-5</v>
      </c>
      <c r="K359" s="249"/>
      <c r="L359" s="480"/>
      <c r="M359" s="481"/>
      <c r="O359" s="492" t="str">
        <f>IFERROR(__xludf.DUMMYFUNCTION("""COMPUTED_VALUE"""),"Gold Cove - Scepter 5★ #7C3")</f>
        <v>Gold Cove - Scepter 5★ #7C3</v>
      </c>
      <c r="P359" s="249">
        <f>IFERROR(__xludf.DUMMYFUNCTION("""COMPUTED_VALUE"""),2.0)</f>
        <v>2</v>
      </c>
      <c r="Q359" s="481"/>
    </row>
    <row r="360" ht="12.75" customHeight="1">
      <c r="G360" s="480" t="s">
        <v>1562</v>
      </c>
      <c r="H360" s="249">
        <v>2.0</v>
      </c>
      <c r="I360" s="479">
        <v>9.769441187964049E-5</v>
      </c>
      <c r="K360" s="249"/>
      <c r="L360" s="480"/>
      <c r="M360" s="481"/>
      <c r="O360" s="492" t="str">
        <f>IFERROR(__xludf.DUMMYFUNCTION("""COMPUTED_VALUE"""),"Gold Cove - Scepter 5★ #278")</f>
        <v>Gold Cove - Scepter 5★ #278</v>
      </c>
      <c r="P360" s="249">
        <f>IFERROR(__xludf.DUMMYFUNCTION("""COMPUTED_VALUE"""),2.0)</f>
        <v>2</v>
      </c>
      <c r="Q360" s="481"/>
    </row>
    <row r="361" ht="12.75" customHeight="1">
      <c r="G361" s="480" t="s">
        <v>1564</v>
      </c>
      <c r="H361" s="249">
        <v>2.0</v>
      </c>
      <c r="I361" s="479">
        <v>9.769441187964049E-5</v>
      </c>
      <c r="K361" s="249"/>
      <c r="L361" s="480"/>
      <c r="M361" s="481"/>
      <c r="O361" s="492" t="str">
        <f>IFERROR(__xludf.DUMMYFUNCTION("""COMPUTED_VALUE"""),"Gold Cove - Scepter 5★ #D2D")</f>
        <v>Gold Cove - Scepter 5★ #D2D</v>
      </c>
      <c r="P361" s="249">
        <f>IFERROR(__xludf.DUMMYFUNCTION("""COMPUTED_VALUE"""),2.0)</f>
        <v>2</v>
      </c>
      <c r="Q361" s="481"/>
    </row>
    <row r="362" ht="12.75" customHeight="1">
      <c r="G362" s="480" t="s">
        <v>1565</v>
      </c>
      <c r="H362" s="249">
        <v>2.0</v>
      </c>
      <c r="I362" s="479">
        <v>9.769441187964049E-5</v>
      </c>
      <c r="K362" s="249"/>
      <c r="L362" s="480"/>
      <c r="M362" s="481"/>
      <c r="O362" s="492" t="str">
        <f>IFERROR(__xludf.DUMMYFUNCTION("""COMPUTED_VALUE"""),"Gold Cove - Scepter 5★ #7E2")</f>
        <v>Gold Cove - Scepter 5★ #7E2</v>
      </c>
      <c r="P362" s="249">
        <f>IFERROR(__xludf.DUMMYFUNCTION("""COMPUTED_VALUE"""),2.0)</f>
        <v>2</v>
      </c>
      <c r="Q362" s="481"/>
    </row>
    <row r="363" ht="12.75" customHeight="1">
      <c r="G363" s="480" t="s">
        <v>1566</v>
      </c>
      <c r="H363" s="249">
        <v>2.0</v>
      </c>
      <c r="I363" s="479">
        <v>9.769441187964049E-5</v>
      </c>
      <c r="K363" s="249"/>
      <c r="L363" s="480"/>
      <c r="M363" s="481"/>
      <c r="O363" s="492" t="str">
        <f>IFERROR(__xludf.DUMMYFUNCTION("""COMPUTED_VALUE"""),"Gold Cove - Scepter 5★ #297")</f>
        <v>Gold Cove - Scepter 5★ #297</v>
      </c>
      <c r="P363" s="249">
        <f>IFERROR(__xludf.DUMMYFUNCTION("""COMPUTED_VALUE"""),2.0)</f>
        <v>2</v>
      </c>
      <c r="Q363" s="481"/>
    </row>
    <row r="364" ht="12.75" customHeight="1">
      <c r="G364" s="480" t="s">
        <v>1567</v>
      </c>
      <c r="H364" s="249">
        <v>50.0</v>
      </c>
      <c r="I364" s="479">
        <v>0.0024423602969910123</v>
      </c>
      <c r="K364" s="249"/>
      <c r="L364" s="480"/>
      <c r="M364" s="481"/>
      <c r="O364" s="492" t="str">
        <f>IFERROR(__xludf.DUMMYFUNCTION("""COMPUTED_VALUE"""),"Ghost Ship - Fog Horn 1★ #D4C")</f>
        <v>Ghost Ship - Fog Horn 1★ #D4C</v>
      </c>
      <c r="P364" s="249">
        <f>IFERROR(__xludf.DUMMYFUNCTION("""COMPUTED_VALUE"""),50.0)</f>
        <v>50</v>
      </c>
      <c r="Q364" s="481"/>
    </row>
    <row r="365" ht="12.75" customHeight="1">
      <c r="G365" s="480" t="s">
        <v>1568</v>
      </c>
      <c r="H365" s="249">
        <v>50.0</v>
      </c>
      <c r="I365" s="479">
        <v>0.0024423602969910123</v>
      </c>
      <c r="K365" s="249"/>
      <c r="L365" s="480"/>
      <c r="M365" s="481"/>
      <c r="O365" s="492" t="str">
        <f>IFERROR(__xludf.DUMMYFUNCTION("""COMPUTED_VALUE"""),"Ghost Ship - Fog Horn 1★ #801")</f>
        <v>Ghost Ship - Fog Horn 1★ #801</v>
      </c>
      <c r="P365" s="249">
        <f>IFERROR(__xludf.DUMMYFUNCTION("""COMPUTED_VALUE"""),50.0)</f>
        <v>50</v>
      </c>
      <c r="Q365" s="481"/>
    </row>
    <row r="366" ht="12.75" customHeight="1">
      <c r="G366" s="480" t="s">
        <v>1570</v>
      </c>
      <c r="H366" s="249">
        <v>50.0</v>
      </c>
      <c r="I366" s="479">
        <v>0.0024423602969910123</v>
      </c>
      <c r="K366" s="249"/>
      <c r="L366" s="480"/>
      <c r="M366" s="481"/>
      <c r="O366" s="492" t="str">
        <f>IFERROR(__xludf.DUMMYFUNCTION("""COMPUTED_VALUE"""),"Ghost Ship - Fog Horn 1★ #2B6")</f>
        <v>Ghost Ship - Fog Horn 1★ #2B6</v>
      </c>
      <c r="P366" s="249">
        <f>IFERROR(__xludf.DUMMYFUNCTION("""COMPUTED_VALUE"""),50.0)</f>
        <v>50</v>
      </c>
      <c r="Q366" s="481"/>
    </row>
    <row r="367" ht="12.75" customHeight="1">
      <c r="G367" s="480" t="s">
        <v>1571</v>
      </c>
      <c r="H367" s="249">
        <v>50.0</v>
      </c>
      <c r="I367" s="479">
        <v>0.0024423602969910123</v>
      </c>
      <c r="K367" s="249"/>
      <c r="L367" s="480"/>
      <c r="M367" s="481"/>
      <c r="O367" s="492" t="str">
        <f>IFERROR(__xludf.DUMMYFUNCTION("""COMPUTED_VALUE"""),"Ghost Ship - Fog Horn 1★ #D6B")</f>
        <v>Ghost Ship - Fog Horn 1★ #D6B</v>
      </c>
      <c r="P367" s="249">
        <f>IFERROR(__xludf.DUMMYFUNCTION("""COMPUTED_VALUE"""),50.0)</f>
        <v>50</v>
      </c>
      <c r="Q367" s="481"/>
    </row>
    <row r="368" ht="12.75" customHeight="1">
      <c r="G368" s="480" t="s">
        <v>1573</v>
      </c>
      <c r="H368" s="249">
        <v>50.0</v>
      </c>
      <c r="I368" s="479">
        <v>0.0024423602969910123</v>
      </c>
      <c r="K368" s="249"/>
      <c r="L368" s="480"/>
      <c r="M368" s="481"/>
      <c r="O368" s="492" t="str">
        <f>IFERROR(__xludf.DUMMYFUNCTION("""COMPUTED_VALUE"""),"Ghost Ship - Fog Horn 1★ #820")</f>
        <v>Ghost Ship - Fog Horn 1★ #820</v>
      </c>
      <c r="P368" s="249">
        <f>IFERROR(__xludf.DUMMYFUNCTION("""COMPUTED_VALUE"""),50.0)</f>
        <v>50</v>
      </c>
      <c r="Q368" s="481"/>
    </row>
    <row r="369" ht="12.75" customHeight="1">
      <c r="G369" s="480" t="s">
        <v>1575</v>
      </c>
      <c r="H369" s="249">
        <v>50.0</v>
      </c>
      <c r="I369" s="479">
        <v>0.0024423602969910123</v>
      </c>
      <c r="K369" s="249"/>
      <c r="L369" s="480"/>
      <c r="M369" s="481"/>
      <c r="O369" s="492" t="str">
        <f>IFERROR(__xludf.DUMMYFUNCTION("""COMPUTED_VALUE"""),"Ghost Ship - Fog Horn 1★ #2D5")</f>
        <v>Ghost Ship - Fog Horn 1★ #2D5</v>
      </c>
      <c r="P369" s="249">
        <f>IFERROR(__xludf.DUMMYFUNCTION("""COMPUTED_VALUE"""),50.0)</f>
        <v>50</v>
      </c>
      <c r="Q369" s="481"/>
    </row>
    <row r="370" ht="12.75" customHeight="1">
      <c r="G370" s="480" t="s">
        <v>1576</v>
      </c>
      <c r="H370" s="249">
        <v>50.0</v>
      </c>
      <c r="I370" s="479">
        <v>0.0024423602969910123</v>
      </c>
      <c r="K370" s="249"/>
      <c r="L370" s="480"/>
      <c r="M370" s="481"/>
      <c r="O370" s="492" t="str">
        <f>IFERROR(__xludf.DUMMYFUNCTION("""COMPUTED_VALUE"""),"Ghost Ship - Fog Horn 1★ #D8A")</f>
        <v>Ghost Ship - Fog Horn 1★ #D8A</v>
      </c>
      <c r="P370" s="249">
        <f>IFERROR(__xludf.DUMMYFUNCTION("""COMPUTED_VALUE"""),50.0)</f>
        <v>50</v>
      </c>
      <c r="Q370" s="481"/>
    </row>
    <row r="371" ht="12.75" customHeight="1">
      <c r="G371" s="480" t="s">
        <v>1577</v>
      </c>
      <c r="H371" s="249">
        <v>50.0</v>
      </c>
      <c r="I371" s="479">
        <v>0.0024423602969910123</v>
      </c>
      <c r="K371" s="249"/>
      <c r="L371" s="480"/>
      <c r="M371" s="481"/>
      <c r="O371" s="492" t="str">
        <f>IFERROR(__xludf.DUMMYFUNCTION("""COMPUTED_VALUE"""),"Ghost Ship - Fog Horn 1★ #83F")</f>
        <v>Ghost Ship - Fog Horn 1★ #83F</v>
      </c>
      <c r="P371" s="249">
        <f>IFERROR(__xludf.DUMMYFUNCTION("""COMPUTED_VALUE"""),50.0)</f>
        <v>50</v>
      </c>
      <c r="Q371" s="481"/>
    </row>
    <row r="372" ht="12.75" customHeight="1">
      <c r="G372" s="480" t="s">
        <v>1580</v>
      </c>
      <c r="H372" s="249">
        <v>50.0</v>
      </c>
      <c r="I372" s="479">
        <v>0.0024423602969910123</v>
      </c>
      <c r="K372" s="249"/>
      <c r="L372" s="480"/>
      <c r="M372" s="481"/>
      <c r="O372" s="492" t="str">
        <f>IFERROR(__xludf.DUMMYFUNCTION("""COMPUTED_VALUE"""),"Ghost Ship - Fog Horn 1★ #2F4")</f>
        <v>Ghost Ship - Fog Horn 1★ #2F4</v>
      </c>
      <c r="P372" s="249">
        <f>IFERROR(__xludf.DUMMYFUNCTION("""COMPUTED_VALUE"""),50.0)</f>
        <v>50</v>
      </c>
      <c r="Q372" s="481"/>
    </row>
    <row r="373" ht="12.75" customHeight="1">
      <c r="G373" s="480" t="s">
        <v>1581</v>
      </c>
      <c r="H373" s="249">
        <v>50.0</v>
      </c>
      <c r="I373" s="479">
        <v>0.0024423602969910123</v>
      </c>
      <c r="K373" s="249"/>
      <c r="L373" s="480"/>
      <c r="M373" s="481"/>
      <c r="O373" s="492" t="str">
        <f>IFERROR(__xludf.DUMMYFUNCTION("""COMPUTED_VALUE"""),"Ghost Ship - Fog Horn 1★ #DA9")</f>
        <v>Ghost Ship - Fog Horn 1★ #DA9</v>
      </c>
      <c r="P373" s="249">
        <f>IFERROR(__xludf.DUMMYFUNCTION("""COMPUTED_VALUE"""),50.0)</f>
        <v>50</v>
      </c>
      <c r="Q373" s="481"/>
    </row>
    <row r="374" ht="12.75" customHeight="1">
      <c r="G374" s="480" t="s">
        <v>1582</v>
      </c>
      <c r="H374" s="249">
        <v>50.0</v>
      </c>
      <c r="I374" s="479">
        <v>0.0024423602969910123</v>
      </c>
      <c r="K374" s="249"/>
      <c r="L374" s="480"/>
      <c r="M374" s="481"/>
      <c r="O374" s="492" t="str">
        <f>IFERROR(__xludf.DUMMYFUNCTION("""COMPUTED_VALUE"""),"Ghost Ship - Fog Horn 1★ #85E")</f>
        <v>Ghost Ship - Fog Horn 1★ #85E</v>
      </c>
      <c r="P374" s="249">
        <f>IFERROR(__xludf.DUMMYFUNCTION("""COMPUTED_VALUE"""),50.0)</f>
        <v>50</v>
      </c>
      <c r="Q374" s="481"/>
    </row>
    <row r="375" ht="12.75" customHeight="1">
      <c r="G375" s="480" t="s">
        <v>1583</v>
      </c>
      <c r="H375" s="249">
        <v>50.0</v>
      </c>
      <c r="I375" s="479">
        <v>0.0024423602969910123</v>
      </c>
      <c r="K375" s="249"/>
      <c r="L375" s="480"/>
      <c r="M375" s="481"/>
      <c r="O375" s="492" t="str">
        <f>IFERROR(__xludf.DUMMYFUNCTION("""COMPUTED_VALUE"""),"Ghost Ship - Fog Horn 1★ #313")</f>
        <v>Ghost Ship - Fog Horn 1★ #313</v>
      </c>
      <c r="P375" s="249">
        <f>IFERROR(__xludf.DUMMYFUNCTION("""COMPUTED_VALUE"""),50.0)</f>
        <v>50</v>
      </c>
      <c r="Q375" s="481"/>
    </row>
    <row r="376" ht="12.75" customHeight="1">
      <c r="G376" s="480" t="s">
        <v>1585</v>
      </c>
      <c r="H376" s="249">
        <v>50.0</v>
      </c>
      <c r="I376" s="479">
        <v>0.0024423602969910123</v>
      </c>
      <c r="K376" s="249"/>
      <c r="L376" s="480"/>
      <c r="M376" s="481"/>
      <c r="O376" s="492" t="str">
        <f>IFERROR(__xludf.DUMMYFUNCTION("""COMPUTED_VALUE"""),"Ghost Ship - Fog Horn 1★ #DC8")</f>
        <v>Ghost Ship - Fog Horn 1★ #DC8</v>
      </c>
      <c r="P376" s="249">
        <f>IFERROR(__xludf.DUMMYFUNCTION("""COMPUTED_VALUE"""),50.0)</f>
        <v>50</v>
      </c>
      <c r="Q376" s="481"/>
    </row>
    <row r="377" ht="12.75" customHeight="1">
      <c r="G377" s="480" t="s">
        <v>1586</v>
      </c>
      <c r="H377" s="249">
        <v>50.0</v>
      </c>
      <c r="I377" s="479">
        <v>0.0024423602969910123</v>
      </c>
      <c r="K377" s="249"/>
      <c r="L377" s="480"/>
      <c r="M377" s="481"/>
      <c r="O377" s="492" t="str">
        <f>IFERROR(__xludf.DUMMYFUNCTION("""COMPUTED_VALUE"""),"Ghost Ship - Sail 1★ #87D")</f>
        <v>Ghost Ship - Sail 1★ #87D</v>
      </c>
      <c r="P377" s="249">
        <f>IFERROR(__xludf.DUMMYFUNCTION("""COMPUTED_VALUE"""),50.0)</f>
        <v>50</v>
      </c>
      <c r="Q377" s="481"/>
    </row>
    <row r="378" ht="12.75" customHeight="1">
      <c r="G378" s="480" t="s">
        <v>1587</v>
      </c>
      <c r="H378" s="249">
        <v>50.0</v>
      </c>
      <c r="I378" s="479">
        <v>0.0024423602969910123</v>
      </c>
      <c r="K378" s="249"/>
      <c r="L378" s="480"/>
      <c r="M378" s="481"/>
      <c r="O378" s="492" t="str">
        <f>IFERROR(__xludf.DUMMYFUNCTION("""COMPUTED_VALUE"""),"Ghost Ship - Sail 1★ #332")</f>
        <v>Ghost Ship - Sail 1★ #332</v>
      </c>
      <c r="P378" s="249">
        <f>IFERROR(__xludf.DUMMYFUNCTION("""COMPUTED_VALUE"""),50.0)</f>
        <v>50</v>
      </c>
      <c r="Q378" s="481"/>
    </row>
    <row r="379" ht="12.75" customHeight="1">
      <c r="G379" s="480" t="s">
        <v>1589</v>
      </c>
      <c r="H379" s="249">
        <v>50.0</v>
      </c>
      <c r="I379" s="479">
        <v>0.0024423602969910123</v>
      </c>
      <c r="K379" s="249"/>
      <c r="L379" s="480"/>
      <c r="M379" s="481"/>
      <c r="O379" s="492" t="str">
        <f>IFERROR(__xludf.DUMMYFUNCTION("""COMPUTED_VALUE"""),"Ghost Ship - Sail 1★ #DE7")</f>
        <v>Ghost Ship - Sail 1★ #DE7</v>
      </c>
      <c r="P379" s="249">
        <f>IFERROR(__xludf.DUMMYFUNCTION("""COMPUTED_VALUE"""),50.0)</f>
        <v>50</v>
      </c>
      <c r="Q379" s="481"/>
    </row>
    <row r="380" ht="12.75" customHeight="1">
      <c r="G380" s="480" t="s">
        <v>1590</v>
      </c>
      <c r="H380" s="249">
        <v>50.0</v>
      </c>
      <c r="I380" s="479">
        <v>0.0024423602969910123</v>
      </c>
      <c r="K380" s="249"/>
      <c r="L380" s="480"/>
      <c r="M380" s="481"/>
      <c r="O380" s="492" t="str">
        <f>IFERROR(__xludf.DUMMYFUNCTION("""COMPUTED_VALUE"""),"Ghost Ship - Sail 1★ #89C")</f>
        <v>Ghost Ship - Sail 1★ #89C</v>
      </c>
      <c r="P380" s="249">
        <f>IFERROR(__xludf.DUMMYFUNCTION("""COMPUTED_VALUE"""),50.0)</f>
        <v>50</v>
      </c>
      <c r="Q380" s="481"/>
    </row>
    <row r="381" ht="12.75" customHeight="1">
      <c r="G381" s="480" t="s">
        <v>1591</v>
      </c>
      <c r="H381" s="249">
        <v>50.0</v>
      </c>
      <c r="I381" s="479">
        <v>0.0024423602969910123</v>
      </c>
      <c r="K381" s="249"/>
      <c r="L381" s="480"/>
      <c r="M381" s="481"/>
      <c r="O381" s="492" t="str">
        <f>IFERROR(__xludf.DUMMYFUNCTION("""COMPUTED_VALUE"""),"Ghost Ship - Sail 1★ #351")</f>
        <v>Ghost Ship - Sail 1★ #351</v>
      </c>
      <c r="P381" s="249">
        <f>IFERROR(__xludf.DUMMYFUNCTION("""COMPUTED_VALUE"""),50.0)</f>
        <v>50</v>
      </c>
      <c r="Q381" s="481"/>
    </row>
    <row r="382" ht="12.75" customHeight="1">
      <c r="G382" s="480" t="s">
        <v>1593</v>
      </c>
      <c r="H382" s="249">
        <v>50.0</v>
      </c>
      <c r="I382" s="479">
        <v>0.0024423602969910123</v>
      </c>
      <c r="K382" s="249"/>
      <c r="L382" s="480"/>
      <c r="M382" s="481"/>
      <c r="O382" s="492" t="str">
        <f>IFERROR(__xludf.DUMMYFUNCTION("""COMPUTED_VALUE"""),"Ghost Ship - Sail 1★ #E06")</f>
        <v>Ghost Ship - Sail 1★ #E06</v>
      </c>
      <c r="P382" s="249">
        <f>IFERROR(__xludf.DUMMYFUNCTION("""COMPUTED_VALUE"""),50.0)</f>
        <v>50</v>
      </c>
      <c r="Q382" s="481"/>
    </row>
    <row r="383" ht="12.75" customHeight="1">
      <c r="G383" s="480" t="s">
        <v>1594</v>
      </c>
      <c r="H383" s="249">
        <v>50.0</v>
      </c>
      <c r="I383" s="479">
        <v>0.0024423602969910123</v>
      </c>
      <c r="K383" s="249"/>
      <c r="L383" s="480"/>
      <c r="M383" s="481"/>
      <c r="O383" s="492" t="str">
        <f>IFERROR(__xludf.DUMMYFUNCTION("""COMPUTED_VALUE"""),"Ghost Ship - Sail 1★ #8BB")</f>
        <v>Ghost Ship - Sail 1★ #8BB</v>
      </c>
      <c r="P383" s="249">
        <f>IFERROR(__xludf.DUMMYFUNCTION("""COMPUTED_VALUE"""),50.0)</f>
        <v>50</v>
      </c>
      <c r="Q383" s="481"/>
    </row>
    <row r="384" ht="12.75" customHeight="1">
      <c r="G384" s="480" t="s">
        <v>1595</v>
      </c>
      <c r="H384" s="249">
        <v>50.0</v>
      </c>
      <c r="I384" s="479">
        <v>0.0024423602969910123</v>
      </c>
      <c r="K384" s="249"/>
      <c r="L384" s="480"/>
      <c r="M384" s="481"/>
      <c r="O384" s="492" t="str">
        <f>IFERROR(__xludf.DUMMYFUNCTION("""COMPUTED_VALUE"""),"Ghost Ship - Sail 1★ #370")</f>
        <v>Ghost Ship - Sail 1★ #370</v>
      </c>
      <c r="P384" s="249">
        <f>IFERROR(__xludf.DUMMYFUNCTION("""COMPUTED_VALUE"""),50.0)</f>
        <v>50</v>
      </c>
      <c r="Q384" s="481"/>
    </row>
    <row r="385" ht="12.75" customHeight="1">
      <c r="G385" s="480" t="s">
        <v>1596</v>
      </c>
      <c r="H385" s="249">
        <v>50.0</v>
      </c>
      <c r="I385" s="479">
        <v>0.0024423602969910123</v>
      </c>
      <c r="K385" s="249"/>
      <c r="L385" s="480"/>
      <c r="M385" s="481"/>
      <c r="O385" s="492" t="str">
        <f>IFERROR(__xludf.DUMMYFUNCTION("""COMPUTED_VALUE"""),"Ghost Ship - Sail 1★ #E25")</f>
        <v>Ghost Ship - Sail 1★ #E25</v>
      </c>
      <c r="P385" s="249">
        <f>IFERROR(__xludf.DUMMYFUNCTION("""COMPUTED_VALUE"""),50.0)</f>
        <v>50</v>
      </c>
      <c r="Q385" s="481"/>
    </row>
    <row r="386" ht="12.75" customHeight="1">
      <c r="G386" s="480" t="s">
        <v>1598</v>
      </c>
      <c r="H386" s="249">
        <v>50.0</v>
      </c>
      <c r="I386" s="479">
        <v>0.0024423602969910123</v>
      </c>
      <c r="K386" s="249"/>
      <c r="L386" s="480"/>
      <c r="M386" s="481"/>
      <c r="O386" s="492" t="str">
        <f>IFERROR(__xludf.DUMMYFUNCTION("""COMPUTED_VALUE"""),"Ghost Ship - Sail 1★ #8DA")</f>
        <v>Ghost Ship - Sail 1★ #8DA</v>
      </c>
      <c r="P386" s="249">
        <f>IFERROR(__xludf.DUMMYFUNCTION("""COMPUTED_VALUE"""),50.0)</f>
        <v>50</v>
      </c>
      <c r="Q386" s="481"/>
    </row>
    <row r="387" ht="12.75" customHeight="1">
      <c r="G387" s="480" t="s">
        <v>1599</v>
      </c>
      <c r="H387" s="249">
        <v>50.0</v>
      </c>
      <c r="I387" s="479">
        <v>0.0024423602969910123</v>
      </c>
      <c r="K387" s="249"/>
      <c r="L387" s="480"/>
      <c r="M387" s="481"/>
      <c r="O387" s="492" t="str">
        <f>IFERROR(__xludf.DUMMYFUNCTION("""COMPUTED_VALUE"""),"Ghost Ship - Sail 1★ #38F")</f>
        <v>Ghost Ship - Sail 1★ #38F</v>
      </c>
      <c r="P387" s="249">
        <f>IFERROR(__xludf.DUMMYFUNCTION("""COMPUTED_VALUE"""),50.0)</f>
        <v>50</v>
      </c>
      <c r="Q387" s="481"/>
    </row>
    <row r="388" ht="12.75" customHeight="1">
      <c r="G388" s="480" t="s">
        <v>1600</v>
      </c>
      <c r="H388" s="249">
        <v>50.0</v>
      </c>
      <c r="I388" s="479">
        <v>0.0024423602969910123</v>
      </c>
      <c r="K388" s="249"/>
      <c r="L388" s="480"/>
      <c r="M388" s="481"/>
      <c r="O388" s="492" t="str">
        <f>IFERROR(__xludf.DUMMYFUNCTION("""COMPUTED_VALUE"""),"Ghost Ship - Sail 1★ #E44")</f>
        <v>Ghost Ship - Sail 1★ #E44</v>
      </c>
      <c r="P388" s="249">
        <f>IFERROR(__xludf.DUMMYFUNCTION("""COMPUTED_VALUE"""),50.0)</f>
        <v>50</v>
      </c>
      <c r="Q388" s="481"/>
    </row>
    <row r="389" ht="12.75" customHeight="1">
      <c r="G389" s="480" t="s">
        <v>1602</v>
      </c>
      <c r="H389" s="249">
        <v>50.0</v>
      </c>
      <c r="I389" s="479">
        <v>0.0024423602969910123</v>
      </c>
      <c r="K389" s="249"/>
      <c r="L389" s="480"/>
      <c r="M389" s="481"/>
      <c r="O389" s="492" t="str">
        <f>IFERROR(__xludf.DUMMYFUNCTION("""COMPUTED_VALUE"""),"Ghost Ship - Sail 1★ #8F9")</f>
        <v>Ghost Ship - Sail 1★ #8F9</v>
      </c>
      <c r="P389" s="249">
        <f>IFERROR(__xludf.DUMMYFUNCTION("""COMPUTED_VALUE"""),50.0)</f>
        <v>50</v>
      </c>
      <c r="Q389" s="481"/>
    </row>
    <row r="390" ht="12.75" customHeight="1">
      <c r="G390" s="480" t="s">
        <v>1603</v>
      </c>
      <c r="H390" s="249">
        <v>20.0</v>
      </c>
      <c r="I390" s="479">
        <v>9.769441187964048E-4</v>
      </c>
      <c r="K390" s="249"/>
      <c r="L390" s="480"/>
      <c r="M390" s="481"/>
      <c r="O390" s="492" t="str">
        <f>IFERROR(__xludf.DUMMYFUNCTION("""COMPUTED_VALUE"""),"Ghost Ship - Ghost Lamp 2★ #3AE")</f>
        <v>Ghost Ship - Ghost Lamp 2★ #3AE</v>
      </c>
      <c r="P390" s="249">
        <f>IFERROR(__xludf.DUMMYFUNCTION("""COMPUTED_VALUE"""),20.0)</f>
        <v>20</v>
      </c>
      <c r="Q390" s="481"/>
    </row>
    <row r="391" ht="12.75" customHeight="1">
      <c r="G391" s="480" t="s">
        <v>1605</v>
      </c>
      <c r="H391" s="249">
        <v>20.0</v>
      </c>
      <c r="I391" s="479">
        <v>9.769441187964048E-4</v>
      </c>
      <c r="K391" s="249"/>
      <c r="L391" s="480"/>
      <c r="M391" s="481"/>
      <c r="O391" s="492" t="str">
        <f>IFERROR(__xludf.DUMMYFUNCTION("""COMPUTED_VALUE"""),"Ghost Ship - Ghost Lamp 2★ #E63")</f>
        <v>Ghost Ship - Ghost Lamp 2★ #E63</v>
      </c>
      <c r="P391" s="249">
        <f>IFERROR(__xludf.DUMMYFUNCTION("""COMPUTED_VALUE"""),20.0)</f>
        <v>20</v>
      </c>
      <c r="Q391" s="481"/>
    </row>
    <row r="392" ht="12.75" customHeight="1">
      <c r="G392" s="480" t="s">
        <v>1606</v>
      </c>
      <c r="H392" s="249">
        <v>20.0</v>
      </c>
      <c r="I392" s="479">
        <v>9.769441187964048E-4</v>
      </c>
      <c r="K392" s="249"/>
      <c r="L392" s="480"/>
      <c r="M392" s="481"/>
      <c r="O392" s="492" t="str">
        <f>IFERROR(__xludf.DUMMYFUNCTION("""COMPUTED_VALUE"""),"Ghost Ship - Ghost Lamp 2★ #918")</f>
        <v>Ghost Ship - Ghost Lamp 2★ #918</v>
      </c>
      <c r="P392" s="249">
        <f>IFERROR(__xludf.DUMMYFUNCTION("""COMPUTED_VALUE"""),20.0)</f>
        <v>20</v>
      </c>
      <c r="Q392" s="481"/>
    </row>
    <row r="393" ht="12.75" customHeight="1">
      <c r="G393" s="480" t="s">
        <v>1607</v>
      </c>
      <c r="H393" s="249">
        <v>20.0</v>
      </c>
      <c r="I393" s="479">
        <v>9.769441187964048E-4</v>
      </c>
      <c r="K393" s="249"/>
      <c r="L393" s="480"/>
      <c r="M393" s="481"/>
      <c r="O393" s="492" t="str">
        <f>IFERROR(__xludf.DUMMYFUNCTION("""COMPUTED_VALUE"""),"Ghost Ship - Ghost Lamp 2★ #3CD")</f>
        <v>Ghost Ship - Ghost Lamp 2★ #3CD</v>
      </c>
      <c r="P393" s="249">
        <f>IFERROR(__xludf.DUMMYFUNCTION("""COMPUTED_VALUE"""),20.0)</f>
        <v>20</v>
      </c>
      <c r="Q393" s="481"/>
    </row>
    <row r="394" ht="12.75" customHeight="1">
      <c r="G394" s="480" t="s">
        <v>1608</v>
      </c>
      <c r="H394" s="249">
        <v>20.0</v>
      </c>
      <c r="I394" s="479">
        <v>9.769441187964048E-4</v>
      </c>
      <c r="K394" s="249"/>
      <c r="L394" s="480"/>
      <c r="M394" s="481"/>
      <c r="O394" s="492" t="str">
        <f>IFERROR(__xludf.DUMMYFUNCTION("""COMPUTED_VALUE"""),"Ghost Ship - Ghost Lamp 2★ #E82")</f>
        <v>Ghost Ship - Ghost Lamp 2★ #E82</v>
      </c>
      <c r="P394" s="249">
        <f>IFERROR(__xludf.DUMMYFUNCTION("""COMPUTED_VALUE"""),20.0)</f>
        <v>20</v>
      </c>
      <c r="Q394" s="481"/>
    </row>
    <row r="395" ht="12.75" customHeight="1">
      <c r="G395" s="480" t="s">
        <v>1610</v>
      </c>
      <c r="H395" s="249">
        <v>20.0</v>
      </c>
      <c r="I395" s="479">
        <v>9.769441187964048E-4</v>
      </c>
      <c r="K395" s="249"/>
      <c r="L395" s="480"/>
      <c r="M395" s="481"/>
      <c r="O395" s="492" t="str">
        <f>IFERROR(__xludf.DUMMYFUNCTION("""COMPUTED_VALUE"""),"Ghost Ship - Ghost Lamp 2★ #937")</f>
        <v>Ghost Ship - Ghost Lamp 2★ #937</v>
      </c>
      <c r="P395" s="249">
        <f>IFERROR(__xludf.DUMMYFUNCTION("""COMPUTED_VALUE"""),20.0)</f>
        <v>20</v>
      </c>
      <c r="Q395" s="481"/>
    </row>
    <row r="396" ht="12.75" customHeight="1">
      <c r="G396" s="480" t="s">
        <v>1611</v>
      </c>
      <c r="H396" s="249">
        <v>20.0</v>
      </c>
      <c r="I396" s="479">
        <v>9.769441187964048E-4</v>
      </c>
      <c r="K396" s="249"/>
      <c r="L396" s="480"/>
      <c r="M396" s="481"/>
      <c r="O396" s="492" t="str">
        <f>IFERROR(__xludf.DUMMYFUNCTION("""COMPUTED_VALUE"""),"Ghost Ship - Ghost Lamp 2★ #3EC")</f>
        <v>Ghost Ship - Ghost Lamp 2★ #3EC</v>
      </c>
      <c r="P396" s="249">
        <f>IFERROR(__xludf.DUMMYFUNCTION("""COMPUTED_VALUE"""),20.0)</f>
        <v>20</v>
      </c>
      <c r="Q396" s="481"/>
    </row>
    <row r="397" ht="12.75" customHeight="1">
      <c r="G397" s="480" t="s">
        <v>1612</v>
      </c>
      <c r="H397" s="249">
        <v>20.0</v>
      </c>
      <c r="I397" s="479">
        <v>9.769441187964048E-4</v>
      </c>
      <c r="K397" s="249"/>
      <c r="L397" s="480"/>
      <c r="M397" s="481"/>
      <c r="O397" s="492" t="str">
        <f>IFERROR(__xludf.DUMMYFUNCTION("""COMPUTED_VALUE"""),"Ghost Ship - Ghost Lamp 2★ #EA1")</f>
        <v>Ghost Ship - Ghost Lamp 2★ #EA1</v>
      </c>
      <c r="P397" s="249">
        <f>IFERROR(__xludf.DUMMYFUNCTION("""COMPUTED_VALUE"""),20.0)</f>
        <v>20</v>
      </c>
      <c r="Q397" s="481"/>
    </row>
    <row r="398" ht="12.75" customHeight="1">
      <c r="G398" s="480" t="s">
        <v>1614</v>
      </c>
      <c r="H398" s="249">
        <v>20.0</v>
      </c>
      <c r="I398" s="479">
        <v>9.769441187964048E-4</v>
      </c>
      <c r="K398" s="249"/>
      <c r="L398" s="480"/>
      <c r="M398" s="481"/>
      <c r="O398" s="492" t="str">
        <f>IFERROR(__xludf.DUMMYFUNCTION("""COMPUTED_VALUE"""),"Ghost Ship - Ghost Lamp 2★ #956")</f>
        <v>Ghost Ship - Ghost Lamp 2★ #956</v>
      </c>
      <c r="P398" s="249">
        <f>IFERROR(__xludf.DUMMYFUNCTION("""COMPUTED_VALUE"""),20.0)</f>
        <v>20</v>
      </c>
      <c r="Q398" s="481"/>
    </row>
    <row r="399" ht="12.75" customHeight="1">
      <c r="G399" s="480" t="s">
        <v>1615</v>
      </c>
      <c r="H399" s="249">
        <v>20.0</v>
      </c>
      <c r="I399" s="479">
        <v>9.769441187964048E-4</v>
      </c>
      <c r="K399" s="249"/>
      <c r="L399" s="480"/>
      <c r="M399" s="481"/>
      <c r="O399" s="492" t="str">
        <f>IFERROR(__xludf.DUMMYFUNCTION("""COMPUTED_VALUE"""),"Ghost Ship - Ghost Lamp 2★ #40B")</f>
        <v>Ghost Ship - Ghost Lamp 2★ #40B</v>
      </c>
      <c r="P399" s="249">
        <f>IFERROR(__xludf.DUMMYFUNCTION("""COMPUTED_VALUE"""),20.0)</f>
        <v>20</v>
      </c>
      <c r="Q399" s="481"/>
    </row>
    <row r="400" ht="12.75" customHeight="1">
      <c r="G400" s="480" t="s">
        <v>1616</v>
      </c>
      <c r="H400" s="249">
        <v>20.0</v>
      </c>
      <c r="I400" s="479">
        <v>9.769441187964048E-4</v>
      </c>
      <c r="K400" s="249"/>
      <c r="L400" s="480"/>
      <c r="M400" s="481"/>
      <c r="O400" s="492" t="str">
        <f>IFERROR(__xludf.DUMMYFUNCTION("""COMPUTED_VALUE"""),"Ghost Ship - Ghost Lamp 2★ #EC0")</f>
        <v>Ghost Ship - Ghost Lamp 2★ #EC0</v>
      </c>
      <c r="P400" s="249">
        <f>IFERROR(__xludf.DUMMYFUNCTION("""COMPUTED_VALUE"""),20.0)</f>
        <v>20</v>
      </c>
      <c r="Q400" s="481"/>
    </row>
    <row r="401" ht="12.75" customHeight="1">
      <c r="G401" s="480" t="s">
        <v>1618</v>
      </c>
      <c r="H401" s="249">
        <v>20.0</v>
      </c>
      <c r="I401" s="479">
        <v>9.769441187964048E-4</v>
      </c>
      <c r="K401" s="249"/>
      <c r="L401" s="480"/>
      <c r="M401" s="481"/>
      <c r="O401" s="492" t="str">
        <f>IFERROR(__xludf.DUMMYFUNCTION("""COMPUTED_VALUE"""),"Ghost Ship - Ghost Lamp 2★ #975")</f>
        <v>Ghost Ship - Ghost Lamp 2★ #975</v>
      </c>
      <c r="P401" s="249">
        <f>IFERROR(__xludf.DUMMYFUNCTION("""COMPUTED_VALUE"""),20.0)</f>
        <v>20</v>
      </c>
      <c r="Q401" s="481"/>
    </row>
    <row r="402" ht="12.75" customHeight="1">
      <c r="G402" s="480" t="s">
        <v>1619</v>
      </c>
      <c r="H402" s="249">
        <v>20.0</v>
      </c>
      <c r="I402" s="479">
        <v>9.769441187964048E-4</v>
      </c>
      <c r="K402" s="249"/>
      <c r="L402" s="480"/>
      <c r="M402" s="481"/>
      <c r="O402" s="492" t="str">
        <f>IFERROR(__xludf.DUMMYFUNCTION("""COMPUTED_VALUE"""),"Ghost Ship - Ghost Lamp 2★ #42A")</f>
        <v>Ghost Ship - Ghost Lamp 2★ #42A</v>
      </c>
      <c r="P402" s="249">
        <f>IFERROR(__xludf.DUMMYFUNCTION("""COMPUTED_VALUE"""),20.0)</f>
        <v>20</v>
      </c>
      <c r="Q402" s="481"/>
    </row>
    <row r="403" ht="12.75" customHeight="1">
      <c r="G403" s="480" t="s">
        <v>1620</v>
      </c>
      <c r="H403" s="249">
        <v>20.0</v>
      </c>
      <c r="I403" s="479">
        <v>9.769441187964048E-4</v>
      </c>
      <c r="K403" s="249"/>
      <c r="L403" s="480"/>
      <c r="M403" s="481"/>
      <c r="O403" s="492" t="str">
        <f>IFERROR(__xludf.DUMMYFUNCTION("""COMPUTED_VALUE"""),"Ghost Ship - Key 2★ #EDF")</f>
        <v>Ghost Ship - Key 2★ #EDF</v>
      </c>
      <c r="P403" s="249">
        <f>IFERROR(__xludf.DUMMYFUNCTION("""COMPUTED_VALUE"""),20.0)</f>
        <v>20</v>
      </c>
      <c r="Q403" s="481"/>
    </row>
    <row r="404" ht="12.75" customHeight="1">
      <c r="G404" s="480" t="s">
        <v>1621</v>
      </c>
      <c r="H404" s="249">
        <v>20.0</v>
      </c>
      <c r="I404" s="479">
        <v>9.769441187964048E-4</v>
      </c>
      <c r="K404" s="249"/>
      <c r="L404" s="480"/>
      <c r="M404" s="481"/>
      <c r="O404" s="492" t="str">
        <f>IFERROR(__xludf.DUMMYFUNCTION("""COMPUTED_VALUE"""),"Ghost Ship - Key 2★ #994")</f>
        <v>Ghost Ship - Key 2★ #994</v>
      </c>
      <c r="P404" s="249">
        <f>IFERROR(__xludf.DUMMYFUNCTION("""COMPUTED_VALUE"""),20.0)</f>
        <v>20</v>
      </c>
      <c r="Q404" s="481"/>
    </row>
    <row r="405" ht="12.75" customHeight="1">
      <c r="G405" s="480" t="s">
        <v>1622</v>
      </c>
      <c r="H405" s="249">
        <v>20.0</v>
      </c>
      <c r="I405" s="479">
        <v>9.769441187964048E-4</v>
      </c>
      <c r="K405" s="249"/>
      <c r="L405" s="480"/>
      <c r="M405" s="481"/>
      <c r="O405" s="492" t="str">
        <f>IFERROR(__xludf.DUMMYFUNCTION("""COMPUTED_VALUE"""),"Ghost Ship - Key 2★ #449")</f>
        <v>Ghost Ship - Key 2★ #449</v>
      </c>
      <c r="P405" s="249">
        <f>IFERROR(__xludf.DUMMYFUNCTION("""COMPUTED_VALUE"""),20.0)</f>
        <v>20</v>
      </c>
      <c r="Q405" s="481"/>
    </row>
    <row r="406" ht="12.75" customHeight="1">
      <c r="G406" s="480" t="s">
        <v>1623</v>
      </c>
      <c r="H406" s="249">
        <v>20.0</v>
      </c>
      <c r="I406" s="479">
        <v>9.769441187964048E-4</v>
      </c>
      <c r="K406" s="249"/>
      <c r="L406" s="480"/>
      <c r="M406" s="481"/>
      <c r="O406" s="492" t="str">
        <f>IFERROR(__xludf.DUMMYFUNCTION("""COMPUTED_VALUE"""),"Ghost Ship - Key 2★ #EFE")</f>
        <v>Ghost Ship - Key 2★ #EFE</v>
      </c>
      <c r="P406" s="249">
        <f>IFERROR(__xludf.DUMMYFUNCTION("""COMPUTED_VALUE"""),20.0)</f>
        <v>20</v>
      </c>
      <c r="Q406" s="481"/>
    </row>
    <row r="407" ht="12.75" customHeight="1">
      <c r="G407" s="480" t="s">
        <v>1624</v>
      </c>
      <c r="H407" s="249">
        <v>20.0</v>
      </c>
      <c r="I407" s="479">
        <v>9.769441187964048E-4</v>
      </c>
      <c r="K407" s="249"/>
      <c r="L407" s="480"/>
      <c r="M407" s="481"/>
      <c r="O407" s="492" t="str">
        <f>IFERROR(__xludf.DUMMYFUNCTION("""COMPUTED_VALUE"""),"Ghost Ship - Key 2★ #9B3")</f>
        <v>Ghost Ship - Key 2★ #9B3</v>
      </c>
      <c r="P407" s="249">
        <f>IFERROR(__xludf.DUMMYFUNCTION("""COMPUTED_VALUE"""),20.0)</f>
        <v>20</v>
      </c>
      <c r="Q407" s="481"/>
    </row>
    <row r="408" ht="12.75" customHeight="1">
      <c r="G408" s="480" t="s">
        <v>1626</v>
      </c>
      <c r="H408" s="249">
        <v>20.0</v>
      </c>
      <c r="I408" s="479">
        <v>9.769441187964048E-4</v>
      </c>
      <c r="K408" s="249"/>
      <c r="L408" s="480"/>
      <c r="M408" s="481"/>
      <c r="O408" s="492" t="str">
        <f>IFERROR(__xludf.DUMMYFUNCTION("""COMPUTED_VALUE"""),"Ghost Ship - Key 2★ #468")</f>
        <v>Ghost Ship - Key 2★ #468</v>
      </c>
      <c r="P408" s="249">
        <f>IFERROR(__xludf.DUMMYFUNCTION("""COMPUTED_VALUE"""),20.0)</f>
        <v>20</v>
      </c>
      <c r="Q408" s="481"/>
    </row>
    <row r="409" ht="12.75" customHeight="1">
      <c r="G409" s="480" t="s">
        <v>1627</v>
      </c>
      <c r="H409" s="249">
        <v>20.0</v>
      </c>
      <c r="I409" s="479">
        <v>9.769441187964048E-4</v>
      </c>
      <c r="K409" s="249"/>
      <c r="L409" s="480"/>
      <c r="M409" s="481"/>
      <c r="O409" s="492" t="str">
        <f>IFERROR(__xludf.DUMMYFUNCTION("""COMPUTED_VALUE"""),"Ghost Ship - Key 2★ #F1D")</f>
        <v>Ghost Ship - Key 2★ #F1D</v>
      </c>
      <c r="P409" s="249">
        <f>IFERROR(__xludf.DUMMYFUNCTION("""COMPUTED_VALUE"""),20.0)</f>
        <v>20</v>
      </c>
      <c r="Q409" s="481"/>
    </row>
    <row r="410" ht="12.75" customHeight="1">
      <c r="G410" s="480" t="s">
        <v>1629</v>
      </c>
      <c r="H410" s="249">
        <v>20.0</v>
      </c>
      <c r="I410" s="479">
        <v>9.769441187964048E-4</v>
      </c>
      <c r="K410" s="249"/>
      <c r="L410" s="480"/>
      <c r="M410" s="481"/>
      <c r="O410" s="492" t="str">
        <f>IFERROR(__xludf.DUMMYFUNCTION("""COMPUTED_VALUE"""),"Ghost Ship - Key 2★ #9D2")</f>
        <v>Ghost Ship - Key 2★ #9D2</v>
      </c>
      <c r="P410" s="249">
        <f>IFERROR(__xludf.DUMMYFUNCTION("""COMPUTED_VALUE"""),20.0)</f>
        <v>20</v>
      </c>
      <c r="Q410" s="481"/>
    </row>
    <row r="411" ht="12.75" customHeight="1">
      <c r="G411" s="480" t="s">
        <v>1631</v>
      </c>
      <c r="H411" s="249">
        <v>20.0</v>
      </c>
      <c r="I411" s="479">
        <v>9.769441187964048E-4</v>
      </c>
      <c r="K411" s="249"/>
      <c r="L411" s="480"/>
      <c r="M411" s="481"/>
      <c r="O411" s="492" t="str">
        <f>IFERROR(__xludf.DUMMYFUNCTION("""COMPUTED_VALUE"""),"Ghost Ship - Key 2★ #487")</f>
        <v>Ghost Ship - Key 2★ #487</v>
      </c>
      <c r="P411" s="249">
        <f>IFERROR(__xludf.DUMMYFUNCTION("""COMPUTED_VALUE"""),20.0)</f>
        <v>20</v>
      </c>
      <c r="Q411" s="481"/>
    </row>
    <row r="412" ht="12.75" customHeight="1">
      <c r="G412" s="480" t="s">
        <v>1632</v>
      </c>
      <c r="H412" s="249">
        <v>20.0</v>
      </c>
      <c r="I412" s="479">
        <v>9.769441187964048E-4</v>
      </c>
      <c r="K412" s="249"/>
      <c r="L412" s="480"/>
      <c r="M412" s="481"/>
      <c r="O412" s="492" t="str">
        <f>IFERROR(__xludf.DUMMYFUNCTION("""COMPUTED_VALUE"""),"Ghost Ship - Key 2★ #F3C")</f>
        <v>Ghost Ship - Key 2★ #F3C</v>
      </c>
      <c r="P412" s="249">
        <f>IFERROR(__xludf.DUMMYFUNCTION("""COMPUTED_VALUE"""),20.0)</f>
        <v>20</v>
      </c>
      <c r="Q412" s="481"/>
    </row>
    <row r="413" ht="12.75" customHeight="1">
      <c r="G413" s="480" t="s">
        <v>1633</v>
      </c>
      <c r="H413" s="249">
        <v>20.0</v>
      </c>
      <c r="I413" s="479">
        <v>9.769441187964048E-4</v>
      </c>
      <c r="K413" s="249"/>
      <c r="L413" s="480"/>
      <c r="M413" s="481"/>
      <c r="O413" s="492" t="str">
        <f>IFERROR(__xludf.DUMMYFUNCTION("""COMPUTED_VALUE"""),"Ghost Ship - Key 2★ #9F1")</f>
        <v>Ghost Ship - Key 2★ #9F1</v>
      </c>
      <c r="P413" s="249">
        <f>IFERROR(__xludf.DUMMYFUNCTION("""COMPUTED_VALUE"""),20.0)</f>
        <v>20</v>
      </c>
      <c r="Q413" s="481"/>
    </row>
    <row r="414" ht="12.75" customHeight="1">
      <c r="G414" s="480" t="s">
        <v>1635</v>
      </c>
      <c r="H414" s="249">
        <v>20.0</v>
      </c>
      <c r="I414" s="479">
        <v>9.769441187964048E-4</v>
      </c>
      <c r="K414" s="249"/>
      <c r="L414" s="480"/>
      <c r="M414" s="481"/>
      <c r="O414" s="492" t="str">
        <f>IFERROR(__xludf.DUMMYFUNCTION("""COMPUTED_VALUE"""),"Ghost Ship - Key 2★ #4A6")</f>
        <v>Ghost Ship - Key 2★ #4A6</v>
      </c>
      <c r="P414" s="249">
        <f>IFERROR(__xludf.DUMMYFUNCTION("""COMPUTED_VALUE"""),20.0)</f>
        <v>20</v>
      </c>
      <c r="Q414" s="481"/>
    </row>
    <row r="415" ht="12.75" customHeight="1">
      <c r="G415" s="480" t="s">
        <v>1636</v>
      </c>
      <c r="H415" s="249">
        <v>20.0</v>
      </c>
      <c r="I415" s="479">
        <v>9.769441187964048E-4</v>
      </c>
      <c r="K415" s="249"/>
      <c r="L415" s="480"/>
      <c r="M415" s="481"/>
      <c r="O415" s="492" t="str">
        <f>IFERROR(__xludf.DUMMYFUNCTION("""COMPUTED_VALUE"""),"Ghost Ship - Key 2★ #F5B")</f>
        <v>Ghost Ship - Key 2★ #F5B</v>
      </c>
      <c r="P415" s="249">
        <f>IFERROR(__xludf.DUMMYFUNCTION("""COMPUTED_VALUE"""),20.0)</f>
        <v>20</v>
      </c>
      <c r="Q415" s="481"/>
    </row>
    <row r="416" ht="12.75" customHeight="1">
      <c r="G416" s="480" t="s">
        <v>1637</v>
      </c>
      <c r="H416" s="249">
        <v>10.0</v>
      </c>
      <c r="I416" s="479">
        <v>4.884720593982024E-4</v>
      </c>
      <c r="K416" s="249"/>
      <c r="L416" s="480"/>
      <c r="M416" s="481"/>
      <c r="O416" s="492" t="str">
        <f>IFERROR(__xludf.DUMMYFUNCTION("""COMPUTED_VALUE"""),"Ghost Ship - Plank 3★ #A10")</f>
        <v>Ghost Ship - Plank 3★ #A10</v>
      </c>
      <c r="P416" s="249">
        <f>IFERROR(__xludf.DUMMYFUNCTION("""COMPUTED_VALUE"""),10.0)</f>
        <v>10</v>
      </c>
      <c r="Q416" s="481"/>
    </row>
    <row r="417" ht="12.75" customHeight="1">
      <c r="G417" s="480" t="s">
        <v>1638</v>
      </c>
      <c r="H417" s="249">
        <v>10.0</v>
      </c>
      <c r="I417" s="479">
        <v>4.884720593982024E-4</v>
      </c>
      <c r="K417" s="249"/>
      <c r="L417" s="480"/>
      <c r="M417" s="481"/>
      <c r="O417" s="492" t="str">
        <f>IFERROR(__xludf.DUMMYFUNCTION("""COMPUTED_VALUE"""),"Ghost Ship - Plank 3★ #4C5")</f>
        <v>Ghost Ship - Plank 3★ #4C5</v>
      </c>
      <c r="P417" s="249">
        <f>IFERROR(__xludf.DUMMYFUNCTION("""COMPUTED_VALUE"""),10.0)</f>
        <v>10</v>
      </c>
      <c r="Q417" s="481"/>
    </row>
    <row r="418" ht="12.75" customHeight="1">
      <c r="G418" s="480" t="s">
        <v>1639</v>
      </c>
      <c r="H418" s="249">
        <v>10.0</v>
      </c>
      <c r="I418" s="479">
        <v>4.884720593982024E-4</v>
      </c>
      <c r="K418" s="249"/>
      <c r="L418" s="480"/>
      <c r="M418" s="481"/>
      <c r="O418" s="492" t="str">
        <f>IFERROR(__xludf.DUMMYFUNCTION("""COMPUTED_VALUE"""),"Ghost Ship - Plank 3★ #F7A")</f>
        <v>Ghost Ship - Plank 3★ #F7A</v>
      </c>
      <c r="P418" s="249">
        <f>IFERROR(__xludf.DUMMYFUNCTION("""COMPUTED_VALUE"""),10.0)</f>
        <v>10</v>
      </c>
      <c r="Q418" s="481"/>
    </row>
    <row r="419" ht="12.75" customHeight="1">
      <c r="G419" s="480" t="s">
        <v>1640</v>
      </c>
      <c r="H419" s="249">
        <v>10.0</v>
      </c>
      <c r="I419" s="479">
        <v>4.884720593982024E-4</v>
      </c>
      <c r="K419" s="249"/>
      <c r="L419" s="480"/>
      <c r="M419" s="481"/>
      <c r="O419" s="492" t="str">
        <f>IFERROR(__xludf.DUMMYFUNCTION("""COMPUTED_VALUE"""),"Ghost Ship - Plank 3★ #A2F")</f>
        <v>Ghost Ship - Plank 3★ #A2F</v>
      </c>
      <c r="P419" s="249">
        <f>IFERROR(__xludf.DUMMYFUNCTION("""COMPUTED_VALUE"""),10.0)</f>
        <v>10</v>
      </c>
      <c r="Q419" s="481"/>
    </row>
    <row r="420" ht="12.75" customHeight="1">
      <c r="G420" s="480" t="s">
        <v>1641</v>
      </c>
      <c r="H420" s="249">
        <v>10.0</v>
      </c>
      <c r="I420" s="479">
        <v>4.884720593982024E-4</v>
      </c>
      <c r="K420" s="249"/>
      <c r="L420" s="480"/>
      <c r="M420" s="481"/>
      <c r="O420" s="492" t="str">
        <f>IFERROR(__xludf.DUMMYFUNCTION("""COMPUTED_VALUE"""),"Ghost Ship - Plank 3★ #4E4")</f>
        <v>Ghost Ship - Plank 3★ #4E4</v>
      </c>
      <c r="P420" s="249">
        <f>IFERROR(__xludf.DUMMYFUNCTION("""COMPUTED_VALUE"""),10.0)</f>
        <v>10</v>
      </c>
      <c r="Q420" s="481"/>
    </row>
    <row r="421" ht="12.75" customHeight="1">
      <c r="G421" s="480" t="s">
        <v>1642</v>
      </c>
      <c r="H421" s="249">
        <v>10.0</v>
      </c>
      <c r="I421" s="479">
        <v>4.884720593982024E-4</v>
      </c>
      <c r="K421" s="249"/>
      <c r="L421" s="480"/>
      <c r="M421" s="481"/>
      <c r="O421" s="492" t="str">
        <f>IFERROR(__xludf.DUMMYFUNCTION("""COMPUTED_VALUE"""),"Ghost Ship - Plank 3★ #F99")</f>
        <v>Ghost Ship - Plank 3★ #F99</v>
      </c>
      <c r="P421" s="249">
        <f>IFERROR(__xludf.DUMMYFUNCTION("""COMPUTED_VALUE"""),10.0)</f>
        <v>10</v>
      </c>
      <c r="Q421" s="481"/>
    </row>
    <row r="422" ht="12.75" customHeight="1">
      <c r="G422" s="480" t="s">
        <v>1643</v>
      </c>
      <c r="H422" s="249">
        <v>10.0</v>
      </c>
      <c r="I422" s="479">
        <v>4.884720593982024E-4</v>
      </c>
      <c r="K422" s="249"/>
      <c r="L422" s="480"/>
      <c r="M422" s="481"/>
      <c r="O422" s="492" t="str">
        <f>IFERROR(__xludf.DUMMYFUNCTION("""COMPUTED_VALUE"""),"Ghost Ship - Plank 3★ #A4E")</f>
        <v>Ghost Ship - Plank 3★ #A4E</v>
      </c>
      <c r="P422" s="249">
        <f>IFERROR(__xludf.DUMMYFUNCTION("""COMPUTED_VALUE"""),10.0)</f>
        <v>10</v>
      </c>
      <c r="Q422" s="481"/>
    </row>
    <row r="423" ht="12.75" customHeight="1">
      <c r="G423" s="480" t="s">
        <v>1644</v>
      </c>
      <c r="H423" s="249">
        <v>10.0</v>
      </c>
      <c r="I423" s="479">
        <v>4.884720593982024E-4</v>
      </c>
      <c r="K423" s="249"/>
      <c r="L423" s="480"/>
      <c r="M423" s="481"/>
      <c r="O423" s="492" t="str">
        <f>IFERROR(__xludf.DUMMYFUNCTION("""COMPUTED_VALUE"""),"Ghost Ship - Plank 3★ #503")</f>
        <v>Ghost Ship - Plank 3★ #503</v>
      </c>
      <c r="P423" s="249">
        <f>IFERROR(__xludf.DUMMYFUNCTION("""COMPUTED_VALUE"""),10.0)</f>
        <v>10</v>
      </c>
      <c r="Q423" s="481"/>
    </row>
    <row r="424" ht="12.75" customHeight="1">
      <c r="G424" s="480" t="s">
        <v>1645</v>
      </c>
      <c r="H424" s="249">
        <v>10.0</v>
      </c>
      <c r="I424" s="479">
        <v>4.884720593982024E-4</v>
      </c>
      <c r="K424" s="249"/>
      <c r="L424" s="480"/>
      <c r="M424" s="481"/>
      <c r="O424" s="492" t="str">
        <f>IFERROR(__xludf.DUMMYFUNCTION("""COMPUTED_VALUE"""),"Ghost Ship - Plank 3★ #FB8")</f>
        <v>Ghost Ship - Plank 3★ #FB8</v>
      </c>
      <c r="P424" s="249">
        <f>IFERROR(__xludf.DUMMYFUNCTION("""COMPUTED_VALUE"""),10.0)</f>
        <v>10</v>
      </c>
      <c r="Q424" s="481"/>
    </row>
    <row r="425" ht="12.75" customHeight="1">
      <c r="G425" s="480" t="s">
        <v>1646</v>
      </c>
      <c r="H425" s="249">
        <v>10.0</v>
      </c>
      <c r="I425" s="479">
        <v>4.884720593982024E-4</v>
      </c>
      <c r="K425" s="249"/>
      <c r="L425" s="480"/>
      <c r="M425" s="481"/>
      <c r="O425" s="492" t="str">
        <f>IFERROR(__xludf.DUMMYFUNCTION("""COMPUTED_VALUE"""),"Ghost Ship - Plank 3★ #A6D")</f>
        <v>Ghost Ship - Plank 3★ #A6D</v>
      </c>
      <c r="P425" s="249">
        <f>IFERROR(__xludf.DUMMYFUNCTION("""COMPUTED_VALUE"""),10.0)</f>
        <v>10</v>
      </c>
      <c r="Q425" s="481"/>
    </row>
    <row r="426" ht="12.75" customHeight="1">
      <c r="G426" s="480" t="s">
        <v>1647</v>
      </c>
      <c r="H426" s="249">
        <v>10.0</v>
      </c>
      <c r="I426" s="479">
        <v>4.884720593982024E-4</v>
      </c>
      <c r="K426" s="249"/>
      <c r="L426" s="480"/>
      <c r="M426" s="481"/>
      <c r="O426" s="492" t="str">
        <f>IFERROR(__xludf.DUMMYFUNCTION("""COMPUTED_VALUE"""),"Ghost Ship - Plank 3★ #522")</f>
        <v>Ghost Ship - Plank 3★ #522</v>
      </c>
      <c r="P426" s="249">
        <f>IFERROR(__xludf.DUMMYFUNCTION("""COMPUTED_VALUE"""),10.0)</f>
        <v>10</v>
      </c>
      <c r="Q426" s="481"/>
    </row>
    <row r="427" ht="12.75" customHeight="1">
      <c r="G427" s="480" t="s">
        <v>1648</v>
      </c>
      <c r="H427" s="249">
        <v>10.0</v>
      </c>
      <c r="I427" s="479">
        <v>4.884720593982024E-4</v>
      </c>
      <c r="K427" s="249"/>
      <c r="L427" s="480"/>
      <c r="M427" s="481"/>
      <c r="O427" s="492" t="str">
        <f>IFERROR(__xludf.DUMMYFUNCTION("""COMPUTED_VALUE"""),"Ghost Ship - Plank 3★ #FD7")</f>
        <v>Ghost Ship - Plank 3★ #FD7</v>
      </c>
      <c r="P427" s="249">
        <f>IFERROR(__xludf.DUMMYFUNCTION("""COMPUTED_VALUE"""),10.0)</f>
        <v>10</v>
      </c>
      <c r="Q427" s="481"/>
    </row>
    <row r="428" ht="12.75" customHeight="1">
      <c r="G428" s="480" t="s">
        <v>1649</v>
      </c>
      <c r="H428" s="249">
        <v>10.0</v>
      </c>
      <c r="I428" s="479">
        <v>4.884720593982024E-4</v>
      </c>
      <c r="K428" s="249"/>
      <c r="L428" s="480"/>
      <c r="M428" s="481"/>
      <c r="O428" s="492" t="str">
        <f>IFERROR(__xludf.DUMMYFUNCTION("""COMPUTED_VALUE"""),"Ghost Ship - Plank 3★ #A8C")</f>
        <v>Ghost Ship - Plank 3★ #A8C</v>
      </c>
      <c r="P428" s="249">
        <f>IFERROR(__xludf.DUMMYFUNCTION("""COMPUTED_VALUE"""),10.0)</f>
        <v>10</v>
      </c>
      <c r="Q428" s="481"/>
    </row>
    <row r="429" ht="12.75" customHeight="1">
      <c r="G429" s="480" t="s">
        <v>1650</v>
      </c>
      <c r="H429" s="249">
        <v>10.0</v>
      </c>
      <c r="I429" s="479">
        <v>4.884720593982024E-4</v>
      </c>
      <c r="K429" s="249"/>
      <c r="L429" s="480"/>
      <c r="M429" s="481"/>
      <c r="O429" s="492" t="str">
        <f>IFERROR(__xludf.DUMMYFUNCTION("""COMPUTED_VALUE"""),"Ghost Ship - Nest 3★ #541")</f>
        <v>Ghost Ship - Nest 3★ #541</v>
      </c>
      <c r="P429" s="249">
        <f>IFERROR(__xludf.DUMMYFUNCTION("""COMPUTED_VALUE"""),10.0)</f>
        <v>10</v>
      </c>
      <c r="Q429" s="481"/>
    </row>
    <row r="430" ht="12.75" customHeight="1">
      <c r="G430" s="480" t="s">
        <v>1651</v>
      </c>
      <c r="H430" s="249">
        <v>10.0</v>
      </c>
      <c r="I430" s="479">
        <v>4.884720593982024E-4</v>
      </c>
      <c r="K430" s="249"/>
      <c r="L430" s="480"/>
      <c r="M430" s="481"/>
      <c r="O430" s="492" t="str">
        <f>IFERROR(__xludf.DUMMYFUNCTION("""COMPUTED_VALUE"""),"Ghost Ship - Nest 3★ #FF6")</f>
        <v>Ghost Ship - Nest 3★ #FF6</v>
      </c>
      <c r="P430" s="249">
        <f>IFERROR(__xludf.DUMMYFUNCTION("""COMPUTED_VALUE"""),10.0)</f>
        <v>10</v>
      </c>
      <c r="Q430" s="481"/>
    </row>
    <row r="431" ht="12.75" customHeight="1">
      <c r="G431" s="480" t="s">
        <v>1652</v>
      </c>
      <c r="H431" s="249">
        <v>10.0</v>
      </c>
      <c r="I431" s="479">
        <v>4.884720593982024E-4</v>
      </c>
      <c r="K431" s="249"/>
      <c r="L431" s="480"/>
      <c r="M431" s="481"/>
      <c r="O431" s="492" t="str">
        <f>IFERROR(__xludf.DUMMYFUNCTION("""COMPUTED_VALUE"""),"Ghost Ship - Nest 3★ #AAB")</f>
        <v>Ghost Ship - Nest 3★ #AAB</v>
      </c>
      <c r="P431" s="249">
        <f>IFERROR(__xludf.DUMMYFUNCTION("""COMPUTED_VALUE"""),10.0)</f>
        <v>10</v>
      </c>
      <c r="Q431" s="481"/>
    </row>
    <row r="432" ht="12.75" customHeight="1">
      <c r="G432" s="480" t="s">
        <v>1653</v>
      </c>
      <c r="H432" s="249">
        <v>10.0</v>
      </c>
      <c r="I432" s="479">
        <v>4.884720593982024E-4</v>
      </c>
      <c r="K432" s="249"/>
      <c r="L432" s="480"/>
      <c r="M432" s="481"/>
      <c r="O432" s="492" t="str">
        <f>IFERROR(__xludf.DUMMYFUNCTION("""COMPUTED_VALUE"""),"Ghost Ship - Nest 3★ #560")</f>
        <v>Ghost Ship - Nest 3★ #560</v>
      </c>
      <c r="P432" s="249">
        <f>IFERROR(__xludf.DUMMYFUNCTION("""COMPUTED_VALUE"""),10.0)</f>
        <v>10</v>
      </c>
      <c r="Q432" s="481"/>
    </row>
    <row r="433" ht="12.75" customHeight="1">
      <c r="G433" s="480" t="s">
        <v>1654</v>
      </c>
      <c r="H433" s="249">
        <v>10.0</v>
      </c>
      <c r="I433" s="479">
        <v>4.884720593982024E-4</v>
      </c>
      <c r="K433" s="249"/>
      <c r="L433" s="480"/>
      <c r="M433" s="481"/>
      <c r="O433" s="492" t="str">
        <f>IFERROR(__xludf.DUMMYFUNCTION("""COMPUTED_VALUE"""),"Ghost Ship - Nest 3★ #015")</f>
        <v>Ghost Ship - Nest 3★ #015</v>
      </c>
      <c r="P433" s="249">
        <f>IFERROR(__xludf.DUMMYFUNCTION("""COMPUTED_VALUE"""),10.0)</f>
        <v>10</v>
      </c>
      <c r="Q433" s="481"/>
    </row>
    <row r="434" ht="12.75" customHeight="1">
      <c r="G434" s="480" t="s">
        <v>1655</v>
      </c>
      <c r="H434" s="249">
        <v>10.0</v>
      </c>
      <c r="I434" s="479">
        <v>4.884720593982024E-4</v>
      </c>
      <c r="K434" s="249"/>
      <c r="L434" s="480"/>
      <c r="M434" s="481"/>
      <c r="O434" s="492" t="str">
        <f>IFERROR(__xludf.DUMMYFUNCTION("""COMPUTED_VALUE"""),"Ghost Ship - Nest 3★ #ACA")</f>
        <v>Ghost Ship - Nest 3★ #ACA</v>
      </c>
      <c r="P434" s="249">
        <f>IFERROR(__xludf.DUMMYFUNCTION("""COMPUTED_VALUE"""),10.0)</f>
        <v>10</v>
      </c>
      <c r="Q434" s="481"/>
    </row>
    <row r="435" ht="12.75" customHeight="1">
      <c r="G435" s="480" t="s">
        <v>1656</v>
      </c>
      <c r="H435" s="249">
        <v>10.0</v>
      </c>
      <c r="I435" s="479">
        <v>4.884720593982024E-4</v>
      </c>
      <c r="K435" s="249"/>
      <c r="L435" s="480"/>
      <c r="M435" s="481"/>
      <c r="O435" s="492" t="str">
        <f>IFERROR(__xludf.DUMMYFUNCTION("""COMPUTED_VALUE"""),"Ghost Ship - Nest 3★ #57F")</f>
        <v>Ghost Ship - Nest 3★ #57F</v>
      </c>
      <c r="P435" s="249">
        <f>IFERROR(__xludf.DUMMYFUNCTION("""COMPUTED_VALUE"""),10.0)</f>
        <v>10</v>
      </c>
      <c r="Q435" s="481"/>
    </row>
    <row r="436" ht="12.75" customHeight="1">
      <c r="G436" s="480" t="s">
        <v>1657</v>
      </c>
      <c r="H436" s="249">
        <v>10.0</v>
      </c>
      <c r="I436" s="479">
        <v>4.884720593982024E-4</v>
      </c>
      <c r="K436" s="249"/>
      <c r="L436" s="480"/>
      <c r="M436" s="481"/>
      <c r="O436" s="492" t="str">
        <f>IFERROR(__xludf.DUMMYFUNCTION("""COMPUTED_VALUE"""),"Ghost Ship - Nest 3★ #034")</f>
        <v>Ghost Ship - Nest 3★ #034</v>
      </c>
      <c r="P436" s="249">
        <f>IFERROR(__xludf.DUMMYFUNCTION("""COMPUTED_VALUE"""),10.0)</f>
        <v>10</v>
      </c>
      <c r="Q436" s="481"/>
    </row>
    <row r="437" ht="12.75" customHeight="1">
      <c r="G437" s="480" t="s">
        <v>1658</v>
      </c>
      <c r="H437" s="249">
        <v>10.0</v>
      </c>
      <c r="I437" s="479">
        <v>4.884720593982024E-4</v>
      </c>
      <c r="K437" s="249"/>
      <c r="L437" s="480"/>
      <c r="M437" s="481"/>
      <c r="O437" s="492" t="str">
        <f>IFERROR(__xludf.DUMMYFUNCTION("""COMPUTED_VALUE"""),"Ghost Ship - Nest 3★ #AE9")</f>
        <v>Ghost Ship - Nest 3★ #AE9</v>
      </c>
      <c r="P437" s="249">
        <f>IFERROR(__xludf.DUMMYFUNCTION("""COMPUTED_VALUE"""),10.0)</f>
        <v>10</v>
      </c>
      <c r="Q437" s="481"/>
    </row>
    <row r="438" ht="12.75" customHeight="1">
      <c r="G438" s="480" t="s">
        <v>1659</v>
      </c>
      <c r="H438" s="249">
        <v>10.0</v>
      </c>
      <c r="I438" s="479">
        <v>4.884720593982024E-4</v>
      </c>
      <c r="K438" s="249"/>
      <c r="L438" s="480"/>
      <c r="M438" s="481"/>
      <c r="O438" s="492" t="str">
        <f>IFERROR(__xludf.DUMMYFUNCTION("""COMPUTED_VALUE"""),"Ghost Ship - Nest 3★ #59E")</f>
        <v>Ghost Ship - Nest 3★ #59E</v>
      </c>
      <c r="P438" s="249">
        <f>IFERROR(__xludf.DUMMYFUNCTION("""COMPUTED_VALUE"""),10.0)</f>
        <v>10</v>
      </c>
      <c r="Q438" s="481"/>
    </row>
    <row r="439" ht="12.75" customHeight="1">
      <c r="G439" s="480" t="s">
        <v>1660</v>
      </c>
      <c r="H439" s="249">
        <v>10.0</v>
      </c>
      <c r="I439" s="479">
        <v>4.884720593982024E-4</v>
      </c>
      <c r="K439" s="249"/>
      <c r="L439" s="480"/>
      <c r="M439" s="481"/>
      <c r="O439" s="492" t="str">
        <f>IFERROR(__xludf.DUMMYFUNCTION("""COMPUTED_VALUE"""),"Ghost Ship - Nest 3★ #053")</f>
        <v>Ghost Ship - Nest 3★ #053</v>
      </c>
      <c r="P439" s="249">
        <f>IFERROR(__xludf.DUMMYFUNCTION("""COMPUTED_VALUE"""),10.0)</f>
        <v>10</v>
      </c>
      <c r="Q439" s="481"/>
    </row>
    <row r="440" ht="12.75" customHeight="1">
      <c r="G440" s="480" t="s">
        <v>1661</v>
      </c>
      <c r="H440" s="249">
        <v>10.0</v>
      </c>
      <c r="I440" s="479">
        <v>4.884720593982024E-4</v>
      </c>
      <c r="K440" s="249"/>
      <c r="L440" s="480"/>
      <c r="M440" s="481"/>
      <c r="O440" s="492" t="str">
        <f>IFERROR(__xludf.DUMMYFUNCTION("""COMPUTED_VALUE"""),"Ghost Ship - Nest 3★ #B08")</f>
        <v>Ghost Ship - Nest 3★ #B08</v>
      </c>
      <c r="P440" s="249">
        <f>IFERROR(__xludf.DUMMYFUNCTION("""COMPUTED_VALUE"""),10.0)</f>
        <v>10</v>
      </c>
      <c r="Q440" s="481"/>
    </row>
    <row r="441" ht="12.75" customHeight="1">
      <c r="G441" s="480" t="s">
        <v>1662</v>
      </c>
      <c r="H441" s="249">
        <v>10.0</v>
      </c>
      <c r="I441" s="479">
        <v>4.884720593982024E-4</v>
      </c>
      <c r="K441" s="249"/>
      <c r="L441" s="480"/>
      <c r="M441" s="481"/>
      <c r="O441" s="492" t="str">
        <f>IFERROR(__xludf.DUMMYFUNCTION("""COMPUTED_VALUE"""),"Ghost Ship - Nest 3★ #5BD")</f>
        <v>Ghost Ship - Nest 3★ #5BD</v>
      </c>
      <c r="P441" s="249">
        <f>IFERROR(__xludf.DUMMYFUNCTION("""COMPUTED_VALUE"""),10.0)</f>
        <v>10</v>
      </c>
      <c r="Q441" s="481"/>
    </row>
    <row r="442" ht="12.75" customHeight="1">
      <c r="G442" s="480" t="s">
        <v>1663</v>
      </c>
      <c r="H442" s="249">
        <v>5.0</v>
      </c>
      <c r="I442" s="479">
        <v>2.442360296991012E-4</v>
      </c>
      <c r="K442" s="249"/>
      <c r="L442" s="480"/>
      <c r="M442" s="481"/>
      <c r="O442" s="492" t="str">
        <f>IFERROR(__xludf.DUMMYFUNCTION("""COMPUTED_VALUE"""),"Ghost Ship - Flag 4★ #072")</f>
        <v>Ghost Ship - Flag 4★ #072</v>
      </c>
      <c r="P442" s="249">
        <f>IFERROR(__xludf.DUMMYFUNCTION("""COMPUTED_VALUE"""),5.0)</f>
        <v>5</v>
      </c>
      <c r="Q442" s="481"/>
    </row>
    <row r="443" ht="12.75" customHeight="1">
      <c r="G443" s="480" t="s">
        <v>1664</v>
      </c>
      <c r="H443" s="249">
        <v>5.0</v>
      </c>
      <c r="I443" s="479">
        <v>2.442360296991012E-4</v>
      </c>
      <c r="K443" s="249"/>
      <c r="L443" s="480"/>
      <c r="M443" s="481"/>
      <c r="O443" s="492" t="str">
        <f>IFERROR(__xludf.DUMMYFUNCTION("""COMPUTED_VALUE"""),"Ghost Ship - Flag 4★ #B27")</f>
        <v>Ghost Ship - Flag 4★ #B27</v>
      </c>
      <c r="P443" s="249">
        <f>IFERROR(__xludf.DUMMYFUNCTION("""COMPUTED_VALUE"""),5.0)</f>
        <v>5</v>
      </c>
      <c r="Q443" s="481"/>
    </row>
    <row r="444" ht="12.75" customHeight="1">
      <c r="G444" s="480" t="s">
        <v>1665</v>
      </c>
      <c r="H444" s="249">
        <v>5.0</v>
      </c>
      <c r="I444" s="479">
        <v>2.442360296991012E-4</v>
      </c>
      <c r="K444" s="249"/>
      <c r="L444" s="480"/>
      <c r="M444" s="481"/>
      <c r="O444" s="492" t="str">
        <f>IFERROR(__xludf.DUMMYFUNCTION("""COMPUTED_VALUE"""),"Ghost Ship - Flag 4★ #5DC")</f>
        <v>Ghost Ship - Flag 4★ #5DC</v>
      </c>
      <c r="P444" s="249">
        <f>IFERROR(__xludf.DUMMYFUNCTION("""COMPUTED_VALUE"""),5.0)</f>
        <v>5</v>
      </c>
      <c r="Q444" s="481"/>
    </row>
    <row r="445" ht="12.75" customHeight="1">
      <c r="G445" s="480" t="s">
        <v>1666</v>
      </c>
      <c r="H445" s="249">
        <v>5.0</v>
      </c>
      <c r="I445" s="479">
        <v>2.442360296991012E-4</v>
      </c>
      <c r="K445" s="249"/>
      <c r="L445" s="480"/>
      <c r="M445" s="481"/>
      <c r="O445" s="492" t="str">
        <f>IFERROR(__xludf.DUMMYFUNCTION("""COMPUTED_VALUE"""),"Ghost Ship - Flag 4★ #091")</f>
        <v>Ghost Ship - Flag 4★ #091</v>
      </c>
      <c r="P445" s="249">
        <f>IFERROR(__xludf.DUMMYFUNCTION("""COMPUTED_VALUE"""),5.0)</f>
        <v>5</v>
      </c>
      <c r="Q445" s="481"/>
    </row>
    <row r="446" ht="12.75" customHeight="1">
      <c r="G446" s="480" t="s">
        <v>1667</v>
      </c>
      <c r="H446" s="249">
        <v>5.0</v>
      </c>
      <c r="I446" s="479">
        <v>2.442360296991012E-4</v>
      </c>
      <c r="K446" s="249"/>
      <c r="L446" s="480"/>
      <c r="M446" s="481"/>
      <c r="O446" s="492" t="str">
        <f>IFERROR(__xludf.DUMMYFUNCTION("""COMPUTED_VALUE"""),"Ghost Ship - Flag 4★ #B46")</f>
        <v>Ghost Ship - Flag 4★ #B46</v>
      </c>
      <c r="P446" s="249">
        <f>IFERROR(__xludf.DUMMYFUNCTION("""COMPUTED_VALUE"""),5.0)</f>
        <v>5</v>
      </c>
      <c r="Q446" s="481"/>
    </row>
    <row r="447" ht="12.75" customHeight="1">
      <c r="G447" s="480" t="s">
        <v>1668</v>
      </c>
      <c r="H447" s="249">
        <v>5.0</v>
      </c>
      <c r="I447" s="479">
        <v>2.442360296991012E-4</v>
      </c>
      <c r="K447" s="249"/>
      <c r="L447" s="480"/>
      <c r="M447" s="481"/>
      <c r="O447" s="492" t="str">
        <f>IFERROR(__xludf.DUMMYFUNCTION("""COMPUTED_VALUE"""),"Ghost Ship - Flag 4★ #5FB")</f>
        <v>Ghost Ship - Flag 4★ #5FB</v>
      </c>
      <c r="P447" s="249">
        <f>IFERROR(__xludf.DUMMYFUNCTION("""COMPUTED_VALUE"""),5.0)</f>
        <v>5</v>
      </c>
      <c r="Q447" s="481"/>
    </row>
    <row r="448" ht="12.75" customHeight="1">
      <c r="G448" s="480" t="s">
        <v>1669</v>
      </c>
      <c r="H448" s="249">
        <v>5.0</v>
      </c>
      <c r="I448" s="479">
        <v>2.442360296991012E-4</v>
      </c>
      <c r="K448" s="249"/>
      <c r="L448" s="480"/>
      <c r="M448" s="481"/>
      <c r="O448" s="492" t="str">
        <f>IFERROR(__xludf.DUMMYFUNCTION("""COMPUTED_VALUE"""),"Ghost Ship - Flag 4★ #0B0")</f>
        <v>Ghost Ship - Flag 4★ #0B0</v>
      </c>
      <c r="P448" s="249">
        <f>IFERROR(__xludf.DUMMYFUNCTION("""COMPUTED_VALUE"""),5.0)</f>
        <v>5</v>
      </c>
      <c r="Q448" s="481"/>
    </row>
    <row r="449" ht="12.75" customHeight="1">
      <c r="G449" s="480" t="s">
        <v>1670</v>
      </c>
      <c r="H449" s="249">
        <v>5.0</v>
      </c>
      <c r="I449" s="479">
        <v>2.442360296991012E-4</v>
      </c>
      <c r="K449" s="249"/>
      <c r="L449" s="480"/>
      <c r="M449" s="481"/>
      <c r="O449" s="492" t="str">
        <f>IFERROR(__xludf.DUMMYFUNCTION("""COMPUTED_VALUE"""),"Ghost Ship - Flag 4★ #B65")</f>
        <v>Ghost Ship - Flag 4★ #B65</v>
      </c>
      <c r="P449" s="249">
        <f>IFERROR(__xludf.DUMMYFUNCTION("""COMPUTED_VALUE"""),5.0)</f>
        <v>5</v>
      </c>
      <c r="Q449" s="481"/>
    </row>
    <row r="450" ht="12.75" customHeight="1">
      <c r="G450" s="480" t="s">
        <v>1671</v>
      </c>
      <c r="H450" s="249">
        <v>5.0</v>
      </c>
      <c r="I450" s="479">
        <v>2.442360296991012E-4</v>
      </c>
      <c r="K450" s="249"/>
      <c r="L450" s="480"/>
      <c r="M450" s="481"/>
      <c r="O450" s="492" t="str">
        <f>IFERROR(__xludf.DUMMYFUNCTION("""COMPUTED_VALUE"""),"Ghost Ship - Flag 4★ #61A")</f>
        <v>Ghost Ship - Flag 4★ #61A</v>
      </c>
      <c r="P450" s="249">
        <f>IFERROR(__xludf.DUMMYFUNCTION("""COMPUTED_VALUE"""),5.0)</f>
        <v>5</v>
      </c>
      <c r="Q450" s="481"/>
    </row>
    <row r="451" ht="12.75" customHeight="1">
      <c r="G451" s="480" t="s">
        <v>1672</v>
      </c>
      <c r="H451" s="249">
        <v>5.0</v>
      </c>
      <c r="I451" s="479">
        <v>2.442360296991012E-4</v>
      </c>
      <c r="K451" s="249"/>
      <c r="L451" s="480"/>
      <c r="M451" s="481"/>
      <c r="O451" s="492" t="str">
        <f>IFERROR(__xludf.DUMMYFUNCTION("""COMPUTED_VALUE"""),"Ghost Ship - Flag 4★ #0CF")</f>
        <v>Ghost Ship - Flag 4★ #0CF</v>
      </c>
      <c r="P451" s="249">
        <f>IFERROR(__xludf.DUMMYFUNCTION("""COMPUTED_VALUE"""),5.0)</f>
        <v>5</v>
      </c>
      <c r="Q451" s="481"/>
    </row>
    <row r="452" ht="12.75" customHeight="1">
      <c r="G452" s="480" t="s">
        <v>1673</v>
      </c>
      <c r="H452" s="249">
        <v>5.0</v>
      </c>
      <c r="I452" s="479">
        <v>2.442360296991012E-4</v>
      </c>
      <c r="K452" s="249"/>
      <c r="L452" s="480"/>
      <c r="M452" s="481"/>
      <c r="O452" s="492" t="str">
        <f>IFERROR(__xludf.DUMMYFUNCTION("""COMPUTED_VALUE"""),"Ghost Ship - Flag 4★ #B84")</f>
        <v>Ghost Ship - Flag 4★ #B84</v>
      </c>
      <c r="P452" s="249">
        <f>IFERROR(__xludf.DUMMYFUNCTION("""COMPUTED_VALUE"""),5.0)</f>
        <v>5</v>
      </c>
      <c r="Q452" s="481"/>
    </row>
    <row r="453" ht="12.75" customHeight="1">
      <c r="G453" s="480" t="s">
        <v>1674</v>
      </c>
      <c r="H453" s="249">
        <v>5.0</v>
      </c>
      <c r="I453" s="479">
        <v>2.442360296991012E-4</v>
      </c>
      <c r="K453" s="249"/>
      <c r="L453" s="480"/>
      <c r="M453" s="481"/>
      <c r="O453" s="492" t="str">
        <f>IFERROR(__xludf.DUMMYFUNCTION("""COMPUTED_VALUE"""),"Ghost Ship - Chain 4★ #639")</f>
        <v>Ghost Ship - Chain 4★ #639</v>
      </c>
      <c r="P453" s="249">
        <f>IFERROR(__xludf.DUMMYFUNCTION("""COMPUTED_VALUE"""),5.0)</f>
        <v>5</v>
      </c>
      <c r="Q453" s="481"/>
    </row>
    <row r="454" ht="12.75" customHeight="1">
      <c r="G454" s="480" t="s">
        <v>1675</v>
      </c>
      <c r="H454" s="249">
        <v>5.0</v>
      </c>
      <c r="I454" s="479">
        <v>2.442360296991012E-4</v>
      </c>
      <c r="K454" s="249"/>
      <c r="L454" s="480"/>
      <c r="M454" s="481"/>
      <c r="O454" s="492" t="str">
        <f>IFERROR(__xludf.DUMMYFUNCTION("""COMPUTED_VALUE"""),"Ghost Ship - Chain 4★ #0EE")</f>
        <v>Ghost Ship - Chain 4★ #0EE</v>
      </c>
      <c r="P454" s="249">
        <f>IFERROR(__xludf.DUMMYFUNCTION("""COMPUTED_VALUE"""),5.0)</f>
        <v>5</v>
      </c>
      <c r="Q454" s="481"/>
    </row>
    <row r="455" ht="12.75" customHeight="1">
      <c r="G455" s="480" t="s">
        <v>1676</v>
      </c>
      <c r="H455" s="249">
        <v>5.0</v>
      </c>
      <c r="I455" s="479">
        <v>2.442360296991012E-4</v>
      </c>
      <c r="K455" s="249"/>
      <c r="L455" s="480"/>
      <c r="M455" s="481"/>
      <c r="O455" s="492" t="str">
        <f>IFERROR(__xludf.DUMMYFUNCTION("""COMPUTED_VALUE"""),"Ghost Ship - Chain 4★ #BA3")</f>
        <v>Ghost Ship - Chain 4★ #BA3</v>
      </c>
      <c r="P455" s="249">
        <f>IFERROR(__xludf.DUMMYFUNCTION("""COMPUTED_VALUE"""),5.0)</f>
        <v>5</v>
      </c>
      <c r="Q455" s="481"/>
    </row>
    <row r="456" ht="12.75" customHeight="1">
      <c r="G456" s="480" t="s">
        <v>1677</v>
      </c>
      <c r="H456" s="249">
        <v>5.0</v>
      </c>
      <c r="I456" s="479">
        <v>2.442360296991012E-4</v>
      </c>
      <c r="K456" s="249"/>
      <c r="L456" s="480"/>
      <c r="M456" s="481"/>
      <c r="O456" s="492" t="str">
        <f>IFERROR(__xludf.DUMMYFUNCTION("""COMPUTED_VALUE"""),"Ghost Ship - Chain 4★ #658")</f>
        <v>Ghost Ship - Chain 4★ #658</v>
      </c>
      <c r="P456" s="249">
        <f>IFERROR(__xludf.DUMMYFUNCTION("""COMPUTED_VALUE"""),5.0)</f>
        <v>5</v>
      </c>
      <c r="Q456" s="481"/>
    </row>
    <row r="457" ht="12.75" customHeight="1">
      <c r="G457" s="480" t="s">
        <v>1678</v>
      </c>
      <c r="H457" s="249">
        <v>5.0</v>
      </c>
      <c r="I457" s="479">
        <v>2.442360296991012E-4</v>
      </c>
      <c r="K457" s="249"/>
      <c r="L457" s="480"/>
      <c r="M457" s="481"/>
      <c r="O457" s="492" t="str">
        <f>IFERROR(__xludf.DUMMYFUNCTION("""COMPUTED_VALUE"""),"Ghost Ship - Chain 4★ #10D")</f>
        <v>Ghost Ship - Chain 4★ #10D</v>
      </c>
      <c r="P457" s="249">
        <f>IFERROR(__xludf.DUMMYFUNCTION("""COMPUTED_VALUE"""),5.0)</f>
        <v>5</v>
      </c>
      <c r="Q457" s="481"/>
    </row>
    <row r="458" ht="12.75" customHeight="1">
      <c r="G458" s="480" t="s">
        <v>1679</v>
      </c>
      <c r="H458" s="249">
        <v>5.0</v>
      </c>
      <c r="I458" s="479">
        <v>2.442360296991012E-4</v>
      </c>
      <c r="K458" s="249"/>
      <c r="L458" s="480"/>
      <c r="M458" s="481"/>
      <c r="O458" s="492" t="str">
        <f>IFERROR(__xludf.DUMMYFUNCTION("""COMPUTED_VALUE"""),"Ghost Ship - Chain 4★ #BC2")</f>
        <v>Ghost Ship - Chain 4★ #BC2</v>
      </c>
      <c r="P458" s="249">
        <f>IFERROR(__xludf.DUMMYFUNCTION("""COMPUTED_VALUE"""),5.0)</f>
        <v>5</v>
      </c>
      <c r="Q458" s="481"/>
    </row>
    <row r="459" ht="12.75" customHeight="1">
      <c r="G459" s="480" t="s">
        <v>1680</v>
      </c>
      <c r="H459" s="249">
        <v>5.0</v>
      </c>
      <c r="I459" s="479">
        <v>2.442360296991012E-4</v>
      </c>
      <c r="K459" s="249"/>
      <c r="L459" s="480"/>
      <c r="M459" s="481"/>
      <c r="O459" s="492" t="str">
        <f>IFERROR(__xludf.DUMMYFUNCTION("""COMPUTED_VALUE"""),"Ghost Ship - Chain 4★ #677")</f>
        <v>Ghost Ship - Chain 4★ #677</v>
      </c>
      <c r="P459" s="249">
        <f>IFERROR(__xludf.DUMMYFUNCTION("""COMPUTED_VALUE"""),5.0)</f>
        <v>5</v>
      </c>
      <c r="Q459" s="481"/>
    </row>
    <row r="460" ht="12.75" customHeight="1">
      <c r="G460" s="480" t="s">
        <v>1681</v>
      </c>
      <c r="H460" s="249">
        <v>5.0</v>
      </c>
      <c r="I460" s="479">
        <v>2.442360296991012E-4</v>
      </c>
      <c r="K460" s="249"/>
      <c r="L460" s="480"/>
      <c r="M460" s="481"/>
      <c r="O460" s="492" t="str">
        <f>IFERROR(__xludf.DUMMYFUNCTION("""COMPUTED_VALUE"""),"Ghost Ship - Chain 4★ #12C")</f>
        <v>Ghost Ship - Chain 4★ #12C</v>
      </c>
      <c r="P460" s="249">
        <f>IFERROR(__xludf.DUMMYFUNCTION("""COMPUTED_VALUE"""),5.0)</f>
        <v>5</v>
      </c>
      <c r="Q460" s="481"/>
    </row>
    <row r="461" ht="12.75" customHeight="1">
      <c r="G461" s="480" t="s">
        <v>1682</v>
      </c>
      <c r="H461" s="249">
        <v>5.0</v>
      </c>
      <c r="I461" s="479">
        <v>2.442360296991012E-4</v>
      </c>
      <c r="K461" s="249"/>
      <c r="L461" s="480"/>
      <c r="M461" s="481"/>
      <c r="O461" s="492" t="str">
        <f>IFERROR(__xludf.DUMMYFUNCTION("""COMPUTED_VALUE"""),"Ghost Ship - Chain 4★ #BE1")</f>
        <v>Ghost Ship - Chain 4★ #BE1</v>
      </c>
      <c r="P461" s="249">
        <f>IFERROR(__xludf.DUMMYFUNCTION("""COMPUTED_VALUE"""),5.0)</f>
        <v>5</v>
      </c>
      <c r="Q461" s="481"/>
    </row>
    <row r="462" ht="12.75" customHeight="1">
      <c r="G462" s="480" t="s">
        <v>1683</v>
      </c>
      <c r="H462" s="249">
        <v>5.0</v>
      </c>
      <c r="I462" s="479">
        <v>2.442360296991012E-4</v>
      </c>
      <c r="K462" s="249"/>
      <c r="L462" s="480"/>
      <c r="M462" s="481"/>
      <c r="O462" s="492" t="str">
        <f>IFERROR(__xludf.DUMMYFUNCTION("""COMPUTED_VALUE"""),"Ghost Ship - Chain 4★ #696")</f>
        <v>Ghost Ship - Chain 4★ #696</v>
      </c>
      <c r="P462" s="249">
        <f>IFERROR(__xludf.DUMMYFUNCTION("""COMPUTED_VALUE"""),5.0)</f>
        <v>5</v>
      </c>
      <c r="Q462" s="481"/>
    </row>
    <row r="463" ht="12.75" customHeight="1">
      <c r="G463" s="480" t="s">
        <v>1684</v>
      </c>
      <c r="H463" s="249">
        <v>5.0</v>
      </c>
      <c r="I463" s="479">
        <v>2.442360296991012E-4</v>
      </c>
      <c r="K463" s="249"/>
      <c r="L463" s="480"/>
      <c r="M463" s="481"/>
      <c r="O463" s="492" t="str">
        <f>IFERROR(__xludf.DUMMYFUNCTION("""COMPUTED_VALUE"""),"Ghost Ship - Chain 4★ #14B")</f>
        <v>Ghost Ship - Chain 4★ #14B</v>
      </c>
      <c r="P463" s="249">
        <f>IFERROR(__xludf.DUMMYFUNCTION("""COMPUTED_VALUE"""),5.0)</f>
        <v>5</v>
      </c>
      <c r="Q463" s="481"/>
    </row>
    <row r="464" ht="12.75" customHeight="1">
      <c r="G464" s="480" t="s">
        <v>1685</v>
      </c>
      <c r="H464" s="249">
        <v>2.0</v>
      </c>
      <c r="I464" s="479">
        <v>9.769441187964049E-5</v>
      </c>
      <c r="K464" s="249"/>
      <c r="L464" s="480"/>
      <c r="M464" s="481"/>
      <c r="O464" s="492" t="str">
        <f>IFERROR(__xludf.DUMMYFUNCTION("""COMPUTED_VALUE"""),"Ghost Ship - Log 5★ #C00")</f>
        <v>Ghost Ship - Log 5★ #C00</v>
      </c>
      <c r="P464" s="249">
        <f>IFERROR(__xludf.DUMMYFUNCTION("""COMPUTED_VALUE"""),2.0)</f>
        <v>2</v>
      </c>
      <c r="Q464" s="481"/>
    </row>
    <row r="465" ht="12.75" customHeight="1">
      <c r="G465" s="480" t="s">
        <v>1686</v>
      </c>
      <c r="H465" s="249">
        <v>2.0</v>
      </c>
      <c r="I465" s="479">
        <v>9.769441187964049E-5</v>
      </c>
      <c r="K465" s="249"/>
      <c r="L465" s="480"/>
      <c r="M465" s="481"/>
      <c r="O465" s="492" t="str">
        <f>IFERROR(__xludf.DUMMYFUNCTION("""COMPUTED_VALUE"""),"Ghost Ship - Log 5★ #6B5")</f>
        <v>Ghost Ship - Log 5★ #6B5</v>
      </c>
      <c r="P465" s="249">
        <f>IFERROR(__xludf.DUMMYFUNCTION("""COMPUTED_VALUE"""),2.0)</f>
        <v>2</v>
      </c>
      <c r="Q465" s="481"/>
    </row>
    <row r="466" ht="12.75" customHeight="1">
      <c r="G466" s="480" t="s">
        <v>1687</v>
      </c>
      <c r="H466" s="249">
        <v>2.0</v>
      </c>
      <c r="I466" s="479">
        <v>9.769441187964049E-5</v>
      </c>
      <c r="K466" s="249"/>
      <c r="L466" s="480"/>
      <c r="M466" s="481"/>
      <c r="O466" s="492" t="str">
        <f>IFERROR(__xludf.DUMMYFUNCTION("""COMPUTED_VALUE"""),"Ghost Ship - Log 5★ #16A")</f>
        <v>Ghost Ship - Log 5★ #16A</v>
      </c>
      <c r="P466" s="249">
        <f>IFERROR(__xludf.DUMMYFUNCTION("""COMPUTED_VALUE"""),2.0)</f>
        <v>2</v>
      </c>
      <c r="Q466" s="481"/>
    </row>
    <row r="467" ht="12.75" customHeight="1">
      <c r="G467" s="480" t="s">
        <v>1688</v>
      </c>
      <c r="H467" s="249">
        <v>2.0</v>
      </c>
      <c r="I467" s="479">
        <v>9.769441187964049E-5</v>
      </c>
      <c r="K467" s="249"/>
      <c r="L467" s="480"/>
      <c r="M467" s="481"/>
      <c r="O467" s="492" t="str">
        <f>IFERROR(__xludf.DUMMYFUNCTION("""COMPUTED_VALUE"""),"Ghost Ship - Log 5★ #C1F")</f>
        <v>Ghost Ship - Log 5★ #C1F</v>
      </c>
      <c r="P467" s="249">
        <f>IFERROR(__xludf.DUMMYFUNCTION("""COMPUTED_VALUE"""),2.0)</f>
        <v>2</v>
      </c>
      <c r="Q467" s="481"/>
    </row>
    <row r="468" ht="12.75" customHeight="1">
      <c r="G468" s="480" t="s">
        <v>1689</v>
      </c>
      <c r="H468" s="249">
        <v>2.0</v>
      </c>
      <c r="I468" s="479">
        <v>9.769441187964049E-5</v>
      </c>
      <c r="K468" s="249"/>
      <c r="L468" s="480"/>
      <c r="M468" s="481"/>
      <c r="O468" s="492" t="str">
        <f>IFERROR(__xludf.DUMMYFUNCTION("""COMPUTED_VALUE"""),"Ghost Ship - Log 5★ #6D4")</f>
        <v>Ghost Ship - Log 5★ #6D4</v>
      </c>
      <c r="P468" s="249">
        <f>IFERROR(__xludf.DUMMYFUNCTION("""COMPUTED_VALUE"""),2.0)</f>
        <v>2</v>
      </c>
      <c r="Q468" s="481"/>
    </row>
    <row r="469" ht="12.75" customHeight="1">
      <c r="G469" s="480" t="s">
        <v>1690</v>
      </c>
      <c r="H469" s="249">
        <v>50.0</v>
      </c>
      <c r="I469" s="479">
        <v>0.0024423602969910123</v>
      </c>
      <c r="K469" s="249"/>
      <c r="L469" s="480"/>
      <c r="M469" s="481"/>
      <c r="O469" s="492" t="str">
        <f>IFERROR(__xludf.DUMMYFUNCTION("""COMPUTED_VALUE"""),"Storm Port - Lightning 1★ #189")</f>
        <v>Storm Port - Lightning 1★ #189</v>
      </c>
      <c r="P469" s="249">
        <f>IFERROR(__xludf.DUMMYFUNCTION("""COMPUTED_VALUE"""),50.0)</f>
        <v>50</v>
      </c>
      <c r="Q469" s="481"/>
    </row>
    <row r="470" ht="12.75" customHeight="1">
      <c r="G470" s="480" t="s">
        <v>1691</v>
      </c>
      <c r="H470" s="249">
        <v>50.0</v>
      </c>
      <c r="I470" s="479">
        <v>0.0024423602969910123</v>
      </c>
      <c r="K470" s="249"/>
      <c r="L470" s="480"/>
      <c r="M470" s="481"/>
      <c r="O470" s="492" t="str">
        <f>IFERROR(__xludf.DUMMYFUNCTION("""COMPUTED_VALUE"""),"Storm Port - Lightning 1★ #C3E")</f>
        <v>Storm Port - Lightning 1★ #C3E</v>
      </c>
      <c r="P470" s="249">
        <f>IFERROR(__xludf.DUMMYFUNCTION("""COMPUTED_VALUE"""),50.0)</f>
        <v>50</v>
      </c>
      <c r="Q470" s="481"/>
    </row>
    <row r="471" ht="12.75" customHeight="1">
      <c r="G471" s="480" t="s">
        <v>1692</v>
      </c>
      <c r="H471" s="249">
        <v>50.0</v>
      </c>
      <c r="I471" s="479">
        <v>0.0024423602969910123</v>
      </c>
      <c r="K471" s="249"/>
      <c r="L471" s="480"/>
      <c r="M471" s="481"/>
      <c r="O471" s="492" t="str">
        <f>IFERROR(__xludf.DUMMYFUNCTION("""COMPUTED_VALUE"""),"Storm Port - Lightning 1★ #6F3")</f>
        <v>Storm Port - Lightning 1★ #6F3</v>
      </c>
      <c r="P471" s="249">
        <f>IFERROR(__xludf.DUMMYFUNCTION("""COMPUTED_VALUE"""),50.0)</f>
        <v>50</v>
      </c>
      <c r="Q471" s="481"/>
    </row>
    <row r="472" ht="12.75" customHeight="1">
      <c r="G472" s="480" t="s">
        <v>1693</v>
      </c>
      <c r="H472" s="249">
        <v>50.0</v>
      </c>
      <c r="I472" s="479">
        <v>0.0024423602969910123</v>
      </c>
      <c r="K472" s="249"/>
      <c r="L472" s="480"/>
      <c r="M472" s="481"/>
      <c r="O472" s="492" t="str">
        <f>IFERROR(__xludf.DUMMYFUNCTION("""COMPUTED_VALUE"""),"Storm Port - Lightning 1★ #1A8")</f>
        <v>Storm Port - Lightning 1★ #1A8</v>
      </c>
      <c r="P472" s="249">
        <f>IFERROR(__xludf.DUMMYFUNCTION("""COMPUTED_VALUE"""),50.0)</f>
        <v>50</v>
      </c>
      <c r="Q472" s="481"/>
    </row>
    <row r="473" ht="12.75" customHeight="1">
      <c r="G473" s="480" t="s">
        <v>1694</v>
      </c>
      <c r="H473" s="249">
        <v>50.0</v>
      </c>
      <c r="I473" s="479">
        <v>0.0024423602969910123</v>
      </c>
      <c r="K473" s="249"/>
      <c r="L473" s="480"/>
      <c r="M473" s="481"/>
      <c r="O473" s="492" t="str">
        <f>IFERROR(__xludf.DUMMYFUNCTION("""COMPUTED_VALUE"""),"Storm Port - Lightning 1★ #C5D")</f>
        <v>Storm Port - Lightning 1★ #C5D</v>
      </c>
      <c r="P473" s="249">
        <f>IFERROR(__xludf.DUMMYFUNCTION("""COMPUTED_VALUE"""),50.0)</f>
        <v>50</v>
      </c>
      <c r="Q473" s="481"/>
    </row>
    <row r="474" ht="12.75" customHeight="1">
      <c r="G474" s="480" t="s">
        <v>1695</v>
      </c>
      <c r="H474" s="249">
        <v>50.0</v>
      </c>
      <c r="I474" s="479">
        <v>0.0024423602969910123</v>
      </c>
      <c r="K474" s="249"/>
      <c r="L474" s="480"/>
      <c r="M474" s="481"/>
      <c r="O474" s="492" t="str">
        <f>IFERROR(__xludf.DUMMYFUNCTION("""COMPUTED_VALUE"""),"Storm Port - Lightning 1★ #712")</f>
        <v>Storm Port - Lightning 1★ #712</v>
      </c>
      <c r="P474" s="249">
        <f>IFERROR(__xludf.DUMMYFUNCTION("""COMPUTED_VALUE"""),50.0)</f>
        <v>50</v>
      </c>
      <c r="Q474" s="481"/>
    </row>
    <row r="475" ht="12.75" customHeight="1">
      <c r="G475" s="480" t="s">
        <v>1696</v>
      </c>
      <c r="H475" s="249">
        <v>50.0</v>
      </c>
      <c r="I475" s="479">
        <v>0.0024423602969910123</v>
      </c>
      <c r="K475" s="249"/>
      <c r="L475" s="480"/>
      <c r="M475" s="481"/>
      <c r="O475" s="492" t="str">
        <f>IFERROR(__xludf.DUMMYFUNCTION("""COMPUTED_VALUE"""),"Storm Port - Lightning 1★ #1C7")</f>
        <v>Storm Port - Lightning 1★ #1C7</v>
      </c>
      <c r="P475" s="249">
        <f>IFERROR(__xludf.DUMMYFUNCTION("""COMPUTED_VALUE"""),50.0)</f>
        <v>50</v>
      </c>
      <c r="Q475" s="481"/>
    </row>
    <row r="476" ht="12.75" customHeight="1">
      <c r="G476" s="480" t="s">
        <v>1697</v>
      </c>
      <c r="H476" s="249">
        <v>50.0</v>
      </c>
      <c r="I476" s="479">
        <v>0.0024423602969910123</v>
      </c>
      <c r="K476" s="249"/>
      <c r="L476" s="480"/>
      <c r="M476" s="481"/>
      <c r="O476" s="492" t="str">
        <f>IFERROR(__xludf.DUMMYFUNCTION("""COMPUTED_VALUE"""),"Storm Port - Lightning 1★ #C7C")</f>
        <v>Storm Port - Lightning 1★ #C7C</v>
      </c>
      <c r="P476" s="249">
        <f>IFERROR(__xludf.DUMMYFUNCTION("""COMPUTED_VALUE"""),50.0)</f>
        <v>50</v>
      </c>
      <c r="Q476" s="481"/>
    </row>
    <row r="477" ht="12.75" customHeight="1">
      <c r="G477" s="480" t="s">
        <v>1698</v>
      </c>
      <c r="H477" s="249">
        <v>50.0</v>
      </c>
      <c r="I477" s="479">
        <v>0.0024423602969910123</v>
      </c>
      <c r="K477" s="249"/>
      <c r="L477" s="480"/>
      <c r="M477" s="481"/>
      <c r="O477" s="492" t="str">
        <f>IFERROR(__xludf.DUMMYFUNCTION("""COMPUTED_VALUE"""),"Storm Port - Lightning 1★ #731")</f>
        <v>Storm Port - Lightning 1★ #731</v>
      </c>
      <c r="P477" s="249">
        <f>IFERROR(__xludf.DUMMYFUNCTION("""COMPUTED_VALUE"""),50.0)</f>
        <v>50</v>
      </c>
      <c r="Q477" s="481"/>
    </row>
    <row r="478" ht="12.75" customHeight="1">
      <c r="G478" s="480" t="s">
        <v>1699</v>
      </c>
      <c r="H478" s="249">
        <v>50.0</v>
      </c>
      <c r="I478" s="479">
        <v>0.0024423602969910123</v>
      </c>
      <c r="K478" s="249"/>
      <c r="L478" s="480"/>
      <c r="M478" s="481"/>
      <c r="O478" s="492" t="str">
        <f>IFERROR(__xludf.DUMMYFUNCTION("""COMPUTED_VALUE"""),"Storm Port - Lightning 1★ #1E6")</f>
        <v>Storm Port - Lightning 1★ #1E6</v>
      </c>
      <c r="P478" s="249">
        <f>IFERROR(__xludf.DUMMYFUNCTION("""COMPUTED_VALUE"""),50.0)</f>
        <v>50</v>
      </c>
      <c r="Q478" s="481"/>
    </row>
    <row r="479" ht="12.75" customHeight="1">
      <c r="G479" s="480" t="s">
        <v>1700</v>
      </c>
      <c r="H479" s="249">
        <v>50.0</v>
      </c>
      <c r="I479" s="479">
        <v>0.0024423602969910123</v>
      </c>
      <c r="K479" s="249"/>
      <c r="L479" s="480"/>
      <c r="M479" s="481"/>
      <c r="O479" s="492" t="str">
        <f>IFERROR(__xludf.DUMMYFUNCTION("""COMPUTED_VALUE"""),"Storm Port - Lightning 1★ #C9B")</f>
        <v>Storm Port - Lightning 1★ #C9B</v>
      </c>
      <c r="P479" s="249">
        <f>IFERROR(__xludf.DUMMYFUNCTION("""COMPUTED_VALUE"""),50.0)</f>
        <v>50</v>
      </c>
      <c r="Q479" s="481"/>
    </row>
    <row r="480" ht="12.75" customHeight="1">
      <c r="G480" s="480" t="s">
        <v>1701</v>
      </c>
      <c r="H480" s="249">
        <v>50.0</v>
      </c>
      <c r="I480" s="479">
        <v>0.0024423602969910123</v>
      </c>
      <c r="K480" s="249"/>
      <c r="L480" s="480"/>
      <c r="M480" s="481"/>
      <c r="O480" s="492" t="str">
        <f>IFERROR(__xludf.DUMMYFUNCTION("""COMPUTED_VALUE"""),"Storm Port - Lightning 1★ #750")</f>
        <v>Storm Port - Lightning 1★ #750</v>
      </c>
      <c r="P480" s="249">
        <f>IFERROR(__xludf.DUMMYFUNCTION("""COMPUTED_VALUE"""),50.0)</f>
        <v>50</v>
      </c>
      <c r="Q480" s="481"/>
    </row>
    <row r="481" ht="12.75" customHeight="1">
      <c r="G481" s="480" t="s">
        <v>1702</v>
      </c>
      <c r="H481" s="249">
        <v>50.0</v>
      </c>
      <c r="I481" s="479">
        <v>0.0024423602969910123</v>
      </c>
      <c r="K481" s="249"/>
      <c r="L481" s="480"/>
      <c r="M481" s="481"/>
      <c r="O481" s="492" t="str">
        <f>IFERROR(__xludf.DUMMYFUNCTION("""COMPUTED_VALUE"""),"Storm Port - Lightning 1★ #205")</f>
        <v>Storm Port - Lightning 1★ #205</v>
      </c>
      <c r="P481" s="249">
        <f>IFERROR(__xludf.DUMMYFUNCTION("""COMPUTED_VALUE"""),50.0)</f>
        <v>50</v>
      </c>
      <c r="Q481" s="481"/>
    </row>
    <row r="482" ht="12.75" customHeight="1">
      <c r="G482" s="480" t="s">
        <v>1703</v>
      </c>
      <c r="H482" s="249">
        <v>50.0</v>
      </c>
      <c r="I482" s="479">
        <v>0.0024423602969910123</v>
      </c>
      <c r="K482" s="249"/>
      <c r="L482" s="480"/>
      <c r="M482" s="481"/>
      <c r="O482" s="492" t="str">
        <f>IFERROR(__xludf.DUMMYFUNCTION("""COMPUTED_VALUE"""),"Storm Port - Barrel 1★ #CBA")</f>
        <v>Storm Port - Barrel 1★ #CBA</v>
      </c>
      <c r="P482" s="249">
        <f>IFERROR(__xludf.DUMMYFUNCTION("""COMPUTED_VALUE"""),50.0)</f>
        <v>50</v>
      </c>
      <c r="Q482" s="481"/>
    </row>
    <row r="483" ht="12.75" customHeight="1">
      <c r="G483" s="480" t="s">
        <v>1704</v>
      </c>
      <c r="H483" s="249">
        <v>50.0</v>
      </c>
      <c r="I483" s="479">
        <v>0.0024423602969910123</v>
      </c>
      <c r="K483" s="249"/>
      <c r="L483" s="480"/>
      <c r="M483" s="481"/>
      <c r="O483" s="492" t="str">
        <f>IFERROR(__xludf.DUMMYFUNCTION("""COMPUTED_VALUE"""),"Storm Port - Barrel 1★ #76F")</f>
        <v>Storm Port - Barrel 1★ #76F</v>
      </c>
      <c r="P483" s="249">
        <f>IFERROR(__xludf.DUMMYFUNCTION("""COMPUTED_VALUE"""),50.0)</f>
        <v>50</v>
      </c>
      <c r="Q483" s="481"/>
    </row>
    <row r="484" ht="12.75" customHeight="1">
      <c r="G484" s="480" t="s">
        <v>1705</v>
      </c>
      <c r="H484" s="249">
        <v>50.0</v>
      </c>
      <c r="I484" s="479">
        <v>0.0024423602969910123</v>
      </c>
      <c r="K484" s="249"/>
      <c r="L484" s="480"/>
      <c r="M484" s="481"/>
      <c r="O484" s="492" t="str">
        <f>IFERROR(__xludf.DUMMYFUNCTION("""COMPUTED_VALUE"""),"Storm Port - Barrel 1★ #224")</f>
        <v>Storm Port - Barrel 1★ #224</v>
      </c>
      <c r="P484" s="249">
        <f>IFERROR(__xludf.DUMMYFUNCTION("""COMPUTED_VALUE"""),50.0)</f>
        <v>50</v>
      </c>
      <c r="Q484" s="481"/>
    </row>
    <row r="485" ht="12.75" customHeight="1">
      <c r="G485" s="480" t="s">
        <v>1706</v>
      </c>
      <c r="H485" s="249">
        <v>50.0</v>
      </c>
      <c r="I485" s="479">
        <v>0.0024423602969910123</v>
      </c>
      <c r="K485" s="249"/>
      <c r="L485" s="480"/>
      <c r="M485" s="481"/>
      <c r="O485" s="492" t="str">
        <f>IFERROR(__xludf.DUMMYFUNCTION("""COMPUTED_VALUE"""),"Storm Port - Barrel 1★ #CD9")</f>
        <v>Storm Port - Barrel 1★ #CD9</v>
      </c>
      <c r="P485" s="249">
        <f>IFERROR(__xludf.DUMMYFUNCTION("""COMPUTED_VALUE"""),50.0)</f>
        <v>50</v>
      </c>
      <c r="Q485" s="481"/>
    </row>
    <row r="486" ht="12.75" customHeight="1">
      <c r="G486" s="480" t="s">
        <v>1707</v>
      </c>
      <c r="H486" s="249">
        <v>50.0</v>
      </c>
      <c r="I486" s="479">
        <v>0.0024423602969910123</v>
      </c>
      <c r="K486" s="249"/>
      <c r="L486" s="480"/>
      <c r="M486" s="481"/>
      <c r="O486" s="492" t="str">
        <f>IFERROR(__xludf.DUMMYFUNCTION("""COMPUTED_VALUE"""),"Storm Port - Barrel 1★ #78E")</f>
        <v>Storm Port - Barrel 1★ #78E</v>
      </c>
      <c r="P486" s="249">
        <f>IFERROR(__xludf.DUMMYFUNCTION("""COMPUTED_VALUE"""),50.0)</f>
        <v>50</v>
      </c>
      <c r="Q486" s="481"/>
    </row>
    <row r="487" ht="12.75" customHeight="1">
      <c r="G487" s="480" t="s">
        <v>1708</v>
      </c>
      <c r="H487" s="249">
        <v>50.0</v>
      </c>
      <c r="I487" s="479">
        <v>0.0024423602969910123</v>
      </c>
      <c r="K487" s="249"/>
      <c r="L487" s="480"/>
      <c r="M487" s="481"/>
      <c r="O487" s="492" t="str">
        <f>IFERROR(__xludf.DUMMYFUNCTION("""COMPUTED_VALUE"""),"Storm Port - Barrel 1★ #243")</f>
        <v>Storm Port - Barrel 1★ #243</v>
      </c>
      <c r="P487" s="249">
        <f>IFERROR(__xludf.DUMMYFUNCTION("""COMPUTED_VALUE"""),50.0)</f>
        <v>50</v>
      </c>
      <c r="Q487" s="481"/>
    </row>
    <row r="488" ht="12.75" customHeight="1">
      <c r="G488" s="480" t="s">
        <v>1709</v>
      </c>
      <c r="H488" s="249">
        <v>50.0</v>
      </c>
      <c r="I488" s="479">
        <v>0.0024423602969910123</v>
      </c>
      <c r="K488" s="249"/>
      <c r="L488" s="480"/>
      <c r="M488" s="481"/>
      <c r="O488" s="492" t="str">
        <f>IFERROR(__xludf.DUMMYFUNCTION("""COMPUTED_VALUE"""),"Storm Port - Barrel 1★ #CF8")</f>
        <v>Storm Port - Barrel 1★ #CF8</v>
      </c>
      <c r="P488" s="249">
        <f>IFERROR(__xludf.DUMMYFUNCTION("""COMPUTED_VALUE"""),50.0)</f>
        <v>50</v>
      </c>
      <c r="Q488" s="481"/>
    </row>
    <row r="489" ht="12.75" customHeight="1">
      <c r="G489" s="480" t="s">
        <v>1710</v>
      </c>
      <c r="H489" s="249">
        <v>50.0</v>
      </c>
      <c r="I489" s="479">
        <v>0.0024423602969910123</v>
      </c>
      <c r="K489" s="249"/>
      <c r="L489" s="480"/>
      <c r="M489" s="481"/>
      <c r="O489" s="492" t="str">
        <f>IFERROR(__xludf.DUMMYFUNCTION("""COMPUTED_VALUE"""),"Storm Port - Barrel 1★ #7AD")</f>
        <v>Storm Port - Barrel 1★ #7AD</v>
      </c>
      <c r="P489" s="249">
        <f>IFERROR(__xludf.DUMMYFUNCTION("""COMPUTED_VALUE"""),50.0)</f>
        <v>50</v>
      </c>
      <c r="Q489" s="481"/>
    </row>
    <row r="490" ht="12.75" customHeight="1">
      <c r="G490" s="480" t="s">
        <v>1711</v>
      </c>
      <c r="H490" s="249">
        <v>50.0</v>
      </c>
      <c r="I490" s="479">
        <v>0.0024423602969910123</v>
      </c>
      <c r="K490" s="249"/>
      <c r="L490" s="480"/>
      <c r="M490" s="481"/>
      <c r="O490" s="492" t="str">
        <f>IFERROR(__xludf.DUMMYFUNCTION("""COMPUTED_VALUE"""),"Storm Port - Barrel 1★ #262")</f>
        <v>Storm Port - Barrel 1★ #262</v>
      </c>
      <c r="P490" s="249">
        <f>IFERROR(__xludf.DUMMYFUNCTION("""COMPUTED_VALUE"""),50.0)</f>
        <v>50</v>
      </c>
      <c r="Q490" s="481"/>
    </row>
    <row r="491" ht="12.75" customHeight="1">
      <c r="G491" s="480" t="s">
        <v>1712</v>
      </c>
      <c r="H491" s="249">
        <v>50.0</v>
      </c>
      <c r="I491" s="479">
        <v>0.0024423602969910123</v>
      </c>
      <c r="K491" s="249"/>
      <c r="L491" s="480"/>
      <c r="M491" s="481"/>
      <c r="O491" s="492" t="str">
        <f>IFERROR(__xludf.DUMMYFUNCTION("""COMPUTED_VALUE"""),"Storm Port - Barrel 1★ #D17")</f>
        <v>Storm Port - Barrel 1★ #D17</v>
      </c>
      <c r="P491" s="249">
        <f>IFERROR(__xludf.DUMMYFUNCTION("""COMPUTED_VALUE"""),50.0)</f>
        <v>50</v>
      </c>
      <c r="Q491" s="481"/>
    </row>
    <row r="492" ht="12.75" customHeight="1">
      <c r="G492" s="480" t="s">
        <v>1713</v>
      </c>
      <c r="H492" s="249">
        <v>50.0</v>
      </c>
      <c r="I492" s="479">
        <v>0.0024423602969910123</v>
      </c>
      <c r="K492" s="249"/>
      <c r="L492" s="480"/>
      <c r="M492" s="481"/>
      <c r="O492" s="492" t="str">
        <f>IFERROR(__xludf.DUMMYFUNCTION("""COMPUTED_VALUE"""),"Storm Port - Barrel 1★ #7CC")</f>
        <v>Storm Port - Barrel 1★ #7CC</v>
      </c>
      <c r="P492" s="249">
        <f>IFERROR(__xludf.DUMMYFUNCTION("""COMPUTED_VALUE"""),50.0)</f>
        <v>50</v>
      </c>
      <c r="Q492" s="481"/>
    </row>
    <row r="493" ht="12.75" customHeight="1">
      <c r="G493" s="480" t="s">
        <v>1714</v>
      </c>
      <c r="H493" s="249">
        <v>50.0</v>
      </c>
      <c r="I493" s="479">
        <v>0.0024423602969910123</v>
      </c>
      <c r="K493" s="249"/>
      <c r="L493" s="480"/>
      <c r="M493" s="481"/>
      <c r="O493" s="492" t="str">
        <f>IFERROR(__xludf.DUMMYFUNCTION("""COMPUTED_VALUE"""),"Storm Port - Barrel 1★ #281")</f>
        <v>Storm Port - Barrel 1★ #281</v>
      </c>
      <c r="P493" s="249">
        <f>IFERROR(__xludf.DUMMYFUNCTION("""COMPUTED_VALUE"""),50.0)</f>
        <v>50</v>
      </c>
      <c r="Q493" s="481"/>
    </row>
    <row r="494" ht="12.75" customHeight="1">
      <c r="G494" s="480" t="s">
        <v>1716</v>
      </c>
      <c r="H494" s="249">
        <v>50.0</v>
      </c>
      <c r="I494" s="479">
        <v>0.0024423602969910123</v>
      </c>
      <c r="K494" s="249"/>
      <c r="L494" s="480"/>
      <c r="M494" s="481"/>
      <c r="O494" s="492" t="str">
        <f>IFERROR(__xludf.DUMMYFUNCTION("""COMPUTED_VALUE"""),"Storm Port - Barrel 1★ #D36")</f>
        <v>Storm Port - Barrel 1★ #D36</v>
      </c>
      <c r="P494" s="249">
        <f>IFERROR(__xludf.DUMMYFUNCTION("""COMPUTED_VALUE"""),50.0)</f>
        <v>50</v>
      </c>
      <c r="Q494" s="481"/>
    </row>
    <row r="495" ht="12.75" customHeight="1">
      <c r="G495" s="480" t="s">
        <v>1717</v>
      </c>
      <c r="H495" s="249">
        <v>20.0</v>
      </c>
      <c r="I495" s="479">
        <v>9.769441187964048E-4</v>
      </c>
      <c r="K495" s="249"/>
      <c r="L495" s="480"/>
      <c r="M495" s="481"/>
      <c r="O495" s="492" t="str">
        <f>IFERROR(__xludf.DUMMYFUNCTION("""COMPUTED_VALUE"""),"Storm Port - Rope 2★ #7EB")</f>
        <v>Storm Port - Rope 2★ #7EB</v>
      </c>
      <c r="P495" s="249">
        <f>IFERROR(__xludf.DUMMYFUNCTION("""COMPUTED_VALUE"""),20.0)</f>
        <v>20</v>
      </c>
      <c r="Q495" s="481"/>
    </row>
    <row r="496" ht="12.75" customHeight="1">
      <c r="G496" s="480" t="s">
        <v>1719</v>
      </c>
      <c r="H496" s="249">
        <v>20.0</v>
      </c>
      <c r="I496" s="479">
        <v>9.769441187964048E-4</v>
      </c>
      <c r="K496" s="249"/>
      <c r="L496" s="480"/>
      <c r="M496" s="481"/>
      <c r="O496" s="492" t="str">
        <f>IFERROR(__xludf.DUMMYFUNCTION("""COMPUTED_VALUE"""),"Storm Port - Rope 2★ #2A0")</f>
        <v>Storm Port - Rope 2★ #2A0</v>
      </c>
      <c r="P496" s="249">
        <f>IFERROR(__xludf.DUMMYFUNCTION("""COMPUTED_VALUE"""),20.0)</f>
        <v>20</v>
      </c>
      <c r="Q496" s="481"/>
    </row>
    <row r="497" ht="12.75" customHeight="1">
      <c r="G497" s="480" t="s">
        <v>1720</v>
      </c>
      <c r="H497" s="249">
        <v>20.0</v>
      </c>
      <c r="I497" s="479">
        <v>9.769441187964048E-4</v>
      </c>
      <c r="K497" s="249"/>
      <c r="L497" s="480"/>
      <c r="M497" s="481"/>
      <c r="O497" s="492" t="str">
        <f>IFERROR(__xludf.DUMMYFUNCTION("""COMPUTED_VALUE"""),"Storm Port - Rope 2★ #D55")</f>
        <v>Storm Port - Rope 2★ #D55</v>
      </c>
      <c r="P497" s="249">
        <f>IFERROR(__xludf.DUMMYFUNCTION("""COMPUTED_VALUE"""),20.0)</f>
        <v>20</v>
      </c>
      <c r="Q497" s="481"/>
    </row>
    <row r="498" ht="12.75" customHeight="1">
      <c r="G498" s="480" t="s">
        <v>1721</v>
      </c>
      <c r="H498" s="249">
        <v>20.0</v>
      </c>
      <c r="I498" s="479">
        <v>9.769441187964048E-4</v>
      </c>
      <c r="K498" s="249"/>
      <c r="L498" s="480"/>
      <c r="M498" s="481"/>
      <c r="O498" s="492" t="str">
        <f>IFERROR(__xludf.DUMMYFUNCTION("""COMPUTED_VALUE"""),"Storm Port - Rope 2★ #80A")</f>
        <v>Storm Port - Rope 2★ #80A</v>
      </c>
      <c r="P498" s="249">
        <f>IFERROR(__xludf.DUMMYFUNCTION("""COMPUTED_VALUE"""),20.0)</f>
        <v>20</v>
      </c>
      <c r="Q498" s="481"/>
    </row>
    <row r="499" ht="12.75" customHeight="1">
      <c r="G499" s="480" t="s">
        <v>1722</v>
      </c>
      <c r="H499" s="249">
        <v>20.0</v>
      </c>
      <c r="I499" s="479">
        <v>9.769441187964048E-4</v>
      </c>
      <c r="K499" s="249"/>
      <c r="L499" s="480"/>
      <c r="M499" s="481"/>
      <c r="O499" s="492" t="str">
        <f>IFERROR(__xludf.DUMMYFUNCTION("""COMPUTED_VALUE"""),"Storm Port - Rope 2★ #2BF")</f>
        <v>Storm Port - Rope 2★ #2BF</v>
      </c>
      <c r="P499" s="249">
        <f>IFERROR(__xludf.DUMMYFUNCTION("""COMPUTED_VALUE"""),20.0)</f>
        <v>20</v>
      </c>
      <c r="Q499" s="481"/>
    </row>
    <row r="500" ht="12.75" customHeight="1">
      <c r="G500" s="480" t="s">
        <v>1723</v>
      </c>
      <c r="H500" s="249">
        <v>20.0</v>
      </c>
      <c r="I500" s="479">
        <v>9.769441187964048E-4</v>
      </c>
      <c r="K500" s="249"/>
      <c r="L500" s="480"/>
      <c r="M500" s="481"/>
      <c r="O500" s="492" t="str">
        <f>IFERROR(__xludf.DUMMYFUNCTION("""COMPUTED_VALUE"""),"Storm Port - Rope 2★ #D74")</f>
        <v>Storm Port - Rope 2★ #D74</v>
      </c>
      <c r="P500" s="249">
        <f>IFERROR(__xludf.DUMMYFUNCTION("""COMPUTED_VALUE"""),20.0)</f>
        <v>20</v>
      </c>
      <c r="Q500" s="481"/>
    </row>
    <row r="501" ht="12.75" customHeight="1">
      <c r="G501" s="480" t="s">
        <v>1728</v>
      </c>
      <c r="H501" s="249">
        <v>20.0</v>
      </c>
      <c r="I501" s="479">
        <v>9.769441187964048E-4</v>
      </c>
      <c r="K501" s="249"/>
      <c r="L501" s="480"/>
      <c r="M501" s="481"/>
      <c r="O501" s="492" t="str">
        <f>IFERROR(__xludf.DUMMYFUNCTION("""COMPUTED_VALUE"""),"Storm Port - Rope 2★ #829")</f>
        <v>Storm Port - Rope 2★ #829</v>
      </c>
      <c r="P501" s="249">
        <f>IFERROR(__xludf.DUMMYFUNCTION("""COMPUTED_VALUE"""),20.0)</f>
        <v>20</v>
      </c>
      <c r="Q501" s="481"/>
    </row>
    <row r="502" ht="12.75" customHeight="1">
      <c r="G502" s="480" t="s">
        <v>1734</v>
      </c>
      <c r="H502" s="249">
        <v>20.0</v>
      </c>
      <c r="I502" s="479">
        <v>9.769441187964048E-4</v>
      </c>
      <c r="K502" s="249"/>
      <c r="L502" s="480"/>
      <c r="M502" s="481"/>
      <c r="O502" s="492" t="str">
        <f>IFERROR(__xludf.DUMMYFUNCTION("""COMPUTED_VALUE"""),"Storm Port - Rope 2★ #2DE")</f>
        <v>Storm Port - Rope 2★ #2DE</v>
      </c>
      <c r="P502" s="249">
        <f>IFERROR(__xludf.DUMMYFUNCTION("""COMPUTED_VALUE"""),20.0)</f>
        <v>20</v>
      </c>
      <c r="Q502" s="481"/>
    </row>
    <row r="503" ht="12.75" customHeight="1">
      <c r="G503" s="480" t="s">
        <v>1735</v>
      </c>
      <c r="H503" s="249">
        <v>20.0</v>
      </c>
      <c r="I503" s="479">
        <v>9.769441187964048E-4</v>
      </c>
      <c r="K503" s="249"/>
      <c r="L503" s="480"/>
      <c r="M503" s="481"/>
      <c r="O503" s="492" t="str">
        <f>IFERROR(__xludf.DUMMYFUNCTION("""COMPUTED_VALUE"""),"Storm Port - Rope 2★ #D93")</f>
        <v>Storm Port - Rope 2★ #D93</v>
      </c>
      <c r="P503" s="249">
        <f>IFERROR(__xludf.DUMMYFUNCTION("""COMPUTED_VALUE"""),20.0)</f>
        <v>20</v>
      </c>
      <c r="Q503" s="481"/>
    </row>
    <row r="504" ht="12.75" customHeight="1">
      <c r="G504" s="480" t="s">
        <v>1736</v>
      </c>
      <c r="H504" s="249">
        <v>20.0</v>
      </c>
      <c r="I504" s="479">
        <v>9.769441187964048E-4</v>
      </c>
      <c r="K504" s="249"/>
      <c r="L504" s="480"/>
      <c r="M504" s="481"/>
      <c r="O504" s="492" t="str">
        <f>IFERROR(__xludf.DUMMYFUNCTION("""COMPUTED_VALUE"""),"Storm Port - Rope 2★ #848")</f>
        <v>Storm Port - Rope 2★ #848</v>
      </c>
      <c r="P504" s="249">
        <f>IFERROR(__xludf.DUMMYFUNCTION("""COMPUTED_VALUE"""),20.0)</f>
        <v>20</v>
      </c>
      <c r="Q504" s="481"/>
    </row>
    <row r="505" ht="12.75" customHeight="1">
      <c r="G505" s="480" t="s">
        <v>1737</v>
      </c>
      <c r="H505" s="249">
        <v>20.0</v>
      </c>
      <c r="I505" s="479">
        <v>9.769441187964048E-4</v>
      </c>
      <c r="K505" s="249"/>
      <c r="L505" s="480"/>
      <c r="M505" s="481"/>
      <c r="O505" s="492" t="str">
        <f>IFERROR(__xludf.DUMMYFUNCTION("""COMPUTED_VALUE"""),"Storm Port - Rope 2★ #2FD")</f>
        <v>Storm Port - Rope 2★ #2FD</v>
      </c>
      <c r="P505" s="249">
        <f>IFERROR(__xludf.DUMMYFUNCTION("""COMPUTED_VALUE"""),20.0)</f>
        <v>20</v>
      </c>
      <c r="Q505" s="481"/>
    </row>
    <row r="506" ht="12.75" customHeight="1">
      <c r="G506" s="480" t="s">
        <v>1738</v>
      </c>
      <c r="H506" s="249">
        <v>20.0</v>
      </c>
      <c r="I506" s="479">
        <v>9.769441187964048E-4</v>
      </c>
      <c r="K506" s="249"/>
      <c r="L506" s="480"/>
      <c r="M506" s="481"/>
      <c r="O506" s="492" t="str">
        <f>IFERROR(__xludf.DUMMYFUNCTION("""COMPUTED_VALUE"""),"Storm Port - Rope 2★ #DB2")</f>
        <v>Storm Port - Rope 2★ #DB2</v>
      </c>
      <c r="P506" s="249">
        <f>IFERROR(__xludf.DUMMYFUNCTION("""COMPUTED_VALUE"""),20.0)</f>
        <v>20</v>
      </c>
      <c r="Q506" s="481"/>
    </row>
    <row r="507" ht="12.75" customHeight="1">
      <c r="G507" s="480" t="s">
        <v>1739</v>
      </c>
      <c r="H507" s="249">
        <v>20.0</v>
      </c>
      <c r="I507" s="479">
        <v>9.769441187964048E-4</v>
      </c>
      <c r="K507" s="249"/>
      <c r="L507" s="480"/>
      <c r="M507" s="481"/>
      <c r="O507" s="492" t="str">
        <f>IFERROR(__xludf.DUMMYFUNCTION("""COMPUTED_VALUE"""),"Storm Port - Rope 2★ #867")</f>
        <v>Storm Port - Rope 2★ #867</v>
      </c>
      <c r="P507" s="249">
        <f>IFERROR(__xludf.DUMMYFUNCTION("""COMPUTED_VALUE"""),20.0)</f>
        <v>20</v>
      </c>
      <c r="Q507" s="481"/>
    </row>
    <row r="508" ht="12.75" customHeight="1">
      <c r="G508" s="480" t="s">
        <v>1740</v>
      </c>
      <c r="H508" s="249">
        <v>20.0</v>
      </c>
      <c r="I508" s="479">
        <v>9.769441187964048E-4</v>
      </c>
      <c r="K508" s="249"/>
      <c r="L508" s="480"/>
      <c r="M508" s="481"/>
      <c r="O508" s="492" t="str">
        <f>IFERROR(__xludf.DUMMYFUNCTION("""COMPUTED_VALUE"""),"Storm Port - Cleat 2★ #31C")</f>
        <v>Storm Port - Cleat 2★ #31C</v>
      </c>
      <c r="P508" s="249">
        <f>IFERROR(__xludf.DUMMYFUNCTION("""COMPUTED_VALUE"""),20.0)</f>
        <v>20</v>
      </c>
      <c r="Q508" s="481"/>
    </row>
    <row r="509" ht="12.75" customHeight="1">
      <c r="G509" s="480" t="s">
        <v>1741</v>
      </c>
      <c r="H509" s="249">
        <v>20.0</v>
      </c>
      <c r="I509" s="479">
        <v>9.769441187964048E-4</v>
      </c>
      <c r="K509" s="249"/>
      <c r="L509" s="480"/>
      <c r="M509" s="481"/>
      <c r="O509" s="492" t="str">
        <f>IFERROR(__xludf.DUMMYFUNCTION("""COMPUTED_VALUE"""),"Storm Port - Cleat 2★ #DD1")</f>
        <v>Storm Port - Cleat 2★ #DD1</v>
      </c>
      <c r="P509" s="249">
        <f>IFERROR(__xludf.DUMMYFUNCTION("""COMPUTED_VALUE"""),20.0)</f>
        <v>20</v>
      </c>
      <c r="Q509" s="481"/>
    </row>
    <row r="510" ht="12.75" customHeight="1">
      <c r="G510" s="480" t="s">
        <v>1742</v>
      </c>
      <c r="H510" s="249">
        <v>20.0</v>
      </c>
      <c r="I510" s="479">
        <v>9.769441187964048E-4</v>
      </c>
      <c r="K510" s="249"/>
      <c r="L510" s="480"/>
      <c r="M510" s="481"/>
      <c r="O510" s="492" t="str">
        <f>IFERROR(__xludf.DUMMYFUNCTION("""COMPUTED_VALUE"""),"Storm Port - Cleat 2★ #886")</f>
        <v>Storm Port - Cleat 2★ #886</v>
      </c>
      <c r="P510" s="249">
        <f>IFERROR(__xludf.DUMMYFUNCTION("""COMPUTED_VALUE"""),20.0)</f>
        <v>20</v>
      </c>
      <c r="Q510" s="481"/>
    </row>
    <row r="511" ht="12.75" customHeight="1">
      <c r="G511" s="480" t="s">
        <v>1743</v>
      </c>
      <c r="H511" s="249">
        <v>20.0</v>
      </c>
      <c r="I511" s="479">
        <v>9.769441187964048E-4</v>
      </c>
      <c r="K511" s="249"/>
      <c r="L511" s="480"/>
      <c r="M511" s="481"/>
      <c r="O511" s="492" t="str">
        <f>IFERROR(__xludf.DUMMYFUNCTION("""COMPUTED_VALUE"""),"Storm Port - Cleat 2★ #33B")</f>
        <v>Storm Port - Cleat 2★ #33B</v>
      </c>
      <c r="P511" s="249">
        <f>IFERROR(__xludf.DUMMYFUNCTION("""COMPUTED_VALUE"""),20.0)</f>
        <v>20</v>
      </c>
      <c r="Q511" s="481"/>
    </row>
    <row r="512" ht="12.75" customHeight="1">
      <c r="G512" s="480" t="s">
        <v>1744</v>
      </c>
      <c r="H512" s="249">
        <v>20.0</v>
      </c>
      <c r="I512" s="479">
        <v>9.769441187964048E-4</v>
      </c>
      <c r="K512" s="249"/>
      <c r="L512" s="480"/>
      <c r="M512" s="481"/>
      <c r="O512" s="492" t="str">
        <f>IFERROR(__xludf.DUMMYFUNCTION("""COMPUTED_VALUE"""),"Storm Port - Cleat 2★ #DF0")</f>
        <v>Storm Port - Cleat 2★ #DF0</v>
      </c>
      <c r="P512" s="249">
        <f>IFERROR(__xludf.DUMMYFUNCTION("""COMPUTED_VALUE"""),20.0)</f>
        <v>20</v>
      </c>
      <c r="Q512" s="481"/>
    </row>
    <row r="513" ht="12.75" customHeight="1">
      <c r="G513" s="480" t="s">
        <v>1745</v>
      </c>
      <c r="H513" s="249">
        <v>20.0</v>
      </c>
      <c r="I513" s="479">
        <v>9.769441187964048E-4</v>
      </c>
      <c r="K513" s="249"/>
      <c r="L513" s="480"/>
      <c r="M513" s="481"/>
      <c r="O513" s="492" t="str">
        <f>IFERROR(__xludf.DUMMYFUNCTION("""COMPUTED_VALUE"""),"Storm Port - Cleat 2★ #8A5")</f>
        <v>Storm Port - Cleat 2★ #8A5</v>
      </c>
      <c r="P513" s="249">
        <f>IFERROR(__xludf.DUMMYFUNCTION("""COMPUTED_VALUE"""),20.0)</f>
        <v>20</v>
      </c>
      <c r="Q513" s="481"/>
    </row>
    <row r="514" ht="12.75" customHeight="1">
      <c r="G514" s="480" t="s">
        <v>1746</v>
      </c>
      <c r="H514" s="249">
        <v>20.0</v>
      </c>
      <c r="I514" s="479">
        <v>9.769441187964048E-4</v>
      </c>
      <c r="K514" s="249"/>
      <c r="L514" s="480"/>
      <c r="M514" s="481"/>
      <c r="O514" s="492" t="str">
        <f>IFERROR(__xludf.DUMMYFUNCTION("""COMPUTED_VALUE"""),"Storm Port - Cleat 2★ #35A")</f>
        <v>Storm Port - Cleat 2★ #35A</v>
      </c>
      <c r="P514" s="249">
        <f>IFERROR(__xludf.DUMMYFUNCTION("""COMPUTED_VALUE"""),20.0)</f>
        <v>20</v>
      </c>
      <c r="Q514" s="481"/>
    </row>
    <row r="515" ht="12.75" customHeight="1">
      <c r="G515" s="480" t="s">
        <v>1747</v>
      </c>
      <c r="H515" s="249">
        <v>20.0</v>
      </c>
      <c r="I515" s="479">
        <v>9.769441187964048E-4</v>
      </c>
      <c r="K515" s="249"/>
      <c r="L515" s="480"/>
      <c r="M515" s="481"/>
      <c r="O515" s="492" t="str">
        <f>IFERROR(__xludf.DUMMYFUNCTION("""COMPUTED_VALUE"""),"Storm Port - Cleat 2★ #E0F")</f>
        <v>Storm Port - Cleat 2★ #E0F</v>
      </c>
      <c r="P515" s="249">
        <f>IFERROR(__xludf.DUMMYFUNCTION("""COMPUTED_VALUE"""),20.0)</f>
        <v>20</v>
      </c>
      <c r="Q515" s="481"/>
    </row>
    <row r="516" ht="12.75" customHeight="1">
      <c r="G516" s="480" t="s">
        <v>1748</v>
      </c>
      <c r="H516" s="249">
        <v>20.0</v>
      </c>
      <c r="I516" s="479">
        <v>9.769441187964048E-4</v>
      </c>
      <c r="K516" s="249"/>
      <c r="L516" s="480"/>
      <c r="M516" s="481"/>
      <c r="O516" s="492" t="str">
        <f>IFERROR(__xludf.DUMMYFUNCTION("""COMPUTED_VALUE"""),"Storm Port - Cleat 2★ #8C4")</f>
        <v>Storm Port - Cleat 2★ #8C4</v>
      </c>
      <c r="P516" s="249">
        <f>IFERROR(__xludf.DUMMYFUNCTION("""COMPUTED_VALUE"""),20.0)</f>
        <v>20</v>
      </c>
      <c r="Q516" s="481"/>
    </row>
    <row r="517" ht="12.75" customHeight="1">
      <c r="G517" s="480" t="s">
        <v>1750</v>
      </c>
      <c r="H517" s="249">
        <v>20.0</v>
      </c>
      <c r="I517" s="479">
        <v>9.769441187964048E-4</v>
      </c>
      <c r="K517" s="249"/>
      <c r="L517" s="480"/>
      <c r="M517" s="481"/>
      <c r="O517" s="492" t="str">
        <f>IFERROR(__xludf.DUMMYFUNCTION("""COMPUTED_VALUE"""),"Storm Port - Cleat 2★ #379")</f>
        <v>Storm Port - Cleat 2★ #379</v>
      </c>
      <c r="P517" s="249">
        <f>IFERROR(__xludf.DUMMYFUNCTION("""COMPUTED_VALUE"""),20.0)</f>
        <v>20</v>
      </c>
      <c r="Q517" s="481"/>
    </row>
    <row r="518" ht="12.75" customHeight="1">
      <c r="G518" s="480" t="s">
        <v>1752</v>
      </c>
      <c r="H518" s="249">
        <v>20.0</v>
      </c>
      <c r="I518" s="479">
        <v>9.769441187964048E-4</v>
      </c>
      <c r="K518" s="249"/>
      <c r="L518" s="480"/>
      <c r="M518" s="481"/>
      <c r="O518" s="492" t="str">
        <f>IFERROR(__xludf.DUMMYFUNCTION("""COMPUTED_VALUE"""),"Storm Port - Cleat 2★ #E2E")</f>
        <v>Storm Port - Cleat 2★ #E2E</v>
      </c>
      <c r="P518" s="249">
        <f>IFERROR(__xludf.DUMMYFUNCTION("""COMPUTED_VALUE"""),20.0)</f>
        <v>20</v>
      </c>
      <c r="Q518" s="481"/>
    </row>
    <row r="519" ht="12.75" customHeight="1">
      <c r="G519" s="480" t="s">
        <v>1753</v>
      </c>
      <c r="H519" s="249">
        <v>20.0</v>
      </c>
      <c r="I519" s="479">
        <v>9.769441187964048E-4</v>
      </c>
      <c r="K519" s="249"/>
      <c r="L519" s="480"/>
      <c r="M519" s="481"/>
      <c r="O519" s="492" t="str">
        <f>IFERROR(__xludf.DUMMYFUNCTION("""COMPUTED_VALUE"""),"Storm Port - Cleat 2★ #8E3")</f>
        <v>Storm Port - Cleat 2★ #8E3</v>
      </c>
      <c r="P519" s="249">
        <f>IFERROR(__xludf.DUMMYFUNCTION("""COMPUTED_VALUE"""),20.0)</f>
        <v>20</v>
      </c>
      <c r="Q519" s="481"/>
    </row>
    <row r="520" ht="12.75" customHeight="1">
      <c r="G520" s="480" t="s">
        <v>1755</v>
      </c>
      <c r="H520" s="249">
        <v>20.0</v>
      </c>
      <c r="I520" s="479">
        <v>9.769441187964048E-4</v>
      </c>
      <c r="K520" s="249"/>
      <c r="L520" s="480"/>
      <c r="M520" s="481"/>
      <c r="O520" s="492" t="str">
        <f>IFERROR(__xludf.DUMMYFUNCTION("""COMPUTED_VALUE"""),"Storm Port - Cleat 2★ #398")</f>
        <v>Storm Port - Cleat 2★ #398</v>
      </c>
      <c r="P520" s="249">
        <f>IFERROR(__xludf.DUMMYFUNCTION("""COMPUTED_VALUE"""),20.0)</f>
        <v>20</v>
      </c>
      <c r="Q520" s="481"/>
    </row>
    <row r="521" ht="12.75" customHeight="1">
      <c r="G521" s="480" t="s">
        <v>1756</v>
      </c>
      <c r="H521" s="249">
        <v>10.0</v>
      </c>
      <c r="I521" s="479">
        <v>4.884720593982024E-4</v>
      </c>
      <c r="K521" s="249"/>
      <c r="L521" s="480"/>
      <c r="M521" s="481"/>
      <c r="O521" s="492" t="str">
        <f>IFERROR(__xludf.DUMMYFUNCTION("""COMPUTED_VALUE"""),"Storm Port - Flare 3★ #E4D")</f>
        <v>Storm Port - Flare 3★ #E4D</v>
      </c>
      <c r="P521" s="249">
        <f>IFERROR(__xludf.DUMMYFUNCTION("""COMPUTED_VALUE"""),10.0)</f>
        <v>10</v>
      </c>
      <c r="Q521" s="481"/>
    </row>
    <row r="522" ht="12.75" customHeight="1">
      <c r="G522" s="480" t="s">
        <v>1757</v>
      </c>
      <c r="H522" s="249">
        <v>10.0</v>
      </c>
      <c r="I522" s="479">
        <v>4.884720593982024E-4</v>
      </c>
      <c r="K522" s="249"/>
      <c r="L522" s="480"/>
      <c r="M522" s="481"/>
      <c r="O522" s="492" t="str">
        <f>IFERROR(__xludf.DUMMYFUNCTION("""COMPUTED_VALUE"""),"Storm Port - Flare 3★ #902")</f>
        <v>Storm Port - Flare 3★ #902</v>
      </c>
      <c r="P522" s="249">
        <f>IFERROR(__xludf.DUMMYFUNCTION("""COMPUTED_VALUE"""),10.0)</f>
        <v>10</v>
      </c>
      <c r="Q522" s="481"/>
    </row>
    <row r="523" ht="12.75" customHeight="1">
      <c r="G523" s="480" t="s">
        <v>1758</v>
      </c>
      <c r="H523" s="249">
        <v>10.0</v>
      </c>
      <c r="I523" s="479">
        <v>4.884720593982024E-4</v>
      </c>
      <c r="K523" s="249"/>
      <c r="L523" s="480"/>
      <c r="M523" s="481"/>
      <c r="O523" s="492" t="str">
        <f>IFERROR(__xludf.DUMMYFUNCTION("""COMPUTED_VALUE"""),"Storm Port - Flare 3★ #3B7")</f>
        <v>Storm Port - Flare 3★ #3B7</v>
      </c>
      <c r="P523" s="249">
        <f>IFERROR(__xludf.DUMMYFUNCTION("""COMPUTED_VALUE"""),10.0)</f>
        <v>10</v>
      </c>
      <c r="Q523" s="481"/>
    </row>
    <row r="524" ht="12.75" customHeight="1">
      <c r="G524" s="480" t="s">
        <v>1759</v>
      </c>
      <c r="H524" s="249">
        <v>10.0</v>
      </c>
      <c r="I524" s="479">
        <v>4.884720593982024E-4</v>
      </c>
      <c r="K524" s="249"/>
      <c r="L524" s="480"/>
      <c r="M524" s="481"/>
      <c r="O524" s="492" t="str">
        <f>IFERROR(__xludf.DUMMYFUNCTION("""COMPUTED_VALUE"""),"Storm Port - Flare 3★ #E6C")</f>
        <v>Storm Port - Flare 3★ #E6C</v>
      </c>
      <c r="P524" s="249">
        <f>IFERROR(__xludf.DUMMYFUNCTION("""COMPUTED_VALUE"""),10.0)</f>
        <v>10</v>
      </c>
      <c r="Q524" s="481"/>
    </row>
    <row r="525" ht="12.75" customHeight="1">
      <c r="G525" s="480" t="s">
        <v>1760</v>
      </c>
      <c r="H525" s="249">
        <v>10.0</v>
      </c>
      <c r="I525" s="479">
        <v>4.884720593982024E-4</v>
      </c>
      <c r="K525" s="249"/>
      <c r="L525" s="480"/>
      <c r="M525" s="481"/>
      <c r="O525" s="492" t="str">
        <f>IFERROR(__xludf.DUMMYFUNCTION("""COMPUTED_VALUE"""),"Storm Port - Flare 3★ #921")</f>
        <v>Storm Port - Flare 3★ #921</v>
      </c>
      <c r="P525" s="249">
        <f>IFERROR(__xludf.DUMMYFUNCTION("""COMPUTED_VALUE"""),10.0)</f>
        <v>10</v>
      </c>
      <c r="Q525" s="481"/>
    </row>
    <row r="526" ht="12.75" customHeight="1">
      <c r="G526" s="480" t="s">
        <v>1761</v>
      </c>
      <c r="H526" s="249">
        <v>10.0</v>
      </c>
      <c r="I526" s="479">
        <v>4.884720593982024E-4</v>
      </c>
      <c r="K526" s="249"/>
      <c r="L526" s="480"/>
      <c r="M526" s="481"/>
      <c r="O526" s="492" t="str">
        <f>IFERROR(__xludf.DUMMYFUNCTION("""COMPUTED_VALUE"""),"Storm Port - Flare 3★ #3D6")</f>
        <v>Storm Port - Flare 3★ #3D6</v>
      </c>
      <c r="P526" s="249">
        <f>IFERROR(__xludf.DUMMYFUNCTION("""COMPUTED_VALUE"""),10.0)</f>
        <v>10</v>
      </c>
      <c r="Q526" s="481"/>
    </row>
    <row r="527" ht="12.75" customHeight="1">
      <c r="G527" s="480" t="s">
        <v>1762</v>
      </c>
      <c r="H527" s="249">
        <v>10.0</v>
      </c>
      <c r="I527" s="479">
        <v>4.884720593982024E-4</v>
      </c>
      <c r="K527" s="249"/>
      <c r="L527" s="480"/>
      <c r="M527" s="481"/>
      <c r="O527" s="492" t="str">
        <f>IFERROR(__xludf.DUMMYFUNCTION("""COMPUTED_VALUE"""),"Storm Port - Flare 3★ #E8B")</f>
        <v>Storm Port - Flare 3★ #E8B</v>
      </c>
      <c r="P527" s="249">
        <f>IFERROR(__xludf.DUMMYFUNCTION("""COMPUTED_VALUE"""),10.0)</f>
        <v>10</v>
      </c>
      <c r="Q527" s="481"/>
    </row>
    <row r="528" ht="12.75" customHeight="1">
      <c r="G528" s="480" t="s">
        <v>1764</v>
      </c>
      <c r="H528" s="249">
        <v>10.0</v>
      </c>
      <c r="I528" s="479">
        <v>4.884720593982024E-4</v>
      </c>
      <c r="K528" s="249"/>
      <c r="L528" s="480"/>
      <c r="M528" s="481"/>
      <c r="O528" s="492" t="str">
        <f>IFERROR(__xludf.DUMMYFUNCTION("""COMPUTED_VALUE"""),"Storm Port - Flare 3★ #940")</f>
        <v>Storm Port - Flare 3★ #940</v>
      </c>
      <c r="P528" s="249">
        <f>IFERROR(__xludf.DUMMYFUNCTION("""COMPUTED_VALUE"""),10.0)</f>
        <v>10</v>
      </c>
      <c r="Q528" s="481"/>
    </row>
    <row r="529" ht="12.75" customHeight="1">
      <c r="G529" s="480" t="s">
        <v>1767</v>
      </c>
      <c r="H529" s="249">
        <v>10.0</v>
      </c>
      <c r="I529" s="479">
        <v>4.884720593982024E-4</v>
      </c>
      <c r="K529" s="249"/>
      <c r="L529" s="480"/>
      <c r="M529" s="481"/>
      <c r="O529" s="492" t="str">
        <f>IFERROR(__xludf.DUMMYFUNCTION("""COMPUTED_VALUE"""),"Storm Port - Flare 3★ #3F5")</f>
        <v>Storm Port - Flare 3★ #3F5</v>
      </c>
      <c r="P529" s="249">
        <f>IFERROR(__xludf.DUMMYFUNCTION("""COMPUTED_VALUE"""),10.0)</f>
        <v>10</v>
      </c>
      <c r="Q529" s="481"/>
    </row>
    <row r="530" ht="12.75" customHeight="1">
      <c r="G530" s="480" t="s">
        <v>1771</v>
      </c>
      <c r="H530" s="249">
        <v>10.0</v>
      </c>
      <c r="I530" s="479">
        <v>4.884720593982024E-4</v>
      </c>
      <c r="K530" s="249"/>
      <c r="L530" s="480"/>
      <c r="M530" s="481"/>
      <c r="O530" s="492" t="str">
        <f>IFERROR(__xludf.DUMMYFUNCTION("""COMPUTED_VALUE"""),"Storm Port - Flare 3★ #EAA")</f>
        <v>Storm Port - Flare 3★ #EAA</v>
      </c>
      <c r="P530" s="249">
        <f>IFERROR(__xludf.DUMMYFUNCTION("""COMPUTED_VALUE"""),10.0)</f>
        <v>10</v>
      </c>
      <c r="Q530" s="481"/>
    </row>
    <row r="531" ht="12.75" customHeight="1">
      <c r="G531" s="480" t="s">
        <v>1774</v>
      </c>
      <c r="H531" s="249">
        <v>10.0</v>
      </c>
      <c r="I531" s="479">
        <v>4.884720593982024E-4</v>
      </c>
      <c r="K531" s="249"/>
      <c r="L531" s="480"/>
      <c r="M531" s="481"/>
      <c r="O531" s="492" t="str">
        <f>IFERROR(__xludf.DUMMYFUNCTION("""COMPUTED_VALUE"""),"Storm Port - Flare 3★ #95F")</f>
        <v>Storm Port - Flare 3★ #95F</v>
      </c>
      <c r="P531" s="249">
        <f>IFERROR(__xludf.DUMMYFUNCTION("""COMPUTED_VALUE"""),10.0)</f>
        <v>10</v>
      </c>
      <c r="Q531" s="481"/>
    </row>
    <row r="532" ht="12.75" customHeight="1">
      <c r="G532" s="480" t="s">
        <v>1776</v>
      </c>
      <c r="H532" s="249">
        <v>10.0</v>
      </c>
      <c r="I532" s="479">
        <v>4.884720593982024E-4</v>
      </c>
      <c r="K532" s="249"/>
      <c r="L532" s="480"/>
      <c r="M532" s="481"/>
      <c r="O532" s="492" t="str">
        <f>IFERROR(__xludf.DUMMYFUNCTION("""COMPUTED_VALUE"""),"Storm Port - Flare 3★ #414")</f>
        <v>Storm Port - Flare 3★ #414</v>
      </c>
      <c r="P532" s="249">
        <f>IFERROR(__xludf.DUMMYFUNCTION("""COMPUTED_VALUE"""),10.0)</f>
        <v>10</v>
      </c>
      <c r="Q532" s="481"/>
    </row>
    <row r="533" ht="12.75" customHeight="1">
      <c r="G533" s="480" t="s">
        <v>1777</v>
      </c>
      <c r="H533" s="249">
        <v>10.0</v>
      </c>
      <c r="I533" s="479">
        <v>4.884720593982024E-4</v>
      </c>
      <c r="K533" s="249"/>
      <c r="L533" s="480"/>
      <c r="M533" s="481"/>
      <c r="O533" s="492" t="str">
        <f>IFERROR(__xludf.DUMMYFUNCTION("""COMPUTED_VALUE"""),"Storm Port - Flare 3★ #EC9")</f>
        <v>Storm Port - Flare 3★ #EC9</v>
      </c>
      <c r="P533" s="249">
        <f>IFERROR(__xludf.DUMMYFUNCTION("""COMPUTED_VALUE"""),10.0)</f>
        <v>10</v>
      </c>
      <c r="Q533" s="481"/>
    </row>
    <row r="534" ht="12.75" customHeight="1">
      <c r="G534" s="480" t="s">
        <v>1781</v>
      </c>
      <c r="H534" s="249">
        <v>5.0</v>
      </c>
      <c r="I534" s="479">
        <v>2.442360296991012E-4</v>
      </c>
      <c r="K534" s="249"/>
      <c r="L534" s="480"/>
      <c r="M534" s="481"/>
      <c r="O534" s="492" t="str">
        <f>IFERROR(__xludf.DUMMYFUNCTION("""COMPUTED_VALUE"""),"Storm Port - Bucket 4★ #97E")</f>
        <v>Storm Port - Bucket 4★ #97E</v>
      </c>
      <c r="P534" s="249">
        <f>IFERROR(__xludf.DUMMYFUNCTION("""COMPUTED_VALUE"""),5.0)</f>
        <v>5</v>
      </c>
      <c r="Q534" s="481"/>
    </row>
    <row r="535" ht="12.75" customHeight="1">
      <c r="G535" s="480" t="s">
        <v>1782</v>
      </c>
      <c r="H535" s="249">
        <v>5.0</v>
      </c>
      <c r="I535" s="479">
        <v>2.442360296991012E-4</v>
      </c>
      <c r="K535" s="249"/>
      <c r="L535" s="480"/>
      <c r="M535" s="481"/>
      <c r="O535" s="492" t="str">
        <f>IFERROR(__xludf.DUMMYFUNCTION("""COMPUTED_VALUE"""),"Storm Port - Bucket 4★ #433")</f>
        <v>Storm Port - Bucket 4★ #433</v>
      </c>
      <c r="P535" s="249">
        <f>IFERROR(__xludf.DUMMYFUNCTION("""COMPUTED_VALUE"""),5.0)</f>
        <v>5</v>
      </c>
      <c r="Q535" s="481"/>
    </row>
    <row r="536" ht="12.75" customHeight="1">
      <c r="G536" s="480" t="s">
        <v>1783</v>
      </c>
      <c r="H536" s="249">
        <v>5.0</v>
      </c>
      <c r="I536" s="479">
        <v>2.442360296991012E-4</v>
      </c>
      <c r="K536" s="249"/>
      <c r="L536" s="480"/>
      <c r="M536" s="481"/>
      <c r="O536" s="492" t="str">
        <f>IFERROR(__xludf.DUMMYFUNCTION("""COMPUTED_VALUE"""),"Storm Port - Bucket 4★ #EE8")</f>
        <v>Storm Port - Bucket 4★ #EE8</v>
      </c>
      <c r="P536" s="249">
        <f>IFERROR(__xludf.DUMMYFUNCTION("""COMPUTED_VALUE"""),5.0)</f>
        <v>5</v>
      </c>
      <c r="Q536" s="481"/>
    </row>
    <row r="537" ht="12.75" customHeight="1">
      <c r="G537" s="480" t="s">
        <v>1784</v>
      </c>
      <c r="H537" s="249">
        <v>5.0</v>
      </c>
      <c r="I537" s="479">
        <v>2.442360296991012E-4</v>
      </c>
      <c r="K537" s="249"/>
      <c r="L537" s="480"/>
      <c r="M537" s="481"/>
      <c r="O537" s="492" t="str">
        <f>IFERROR(__xludf.DUMMYFUNCTION("""COMPUTED_VALUE"""),"Storm Port - Bucket 4★ #99D")</f>
        <v>Storm Port - Bucket 4★ #99D</v>
      </c>
      <c r="P537" s="249">
        <f>IFERROR(__xludf.DUMMYFUNCTION("""COMPUTED_VALUE"""),5.0)</f>
        <v>5</v>
      </c>
      <c r="Q537" s="481"/>
    </row>
    <row r="538" ht="12.75" customHeight="1">
      <c r="G538" s="480" t="s">
        <v>1785</v>
      </c>
      <c r="H538" s="249">
        <v>5.0</v>
      </c>
      <c r="I538" s="479">
        <v>2.442360296991012E-4</v>
      </c>
      <c r="K538" s="249"/>
      <c r="L538" s="480"/>
      <c r="M538" s="481"/>
      <c r="O538" s="492" t="str">
        <f>IFERROR(__xludf.DUMMYFUNCTION("""COMPUTED_VALUE"""),"Storm Port - Bucket 4★ #452")</f>
        <v>Storm Port - Bucket 4★ #452</v>
      </c>
      <c r="P538" s="249">
        <f>IFERROR(__xludf.DUMMYFUNCTION("""COMPUTED_VALUE"""),5.0)</f>
        <v>5</v>
      </c>
      <c r="Q538" s="481"/>
    </row>
    <row r="539" ht="12.75" customHeight="1">
      <c r="G539" s="480" t="s">
        <v>1786</v>
      </c>
      <c r="H539" s="249">
        <v>5.0</v>
      </c>
      <c r="I539" s="479">
        <v>2.442360296991012E-4</v>
      </c>
      <c r="K539" s="249"/>
      <c r="L539" s="480"/>
      <c r="M539" s="481"/>
      <c r="O539" s="492" t="str">
        <f>IFERROR(__xludf.DUMMYFUNCTION("""COMPUTED_VALUE"""),"Storm Port - Bucket 4★ #F07")</f>
        <v>Storm Port - Bucket 4★ #F07</v>
      </c>
      <c r="P539" s="249">
        <f>IFERROR(__xludf.DUMMYFUNCTION("""COMPUTED_VALUE"""),5.0)</f>
        <v>5</v>
      </c>
      <c r="Q539" s="481"/>
    </row>
    <row r="540" ht="12.75" customHeight="1">
      <c r="G540" s="480" t="s">
        <v>1787</v>
      </c>
      <c r="H540" s="249">
        <v>5.0</v>
      </c>
      <c r="I540" s="479">
        <v>2.442360296991012E-4</v>
      </c>
      <c r="K540" s="249"/>
      <c r="L540" s="480"/>
      <c r="M540" s="481"/>
      <c r="O540" s="492" t="str">
        <f>IFERROR(__xludf.DUMMYFUNCTION("""COMPUTED_VALUE"""),"Storm Port - Bucket 4★ #9BC")</f>
        <v>Storm Port - Bucket 4★ #9BC</v>
      </c>
      <c r="P540" s="249">
        <f>IFERROR(__xludf.DUMMYFUNCTION("""COMPUTED_VALUE"""),5.0)</f>
        <v>5</v>
      </c>
      <c r="Q540" s="481"/>
    </row>
    <row r="541" ht="12.75" customHeight="1">
      <c r="G541" s="480" t="s">
        <v>1788</v>
      </c>
      <c r="H541" s="249">
        <v>5.0</v>
      </c>
      <c r="I541" s="479">
        <v>2.442360296991012E-4</v>
      </c>
      <c r="K541" s="249"/>
      <c r="L541" s="480"/>
      <c r="M541" s="481"/>
      <c r="O541" s="492" t="str">
        <f>IFERROR(__xludf.DUMMYFUNCTION("""COMPUTED_VALUE"""),"Storm Port - Bucket 4★ #471")</f>
        <v>Storm Port - Bucket 4★ #471</v>
      </c>
      <c r="P541" s="249">
        <f>IFERROR(__xludf.DUMMYFUNCTION("""COMPUTED_VALUE"""),5.0)</f>
        <v>5</v>
      </c>
      <c r="Q541" s="481"/>
    </row>
    <row r="542" ht="12.75" customHeight="1">
      <c r="G542" s="480" t="s">
        <v>1789</v>
      </c>
      <c r="H542" s="249">
        <v>5.0</v>
      </c>
      <c r="I542" s="479">
        <v>2.442360296991012E-4</v>
      </c>
      <c r="K542" s="249"/>
      <c r="L542" s="480"/>
      <c r="M542" s="481"/>
      <c r="O542" s="492" t="str">
        <f>IFERROR(__xludf.DUMMYFUNCTION("""COMPUTED_VALUE"""),"Storm Port - Bucket 4★ #F26")</f>
        <v>Storm Port - Bucket 4★ #F26</v>
      </c>
      <c r="P542" s="249">
        <f>IFERROR(__xludf.DUMMYFUNCTION("""COMPUTED_VALUE"""),5.0)</f>
        <v>5</v>
      </c>
      <c r="Q542" s="481"/>
    </row>
    <row r="543" ht="12.75" customHeight="1">
      <c r="G543" s="480" t="s">
        <v>1790</v>
      </c>
      <c r="H543" s="249">
        <v>5.0</v>
      </c>
      <c r="I543" s="479">
        <v>2.442360296991012E-4</v>
      </c>
      <c r="K543" s="249"/>
      <c r="L543" s="480"/>
      <c r="M543" s="481"/>
      <c r="O543" s="492" t="str">
        <f>IFERROR(__xludf.DUMMYFUNCTION("""COMPUTED_VALUE"""),"Storm Port - Bucket 4★ #9DB")</f>
        <v>Storm Port - Bucket 4★ #9DB</v>
      </c>
      <c r="P543" s="249">
        <f>IFERROR(__xludf.DUMMYFUNCTION("""COMPUTED_VALUE"""),5.0)</f>
        <v>5</v>
      </c>
      <c r="Q543" s="481"/>
    </row>
    <row r="544" ht="12.75" customHeight="1">
      <c r="G544" s="480" t="s">
        <v>1791</v>
      </c>
      <c r="H544" s="249">
        <v>5.0</v>
      </c>
      <c r="I544" s="479">
        <v>2.442360296991012E-4</v>
      </c>
      <c r="K544" s="249"/>
      <c r="L544" s="480"/>
      <c r="M544" s="481"/>
      <c r="O544" s="492" t="str">
        <f>IFERROR(__xludf.DUMMYFUNCTION("""COMPUTED_VALUE"""),"Storm Port - Bucket 4★ #490")</f>
        <v>Storm Port - Bucket 4★ #490</v>
      </c>
      <c r="P544" s="249">
        <f>IFERROR(__xludf.DUMMYFUNCTION("""COMPUTED_VALUE"""),5.0)</f>
        <v>5</v>
      </c>
      <c r="Q544" s="481"/>
    </row>
    <row r="545" ht="12.75" customHeight="1">
      <c r="G545" s="480" t="s">
        <v>1792</v>
      </c>
      <c r="H545" s="249">
        <v>5.0</v>
      </c>
      <c r="I545" s="479">
        <v>2.442360296991012E-4</v>
      </c>
      <c r="K545" s="249"/>
      <c r="L545" s="480"/>
      <c r="M545" s="481"/>
      <c r="O545" s="492" t="str">
        <f>IFERROR(__xludf.DUMMYFUNCTION("""COMPUTED_VALUE"""),"Storm Port - Windmill 4★ #F45")</f>
        <v>Storm Port - Windmill 4★ #F45</v>
      </c>
      <c r="P545" s="249">
        <f>IFERROR(__xludf.DUMMYFUNCTION("""COMPUTED_VALUE"""),5.0)</f>
        <v>5</v>
      </c>
      <c r="Q545" s="481"/>
    </row>
    <row r="546" ht="12.75" customHeight="1">
      <c r="G546" s="480" t="s">
        <v>1793</v>
      </c>
      <c r="H546" s="249">
        <v>5.0</v>
      </c>
      <c r="I546" s="479">
        <v>2.442360296991012E-4</v>
      </c>
      <c r="K546" s="249"/>
      <c r="L546" s="480"/>
      <c r="M546" s="481"/>
      <c r="O546" s="492" t="str">
        <f>IFERROR(__xludf.DUMMYFUNCTION("""COMPUTED_VALUE"""),"Storm Port - Windmill 4★ #9FA")</f>
        <v>Storm Port - Windmill 4★ #9FA</v>
      </c>
      <c r="P546" s="249">
        <f>IFERROR(__xludf.DUMMYFUNCTION("""COMPUTED_VALUE"""),5.0)</f>
        <v>5</v>
      </c>
      <c r="Q546" s="481"/>
    </row>
    <row r="547" ht="12.75" customHeight="1">
      <c r="G547" s="480" t="s">
        <v>1794</v>
      </c>
      <c r="H547" s="249">
        <v>5.0</v>
      </c>
      <c r="I547" s="479">
        <v>2.442360296991012E-4</v>
      </c>
      <c r="K547" s="249"/>
      <c r="L547" s="480"/>
      <c r="M547" s="481"/>
      <c r="O547" s="492" t="str">
        <f>IFERROR(__xludf.DUMMYFUNCTION("""COMPUTED_VALUE"""),"Storm Port - Windmill 4★ #4AF")</f>
        <v>Storm Port - Windmill 4★ #4AF</v>
      </c>
      <c r="P547" s="249">
        <f>IFERROR(__xludf.DUMMYFUNCTION("""COMPUTED_VALUE"""),5.0)</f>
        <v>5</v>
      </c>
      <c r="Q547" s="481"/>
    </row>
    <row r="548" ht="12.75" customHeight="1">
      <c r="G548" s="480" t="s">
        <v>1795</v>
      </c>
      <c r="H548" s="249">
        <v>5.0</v>
      </c>
      <c r="I548" s="479">
        <v>2.442360296991012E-4</v>
      </c>
      <c r="K548" s="249"/>
      <c r="L548" s="480"/>
      <c r="M548" s="481"/>
      <c r="O548" s="492" t="str">
        <f>IFERROR(__xludf.DUMMYFUNCTION("""COMPUTED_VALUE"""),"Storm Port - Windmill 4★ #F64")</f>
        <v>Storm Port - Windmill 4★ #F64</v>
      </c>
      <c r="P548" s="249">
        <f>IFERROR(__xludf.DUMMYFUNCTION("""COMPUTED_VALUE"""),5.0)</f>
        <v>5</v>
      </c>
      <c r="Q548" s="481"/>
    </row>
    <row r="549" ht="12.75" customHeight="1">
      <c r="G549" s="480" t="s">
        <v>1796</v>
      </c>
      <c r="H549" s="249">
        <v>5.0</v>
      </c>
      <c r="I549" s="479">
        <v>2.442360296991012E-4</v>
      </c>
      <c r="K549" s="249"/>
      <c r="L549" s="480"/>
      <c r="M549" s="481"/>
      <c r="O549" s="492" t="str">
        <f>IFERROR(__xludf.DUMMYFUNCTION("""COMPUTED_VALUE"""),"Storm Port - Windmill 4★ #A19")</f>
        <v>Storm Port - Windmill 4★ #A19</v>
      </c>
      <c r="P549" s="249">
        <f>IFERROR(__xludf.DUMMYFUNCTION("""COMPUTED_VALUE"""),5.0)</f>
        <v>5</v>
      </c>
      <c r="Q549" s="481"/>
    </row>
    <row r="550" ht="12.75" customHeight="1">
      <c r="G550" s="480" t="s">
        <v>1797</v>
      </c>
      <c r="H550" s="249">
        <v>5.0</v>
      </c>
      <c r="I550" s="479">
        <v>2.442360296991012E-4</v>
      </c>
      <c r="K550" s="249"/>
      <c r="L550" s="480"/>
      <c r="M550" s="481"/>
      <c r="O550" s="492" t="str">
        <f>IFERROR(__xludf.DUMMYFUNCTION("""COMPUTED_VALUE"""),"Storm Port - Windmill 4★ #4CE")</f>
        <v>Storm Port - Windmill 4★ #4CE</v>
      </c>
      <c r="P550" s="249">
        <f>IFERROR(__xludf.DUMMYFUNCTION("""COMPUTED_VALUE"""),5.0)</f>
        <v>5</v>
      </c>
      <c r="Q550" s="481"/>
    </row>
    <row r="551" ht="12.75" customHeight="1">
      <c r="G551" s="480" t="s">
        <v>1798</v>
      </c>
      <c r="H551" s="249">
        <v>5.0</v>
      </c>
      <c r="I551" s="479">
        <v>2.442360296991012E-4</v>
      </c>
      <c r="K551" s="249"/>
      <c r="L551" s="480"/>
      <c r="M551" s="481"/>
      <c r="O551" s="492" t="str">
        <f>IFERROR(__xludf.DUMMYFUNCTION("""COMPUTED_VALUE"""),"Storm Port - Windmill 4★ #F83")</f>
        <v>Storm Port - Windmill 4★ #F83</v>
      </c>
      <c r="P551" s="249">
        <f>IFERROR(__xludf.DUMMYFUNCTION("""COMPUTED_VALUE"""),5.0)</f>
        <v>5</v>
      </c>
      <c r="Q551" s="481"/>
    </row>
    <row r="552" ht="12.75" customHeight="1">
      <c r="G552" s="480" t="s">
        <v>1799</v>
      </c>
      <c r="H552" s="249">
        <v>5.0</v>
      </c>
      <c r="I552" s="479">
        <v>2.442360296991012E-4</v>
      </c>
      <c r="K552" s="249"/>
      <c r="L552" s="480"/>
      <c r="M552" s="481"/>
      <c r="O552" s="492" t="str">
        <f>IFERROR(__xludf.DUMMYFUNCTION("""COMPUTED_VALUE"""),"Storm Port - Windmill 4★ #A38")</f>
        <v>Storm Port - Windmill 4★ #A38</v>
      </c>
      <c r="P552" s="249">
        <f>IFERROR(__xludf.DUMMYFUNCTION("""COMPUTED_VALUE"""),5.0)</f>
        <v>5</v>
      </c>
      <c r="Q552" s="481"/>
    </row>
    <row r="553" ht="12.75" customHeight="1">
      <c r="G553" s="480" t="s">
        <v>1800</v>
      </c>
      <c r="H553" s="249">
        <v>5.0</v>
      </c>
      <c r="I553" s="479">
        <v>2.442360296991012E-4</v>
      </c>
      <c r="K553" s="249"/>
      <c r="L553" s="480"/>
      <c r="M553" s="481"/>
      <c r="O553" s="492" t="str">
        <f>IFERROR(__xludf.DUMMYFUNCTION("""COMPUTED_VALUE"""),"Storm Port - Windmill 4★ #4ED")</f>
        <v>Storm Port - Windmill 4★ #4ED</v>
      </c>
      <c r="P553" s="249">
        <f>IFERROR(__xludf.DUMMYFUNCTION("""COMPUTED_VALUE"""),5.0)</f>
        <v>5</v>
      </c>
      <c r="Q553" s="481"/>
    </row>
    <row r="554" ht="12.75" customHeight="1">
      <c r="G554" s="480" t="s">
        <v>1801</v>
      </c>
      <c r="H554" s="249">
        <v>5.0</v>
      </c>
      <c r="I554" s="479">
        <v>2.442360296991012E-4</v>
      </c>
      <c r="K554" s="249"/>
      <c r="L554" s="480"/>
      <c r="M554" s="481"/>
      <c r="O554" s="492" t="str">
        <f>IFERROR(__xludf.DUMMYFUNCTION("""COMPUTED_VALUE"""),"Storm Port - Windmill 4★ #FA2")</f>
        <v>Storm Port - Windmill 4★ #FA2</v>
      </c>
      <c r="P554" s="249">
        <f>IFERROR(__xludf.DUMMYFUNCTION("""COMPUTED_VALUE"""),5.0)</f>
        <v>5</v>
      </c>
      <c r="Q554" s="481"/>
    </row>
    <row r="555" ht="12.75" customHeight="1">
      <c r="G555" s="480" t="s">
        <v>1802</v>
      </c>
      <c r="H555" s="249">
        <v>5.0</v>
      </c>
      <c r="I555" s="479">
        <v>2.442360296991012E-4</v>
      </c>
      <c r="K555" s="249"/>
      <c r="L555" s="480"/>
      <c r="M555" s="481"/>
      <c r="O555" s="492" t="str">
        <f>IFERROR(__xludf.DUMMYFUNCTION("""COMPUTED_VALUE"""),"Storm Port - Windmill 4★ #A57")</f>
        <v>Storm Port - Windmill 4★ #A57</v>
      </c>
      <c r="P555" s="249">
        <f>IFERROR(__xludf.DUMMYFUNCTION("""COMPUTED_VALUE"""),5.0)</f>
        <v>5</v>
      </c>
      <c r="Q555" s="481"/>
    </row>
    <row r="556" ht="12.75" customHeight="1">
      <c r="G556" s="480" t="s">
        <v>1803</v>
      </c>
      <c r="H556" s="249">
        <v>2.0</v>
      </c>
      <c r="I556" s="479">
        <v>9.769441187964049E-5</v>
      </c>
      <c r="K556" s="249"/>
      <c r="L556" s="480"/>
      <c r="M556" s="481"/>
      <c r="O556" s="492" t="str">
        <f>IFERROR(__xludf.DUMMYFUNCTION("""COMPUTED_VALUE"""),"Storm Port - Lighthouse 5★ #50C")</f>
        <v>Storm Port - Lighthouse 5★ #50C</v>
      </c>
      <c r="P556" s="249">
        <f>IFERROR(__xludf.DUMMYFUNCTION("""COMPUTED_VALUE"""),2.0)</f>
        <v>2</v>
      </c>
      <c r="Q556" s="481"/>
    </row>
    <row r="557" ht="12.75" customHeight="1">
      <c r="G557" s="480" t="s">
        <v>1804</v>
      </c>
      <c r="H557" s="249">
        <v>2.0</v>
      </c>
      <c r="I557" s="479">
        <v>9.769441187964049E-5</v>
      </c>
      <c r="K557" s="249"/>
      <c r="L557" s="480"/>
      <c r="M557" s="481"/>
      <c r="O557" s="492" t="str">
        <f>IFERROR(__xludf.DUMMYFUNCTION("""COMPUTED_VALUE"""),"Storm Port - Lighthouse 5★ #FC1")</f>
        <v>Storm Port - Lighthouse 5★ #FC1</v>
      </c>
      <c r="P557" s="249">
        <f>IFERROR(__xludf.DUMMYFUNCTION("""COMPUTED_VALUE"""),2.0)</f>
        <v>2</v>
      </c>
      <c r="Q557" s="481"/>
    </row>
    <row r="558" ht="12.75" customHeight="1">
      <c r="G558" s="480" t="s">
        <v>1805</v>
      </c>
      <c r="H558" s="249">
        <v>2.0</v>
      </c>
      <c r="I558" s="479">
        <v>9.769441187964049E-5</v>
      </c>
      <c r="K558" s="249"/>
      <c r="L558" s="480"/>
      <c r="M558" s="481"/>
      <c r="O558" s="492" t="str">
        <f>IFERROR(__xludf.DUMMYFUNCTION("""COMPUTED_VALUE"""),"Storm Port - Lighthouse 5★ #A76")</f>
        <v>Storm Port - Lighthouse 5★ #A76</v>
      </c>
      <c r="P558" s="249">
        <f>IFERROR(__xludf.DUMMYFUNCTION("""COMPUTED_VALUE"""),2.0)</f>
        <v>2</v>
      </c>
      <c r="Q558" s="481"/>
    </row>
    <row r="559" ht="12.75" customHeight="1">
      <c r="G559" s="480" t="s">
        <v>1806</v>
      </c>
      <c r="H559" s="249">
        <v>2.0</v>
      </c>
      <c r="I559" s="479">
        <v>9.769441187964049E-5</v>
      </c>
      <c r="K559" s="249"/>
      <c r="L559" s="480"/>
      <c r="M559" s="481"/>
      <c r="O559" s="492" t="str">
        <f>IFERROR(__xludf.DUMMYFUNCTION("""COMPUTED_VALUE"""),"Storm Port - Lighthouse 5★ #52B")</f>
        <v>Storm Port - Lighthouse 5★ #52B</v>
      </c>
      <c r="P559" s="249">
        <f>IFERROR(__xludf.DUMMYFUNCTION("""COMPUTED_VALUE"""),2.0)</f>
        <v>2</v>
      </c>
      <c r="Q559" s="481"/>
    </row>
    <row r="560" ht="12.75" customHeight="1">
      <c r="G560" s="480" t="s">
        <v>1807</v>
      </c>
      <c r="H560" s="249">
        <v>2.0</v>
      </c>
      <c r="I560" s="479">
        <v>9.769441187964049E-5</v>
      </c>
      <c r="K560" s="249"/>
      <c r="L560" s="480"/>
      <c r="M560" s="481"/>
      <c r="O560" s="492" t="str">
        <f>IFERROR(__xludf.DUMMYFUNCTION("""COMPUTED_VALUE"""),"Storm Port - Lighthouse 5★ #FE0")</f>
        <v>Storm Port - Lighthouse 5★ #FE0</v>
      </c>
      <c r="P560" s="249">
        <f>IFERROR(__xludf.DUMMYFUNCTION("""COMPUTED_VALUE"""),2.0)</f>
        <v>2</v>
      </c>
      <c r="Q560" s="481"/>
    </row>
    <row r="561" ht="12.75" customHeight="1">
      <c r="G561" s="480" t="s">
        <v>1808</v>
      </c>
      <c r="H561" s="249">
        <v>2.0</v>
      </c>
      <c r="I561" s="479">
        <v>9.769441187964049E-5</v>
      </c>
      <c r="K561" s="249"/>
      <c r="L561" s="480"/>
      <c r="M561" s="481"/>
      <c r="O561" s="492" t="str">
        <f>IFERROR(__xludf.DUMMYFUNCTION("""COMPUTED_VALUE"""),"Storm Port - Drum 5★ #A95")</f>
        <v>Storm Port - Drum 5★ #A95</v>
      </c>
      <c r="P561" s="249">
        <f>IFERROR(__xludf.DUMMYFUNCTION("""COMPUTED_VALUE"""),2.0)</f>
        <v>2</v>
      </c>
      <c r="Q561" s="481"/>
    </row>
    <row r="562" ht="12.75" customHeight="1">
      <c r="G562" s="480" t="s">
        <v>1809</v>
      </c>
      <c r="H562" s="249">
        <v>2.0</v>
      </c>
      <c r="I562" s="479">
        <v>9.769441187964049E-5</v>
      </c>
      <c r="K562" s="249"/>
      <c r="L562" s="480"/>
      <c r="M562" s="481"/>
      <c r="O562" s="492" t="str">
        <f>IFERROR(__xludf.DUMMYFUNCTION("""COMPUTED_VALUE"""),"Storm Port - Drum 5★ #54A")</f>
        <v>Storm Port - Drum 5★ #54A</v>
      </c>
      <c r="P562" s="249">
        <f>IFERROR(__xludf.DUMMYFUNCTION("""COMPUTED_VALUE"""),2.0)</f>
        <v>2</v>
      </c>
      <c r="Q562" s="481"/>
    </row>
    <row r="563" ht="12.75" customHeight="1">
      <c r="G563" s="480" t="s">
        <v>1810</v>
      </c>
      <c r="H563" s="249">
        <v>2.0</v>
      </c>
      <c r="I563" s="479">
        <v>9.769441187964049E-5</v>
      </c>
      <c r="K563" s="249"/>
      <c r="L563" s="480"/>
      <c r="M563" s="481"/>
      <c r="O563" s="492" t="str">
        <f>IFERROR(__xludf.DUMMYFUNCTION("""COMPUTED_VALUE"""),"Storm Port - Drum 5★ #FFF")</f>
        <v>Storm Port - Drum 5★ #FFF</v>
      </c>
      <c r="P563" s="249">
        <f>IFERROR(__xludf.DUMMYFUNCTION("""COMPUTED_VALUE"""),2.0)</f>
        <v>2</v>
      </c>
      <c r="Q563" s="481"/>
    </row>
    <row r="564" ht="12.75" customHeight="1">
      <c r="G564" s="480" t="s">
        <v>1811</v>
      </c>
      <c r="H564" s="249">
        <v>2.0</v>
      </c>
      <c r="I564" s="479">
        <v>9.769441187964049E-5</v>
      </c>
      <c r="K564" s="249"/>
      <c r="L564" s="480"/>
      <c r="M564" s="481"/>
      <c r="O564" s="492" t="str">
        <f>IFERROR(__xludf.DUMMYFUNCTION("""COMPUTED_VALUE"""),"Storm Port - Drum 5★ #AB4")</f>
        <v>Storm Port - Drum 5★ #AB4</v>
      </c>
      <c r="P564" s="249">
        <f>IFERROR(__xludf.DUMMYFUNCTION("""COMPUTED_VALUE"""),2.0)</f>
        <v>2</v>
      </c>
      <c r="Q564" s="481"/>
    </row>
    <row r="565" ht="12.75" customHeight="1">
      <c r="G565" s="480" t="s">
        <v>1812</v>
      </c>
      <c r="H565" s="249">
        <v>2.0</v>
      </c>
      <c r="I565" s="479">
        <v>9.769441187964049E-5</v>
      </c>
      <c r="K565" s="249"/>
      <c r="L565" s="480"/>
      <c r="M565" s="481"/>
      <c r="O565" s="492" t="str">
        <f>IFERROR(__xludf.DUMMYFUNCTION("""COMPUTED_VALUE"""),"Storm Port - Drum 5★ #569")</f>
        <v>Storm Port - Drum 5★ #569</v>
      </c>
      <c r="P565" s="249">
        <f>IFERROR(__xludf.DUMMYFUNCTION("""COMPUTED_VALUE"""),2.0)</f>
        <v>2</v>
      </c>
      <c r="Q565" s="481"/>
    </row>
    <row r="566" ht="12.75" customHeight="1">
      <c r="G566" s="480" t="s">
        <v>1813</v>
      </c>
      <c r="H566" s="249">
        <v>50.0</v>
      </c>
      <c r="I566" s="479">
        <v>0.0024423602969910123</v>
      </c>
      <c r="K566" s="249"/>
      <c r="L566" s="480"/>
      <c r="M566" s="481"/>
      <c r="O566" s="492" t="str">
        <f>IFERROR(__xludf.DUMMYFUNCTION("""COMPUTED_VALUE"""),"Cannon Fort - Cannonball 1★ #01E")</f>
        <v>Cannon Fort - Cannonball 1★ #01E</v>
      </c>
      <c r="P566" s="249">
        <f>IFERROR(__xludf.DUMMYFUNCTION("""COMPUTED_VALUE"""),50.0)</f>
        <v>50</v>
      </c>
      <c r="Q566" s="481"/>
    </row>
    <row r="567" ht="12.75" customHeight="1">
      <c r="G567" s="480" t="s">
        <v>1814</v>
      </c>
      <c r="H567" s="249">
        <v>50.0</v>
      </c>
      <c r="I567" s="479">
        <v>0.0024423602969910123</v>
      </c>
      <c r="K567" s="249"/>
      <c r="L567" s="480"/>
      <c r="M567" s="481"/>
      <c r="O567" s="492" t="str">
        <f>IFERROR(__xludf.DUMMYFUNCTION("""COMPUTED_VALUE"""),"Cannon Fort - Cannonball 1★ #AD3")</f>
        <v>Cannon Fort - Cannonball 1★ #AD3</v>
      </c>
      <c r="P567" s="249">
        <f>IFERROR(__xludf.DUMMYFUNCTION("""COMPUTED_VALUE"""),50.0)</f>
        <v>50</v>
      </c>
      <c r="Q567" s="481"/>
    </row>
    <row r="568" ht="12.75" customHeight="1">
      <c r="G568" s="480" t="s">
        <v>1815</v>
      </c>
      <c r="H568" s="249">
        <v>50.0</v>
      </c>
      <c r="I568" s="479">
        <v>0.0024423602969910123</v>
      </c>
      <c r="K568" s="249"/>
      <c r="L568" s="480"/>
      <c r="M568" s="481"/>
      <c r="O568" s="492" t="str">
        <f>IFERROR(__xludf.DUMMYFUNCTION("""COMPUTED_VALUE"""),"Cannon Fort - Cannonball 1★ #588")</f>
        <v>Cannon Fort - Cannonball 1★ #588</v>
      </c>
      <c r="P568" s="249">
        <f>IFERROR(__xludf.DUMMYFUNCTION("""COMPUTED_VALUE"""),50.0)</f>
        <v>50</v>
      </c>
      <c r="Q568" s="481"/>
    </row>
    <row r="569" ht="12.75" customHeight="1">
      <c r="G569" s="480" t="s">
        <v>1817</v>
      </c>
      <c r="H569" s="249">
        <v>50.0</v>
      </c>
      <c r="I569" s="479">
        <v>0.0024423602969910123</v>
      </c>
      <c r="K569" s="249"/>
      <c r="L569" s="480"/>
      <c r="M569" s="481"/>
      <c r="O569" s="492" t="str">
        <f>IFERROR(__xludf.DUMMYFUNCTION("""COMPUTED_VALUE"""),"Cannon Fort - Cannonball 1★ #03D")</f>
        <v>Cannon Fort - Cannonball 1★ #03D</v>
      </c>
      <c r="P569" s="249">
        <f>IFERROR(__xludf.DUMMYFUNCTION("""COMPUTED_VALUE"""),50.0)</f>
        <v>50</v>
      </c>
      <c r="Q569" s="481"/>
    </row>
    <row r="570" ht="12.75" customHeight="1">
      <c r="G570" s="480" t="s">
        <v>1819</v>
      </c>
      <c r="H570" s="249">
        <v>50.0</v>
      </c>
      <c r="I570" s="479">
        <v>0.0024423602969910123</v>
      </c>
      <c r="K570" s="249"/>
      <c r="L570" s="480"/>
      <c r="M570" s="481"/>
      <c r="O570" s="492" t="str">
        <f>IFERROR(__xludf.DUMMYFUNCTION("""COMPUTED_VALUE"""),"Cannon Fort - Cannonball 1★ #AF2")</f>
        <v>Cannon Fort - Cannonball 1★ #AF2</v>
      </c>
      <c r="P570" s="249">
        <f>IFERROR(__xludf.DUMMYFUNCTION("""COMPUTED_VALUE"""),50.0)</f>
        <v>50</v>
      </c>
      <c r="Q570" s="481"/>
    </row>
    <row r="571" ht="12.75" customHeight="1">
      <c r="G571" s="480" t="s">
        <v>1820</v>
      </c>
      <c r="H571" s="249">
        <v>50.0</v>
      </c>
      <c r="I571" s="479">
        <v>0.0024423602969910123</v>
      </c>
      <c r="K571" s="249"/>
      <c r="L571" s="480"/>
      <c r="M571" s="481"/>
      <c r="O571" s="492" t="str">
        <f>IFERROR(__xludf.DUMMYFUNCTION("""COMPUTED_VALUE"""),"Cannon Fort - Cannonball 1★ #5A7")</f>
        <v>Cannon Fort - Cannonball 1★ #5A7</v>
      </c>
      <c r="P571" s="249">
        <f>IFERROR(__xludf.DUMMYFUNCTION("""COMPUTED_VALUE"""),50.0)</f>
        <v>50</v>
      </c>
      <c r="Q571" s="481"/>
    </row>
    <row r="572" ht="12.75" customHeight="1">
      <c r="G572" s="480" t="s">
        <v>1821</v>
      </c>
      <c r="H572" s="249">
        <v>50.0</v>
      </c>
      <c r="I572" s="479">
        <v>0.0024423602969910123</v>
      </c>
      <c r="K572" s="249"/>
      <c r="L572" s="480"/>
      <c r="M572" s="481"/>
      <c r="O572" s="492" t="str">
        <f>IFERROR(__xludf.DUMMYFUNCTION("""COMPUTED_VALUE"""),"Cannon Fort - Cannonball 1★ #05C")</f>
        <v>Cannon Fort - Cannonball 1★ #05C</v>
      </c>
      <c r="P572" s="249">
        <f>IFERROR(__xludf.DUMMYFUNCTION("""COMPUTED_VALUE"""),50.0)</f>
        <v>50</v>
      </c>
      <c r="Q572" s="481"/>
    </row>
    <row r="573" ht="12.75" customHeight="1">
      <c r="G573" s="480" t="s">
        <v>1822</v>
      </c>
      <c r="H573" s="249">
        <v>50.0</v>
      </c>
      <c r="I573" s="479">
        <v>0.0024423602969910123</v>
      </c>
      <c r="K573" s="249"/>
      <c r="L573" s="480"/>
      <c r="M573" s="481"/>
      <c r="O573" s="492" t="str">
        <f>IFERROR(__xludf.DUMMYFUNCTION("""COMPUTED_VALUE"""),"Cannon Fort - Cannonball 1★ #B11")</f>
        <v>Cannon Fort - Cannonball 1★ #B11</v>
      </c>
      <c r="P573" s="249">
        <f>IFERROR(__xludf.DUMMYFUNCTION("""COMPUTED_VALUE"""),50.0)</f>
        <v>50</v>
      </c>
      <c r="Q573" s="481"/>
    </row>
    <row r="574" ht="12.75" customHeight="1">
      <c r="G574" s="480" t="s">
        <v>1823</v>
      </c>
      <c r="H574" s="249">
        <v>50.0</v>
      </c>
      <c r="I574" s="479">
        <v>0.0024423602969910123</v>
      </c>
      <c r="K574" s="249"/>
      <c r="L574" s="480"/>
      <c r="M574" s="481"/>
      <c r="O574" s="492" t="str">
        <f>IFERROR(__xludf.DUMMYFUNCTION("""COMPUTED_VALUE"""),"Cannon Fort - Cannonball 1★ #5C6")</f>
        <v>Cannon Fort - Cannonball 1★ #5C6</v>
      </c>
      <c r="P574" s="249">
        <f>IFERROR(__xludf.DUMMYFUNCTION("""COMPUTED_VALUE"""),50.0)</f>
        <v>50</v>
      </c>
      <c r="Q574" s="481"/>
    </row>
    <row r="575" ht="12.75" customHeight="1">
      <c r="G575" s="480" t="s">
        <v>1824</v>
      </c>
      <c r="H575" s="249">
        <v>50.0</v>
      </c>
      <c r="I575" s="479">
        <v>0.0024423602969910123</v>
      </c>
      <c r="K575" s="249"/>
      <c r="L575" s="480"/>
      <c r="M575" s="481"/>
      <c r="O575" s="492" t="str">
        <f>IFERROR(__xludf.DUMMYFUNCTION("""COMPUTED_VALUE"""),"Cannon Fort - Cannonball 1★ #07B")</f>
        <v>Cannon Fort - Cannonball 1★ #07B</v>
      </c>
      <c r="P575" s="249">
        <f>IFERROR(__xludf.DUMMYFUNCTION("""COMPUTED_VALUE"""),50.0)</f>
        <v>50</v>
      </c>
      <c r="Q575" s="481"/>
    </row>
    <row r="576" ht="12.75" customHeight="1">
      <c r="G576" s="480" t="s">
        <v>1825</v>
      </c>
      <c r="H576" s="249">
        <v>50.0</v>
      </c>
      <c r="I576" s="479">
        <v>0.0024423602969910123</v>
      </c>
      <c r="K576" s="249"/>
      <c r="L576" s="480"/>
      <c r="M576" s="481"/>
      <c r="O576" s="492" t="str">
        <f>IFERROR(__xludf.DUMMYFUNCTION("""COMPUTED_VALUE"""),"Cannon Fort - Cannonball 1★ #B30")</f>
        <v>Cannon Fort - Cannonball 1★ #B30</v>
      </c>
      <c r="P576" s="249">
        <f>IFERROR(__xludf.DUMMYFUNCTION("""COMPUTED_VALUE"""),50.0)</f>
        <v>50</v>
      </c>
      <c r="Q576" s="481"/>
    </row>
    <row r="577" ht="12.75" customHeight="1">
      <c r="G577" s="480" t="s">
        <v>1826</v>
      </c>
      <c r="H577" s="249">
        <v>50.0</v>
      </c>
      <c r="I577" s="479">
        <v>0.0024423602969910123</v>
      </c>
      <c r="K577" s="249"/>
      <c r="L577" s="480"/>
      <c r="M577" s="481"/>
      <c r="O577" s="492" t="str">
        <f>IFERROR(__xludf.DUMMYFUNCTION("""COMPUTED_VALUE"""),"Cannon Fort - Cannonball 1★ #5E5")</f>
        <v>Cannon Fort - Cannonball 1★ #5E5</v>
      </c>
      <c r="P577" s="249">
        <f>IFERROR(__xludf.DUMMYFUNCTION("""COMPUTED_VALUE"""),50.0)</f>
        <v>50</v>
      </c>
      <c r="Q577" s="481"/>
    </row>
    <row r="578" ht="12.75" customHeight="1">
      <c r="G578" s="480" t="s">
        <v>1827</v>
      </c>
      <c r="H578" s="249">
        <v>50.0</v>
      </c>
      <c r="I578" s="479">
        <v>0.0024423602969910123</v>
      </c>
      <c r="K578" s="249"/>
      <c r="L578" s="480"/>
      <c r="M578" s="481"/>
      <c r="O578" s="492" t="str">
        <f>IFERROR(__xludf.DUMMYFUNCTION("""COMPUTED_VALUE"""),"Cannon Fort - Cannonball 1★ #09A")</f>
        <v>Cannon Fort - Cannonball 1★ #09A</v>
      </c>
      <c r="P578" s="249">
        <f>IFERROR(__xludf.DUMMYFUNCTION("""COMPUTED_VALUE"""),50.0)</f>
        <v>50</v>
      </c>
      <c r="Q578" s="481"/>
    </row>
    <row r="579" ht="12.75" customHeight="1">
      <c r="G579" s="480" t="s">
        <v>1828</v>
      </c>
      <c r="H579" s="249">
        <v>50.0</v>
      </c>
      <c r="I579" s="479">
        <v>0.0024423602969910123</v>
      </c>
      <c r="K579" s="249"/>
      <c r="L579" s="480"/>
      <c r="M579" s="481"/>
      <c r="O579" s="492" t="str">
        <f>IFERROR(__xludf.DUMMYFUNCTION("""COMPUTED_VALUE"""),"Cannon Fort - Powder 1★ #B4F")</f>
        <v>Cannon Fort - Powder 1★ #B4F</v>
      </c>
      <c r="P579" s="249">
        <f>IFERROR(__xludf.DUMMYFUNCTION("""COMPUTED_VALUE"""),50.0)</f>
        <v>50</v>
      </c>
      <c r="Q579" s="481"/>
    </row>
    <row r="580" ht="12.75" customHeight="1">
      <c r="G580" s="480" t="s">
        <v>1829</v>
      </c>
      <c r="H580" s="249">
        <v>50.0</v>
      </c>
      <c r="I580" s="479">
        <v>0.0024423602969910123</v>
      </c>
      <c r="K580" s="249"/>
      <c r="L580" s="480"/>
      <c r="M580" s="481"/>
      <c r="O580" s="492" t="str">
        <f>IFERROR(__xludf.DUMMYFUNCTION("""COMPUTED_VALUE"""),"Cannon Fort - Powder 1★ #604")</f>
        <v>Cannon Fort - Powder 1★ #604</v>
      </c>
      <c r="P580" s="249">
        <f>IFERROR(__xludf.DUMMYFUNCTION("""COMPUTED_VALUE"""),50.0)</f>
        <v>50</v>
      </c>
      <c r="Q580" s="481"/>
    </row>
    <row r="581" ht="12.75" customHeight="1">
      <c r="G581" s="480" t="s">
        <v>1830</v>
      </c>
      <c r="H581" s="249">
        <v>50.0</v>
      </c>
      <c r="I581" s="479">
        <v>0.0024423602969910123</v>
      </c>
      <c r="K581" s="249"/>
      <c r="L581" s="480"/>
      <c r="M581" s="481"/>
      <c r="O581" s="492" t="str">
        <f>IFERROR(__xludf.DUMMYFUNCTION("""COMPUTED_VALUE"""),"Cannon Fort - Powder 1★ #0B9")</f>
        <v>Cannon Fort - Powder 1★ #0B9</v>
      </c>
      <c r="P581" s="249">
        <f>IFERROR(__xludf.DUMMYFUNCTION("""COMPUTED_VALUE"""),50.0)</f>
        <v>50</v>
      </c>
      <c r="Q581" s="481"/>
    </row>
    <row r="582" ht="12.75" customHeight="1">
      <c r="G582" s="480" t="s">
        <v>1831</v>
      </c>
      <c r="H582" s="249">
        <v>50.0</v>
      </c>
      <c r="I582" s="479">
        <v>0.0024423602969910123</v>
      </c>
      <c r="K582" s="249"/>
      <c r="L582" s="480"/>
      <c r="M582" s="481"/>
      <c r="O582" s="492" t="str">
        <f>IFERROR(__xludf.DUMMYFUNCTION("""COMPUTED_VALUE"""),"Cannon Fort - Powder 1★ #B6E")</f>
        <v>Cannon Fort - Powder 1★ #B6E</v>
      </c>
      <c r="P582" s="249">
        <f>IFERROR(__xludf.DUMMYFUNCTION("""COMPUTED_VALUE"""),50.0)</f>
        <v>50</v>
      </c>
      <c r="Q582" s="481"/>
    </row>
    <row r="583" ht="12.75" customHeight="1">
      <c r="G583" s="480" t="s">
        <v>1832</v>
      </c>
      <c r="H583" s="249">
        <v>50.0</v>
      </c>
      <c r="I583" s="479">
        <v>0.0024423602969910123</v>
      </c>
      <c r="K583" s="249"/>
      <c r="L583" s="480"/>
      <c r="M583" s="481"/>
      <c r="O583" s="492" t="str">
        <f>IFERROR(__xludf.DUMMYFUNCTION("""COMPUTED_VALUE"""),"Cannon Fort - Powder 1★ #623")</f>
        <v>Cannon Fort - Powder 1★ #623</v>
      </c>
      <c r="P583" s="249">
        <f>IFERROR(__xludf.DUMMYFUNCTION("""COMPUTED_VALUE"""),50.0)</f>
        <v>50</v>
      </c>
      <c r="Q583" s="481"/>
    </row>
    <row r="584" ht="12.75" customHeight="1">
      <c r="G584" s="480" t="s">
        <v>1833</v>
      </c>
      <c r="H584" s="249">
        <v>50.0</v>
      </c>
      <c r="I584" s="479">
        <v>0.0024423602969910123</v>
      </c>
      <c r="K584" s="249"/>
      <c r="L584" s="480"/>
      <c r="M584" s="481"/>
      <c r="O584" s="492" t="str">
        <f>IFERROR(__xludf.DUMMYFUNCTION("""COMPUTED_VALUE"""),"Cannon Fort - Powder 1★ #0D8")</f>
        <v>Cannon Fort - Powder 1★ #0D8</v>
      </c>
      <c r="P584" s="249">
        <f>IFERROR(__xludf.DUMMYFUNCTION("""COMPUTED_VALUE"""),50.0)</f>
        <v>50</v>
      </c>
      <c r="Q584" s="481"/>
    </row>
    <row r="585" ht="12.75" customHeight="1">
      <c r="G585" s="480" t="s">
        <v>1834</v>
      </c>
      <c r="H585" s="249">
        <v>50.0</v>
      </c>
      <c r="I585" s="479">
        <v>0.0024423602969910123</v>
      </c>
      <c r="K585" s="249"/>
      <c r="L585" s="480"/>
      <c r="M585" s="481"/>
      <c r="O585" s="492" t="str">
        <f>IFERROR(__xludf.DUMMYFUNCTION("""COMPUTED_VALUE"""),"Cannon Fort - Powder 1★ #B8D")</f>
        <v>Cannon Fort - Powder 1★ #B8D</v>
      </c>
      <c r="P585" s="249">
        <f>IFERROR(__xludf.DUMMYFUNCTION("""COMPUTED_VALUE"""),50.0)</f>
        <v>50</v>
      </c>
      <c r="Q585" s="481"/>
    </row>
    <row r="586" ht="12.75" customHeight="1">
      <c r="G586" s="480" t="s">
        <v>1835</v>
      </c>
      <c r="H586" s="249">
        <v>50.0</v>
      </c>
      <c r="I586" s="479">
        <v>0.0024423602969910123</v>
      </c>
      <c r="K586" s="249"/>
      <c r="L586" s="480"/>
      <c r="M586" s="481"/>
      <c r="O586" s="492" t="str">
        <f>IFERROR(__xludf.DUMMYFUNCTION("""COMPUTED_VALUE"""),"Cannon Fort - Powder 1★ #642")</f>
        <v>Cannon Fort - Powder 1★ #642</v>
      </c>
      <c r="P586" s="249">
        <f>IFERROR(__xludf.DUMMYFUNCTION("""COMPUTED_VALUE"""),50.0)</f>
        <v>50</v>
      </c>
      <c r="Q586" s="481"/>
    </row>
    <row r="587" ht="12.75" customHeight="1">
      <c r="G587" s="480" t="s">
        <v>1836</v>
      </c>
      <c r="H587" s="249">
        <v>50.0</v>
      </c>
      <c r="I587" s="479">
        <v>0.0024423602969910123</v>
      </c>
      <c r="K587" s="249"/>
      <c r="L587" s="480"/>
      <c r="M587" s="481"/>
      <c r="O587" s="492" t="str">
        <f>IFERROR(__xludf.DUMMYFUNCTION("""COMPUTED_VALUE"""),"Cannon Fort - Powder 1★ #0F7")</f>
        <v>Cannon Fort - Powder 1★ #0F7</v>
      </c>
      <c r="P587" s="249">
        <f>IFERROR(__xludf.DUMMYFUNCTION("""COMPUTED_VALUE"""),50.0)</f>
        <v>50</v>
      </c>
      <c r="Q587" s="481"/>
    </row>
    <row r="588" ht="12.75" customHeight="1">
      <c r="G588" s="480" t="s">
        <v>1837</v>
      </c>
      <c r="H588" s="249">
        <v>50.0</v>
      </c>
      <c r="I588" s="479">
        <v>0.0024423602969910123</v>
      </c>
      <c r="K588" s="249"/>
      <c r="L588" s="480"/>
      <c r="M588" s="481"/>
      <c r="O588" s="492" t="str">
        <f>IFERROR(__xludf.DUMMYFUNCTION("""COMPUTED_VALUE"""),"Cannon Fort - Powder 1★ #BAC")</f>
        <v>Cannon Fort - Powder 1★ #BAC</v>
      </c>
      <c r="P588" s="249">
        <f>IFERROR(__xludf.DUMMYFUNCTION("""COMPUTED_VALUE"""),50.0)</f>
        <v>50</v>
      </c>
      <c r="Q588" s="481"/>
    </row>
    <row r="589" ht="12.75" customHeight="1">
      <c r="G589" s="480" t="s">
        <v>1838</v>
      </c>
      <c r="H589" s="249">
        <v>50.0</v>
      </c>
      <c r="I589" s="479">
        <v>0.0024423602969910123</v>
      </c>
      <c r="K589" s="249"/>
      <c r="L589" s="480"/>
      <c r="M589" s="481"/>
      <c r="O589" s="492" t="str">
        <f>IFERROR(__xludf.DUMMYFUNCTION("""COMPUTED_VALUE"""),"Cannon Fort - Powder 1★ #661")</f>
        <v>Cannon Fort - Powder 1★ #661</v>
      </c>
      <c r="P589" s="249">
        <f>IFERROR(__xludf.DUMMYFUNCTION("""COMPUTED_VALUE"""),50.0)</f>
        <v>50</v>
      </c>
      <c r="Q589" s="481"/>
    </row>
    <row r="590" ht="12.75" customHeight="1">
      <c r="G590" s="480" t="s">
        <v>1839</v>
      </c>
      <c r="H590" s="249">
        <v>50.0</v>
      </c>
      <c r="I590" s="479">
        <v>0.0024423602969910123</v>
      </c>
      <c r="K590" s="249"/>
      <c r="L590" s="480"/>
      <c r="M590" s="481"/>
      <c r="O590" s="492" t="str">
        <f>IFERROR(__xludf.DUMMYFUNCTION("""COMPUTED_VALUE"""),"Cannon Fort - Powder 1★ #116")</f>
        <v>Cannon Fort - Powder 1★ #116</v>
      </c>
      <c r="P590" s="249">
        <f>IFERROR(__xludf.DUMMYFUNCTION("""COMPUTED_VALUE"""),50.0)</f>
        <v>50</v>
      </c>
      <c r="Q590" s="481"/>
    </row>
    <row r="591" ht="12.75" customHeight="1">
      <c r="G591" s="480" t="s">
        <v>1840</v>
      </c>
      <c r="H591" s="249">
        <v>50.0</v>
      </c>
      <c r="I591" s="479">
        <v>0.0024423602969910123</v>
      </c>
      <c r="K591" s="249"/>
      <c r="L591" s="480"/>
      <c r="M591" s="481"/>
      <c r="O591" s="492" t="str">
        <f>IFERROR(__xludf.DUMMYFUNCTION("""COMPUTED_VALUE"""),"Cannon Fort - Powder 1★ #BCB")</f>
        <v>Cannon Fort - Powder 1★ #BCB</v>
      </c>
      <c r="P591" s="249">
        <f>IFERROR(__xludf.DUMMYFUNCTION("""COMPUTED_VALUE"""),50.0)</f>
        <v>50</v>
      </c>
      <c r="Q591" s="481"/>
    </row>
    <row r="592" ht="12.75" customHeight="1">
      <c r="G592" s="480" t="s">
        <v>1841</v>
      </c>
      <c r="H592" s="249">
        <v>20.0</v>
      </c>
      <c r="I592" s="479">
        <v>9.769441187964048E-4</v>
      </c>
      <c r="K592" s="249"/>
      <c r="L592" s="480"/>
      <c r="M592" s="481"/>
      <c r="O592" s="492" t="str">
        <f>IFERROR(__xludf.DUMMYFUNCTION("""COMPUTED_VALUE"""),"Cannon Fort - Fuse 2★ #680")</f>
        <v>Cannon Fort - Fuse 2★ #680</v>
      </c>
      <c r="P592" s="249">
        <f>IFERROR(__xludf.DUMMYFUNCTION("""COMPUTED_VALUE"""),20.0)</f>
        <v>20</v>
      </c>
      <c r="Q592" s="481"/>
    </row>
    <row r="593" ht="12.75" customHeight="1">
      <c r="G593" s="480" t="s">
        <v>1842</v>
      </c>
      <c r="H593" s="249">
        <v>20.0</v>
      </c>
      <c r="I593" s="479">
        <v>9.769441187964048E-4</v>
      </c>
      <c r="K593" s="249"/>
      <c r="L593" s="480"/>
      <c r="M593" s="481"/>
      <c r="O593" s="492" t="str">
        <f>IFERROR(__xludf.DUMMYFUNCTION("""COMPUTED_VALUE"""),"Cannon Fort - Fuse 2★ #135")</f>
        <v>Cannon Fort - Fuse 2★ #135</v>
      </c>
      <c r="P593" s="249">
        <f>IFERROR(__xludf.DUMMYFUNCTION("""COMPUTED_VALUE"""),20.0)</f>
        <v>20</v>
      </c>
      <c r="Q593" s="481"/>
    </row>
    <row r="594" ht="12.75" customHeight="1">
      <c r="G594" s="480" t="s">
        <v>1843</v>
      </c>
      <c r="H594" s="249">
        <v>20.0</v>
      </c>
      <c r="I594" s="479">
        <v>9.769441187964048E-4</v>
      </c>
      <c r="K594" s="249"/>
      <c r="L594" s="480"/>
      <c r="M594" s="481"/>
      <c r="O594" s="492" t="str">
        <f>IFERROR(__xludf.DUMMYFUNCTION("""COMPUTED_VALUE"""),"Cannon Fort - Fuse 2★ #BEA")</f>
        <v>Cannon Fort - Fuse 2★ #BEA</v>
      </c>
      <c r="P594" s="249">
        <f>IFERROR(__xludf.DUMMYFUNCTION("""COMPUTED_VALUE"""),20.0)</f>
        <v>20</v>
      </c>
      <c r="Q594" s="481"/>
    </row>
    <row r="595" ht="12.75" customHeight="1">
      <c r="G595" s="480" t="s">
        <v>1844</v>
      </c>
      <c r="H595" s="249">
        <v>20.0</v>
      </c>
      <c r="I595" s="479">
        <v>9.769441187964048E-4</v>
      </c>
      <c r="K595" s="249"/>
      <c r="L595" s="480"/>
      <c r="M595" s="481"/>
      <c r="O595" s="492" t="str">
        <f>IFERROR(__xludf.DUMMYFUNCTION("""COMPUTED_VALUE"""),"Cannon Fort - Fuse 2★ #69F")</f>
        <v>Cannon Fort - Fuse 2★ #69F</v>
      </c>
      <c r="P595" s="249">
        <f>IFERROR(__xludf.DUMMYFUNCTION("""COMPUTED_VALUE"""),20.0)</f>
        <v>20</v>
      </c>
      <c r="Q595" s="481"/>
    </row>
    <row r="596" ht="12.75" customHeight="1">
      <c r="G596" s="480" t="s">
        <v>1845</v>
      </c>
      <c r="H596" s="249">
        <v>20.0</v>
      </c>
      <c r="I596" s="479">
        <v>9.769441187964048E-4</v>
      </c>
      <c r="K596" s="249"/>
      <c r="L596" s="480"/>
      <c r="M596" s="481"/>
      <c r="O596" s="492" t="str">
        <f>IFERROR(__xludf.DUMMYFUNCTION("""COMPUTED_VALUE"""),"Cannon Fort - Fuse 2★ #154")</f>
        <v>Cannon Fort - Fuse 2★ #154</v>
      </c>
      <c r="P596" s="249">
        <f>IFERROR(__xludf.DUMMYFUNCTION("""COMPUTED_VALUE"""),20.0)</f>
        <v>20</v>
      </c>
      <c r="Q596" s="481"/>
    </row>
    <row r="597" ht="12.75" customHeight="1">
      <c r="G597" s="480" t="s">
        <v>1846</v>
      </c>
      <c r="H597" s="249">
        <v>20.0</v>
      </c>
      <c r="I597" s="479">
        <v>9.769441187964048E-4</v>
      </c>
      <c r="K597" s="249"/>
      <c r="L597" s="480"/>
      <c r="M597" s="481"/>
      <c r="O597" s="492" t="str">
        <f>IFERROR(__xludf.DUMMYFUNCTION("""COMPUTED_VALUE"""),"Cannon Fort - Fuse 2★ #C09")</f>
        <v>Cannon Fort - Fuse 2★ #C09</v>
      </c>
      <c r="P597" s="249">
        <f>IFERROR(__xludf.DUMMYFUNCTION("""COMPUTED_VALUE"""),20.0)</f>
        <v>20</v>
      </c>
      <c r="Q597" s="481"/>
    </row>
    <row r="598" ht="12.75" customHeight="1">
      <c r="G598" s="480" t="s">
        <v>1847</v>
      </c>
      <c r="H598" s="249">
        <v>20.0</v>
      </c>
      <c r="I598" s="479">
        <v>9.769441187964048E-4</v>
      </c>
      <c r="K598" s="249"/>
      <c r="L598" s="480"/>
      <c r="M598" s="481"/>
      <c r="O598" s="492" t="str">
        <f>IFERROR(__xludf.DUMMYFUNCTION("""COMPUTED_VALUE"""),"Cannon Fort - Fuse 2★ #6BE")</f>
        <v>Cannon Fort - Fuse 2★ #6BE</v>
      </c>
      <c r="P598" s="249">
        <f>IFERROR(__xludf.DUMMYFUNCTION("""COMPUTED_VALUE"""),20.0)</f>
        <v>20</v>
      </c>
      <c r="Q598" s="481"/>
    </row>
    <row r="599" ht="12.75" customHeight="1">
      <c r="G599" s="480" t="s">
        <v>1848</v>
      </c>
      <c r="H599" s="249">
        <v>20.0</v>
      </c>
      <c r="I599" s="479">
        <v>9.769441187964048E-4</v>
      </c>
      <c r="K599" s="249"/>
      <c r="L599" s="480"/>
      <c r="M599" s="481"/>
      <c r="O599" s="492" t="str">
        <f>IFERROR(__xludf.DUMMYFUNCTION("""COMPUTED_VALUE"""),"Cannon Fort - Fuse 2★ #173")</f>
        <v>Cannon Fort - Fuse 2★ #173</v>
      </c>
      <c r="P599" s="249">
        <f>IFERROR(__xludf.DUMMYFUNCTION("""COMPUTED_VALUE"""),20.0)</f>
        <v>20</v>
      </c>
      <c r="Q599" s="481"/>
    </row>
    <row r="600" ht="12.75" customHeight="1">
      <c r="G600" s="480" t="s">
        <v>1849</v>
      </c>
      <c r="H600" s="249">
        <v>20.0</v>
      </c>
      <c r="I600" s="479">
        <v>9.769441187964048E-4</v>
      </c>
      <c r="K600" s="249"/>
      <c r="L600" s="480"/>
      <c r="M600" s="481"/>
      <c r="O600" s="492" t="str">
        <f>IFERROR(__xludf.DUMMYFUNCTION("""COMPUTED_VALUE"""),"Cannon Fort - Fuse 2★ #C28")</f>
        <v>Cannon Fort - Fuse 2★ #C28</v>
      </c>
      <c r="P600" s="249">
        <f>IFERROR(__xludf.DUMMYFUNCTION("""COMPUTED_VALUE"""),20.0)</f>
        <v>20</v>
      </c>
      <c r="Q600" s="481"/>
    </row>
    <row r="601" ht="12.75" customHeight="1">
      <c r="G601" s="480" t="s">
        <v>1850</v>
      </c>
      <c r="H601" s="249">
        <v>20.0</v>
      </c>
      <c r="I601" s="479">
        <v>9.769441187964048E-4</v>
      </c>
      <c r="K601" s="249"/>
      <c r="L601" s="480"/>
      <c r="M601" s="481"/>
      <c r="O601" s="492" t="str">
        <f>IFERROR(__xludf.DUMMYFUNCTION("""COMPUTED_VALUE"""),"Cannon Fort - Fuse 2★ #6DD")</f>
        <v>Cannon Fort - Fuse 2★ #6DD</v>
      </c>
      <c r="P601" s="249">
        <f>IFERROR(__xludf.DUMMYFUNCTION("""COMPUTED_VALUE"""),20.0)</f>
        <v>20</v>
      </c>
      <c r="Q601" s="481"/>
    </row>
    <row r="602" ht="12.75" customHeight="1">
      <c r="G602" s="480" t="s">
        <v>1851</v>
      </c>
      <c r="H602" s="249">
        <v>20.0</v>
      </c>
      <c r="I602" s="479">
        <v>9.769441187964048E-4</v>
      </c>
      <c r="K602" s="249"/>
      <c r="L602" s="480"/>
      <c r="M602" s="481"/>
      <c r="O602" s="492" t="str">
        <f>IFERROR(__xludf.DUMMYFUNCTION("""COMPUTED_VALUE"""),"Cannon Fort - Fuse 2★ #192")</f>
        <v>Cannon Fort - Fuse 2★ #192</v>
      </c>
      <c r="P602" s="249">
        <f>IFERROR(__xludf.DUMMYFUNCTION("""COMPUTED_VALUE"""),20.0)</f>
        <v>20</v>
      </c>
      <c r="Q602" s="481"/>
    </row>
    <row r="603" ht="12.75" customHeight="1">
      <c r="G603" s="480" t="s">
        <v>1852</v>
      </c>
      <c r="H603" s="249">
        <v>20.0</v>
      </c>
      <c r="I603" s="479">
        <v>9.769441187964048E-4</v>
      </c>
      <c r="K603" s="249"/>
      <c r="L603" s="480"/>
      <c r="M603" s="481"/>
      <c r="O603" s="492" t="str">
        <f>IFERROR(__xludf.DUMMYFUNCTION("""COMPUTED_VALUE"""),"Cannon Fort - Fuse 2★ #C47")</f>
        <v>Cannon Fort - Fuse 2★ #C47</v>
      </c>
      <c r="P603" s="249">
        <f>IFERROR(__xludf.DUMMYFUNCTION("""COMPUTED_VALUE"""),20.0)</f>
        <v>20</v>
      </c>
      <c r="Q603" s="481"/>
    </row>
    <row r="604" ht="12.75" customHeight="1">
      <c r="G604" s="480" t="s">
        <v>1853</v>
      </c>
      <c r="H604" s="249">
        <v>20.0</v>
      </c>
      <c r="I604" s="479">
        <v>9.769441187964048E-4</v>
      </c>
      <c r="K604" s="249"/>
      <c r="L604" s="480"/>
      <c r="M604" s="481"/>
      <c r="O604" s="492" t="str">
        <f>IFERROR(__xludf.DUMMYFUNCTION("""COMPUTED_VALUE"""),"Cannon Fort - Ramrod 2★ #6FC")</f>
        <v>Cannon Fort - Ramrod 2★ #6FC</v>
      </c>
      <c r="P604" s="249">
        <f>IFERROR(__xludf.DUMMYFUNCTION("""COMPUTED_VALUE"""),20.0)</f>
        <v>20</v>
      </c>
      <c r="Q604" s="481"/>
    </row>
    <row r="605" ht="12.75" customHeight="1">
      <c r="G605" s="480" t="s">
        <v>1854</v>
      </c>
      <c r="H605" s="249">
        <v>20.0</v>
      </c>
      <c r="I605" s="479">
        <v>9.769441187964048E-4</v>
      </c>
      <c r="K605" s="249"/>
      <c r="L605" s="480"/>
      <c r="M605" s="481"/>
      <c r="O605" s="492" t="str">
        <f>IFERROR(__xludf.DUMMYFUNCTION("""COMPUTED_VALUE"""),"Cannon Fort - Ramrod 2★ #1B1")</f>
        <v>Cannon Fort - Ramrod 2★ #1B1</v>
      </c>
      <c r="P605" s="249">
        <f>IFERROR(__xludf.DUMMYFUNCTION("""COMPUTED_VALUE"""),20.0)</f>
        <v>20</v>
      </c>
      <c r="Q605" s="481"/>
    </row>
    <row r="606" ht="12.75" customHeight="1">
      <c r="G606" s="480" t="s">
        <v>1855</v>
      </c>
      <c r="H606" s="249">
        <v>20.0</v>
      </c>
      <c r="I606" s="479">
        <v>9.769441187964048E-4</v>
      </c>
      <c r="K606" s="249"/>
      <c r="L606" s="480"/>
      <c r="M606" s="481"/>
      <c r="O606" s="492" t="str">
        <f>IFERROR(__xludf.DUMMYFUNCTION("""COMPUTED_VALUE"""),"Cannon Fort - Ramrod 2★ #C66")</f>
        <v>Cannon Fort - Ramrod 2★ #C66</v>
      </c>
      <c r="P606" s="249">
        <f>IFERROR(__xludf.DUMMYFUNCTION("""COMPUTED_VALUE"""),20.0)</f>
        <v>20</v>
      </c>
      <c r="Q606" s="481"/>
    </row>
    <row r="607" ht="12.75" customHeight="1">
      <c r="G607" s="480" t="s">
        <v>1856</v>
      </c>
      <c r="H607" s="249">
        <v>20.0</v>
      </c>
      <c r="I607" s="479">
        <v>9.769441187964048E-4</v>
      </c>
      <c r="K607" s="249"/>
      <c r="L607" s="480"/>
      <c r="M607" s="481"/>
      <c r="O607" s="492" t="str">
        <f>IFERROR(__xludf.DUMMYFUNCTION("""COMPUTED_VALUE"""),"Cannon Fort - Ramrod 2★ #71B")</f>
        <v>Cannon Fort - Ramrod 2★ #71B</v>
      </c>
      <c r="P607" s="249">
        <f>IFERROR(__xludf.DUMMYFUNCTION("""COMPUTED_VALUE"""),20.0)</f>
        <v>20</v>
      </c>
      <c r="Q607" s="481"/>
    </row>
    <row r="608" ht="12.75" customHeight="1">
      <c r="G608" s="480" t="s">
        <v>1858</v>
      </c>
      <c r="H608" s="249">
        <v>20.0</v>
      </c>
      <c r="I608" s="479">
        <v>9.769441187964048E-4</v>
      </c>
      <c r="K608" s="249"/>
      <c r="L608" s="480"/>
      <c r="M608" s="481"/>
      <c r="O608" s="492" t="str">
        <f>IFERROR(__xludf.DUMMYFUNCTION("""COMPUTED_VALUE"""),"Cannon Fort - Ramrod 2★ #1D0")</f>
        <v>Cannon Fort - Ramrod 2★ #1D0</v>
      </c>
      <c r="P608" s="249">
        <f>IFERROR(__xludf.DUMMYFUNCTION("""COMPUTED_VALUE"""),20.0)</f>
        <v>20</v>
      </c>
      <c r="Q608" s="481"/>
    </row>
    <row r="609" ht="12.75" customHeight="1">
      <c r="G609" s="480" t="s">
        <v>1859</v>
      </c>
      <c r="H609" s="249">
        <v>20.0</v>
      </c>
      <c r="I609" s="479">
        <v>9.769441187964048E-4</v>
      </c>
      <c r="K609" s="249"/>
      <c r="L609" s="480"/>
      <c r="M609" s="481"/>
      <c r="O609" s="492" t="str">
        <f>IFERROR(__xludf.DUMMYFUNCTION("""COMPUTED_VALUE"""),"Cannon Fort - Ramrod 2★ #C85")</f>
        <v>Cannon Fort - Ramrod 2★ #C85</v>
      </c>
      <c r="P609" s="249">
        <f>IFERROR(__xludf.DUMMYFUNCTION("""COMPUTED_VALUE"""),20.0)</f>
        <v>20</v>
      </c>
      <c r="Q609" s="481"/>
    </row>
    <row r="610" ht="12.75" customHeight="1">
      <c r="G610" s="480" t="s">
        <v>1861</v>
      </c>
      <c r="H610" s="249">
        <v>20.0</v>
      </c>
      <c r="I610" s="479">
        <v>9.769441187964048E-4</v>
      </c>
      <c r="K610" s="249"/>
      <c r="L610" s="480"/>
      <c r="M610" s="481"/>
      <c r="O610" s="492" t="str">
        <f>IFERROR(__xludf.DUMMYFUNCTION("""COMPUTED_VALUE"""),"Cannon Fort - Ramrod 2★ #73A")</f>
        <v>Cannon Fort - Ramrod 2★ #73A</v>
      </c>
      <c r="P610" s="249">
        <f>IFERROR(__xludf.DUMMYFUNCTION("""COMPUTED_VALUE"""),20.0)</f>
        <v>20</v>
      </c>
      <c r="Q610" s="481"/>
    </row>
    <row r="611" ht="12.75" customHeight="1">
      <c r="G611" s="480" t="s">
        <v>1862</v>
      </c>
      <c r="H611" s="249">
        <v>20.0</v>
      </c>
      <c r="I611" s="479">
        <v>9.769441187964048E-4</v>
      </c>
      <c r="K611" s="249"/>
      <c r="L611" s="480"/>
      <c r="M611" s="481"/>
      <c r="O611" s="492" t="str">
        <f>IFERROR(__xludf.DUMMYFUNCTION("""COMPUTED_VALUE"""),"Cannon Fort - Ramrod 2★ #1EF")</f>
        <v>Cannon Fort - Ramrod 2★ #1EF</v>
      </c>
      <c r="P611" s="249">
        <f>IFERROR(__xludf.DUMMYFUNCTION("""COMPUTED_VALUE"""),20.0)</f>
        <v>20</v>
      </c>
      <c r="Q611" s="481"/>
    </row>
    <row r="612" ht="12.75" customHeight="1">
      <c r="G612" s="480" t="s">
        <v>1864</v>
      </c>
      <c r="H612" s="249">
        <v>20.0</v>
      </c>
      <c r="I612" s="479">
        <v>9.769441187964048E-4</v>
      </c>
      <c r="K612" s="249"/>
      <c r="L612" s="480"/>
      <c r="M612" s="481"/>
      <c r="O612" s="492" t="str">
        <f>IFERROR(__xludf.DUMMYFUNCTION("""COMPUTED_VALUE"""),"Cannon Fort - Ramrod 2★ #CA4")</f>
        <v>Cannon Fort - Ramrod 2★ #CA4</v>
      </c>
      <c r="P612" s="249">
        <f>IFERROR(__xludf.DUMMYFUNCTION("""COMPUTED_VALUE"""),20.0)</f>
        <v>20</v>
      </c>
      <c r="Q612" s="481"/>
    </row>
    <row r="613" ht="12.75" customHeight="1">
      <c r="G613" s="480" t="s">
        <v>1865</v>
      </c>
      <c r="H613" s="249">
        <v>20.0</v>
      </c>
      <c r="I613" s="479">
        <v>9.769441187964048E-4</v>
      </c>
      <c r="K613" s="249"/>
      <c r="L613" s="480"/>
      <c r="M613" s="481"/>
      <c r="O613" s="492" t="str">
        <f>IFERROR(__xludf.DUMMYFUNCTION("""COMPUTED_VALUE"""),"Cannon Fort - Ramrod 2★ #759")</f>
        <v>Cannon Fort - Ramrod 2★ #759</v>
      </c>
      <c r="P613" s="249">
        <f>IFERROR(__xludf.DUMMYFUNCTION("""COMPUTED_VALUE"""),20.0)</f>
        <v>20</v>
      </c>
      <c r="Q613" s="481"/>
    </row>
    <row r="614" ht="12.75" customHeight="1">
      <c r="G614" s="480" t="s">
        <v>1866</v>
      </c>
      <c r="H614" s="249">
        <v>20.0</v>
      </c>
      <c r="I614" s="479">
        <v>9.769441187964048E-4</v>
      </c>
      <c r="K614" s="249"/>
      <c r="L614" s="480"/>
      <c r="M614" s="481"/>
      <c r="O614" s="492" t="str">
        <f>IFERROR(__xludf.DUMMYFUNCTION("""COMPUTED_VALUE"""),"Cannon Fort - Ramrod 2★ #20E")</f>
        <v>Cannon Fort - Ramrod 2★ #20E</v>
      </c>
      <c r="P614" s="249">
        <f>IFERROR(__xludf.DUMMYFUNCTION("""COMPUTED_VALUE"""),20.0)</f>
        <v>20</v>
      </c>
      <c r="Q614" s="481"/>
    </row>
    <row r="615" ht="12.75" customHeight="1">
      <c r="G615" s="480" t="s">
        <v>1867</v>
      </c>
      <c r="H615" s="249">
        <v>20.0</v>
      </c>
      <c r="I615" s="479">
        <v>9.769441187964048E-4</v>
      </c>
      <c r="K615" s="249"/>
      <c r="L615" s="480"/>
      <c r="M615" s="481"/>
      <c r="O615" s="492" t="str">
        <f>IFERROR(__xludf.DUMMYFUNCTION("""COMPUTED_VALUE"""),"Cannon Fort - Ramrod 2★ #CC3")</f>
        <v>Cannon Fort - Ramrod 2★ #CC3</v>
      </c>
      <c r="P615" s="249">
        <f>IFERROR(__xludf.DUMMYFUNCTION("""COMPUTED_VALUE"""),20.0)</f>
        <v>20</v>
      </c>
      <c r="Q615" s="481"/>
    </row>
    <row r="616" ht="12.75" customHeight="1">
      <c r="G616" s="480" t="s">
        <v>1868</v>
      </c>
      <c r="H616" s="249">
        <v>10.0</v>
      </c>
      <c r="I616" s="479">
        <v>4.884720593982024E-4</v>
      </c>
      <c r="K616" s="249"/>
      <c r="L616" s="480"/>
      <c r="M616" s="481"/>
      <c r="O616" s="492" t="str">
        <f>IFERROR(__xludf.DUMMYFUNCTION("""COMPUTED_VALUE"""),"Cannon Fort - War Flag 3★ #778")</f>
        <v>Cannon Fort - War Flag 3★ #778</v>
      </c>
      <c r="P616" s="249">
        <f>IFERROR(__xludf.DUMMYFUNCTION("""COMPUTED_VALUE"""),10.0)</f>
        <v>10</v>
      </c>
      <c r="Q616" s="481"/>
    </row>
    <row r="617" ht="12.75" customHeight="1">
      <c r="G617" s="480" t="s">
        <v>1870</v>
      </c>
      <c r="H617" s="249">
        <v>10.0</v>
      </c>
      <c r="I617" s="479">
        <v>4.884720593982024E-4</v>
      </c>
      <c r="K617" s="249"/>
      <c r="L617" s="480"/>
      <c r="M617" s="481"/>
      <c r="O617" s="492" t="str">
        <f>IFERROR(__xludf.DUMMYFUNCTION("""COMPUTED_VALUE"""),"Cannon Fort - War Flag 3★ #22D")</f>
        <v>Cannon Fort - War Flag 3★ #22D</v>
      </c>
      <c r="P617" s="249">
        <f>IFERROR(__xludf.DUMMYFUNCTION("""COMPUTED_VALUE"""),10.0)</f>
        <v>10</v>
      </c>
      <c r="Q617" s="481"/>
    </row>
    <row r="618" ht="12.75" customHeight="1">
      <c r="G618" s="480" t="s">
        <v>1871</v>
      </c>
      <c r="H618" s="249">
        <v>10.0</v>
      </c>
      <c r="I618" s="479">
        <v>4.884720593982024E-4</v>
      </c>
      <c r="K618" s="249"/>
      <c r="L618" s="480"/>
      <c r="M618" s="481"/>
      <c r="O618" s="492" t="str">
        <f>IFERROR(__xludf.DUMMYFUNCTION("""COMPUTED_VALUE"""),"Cannon Fort - War Flag 3★ #CE2")</f>
        <v>Cannon Fort - War Flag 3★ #CE2</v>
      </c>
      <c r="P618" s="249">
        <f>IFERROR(__xludf.DUMMYFUNCTION("""COMPUTED_VALUE"""),10.0)</f>
        <v>10</v>
      </c>
      <c r="Q618" s="481"/>
    </row>
    <row r="619" ht="12.75" customHeight="1">
      <c r="G619" s="480" t="s">
        <v>1872</v>
      </c>
      <c r="H619" s="249">
        <v>10.0</v>
      </c>
      <c r="I619" s="479">
        <v>4.884720593982024E-4</v>
      </c>
      <c r="K619" s="249"/>
      <c r="L619" s="480"/>
      <c r="M619" s="481"/>
      <c r="O619" s="492" t="str">
        <f>IFERROR(__xludf.DUMMYFUNCTION("""COMPUTED_VALUE"""),"Cannon Fort - War Flag 3★ #797")</f>
        <v>Cannon Fort - War Flag 3★ #797</v>
      </c>
      <c r="P619" s="249">
        <f>IFERROR(__xludf.DUMMYFUNCTION("""COMPUTED_VALUE"""),10.0)</f>
        <v>10</v>
      </c>
      <c r="Q619" s="481"/>
    </row>
    <row r="620" ht="12.75" customHeight="1">
      <c r="G620" s="480" t="s">
        <v>1873</v>
      </c>
      <c r="H620" s="249">
        <v>10.0</v>
      </c>
      <c r="I620" s="479">
        <v>4.884720593982024E-4</v>
      </c>
      <c r="K620" s="249"/>
      <c r="L620" s="480"/>
      <c r="M620" s="481"/>
      <c r="O620" s="492" t="str">
        <f>IFERROR(__xludf.DUMMYFUNCTION("""COMPUTED_VALUE"""),"Cannon Fort - War Flag 3★ #24C")</f>
        <v>Cannon Fort - War Flag 3★ #24C</v>
      </c>
      <c r="P620" s="249">
        <f>IFERROR(__xludf.DUMMYFUNCTION("""COMPUTED_VALUE"""),10.0)</f>
        <v>10</v>
      </c>
      <c r="Q620" s="481"/>
    </row>
    <row r="621" ht="12.75" customHeight="1">
      <c r="G621" s="480" t="s">
        <v>1874</v>
      </c>
      <c r="H621" s="249">
        <v>10.0</v>
      </c>
      <c r="I621" s="479">
        <v>4.884720593982024E-4</v>
      </c>
      <c r="K621" s="249"/>
      <c r="L621" s="480"/>
      <c r="M621" s="481"/>
      <c r="O621" s="492" t="str">
        <f>IFERROR(__xludf.DUMMYFUNCTION("""COMPUTED_VALUE"""),"Cannon Fort - War Flag 3★ #D01")</f>
        <v>Cannon Fort - War Flag 3★ #D01</v>
      </c>
      <c r="P621" s="249">
        <f>IFERROR(__xludf.DUMMYFUNCTION("""COMPUTED_VALUE"""),10.0)</f>
        <v>10</v>
      </c>
      <c r="Q621" s="481"/>
    </row>
    <row r="622" ht="12.75" customHeight="1">
      <c r="G622" s="480" t="s">
        <v>1875</v>
      </c>
      <c r="H622" s="249">
        <v>10.0</v>
      </c>
      <c r="I622" s="479">
        <v>4.884720593982024E-4</v>
      </c>
      <c r="K622" s="249"/>
      <c r="L622" s="480"/>
      <c r="M622" s="481"/>
      <c r="O622" s="492" t="str">
        <f>IFERROR(__xludf.DUMMYFUNCTION("""COMPUTED_VALUE"""),"Cannon Fort - War Flag 3★ #7B6")</f>
        <v>Cannon Fort - War Flag 3★ #7B6</v>
      </c>
      <c r="P622" s="249">
        <f>IFERROR(__xludf.DUMMYFUNCTION("""COMPUTED_VALUE"""),10.0)</f>
        <v>10</v>
      </c>
      <c r="Q622" s="481"/>
    </row>
    <row r="623" ht="12.75" customHeight="1">
      <c r="G623" s="480" t="s">
        <v>1876</v>
      </c>
      <c r="H623" s="249">
        <v>10.0</v>
      </c>
      <c r="I623" s="479">
        <v>4.884720593982024E-4</v>
      </c>
      <c r="K623" s="249"/>
      <c r="L623" s="480"/>
      <c r="M623" s="481"/>
      <c r="O623" s="492" t="str">
        <f>IFERROR(__xludf.DUMMYFUNCTION("""COMPUTED_VALUE"""),"Cannon Fort - War Flag 3★ #26B")</f>
        <v>Cannon Fort - War Flag 3★ #26B</v>
      </c>
      <c r="P623" s="249">
        <f>IFERROR(__xludf.DUMMYFUNCTION("""COMPUTED_VALUE"""),10.0)</f>
        <v>10</v>
      </c>
      <c r="Q623" s="481"/>
    </row>
    <row r="624" ht="12.75" customHeight="1">
      <c r="G624" s="480" t="s">
        <v>1877</v>
      </c>
      <c r="H624" s="249">
        <v>10.0</v>
      </c>
      <c r="I624" s="479">
        <v>4.884720593982024E-4</v>
      </c>
      <c r="K624" s="249"/>
      <c r="L624" s="480"/>
      <c r="M624" s="481"/>
      <c r="O624" s="492" t="str">
        <f>IFERROR(__xludf.DUMMYFUNCTION("""COMPUTED_VALUE"""),"Cannon Fort - War Flag 3★ #D20")</f>
        <v>Cannon Fort - War Flag 3★ #D20</v>
      </c>
      <c r="P624" s="249">
        <f>IFERROR(__xludf.DUMMYFUNCTION("""COMPUTED_VALUE"""),10.0)</f>
        <v>10</v>
      </c>
      <c r="Q624" s="481"/>
    </row>
    <row r="625" ht="12.75" customHeight="1">
      <c r="G625" s="480" t="s">
        <v>1879</v>
      </c>
      <c r="H625" s="249">
        <v>10.0</v>
      </c>
      <c r="I625" s="479">
        <v>4.884720593982024E-4</v>
      </c>
      <c r="K625" s="249"/>
      <c r="L625" s="480"/>
      <c r="M625" s="481"/>
      <c r="O625" s="492" t="str">
        <f>IFERROR(__xludf.DUMMYFUNCTION("""COMPUTED_VALUE"""),"Cannon Fort - War Flag 3★ #7D5")</f>
        <v>Cannon Fort - War Flag 3★ #7D5</v>
      </c>
      <c r="P625" s="249">
        <f>IFERROR(__xludf.DUMMYFUNCTION("""COMPUTED_VALUE"""),10.0)</f>
        <v>10</v>
      </c>
      <c r="Q625" s="481"/>
    </row>
    <row r="626" ht="12.75" customHeight="1">
      <c r="G626" s="480" t="s">
        <v>1880</v>
      </c>
      <c r="H626" s="249">
        <v>10.0</v>
      </c>
      <c r="I626" s="479">
        <v>4.884720593982024E-4</v>
      </c>
      <c r="K626" s="249"/>
      <c r="L626" s="480"/>
      <c r="M626" s="481"/>
      <c r="O626" s="492" t="str">
        <f>IFERROR(__xludf.DUMMYFUNCTION("""COMPUTED_VALUE"""),"Cannon Fort - War Flag 3★ #28A")</f>
        <v>Cannon Fort - War Flag 3★ #28A</v>
      </c>
      <c r="P626" s="249">
        <f>IFERROR(__xludf.DUMMYFUNCTION("""COMPUTED_VALUE"""),10.0)</f>
        <v>10</v>
      </c>
      <c r="Q626" s="481"/>
    </row>
    <row r="627" ht="12.75" customHeight="1">
      <c r="G627" s="480" t="s">
        <v>1881</v>
      </c>
      <c r="H627" s="249">
        <v>10.0</v>
      </c>
      <c r="I627" s="479">
        <v>4.884720593982024E-4</v>
      </c>
      <c r="K627" s="249"/>
      <c r="L627" s="480"/>
      <c r="M627" s="481"/>
      <c r="O627" s="492" t="str">
        <f>IFERROR(__xludf.DUMMYFUNCTION("""COMPUTED_VALUE"""),"Cannon Fort - War Flag 3★ #D3F")</f>
        <v>Cannon Fort - War Flag 3★ #D3F</v>
      </c>
      <c r="P627" s="249">
        <f>IFERROR(__xludf.DUMMYFUNCTION("""COMPUTED_VALUE"""),10.0)</f>
        <v>10</v>
      </c>
      <c r="Q627" s="481"/>
    </row>
    <row r="628" ht="12.75" customHeight="1">
      <c r="G628" s="480" t="s">
        <v>1883</v>
      </c>
      <c r="H628" s="249">
        <v>10.0</v>
      </c>
      <c r="I628" s="479">
        <v>4.884720593982024E-4</v>
      </c>
      <c r="K628" s="249"/>
      <c r="L628" s="480"/>
      <c r="M628" s="481"/>
      <c r="O628" s="492" t="str">
        <f>IFERROR(__xludf.DUMMYFUNCTION("""COMPUTED_VALUE"""),"Cannon Fort - War Flag 3★ #7F4")</f>
        <v>Cannon Fort - War Flag 3★ #7F4</v>
      </c>
      <c r="P628" s="249">
        <f>IFERROR(__xludf.DUMMYFUNCTION("""COMPUTED_VALUE"""),10.0)</f>
        <v>10</v>
      </c>
      <c r="Q628" s="481"/>
    </row>
    <row r="629" ht="12.75" customHeight="1">
      <c r="G629" s="480" t="s">
        <v>1884</v>
      </c>
      <c r="H629" s="249">
        <v>5.0</v>
      </c>
      <c r="I629" s="479">
        <v>2.442360296991012E-4</v>
      </c>
      <c r="K629" s="249"/>
      <c r="L629" s="480"/>
      <c r="M629" s="481"/>
      <c r="O629" s="492" t="str">
        <f>IFERROR(__xludf.DUMMYFUNCTION("""COMPUTED_VALUE"""),"Cannon Fort - Tower 4★ #2A9")</f>
        <v>Cannon Fort - Tower 4★ #2A9</v>
      </c>
      <c r="P629" s="249">
        <f>IFERROR(__xludf.DUMMYFUNCTION("""COMPUTED_VALUE"""),5.0)</f>
        <v>5</v>
      </c>
      <c r="Q629" s="481"/>
    </row>
    <row r="630" ht="12.75" customHeight="1">
      <c r="G630" s="480" t="s">
        <v>1885</v>
      </c>
      <c r="H630" s="249">
        <v>5.0</v>
      </c>
      <c r="I630" s="479">
        <v>2.442360296991012E-4</v>
      </c>
      <c r="K630" s="249"/>
      <c r="L630" s="480"/>
      <c r="M630" s="481"/>
      <c r="O630" s="492" t="str">
        <f>IFERROR(__xludf.DUMMYFUNCTION("""COMPUTED_VALUE"""),"Cannon Fort - Tower 4★ #D5E")</f>
        <v>Cannon Fort - Tower 4★ #D5E</v>
      </c>
      <c r="P630" s="249">
        <f>IFERROR(__xludf.DUMMYFUNCTION("""COMPUTED_VALUE"""),5.0)</f>
        <v>5</v>
      </c>
      <c r="Q630" s="481"/>
    </row>
    <row r="631" ht="12.75" customHeight="1">
      <c r="G631" s="480" t="s">
        <v>1887</v>
      </c>
      <c r="H631" s="249">
        <v>5.0</v>
      </c>
      <c r="I631" s="479">
        <v>2.442360296991012E-4</v>
      </c>
      <c r="K631" s="249"/>
      <c r="L631" s="480"/>
      <c r="M631" s="481"/>
      <c r="O631" s="492" t="str">
        <f>IFERROR(__xludf.DUMMYFUNCTION("""COMPUTED_VALUE"""),"Cannon Fort - Tower 4★ #813")</f>
        <v>Cannon Fort - Tower 4★ #813</v>
      </c>
      <c r="P631" s="249">
        <f>IFERROR(__xludf.DUMMYFUNCTION("""COMPUTED_VALUE"""),5.0)</f>
        <v>5</v>
      </c>
      <c r="Q631" s="481"/>
    </row>
    <row r="632" ht="12.75" customHeight="1">
      <c r="G632" s="480" t="s">
        <v>1888</v>
      </c>
      <c r="H632" s="249">
        <v>5.0</v>
      </c>
      <c r="I632" s="479">
        <v>2.442360296991012E-4</v>
      </c>
      <c r="K632" s="249"/>
      <c r="L632" s="480"/>
      <c r="M632" s="481"/>
      <c r="O632" s="492" t="str">
        <f>IFERROR(__xludf.DUMMYFUNCTION("""COMPUTED_VALUE"""),"Cannon Fort - Tower 4★ #2C8")</f>
        <v>Cannon Fort - Tower 4★ #2C8</v>
      </c>
      <c r="P632" s="249">
        <f>IFERROR(__xludf.DUMMYFUNCTION("""COMPUTED_VALUE"""),5.0)</f>
        <v>5</v>
      </c>
      <c r="Q632" s="481"/>
    </row>
    <row r="633" ht="12.75" customHeight="1">
      <c r="G633" s="480" t="s">
        <v>1889</v>
      </c>
      <c r="H633" s="249">
        <v>5.0</v>
      </c>
      <c r="I633" s="479">
        <v>2.442360296991012E-4</v>
      </c>
      <c r="K633" s="249"/>
      <c r="L633" s="480"/>
      <c r="M633" s="481"/>
      <c r="O633" s="492" t="str">
        <f>IFERROR(__xludf.DUMMYFUNCTION("""COMPUTED_VALUE"""),"Cannon Fort - Tower 4★ #D7D")</f>
        <v>Cannon Fort - Tower 4★ #D7D</v>
      </c>
      <c r="P633" s="249">
        <f>IFERROR(__xludf.DUMMYFUNCTION("""COMPUTED_VALUE"""),5.0)</f>
        <v>5</v>
      </c>
      <c r="Q633" s="481"/>
    </row>
    <row r="634" ht="12.75" customHeight="1">
      <c r="G634" s="480" t="s">
        <v>1890</v>
      </c>
      <c r="H634" s="249">
        <v>5.0</v>
      </c>
      <c r="I634" s="479">
        <v>2.442360296991012E-4</v>
      </c>
      <c r="K634" s="249"/>
      <c r="L634" s="480"/>
      <c r="M634" s="481"/>
      <c r="O634" s="492" t="str">
        <f>IFERROR(__xludf.DUMMYFUNCTION("""COMPUTED_VALUE"""),"Cannon Fort - Tower 4★ #832")</f>
        <v>Cannon Fort - Tower 4★ #832</v>
      </c>
      <c r="P634" s="249">
        <f>IFERROR(__xludf.DUMMYFUNCTION("""COMPUTED_VALUE"""),5.0)</f>
        <v>5</v>
      </c>
      <c r="Q634" s="481"/>
    </row>
    <row r="635" ht="12.75" customHeight="1">
      <c r="G635" s="480" t="s">
        <v>1891</v>
      </c>
      <c r="H635" s="249">
        <v>5.0</v>
      </c>
      <c r="I635" s="479">
        <v>2.442360296991012E-4</v>
      </c>
      <c r="K635" s="249"/>
      <c r="L635" s="480"/>
      <c r="M635" s="481"/>
      <c r="O635" s="492" t="str">
        <f>IFERROR(__xludf.DUMMYFUNCTION("""COMPUTED_VALUE"""),"Cannon Fort - Tower 4★ #2E7")</f>
        <v>Cannon Fort - Tower 4★ #2E7</v>
      </c>
      <c r="P635" s="249">
        <f>IFERROR(__xludf.DUMMYFUNCTION("""COMPUTED_VALUE"""),5.0)</f>
        <v>5</v>
      </c>
      <c r="Q635" s="481"/>
    </row>
    <row r="636" ht="12.75" customHeight="1">
      <c r="G636" s="480" t="s">
        <v>1892</v>
      </c>
      <c r="H636" s="249">
        <v>5.0</v>
      </c>
      <c r="I636" s="479">
        <v>2.442360296991012E-4</v>
      </c>
      <c r="K636" s="249"/>
      <c r="L636" s="480"/>
      <c r="M636" s="481"/>
      <c r="O636" s="492" t="str">
        <f>IFERROR(__xludf.DUMMYFUNCTION("""COMPUTED_VALUE"""),"Cannon Fort - Tower 4★ #D9C")</f>
        <v>Cannon Fort - Tower 4★ #D9C</v>
      </c>
      <c r="P636" s="249">
        <f>IFERROR(__xludf.DUMMYFUNCTION("""COMPUTED_VALUE"""),5.0)</f>
        <v>5</v>
      </c>
      <c r="Q636" s="481"/>
    </row>
    <row r="637" ht="12.75" customHeight="1">
      <c r="G637" s="480" t="s">
        <v>1894</v>
      </c>
      <c r="H637" s="249">
        <v>5.0</v>
      </c>
      <c r="I637" s="479">
        <v>2.442360296991012E-4</v>
      </c>
      <c r="K637" s="249"/>
      <c r="L637" s="480"/>
      <c r="M637" s="481"/>
      <c r="O637" s="492" t="str">
        <f>IFERROR(__xludf.DUMMYFUNCTION("""COMPUTED_VALUE"""),"Cannon Fort - Tower 4★ #851")</f>
        <v>Cannon Fort - Tower 4★ #851</v>
      </c>
      <c r="P637" s="249">
        <f>IFERROR(__xludf.DUMMYFUNCTION("""COMPUTED_VALUE"""),5.0)</f>
        <v>5</v>
      </c>
      <c r="Q637" s="481"/>
    </row>
    <row r="638" ht="12.75" customHeight="1">
      <c r="G638" s="480" t="s">
        <v>1895</v>
      </c>
      <c r="H638" s="249">
        <v>5.0</v>
      </c>
      <c r="I638" s="479">
        <v>2.442360296991012E-4</v>
      </c>
      <c r="K638" s="249"/>
      <c r="L638" s="480"/>
      <c r="M638" s="481"/>
      <c r="O638" s="492" t="str">
        <f>IFERROR(__xludf.DUMMYFUNCTION("""COMPUTED_VALUE"""),"Cannon Fort - Tower 4★ #306")</f>
        <v>Cannon Fort - Tower 4★ #306</v>
      </c>
      <c r="P638" s="249">
        <f>IFERROR(__xludf.DUMMYFUNCTION("""COMPUTED_VALUE"""),5.0)</f>
        <v>5</v>
      </c>
      <c r="Q638" s="481"/>
    </row>
    <row r="639" ht="12.75" customHeight="1">
      <c r="G639" s="480" t="s">
        <v>1897</v>
      </c>
      <c r="H639" s="249">
        <v>5.0</v>
      </c>
      <c r="I639" s="479">
        <v>2.442360296991012E-4</v>
      </c>
      <c r="K639" s="249"/>
      <c r="L639" s="480"/>
      <c r="M639" s="481"/>
      <c r="O639" s="492" t="str">
        <f>IFERROR(__xludf.DUMMYFUNCTION("""COMPUTED_VALUE"""),"Cannon Fort - Tower 4★ #DBB")</f>
        <v>Cannon Fort - Tower 4★ #DBB</v>
      </c>
      <c r="P639" s="249">
        <f>IFERROR(__xludf.DUMMYFUNCTION("""COMPUTED_VALUE"""),5.0)</f>
        <v>5</v>
      </c>
      <c r="Q639" s="481"/>
    </row>
    <row r="640" ht="12.75" customHeight="1">
      <c r="G640" s="480" t="s">
        <v>1898</v>
      </c>
      <c r="H640" s="249">
        <v>2.0</v>
      </c>
      <c r="I640" s="479">
        <v>9.769441187964049E-5</v>
      </c>
      <c r="K640" s="249"/>
      <c r="L640" s="480"/>
      <c r="M640" s="481"/>
      <c r="O640" s="492" t="str">
        <f>IFERROR(__xludf.DUMMYFUNCTION("""COMPUTED_VALUE"""),"Cannon Fort - Bridge 5★ #870")</f>
        <v>Cannon Fort - Bridge 5★ #870</v>
      </c>
      <c r="P640" s="249">
        <f>IFERROR(__xludf.DUMMYFUNCTION("""COMPUTED_VALUE"""),2.0)</f>
        <v>2</v>
      </c>
      <c r="Q640" s="481"/>
    </row>
    <row r="641" ht="12.75" customHeight="1">
      <c r="G641" s="480" t="s">
        <v>1900</v>
      </c>
      <c r="H641" s="249">
        <v>2.0</v>
      </c>
      <c r="I641" s="479">
        <v>9.769441187964049E-5</v>
      </c>
      <c r="K641" s="249"/>
      <c r="L641" s="480"/>
      <c r="M641" s="481"/>
      <c r="O641" s="492" t="str">
        <f>IFERROR(__xludf.DUMMYFUNCTION("""COMPUTED_VALUE"""),"Cannon Fort - Bridge 5★ #325")</f>
        <v>Cannon Fort - Bridge 5★ #325</v>
      </c>
      <c r="P641" s="249">
        <f>IFERROR(__xludf.DUMMYFUNCTION("""COMPUTED_VALUE"""),2.0)</f>
        <v>2</v>
      </c>
      <c r="Q641" s="481"/>
    </row>
    <row r="642" ht="12.75" customHeight="1">
      <c r="G642" s="480" t="s">
        <v>1901</v>
      </c>
      <c r="H642" s="249">
        <v>2.0</v>
      </c>
      <c r="I642" s="479">
        <v>9.769441187964049E-5</v>
      </c>
      <c r="K642" s="249"/>
      <c r="L642" s="480"/>
      <c r="M642" s="481"/>
      <c r="O642" s="492" t="str">
        <f>IFERROR(__xludf.DUMMYFUNCTION("""COMPUTED_VALUE"""),"Cannon Fort - Bridge 5★ #DDA")</f>
        <v>Cannon Fort - Bridge 5★ #DDA</v>
      </c>
      <c r="P642" s="249">
        <f>IFERROR(__xludf.DUMMYFUNCTION("""COMPUTED_VALUE"""),2.0)</f>
        <v>2</v>
      </c>
      <c r="Q642" s="481"/>
    </row>
    <row r="643" ht="12.75" customHeight="1">
      <c r="G643" s="480" t="s">
        <v>1903</v>
      </c>
      <c r="H643" s="249">
        <v>2.0</v>
      </c>
      <c r="I643" s="479">
        <v>9.769441187964049E-5</v>
      </c>
      <c r="K643" s="249"/>
      <c r="L643" s="480"/>
      <c r="M643" s="481"/>
      <c r="O643" s="492" t="str">
        <f>IFERROR(__xludf.DUMMYFUNCTION("""COMPUTED_VALUE"""),"Cannon Fort - Bridge 5★ #88F")</f>
        <v>Cannon Fort - Bridge 5★ #88F</v>
      </c>
      <c r="P643" s="249">
        <f>IFERROR(__xludf.DUMMYFUNCTION("""COMPUTED_VALUE"""),2.0)</f>
        <v>2</v>
      </c>
      <c r="Q643" s="481"/>
    </row>
    <row r="644" ht="12.75" customHeight="1">
      <c r="G644" s="480" t="s">
        <v>1904</v>
      </c>
      <c r="H644" s="249">
        <v>2.0</v>
      </c>
      <c r="I644" s="479">
        <v>9.769441187964049E-5</v>
      </c>
      <c r="K644" s="249"/>
      <c r="L644" s="480"/>
      <c r="M644" s="481"/>
      <c r="O644" s="492" t="str">
        <f>IFERROR(__xludf.DUMMYFUNCTION("""COMPUTED_VALUE"""),"Cannon Fort - Bridge 5★ #344")</f>
        <v>Cannon Fort - Bridge 5★ #344</v>
      </c>
      <c r="P644" s="249">
        <f>IFERROR(__xludf.DUMMYFUNCTION("""COMPUTED_VALUE"""),2.0)</f>
        <v>2</v>
      </c>
      <c r="Q644" s="481"/>
    </row>
    <row r="645" ht="12.75" customHeight="1">
      <c r="G645" s="480" t="s">
        <v>1905</v>
      </c>
      <c r="H645" s="249">
        <v>2.0</v>
      </c>
      <c r="I645" s="479">
        <v>9.769441187964049E-5</v>
      </c>
      <c r="K645" s="249"/>
      <c r="L645" s="480"/>
      <c r="M645" s="481"/>
      <c r="O645" s="492" t="str">
        <f>IFERROR(__xludf.DUMMYFUNCTION("""COMPUTED_VALUE"""),"Cannon Fort - Catapult 5★ #DF9")</f>
        <v>Cannon Fort - Catapult 5★ #DF9</v>
      </c>
      <c r="P645" s="249">
        <f>IFERROR(__xludf.DUMMYFUNCTION("""COMPUTED_VALUE"""),2.0)</f>
        <v>2</v>
      </c>
      <c r="Q645" s="481"/>
    </row>
    <row r="646" ht="12.75" customHeight="1">
      <c r="G646" s="480" t="s">
        <v>1906</v>
      </c>
      <c r="H646" s="249">
        <v>2.0</v>
      </c>
      <c r="I646" s="479">
        <v>9.769441187964049E-5</v>
      </c>
      <c r="K646" s="249"/>
      <c r="L646" s="480"/>
      <c r="M646" s="481"/>
      <c r="O646" s="492" t="str">
        <f>IFERROR(__xludf.DUMMYFUNCTION("""COMPUTED_VALUE"""),"Cannon Fort - Catapult 5★ #8AE")</f>
        <v>Cannon Fort - Catapult 5★ #8AE</v>
      </c>
      <c r="P646" s="249">
        <f>IFERROR(__xludf.DUMMYFUNCTION("""COMPUTED_VALUE"""),2.0)</f>
        <v>2</v>
      </c>
      <c r="Q646" s="481"/>
    </row>
    <row r="647" ht="12.75" customHeight="1">
      <c r="G647" s="480" t="s">
        <v>1907</v>
      </c>
      <c r="H647" s="249">
        <v>2.0</v>
      </c>
      <c r="I647" s="479">
        <v>9.769441187964049E-5</v>
      </c>
      <c r="K647" s="249"/>
      <c r="L647" s="480"/>
      <c r="M647" s="481"/>
      <c r="O647" s="492" t="str">
        <f>IFERROR(__xludf.DUMMYFUNCTION("""COMPUTED_VALUE"""),"Cannon Fort - Catapult 5★ #363")</f>
        <v>Cannon Fort - Catapult 5★ #363</v>
      </c>
      <c r="P647" s="249">
        <f>IFERROR(__xludf.DUMMYFUNCTION("""COMPUTED_VALUE"""),2.0)</f>
        <v>2</v>
      </c>
      <c r="Q647" s="481"/>
    </row>
    <row r="648" ht="12.75" customHeight="1">
      <c r="G648" s="480" t="s">
        <v>1909</v>
      </c>
      <c r="H648" s="249">
        <v>2.0</v>
      </c>
      <c r="I648" s="479">
        <v>9.769441187964049E-5</v>
      </c>
      <c r="K648" s="249"/>
      <c r="L648" s="480"/>
      <c r="M648" s="481"/>
      <c r="O648" s="492" t="str">
        <f>IFERROR(__xludf.DUMMYFUNCTION("""COMPUTED_VALUE"""),"Cannon Fort - Catapult 5★ #E18")</f>
        <v>Cannon Fort - Catapult 5★ #E18</v>
      </c>
      <c r="P648" s="249">
        <f>IFERROR(__xludf.DUMMYFUNCTION("""COMPUTED_VALUE"""),2.0)</f>
        <v>2</v>
      </c>
      <c r="Q648" s="481"/>
    </row>
    <row r="649" ht="12.75" customHeight="1">
      <c r="G649" s="480" t="s">
        <v>1910</v>
      </c>
      <c r="H649" s="249">
        <v>2.0</v>
      </c>
      <c r="I649" s="479">
        <v>9.769441187964049E-5</v>
      </c>
      <c r="K649" s="249"/>
      <c r="L649" s="480"/>
      <c r="M649" s="481"/>
      <c r="O649" s="492" t="str">
        <f>IFERROR(__xludf.DUMMYFUNCTION("""COMPUTED_VALUE"""),"Cannon Fort - Catapult 5★ #8CD")</f>
        <v>Cannon Fort - Catapult 5★ #8CD</v>
      </c>
      <c r="P649" s="249">
        <f>IFERROR(__xludf.DUMMYFUNCTION("""COMPUTED_VALUE"""),2.0)</f>
        <v>2</v>
      </c>
      <c r="Q649" s="481"/>
    </row>
    <row r="650" ht="12.75" customHeight="1">
      <c r="G650" s="480" t="s">
        <v>1911</v>
      </c>
      <c r="H650" s="249">
        <v>2.0</v>
      </c>
      <c r="I650" s="479">
        <v>9.769441187964049E-5</v>
      </c>
      <c r="K650" s="249"/>
      <c r="L650" s="480"/>
      <c r="M650" s="481"/>
      <c r="O650" s="492" t="str">
        <f>IFERROR(__xludf.DUMMYFUNCTION("""COMPUTED_VALUE"""),"Cannon Fort - Horn 5★ #382")</f>
        <v>Cannon Fort - Horn 5★ #382</v>
      </c>
      <c r="P650" s="249">
        <f>IFERROR(__xludf.DUMMYFUNCTION("""COMPUTED_VALUE"""),2.0)</f>
        <v>2</v>
      </c>
      <c r="Q650" s="481"/>
    </row>
    <row r="651" ht="12.75" customHeight="1">
      <c r="G651" s="480" t="s">
        <v>1912</v>
      </c>
      <c r="H651" s="249">
        <v>2.0</v>
      </c>
      <c r="I651" s="479">
        <v>9.769441187964049E-5</v>
      </c>
      <c r="K651" s="249"/>
      <c r="L651" s="480"/>
      <c r="M651" s="481"/>
      <c r="O651" s="492" t="str">
        <f>IFERROR(__xludf.DUMMYFUNCTION("""COMPUTED_VALUE"""),"Cannon Fort - Horn 5★ #E37")</f>
        <v>Cannon Fort - Horn 5★ #E37</v>
      </c>
      <c r="P651" s="249">
        <f>IFERROR(__xludf.DUMMYFUNCTION("""COMPUTED_VALUE"""),2.0)</f>
        <v>2</v>
      </c>
      <c r="Q651" s="481"/>
    </row>
    <row r="652" ht="12.75" customHeight="1">
      <c r="G652" s="480" t="s">
        <v>1913</v>
      </c>
      <c r="H652" s="249">
        <v>2.0</v>
      </c>
      <c r="I652" s="479">
        <v>9.769441187964049E-5</v>
      </c>
      <c r="K652" s="249"/>
      <c r="L652" s="480"/>
      <c r="M652" s="481"/>
      <c r="O652" s="492" t="str">
        <f>IFERROR(__xludf.DUMMYFUNCTION("""COMPUTED_VALUE"""),"Cannon Fort - Horn 5★ #8EC")</f>
        <v>Cannon Fort - Horn 5★ #8EC</v>
      </c>
      <c r="P652" s="249">
        <f>IFERROR(__xludf.DUMMYFUNCTION("""COMPUTED_VALUE"""),2.0)</f>
        <v>2</v>
      </c>
      <c r="Q652" s="481"/>
    </row>
    <row r="653" ht="12.75" customHeight="1">
      <c r="G653" s="480" t="s">
        <v>1914</v>
      </c>
      <c r="H653" s="249">
        <v>2.0</v>
      </c>
      <c r="I653" s="479">
        <v>9.769441187964049E-5</v>
      </c>
      <c r="K653" s="249"/>
      <c r="L653" s="480"/>
      <c r="M653" s="481"/>
      <c r="O653" s="492" t="str">
        <f>IFERROR(__xludf.DUMMYFUNCTION("""COMPUTED_VALUE"""),"Cannon Fort - Horn 5★ #3A1")</f>
        <v>Cannon Fort - Horn 5★ #3A1</v>
      </c>
      <c r="P653" s="249">
        <f>IFERROR(__xludf.DUMMYFUNCTION("""COMPUTED_VALUE"""),2.0)</f>
        <v>2</v>
      </c>
      <c r="Q653" s="481"/>
    </row>
    <row r="654" ht="12.75" customHeight="1">
      <c r="G654" s="480" t="s">
        <v>1915</v>
      </c>
      <c r="H654" s="249">
        <v>2.0</v>
      </c>
      <c r="I654" s="479">
        <v>9.769441187964049E-5</v>
      </c>
      <c r="K654" s="249"/>
      <c r="L654" s="480"/>
      <c r="M654" s="481"/>
      <c r="O654" s="492" t="str">
        <f>IFERROR(__xludf.DUMMYFUNCTION("""COMPUTED_VALUE"""),"Cannon Fort - Horn 5★ #E56")</f>
        <v>Cannon Fort - Horn 5★ #E56</v>
      </c>
      <c r="P654" s="249">
        <f>IFERROR(__xludf.DUMMYFUNCTION("""COMPUTED_VALUE"""),2.0)</f>
        <v>2</v>
      </c>
      <c r="Q654" s="481"/>
    </row>
    <row r="655" ht="12.75" customHeight="1">
      <c r="G655" s="480" t="s">
        <v>1916</v>
      </c>
      <c r="H655" s="249">
        <v>50.0</v>
      </c>
      <c r="I655" s="479">
        <v>0.0024423602969910123</v>
      </c>
      <c r="K655" s="249"/>
      <c r="L655" s="480"/>
      <c r="M655" s="481"/>
      <c r="O655" s="492" t="str">
        <f>IFERROR(__xludf.DUMMYFUNCTION("""COMPUTED_VALUE"""),"Siren Reef - Harp 1★ #90B")</f>
        <v>Siren Reef - Harp 1★ #90B</v>
      </c>
      <c r="P655" s="249">
        <f>IFERROR(__xludf.DUMMYFUNCTION("""COMPUTED_VALUE"""),50.0)</f>
        <v>50</v>
      </c>
      <c r="Q655" s="481"/>
    </row>
    <row r="656" ht="12.75" customHeight="1">
      <c r="G656" s="480" t="s">
        <v>1917</v>
      </c>
      <c r="H656" s="249">
        <v>50.0</v>
      </c>
      <c r="I656" s="479">
        <v>0.0024423602969910123</v>
      </c>
      <c r="K656" s="249"/>
      <c r="L656" s="480"/>
      <c r="M656" s="481"/>
      <c r="O656" s="492" t="str">
        <f>IFERROR(__xludf.DUMMYFUNCTION("""COMPUTED_VALUE"""),"Siren Reef - Harp 1★ #3C0")</f>
        <v>Siren Reef - Harp 1★ #3C0</v>
      </c>
      <c r="P656" s="249">
        <f>IFERROR(__xludf.DUMMYFUNCTION("""COMPUTED_VALUE"""),50.0)</f>
        <v>50</v>
      </c>
      <c r="Q656" s="481"/>
    </row>
    <row r="657" ht="12.75" customHeight="1">
      <c r="G657" s="480" t="s">
        <v>1918</v>
      </c>
      <c r="H657" s="249">
        <v>50.0</v>
      </c>
      <c r="I657" s="479">
        <v>0.0024423602969910123</v>
      </c>
      <c r="K657" s="249"/>
      <c r="L657" s="480"/>
      <c r="M657" s="481"/>
      <c r="O657" s="492" t="str">
        <f>IFERROR(__xludf.DUMMYFUNCTION("""COMPUTED_VALUE"""),"Siren Reef - Harp 1★ #E75")</f>
        <v>Siren Reef - Harp 1★ #E75</v>
      </c>
      <c r="P657" s="249">
        <f>IFERROR(__xludf.DUMMYFUNCTION("""COMPUTED_VALUE"""),50.0)</f>
        <v>50</v>
      </c>
      <c r="Q657" s="481"/>
    </row>
    <row r="658" ht="12.75" customHeight="1">
      <c r="G658" s="480" t="s">
        <v>1919</v>
      </c>
      <c r="H658" s="249">
        <v>50.0</v>
      </c>
      <c r="I658" s="479">
        <v>0.0024423602969910123</v>
      </c>
      <c r="K658" s="249"/>
      <c r="L658" s="480"/>
      <c r="M658" s="481"/>
      <c r="O658" s="492" t="str">
        <f>IFERROR(__xludf.DUMMYFUNCTION("""COMPUTED_VALUE"""),"Siren Reef - Harp 1★ #92A")</f>
        <v>Siren Reef - Harp 1★ #92A</v>
      </c>
      <c r="P658" s="249">
        <f>IFERROR(__xludf.DUMMYFUNCTION("""COMPUTED_VALUE"""),50.0)</f>
        <v>50</v>
      </c>
      <c r="Q658" s="481"/>
    </row>
    <row r="659" ht="12.75" customHeight="1">
      <c r="G659" s="480" t="s">
        <v>1920</v>
      </c>
      <c r="H659" s="249">
        <v>50.0</v>
      </c>
      <c r="I659" s="479">
        <v>0.0024423602969910123</v>
      </c>
      <c r="K659" s="249"/>
      <c r="L659" s="480"/>
      <c r="M659" s="481"/>
      <c r="O659" s="492" t="str">
        <f>IFERROR(__xludf.DUMMYFUNCTION("""COMPUTED_VALUE"""),"Siren Reef - Harp 1★ #3DF")</f>
        <v>Siren Reef - Harp 1★ #3DF</v>
      </c>
      <c r="P659" s="249">
        <f>IFERROR(__xludf.DUMMYFUNCTION("""COMPUTED_VALUE"""),50.0)</f>
        <v>50</v>
      </c>
      <c r="Q659" s="481"/>
    </row>
    <row r="660" ht="12.75" customHeight="1">
      <c r="G660" s="480" t="s">
        <v>1921</v>
      </c>
      <c r="H660" s="249">
        <v>50.0</v>
      </c>
      <c r="I660" s="479">
        <v>0.0024423602969910123</v>
      </c>
      <c r="K660" s="249"/>
      <c r="L660" s="480"/>
      <c r="M660" s="481"/>
      <c r="O660" s="492" t="str">
        <f>IFERROR(__xludf.DUMMYFUNCTION("""COMPUTED_VALUE"""),"Siren Reef - Harp 1★ #E94")</f>
        <v>Siren Reef - Harp 1★ #E94</v>
      </c>
      <c r="P660" s="249">
        <f>IFERROR(__xludf.DUMMYFUNCTION("""COMPUTED_VALUE"""),50.0)</f>
        <v>50</v>
      </c>
      <c r="Q660" s="481"/>
    </row>
    <row r="661" ht="12.75" customHeight="1">
      <c r="G661" s="480" t="s">
        <v>1922</v>
      </c>
      <c r="H661" s="249">
        <v>50.0</v>
      </c>
      <c r="I661" s="479">
        <v>0.0024423602969910123</v>
      </c>
      <c r="K661" s="249"/>
      <c r="L661" s="480"/>
      <c r="M661" s="481"/>
      <c r="O661" s="492" t="str">
        <f>IFERROR(__xludf.DUMMYFUNCTION("""COMPUTED_VALUE"""),"Siren Reef - Harp 1★ #949")</f>
        <v>Siren Reef - Harp 1★ #949</v>
      </c>
      <c r="P661" s="249">
        <f>IFERROR(__xludf.DUMMYFUNCTION("""COMPUTED_VALUE"""),50.0)</f>
        <v>50</v>
      </c>
      <c r="Q661" s="481"/>
    </row>
    <row r="662" ht="12.75" customHeight="1">
      <c r="G662" s="480" t="s">
        <v>1923</v>
      </c>
      <c r="H662" s="249">
        <v>50.0</v>
      </c>
      <c r="I662" s="479">
        <v>0.0024423602969910123</v>
      </c>
      <c r="K662" s="249"/>
      <c r="L662" s="480"/>
      <c r="M662" s="481"/>
      <c r="O662" s="492" t="str">
        <f>IFERROR(__xludf.DUMMYFUNCTION("""COMPUTED_VALUE"""),"Siren Reef - Harp 1★ #3FE")</f>
        <v>Siren Reef - Harp 1★ #3FE</v>
      </c>
      <c r="P662" s="249">
        <f>IFERROR(__xludf.DUMMYFUNCTION("""COMPUTED_VALUE"""),50.0)</f>
        <v>50</v>
      </c>
      <c r="Q662" s="481"/>
    </row>
    <row r="663" ht="12.75" customHeight="1">
      <c r="G663" s="480" t="s">
        <v>1924</v>
      </c>
      <c r="H663" s="249">
        <v>50.0</v>
      </c>
      <c r="I663" s="479">
        <v>0.0024423602969910123</v>
      </c>
      <c r="K663" s="249"/>
      <c r="L663" s="480"/>
      <c r="M663" s="481"/>
      <c r="O663" s="492" t="str">
        <f>IFERROR(__xludf.DUMMYFUNCTION("""COMPUTED_VALUE"""),"Siren Reef - Harp 1★ #EB3")</f>
        <v>Siren Reef - Harp 1★ #EB3</v>
      </c>
      <c r="P663" s="249">
        <f>IFERROR(__xludf.DUMMYFUNCTION("""COMPUTED_VALUE"""),50.0)</f>
        <v>50</v>
      </c>
      <c r="Q663" s="481"/>
    </row>
    <row r="664" ht="12.75" customHeight="1">
      <c r="G664" s="480" t="s">
        <v>1925</v>
      </c>
      <c r="H664" s="249">
        <v>50.0</v>
      </c>
      <c r="I664" s="479">
        <v>0.0024423602969910123</v>
      </c>
      <c r="K664" s="249"/>
      <c r="L664" s="480"/>
      <c r="M664" s="481"/>
      <c r="O664" s="492" t="str">
        <f>IFERROR(__xludf.DUMMYFUNCTION("""COMPUTED_VALUE"""),"Siren Reef - Harp 1★ #968")</f>
        <v>Siren Reef - Harp 1★ #968</v>
      </c>
      <c r="P664" s="249">
        <f>IFERROR(__xludf.DUMMYFUNCTION("""COMPUTED_VALUE"""),50.0)</f>
        <v>50</v>
      </c>
      <c r="Q664" s="481"/>
    </row>
    <row r="665" ht="12.75" customHeight="1">
      <c r="G665" s="480" t="s">
        <v>1927</v>
      </c>
      <c r="H665" s="249">
        <v>50.0</v>
      </c>
      <c r="I665" s="479">
        <v>0.0024423602969910123</v>
      </c>
      <c r="K665" s="249"/>
      <c r="L665" s="480"/>
      <c r="M665" s="481"/>
      <c r="O665" s="492" t="str">
        <f>IFERROR(__xludf.DUMMYFUNCTION("""COMPUTED_VALUE"""),"Siren Reef - Harp 1★ #41D")</f>
        <v>Siren Reef - Harp 1★ #41D</v>
      </c>
      <c r="P665" s="249">
        <f>IFERROR(__xludf.DUMMYFUNCTION("""COMPUTED_VALUE"""),50.0)</f>
        <v>50</v>
      </c>
      <c r="Q665" s="481"/>
    </row>
    <row r="666" ht="12.75" customHeight="1">
      <c r="G666" s="480" t="s">
        <v>1928</v>
      </c>
      <c r="H666" s="249">
        <v>50.0</v>
      </c>
      <c r="I666" s="479">
        <v>0.0024423602969910123</v>
      </c>
      <c r="K666" s="249"/>
      <c r="L666" s="480"/>
      <c r="M666" s="481"/>
      <c r="O666" s="492" t="str">
        <f>IFERROR(__xludf.DUMMYFUNCTION("""COMPUTED_VALUE"""),"Siren Reef - Harp 1★ #ED2")</f>
        <v>Siren Reef - Harp 1★ #ED2</v>
      </c>
      <c r="P666" s="249">
        <f>IFERROR(__xludf.DUMMYFUNCTION("""COMPUTED_VALUE"""),50.0)</f>
        <v>50</v>
      </c>
      <c r="Q666" s="481"/>
    </row>
    <row r="667" ht="12.75" customHeight="1">
      <c r="G667" s="480" t="s">
        <v>1929</v>
      </c>
      <c r="H667" s="249">
        <v>50.0</v>
      </c>
      <c r="I667" s="479">
        <v>0.0024423602969910123</v>
      </c>
      <c r="K667" s="249"/>
      <c r="L667" s="480"/>
      <c r="M667" s="481"/>
      <c r="O667" s="492" t="str">
        <f>IFERROR(__xludf.DUMMYFUNCTION("""COMPUTED_VALUE"""),"Siren Reef - Harp 1★ #987")</f>
        <v>Siren Reef - Harp 1★ #987</v>
      </c>
      <c r="P667" s="249">
        <f>IFERROR(__xludf.DUMMYFUNCTION("""COMPUTED_VALUE"""),50.0)</f>
        <v>50</v>
      </c>
      <c r="Q667" s="481"/>
    </row>
    <row r="668" ht="12.75" customHeight="1">
      <c r="G668" s="480" t="s">
        <v>1930</v>
      </c>
      <c r="H668" s="249">
        <v>50.0</v>
      </c>
      <c r="I668" s="479">
        <v>0.0024423602969910123</v>
      </c>
      <c r="K668" s="249"/>
      <c r="L668" s="480"/>
      <c r="M668" s="481"/>
      <c r="O668" s="492" t="str">
        <f>IFERROR(__xludf.DUMMYFUNCTION("""COMPUTED_VALUE"""),"Siren Reef - Mirror 1★ #43C")</f>
        <v>Siren Reef - Mirror 1★ #43C</v>
      </c>
      <c r="P668" s="249">
        <f>IFERROR(__xludf.DUMMYFUNCTION("""COMPUTED_VALUE"""),50.0)</f>
        <v>50</v>
      </c>
      <c r="Q668" s="481"/>
    </row>
    <row r="669" ht="12.75" customHeight="1">
      <c r="G669" s="480" t="s">
        <v>1931</v>
      </c>
      <c r="H669" s="249">
        <v>50.0</v>
      </c>
      <c r="I669" s="479">
        <v>0.0024423602969910123</v>
      </c>
      <c r="K669" s="249"/>
      <c r="L669" s="480"/>
      <c r="M669" s="481"/>
      <c r="O669" s="492" t="str">
        <f>IFERROR(__xludf.DUMMYFUNCTION("""COMPUTED_VALUE"""),"Siren Reef - Mirror 1★ #EF1")</f>
        <v>Siren Reef - Mirror 1★ #EF1</v>
      </c>
      <c r="P669" s="249">
        <f>IFERROR(__xludf.DUMMYFUNCTION("""COMPUTED_VALUE"""),50.0)</f>
        <v>50</v>
      </c>
      <c r="Q669" s="481"/>
    </row>
    <row r="670" ht="12.75" customHeight="1">
      <c r="G670" s="480" t="s">
        <v>1932</v>
      </c>
      <c r="H670" s="249">
        <v>50.0</v>
      </c>
      <c r="I670" s="479">
        <v>0.0024423602969910123</v>
      </c>
      <c r="K670" s="249"/>
      <c r="L670" s="480"/>
      <c r="M670" s="481"/>
      <c r="O670" s="492" t="str">
        <f>IFERROR(__xludf.DUMMYFUNCTION("""COMPUTED_VALUE"""),"Siren Reef - Mirror 1★ #9A6")</f>
        <v>Siren Reef - Mirror 1★ #9A6</v>
      </c>
      <c r="P670" s="249">
        <f>IFERROR(__xludf.DUMMYFUNCTION("""COMPUTED_VALUE"""),50.0)</f>
        <v>50</v>
      </c>
      <c r="Q670" s="481"/>
    </row>
    <row r="671" ht="12.75" customHeight="1">
      <c r="G671" s="480" t="s">
        <v>1933</v>
      </c>
      <c r="H671" s="249">
        <v>50.0</v>
      </c>
      <c r="I671" s="479">
        <v>0.0024423602969910123</v>
      </c>
      <c r="K671" s="249"/>
      <c r="L671" s="480"/>
      <c r="M671" s="481"/>
      <c r="O671" s="492" t="str">
        <f>IFERROR(__xludf.DUMMYFUNCTION("""COMPUTED_VALUE"""),"Siren Reef - Mirror 1★ #45B")</f>
        <v>Siren Reef - Mirror 1★ #45B</v>
      </c>
      <c r="P671" s="249">
        <f>IFERROR(__xludf.DUMMYFUNCTION("""COMPUTED_VALUE"""),50.0)</f>
        <v>50</v>
      </c>
      <c r="Q671" s="481"/>
    </row>
    <row r="672" ht="12.75" customHeight="1">
      <c r="G672" s="480" t="s">
        <v>1934</v>
      </c>
      <c r="H672" s="249">
        <v>50.0</v>
      </c>
      <c r="I672" s="479">
        <v>0.0024423602969910123</v>
      </c>
      <c r="K672" s="249"/>
      <c r="L672" s="480"/>
      <c r="M672" s="481"/>
      <c r="O672" s="492" t="str">
        <f>IFERROR(__xludf.DUMMYFUNCTION("""COMPUTED_VALUE"""),"Siren Reef - Mirror 1★ #F10")</f>
        <v>Siren Reef - Mirror 1★ #F10</v>
      </c>
      <c r="P672" s="249">
        <f>IFERROR(__xludf.DUMMYFUNCTION("""COMPUTED_VALUE"""),50.0)</f>
        <v>50</v>
      </c>
      <c r="Q672" s="481"/>
    </row>
    <row r="673" ht="12.75" customHeight="1">
      <c r="G673" s="480" t="s">
        <v>1935</v>
      </c>
      <c r="H673" s="249">
        <v>50.0</v>
      </c>
      <c r="I673" s="479">
        <v>0.0024423602969910123</v>
      </c>
      <c r="K673" s="249"/>
      <c r="L673" s="480"/>
      <c r="M673" s="481"/>
      <c r="O673" s="492" t="str">
        <f>IFERROR(__xludf.DUMMYFUNCTION("""COMPUTED_VALUE"""),"Siren Reef - Mirror 1★ #9C5")</f>
        <v>Siren Reef - Mirror 1★ #9C5</v>
      </c>
      <c r="P673" s="249">
        <f>IFERROR(__xludf.DUMMYFUNCTION("""COMPUTED_VALUE"""),50.0)</f>
        <v>50</v>
      </c>
      <c r="Q673" s="481"/>
    </row>
    <row r="674" ht="12.75" customHeight="1">
      <c r="G674" s="480" t="s">
        <v>1936</v>
      </c>
      <c r="H674" s="249">
        <v>50.0</v>
      </c>
      <c r="I674" s="479">
        <v>0.0024423602969910123</v>
      </c>
      <c r="K674" s="249"/>
      <c r="L674" s="480"/>
      <c r="M674" s="481"/>
      <c r="O674" s="492" t="str">
        <f>IFERROR(__xludf.DUMMYFUNCTION("""COMPUTED_VALUE"""),"Siren Reef - Mirror 1★ #47A")</f>
        <v>Siren Reef - Mirror 1★ #47A</v>
      </c>
      <c r="P674" s="249">
        <f>IFERROR(__xludf.DUMMYFUNCTION("""COMPUTED_VALUE"""),50.0)</f>
        <v>50</v>
      </c>
      <c r="Q674" s="481"/>
    </row>
    <row r="675" ht="12.75" customHeight="1">
      <c r="G675" s="480" t="s">
        <v>1937</v>
      </c>
      <c r="H675" s="249">
        <v>50.0</v>
      </c>
      <c r="I675" s="479">
        <v>0.0024423602969910123</v>
      </c>
      <c r="K675" s="249"/>
      <c r="L675" s="480"/>
      <c r="M675" s="481"/>
      <c r="O675" s="492" t="str">
        <f>IFERROR(__xludf.DUMMYFUNCTION("""COMPUTED_VALUE"""),"Siren Reef - Mirror 1★ #F2F")</f>
        <v>Siren Reef - Mirror 1★ #F2F</v>
      </c>
      <c r="P675" s="249">
        <f>IFERROR(__xludf.DUMMYFUNCTION("""COMPUTED_VALUE"""),50.0)</f>
        <v>50</v>
      </c>
      <c r="Q675" s="481"/>
    </row>
    <row r="676" ht="12.75" customHeight="1">
      <c r="G676" s="480" t="s">
        <v>1938</v>
      </c>
      <c r="H676" s="249">
        <v>50.0</v>
      </c>
      <c r="I676" s="479">
        <v>0.0024423602969910123</v>
      </c>
      <c r="K676" s="249"/>
      <c r="L676" s="480"/>
      <c r="M676" s="481"/>
      <c r="O676" s="492" t="str">
        <f>IFERROR(__xludf.DUMMYFUNCTION("""COMPUTED_VALUE"""),"Siren Reef - Mirror 1★ #9E4")</f>
        <v>Siren Reef - Mirror 1★ #9E4</v>
      </c>
      <c r="P676" s="249">
        <f>IFERROR(__xludf.DUMMYFUNCTION("""COMPUTED_VALUE"""),50.0)</f>
        <v>50</v>
      </c>
      <c r="Q676" s="481"/>
    </row>
    <row r="677" ht="12.75" customHeight="1">
      <c r="G677" s="480" t="s">
        <v>1939</v>
      </c>
      <c r="H677" s="249">
        <v>50.0</v>
      </c>
      <c r="I677" s="479">
        <v>0.0024423602969910123</v>
      </c>
      <c r="K677" s="249"/>
      <c r="L677" s="480"/>
      <c r="M677" s="481"/>
      <c r="O677" s="492" t="str">
        <f>IFERROR(__xludf.DUMMYFUNCTION("""COMPUTED_VALUE"""),"Siren Reef - Mirror 1★ #499")</f>
        <v>Siren Reef - Mirror 1★ #499</v>
      </c>
      <c r="P677" s="249">
        <f>IFERROR(__xludf.DUMMYFUNCTION("""COMPUTED_VALUE"""),50.0)</f>
        <v>50</v>
      </c>
      <c r="Q677" s="481"/>
    </row>
    <row r="678" ht="12.75" customHeight="1">
      <c r="G678" s="480" t="s">
        <v>1940</v>
      </c>
      <c r="H678" s="249">
        <v>50.0</v>
      </c>
      <c r="I678" s="479">
        <v>0.0024423602969910123</v>
      </c>
      <c r="K678" s="249"/>
      <c r="L678" s="480"/>
      <c r="M678" s="481"/>
      <c r="O678" s="492" t="str">
        <f>IFERROR(__xludf.DUMMYFUNCTION("""COMPUTED_VALUE"""),"Siren Reef - Mirror 1★ #F4E")</f>
        <v>Siren Reef - Mirror 1★ #F4E</v>
      </c>
      <c r="P678" s="249">
        <f>IFERROR(__xludf.DUMMYFUNCTION("""COMPUTED_VALUE"""),50.0)</f>
        <v>50</v>
      </c>
      <c r="Q678" s="481"/>
    </row>
    <row r="679" ht="12.75" customHeight="1">
      <c r="G679" s="480" t="s">
        <v>1941</v>
      </c>
      <c r="H679" s="249">
        <v>50.0</v>
      </c>
      <c r="I679" s="479">
        <v>0.0024423602969910123</v>
      </c>
      <c r="K679" s="249"/>
      <c r="L679" s="480"/>
      <c r="M679" s="481"/>
      <c r="O679" s="492" t="str">
        <f>IFERROR(__xludf.DUMMYFUNCTION("""COMPUTED_VALUE"""),"Siren Reef - Mirror 1★ #A03")</f>
        <v>Siren Reef - Mirror 1★ #A03</v>
      </c>
      <c r="P679" s="249">
        <f>IFERROR(__xludf.DUMMYFUNCTION("""COMPUTED_VALUE"""),50.0)</f>
        <v>50</v>
      </c>
      <c r="Q679" s="481"/>
    </row>
    <row r="680" ht="12.75" customHeight="1">
      <c r="G680" s="480" t="s">
        <v>1942</v>
      </c>
      <c r="H680" s="249">
        <v>50.0</v>
      </c>
      <c r="I680" s="479">
        <v>0.0024423602969910123</v>
      </c>
      <c r="K680" s="249"/>
      <c r="L680" s="480"/>
      <c r="M680" s="481"/>
      <c r="O680" s="492" t="str">
        <f>IFERROR(__xludf.DUMMYFUNCTION("""COMPUTED_VALUE"""),"Siren Reef - Mirror 1★ #4B8")</f>
        <v>Siren Reef - Mirror 1★ #4B8</v>
      </c>
      <c r="P680" s="249">
        <f>IFERROR(__xludf.DUMMYFUNCTION("""COMPUTED_VALUE"""),50.0)</f>
        <v>50</v>
      </c>
      <c r="Q680" s="481"/>
    </row>
    <row r="681" ht="12.75" customHeight="1">
      <c r="G681" s="480" t="s">
        <v>1943</v>
      </c>
      <c r="H681" s="249">
        <v>20.0</v>
      </c>
      <c r="I681" s="479">
        <v>9.769441187964048E-4</v>
      </c>
      <c r="K681" s="249"/>
      <c r="L681" s="480"/>
      <c r="M681" s="481"/>
      <c r="O681" s="492" t="str">
        <f>IFERROR(__xludf.DUMMYFUNCTION("""COMPUTED_VALUE"""),"Siren Reef - Comb 2★ #F6D")</f>
        <v>Siren Reef - Comb 2★ #F6D</v>
      </c>
      <c r="P681" s="249">
        <f>IFERROR(__xludf.DUMMYFUNCTION("""COMPUTED_VALUE"""),20.0)</f>
        <v>20</v>
      </c>
      <c r="Q681" s="481"/>
    </row>
    <row r="682" ht="12.75" customHeight="1">
      <c r="G682" s="480" t="s">
        <v>1944</v>
      </c>
      <c r="H682" s="249">
        <v>20.0</v>
      </c>
      <c r="I682" s="479">
        <v>9.769441187964048E-4</v>
      </c>
      <c r="K682" s="249"/>
      <c r="L682" s="480"/>
      <c r="M682" s="481"/>
      <c r="O682" s="492" t="str">
        <f>IFERROR(__xludf.DUMMYFUNCTION("""COMPUTED_VALUE"""),"Siren Reef - Comb 2★ #A22")</f>
        <v>Siren Reef - Comb 2★ #A22</v>
      </c>
      <c r="P682" s="249">
        <f>IFERROR(__xludf.DUMMYFUNCTION("""COMPUTED_VALUE"""),20.0)</f>
        <v>20</v>
      </c>
      <c r="Q682" s="481"/>
    </row>
    <row r="683" ht="12.75" customHeight="1">
      <c r="G683" s="480" t="s">
        <v>1945</v>
      </c>
      <c r="H683" s="249">
        <v>20.0</v>
      </c>
      <c r="I683" s="479">
        <v>9.769441187964048E-4</v>
      </c>
      <c r="K683" s="249"/>
      <c r="L683" s="480"/>
      <c r="M683" s="481"/>
      <c r="O683" s="492" t="str">
        <f>IFERROR(__xludf.DUMMYFUNCTION("""COMPUTED_VALUE"""),"Siren Reef - Comb 2★ #4D7")</f>
        <v>Siren Reef - Comb 2★ #4D7</v>
      </c>
      <c r="P683" s="249">
        <f>IFERROR(__xludf.DUMMYFUNCTION("""COMPUTED_VALUE"""),20.0)</f>
        <v>20</v>
      </c>
      <c r="Q683" s="481"/>
    </row>
    <row r="684" ht="12.75" customHeight="1">
      <c r="G684" s="480" t="s">
        <v>1946</v>
      </c>
      <c r="H684" s="249">
        <v>20.0</v>
      </c>
      <c r="I684" s="479">
        <v>9.769441187964048E-4</v>
      </c>
      <c r="K684" s="249"/>
      <c r="L684" s="480"/>
      <c r="M684" s="481"/>
      <c r="O684" s="492" t="str">
        <f>IFERROR(__xludf.DUMMYFUNCTION("""COMPUTED_VALUE"""),"Siren Reef - Comb 2★ #F8C")</f>
        <v>Siren Reef - Comb 2★ #F8C</v>
      </c>
      <c r="P684" s="249">
        <f>IFERROR(__xludf.DUMMYFUNCTION("""COMPUTED_VALUE"""),20.0)</f>
        <v>20</v>
      </c>
      <c r="Q684" s="481"/>
    </row>
    <row r="685" ht="12.75" customHeight="1">
      <c r="G685" s="480" t="s">
        <v>1947</v>
      </c>
      <c r="H685" s="249">
        <v>20.0</v>
      </c>
      <c r="I685" s="479">
        <v>9.769441187964048E-4</v>
      </c>
      <c r="K685" s="249"/>
      <c r="L685" s="480"/>
      <c r="M685" s="481"/>
      <c r="O685" s="492" t="str">
        <f>IFERROR(__xludf.DUMMYFUNCTION("""COMPUTED_VALUE"""),"Siren Reef - Comb 2★ #A41")</f>
        <v>Siren Reef - Comb 2★ #A41</v>
      </c>
      <c r="P685" s="249">
        <f>IFERROR(__xludf.DUMMYFUNCTION("""COMPUTED_VALUE"""),20.0)</f>
        <v>20</v>
      </c>
      <c r="Q685" s="481"/>
    </row>
    <row r="686" ht="12.75" customHeight="1">
      <c r="G686" s="480" t="s">
        <v>1948</v>
      </c>
      <c r="H686" s="249">
        <v>20.0</v>
      </c>
      <c r="I686" s="479">
        <v>9.769441187964048E-4</v>
      </c>
      <c r="K686" s="249"/>
      <c r="L686" s="480"/>
      <c r="M686" s="481"/>
      <c r="O686" s="492" t="str">
        <f>IFERROR(__xludf.DUMMYFUNCTION("""COMPUTED_VALUE"""),"Siren Reef - Comb 2★ #4F6")</f>
        <v>Siren Reef - Comb 2★ #4F6</v>
      </c>
      <c r="P686" s="249">
        <f>IFERROR(__xludf.DUMMYFUNCTION("""COMPUTED_VALUE"""),20.0)</f>
        <v>20</v>
      </c>
      <c r="Q686" s="481"/>
    </row>
    <row r="687" ht="12.75" customHeight="1">
      <c r="G687" s="480" t="s">
        <v>1949</v>
      </c>
      <c r="H687" s="249">
        <v>20.0</v>
      </c>
      <c r="I687" s="479">
        <v>9.769441187964048E-4</v>
      </c>
      <c r="K687" s="249"/>
      <c r="L687" s="480"/>
      <c r="M687" s="481"/>
      <c r="O687" s="492" t="str">
        <f>IFERROR(__xludf.DUMMYFUNCTION("""COMPUTED_VALUE"""),"Siren Reef - Comb 2★ #FAB")</f>
        <v>Siren Reef - Comb 2★ #FAB</v>
      </c>
      <c r="P687" s="249">
        <f>IFERROR(__xludf.DUMMYFUNCTION("""COMPUTED_VALUE"""),20.0)</f>
        <v>20</v>
      </c>
      <c r="Q687" s="481"/>
    </row>
    <row r="688" ht="12.75" customHeight="1">
      <c r="G688" s="480" t="s">
        <v>1950</v>
      </c>
      <c r="H688" s="249">
        <v>20.0</v>
      </c>
      <c r="I688" s="479">
        <v>9.769441187964048E-4</v>
      </c>
      <c r="K688" s="249"/>
      <c r="L688" s="480"/>
      <c r="M688" s="481"/>
      <c r="O688" s="492" t="str">
        <f>IFERROR(__xludf.DUMMYFUNCTION("""COMPUTED_VALUE"""),"Siren Reef - Comb 2★ #A60")</f>
        <v>Siren Reef - Comb 2★ #A60</v>
      </c>
      <c r="P688" s="249">
        <f>IFERROR(__xludf.DUMMYFUNCTION("""COMPUTED_VALUE"""),20.0)</f>
        <v>20</v>
      </c>
      <c r="Q688" s="481"/>
    </row>
    <row r="689" ht="12.75" customHeight="1">
      <c r="G689" s="480" t="s">
        <v>1951</v>
      </c>
      <c r="H689" s="249">
        <v>20.0</v>
      </c>
      <c r="I689" s="479">
        <v>9.769441187964048E-4</v>
      </c>
      <c r="K689" s="249"/>
      <c r="L689" s="480"/>
      <c r="M689" s="481"/>
      <c r="O689" s="492" t="str">
        <f>IFERROR(__xludf.DUMMYFUNCTION("""COMPUTED_VALUE"""),"Siren Reef - Comb 2★ #515")</f>
        <v>Siren Reef - Comb 2★ #515</v>
      </c>
      <c r="P689" s="249">
        <f>IFERROR(__xludf.DUMMYFUNCTION("""COMPUTED_VALUE"""),20.0)</f>
        <v>20</v>
      </c>
      <c r="Q689" s="481"/>
    </row>
    <row r="690" ht="12.75" customHeight="1">
      <c r="G690" s="480" t="s">
        <v>1952</v>
      </c>
      <c r="H690" s="249">
        <v>20.0</v>
      </c>
      <c r="I690" s="479">
        <v>9.769441187964048E-4</v>
      </c>
      <c r="K690" s="249"/>
      <c r="L690" s="480"/>
      <c r="M690" s="481"/>
      <c r="O690" s="492" t="str">
        <f>IFERROR(__xludf.DUMMYFUNCTION("""COMPUTED_VALUE"""),"Siren Reef - Comb 2★ #FCA")</f>
        <v>Siren Reef - Comb 2★ #FCA</v>
      </c>
      <c r="P690" s="249">
        <f>IFERROR(__xludf.DUMMYFUNCTION("""COMPUTED_VALUE"""),20.0)</f>
        <v>20</v>
      </c>
      <c r="Q690" s="481"/>
    </row>
    <row r="691" ht="12.75" customHeight="1">
      <c r="G691" s="480" t="s">
        <v>1953</v>
      </c>
      <c r="H691" s="249">
        <v>20.0</v>
      </c>
      <c r="I691" s="479">
        <v>9.769441187964048E-4</v>
      </c>
      <c r="K691" s="249"/>
      <c r="L691" s="480"/>
      <c r="M691" s="481"/>
      <c r="O691" s="492" t="str">
        <f>IFERROR(__xludf.DUMMYFUNCTION("""COMPUTED_VALUE"""),"Siren Reef - Comb 2★ #A7F")</f>
        <v>Siren Reef - Comb 2★ #A7F</v>
      </c>
      <c r="P691" s="249">
        <f>IFERROR(__xludf.DUMMYFUNCTION("""COMPUTED_VALUE"""),20.0)</f>
        <v>20</v>
      </c>
      <c r="Q691" s="481"/>
    </row>
    <row r="692" ht="12.75" customHeight="1">
      <c r="G692" s="480" t="s">
        <v>1954</v>
      </c>
      <c r="H692" s="249">
        <v>20.0</v>
      </c>
      <c r="I692" s="479">
        <v>9.769441187964048E-4</v>
      </c>
      <c r="K692" s="249"/>
      <c r="L692" s="480"/>
      <c r="M692" s="481"/>
      <c r="O692" s="492" t="str">
        <f>IFERROR(__xludf.DUMMYFUNCTION("""COMPUTED_VALUE"""),"Siren Reef - Comb 2★ #534")</f>
        <v>Siren Reef - Comb 2★ #534</v>
      </c>
      <c r="P692" s="249">
        <f>IFERROR(__xludf.DUMMYFUNCTION("""COMPUTED_VALUE"""),20.0)</f>
        <v>20</v>
      </c>
      <c r="Q692" s="481"/>
    </row>
    <row r="693" ht="12.75" customHeight="1">
      <c r="G693" s="480" t="s">
        <v>1955</v>
      </c>
      <c r="H693" s="249">
        <v>20.0</v>
      </c>
      <c r="I693" s="479">
        <v>9.769441187964048E-4</v>
      </c>
      <c r="K693" s="249"/>
      <c r="L693" s="480"/>
      <c r="M693" s="481"/>
      <c r="O693" s="492" t="str">
        <f>IFERROR(__xludf.DUMMYFUNCTION("""COMPUTED_VALUE"""),"Siren Reef - Witch 2★ #FE9")</f>
        <v>Siren Reef - Witch 2★ #FE9</v>
      </c>
      <c r="P693" s="249">
        <f>IFERROR(__xludf.DUMMYFUNCTION("""COMPUTED_VALUE"""),20.0)</f>
        <v>20</v>
      </c>
      <c r="Q693" s="481"/>
    </row>
    <row r="694" ht="12.75" customHeight="1">
      <c r="G694" s="480" t="s">
        <v>1956</v>
      </c>
      <c r="H694" s="249">
        <v>20.0</v>
      </c>
      <c r="I694" s="479">
        <v>9.769441187964048E-4</v>
      </c>
      <c r="K694" s="249"/>
      <c r="L694" s="480"/>
      <c r="M694" s="481"/>
      <c r="O694" s="492" t="str">
        <f>IFERROR(__xludf.DUMMYFUNCTION("""COMPUTED_VALUE"""),"Siren Reef - Witch 2★ #A9E")</f>
        <v>Siren Reef - Witch 2★ #A9E</v>
      </c>
      <c r="P694" s="249">
        <f>IFERROR(__xludf.DUMMYFUNCTION("""COMPUTED_VALUE"""),20.0)</f>
        <v>20</v>
      </c>
      <c r="Q694" s="481"/>
    </row>
    <row r="695" ht="12.75" customHeight="1">
      <c r="G695" s="480" t="s">
        <v>1957</v>
      </c>
      <c r="H695" s="249">
        <v>20.0</v>
      </c>
      <c r="I695" s="479">
        <v>9.769441187964048E-4</v>
      </c>
      <c r="K695" s="249"/>
      <c r="L695" s="480"/>
      <c r="M695" s="481"/>
      <c r="O695" s="492" t="str">
        <f>IFERROR(__xludf.DUMMYFUNCTION("""COMPUTED_VALUE"""),"Siren Reef - Witch 2★ #553")</f>
        <v>Siren Reef - Witch 2★ #553</v>
      </c>
      <c r="P695" s="249">
        <f>IFERROR(__xludf.DUMMYFUNCTION("""COMPUTED_VALUE"""),20.0)</f>
        <v>20</v>
      </c>
      <c r="Q695" s="481"/>
    </row>
    <row r="696" ht="12.75" customHeight="1">
      <c r="G696" s="480" t="s">
        <v>1958</v>
      </c>
      <c r="H696" s="249">
        <v>20.0</v>
      </c>
      <c r="I696" s="479">
        <v>9.769441187964048E-4</v>
      </c>
      <c r="K696" s="249"/>
      <c r="L696" s="480"/>
      <c r="M696" s="481"/>
      <c r="O696" s="492" t="str">
        <f>IFERROR(__xludf.DUMMYFUNCTION("""COMPUTED_VALUE"""),"Siren Reef - Witch 2★ #008")</f>
        <v>Siren Reef - Witch 2★ #008</v>
      </c>
      <c r="P696" s="249">
        <f>IFERROR(__xludf.DUMMYFUNCTION("""COMPUTED_VALUE"""),20.0)</f>
        <v>20</v>
      </c>
      <c r="Q696" s="481"/>
    </row>
    <row r="697" ht="12.75" customHeight="1">
      <c r="G697" s="480" t="s">
        <v>1959</v>
      </c>
      <c r="H697" s="249">
        <v>20.0</v>
      </c>
      <c r="I697" s="479">
        <v>9.769441187964048E-4</v>
      </c>
      <c r="K697" s="249"/>
      <c r="L697" s="480"/>
      <c r="M697" s="481"/>
      <c r="O697" s="492" t="str">
        <f>IFERROR(__xludf.DUMMYFUNCTION("""COMPUTED_VALUE"""),"Siren Reef - Witch 2★ #ABD")</f>
        <v>Siren Reef - Witch 2★ #ABD</v>
      </c>
      <c r="P697" s="249">
        <f>IFERROR(__xludf.DUMMYFUNCTION("""COMPUTED_VALUE"""),20.0)</f>
        <v>20</v>
      </c>
      <c r="Q697" s="481"/>
    </row>
    <row r="698" ht="12.75" customHeight="1">
      <c r="G698" s="480" t="s">
        <v>1960</v>
      </c>
      <c r="H698" s="249">
        <v>20.0</v>
      </c>
      <c r="I698" s="479">
        <v>9.769441187964048E-4</v>
      </c>
      <c r="K698" s="249"/>
      <c r="L698" s="480"/>
      <c r="M698" s="481"/>
      <c r="O698" s="492" t="str">
        <f>IFERROR(__xludf.DUMMYFUNCTION("""COMPUTED_VALUE"""),"Siren Reef - Witch 2★ #572")</f>
        <v>Siren Reef - Witch 2★ #572</v>
      </c>
      <c r="P698" s="249">
        <f>IFERROR(__xludf.DUMMYFUNCTION("""COMPUTED_VALUE"""),20.0)</f>
        <v>20</v>
      </c>
      <c r="Q698" s="481"/>
    </row>
    <row r="699" ht="12.75" customHeight="1">
      <c r="G699" s="480" t="s">
        <v>1961</v>
      </c>
      <c r="H699" s="249">
        <v>20.0</v>
      </c>
      <c r="I699" s="479">
        <v>9.769441187964048E-4</v>
      </c>
      <c r="K699" s="249"/>
      <c r="L699" s="480"/>
      <c r="M699" s="481"/>
      <c r="O699" s="492" t="str">
        <f>IFERROR(__xludf.DUMMYFUNCTION("""COMPUTED_VALUE"""),"Siren Reef - Witch 2★ #027")</f>
        <v>Siren Reef - Witch 2★ #027</v>
      </c>
      <c r="P699" s="249">
        <f>IFERROR(__xludf.DUMMYFUNCTION("""COMPUTED_VALUE"""),20.0)</f>
        <v>20</v>
      </c>
      <c r="Q699" s="481"/>
    </row>
    <row r="700" ht="12.75" customHeight="1">
      <c r="G700" s="480" t="s">
        <v>1962</v>
      </c>
      <c r="H700" s="249">
        <v>20.0</v>
      </c>
      <c r="I700" s="479">
        <v>9.769441187964048E-4</v>
      </c>
      <c r="K700" s="249"/>
      <c r="L700" s="480"/>
      <c r="M700" s="481"/>
      <c r="O700" s="492" t="str">
        <f>IFERROR(__xludf.DUMMYFUNCTION("""COMPUTED_VALUE"""),"Siren Reef - Witch 2★ #ADC")</f>
        <v>Siren Reef - Witch 2★ #ADC</v>
      </c>
      <c r="P700" s="249">
        <f>IFERROR(__xludf.DUMMYFUNCTION("""COMPUTED_VALUE"""),20.0)</f>
        <v>20</v>
      </c>
      <c r="Q700" s="481"/>
    </row>
    <row r="701" ht="12.75" customHeight="1">
      <c r="G701" s="480" t="s">
        <v>1963</v>
      </c>
      <c r="H701" s="249">
        <v>20.0</v>
      </c>
      <c r="I701" s="479">
        <v>9.769441187964048E-4</v>
      </c>
      <c r="K701" s="249"/>
      <c r="L701" s="480"/>
      <c r="M701" s="481"/>
      <c r="O701" s="492" t="str">
        <f>IFERROR(__xludf.DUMMYFUNCTION("""COMPUTED_VALUE"""),"Siren Reef - Witch 2★ #591")</f>
        <v>Siren Reef - Witch 2★ #591</v>
      </c>
      <c r="P701" s="249">
        <f>IFERROR(__xludf.DUMMYFUNCTION("""COMPUTED_VALUE"""),20.0)</f>
        <v>20</v>
      </c>
      <c r="Q701" s="481"/>
    </row>
    <row r="702" ht="12.75" customHeight="1">
      <c r="G702" s="480" t="s">
        <v>1964</v>
      </c>
      <c r="H702" s="249">
        <v>20.0</v>
      </c>
      <c r="I702" s="479">
        <v>9.769441187964048E-4</v>
      </c>
      <c r="K702" s="249"/>
      <c r="L702" s="480"/>
      <c r="M702" s="481"/>
      <c r="O702" s="492" t="str">
        <f>IFERROR(__xludf.DUMMYFUNCTION("""COMPUTED_VALUE"""),"Siren Reef - Witch 2★ #046")</f>
        <v>Siren Reef - Witch 2★ #046</v>
      </c>
      <c r="P702" s="249">
        <f>IFERROR(__xludf.DUMMYFUNCTION("""COMPUTED_VALUE"""),20.0)</f>
        <v>20</v>
      </c>
      <c r="Q702" s="481"/>
    </row>
    <row r="703" ht="12.75" customHeight="1">
      <c r="G703" s="480" t="s">
        <v>1965</v>
      </c>
      <c r="H703" s="249">
        <v>20.0</v>
      </c>
      <c r="I703" s="479">
        <v>9.769441187964048E-4</v>
      </c>
      <c r="K703" s="249"/>
      <c r="L703" s="480"/>
      <c r="M703" s="481"/>
      <c r="O703" s="492" t="str">
        <f>IFERROR(__xludf.DUMMYFUNCTION("""COMPUTED_VALUE"""),"Siren Reef - Witch 2★ #AFB")</f>
        <v>Siren Reef - Witch 2★ #AFB</v>
      </c>
      <c r="P703" s="249">
        <f>IFERROR(__xludf.DUMMYFUNCTION("""COMPUTED_VALUE"""),20.0)</f>
        <v>20</v>
      </c>
      <c r="Q703" s="481"/>
    </row>
    <row r="704" ht="12.75" customHeight="1">
      <c r="G704" s="480" t="s">
        <v>1966</v>
      </c>
      <c r="H704" s="249">
        <v>20.0</v>
      </c>
      <c r="I704" s="479">
        <v>9.769441187964048E-4</v>
      </c>
      <c r="K704" s="249"/>
      <c r="L704" s="480"/>
      <c r="M704" s="481"/>
      <c r="O704" s="492" t="str">
        <f>IFERROR(__xludf.DUMMYFUNCTION("""COMPUTED_VALUE"""),"Siren Reef - Witch 2★ #5B0")</f>
        <v>Siren Reef - Witch 2★ #5B0</v>
      </c>
      <c r="P704" s="249">
        <f>IFERROR(__xludf.DUMMYFUNCTION("""COMPUTED_VALUE"""),20.0)</f>
        <v>20</v>
      </c>
      <c r="Q704" s="481"/>
    </row>
    <row r="705" ht="12.75" customHeight="1">
      <c r="G705" s="480" t="s">
        <v>1967</v>
      </c>
      <c r="H705" s="249">
        <v>10.0</v>
      </c>
      <c r="I705" s="479">
        <v>4.884720593982024E-4</v>
      </c>
      <c r="K705" s="249"/>
      <c r="L705" s="480"/>
      <c r="M705" s="481"/>
      <c r="O705" s="492" t="str">
        <f>IFERROR(__xludf.DUMMYFUNCTION("""COMPUTED_VALUE"""),"Siren Reef - Starfish 3★ #065")</f>
        <v>Siren Reef - Starfish 3★ #065</v>
      </c>
      <c r="P705" s="249">
        <f>IFERROR(__xludf.DUMMYFUNCTION("""COMPUTED_VALUE"""),10.0)</f>
        <v>10</v>
      </c>
      <c r="Q705" s="481"/>
    </row>
    <row r="706" ht="12.75" customHeight="1">
      <c r="G706" s="480" t="s">
        <v>1968</v>
      </c>
      <c r="H706" s="249">
        <v>10.0</v>
      </c>
      <c r="I706" s="479">
        <v>4.884720593982024E-4</v>
      </c>
      <c r="K706" s="249"/>
      <c r="L706" s="480"/>
      <c r="M706" s="481"/>
      <c r="O706" s="492" t="str">
        <f>IFERROR(__xludf.DUMMYFUNCTION("""COMPUTED_VALUE"""),"Siren Reef - Starfish 3★ #B1A")</f>
        <v>Siren Reef - Starfish 3★ #B1A</v>
      </c>
      <c r="P706" s="249">
        <f>IFERROR(__xludf.DUMMYFUNCTION("""COMPUTED_VALUE"""),10.0)</f>
        <v>10</v>
      </c>
      <c r="Q706" s="481"/>
    </row>
    <row r="707" ht="12.75" customHeight="1">
      <c r="G707" s="480" t="s">
        <v>1969</v>
      </c>
      <c r="H707" s="249">
        <v>10.0</v>
      </c>
      <c r="I707" s="479">
        <v>4.884720593982024E-4</v>
      </c>
      <c r="K707" s="249"/>
      <c r="L707" s="480"/>
      <c r="M707" s="481"/>
      <c r="O707" s="492" t="str">
        <f>IFERROR(__xludf.DUMMYFUNCTION("""COMPUTED_VALUE"""),"Siren Reef - Starfish 3★ #5CF")</f>
        <v>Siren Reef - Starfish 3★ #5CF</v>
      </c>
      <c r="P707" s="249">
        <f>IFERROR(__xludf.DUMMYFUNCTION("""COMPUTED_VALUE"""),10.0)</f>
        <v>10</v>
      </c>
      <c r="Q707" s="481"/>
    </row>
    <row r="708" ht="12.75" customHeight="1">
      <c r="G708" s="480" t="s">
        <v>1970</v>
      </c>
      <c r="H708" s="249">
        <v>10.0</v>
      </c>
      <c r="I708" s="479">
        <v>4.884720593982024E-4</v>
      </c>
      <c r="K708" s="249"/>
      <c r="L708" s="480"/>
      <c r="M708" s="481"/>
      <c r="O708" s="492" t="str">
        <f>IFERROR(__xludf.DUMMYFUNCTION("""COMPUTED_VALUE"""),"Siren Reef - Starfish 3★ #084")</f>
        <v>Siren Reef - Starfish 3★ #084</v>
      </c>
      <c r="P708" s="249">
        <f>IFERROR(__xludf.DUMMYFUNCTION("""COMPUTED_VALUE"""),10.0)</f>
        <v>10</v>
      </c>
      <c r="Q708" s="481"/>
    </row>
    <row r="709" ht="12.75" customHeight="1">
      <c r="G709" s="480" t="s">
        <v>1972</v>
      </c>
      <c r="H709" s="249">
        <v>10.0</v>
      </c>
      <c r="I709" s="479">
        <v>4.884720593982024E-4</v>
      </c>
      <c r="K709" s="249"/>
      <c r="L709" s="480"/>
      <c r="M709" s="481"/>
      <c r="O709" s="492" t="str">
        <f>IFERROR(__xludf.DUMMYFUNCTION("""COMPUTED_VALUE"""),"Siren Reef - Starfish 3★ #B39")</f>
        <v>Siren Reef - Starfish 3★ #B39</v>
      </c>
      <c r="P709" s="249">
        <f>IFERROR(__xludf.DUMMYFUNCTION("""COMPUTED_VALUE"""),10.0)</f>
        <v>10</v>
      </c>
      <c r="Q709" s="481"/>
    </row>
    <row r="710" ht="12.75" customHeight="1">
      <c r="G710" s="480" t="s">
        <v>1973</v>
      </c>
      <c r="H710" s="249">
        <v>10.0</v>
      </c>
      <c r="I710" s="479">
        <v>4.884720593982024E-4</v>
      </c>
      <c r="K710" s="249"/>
      <c r="L710" s="480"/>
      <c r="M710" s="481"/>
      <c r="O710" s="492" t="str">
        <f>IFERROR(__xludf.DUMMYFUNCTION("""COMPUTED_VALUE"""),"Siren Reef - Starfish 3★ #5EE")</f>
        <v>Siren Reef - Starfish 3★ #5EE</v>
      </c>
      <c r="P710" s="249">
        <f>IFERROR(__xludf.DUMMYFUNCTION("""COMPUTED_VALUE"""),10.0)</f>
        <v>10</v>
      </c>
      <c r="Q710" s="481"/>
    </row>
    <row r="711" ht="12.75" customHeight="1">
      <c r="G711" s="480" t="s">
        <v>1974</v>
      </c>
      <c r="H711" s="249">
        <v>10.0</v>
      </c>
      <c r="I711" s="479">
        <v>4.884720593982024E-4</v>
      </c>
      <c r="K711" s="249"/>
      <c r="L711" s="480"/>
      <c r="M711" s="481"/>
      <c r="O711" s="492" t="str">
        <f>IFERROR(__xludf.DUMMYFUNCTION("""COMPUTED_VALUE"""),"Siren Reef - Starfish 3★ #0A3")</f>
        <v>Siren Reef - Starfish 3★ #0A3</v>
      </c>
      <c r="P711" s="249">
        <f>IFERROR(__xludf.DUMMYFUNCTION("""COMPUTED_VALUE"""),10.0)</f>
        <v>10</v>
      </c>
      <c r="Q711" s="481"/>
    </row>
    <row r="712" ht="12.75" customHeight="1">
      <c r="G712" s="480" t="s">
        <v>1975</v>
      </c>
      <c r="H712" s="249">
        <v>10.0</v>
      </c>
      <c r="I712" s="479">
        <v>4.884720593982024E-4</v>
      </c>
      <c r="K712" s="249"/>
      <c r="L712" s="480"/>
      <c r="M712" s="481"/>
      <c r="O712" s="492" t="str">
        <f>IFERROR(__xludf.DUMMYFUNCTION("""COMPUTED_VALUE"""),"Siren Reef - Starfish 3★ #B58")</f>
        <v>Siren Reef - Starfish 3★ #B58</v>
      </c>
      <c r="P712" s="249">
        <f>IFERROR(__xludf.DUMMYFUNCTION("""COMPUTED_VALUE"""),10.0)</f>
        <v>10</v>
      </c>
      <c r="Q712" s="481"/>
    </row>
    <row r="713" ht="12.75" customHeight="1">
      <c r="G713" s="480" t="s">
        <v>1976</v>
      </c>
      <c r="H713" s="249">
        <v>10.0</v>
      </c>
      <c r="I713" s="479">
        <v>4.884720593982024E-4</v>
      </c>
      <c r="K713" s="249"/>
      <c r="L713" s="480"/>
      <c r="M713" s="481"/>
      <c r="O713" s="492" t="str">
        <f>IFERROR(__xludf.DUMMYFUNCTION("""COMPUTED_VALUE"""),"Siren Reef - Starfish 3★ #60D")</f>
        <v>Siren Reef - Starfish 3★ #60D</v>
      </c>
      <c r="P713" s="249">
        <f>IFERROR(__xludf.DUMMYFUNCTION("""COMPUTED_VALUE"""),10.0)</f>
        <v>10</v>
      </c>
      <c r="Q713" s="481"/>
    </row>
    <row r="714" ht="12.75" customHeight="1">
      <c r="G714" s="480" t="s">
        <v>1977</v>
      </c>
      <c r="H714" s="249">
        <v>10.0</v>
      </c>
      <c r="I714" s="479">
        <v>4.884720593982024E-4</v>
      </c>
      <c r="K714" s="249"/>
      <c r="L714" s="480"/>
      <c r="M714" s="481"/>
      <c r="O714" s="492" t="str">
        <f>IFERROR(__xludf.DUMMYFUNCTION("""COMPUTED_VALUE"""),"Siren Reef - Starfish 3★ #0C2")</f>
        <v>Siren Reef - Starfish 3★ #0C2</v>
      </c>
      <c r="P714" s="249">
        <f>IFERROR(__xludf.DUMMYFUNCTION("""COMPUTED_VALUE"""),10.0)</f>
        <v>10</v>
      </c>
      <c r="Q714" s="481"/>
    </row>
    <row r="715" ht="12.75" customHeight="1">
      <c r="G715" s="480" t="s">
        <v>1978</v>
      </c>
      <c r="H715" s="249">
        <v>10.0</v>
      </c>
      <c r="I715" s="479">
        <v>4.884720593982024E-4</v>
      </c>
      <c r="K715" s="249"/>
      <c r="L715" s="480"/>
      <c r="M715" s="481"/>
      <c r="O715" s="492" t="str">
        <f>IFERROR(__xludf.DUMMYFUNCTION("""COMPUTED_VALUE"""),"Siren Reef - Starfish 3★ #B77")</f>
        <v>Siren Reef - Starfish 3★ #B77</v>
      </c>
      <c r="P715" s="249">
        <f>IFERROR(__xludf.DUMMYFUNCTION("""COMPUTED_VALUE"""),10.0)</f>
        <v>10</v>
      </c>
      <c r="Q715" s="481"/>
    </row>
    <row r="716" ht="12.75" customHeight="1">
      <c r="G716" s="480" t="s">
        <v>1979</v>
      </c>
      <c r="H716" s="249">
        <v>10.0</v>
      </c>
      <c r="I716" s="479">
        <v>4.884720593982024E-4</v>
      </c>
      <c r="K716" s="249"/>
      <c r="L716" s="480"/>
      <c r="M716" s="481"/>
      <c r="O716" s="492" t="str">
        <f>IFERROR(__xludf.DUMMYFUNCTION("""COMPUTED_VALUE"""),"Siren Reef - Starfish 3★ #62C")</f>
        <v>Siren Reef - Starfish 3★ #62C</v>
      </c>
      <c r="P716" s="249">
        <f>IFERROR(__xludf.DUMMYFUNCTION("""COMPUTED_VALUE"""),10.0)</f>
        <v>10</v>
      </c>
      <c r="Q716" s="481"/>
    </row>
    <row r="717" ht="12.75" customHeight="1">
      <c r="G717" s="480" t="s">
        <v>1980</v>
      </c>
      <c r="H717" s="249">
        <v>10.0</v>
      </c>
      <c r="I717" s="479">
        <v>4.884720593982024E-4</v>
      </c>
      <c r="K717" s="249"/>
      <c r="L717" s="480"/>
      <c r="M717" s="481"/>
      <c r="O717" s="492" t="str">
        <f>IFERROR(__xludf.DUMMYFUNCTION("""COMPUTED_VALUE"""),"Siren Reef - Starfish 3★ #0E1")</f>
        <v>Siren Reef - Starfish 3★ #0E1</v>
      </c>
      <c r="P717" s="249">
        <f>IFERROR(__xludf.DUMMYFUNCTION("""COMPUTED_VALUE"""),10.0)</f>
        <v>10</v>
      </c>
      <c r="Q717" s="481"/>
    </row>
    <row r="718" ht="12.75" customHeight="1">
      <c r="G718" s="480" t="s">
        <v>1981</v>
      </c>
      <c r="H718" s="249">
        <v>5.0</v>
      </c>
      <c r="I718" s="479">
        <v>2.442360296991012E-4</v>
      </c>
      <c r="K718" s="249"/>
      <c r="L718" s="480"/>
      <c r="M718" s="481"/>
      <c r="O718" s="492" t="str">
        <f>IFERROR(__xludf.DUMMYFUNCTION("""COMPUTED_VALUE"""),"Siren Reef - Moonstone 4★ #B96")</f>
        <v>Siren Reef - Moonstone 4★ #B96</v>
      </c>
      <c r="P718" s="249">
        <f>IFERROR(__xludf.DUMMYFUNCTION("""COMPUTED_VALUE"""),5.0)</f>
        <v>5</v>
      </c>
      <c r="Q718" s="481"/>
    </row>
    <row r="719" ht="12.75" customHeight="1">
      <c r="G719" s="480" t="s">
        <v>1982</v>
      </c>
      <c r="H719" s="249">
        <v>5.0</v>
      </c>
      <c r="I719" s="479">
        <v>2.442360296991012E-4</v>
      </c>
      <c r="K719" s="249"/>
      <c r="L719" s="480"/>
      <c r="M719" s="481"/>
      <c r="O719" s="492" t="str">
        <f>IFERROR(__xludf.DUMMYFUNCTION("""COMPUTED_VALUE"""),"Siren Reef - Moonstone 4★ #64B")</f>
        <v>Siren Reef - Moonstone 4★ #64B</v>
      </c>
      <c r="P719" s="249">
        <f>IFERROR(__xludf.DUMMYFUNCTION("""COMPUTED_VALUE"""),5.0)</f>
        <v>5</v>
      </c>
      <c r="Q719" s="481"/>
    </row>
    <row r="720" ht="12.75" customHeight="1">
      <c r="G720" s="480" t="s">
        <v>1984</v>
      </c>
      <c r="H720" s="249">
        <v>5.0</v>
      </c>
      <c r="I720" s="479">
        <v>2.442360296991012E-4</v>
      </c>
      <c r="K720" s="249"/>
      <c r="L720" s="480"/>
      <c r="M720" s="481"/>
      <c r="O720" s="492" t="str">
        <f>IFERROR(__xludf.DUMMYFUNCTION("""COMPUTED_VALUE"""),"Siren Reef - Moonstone 4★ #100")</f>
        <v>Siren Reef - Moonstone 4★ #100</v>
      </c>
      <c r="P720" s="249">
        <f>IFERROR(__xludf.DUMMYFUNCTION("""COMPUTED_VALUE"""),5.0)</f>
        <v>5</v>
      </c>
      <c r="Q720" s="481"/>
    </row>
    <row r="721" ht="12.75" customHeight="1">
      <c r="G721" s="480" t="s">
        <v>1985</v>
      </c>
      <c r="H721" s="249">
        <v>5.0</v>
      </c>
      <c r="I721" s="479">
        <v>2.442360296991012E-4</v>
      </c>
      <c r="K721" s="249"/>
      <c r="L721" s="480"/>
      <c r="M721" s="481"/>
      <c r="O721" s="492" t="str">
        <f>IFERROR(__xludf.DUMMYFUNCTION("""COMPUTED_VALUE"""),"Siren Reef - Moonstone 4★ #BB5")</f>
        <v>Siren Reef - Moonstone 4★ #BB5</v>
      </c>
      <c r="P721" s="249">
        <f>IFERROR(__xludf.DUMMYFUNCTION("""COMPUTED_VALUE"""),5.0)</f>
        <v>5</v>
      </c>
      <c r="Q721" s="481"/>
    </row>
    <row r="722" ht="12.75" customHeight="1">
      <c r="G722" s="480" t="s">
        <v>1986</v>
      </c>
      <c r="H722" s="249">
        <v>5.0</v>
      </c>
      <c r="I722" s="479">
        <v>2.442360296991012E-4</v>
      </c>
      <c r="K722" s="249"/>
      <c r="L722" s="480"/>
      <c r="M722" s="481"/>
      <c r="O722" s="492" t="str">
        <f>IFERROR(__xludf.DUMMYFUNCTION("""COMPUTED_VALUE"""),"Siren Reef - Moonstone 4★ #66A")</f>
        <v>Siren Reef - Moonstone 4★ #66A</v>
      </c>
      <c r="P722" s="249">
        <f>IFERROR(__xludf.DUMMYFUNCTION("""COMPUTED_VALUE"""),5.0)</f>
        <v>5</v>
      </c>
      <c r="Q722" s="481"/>
    </row>
    <row r="723" ht="12.75" customHeight="1">
      <c r="G723" s="480" t="s">
        <v>1987</v>
      </c>
      <c r="H723" s="249">
        <v>5.0</v>
      </c>
      <c r="I723" s="479">
        <v>2.442360296991012E-4</v>
      </c>
      <c r="K723" s="249"/>
      <c r="L723" s="480"/>
      <c r="M723" s="481"/>
      <c r="O723" s="492" t="str">
        <f>IFERROR(__xludf.DUMMYFUNCTION("""COMPUTED_VALUE"""),"Siren Reef - Moonstone 4★ #11F")</f>
        <v>Siren Reef - Moonstone 4★ #11F</v>
      </c>
      <c r="P723" s="249">
        <f>IFERROR(__xludf.DUMMYFUNCTION("""COMPUTED_VALUE"""),5.0)</f>
        <v>5</v>
      </c>
      <c r="Q723" s="481"/>
    </row>
    <row r="724" ht="12.75" customHeight="1">
      <c r="G724" s="480" t="s">
        <v>1988</v>
      </c>
      <c r="H724" s="249">
        <v>5.0</v>
      </c>
      <c r="I724" s="479">
        <v>2.442360296991012E-4</v>
      </c>
      <c r="K724" s="249"/>
      <c r="L724" s="480"/>
      <c r="M724" s="481"/>
      <c r="O724" s="492" t="str">
        <f>IFERROR(__xludf.DUMMYFUNCTION("""COMPUTED_VALUE"""),"Siren Reef - Moonstone 4★ #BD4")</f>
        <v>Siren Reef - Moonstone 4★ #BD4</v>
      </c>
      <c r="P724" s="249">
        <f>IFERROR(__xludf.DUMMYFUNCTION("""COMPUTED_VALUE"""),5.0)</f>
        <v>5</v>
      </c>
      <c r="Q724" s="481"/>
    </row>
    <row r="725" ht="12.75" customHeight="1">
      <c r="G725" s="480" t="s">
        <v>1989</v>
      </c>
      <c r="H725" s="249">
        <v>5.0</v>
      </c>
      <c r="I725" s="479">
        <v>2.442360296991012E-4</v>
      </c>
      <c r="K725" s="249"/>
      <c r="L725" s="480"/>
      <c r="M725" s="481"/>
      <c r="O725" s="492" t="str">
        <f>IFERROR(__xludf.DUMMYFUNCTION("""COMPUTED_VALUE"""),"Siren Reef - Moonstone 4★ #689")</f>
        <v>Siren Reef - Moonstone 4★ #689</v>
      </c>
      <c r="P725" s="249">
        <f>IFERROR(__xludf.DUMMYFUNCTION("""COMPUTED_VALUE"""),5.0)</f>
        <v>5</v>
      </c>
      <c r="Q725" s="481"/>
    </row>
    <row r="726" ht="12.75" customHeight="1">
      <c r="G726" s="480" t="s">
        <v>1990</v>
      </c>
      <c r="H726" s="249">
        <v>5.0</v>
      </c>
      <c r="I726" s="479">
        <v>2.442360296991012E-4</v>
      </c>
      <c r="K726" s="249"/>
      <c r="L726" s="480"/>
      <c r="M726" s="481"/>
      <c r="O726" s="492" t="str">
        <f>IFERROR(__xludf.DUMMYFUNCTION("""COMPUTED_VALUE"""),"Siren Reef - Moonstone 4★ #13E")</f>
        <v>Siren Reef - Moonstone 4★ #13E</v>
      </c>
      <c r="P726" s="249">
        <f>IFERROR(__xludf.DUMMYFUNCTION("""COMPUTED_VALUE"""),5.0)</f>
        <v>5</v>
      </c>
      <c r="Q726" s="481"/>
    </row>
    <row r="727" ht="12.75" customHeight="1">
      <c r="G727" s="480" t="s">
        <v>1991</v>
      </c>
      <c r="H727" s="249">
        <v>5.0</v>
      </c>
      <c r="I727" s="479">
        <v>2.442360296991012E-4</v>
      </c>
      <c r="K727" s="249"/>
      <c r="L727" s="480"/>
      <c r="M727" s="481"/>
      <c r="O727" s="492" t="str">
        <f>IFERROR(__xludf.DUMMYFUNCTION("""COMPUTED_VALUE"""),"Siren Reef - Moonstone 4★ #BF3")</f>
        <v>Siren Reef - Moonstone 4★ #BF3</v>
      </c>
      <c r="P727" s="249">
        <f>IFERROR(__xludf.DUMMYFUNCTION("""COMPUTED_VALUE"""),5.0)</f>
        <v>5</v>
      </c>
      <c r="Q727" s="481"/>
    </row>
    <row r="728" ht="12.75" customHeight="1">
      <c r="G728" s="480" t="s">
        <v>1992</v>
      </c>
      <c r="H728" s="249">
        <v>5.0</v>
      </c>
      <c r="I728" s="479">
        <v>2.442360296991012E-4</v>
      </c>
      <c r="K728" s="249"/>
      <c r="L728" s="480"/>
      <c r="M728" s="481"/>
      <c r="O728" s="492" t="str">
        <f>IFERROR(__xludf.DUMMYFUNCTION("""COMPUTED_VALUE"""),"Siren Reef - Moonstone 4★ #6A8")</f>
        <v>Siren Reef - Moonstone 4★ #6A8</v>
      </c>
      <c r="P728" s="249">
        <f>IFERROR(__xludf.DUMMYFUNCTION("""COMPUTED_VALUE"""),5.0)</f>
        <v>5</v>
      </c>
      <c r="Q728" s="481"/>
    </row>
    <row r="729" ht="12.75" customHeight="1">
      <c r="G729" s="480" t="s">
        <v>1993</v>
      </c>
      <c r="H729" s="249">
        <v>2.0</v>
      </c>
      <c r="I729" s="479">
        <v>9.769441187964049E-5</v>
      </c>
      <c r="K729" s="249"/>
      <c r="L729" s="480"/>
      <c r="M729" s="481"/>
      <c r="O729" s="492" t="str">
        <f>IFERROR(__xludf.DUMMYFUNCTION("""COMPUTED_VALUE"""),"Siren Reef - Wave 5★ #15D")</f>
        <v>Siren Reef - Wave 5★ #15D</v>
      </c>
      <c r="P729" s="249">
        <f>IFERROR(__xludf.DUMMYFUNCTION("""COMPUTED_VALUE"""),2.0)</f>
        <v>2</v>
      </c>
      <c r="Q729" s="481"/>
    </row>
    <row r="730" ht="12.75" customHeight="1">
      <c r="G730" s="480" t="s">
        <v>1995</v>
      </c>
      <c r="H730" s="249">
        <v>2.0</v>
      </c>
      <c r="I730" s="479">
        <v>9.769441187964049E-5</v>
      </c>
      <c r="K730" s="249"/>
      <c r="L730" s="480"/>
      <c r="M730" s="481"/>
      <c r="O730" s="492" t="str">
        <f>IFERROR(__xludf.DUMMYFUNCTION("""COMPUTED_VALUE"""),"Siren Reef - Wave 5★ #C12")</f>
        <v>Siren Reef - Wave 5★ #C12</v>
      </c>
      <c r="P730" s="249">
        <f>IFERROR(__xludf.DUMMYFUNCTION("""COMPUTED_VALUE"""),2.0)</f>
        <v>2</v>
      </c>
      <c r="Q730" s="481"/>
    </row>
    <row r="731" ht="12.75" customHeight="1">
      <c r="G731" s="480" t="s">
        <v>1996</v>
      </c>
      <c r="H731" s="249">
        <v>2.0</v>
      </c>
      <c r="I731" s="479">
        <v>9.769441187964049E-5</v>
      </c>
      <c r="K731" s="249"/>
      <c r="L731" s="480"/>
      <c r="M731" s="481"/>
      <c r="O731" s="492" t="str">
        <f>IFERROR(__xludf.DUMMYFUNCTION("""COMPUTED_VALUE"""),"Siren Reef - Wave 5★ #6C7")</f>
        <v>Siren Reef - Wave 5★ #6C7</v>
      </c>
      <c r="P731" s="249">
        <f>IFERROR(__xludf.DUMMYFUNCTION("""COMPUTED_VALUE"""),2.0)</f>
        <v>2</v>
      </c>
      <c r="Q731" s="481"/>
    </row>
    <row r="732" ht="12.75" customHeight="1">
      <c r="G732" s="480" t="s">
        <v>1997</v>
      </c>
      <c r="H732" s="249">
        <v>2.0</v>
      </c>
      <c r="I732" s="479">
        <v>9.769441187964049E-5</v>
      </c>
      <c r="K732" s="249"/>
      <c r="L732" s="480"/>
      <c r="M732" s="481"/>
      <c r="O732" s="492" t="str">
        <f>IFERROR(__xludf.DUMMYFUNCTION("""COMPUTED_VALUE"""),"Siren Reef - Wave 5★ #17C")</f>
        <v>Siren Reef - Wave 5★ #17C</v>
      </c>
      <c r="P732" s="249">
        <f>IFERROR(__xludf.DUMMYFUNCTION("""COMPUTED_VALUE"""),2.0)</f>
        <v>2</v>
      </c>
      <c r="Q732" s="481"/>
    </row>
    <row r="733" ht="12.75" customHeight="1">
      <c r="G733" s="480" t="s">
        <v>1998</v>
      </c>
      <c r="H733" s="249">
        <v>2.0</v>
      </c>
      <c r="I733" s="479">
        <v>9.769441187964049E-5</v>
      </c>
      <c r="K733" s="249"/>
      <c r="L733" s="480"/>
      <c r="M733" s="481"/>
      <c r="O733" s="492" t="str">
        <f>IFERROR(__xludf.DUMMYFUNCTION("""COMPUTED_VALUE"""),"Siren Reef - Wave 5★ #C31")</f>
        <v>Siren Reef - Wave 5★ #C31</v>
      </c>
      <c r="P733" s="249">
        <f>IFERROR(__xludf.DUMMYFUNCTION("""COMPUTED_VALUE"""),2.0)</f>
        <v>2</v>
      </c>
      <c r="Q733" s="481"/>
    </row>
    <row r="734" ht="12.75" customHeight="1">
      <c r="G734" s="480" t="s">
        <v>1999</v>
      </c>
      <c r="H734" s="249">
        <v>2.0</v>
      </c>
      <c r="I734" s="479">
        <v>9.769441187964049E-5</v>
      </c>
      <c r="K734" s="249"/>
      <c r="L734" s="480"/>
      <c r="M734" s="481"/>
      <c r="O734" s="492" t="str">
        <f>IFERROR(__xludf.DUMMYFUNCTION("""COMPUTED_VALUE"""),"Siren Reef - Driftwood 5★ #6E6")</f>
        <v>Siren Reef - Driftwood 5★ #6E6</v>
      </c>
      <c r="P734" s="249">
        <f>IFERROR(__xludf.DUMMYFUNCTION("""COMPUTED_VALUE"""),2.0)</f>
        <v>2</v>
      </c>
      <c r="Q734" s="481"/>
    </row>
    <row r="735" ht="12.75" customHeight="1">
      <c r="G735" s="480" t="s">
        <v>2000</v>
      </c>
      <c r="H735" s="249">
        <v>2.0</v>
      </c>
      <c r="I735" s="479">
        <v>9.769441187964049E-5</v>
      </c>
      <c r="K735" s="249"/>
      <c r="L735" s="480"/>
      <c r="M735" s="481"/>
      <c r="O735" s="492" t="str">
        <f>IFERROR(__xludf.DUMMYFUNCTION("""COMPUTED_VALUE"""),"Siren Reef - Driftwood 5★ #19B")</f>
        <v>Siren Reef - Driftwood 5★ #19B</v>
      </c>
      <c r="P735" s="249">
        <f>IFERROR(__xludf.DUMMYFUNCTION("""COMPUTED_VALUE"""),2.0)</f>
        <v>2</v>
      </c>
      <c r="Q735" s="481"/>
    </row>
    <row r="736" ht="12.75" customHeight="1">
      <c r="G736" s="480" t="s">
        <v>2001</v>
      </c>
      <c r="H736" s="249">
        <v>2.0</v>
      </c>
      <c r="I736" s="479">
        <v>9.769441187964049E-5</v>
      </c>
      <c r="K736" s="249"/>
      <c r="L736" s="480"/>
      <c r="M736" s="481"/>
      <c r="O736" s="492" t="str">
        <f>IFERROR(__xludf.DUMMYFUNCTION("""COMPUTED_VALUE"""),"Siren Reef - Driftwood 5★ #C50")</f>
        <v>Siren Reef - Driftwood 5★ #C50</v>
      </c>
      <c r="P736" s="249">
        <f>IFERROR(__xludf.DUMMYFUNCTION("""COMPUTED_VALUE"""),2.0)</f>
        <v>2</v>
      </c>
      <c r="Q736" s="481"/>
    </row>
    <row r="737" ht="12.75" customHeight="1">
      <c r="G737" s="480" t="s">
        <v>2002</v>
      </c>
      <c r="H737" s="249">
        <v>2.0</v>
      </c>
      <c r="I737" s="479">
        <v>9.769441187964049E-5</v>
      </c>
      <c r="K737" s="249"/>
      <c r="L737" s="480"/>
      <c r="M737" s="481"/>
      <c r="O737" s="492" t="str">
        <f>IFERROR(__xludf.DUMMYFUNCTION("""COMPUTED_VALUE"""),"Siren Reef - Driftwood 5★ #705")</f>
        <v>Siren Reef - Driftwood 5★ #705</v>
      </c>
      <c r="P737" s="249">
        <f>IFERROR(__xludf.DUMMYFUNCTION("""COMPUTED_VALUE"""),2.0)</f>
        <v>2</v>
      </c>
      <c r="Q737" s="481"/>
    </row>
    <row r="738" ht="12.75" customHeight="1">
      <c r="G738" s="480" t="s">
        <v>2003</v>
      </c>
      <c r="H738" s="249">
        <v>2.0</v>
      </c>
      <c r="I738" s="479">
        <v>9.769441187964049E-5</v>
      </c>
      <c r="K738" s="249"/>
      <c r="L738" s="480"/>
      <c r="M738" s="481"/>
      <c r="O738" s="492" t="str">
        <f>IFERROR(__xludf.DUMMYFUNCTION("""COMPUTED_VALUE"""),"Siren Reef - Driftwood 5★ #1BA")</f>
        <v>Siren Reef - Driftwood 5★ #1BA</v>
      </c>
      <c r="P738" s="249">
        <f>IFERROR(__xludf.DUMMYFUNCTION("""COMPUTED_VALUE"""),2.0)</f>
        <v>2</v>
      </c>
      <c r="Q738" s="481"/>
    </row>
    <row r="739" ht="12.75" customHeight="1">
      <c r="G739" s="480" t="s">
        <v>2004</v>
      </c>
      <c r="H739" s="249">
        <v>2.0</v>
      </c>
      <c r="I739" s="479">
        <v>9.769441187964049E-5</v>
      </c>
      <c r="K739" s="249"/>
      <c r="L739" s="480"/>
      <c r="M739" s="481"/>
      <c r="O739" s="492" t="str">
        <f>IFERROR(__xludf.DUMMYFUNCTION("""COMPUTED_VALUE"""),"Siren Reef - Conch 5★ #C6F")</f>
        <v>Siren Reef - Conch 5★ #C6F</v>
      </c>
      <c r="P739" s="249">
        <f>IFERROR(__xludf.DUMMYFUNCTION("""COMPUTED_VALUE"""),2.0)</f>
        <v>2</v>
      </c>
      <c r="Q739" s="481"/>
    </row>
    <row r="740" ht="12.75" customHeight="1">
      <c r="G740" s="480" t="s">
        <v>2005</v>
      </c>
      <c r="H740" s="249">
        <v>2.0</v>
      </c>
      <c r="I740" s="479">
        <v>9.769441187964049E-5</v>
      </c>
      <c r="K740" s="249"/>
      <c r="L740" s="480"/>
      <c r="M740" s="481"/>
      <c r="O740" s="492" t="str">
        <f>IFERROR(__xludf.DUMMYFUNCTION("""COMPUTED_VALUE"""),"Siren Reef - Conch 5★ #724")</f>
        <v>Siren Reef - Conch 5★ #724</v>
      </c>
      <c r="P740" s="249">
        <f>IFERROR(__xludf.DUMMYFUNCTION("""COMPUTED_VALUE"""),2.0)</f>
        <v>2</v>
      </c>
      <c r="Q740" s="481"/>
    </row>
    <row r="741" ht="12.75" customHeight="1">
      <c r="G741" s="480" t="s">
        <v>2006</v>
      </c>
      <c r="H741" s="249">
        <v>2.0</v>
      </c>
      <c r="I741" s="479">
        <v>9.769441187964049E-5</v>
      </c>
      <c r="K741" s="249"/>
      <c r="L741" s="480"/>
      <c r="M741" s="481"/>
      <c r="O741" s="492" t="str">
        <f>IFERROR(__xludf.DUMMYFUNCTION("""COMPUTED_VALUE"""),"Siren Reef - Conch 5★ #1D9")</f>
        <v>Siren Reef - Conch 5★ #1D9</v>
      </c>
      <c r="P741" s="249">
        <f>IFERROR(__xludf.DUMMYFUNCTION("""COMPUTED_VALUE"""),2.0)</f>
        <v>2</v>
      </c>
      <c r="Q741" s="481"/>
    </row>
    <row r="742" ht="12.75" customHeight="1">
      <c r="G742" s="480" t="s">
        <v>2007</v>
      </c>
      <c r="H742" s="249">
        <v>2.0</v>
      </c>
      <c r="I742" s="479">
        <v>9.769441187964049E-5</v>
      </c>
      <c r="K742" s="249"/>
      <c r="L742" s="480"/>
      <c r="M742" s="481"/>
      <c r="O742" s="492" t="str">
        <f>IFERROR(__xludf.DUMMYFUNCTION("""COMPUTED_VALUE"""),"Siren Reef - Conch 5★ #C8E")</f>
        <v>Siren Reef - Conch 5★ #C8E</v>
      </c>
      <c r="P742" s="249">
        <f>IFERROR(__xludf.DUMMYFUNCTION("""COMPUTED_VALUE"""),2.0)</f>
        <v>2</v>
      </c>
      <c r="Q742" s="481"/>
    </row>
    <row r="743" ht="12.75" customHeight="1">
      <c r="G743" s="480" t="s">
        <v>2009</v>
      </c>
      <c r="H743" s="249">
        <v>2.0</v>
      </c>
      <c r="I743" s="479">
        <v>9.769441187964049E-5</v>
      </c>
      <c r="K743" s="249"/>
      <c r="L743" s="480"/>
      <c r="M743" s="481"/>
      <c r="O743" s="492" t="str">
        <f>IFERROR(__xludf.DUMMYFUNCTION("""COMPUTED_VALUE"""),"Siren Reef - Conch 5★ #743")</f>
        <v>Siren Reef - Conch 5★ #743</v>
      </c>
      <c r="P743" s="249">
        <f>IFERROR(__xludf.DUMMYFUNCTION("""COMPUTED_VALUE"""),2.0)</f>
        <v>2</v>
      </c>
      <c r="Q743" s="481"/>
    </row>
    <row r="744" ht="12.75" customHeight="1">
      <c r="G744" s="480" t="s">
        <v>2010</v>
      </c>
      <c r="H744" s="249">
        <v>50.0</v>
      </c>
      <c r="I744" s="479">
        <v>0.0024423602969910123</v>
      </c>
      <c r="K744" s="249"/>
      <c r="L744" s="480"/>
      <c r="M744" s="481"/>
      <c r="O744" s="492" t="str">
        <f>IFERROR(__xludf.DUMMYFUNCTION("""COMPUTED_VALUE"""),"Dead Man Bay - Pistol 1★ #1F8")</f>
        <v>Dead Man Bay - Pistol 1★ #1F8</v>
      </c>
      <c r="P744" s="249">
        <f>IFERROR(__xludf.DUMMYFUNCTION("""COMPUTED_VALUE"""),50.0)</f>
        <v>50</v>
      </c>
      <c r="Q744" s="481"/>
    </row>
    <row r="745" ht="12.75" customHeight="1">
      <c r="G745" s="480" t="s">
        <v>2011</v>
      </c>
      <c r="H745" s="249">
        <v>50.0</v>
      </c>
      <c r="I745" s="479">
        <v>0.0024423602969910123</v>
      </c>
      <c r="K745" s="249"/>
      <c r="L745" s="480"/>
      <c r="M745" s="481"/>
      <c r="O745" s="492" t="str">
        <f>IFERROR(__xludf.DUMMYFUNCTION("""COMPUTED_VALUE"""),"Dead Man Bay - Pistol 1★ #CAD")</f>
        <v>Dead Man Bay - Pistol 1★ #CAD</v>
      </c>
      <c r="P745" s="249">
        <f>IFERROR(__xludf.DUMMYFUNCTION("""COMPUTED_VALUE"""),50.0)</f>
        <v>50</v>
      </c>
      <c r="Q745" s="481"/>
    </row>
    <row r="746" ht="12.75" customHeight="1">
      <c r="G746" s="480" t="s">
        <v>2012</v>
      </c>
      <c r="H746" s="249">
        <v>50.0</v>
      </c>
      <c r="I746" s="479">
        <v>0.0024423602969910123</v>
      </c>
      <c r="K746" s="249"/>
      <c r="L746" s="480"/>
      <c r="M746" s="481"/>
      <c r="O746" s="492" t="str">
        <f>IFERROR(__xludf.DUMMYFUNCTION("""COMPUTED_VALUE"""),"Dead Man Bay - Pistol 1★ #762")</f>
        <v>Dead Man Bay - Pistol 1★ #762</v>
      </c>
      <c r="P746" s="249">
        <f>IFERROR(__xludf.DUMMYFUNCTION("""COMPUTED_VALUE"""),50.0)</f>
        <v>50</v>
      </c>
      <c r="Q746" s="481"/>
    </row>
    <row r="747" ht="12.75" customHeight="1">
      <c r="G747" s="480" t="s">
        <v>2013</v>
      </c>
      <c r="H747" s="249">
        <v>50.0</v>
      </c>
      <c r="I747" s="479">
        <v>0.0024423602969910123</v>
      </c>
      <c r="K747" s="249"/>
      <c r="L747" s="480"/>
      <c r="M747" s="481"/>
      <c r="O747" s="492" t="str">
        <f>IFERROR(__xludf.DUMMYFUNCTION("""COMPUTED_VALUE"""),"Dead Man Bay - Pistol 1★ #217")</f>
        <v>Dead Man Bay - Pistol 1★ #217</v>
      </c>
      <c r="P747" s="249">
        <f>IFERROR(__xludf.DUMMYFUNCTION("""COMPUTED_VALUE"""),50.0)</f>
        <v>50</v>
      </c>
      <c r="Q747" s="481"/>
    </row>
    <row r="748" ht="12.75" customHeight="1">
      <c r="G748" s="480" t="s">
        <v>2014</v>
      </c>
      <c r="H748" s="249">
        <v>50.0</v>
      </c>
      <c r="I748" s="479">
        <v>0.0024423602969910123</v>
      </c>
      <c r="K748" s="249"/>
      <c r="L748" s="480"/>
      <c r="M748" s="481"/>
      <c r="O748" s="492" t="str">
        <f>IFERROR(__xludf.DUMMYFUNCTION("""COMPUTED_VALUE"""),"Dead Man Bay - Pistol 1★ #CCC")</f>
        <v>Dead Man Bay - Pistol 1★ #CCC</v>
      </c>
      <c r="P748" s="249">
        <f>IFERROR(__xludf.DUMMYFUNCTION("""COMPUTED_VALUE"""),50.0)</f>
        <v>50</v>
      </c>
      <c r="Q748" s="481"/>
    </row>
    <row r="749" ht="12.75" customHeight="1">
      <c r="G749" s="480" t="s">
        <v>2015</v>
      </c>
      <c r="H749" s="249">
        <v>50.0</v>
      </c>
      <c r="I749" s="479">
        <v>0.0024423602969910123</v>
      </c>
      <c r="K749" s="249"/>
      <c r="L749" s="480"/>
      <c r="M749" s="481"/>
      <c r="O749" s="492" t="str">
        <f>IFERROR(__xludf.DUMMYFUNCTION("""COMPUTED_VALUE"""),"Dead Man Bay - Pistol 1★ #781")</f>
        <v>Dead Man Bay - Pistol 1★ #781</v>
      </c>
      <c r="P749" s="249">
        <f>IFERROR(__xludf.DUMMYFUNCTION("""COMPUTED_VALUE"""),50.0)</f>
        <v>50</v>
      </c>
      <c r="Q749" s="481"/>
    </row>
    <row r="750" ht="12.75" customHeight="1">
      <c r="G750" s="480" t="s">
        <v>2016</v>
      </c>
      <c r="H750" s="249">
        <v>50.0</v>
      </c>
      <c r="I750" s="479">
        <v>0.0024423602969910123</v>
      </c>
      <c r="K750" s="249"/>
      <c r="L750" s="480"/>
      <c r="M750" s="481"/>
      <c r="O750" s="492" t="str">
        <f>IFERROR(__xludf.DUMMYFUNCTION("""COMPUTED_VALUE"""),"Dead Man Bay - Pistol 1★ #236")</f>
        <v>Dead Man Bay - Pistol 1★ #236</v>
      </c>
      <c r="P750" s="249">
        <f>IFERROR(__xludf.DUMMYFUNCTION("""COMPUTED_VALUE"""),50.0)</f>
        <v>50</v>
      </c>
      <c r="Q750" s="481"/>
    </row>
    <row r="751" ht="12.75" customHeight="1">
      <c r="G751" s="480" t="s">
        <v>2017</v>
      </c>
      <c r="H751" s="249">
        <v>50.0</v>
      </c>
      <c r="I751" s="479">
        <v>0.0024423602969910123</v>
      </c>
      <c r="K751" s="249"/>
      <c r="L751" s="480"/>
      <c r="M751" s="481"/>
      <c r="O751" s="492" t="str">
        <f>IFERROR(__xludf.DUMMYFUNCTION("""COMPUTED_VALUE"""),"Dead Man Bay - Pistol 1★ #CEB")</f>
        <v>Dead Man Bay - Pistol 1★ #CEB</v>
      </c>
      <c r="P751" s="249">
        <f>IFERROR(__xludf.DUMMYFUNCTION("""COMPUTED_VALUE"""),50.0)</f>
        <v>50</v>
      </c>
      <c r="Q751" s="481"/>
    </row>
    <row r="752" ht="12.75" customHeight="1">
      <c r="G752" s="480" t="s">
        <v>2018</v>
      </c>
      <c r="H752" s="249">
        <v>50.0</v>
      </c>
      <c r="I752" s="479">
        <v>0.0024423602969910123</v>
      </c>
      <c r="K752" s="249"/>
      <c r="L752" s="480"/>
      <c r="M752" s="481"/>
      <c r="O752" s="492" t="str">
        <f>IFERROR(__xludf.DUMMYFUNCTION("""COMPUTED_VALUE"""),"Dead Man Bay - Pistol 1★ #7A0")</f>
        <v>Dead Man Bay - Pistol 1★ #7A0</v>
      </c>
      <c r="P752" s="249">
        <f>IFERROR(__xludf.DUMMYFUNCTION("""COMPUTED_VALUE"""),50.0)</f>
        <v>50</v>
      </c>
      <c r="Q752" s="481"/>
    </row>
    <row r="753" ht="12.75" customHeight="1">
      <c r="G753" s="480" t="s">
        <v>2019</v>
      </c>
      <c r="H753" s="249">
        <v>50.0</v>
      </c>
      <c r="I753" s="479">
        <v>0.0024423602969910123</v>
      </c>
      <c r="K753" s="249"/>
      <c r="L753" s="480"/>
      <c r="M753" s="481"/>
      <c r="O753" s="492" t="str">
        <f>IFERROR(__xludf.DUMMYFUNCTION("""COMPUTED_VALUE"""),"Dead Man Bay - Pistol 1★ #255")</f>
        <v>Dead Man Bay - Pistol 1★ #255</v>
      </c>
      <c r="P753" s="249">
        <f>IFERROR(__xludf.DUMMYFUNCTION("""COMPUTED_VALUE"""),50.0)</f>
        <v>50</v>
      </c>
      <c r="Q753" s="481"/>
    </row>
    <row r="754" ht="12.75" customHeight="1">
      <c r="G754" s="480" t="s">
        <v>2021</v>
      </c>
      <c r="H754" s="249">
        <v>50.0</v>
      </c>
      <c r="I754" s="479">
        <v>0.0024423602969910123</v>
      </c>
      <c r="K754" s="249"/>
      <c r="L754" s="480"/>
      <c r="M754" s="481"/>
      <c r="O754" s="492" t="str">
        <f>IFERROR(__xludf.DUMMYFUNCTION("""COMPUTED_VALUE"""),"Dead Man Bay - Pistol 1★ #D0A")</f>
        <v>Dead Man Bay - Pistol 1★ #D0A</v>
      </c>
      <c r="P754" s="249">
        <f>IFERROR(__xludf.DUMMYFUNCTION("""COMPUTED_VALUE"""),50.0)</f>
        <v>50</v>
      </c>
      <c r="Q754" s="481"/>
    </row>
    <row r="755" ht="12.75" customHeight="1">
      <c r="G755" s="480" t="s">
        <v>2022</v>
      </c>
      <c r="H755" s="249">
        <v>50.0</v>
      </c>
      <c r="I755" s="479">
        <v>0.0024423602969910123</v>
      </c>
      <c r="K755" s="249"/>
      <c r="L755" s="480"/>
      <c r="M755" s="481"/>
      <c r="O755" s="492" t="str">
        <f>IFERROR(__xludf.DUMMYFUNCTION("""COMPUTED_VALUE"""),"Dead Man Bay - Pistol 1★ #7BF")</f>
        <v>Dead Man Bay - Pistol 1★ #7BF</v>
      </c>
      <c r="P755" s="249">
        <f>IFERROR(__xludf.DUMMYFUNCTION("""COMPUTED_VALUE"""),50.0)</f>
        <v>50</v>
      </c>
      <c r="Q755" s="481"/>
    </row>
    <row r="756" ht="12.75" customHeight="1">
      <c r="G756" s="480" t="s">
        <v>2023</v>
      </c>
      <c r="H756" s="249">
        <v>50.0</v>
      </c>
      <c r="I756" s="479">
        <v>0.0024423602969910123</v>
      </c>
      <c r="K756" s="249"/>
      <c r="L756" s="480"/>
      <c r="M756" s="481"/>
      <c r="O756" s="492" t="str">
        <f>IFERROR(__xludf.DUMMYFUNCTION("""COMPUTED_VALUE"""),"Dead Man Bay - Pistol 1★ #274")</f>
        <v>Dead Man Bay - Pistol 1★ #274</v>
      </c>
      <c r="P756" s="249">
        <f>IFERROR(__xludf.DUMMYFUNCTION("""COMPUTED_VALUE"""),50.0)</f>
        <v>50</v>
      </c>
      <c r="Q756" s="481"/>
    </row>
    <row r="757" ht="12.75" customHeight="1">
      <c r="G757" s="480" t="s">
        <v>2024</v>
      </c>
      <c r="H757" s="249">
        <v>50.0</v>
      </c>
      <c r="I757" s="479">
        <v>0.0024423602969910123</v>
      </c>
      <c r="K757" s="249"/>
      <c r="L757" s="480"/>
      <c r="M757" s="481"/>
      <c r="O757" s="492" t="str">
        <f>IFERROR(__xludf.DUMMYFUNCTION("""COMPUTED_VALUE"""),"Dead Man Bay - Rum 1★ #D29")</f>
        <v>Dead Man Bay - Rum 1★ #D29</v>
      </c>
      <c r="P757" s="249">
        <f>IFERROR(__xludf.DUMMYFUNCTION("""COMPUTED_VALUE"""),50.0)</f>
        <v>50</v>
      </c>
      <c r="Q757" s="481"/>
    </row>
    <row r="758" ht="12.75" customHeight="1">
      <c r="G758" s="480" t="s">
        <v>2025</v>
      </c>
      <c r="H758" s="249">
        <v>50.0</v>
      </c>
      <c r="I758" s="479">
        <v>0.0024423602969910123</v>
      </c>
      <c r="K758" s="249"/>
      <c r="L758" s="480"/>
      <c r="M758" s="481"/>
      <c r="O758" s="492" t="str">
        <f>IFERROR(__xludf.DUMMYFUNCTION("""COMPUTED_VALUE"""),"Dead Man Bay - Rum 1★ #7DE")</f>
        <v>Dead Man Bay - Rum 1★ #7DE</v>
      </c>
      <c r="P758" s="249">
        <f>IFERROR(__xludf.DUMMYFUNCTION("""COMPUTED_VALUE"""),50.0)</f>
        <v>50</v>
      </c>
      <c r="Q758" s="481"/>
    </row>
    <row r="759" ht="12.75" customHeight="1">
      <c r="G759" s="480" t="s">
        <v>2026</v>
      </c>
      <c r="H759" s="249">
        <v>50.0</v>
      </c>
      <c r="I759" s="479">
        <v>0.0024423602969910123</v>
      </c>
      <c r="K759" s="249"/>
      <c r="L759" s="480"/>
      <c r="M759" s="481"/>
      <c r="O759" s="492" t="str">
        <f>IFERROR(__xludf.DUMMYFUNCTION("""COMPUTED_VALUE"""),"Dead Man Bay - Rum 1★ #293")</f>
        <v>Dead Man Bay - Rum 1★ #293</v>
      </c>
      <c r="P759" s="249">
        <f>IFERROR(__xludf.DUMMYFUNCTION("""COMPUTED_VALUE"""),50.0)</f>
        <v>50</v>
      </c>
      <c r="Q759" s="481"/>
    </row>
    <row r="760" ht="12.75" customHeight="1">
      <c r="G760" s="480" t="s">
        <v>2027</v>
      </c>
      <c r="H760" s="249">
        <v>50.0</v>
      </c>
      <c r="I760" s="479">
        <v>0.0024423602969910123</v>
      </c>
      <c r="K760" s="249"/>
      <c r="L760" s="480"/>
      <c r="M760" s="481"/>
      <c r="O760" s="492" t="str">
        <f>IFERROR(__xludf.DUMMYFUNCTION("""COMPUTED_VALUE"""),"Dead Man Bay - Rum 1★ #D48")</f>
        <v>Dead Man Bay - Rum 1★ #D48</v>
      </c>
      <c r="P760" s="249">
        <f>IFERROR(__xludf.DUMMYFUNCTION("""COMPUTED_VALUE"""),50.0)</f>
        <v>50</v>
      </c>
      <c r="Q760" s="481"/>
    </row>
    <row r="761" ht="12.75" customHeight="1">
      <c r="G761" s="480" t="s">
        <v>2028</v>
      </c>
      <c r="H761" s="249">
        <v>50.0</v>
      </c>
      <c r="I761" s="479">
        <v>0.0024423602969910123</v>
      </c>
      <c r="K761" s="249"/>
      <c r="L761" s="480"/>
      <c r="M761" s="481"/>
      <c r="O761" s="492" t="str">
        <f>IFERROR(__xludf.DUMMYFUNCTION("""COMPUTED_VALUE"""),"Dead Man Bay - Rum 1★ #7FD")</f>
        <v>Dead Man Bay - Rum 1★ #7FD</v>
      </c>
      <c r="P761" s="249">
        <f>IFERROR(__xludf.DUMMYFUNCTION("""COMPUTED_VALUE"""),50.0)</f>
        <v>50</v>
      </c>
      <c r="Q761" s="481"/>
    </row>
    <row r="762" ht="12.75" customHeight="1">
      <c r="G762" s="480" t="s">
        <v>2029</v>
      </c>
      <c r="H762" s="249">
        <v>50.0</v>
      </c>
      <c r="I762" s="479">
        <v>0.0024423602969910123</v>
      </c>
      <c r="K762" s="249"/>
      <c r="L762" s="480"/>
      <c r="M762" s="481"/>
      <c r="O762" s="492" t="str">
        <f>IFERROR(__xludf.DUMMYFUNCTION("""COMPUTED_VALUE"""),"Dead Man Bay - Rum 1★ #2B2")</f>
        <v>Dead Man Bay - Rum 1★ #2B2</v>
      </c>
      <c r="P762" s="249">
        <f>IFERROR(__xludf.DUMMYFUNCTION("""COMPUTED_VALUE"""),50.0)</f>
        <v>50</v>
      </c>
      <c r="Q762" s="481"/>
    </row>
    <row r="763" ht="12.75" customHeight="1">
      <c r="G763" s="480" t="s">
        <v>2031</v>
      </c>
      <c r="H763" s="249">
        <v>50.0</v>
      </c>
      <c r="I763" s="479">
        <v>0.0024423602969910123</v>
      </c>
      <c r="K763" s="249"/>
      <c r="L763" s="480"/>
      <c r="M763" s="481"/>
      <c r="O763" s="492" t="str">
        <f>IFERROR(__xludf.DUMMYFUNCTION("""COMPUTED_VALUE"""),"Dead Man Bay - Rum 1★ #D67")</f>
        <v>Dead Man Bay - Rum 1★ #D67</v>
      </c>
      <c r="P763" s="249">
        <f>IFERROR(__xludf.DUMMYFUNCTION("""COMPUTED_VALUE"""),50.0)</f>
        <v>50</v>
      </c>
      <c r="Q763" s="481"/>
    </row>
    <row r="764" ht="12.75" customHeight="1">
      <c r="G764" s="480" t="s">
        <v>2032</v>
      </c>
      <c r="H764" s="249">
        <v>50.0</v>
      </c>
      <c r="I764" s="479">
        <v>0.0024423602969910123</v>
      </c>
      <c r="K764" s="249"/>
      <c r="L764" s="480"/>
      <c r="M764" s="481"/>
      <c r="O764" s="492" t="str">
        <f>IFERROR(__xludf.DUMMYFUNCTION("""COMPUTED_VALUE"""),"Dead Man Bay - Rum 1★ #81C")</f>
        <v>Dead Man Bay - Rum 1★ #81C</v>
      </c>
      <c r="P764" s="249">
        <f>IFERROR(__xludf.DUMMYFUNCTION("""COMPUTED_VALUE"""),50.0)</f>
        <v>50</v>
      </c>
      <c r="Q764" s="481"/>
    </row>
    <row r="765" ht="12.75" customHeight="1">
      <c r="G765" s="480" t="s">
        <v>2033</v>
      </c>
      <c r="H765" s="249">
        <v>50.0</v>
      </c>
      <c r="I765" s="479">
        <v>0.0024423602969910123</v>
      </c>
      <c r="K765" s="249"/>
      <c r="L765" s="480"/>
      <c r="M765" s="481"/>
      <c r="O765" s="492" t="str">
        <f>IFERROR(__xludf.DUMMYFUNCTION("""COMPUTED_VALUE"""),"Dead Man Bay - Rum 1★ #2D1")</f>
        <v>Dead Man Bay - Rum 1★ #2D1</v>
      </c>
      <c r="P765" s="249">
        <f>IFERROR(__xludf.DUMMYFUNCTION("""COMPUTED_VALUE"""),50.0)</f>
        <v>50</v>
      </c>
      <c r="Q765" s="481"/>
    </row>
    <row r="766" ht="12.75" customHeight="1">
      <c r="G766" s="480" t="s">
        <v>2034</v>
      </c>
      <c r="H766" s="249">
        <v>50.0</v>
      </c>
      <c r="I766" s="479">
        <v>0.0024423602969910123</v>
      </c>
      <c r="K766" s="249"/>
      <c r="L766" s="480"/>
      <c r="M766" s="481"/>
      <c r="O766" s="492" t="str">
        <f>IFERROR(__xludf.DUMMYFUNCTION("""COMPUTED_VALUE"""),"Dead Man Bay - Rum 1★ #D86")</f>
        <v>Dead Man Bay - Rum 1★ #D86</v>
      </c>
      <c r="P766" s="249">
        <f>IFERROR(__xludf.DUMMYFUNCTION("""COMPUTED_VALUE"""),50.0)</f>
        <v>50</v>
      </c>
      <c r="Q766" s="481"/>
    </row>
    <row r="767" ht="12.75" customHeight="1">
      <c r="G767" s="480" t="s">
        <v>2035</v>
      </c>
      <c r="H767" s="249">
        <v>50.0</v>
      </c>
      <c r="I767" s="479">
        <v>0.0024423602969910123</v>
      </c>
      <c r="K767" s="249"/>
      <c r="L767" s="480"/>
      <c r="M767" s="481"/>
      <c r="O767" s="492" t="str">
        <f>IFERROR(__xludf.DUMMYFUNCTION("""COMPUTED_VALUE"""),"Dead Man Bay - Rum 1★ #83B")</f>
        <v>Dead Man Bay - Rum 1★ #83B</v>
      </c>
      <c r="P767" s="249">
        <f>IFERROR(__xludf.DUMMYFUNCTION("""COMPUTED_VALUE"""),50.0)</f>
        <v>50</v>
      </c>
      <c r="Q767" s="481"/>
    </row>
    <row r="768" ht="12.75" customHeight="1">
      <c r="G768" s="480" t="s">
        <v>2036</v>
      </c>
      <c r="H768" s="249">
        <v>50.0</v>
      </c>
      <c r="I768" s="479">
        <v>0.0024423602969910123</v>
      </c>
      <c r="K768" s="249"/>
      <c r="L768" s="480"/>
      <c r="M768" s="481"/>
      <c r="O768" s="492" t="str">
        <f>IFERROR(__xludf.DUMMYFUNCTION("""COMPUTED_VALUE"""),"Dead Man Bay - Rum 1★ #2F0")</f>
        <v>Dead Man Bay - Rum 1★ #2F0</v>
      </c>
      <c r="P768" s="249">
        <f>IFERROR(__xludf.DUMMYFUNCTION("""COMPUTED_VALUE"""),50.0)</f>
        <v>50</v>
      </c>
      <c r="Q768" s="481"/>
    </row>
    <row r="769" ht="12.75" customHeight="1">
      <c r="G769" s="480" t="s">
        <v>2037</v>
      </c>
      <c r="H769" s="249">
        <v>50.0</v>
      </c>
      <c r="I769" s="479">
        <v>0.0024423602969910123</v>
      </c>
      <c r="K769" s="249"/>
      <c r="L769" s="480"/>
      <c r="M769" s="481"/>
      <c r="O769" s="492" t="str">
        <f>IFERROR(__xludf.DUMMYFUNCTION("""COMPUTED_VALUE"""),"Dead Man Bay - Rum 1★ #DA5")</f>
        <v>Dead Man Bay - Rum 1★ #DA5</v>
      </c>
      <c r="P769" s="249">
        <f>IFERROR(__xludf.DUMMYFUNCTION("""COMPUTED_VALUE"""),50.0)</f>
        <v>50</v>
      </c>
      <c r="Q769" s="481"/>
    </row>
    <row r="770" ht="12.75" customHeight="1">
      <c r="G770" s="480" t="s">
        <v>2038</v>
      </c>
      <c r="H770" s="249">
        <v>20.0</v>
      </c>
      <c r="I770" s="479">
        <v>9.769441187964048E-4</v>
      </c>
      <c r="K770" s="249"/>
      <c r="L770" s="480"/>
      <c r="M770" s="481"/>
      <c r="O770" s="492" t="str">
        <f>IFERROR(__xludf.DUMMYFUNCTION("""COMPUTED_VALUE"""),"Dead Man Bay - Treasure Map 2★ #85A")</f>
        <v>Dead Man Bay - Treasure Map 2★ #85A</v>
      </c>
      <c r="P770" s="249">
        <f>IFERROR(__xludf.DUMMYFUNCTION("""COMPUTED_VALUE"""),20.0)</f>
        <v>20</v>
      </c>
      <c r="Q770" s="481"/>
    </row>
    <row r="771" ht="12.75" customHeight="1">
      <c r="G771" s="480" t="s">
        <v>2039</v>
      </c>
      <c r="H771" s="249">
        <v>20.0</v>
      </c>
      <c r="I771" s="479">
        <v>9.769441187964048E-4</v>
      </c>
      <c r="K771" s="249"/>
      <c r="L771" s="480"/>
      <c r="M771" s="481"/>
      <c r="O771" s="492" t="str">
        <f>IFERROR(__xludf.DUMMYFUNCTION("""COMPUTED_VALUE"""),"Dead Man Bay - Treasure Map 2★ #30F")</f>
        <v>Dead Man Bay - Treasure Map 2★ #30F</v>
      </c>
      <c r="P771" s="249">
        <f>IFERROR(__xludf.DUMMYFUNCTION("""COMPUTED_VALUE"""),20.0)</f>
        <v>20</v>
      </c>
      <c r="Q771" s="481"/>
    </row>
    <row r="772" ht="12.75" customHeight="1">
      <c r="G772" s="480" t="s">
        <v>2040</v>
      </c>
      <c r="H772" s="249">
        <v>20.0</v>
      </c>
      <c r="I772" s="479">
        <v>9.769441187964048E-4</v>
      </c>
      <c r="K772" s="249"/>
      <c r="L772" s="480"/>
      <c r="M772" s="481"/>
      <c r="O772" s="492" t="str">
        <f>IFERROR(__xludf.DUMMYFUNCTION("""COMPUTED_VALUE"""),"Dead Man Bay - Treasure Map 2★ #DC4")</f>
        <v>Dead Man Bay - Treasure Map 2★ #DC4</v>
      </c>
      <c r="P772" s="249">
        <f>IFERROR(__xludf.DUMMYFUNCTION("""COMPUTED_VALUE"""),20.0)</f>
        <v>20</v>
      </c>
      <c r="Q772" s="481"/>
    </row>
    <row r="773" ht="12.75" customHeight="1">
      <c r="G773" s="480" t="s">
        <v>2041</v>
      </c>
      <c r="H773" s="249">
        <v>20.0</v>
      </c>
      <c r="I773" s="479">
        <v>9.769441187964048E-4</v>
      </c>
      <c r="K773" s="249"/>
      <c r="L773" s="480"/>
      <c r="M773" s="481"/>
      <c r="O773" s="492" t="str">
        <f>IFERROR(__xludf.DUMMYFUNCTION("""COMPUTED_VALUE"""),"Dead Man Bay - Treasure Map 2★ #879")</f>
        <v>Dead Man Bay - Treasure Map 2★ #879</v>
      </c>
      <c r="P773" s="249">
        <f>IFERROR(__xludf.DUMMYFUNCTION("""COMPUTED_VALUE"""),20.0)</f>
        <v>20</v>
      </c>
      <c r="Q773" s="481"/>
    </row>
    <row r="774" ht="12.75" customHeight="1">
      <c r="G774" s="480" t="s">
        <v>2042</v>
      </c>
      <c r="H774" s="249">
        <v>20.0</v>
      </c>
      <c r="I774" s="479">
        <v>9.769441187964048E-4</v>
      </c>
      <c r="K774" s="249"/>
      <c r="L774" s="480"/>
      <c r="M774" s="481"/>
      <c r="O774" s="492" t="str">
        <f>IFERROR(__xludf.DUMMYFUNCTION("""COMPUTED_VALUE"""),"Dead Man Bay - Treasure Map 2★ #32E")</f>
        <v>Dead Man Bay - Treasure Map 2★ #32E</v>
      </c>
      <c r="P774" s="249">
        <f>IFERROR(__xludf.DUMMYFUNCTION("""COMPUTED_VALUE"""),20.0)</f>
        <v>20</v>
      </c>
      <c r="Q774" s="481"/>
    </row>
    <row r="775" ht="12.75" customHeight="1">
      <c r="G775" s="480" t="s">
        <v>2043</v>
      </c>
      <c r="H775" s="249">
        <v>20.0</v>
      </c>
      <c r="I775" s="479">
        <v>9.769441187964048E-4</v>
      </c>
      <c r="K775" s="249"/>
      <c r="L775" s="480"/>
      <c r="M775" s="481"/>
      <c r="O775" s="492" t="str">
        <f>IFERROR(__xludf.DUMMYFUNCTION("""COMPUTED_VALUE"""),"Dead Man Bay - Treasure Map 2★ #DE3")</f>
        <v>Dead Man Bay - Treasure Map 2★ #DE3</v>
      </c>
      <c r="P775" s="249">
        <f>IFERROR(__xludf.DUMMYFUNCTION("""COMPUTED_VALUE"""),20.0)</f>
        <v>20</v>
      </c>
      <c r="Q775" s="481"/>
    </row>
    <row r="776" ht="12.75" customHeight="1">
      <c r="G776" s="480" t="s">
        <v>2044</v>
      </c>
      <c r="H776" s="249">
        <v>20.0</v>
      </c>
      <c r="I776" s="479">
        <v>9.769441187964048E-4</v>
      </c>
      <c r="K776" s="249"/>
      <c r="L776" s="480"/>
      <c r="M776" s="481"/>
      <c r="O776" s="492" t="str">
        <f>IFERROR(__xludf.DUMMYFUNCTION("""COMPUTED_VALUE"""),"Dead Man Bay - Treasure Map 2★ #898")</f>
        <v>Dead Man Bay - Treasure Map 2★ #898</v>
      </c>
      <c r="P776" s="249">
        <f>IFERROR(__xludf.DUMMYFUNCTION("""COMPUTED_VALUE"""),20.0)</f>
        <v>20</v>
      </c>
      <c r="Q776" s="481"/>
    </row>
    <row r="777" ht="12.75" customHeight="1">
      <c r="G777" s="480" t="s">
        <v>2045</v>
      </c>
      <c r="H777" s="249">
        <v>20.0</v>
      </c>
      <c r="I777" s="479">
        <v>9.769441187964048E-4</v>
      </c>
      <c r="K777" s="249"/>
      <c r="L777" s="480"/>
      <c r="M777" s="481"/>
      <c r="O777" s="492" t="str">
        <f>IFERROR(__xludf.DUMMYFUNCTION("""COMPUTED_VALUE"""),"Dead Man Bay - Treasure Map 2★ #34D")</f>
        <v>Dead Man Bay - Treasure Map 2★ #34D</v>
      </c>
      <c r="P777" s="249">
        <f>IFERROR(__xludf.DUMMYFUNCTION("""COMPUTED_VALUE"""),20.0)</f>
        <v>20</v>
      </c>
      <c r="Q777" s="481"/>
    </row>
    <row r="778" ht="12.75" customHeight="1">
      <c r="G778" s="480" t="s">
        <v>2046</v>
      </c>
      <c r="H778" s="249">
        <v>20.0</v>
      </c>
      <c r="I778" s="479">
        <v>9.769441187964048E-4</v>
      </c>
      <c r="K778" s="249"/>
      <c r="L778" s="480"/>
      <c r="M778" s="481"/>
      <c r="O778" s="492" t="str">
        <f>IFERROR(__xludf.DUMMYFUNCTION("""COMPUTED_VALUE"""),"Dead Man Bay - Treasure Map 2★ #E02")</f>
        <v>Dead Man Bay - Treasure Map 2★ #E02</v>
      </c>
      <c r="P778" s="249">
        <f>IFERROR(__xludf.DUMMYFUNCTION("""COMPUTED_VALUE"""),20.0)</f>
        <v>20</v>
      </c>
      <c r="Q778" s="481"/>
    </row>
    <row r="779" ht="12.75" customHeight="1">
      <c r="G779" s="480" t="s">
        <v>2047</v>
      </c>
      <c r="H779" s="249">
        <v>20.0</v>
      </c>
      <c r="I779" s="479">
        <v>9.769441187964048E-4</v>
      </c>
      <c r="K779" s="249"/>
      <c r="L779" s="480"/>
      <c r="M779" s="481"/>
      <c r="O779" s="492" t="str">
        <f>IFERROR(__xludf.DUMMYFUNCTION("""COMPUTED_VALUE"""),"Dead Man Bay - Treasure Map 2★ #8B7")</f>
        <v>Dead Man Bay - Treasure Map 2★ #8B7</v>
      </c>
      <c r="P779" s="249">
        <f>IFERROR(__xludf.DUMMYFUNCTION("""COMPUTED_VALUE"""),20.0)</f>
        <v>20</v>
      </c>
      <c r="Q779" s="481"/>
    </row>
    <row r="780" ht="12.75" customHeight="1">
      <c r="G780" s="480" t="s">
        <v>2048</v>
      </c>
      <c r="H780" s="249">
        <v>20.0</v>
      </c>
      <c r="I780" s="479">
        <v>9.769441187964048E-4</v>
      </c>
      <c r="K780" s="249"/>
      <c r="L780" s="480"/>
      <c r="M780" s="481"/>
      <c r="O780" s="492" t="str">
        <f>IFERROR(__xludf.DUMMYFUNCTION("""COMPUTED_VALUE"""),"Dead Man Bay - Treasure Map 2★ #36C")</f>
        <v>Dead Man Bay - Treasure Map 2★ #36C</v>
      </c>
      <c r="P780" s="249">
        <f>IFERROR(__xludf.DUMMYFUNCTION("""COMPUTED_VALUE"""),20.0)</f>
        <v>20</v>
      </c>
      <c r="Q780" s="481"/>
    </row>
    <row r="781" ht="12.75" customHeight="1">
      <c r="G781" s="480" t="s">
        <v>2049</v>
      </c>
      <c r="H781" s="249">
        <v>20.0</v>
      </c>
      <c r="I781" s="479">
        <v>9.769441187964048E-4</v>
      </c>
      <c r="K781" s="249"/>
      <c r="L781" s="480"/>
      <c r="M781" s="481"/>
      <c r="O781" s="492" t="str">
        <f>IFERROR(__xludf.DUMMYFUNCTION("""COMPUTED_VALUE"""),"Dead Man Bay - Treasure Map 2★ #E21")</f>
        <v>Dead Man Bay - Treasure Map 2★ #E21</v>
      </c>
      <c r="P781" s="249">
        <f>IFERROR(__xludf.DUMMYFUNCTION("""COMPUTED_VALUE"""),20.0)</f>
        <v>20</v>
      </c>
      <c r="Q781" s="481"/>
    </row>
    <row r="782" ht="12.75" customHeight="1">
      <c r="G782" s="480" t="s">
        <v>2050</v>
      </c>
      <c r="H782" s="249">
        <v>20.0</v>
      </c>
      <c r="I782" s="479">
        <v>9.769441187964048E-4</v>
      </c>
      <c r="K782" s="249"/>
      <c r="L782" s="480"/>
      <c r="M782" s="481"/>
      <c r="O782" s="492" t="str">
        <f>IFERROR(__xludf.DUMMYFUNCTION("""COMPUTED_VALUE"""),"Dead Man Bay - Jolly Roger 2★ #8D6")</f>
        <v>Dead Man Bay - Jolly Roger 2★ #8D6</v>
      </c>
      <c r="P782" s="249">
        <f>IFERROR(__xludf.DUMMYFUNCTION("""COMPUTED_VALUE"""),20.0)</f>
        <v>20</v>
      </c>
      <c r="Q782" s="481"/>
    </row>
    <row r="783" ht="12.75" customHeight="1">
      <c r="G783" s="480" t="s">
        <v>2051</v>
      </c>
      <c r="H783" s="249">
        <v>20.0</v>
      </c>
      <c r="I783" s="479">
        <v>9.769441187964048E-4</v>
      </c>
      <c r="K783" s="249"/>
      <c r="L783" s="480"/>
      <c r="M783" s="481"/>
      <c r="O783" s="492" t="str">
        <f>IFERROR(__xludf.DUMMYFUNCTION("""COMPUTED_VALUE"""),"Dead Man Bay - Jolly Roger 2★ #38B")</f>
        <v>Dead Man Bay - Jolly Roger 2★ #38B</v>
      </c>
      <c r="P783" s="249">
        <f>IFERROR(__xludf.DUMMYFUNCTION("""COMPUTED_VALUE"""),20.0)</f>
        <v>20</v>
      </c>
      <c r="Q783" s="481"/>
    </row>
    <row r="784" ht="12.75" customHeight="1">
      <c r="G784" s="480" t="s">
        <v>2052</v>
      </c>
      <c r="H784" s="249">
        <v>20.0</v>
      </c>
      <c r="I784" s="479">
        <v>9.769441187964048E-4</v>
      </c>
      <c r="K784" s="249"/>
      <c r="L784" s="480"/>
      <c r="M784" s="481"/>
      <c r="O784" s="492" t="str">
        <f>IFERROR(__xludf.DUMMYFUNCTION("""COMPUTED_VALUE"""),"Dead Man Bay - Jolly Roger 2★ #E40")</f>
        <v>Dead Man Bay - Jolly Roger 2★ #E40</v>
      </c>
      <c r="P784" s="249">
        <f>IFERROR(__xludf.DUMMYFUNCTION("""COMPUTED_VALUE"""),20.0)</f>
        <v>20</v>
      </c>
      <c r="Q784" s="481"/>
    </row>
    <row r="785" ht="12.75" customHeight="1">
      <c r="G785" s="480" t="s">
        <v>2053</v>
      </c>
      <c r="H785" s="249">
        <v>20.0</v>
      </c>
      <c r="I785" s="479">
        <v>9.769441187964048E-4</v>
      </c>
      <c r="K785" s="249"/>
      <c r="L785" s="480"/>
      <c r="M785" s="481"/>
      <c r="O785" s="492" t="str">
        <f>IFERROR(__xludf.DUMMYFUNCTION("""COMPUTED_VALUE"""),"Dead Man Bay - Jolly Roger 2★ #8F5")</f>
        <v>Dead Man Bay - Jolly Roger 2★ #8F5</v>
      </c>
      <c r="P785" s="249">
        <f>IFERROR(__xludf.DUMMYFUNCTION("""COMPUTED_VALUE"""),20.0)</f>
        <v>20</v>
      </c>
      <c r="Q785" s="481"/>
    </row>
    <row r="786" ht="12.75" customHeight="1">
      <c r="G786" s="480" t="s">
        <v>2054</v>
      </c>
      <c r="H786" s="249">
        <v>20.0</v>
      </c>
      <c r="I786" s="479">
        <v>9.769441187964048E-4</v>
      </c>
      <c r="K786" s="249"/>
      <c r="L786" s="480"/>
      <c r="M786" s="481"/>
      <c r="O786" s="492" t="str">
        <f>IFERROR(__xludf.DUMMYFUNCTION("""COMPUTED_VALUE"""),"Dead Man Bay - Jolly Roger 2★ #3AA")</f>
        <v>Dead Man Bay - Jolly Roger 2★ #3AA</v>
      </c>
      <c r="P786" s="249">
        <f>IFERROR(__xludf.DUMMYFUNCTION("""COMPUTED_VALUE"""),20.0)</f>
        <v>20</v>
      </c>
      <c r="Q786" s="481"/>
    </row>
    <row r="787" ht="12.75" customHeight="1">
      <c r="G787" s="480" t="s">
        <v>2055</v>
      </c>
      <c r="H787" s="249">
        <v>20.0</v>
      </c>
      <c r="I787" s="479">
        <v>9.769441187964048E-4</v>
      </c>
      <c r="K787" s="249"/>
      <c r="L787" s="480"/>
      <c r="M787" s="481"/>
      <c r="O787" s="492" t="str">
        <f>IFERROR(__xludf.DUMMYFUNCTION("""COMPUTED_VALUE"""),"Dead Man Bay - Jolly Roger 2★ #E5F")</f>
        <v>Dead Man Bay - Jolly Roger 2★ #E5F</v>
      </c>
      <c r="P787" s="249">
        <f>IFERROR(__xludf.DUMMYFUNCTION("""COMPUTED_VALUE"""),20.0)</f>
        <v>20</v>
      </c>
      <c r="Q787" s="481"/>
    </row>
    <row r="788" ht="12.75" customHeight="1">
      <c r="G788" s="480" t="s">
        <v>2056</v>
      </c>
      <c r="H788" s="249">
        <v>20.0</v>
      </c>
      <c r="I788" s="479">
        <v>9.769441187964048E-4</v>
      </c>
      <c r="K788" s="249"/>
      <c r="L788" s="480"/>
      <c r="M788" s="481"/>
      <c r="O788" s="492" t="str">
        <f>IFERROR(__xludf.DUMMYFUNCTION("""COMPUTED_VALUE"""),"Dead Man Bay - Jolly Roger 2★ #914")</f>
        <v>Dead Man Bay - Jolly Roger 2★ #914</v>
      </c>
      <c r="P788" s="249">
        <f>IFERROR(__xludf.DUMMYFUNCTION("""COMPUTED_VALUE"""),20.0)</f>
        <v>20</v>
      </c>
      <c r="Q788" s="481"/>
    </row>
    <row r="789" ht="12.75" customHeight="1">
      <c r="G789" s="480" t="s">
        <v>2057</v>
      </c>
      <c r="H789" s="249">
        <v>20.0</v>
      </c>
      <c r="I789" s="479">
        <v>9.769441187964048E-4</v>
      </c>
      <c r="K789" s="249"/>
      <c r="L789" s="480"/>
      <c r="M789" s="481"/>
      <c r="O789" s="492" t="str">
        <f>IFERROR(__xludf.DUMMYFUNCTION("""COMPUTED_VALUE"""),"Dead Man Bay - Jolly Roger 2★ #3C9")</f>
        <v>Dead Man Bay - Jolly Roger 2★ #3C9</v>
      </c>
      <c r="P789" s="249">
        <f>IFERROR(__xludf.DUMMYFUNCTION("""COMPUTED_VALUE"""),20.0)</f>
        <v>20</v>
      </c>
      <c r="Q789" s="481"/>
    </row>
    <row r="790" ht="12.75" customHeight="1">
      <c r="G790" s="480" t="s">
        <v>2058</v>
      </c>
      <c r="H790" s="249">
        <v>20.0</v>
      </c>
      <c r="I790" s="479">
        <v>9.769441187964048E-4</v>
      </c>
      <c r="K790" s="249"/>
      <c r="L790" s="480"/>
      <c r="M790" s="481"/>
      <c r="O790" s="492" t="str">
        <f>IFERROR(__xludf.DUMMYFUNCTION("""COMPUTED_VALUE"""),"Dead Man Bay - Jolly Roger 2★ #E7E")</f>
        <v>Dead Man Bay - Jolly Roger 2★ #E7E</v>
      </c>
      <c r="P790" s="249">
        <f>IFERROR(__xludf.DUMMYFUNCTION("""COMPUTED_VALUE"""),20.0)</f>
        <v>20</v>
      </c>
      <c r="Q790" s="481"/>
    </row>
    <row r="791" ht="12.75" customHeight="1">
      <c r="G791" s="480" t="s">
        <v>2059</v>
      </c>
      <c r="H791" s="249">
        <v>20.0</v>
      </c>
      <c r="I791" s="479">
        <v>9.769441187964048E-4</v>
      </c>
      <c r="K791" s="249"/>
      <c r="L791" s="480"/>
      <c r="M791" s="481"/>
      <c r="O791" s="492" t="str">
        <f>IFERROR(__xludf.DUMMYFUNCTION("""COMPUTED_VALUE"""),"Dead Man Bay - Jolly Roger 2★ #933")</f>
        <v>Dead Man Bay - Jolly Roger 2★ #933</v>
      </c>
      <c r="P791" s="249">
        <f>IFERROR(__xludf.DUMMYFUNCTION("""COMPUTED_VALUE"""),20.0)</f>
        <v>20</v>
      </c>
      <c r="Q791" s="481"/>
    </row>
    <row r="792" ht="12.75" customHeight="1">
      <c r="G792" s="480" t="s">
        <v>2060</v>
      </c>
      <c r="H792" s="249">
        <v>20.0</v>
      </c>
      <c r="I792" s="479">
        <v>9.769441187964048E-4</v>
      </c>
      <c r="K792" s="249"/>
      <c r="L792" s="480"/>
      <c r="M792" s="481"/>
      <c r="O792" s="492" t="str">
        <f>IFERROR(__xludf.DUMMYFUNCTION("""COMPUTED_VALUE"""),"Dead Man Bay - Jolly Roger 2★ #3E8")</f>
        <v>Dead Man Bay - Jolly Roger 2★ #3E8</v>
      </c>
      <c r="P792" s="249">
        <f>IFERROR(__xludf.DUMMYFUNCTION("""COMPUTED_VALUE"""),20.0)</f>
        <v>20</v>
      </c>
      <c r="Q792" s="481"/>
    </row>
    <row r="793" ht="12.75" customHeight="1">
      <c r="G793" s="480" t="s">
        <v>2061</v>
      </c>
      <c r="H793" s="249">
        <v>20.0</v>
      </c>
      <c r="I793" s="479">
        <v>9.769441187964048E-4</v>
      </c>
      <c r="K793" s="249"/>
      <c r="L793" s="480"/>
      <c r="M793" s="481"/>
      <c r="O793" s="492" t="str">
        <f>IFERROR(__xludf.DUMMYFUNCTION("""COMPUTED_VALUE"""),"Dead Man Bay - Jolly Roger 2★ #E9D")</f>
        <v>Dead Man Bay - Jolly Roger 2★ #E9D</v>
      </c>
      <c r="P793" s="249">
        <f>IFERROR(__xludf.DUMMYFUNCTION("""COMPUTED_VALUE"""),20.0)</f>
        <v>20</v>
      </c>
      <c r="Q793" s="481"/>
    </row>
    <row r="794" ht="12.75" customHeight="1">
      <c r="G794" s="480" t="s">
        <v>2062</v>
      </c>
      <c r="H794" s="249">
        <v>10.0</v>
      </c>
      <c r="I794" s="479">
        <v>4.884720593982024E-4</v>
      </c>
      <c r="K794" s="249"/>
      <c r="L794" s="480"/>
      <c r="M794" s="481"/>
      <c r="O794" s="492" t="str">
        <f>IFERROR(__xludf.DUMMYFUNCTION("""COMPUTED_VALUE"""),"Dead Man Bay - Gold Tooth 3★ #952")</f>
        <v>Dead Man Bay - Gold Tooth 3★ #952</v>
      </c>
      <c r="P794" s="249">
        <f>IFERROR(__xludf.DUMMYFUNCTION("""COMPUTED_VALUE"""),10.0)</f>
        <v>10</v>
      </c>
      <c r="Q794" s="481"/>
    </row>
    <row r="795" ht="12.75" customHeight="1">
      <c r="G795" s="480" t="s">
        <v>2063</v>
      </c>
      <c r="H795" s="249">
        <v>10.0</v>
      </c>
      <c r="I795" s="479">
        <v>4.884720593982024E-4</v>
      </c>
      <c r="K795" s="249"/>
      <c r="L795" s="480"/>
      <c r="M795" s="481"/>
      <c r="O795" s="492" t="str">
        <f>IFERROR(__xludf.DUMMYFUNCTION("""COMPUTED_VALUE"""),"Dead Man Bay - Gold Tooth 3★ #407")</f>
        <v>Dead Man Bay - Gold Tooth 3★ #407</v>
      </c>
      <c r="P795" s="249">
        <f>IFERROR(__xludf.DUMMYFUNCTION("""COMPUTED_VALUE"""),10.0)</f>
        <v>10</v>
      </c>
      <c r="Q795" s="481"/>
    </row>
    <row r="796" ht="12.75" customHeight="1">
      <c r="G796" s="480" t="s">
        <v>2064</v>
      </c>
      <c r="H796" s="249">
        <v>10.0</v>
      </c>
      <c r="I796" s="479">
        <v>4.884720593982024E-4</v>
      </c>
      <c r="K796" s="249"/>
      <c r="L796" s="480"/>
      <c r="M796" s="481"/>
      <c r="O796" s="492" t="str">
        <f>IFERROR(__xludf.DUMMYFUNCTION("""COMPUTED_VALUE"""),"Dead Man Bay - Gold Tooth 3★ #EBC")</f>
        <v>Dead Man Bay - Gold Tooth 3★ #EBC</v>
      </c>
      <c r="P796" s="249">
        <f>IFERROR(__xludf.DUMMYFUNCTION("""COMPUTED_VALUE"""),10.0)</f>
        <v>10</v>
      </c>
      <c r="Q796" s="481"/>
    </row>
    <row r="797" ht="12.75" customHeight="1">
      <c r="G797" s="480" t="s">
        <v>2066</v>
      </c>
      <c r="H797" s="249">
        <v>10.0</v>
      </c>
      <c r="I797" s="479">
        <v>4.884720593982024E-4</v>
      </c>
      <c r="K797" s="249"/>
      <c r="L797" s="480"/>
      <c r="M797" s="481"/>
      <c r="O797" s="492" t="str">
        <f>IFERROR(__xludf.DUMMYFUNCTION("""COMPUTED_VALUE"""),"Dead Man Bay - Gold Tooth 3★ #971")</f>
        <v>Dead Man Bay - Gold Tooth 3★ #971</v>
      </c>
      <c r="P797" s="249">
        <f>IFERROR(__xludf.DUMMYFUNCTION("""COMPUTED_VALUE"""),10.0)</f>
        <v>10</v>
      </c>
      <c r="Q797" s="481"/>
    </row>
    <row r="798" ht="12.75" customHeight="1">
      <c r="G798" s="480" t="s">
        <v>2068</v>
      </c>
      <c r="H798" s="249">
        <v>10.0</v>
      </c>
      <c r="I798" s="479">
        <v>4.884720593982024E-4</v>
      </c>
      <c r="K798" s="249"/>
      <c r="L798" s="480"/>
      <c r="M798" s="481"/>
      <c r="O798" s="492" t="str">
        <f>IFERROR(__xludf.DUMMYFUNCTION("""COMPUTED_VALUE"""),"Dead Man Bay - Gold Tooth 3★ #426")</f>
        <v>Dead Man Bay - Gold Tooth 3★ #426</v>
      </c>
      <c r="P798" s="249">
        <f>IFERROR(__xludf.DUMMYFUNCTION("""COMPUTED_VALUE"""),10.0)</f>
        <v>10</v>
      </c>
      <c r="Q798" s="481"/>
    </row>
    <row r="799" ht="12.75" customHeight="1">
      <c r="G799" s="480" t="s">
        <v>2069</v>
      </c>
      <c r="H799" s="249">
        <v>10.0</v>
      </c>
      <c r="I799" s="479">
        <v>4.884720593982024E-4</v>
      </c>
      <c r="K799" s="249"/>
      <c r="L799" s="480"/>
      <c r="M799" s="481"/>
      <c r="O799" s="492" t="str">
        <f>IFERROR(__xludf.DUMMYFUNCTION("""COMPUTED_VALUE"""),"Dead Man Bay - Gold Tooth 3★ #EDB")</f>
        <v>Dead Man Bay - Gold Tooth 3★ #EDB</v>
      </c>
      <c r="P799" s="249">
        <f>IFERROR(__xludf.DUMMYFUNCTION("""COMPUTED_VALUE"""),10.0)</f>
        <v>10</v>
      </c>
      <c r="Q799" s="481"/>
    </row>
    <row r="800" ht="12.75" customHeight="1">
      <c r="G800" s="480" t="s">
        <v>2070</v>
      </c>
      <c r="H800" s="249">
        <v>10.0</v>
      </c>
      <c r="I800" s="479">
        <v>4.884720593982024E-4</v>
      </c>
      <c r="K800" s="249"/>
      <c r="L800" s="480"/>
      <c r="M800" s="481"/>
      <c r="O800" s="492" t="str">
        <f>IFERROR(__xludf.DUMMYFUNCTION("""COMPUTED_VALUE"""),"Dead Man Bay - Gold Tooth 3★ #990")</f>
        <v>Dead Man Bay - Gold Tooth 3★ #990</v>
      </c>
      <c r="P800" s="249">
        <f>IFERROR(__xludf.DUMMYFUNCTION("""COMPUTED_VALUE"""),10.0)</f>
        <v>10</v>
      </c>
      <c r="Q800" s="481"/>
    </row>
    <row r="801" ht="12.75" customHeight="1">
      <c r="G801" s="480" t="s">
        <v>2071</v>
      </c>
      <c r="H801" s="249">
        <v>10.0</v>
      </c>
      <c r="I801" s="479">
        <v>4.884720593982024E-4</v>
      </c>
      <c r="K801" s="249"/>
      <c r="L801" s="480"/>
      <c r="M801" s="481"/>
      <c r="O801" s="492" t="str">
        <f>IFERROR(__xludf.DUMMYFUNCTION("""COMPUTED_VALUE"""),"Dead Man Bay - Gold Tooth 3★ #445")</f>
        <v>Dead Man Bay - Gold Tooth 3★ #445</v>
      </c>
      <c r="P801" s="249">
        <f>IFERROR(__xludf.DUMMYFUNCTION("""COMPUTED_VALUE"""),10.0)</f>
        <v>10</v>
      </c>
      <c r="Q801" s="481"/>
    </row>
    <row r="802" ht="12.75" customHeight="1">
      <c r="G802" s="480" t="s">
        <v>2072</v>
      </c>
      <c r="H802" s="249">
        <v>10.0</v>
      </c>
      <c r="I802" s="479">
        <v>4.884720593982024E-4</v>
      </c>
      <c r="K802" s="249"/>
      <c r="L802" s="480"/>
      <c r="M802" s="481"/>
      <c r="O802" s="492" t="str">
        <f>IFERROR(__xludf.DUMMYFUNCTION("""COMPUTED_VALUE"""),"Dead Man Bay - Gold Tooth 3★ #EFA")</f>
        <v>Dead Man Bay - Gold Tooth 3★ #EFA</v>
      </c>
      <c r="P802" s="249">
        <f>IFERROR(__xludf.DUMMYFUNCTION("""COMPUTED_VALUE"""),10.0)</f>
        <v>10</v>
      </c>
      <c r="Q802" s="481"/>
    </row>
    <row r="803" ht="12.75" customHeight="1">
      <c r="G803" s="480" t="s">
        <v>2073</v>
      </c>
      <c r="H803" s="249">
        <v>10.0</v>
      </c>
      <c r="I803" s="479">
        <v>4.884720593982024E-4</v>
      </c>
      <c r="K803" s="249"/>
      <c r="L803" s="480"/>
      <c r="M803" s="481"/>
      <c r="O803" s="492" t="str">
        <f>IFERROR(__xludf.DUMMYFUNCTION("""COMPUTED_VALUE"""),"Dead Man Bay - Gold Tooth 3★ #9AF")</f>
        <v>Dead Man Bay - Gold Tooth 3★ #9AF</v>
      </c>
      <c r="P803" s="249">
        <f>IFERROR(__xludf.DUMMYFUNCTION("""COMPUTED_VALUE"""),10.0)</f>
        <v>10</v>
      </c>
      <c r="Q803" s="481"/>
    </row>
    <row r="804" ht="12.75" customHeight="1">
      <c r="G804" s="480" t="s">
        <v>2074</v>
      </c>
      <c r="H804" s="249">
        <v>10.0</v>
      </c>
      <c r="I804" s="479">
        <v>4.884720593982024E-4</v>
      </c>
      <c r="K804" s="249"/>
      <c r="L804" s="480"/>
      <c r="M804" s="481"/>
      <c r="O804" s="492" t="str">
        <f>IFERROR(__xludf.DUMMYFUNCTION("""COMPUTED_VALUE"""),"Dead Man Bay - Gold Tooth 3★ #464")</f>
        <v>Dead Man Bay - Gold Tooth 3★ #464</v>
      </c>
      <c r="P804" s="249">
        <f>IFERROR(__xludf.DUMMYFUNCTION("""COMPUTED_VALUE"""),10.0)</f>
        <v>10</v>
      </c>
      <c r="Q804" s="481"/>
    </row>
    <row r="805" ht="12.75" customHeight="1">
      <c r="G805" s="480" t="s">
        <v>2075</v>
      </c>
      <c r="H805" s="249">
        <v>10.0</v>
      </c>
      <c r="I805" s="479">
        <v>4.884720593982024E-4</v>
      </c>
      <c r="K805" s="249"/>
      <c r="L805" s="480"/>
      <c r="M805" s="481"/>
      <c r="O805" s="492" t="str">
        <f>IFERROR(__xludf.DUMMYFUNCTION("""COMPUTED_VALUE"""),"Dead Man Bay - Gold Tooth 3★ #F19")</f>
        <v>Dead Man Bay - Gold Tooth 3★ #F19</v>
      </c>
      <c r="P805" s="249">
        <f>IFERROR(__xludf.DUMMYFUNCTION("""COMPUTED_VALUE"""),10.0)</f>
        <v>10</v>
      </c>
      <c r="Q805" s="481"/>
    </row>
    <row r="806" ht="12.75" customHeight="1">
      <c r="G806" s="480" t="s">
        <v>2076</v>
      </c>
      <c r="H806" s="249">
        <v>10.0</v>
      </c>
      <c r="I806" s="479">
        <v>4.884720593982024E-4</v>
      </c>
      <c r="K806" s="249"/>
      <c r="L806" s="480"/>
      <c r="M806" s="481"/>
      <c r="O806" s="492" t="str">
        <f>IFERROR(__xludf.DUMMYFUNCTION("""COMPUTED_VALUE"""),"Dead Man Bay - Gold Tooth 3★ #9CE")</f>
        <v>Dead Man Bay - Gold Tooth 3★ #9CE</v>
      </c>
      <c r="P806" s="249">
        <f>IFERROR(__xludf.DUMMYFUNCTION("""COMPUTED_VALUE"""),10.0)</f>
        <v>10</v>
      </c>
      <c r="Q806" s="481"/>
    </row>
    <row r="807" ht="12.75" customHeight="1">
      <c r="G807" s="480" t="s">
        <v>2077</v>
      </c>
      <c r="H807" s="249">
        <v>5.0</v>
      </c>
      <c r="I807" s="479">
        <v>2.442360296991012E-4</v>
      </c>
      <c r="K807" s="249"/>
      <c r="L807" s="480"/>
      <c r="M807" s="481"/>
      <c r="O807" s="492" t="str">
        <f>IFERROR(__xludf.DUMMYFUNCTION("""COMPUTED_VALUE"""),"Dead Man Bay - Dagger 4★ #483")</f>
        <v>Dead Man Bay - Dagger 4★ #483</v>
      </c>
      <c r="P807" s="249">
        <f>IFERROR(__xludf.DUMMYFUNCTION("""COMPUTED_VALUE"""),5.0)</f>
        <v>5</v>
      </c>
      <c r="Q807" s="481"/>
    </row>
    <row r="808" ht="12.75" customHeight="1">
      <c r="G808" s="480" t="s">
        <v>2078</v>
      </c>
      <c r="H808" s="249">
        <v>5.0</v>
      </c>
      <c r="I808" s="479">
        <v>2.442360296991012E-4</v>
      </c>
      <c r="K808" s="249"/>
      <c r="L808" s="480"/>
      <c r="M808" s="481"/>
      <c r="O808" s="492" t="str">
        <f>IFERROR(__xludf.DUMMYFUNCTION("""COMPUTED_VALUE"""),"Dead Man Bay - Dagger 4★ #F38")</f>
        <v>Dead Man Bay - Dagger 4★ #F38</v>
      </c>
      <c r="P808" s="249">
        <f>IFERROR(__xludf.DUMMYFUNCTION("""COMPUTED_VALUE"""),5.0)</f>
        <v>5</v>
      </c>
      <c r="Q808" s="481"/>
    </row>
    <row r="809" ht="12.75" customHeight="1">
      <c r="G809" s="480" t="s">
        <v>2079</v>
      </c>
      <c r="H809" s="249">
        <v>5.0</v>
      </c>
      <c r="I809" s="479">
        <v>2.442360296991012E-4</v>
      </c>
      <c r="K809" s="249"/>
      <c r="L809" s="480"/>
      <c r="M809" s="481"/>
      <c r="O809" s="492" t="str">
        <f>IFERROR(__xludf.DUMMYFUNCTION("""COMPUTED_VALUE"""),"Dead Man Bay - Dagger 4★ #9ED")</f>
        <v>Dead Man Bay - Dagger 4★ #9ED</v>
      </c>
      <c r="P809" s="249">
        <f>IFERROR(__xludf.DUMMYFUNCTION("""COMPUTED_VALUE"""),5.0)</f>
        <v>5</v>
      </c>
      <c r="Q809" s="481"/>
    </row>
    <row r="810" ht="12.75" customHeight="1">
      <c r="G810" s="480" t="s">
        <v>2080</v>
      </c>
      <c r="H810" s="249">
        <v>5.0</v>
      </c>
      <c r="I810" s="479">
        <v>2.442360296991012E-4</v>
      </c>
      <c r="K810" s="249"/>
      <c r="L810" s="480"/>
      <c r="M810" s="481"/>
      <c r="O810" s="492" t="str">
        <f>IFERROR(__xludf.DUMMYFUNCTION("""COMPUTED_VALUE"""),"Dead Man Bay - Dagger 4★ #4A2")</f>
        <v>Dead Man Bay - Dagger 4★ #4A2</v>
      </c>
      <c r="P810" s="249">
        <f>IFERROR(__xludf.DUMMYFUNCTION("""COMPUTED_VALUE"""),5.0)</f>
        <v>5</v>
      </c>
      <c r="Q810" s="481"/>
    </row>
    <row r="811" ht="12.75" customHeight="1">
      <c r="G811" s="480" t="s">
        <v>2081</v>
      </c>
      <c r="H811" s="249">
        <v>5.0</v>
      </c>
      <c r="I811" s="479">
        <v>2.442360296991012E-4</v>
      </c>
      <c r="K811" s="249"/>
      <c r="L811" s="480"/>
      <c r="M811" s="481"/>
      <c r="O811" s="492" t="str">
        <f>IFERROR(__xludf.DUMMYFUNCTION("""COMPUTED_VALUE"""),"Dead Man Bay - Dagger 4★ #F57")</f>
        <v>Dead Man Bay - Dagger 4★ #F57</v>
      </c>
      <c r="P811" s="249">
        <f>IFERROR(__xludf.DUMMYFUNCTION("""COMPUTED_VALUE"""),5.0)</f>
        <v>5</v>
      </c>
      <c r="Q811" s="481"/>
    </row>
    <row r="812" ht="12.75" customHeight="1">
      <c r="G812" s="480" t="s">
        <v>2082</v>
      </c>
      <c r="H812" s="249">
        <v>5.0</v>
      </c>
      <c r="I812" s="479">
        <v>2.442360296991012E-4</v>
      </c>
      <c r="K812" s="249"/>
      <c r="L812" s="480"/>
      <c r="M812" s="481"/>
      <c r="O812" s="492" t="str">
        <f>IFERROR(__xludf.DUMMYFUNCTION("""COMPUTED_VALUE"""),"Dead Man Bay - Dagger 4★ #A0C")</f>
        <v>Dead Man Bay - Dagger 4★ #A0C</v>
      </c>
      <c r="P812" s="249">
        <f>IFERROR(__xludf.DUMMYFUNCTION("""COMPUTED_VALUE"""),5.0)</f>
        <v>5</v>
      </c>
      <c r="Q812" s="481"/>
    </row>
    <row r="813" ht="12.75" customHeight="1">
      <c r="G813" s="480" t="s">
        <v>2083</v>
      </c>
      <c r="H813" s="249">
        <v>5.0</v>
      </c>
      <c r="I813" s="479">
        <v>2.442360296991012E-4</v>
      </c>
      <c r="K813" s="249"/>
      <c r="L813" s="480"/>
      <c r="M813" s="481"/>
      <c r="O813" s="492" t="str">
        <f>IFERROR(__xludf.DUMMYFUNCTION("""COMPUTED_VALUE"""),"Dead Man Bay - Dagger 4★ #4C1")</f>
        <v>Dead Man Bay - Dagger 4★ #4C1</v>
      </c>
      <c r="P813" s="249">
        <f>IFERROR(__xludf.DUMMYFUNCTION("""COMPUTED_VALUE"""),5.0)</f>
        <v>5</v>
      </c>
      <c r="Q813" s="481"/>
    </row>
    <row r="814" ht="12.75" customHeight="1">
      <c r="G814" s="480" t="s">
        <v>2084</v>
      </c>
      <c r="H814" s="249">
        <v>5.0</v>
      </c>
      <c r="I814" s="479">
        <v>2.442360296991012E-4</v>
      </c>
      <c r="K814" s="249"/>
      <c r="L814" s="480"/>
      <c r="M814" s="481"/>
      <c r="O814" s="492" t="str">
        <f>IFERROR(__xludf.DUMMYFUNCTION("""COMPUTED_VALUE"""),"Dead Man Bay - Dagger 4★ #F76")</f>
        <v>Dead Man Bay - Dagger 4★ #F76</v>
      </c>
      <c r="P814" s="249">
        <f>IFERROR(__xludf.DUMMYFUNCTION("""COMPUTED_VALUE"""),5.0)</f>
        <v>5</v>
      </c>
      <c r="Q814" s="481"/>
    </row>
    <row r="815" ht="12.75" customHeight="1">
      <c r="G815" s="480" t="s">
        <v>2085</v>
      </c>
      <c r="H815" s="249">
        <v>5.0</v>
      </c>
      <c r="I815" s="479">
        <v>2.442360296991012E-4</v>
      </c>
      <c r="K815" s="249"/>
      <c r="L815" s="480"/>
      <c r="M815" s="481"/>
      <c r="O815" s="492" t="str">
        <f>IFERROR(__xludf.DUMMYFUNCTION("""COMPUTED_VALUE"""),"Dead Man Bay - Dagger 4★ #A2B")</f>
        <v>Dead Man Bay - Dagger 4★ #A2B</v>
      </c>
      <c r="P815" s="249">
        <f>IFERROR(__xludf.DUMMYFUNCTION("""COMPUTED_VALUE"""),5.0)</f>
        <v>5</v>
      </c>
      <c r="Q815" s="481"/>
    </row>
    <row r="816" ht="12.75" customHeight="1">
      <c r="G816" s="480" t="s">
        <v>2086</v>
      </c>
      <c r="H816" s="249">
        <v>5.0</v>
      </c>
      <c r="I816" s="479">
        <v>2.442360296991012E-4</v>
      </c>
      <c r="K816" s="249"/>
      <c r="L816" s="480"/>
      <c r="M816" s="481"/>
      <c r="O816" s="492" t="str">
        <f>IFERROR(__xludf.DUMMYFUNCTION("""COMPUTED_VALUE"""),"Dead Man Bay - Dagger 4★ #4E0")</f>
        <v>Dead Man Bay - Dagger 4★ #4E0</v>
      </c>
      <c r="P816" s="249">
        <f>IFERROR(__xludf.DUMMYFUNCTION("""COMPUTED_VALUE"""),5.0)</f>
        <v>5</v>
      </c>
      <c r="Q816" s="481"/>
    </row>
    <row r="817" ht="12.75" customHeight="1">
      <c r="G817" s="480" t="s">
        <v>2087</v>
      </c>
      <c r="H817" s="249">
        <v>5.0</v>
      </c>
      <c r="I817" s="479">
        <v>2.442360296991012E-4</v>
      </c>
      <c r="K817" s="249"/>
      <c r="L817" s="480"/>
      <c r="M817" s="481"/>
      <c r="O817" s="492" t="str">
        <f>IFERROR(__xludf.DUMMYFUNCTION("""COMPUTED_VALUE"""),"Dead Man Bay - Dagger 4★ #F95")</f>
        <v>Dead Man Bay - Dagger 4★ #F95</v>
      </c>
      <c r="P817" s="249">
        <f>IFERROR(__xludf.DUMMYFUNCTION("""COMPUTED_VALUE"""),5.0)</f>
        <v>5</v>
      </c>
      <c r="Q817" s="481"/>
    </row>
    <row r="818" ht="12.75" customHeight="1">
      <c r="G818" s="480" t="s">
        <v>2088</v>
      </c>
      <c r="H818" s="249">
        <v>2.0</v>
      </c>
      <c r="I818" s="479">
        <v>9.769441187964049E-5</v>
      </c>
      <c r="K818" s="249"/>
      <c r="L818" s="480"/>
      <c r="M818" s="481"/>
      <c r="O818" s="492" t="str">
        <f>IFERROR(__xludf.DUMMYFUNCTION("""COMPUTED_VALUE"""),"Dead Man Bay - Bandana 5★ #A4A")</f>
        <v>Dead Man Bay - Bandana 5★ #A4A</v>
      </c>
      <c r="P818" s="249">
        <f>IFERROR(__xludf.DUMMYFUNCTION("""COMPUTED_VALUE"""),2.0)</f>
        <v>2</v>
      </c>
      <c r="Q818" s="481"/>
    </row>
    <row r="819" ht="12.75" customHeight="1">
      <c r="G819" s="480" t="s">
        <v>2089</v>
      </c>
      <c r="H819" s="249">
        <v>2.0</v>
      </c>
      <c r="I819" s="479">
        <v>9.769441187964049E-5</v>
      </c>
      <c r="K819" s="249"/>
      <c r="L819" s="480"/>
      <c r="M819" s="481"/>
      <c r="O819" s="492" t="str">
        <f>IFERROR(__xludf.DUMMYFUNCTION("""COMPUTED_VALUE"""),"Dead Man Bay - Bandana 5★ #4FF")</f>
        <v>Dead Man Bay - Bandana 5★ #4FF</v>
      </c>
      <c r="P819" s="249">
        <f>IFERROR(__xludf.DUMMYFUNCTION("""COMPUTED_VALUE"""),2.0)</f>
        <v>2</v>
      </c>
      <c r="Q819" s="481"/>
    </row>
    <row r="820" ht="12.75" customHeight="1">
      <c r="G820" s="480" t="s">
        <v>2090</v>
      </c>
      <c r="H820" s="249">
        <v>2.0</v>
      </c>
      <c r="I820" s="479">
        <v>9.769441187964049E-5</v>
      </c>
      <c r="K820" s="249"/>
      <c r="L820" s="480"/>
      <c r="M820" s="481"/>
      <c r="O820" s="492" t="str">
        <f>IFERROR(__xludf.DUMMYFUNCTION("""COMPUTED_VALUE"""),"Dead Man Bay - Bandana 5★ #FB4")</f>
        <v>Dead Man Bay - Bandana 5★ #FB4</v>
      </c>
      <c r="P820" s="249">
        <f>IFERROR(__xludf.DUMMYFUNCTION("""COMPUTED_VALUE"""),2.0)</f>
        <v>2</v>
      </c>
      <c r="Q820" s="481"/>
    </row>
    <row r="821" ht="12.75" customHeight="1">
      <c r="G821" s="480" t="s">
        <v>2091</v>
      </c>
      <c r="H821" s="249">
        <v>2.0</v>
      </c>
      <c r="I821" s="479">
        <v>9.769441187964049E-5</v>
      </c>
      <c r="K821" s="249"/>
      <c r="L821" s="480"/>
      <c r="M821" s="481"/>
      <c r="O821" s="492" t="str">
        <f>IFERROR(__xludf.DUMMYFUNCTION("""COMPUTED_VALUE"""),"Dead Man Bay - Bandana 5★ #A69")</f>
        <v>Dead Man Bay - Bandana 5★ #A69</v>
      </c>
      <c r="P821" s="249">
        <f>IFERROR(__xludf.DUMMYFUNCTION("""COMPUTED_VALUE"""),2.0)</f>
        <v>2</v>
      </c>
      <c r="Q821" s="481"/>
    </row>
    <row r="822" ht="12.75" customHeight="1">
      <c r="G822" s="480" t="s">
        <v>2092</v>
      </c>
      <c r="H822" s="249">
        <v>2.0</v>
      </c>
      <c r="I822" s="479">
        <v>9.769441187964049E-5</v>
      </c>
      <c r="K822" s="249"/>
      <c r="L822" s="480"/>
      <c r="M822" s="481"/>
      <c r="O822" s="492" t="str">
        <f>IFERROR(__xludf.DUMMYFUNCTION("""COMPUTED_VALUE"""),"Dead Man Bay - Bandana 5★ #51E")</f>
        <v>Dead Man Bay - Bandana 5★ #51E</v>
      </c>
      <c r="P822" s="249">
        <f>IFERROR(__xludf.DUMMYFUNCTION("""COMPUTED_VALUE"""),2.0)</f>
        <v>2</v>
      </c>
      <c r="Q822" s="481"/>
    </row>
    <row r="823" ht="12.75" customHeight="1">
      <c r="G823" s="480" t="s">
        <v>2093</v>
      </c>
      <c r="H823" s="249">
        <v>2.0</v>
      </c>
      <c r="I823" s="479">
        <v>9.769441187964049E-5</v>
      </c>
      <c r="K823" s="249"/>
      <c r="L823" s="480"/>
      <c r="M823" s="481"/>
      <c r="O823" s="492" t="str">
        <f>IFERROR(__xludf.DUMMYFUNCTION("""COMPUTED_VALUE"""),"Dead Man Bay - Boots 5★ #FD3")</f>
        <v>Dead Man Bay - Boots 5★ #FD3</v>
      </c>
      <c r="P823" s="249">
        <f>IFERROR(__xludf.DUMMYFUNCTION("""COMPUTED_VALUE"""),2.0)</f>
        <v>2</v>
      </c>
      <c r="Q823" s="481"/>
    </row>
    <row r="824" ht="12.75" customHeight="1">
      <c r="G824" s="480" t="s">
        <v>2094</v>
      </c>
      <c r="H824" s="249">
        <v>2.0</v>
      </c>
      <c r="I824" s="479">
        <v>9.769441187964049E-5</v>
      </c>
      <c r="K824" s="249"/>
      <c r="L824" s="480"/>
      <c r="M824" s="481"/>
      <c r="O824" s="492" t="str">
        <f>IFERROR(__xludf.DUMMYFUNCTION("""COMPUTED_VALUE"""),"Dead Man Bay - Boots 5★ #A88")</f>
        <v>Dead Man Bay - Boots 5★ #A88</v>
      </c>
      <c r="P824" s="249">
        <f>IFERROR(__xludf.DUMMYFUNCTION("""COMPUTED_VALUE"""),2.0)</f>
        <v>2</v>
      </c>
      <c r="Q824" s="481"/>
    </row>
    <row r="825" ht="12.75" customHeight="1">
      <c r="G825" s="480" t="s">
        <v>2095</v>
      </c>
      <c r="H825" s="249">
        <v>2.0</v>
      </c>
      <c r="I825" s="479">
        <v>9.769441187964049E-5</v>
      </c>
      <c r="K825" s="249"/>
      <c r="L825" s="480"/>
      <c r="M825" s="481"/>
      <c r="O825" s="492" t="str">
        <f>IFERROR(__xludf.DUMMYFUNCTION("""COMPUTED_VALUE"""),"Dead Man Bay - Boots 5★ #53D")</f>
        <v>Dead Man Bay - Boots 5★ #53D</v>
      </c>
      <c r="P825" s="249">
        <f>IFERROR(__xludf.DUMMYFUNCTION("""COMPUTED_VALUE"""),2.0)</f>
        <v>2</v>
      </c>
      <c r="Q825" s="481"/>
    </row>
    <row r="826" ht="12.75" customHeight="1">
      <c r="G826" s="480" t="s">
        <v>2096</v>
      </c>
      <c r="H826" s="249">
        <v>2.0</v>
      </c>
      <c r="I826" s="479">
        <v>9.769441187964049E-5</v>
      </c>
      <c r="K826" s="249"/>
      <c r="L826" s="480"/>
      <c r="M826" s="481"/>
      <c r="O826" s="492" t="str">
        <f>IFERROR(__xludf.DUMMYFUNCTION("""COMPUTED_VALUE"""),"Dead Man Bay - Boots 5★ #FF2")</f>
        <v>Dead Man Bay - Boots 5★ #FF2</v>
      </c>
      <c r="P826" s="249">
        <f>IFERROR(__xludf.DUMMYFUNCTION("""COMPUTED_VALUE"""),2.0)</f>
        <v>2</v>
      </c>
      <c r="Q826" s="481"/>
    </row>
    <row r="827" ht="12.75" customHeight="1">
      <c r="G827" s="480" t="s">
        <v>2097</v>
      </c>
      <c r="H827" s="249">
        <v>2.0</v>
      </c>
      <c r="I827" s="479">
        <v>9.769441187964049E-5</v>
      </c>
      <c r="K827" s="249"/>
      <c r="L827" s="480"/>
      <c r="M827" s="481"/>
      <c r="O827" s="492" t="str">
        <f>IFERROR(__xludf.DUMMYFUNCTION("""COMPUTED_VALUE"""),"Dead Man Bay - Boots 5★ #AA7")</f>
        <v>Dead Man Bay - Boots 5★ #AA7</v>
      </c>
      <c r="P827" s="249">
        <f>IFERROR(__xludf.DUMMYFUNCTION("""COMPUTED_VALUE"""),2.0)</f>
        <v>2</v>
      </c>
      <c r="Q827" s="481"/>
    </row>
    <row r="828" ht="12.75" customHeight="1">
      <c r="G828" s="480" t="s">
        <v>2098</v>
      </c>
      <c r="H828" s="249">
        <v>2.0</v>
      </c>
      <c r="I828" s="479">
        <v>9.769441187964049E-5</v>
      </c>
      <c r="K828" s="249"/>
      <c r="L828" s="480"/>
      <c r="M828" s="481"/>
      <c r="O828" s="492" t="str">
        <f>IFERROR(__xludf.DUMMYFUNCTION("""COMPUTED_VALUE"""),"Dead Man Bay - Beard 5★ #55C")</f>
        <v>Dead Man Bay - Beard 5★ #55C</v>
      </c>
      <c r="P828" s="249">
        <f>IFERROR(__xludf.DUMMYFUNCTION("""COMPUTED_VALUE"""),2.0)</f>
        <v>2</v>
      </c>
      <c r="Q828" s="481"/>
    </row>
    <row r="829" ht="12.75" customHeight="1">
      <c r="G829" s="480" t="s">
        <v>2099</v>
      </c>
      <c r="H829" s="249">
        <v>2.0</v>
      </c>
      <c r="I829" s="479">
        <v>9.769441187964049E-5</v>
      </c>
      <c r="K829" s="249"/>
      <c r="L829" s="480"/>
      <c r="M829" s="481"/>
      <c r="O829" s="492" t="str">
        <f>IFERROR(__xludf.DUMMYFUNCTION("""COMPUTED_VALUE"""),"Dead Man Bay - Beard 5★ #011")</f>
        <v>Dead Man Bay - Beard 5★ #011</v>
      </c>
      <c r="P829" s="249">
        <f>IFERROR(__xludf.DUMMYFUNCTION("""COMPUTED_VALUE"""),2.0)</f>
        <v>2</v>
      </c>
      <c r="Q829" s="481"/>
    </row>
    <row r="830" ht="12.75" customHeight="1">
      <c r="G830" s="480" t="s">
        <v>2100</v>
      </c>
      <c r="H830" s="249">
        <v>2.0</v>
      </c>
      <c r="I830" s="479">
        <v>9.769441187964049E-5</v>
      </c>
      <c r="K830" s="249"/>
      <c r="L830" s="480"/>
      <c r="M830" s="481"/>
      <c r="O830" s="492" t="str">
        <f>IFERROR(__xludf.DUMMYFUNCTION("""COMPUTED_VALUE"""),"Dead Man Bay - Beard 5★ #AC6")</f>
        <v>Dead Man Bay - Beard 5★ #AC6</v>
      </c>
      <c r="P830" s="249">
        <f>IFERROR(__xludf.DUMMYFUNCTION("""COMPUTED_VALUE"""),2.0)</f>
        <v>2</v>
      </c>
      <c r="Q830" s="481"/>
    </row>
    <row r="831" ht="12.75" customHeight="1">
      <c r="G831" s="480" t="s">
        <v>2101</v>
      </c>
      <c r="H831" s="249">
        <v>2.0</v>
      </c>
      <c r="I831" s="479">
        <v>9.769441187964049E-5</v>
      </c>
      <c r="K831" s="249"/>
      <c r="L831" s="480"/>
      <c r="M831" s="481"/>
      <c r="O831" s="492" t="str">
        <f>IFERROR(__xludf.DUMMYFUNCTION("""COMPUTED_VALUE"""),"Dead Man Bay - Beard 5★ #57B")</f>
        <v>Dead Man Bay - Beard 5★ #57B</v>
      </c>
      <c r="P831" s="249">
        <f>IFERROR(__xludf.DUMMYFUNCTION("""COMPUTED_VALUE"""),2.0)</f>
        <v>2</v>
      </c>
      <c r="Q831" s="481"/>
    </row>
    <row r="832" ht="12.75" customHeight="1">
      <c r="G832" s="480" t="s">
        <v>2102</v>
      </c>
      <c r="H832" s="249">
        <v>2.0</v>
      </c>
      <c r="I832" s="479">
        <v>9.769441187964049E-5</v>
      </c>
      <c r="K832" s="249"/>
      <c r="L832" s="480"/>
      <c r="M832" s="481"/>
      <c r="O832" s="492" t="str">
        <f>IFERROR(__xludf.DUMMYFUNCTION("""COMPUTED_VALUE"""),"Dead Man Bay - Beard 5★ #030")</f>
        <v>Dead Man Bay - Beard 5★ #030</v>
      </c>
      <c r="P832" s="249">
        <f>IFERROR(__xludf.DUMMYFUNCTION("""COMPUTED_VALUE"""),2.0)</f>
        <v>2</v>
      </c>
      <c r="Q832" s="481"/>
    </row>
    <row r="833" ht="12.75" customHeight="1">
      <c r="G833" s="480"/>
      <c r="H833" s="249"/>
      <c r="I833" s="479"/>
      <c r="K833" s="249"/>
      <c r="L833" s="480"/>
      <c r="M833" s="481"/>
      <c r="O833" s="492"/>
      <c r="P833" s="249"/>
      <c r="Q833" s="481"/>
    </row>
    <row r="834" ht="12.75" customHeight="1">
      <c r="G834" s="480"/>
      <c r="H834" s="249"/>
      <c r="I834" s="479"/>
      <c r="K834" s="249"/>
      <c r="L834" s="480"/>
      <c r="M834" s="481"/>
      <c r="O834" s="492"/>
      <c r="P834" s="249"/>
      <c r="Q834" s="481"/>
    </row>
    <row r="835" ht="12.75" customHeight="1">
      <c r="G835" s="480"/>
      <c r="H835" s="249"/>
      <c r="I835" s="479"/>
      <c r="K835" s="249"/>
      <c r="L835" s="480"/>
      <c r="M835" s="481"/>
      <c r="O835" s="492"/>
      <c r="P835" s="249"/>
      <c r="Q835" s="481"/>
    </row>
    <row r="836" ht="12.75" customHeight="1">
      <c r="G836" s="480"/>
      <c r="H836" s="249"/>
      <c r="I836" s="479"/>
      <c r="K836" s="249"/>
      <c r="L836" s="480"/>
      <c r="M836" s="481"/>
      <c r="O836" s="492"/>
      <c r="P836" s="249"/>
      <c r="Q836" s="481"/>
    </row>
    <row r="837" ht="12.75" customHeight="1">
      <c r="G837" s="480"/>
      <c r="H837" s="249"/>
      <c r="I837" s="479"/>
      <c r="K837" s="249"/>
      <c r="L837" s="480"/>
      <c r="M837" s="481"/>
      <c r="O837" s="492"/>
      <c r="P837" s="249"/>
      <c r="Q837" s="481"/>
    </row>
    <row r="838" ht="12.75" customHeight="1">
      <c r="G838" s="480"/>
      <c r="H838" s="249"/>
      <c r="I838" s="479"/>
      <c r="K838" s="249"/>
      <c r="L838" s="480"/>
      <c r="M838" s="481"/>
      <c r="O838" s="492"/>
      <c r="P838" s="249"/>
      <c r="Q838" s="481"/>
    </row>
    <row r="839" ht="12.75" customHeight="1">
      <c r="G839" s="480"/>
      <c r="H839" s="249"/>
      <c r="I839" s="479"/>
      <c r="K839" s="249"/>
      <c r="L839" s="480"/>
      <c r="M839" s="481"/>
      <c r="O839" s="492"/>
      <c r="P839" s="249"/>
      <c r="Q839" s="481"/>
    </row>
    <row r="840" ht="12.75" customHeight="1">
      <c r="G840" s="480"/>
      <c r="H840" s="249"/>
      <c r="I840" s="479"/>
      <c r="K840" s="249"/>
      <c r="L840" s="480"/>
      <c r="M840" s="481"/>
      <c r="O840" s="492"/>
      <c r="P840" s="249"/>
      <c r="Q840" s="481"/>
    </row>
    <row r="841" ht="12.75" customHeight="1">
      <c r="G841" s="480"/>
      <c r="H841" s="249"/>
      <c r="I841" s="479"/>
      <c r="K841" s="249"/>
      <c r="L841" s="480"/>
      <c r="M841" s="481"/>
      <c r="O841" s="492"/>
      <c r="P841" s="249"/>
      <c r="Q841" s="481"/>
    </row>
    <row r="842" ht="12.75" customHeight="1">
      <c r="G842" s="480"/>
      <c r="H842" s="249"/>
      <c r="I842" s="479"/>
      <c r="K842" s="249"/>
      <c r="L842" s="480"/>
      <c r="M842" s="481"/>
      <c r="O842" s="492"/>
      <c r="P842" s="249"/>
      <c r="Q842" s="481"/>
    </row>
    <row r="843" ht="12.75" customHeight="1">
      <c r="G843" s="480"/>
      <c r="H843" s="249"/>
      <c r="I843" s="479"/>
      <c r="K843" s="249"/>
      <c r="L843" s="480"/>
      <c r="M843" s="481"/>
      <c r="O843" s="492"/>
      <c r="P843" s="249"/>
      <c r="Q843" s="481"/>
    </row>
    <row r="844" ht="12.75" customHeight="1">
      <c r="G844" s="480"/>
      <c r="H844" s="249"/>
      <c r="I844" s="479"/>
      <c r="K844" s="249"/>
      <c r="L844" s="480"/>
      <c r="M844" s="481"/>
      <c r="O844" s="492"/>
      <c r="P844" s="249"/>
      <c r="Q844" s="481"/>
    </row>
    <row r="845" ht="12.75" customHeight="1">
      <c r="G845" s="480"/>
      <c r="H845" s="249"/>
      <c r="I845" s="479"/>
      <c r="K845" s="249"/>
      <c r="L845" s="480"/>
      <c r="M845" s="481"/>
      <c r="O845" s="492"/>
      <c r="P845" s="249"/>
      <c r="Q845" s="481"/>
    </row>
    <row r="846" ht="12.75" customHeight="1">
      <c r="G846" s="480"/>
      <c r="H846" s="249"/>
      <c r="I846" s="479"/>
      <c r="K846" s="249"/>
      <c r="L846" s="480"/>
      <c r="M846" s="481"/>
      <c r="O846" s="492"/>
      <c r="P846" s="249"/>
      <c r="Q846" s="481"/>
    </row>
    <row r="847" ht="12.75" customHeight="1">
      <c r="G847" s="480"/>
      <c r="H847" s="249"/>
      <c r="I847" s="479"/>
      <c r="K847" s="249"/>
      <c r="L847" s="480"/>
      <c r="M847" s="481"/>
      <c r="O847" s="492"/>
      <c r="P847" s="249"/>
      <c r="Q847" s="481"/>
    </row>
    <row r="848" ht="12.75" customHeight="1">
      <c r="G848" s="480"/>
      <c r="H848" s="249"/>
      <c r="I848" s="479"/>
      <c r="K848" s="249"/>
      <c r="L848" s="480"/>
      <c r="M848" s="481"/>
      <c r="O848" s="492"/>
      <c r="P848" s="249"/>
      <c r="Q848" s="481"/>
    </row>
    <row r="849" ht="12.75" customHeight="1">
      <c r="G849" s="480"/>
      <c r="H849" s="249"/>
      <c r="I849" s="479"/>
      <c r="K849" s="249"/>
      <c r="L849" s="480"/>
      <c r="M849" s="481"/>
      <c r="O849" s="492"/>
      <c r="P849" s="249"/>
      <c r="Q849" s="481"/>
    </row>
    <row r="850" ht="12.75" customHeight="1">
      <c r="G850" s="480"/>
      <c r="H850" s="249"/>
      <c r="I850" s="479"/>
      <c r="K850" s="249"/>
      <c r="L850" s="480"/>
      <c r="M850" s="481"/>
      <c r="O850" s="492"/>
      <c r="P850" s="249"/>
      <c r="Q850" s="481"/>
    </row>
    <row r="851" ht="12.75" customHeight="1">
      <c r="G851" s="480"/>
      <c r="H851" s="249"/>
      <c r="I851" s="479"/>
      <c r="K851" s="249"/>
      <c r="L851" s="480"/>
      <c r="M851" s="481"/>
      <c r="O851" s="492"/>
      <c r="P851" s="249"/>
      <c r="Q851" s="481"/>
    </row>
    <row r="852" ht="12.75" customHeight="1">
      <c r="G852" s="480"/>
      <c r="H852" s="249"/>
      <c r="I852" s="479"/>
      <c r="K852" s="249"/>
      <c r="L852" s="480"/>
      <c r="M852" s="481"/>
      <c r="O852" s="492"/>
      <c r="P852" s="249"/>
      <c r="Q852" s="481"/>
    </row>
    <row r="853" ht="12.75" customHeight="1">
      <c r="G853" s="480"/>
      <c r="H853" s="249"/>
      <c r="I853" s="479"/>
      <c r="K853" s="249"/>
      <c r="L853" s="480"/>
      <c r="M853" s="481"/>
      <c r="O853" s="492"/>
      <c r="P853" s="249"/>
      <c r="Q853" s="481"/>
    </row>
    <row r="854" ht="12.75" customHeight="1">
      <c r="G854" s="480"/>
      <c r="H854" s="249"/>
      <c r="I854" s="479"/>
      <c r="K854" s="249"/>
      <c r="L854" s="480"/>
      <c r="M854" s="481"/>
      <c r="O854" s="492"/>
      <c r="P854" s="249"/>
      <c r="Q854" s="481"/>
    </row>
    <row r="855" ht="12.75" customHeight="1">
      <c r="G855" s="480"/>
      <c r="H855" s="249"/>
      <c r="I855" s="479"/>
      <c r="K855" s="249"/>
      <c r="L855" s="480"/>
      <c r="M855" s="481"/>
      <c r="O855" s="492"/>
      <c r="P855" s="249"/>
      <c r="Q855" s="481"/>
    </row>
    <row r="856" ht="12.75" customHeight="1">
      <c r="G856" s="480"/>
      <c r="H856" s="249"/>
      <c r="I856" s="479"/>
      <c r="K856" s="249"/>
      <c r="L856" s="480"/>
      <c r="M856" s="481"/>
      <c r="O856" s="492"/>
      <c r="P856" s="249"/>
      <c r="Q856" s="481"/>
    </row>
    <row r="857" ht="12.75" customHeight="1">
      <c r="G857" s="480"/>
      <c r="H857" s="249"/>
      <c r="I857" s="479"/>
      <c r="K857" s="249"/>
      <c r="L857" s="480"/>
      <c r="M857" s="481"/>
      <c r="O857" s="492"/>
      <c r="P857" s="249"/>
      <c r="Q857" s="481"/>
    </row>
    <row r="858" ht="12.75" customHeight="1">
      <c r="G858" s="480"/>
      <c r="H858" s="249"/>
      <c r="I858" s="479"/>
      <c r="K858" s="249"/>
      <c r="L858" s="480"/>
      <c r="M858" s="481"/>
      <c r="O858" s="492"/>
      <c r="P858" s="249"/>
      <c r="Q858" s="481"/>
    </row>
    <row r="859" ht="12.75" customHeight="1">
      <c r="G859" s="480"/>
      <c r="H859" s="249"/>
      <c r="I859" s="479"/>
      <c r="K859" s="249"/>
      <c r="L859" s="480"/>
      <c r="M859" s="481"/>
      <c r="O859" s="492"/>
      <c r="P859" s="249"/>
      <c r="Q859" s="481"/>
    </row>
    <row r="860" ht="12.75" customHeight="1">
      <c r="G860" s="480"/>
      <c r="H860" s="249"/>
      <c r="I860" s="479"/>
      <c r="K860" s="249"/>
      <c r="L860" s="480"/>
      <c r="M860" s="481"/>
      <c r="O860" s="492"/>
      <c r="P860" s="249"/>
      <c r="Q860" s="481"/>
    </row>
    <row r="861" ht="12.75" customHeight="1">
      <c r="G861" s="480"/>
      <c r="H861" s="249"/>
      <c r="I861" s="479"/>
      <c r="K861" s="249"/>
      <c r="L861" s="480"/>
      <c r="M861" s="481"/>
      <c r="O861" s="492"/>
      <c r="P861" s="249"/>
      <c r="Q861" s="481"/>
    </row>
    <row r="862" ht="12.75" customHeight="1">
      <c r="G862" s="480"/>
      <c r="H862" s="249"/>
      <c r="I862" s="479"/>
      <c r="K862" s="249"/>
      <c r="L862" s="480"/>
      <c r="M862" s="481"/>
      <c r="O862" s="492"/>
      <c r="P862" s="249"/>
      <c r="Q862" s="481"/>
    </row>
    <row r="863" ht="12.75" customHeight="1">
      <c r="G863" s="480"/>
      <c r="H863" s="249"/>
      <c r="I863" s="479"/>
      <c r="K863" s="249"/>
      <c r="L863" s="480"/>
      <c r="M863" s="481"/>
      <c r="O863" s="492"/>
      <c r="P863" s="249"/>
      <c r="Q863" s="481"/>
    </row>
    <row r="864" ht="12.75" customHeight="1">
      <c r="G864" s="480"/>
      <c r="H864" s="249"/>
      <c r="I864" s="479"/>
      <c r="K864" s="249"/>
      <c r="L864" s="480"/>
      <c r="M864" s="481"/>
      <c r="O864" s="492"/>
      <c r="P864" s="249"/>
      <c r="Q864" s="481"/>
    </row>
    <row r="865" ht="12.75" customHeight="1">
      <c r="G865" s="480"/>
      <c r="H865" s="249"/>
      <c r="I865" s="479"/>
      <c r="K865" s="249"/>
      <c r="L865" s="480"/>
      <c r="M865" s="481"/>
      <c r="O865" s="492"/>
      <c r="P865" s="249"/>
      <c r="Q865" s="481"/>
    </row>
    <row r="866" ht="12.75" customHeight="1">
      <c r="G866" s="480"/>
      <c r="H866" s="249"/>
      <c r="I866" s="479"/>
      <c r="K866" s="249"/>
      <c r="L866" s="480"/>
      <c r="M866" s="481"/>
      <c r="O866" s="492"/>
      <c r="P866" s="249"/>
      <c r="Q866" s="481"/>
    </row>
    <row r="867" ht="12.75" customHeight="1">
      <c r="G867" s="480"/>
      <c r="H867" s="249"/>
      <c r="I867" s="479"/>
      <c r="K867" s="249"/>
      <c r="L867" s="480"/>
      <c r="M867" s="481"/>
      <c r="O867" s="492"/>
      <c r="P867" s="249"/>
      <c r="Q867" s="481"/>
    </row>
    <row r="868" ht="12.75" customHeight="1">
      <c r="G868" s="480"/>
      <c r="H868" s="249"/>
      <c r="I868" s="479"/>
      <c r="K868" s="249"/>
      <c r="L868" s="480"/>
      <c r="M868" s="481"/>
      <c r="O868" s="492"/>
      <c r="P868" s="249"/>
      <c r="Q868" s="481"/>
    </row>
    <row r="869" ht="12.75" customHeight="1">
      <c r="G869" s="480"/>
      <c r="H869" s="249"/>
      <c r="I869" s="479"/>
      <c r="K869" s="249"/>
      <c r="L869" s="480"/>
      <c r="M869" s="481"/>
      <c r="O869" s="492"/>
      <c r="P869" s="249"/>
      <c r="Q869" s="481"/>
    </row>
    <row r="870" ht="12.75" customHeight="1">
      <c r="G870" s="480"/>
      <c r="H870" s="249"/>
      <c r="I870" s="479"/>
      <c r="K870" s="249"/>
      <c r="L870" s="480"/>
      <c r="M870" s="481"/>
      <c r="O870" s="492"/>
      <c r="P870" s="249"/>
      <c r="Q870" s="481"/>
    </row>
    <row r="871" ht="12.75" customHeight="1">
      <c r="G871" s="480"/>
      <c r="H871" s="249"/>
      <c r="I871" s="479"/>
      <c r="K871" s="249"/>
      <c r="L871" s="480"/>
      <c r="M871" s="481"/>
      <c r="O871" s="492"/>
      <c r="P871" s="249"/>
      <c r="Q871" s="481"/>
    </row>
    <row r="872" ht="12.75" customHeight="1">
      <c r="G872" s="480"/>
      <c r="H872" s="249"/>
      <c r="I872" s="479"/>
      <c r="K872" s="249"/>
      <c r="L872" s="480"/>
      <c r="M872" s="481"/>
      <c r="O872" s="492"/>
      <c r="P872" s="249"/>
      <c r="Q872" s="481"/>
    </row>
    <row r="873" ht="12.75" customHeight="1">
      <c r="G873" s="480"/>
      <c r="H873" s="249"/>
      <c r="I873" s="479"/>
      <c r="K873" s="249"/>
      <c r="L873" s="480"/>
      <c r="M873" s="481"/>
      <c r="O873" s="492"/>
      <c r="P873" s="249"/>
      <c r="Q873" s="481"/>
    </row>
    <row r="874" ht="12.75" customHeight="1">
      <c r="G874" s="480"/>
      <c r="H874" s="249"/>
      <c r="I874" s="479"/>
      <c r="K874" s="249"/>
      <c r="L874" s="480"/>
      <c r="M874" s="481"/>
      <c r="O874" s="492"/>
      <c r="P874" s="249"/>
      <c r="Q874" s="481"/>
    </row>
    <row r="875" ht="12.75" customHeight="1">
      <c r="G875" s="480"/>
      <c r="H875" s="249"/>
      <c r="I875" s="479"/>
      <c r="K875" s="249"/>
      <c r="L875" s="480"/>
      <c r="M875" s="481"/>
      <c r="O875" s="492"/>
      <c r="P875" s="249"/>
      <c r="Q875" s="481"/>
    </row>
    <row r="876" ht="12.75" customHeight="1">
      <c r="G876" s="480"/>
      <c r="H876" s="249"/>
      <c r="I876" s="479"/>
      <c r="K876" s="249"/>
      <c r="L876" s="480"/>
      <c r="M876" s="481"/>
      <c r="O876" s="492"/>
      <c r="P876" s="249"/>
      <c r="Q876" s="481"/>
    </row>
    <row r="877" ht="12.75" customHeight="1">
      <c r="G877" s="480"/>
      <c r="H877" s="249"/>
      <c r="I877" s="479"/>
      <c r="K877" s="249"/>
      <c r="L877" s="480"/>
      <c r="M877" s="481"/>
      <c r="O877" s="492"/>
      <c r="P877" s="249"/>
      <c r="Q877" s="481"/>
    </row>
    <row r="878" ht="12.75" customHeight="1">
      <c r="G878" s="480"/>
      <c r="H878" s="249"/>
      <c r="I878" s="479"/>
      <c r="K878" s="249"/>
      <c r="L878" s="480"/>
      <c r="M878" s="481"/>
      <c r="O878" s="492"/>
      <c r="P878" s="249"/>
      <c r="Q878" s="481"/>
    </row>
    <row r="879" ht="12.75" customHeight="1">
      <c r="G879" s="480"/>
      <c r="H879" s="249"/>
      <c r="I879" s="479"/>
      <c r="K879" s="249"/>
      <c r="L879" s="480"/>
      <c r="M879" s="481"/>
      <c r="O879" s="492"/>
      <c r="P879" s="249"/>
      <c r="Q879" s="481"/>
    </row>
    <row r="880" ht="12.75" customHeight="1">
      <c r="G880" s="480"/>
      <c r="H880" s="249"/>
      <c r="I880" s="479"/>
      <c r="K880" s="249"/>
      <c r="L880" s="480"/>
      <c r="M880" s="481"/>
      <c r="O880" s="492"/>
      <c r="P880" s="249"/>
      <c r="Q880" s="481"/>
    </row>
    <row r="881" ht="12.75" customHeight="1">
      <c r="G881" s="480"/>
      <c r="H881" s="249"/>
      <c r="I881" s="479"/>
      <c r="K881" s="249"/>
      <c r="L881" s="480"/>
      <c r="M881" s="481"/>
      <c r="O881" s="492"/>
      <c r="P881" s="249"/>
      <c r="Q881" s="481"/>
    </row>
    <row r="882" ht="12.75" customHeight="1">
      <c r="G882" s="480"/>
      <c r="H882" s="249"/>
      <c r="I882" s="479"/>
      <c r="K882" s="249"/>
      <c r="L882" s="480"/>
      <c r="M882" s="481"/>
      <c r="O882" s="492"/>
      <c r="P882" s="249"/>
      <c r="Q882" s="481"/>
    </row>
    <row r="883" ht="12.75" customHeight="1">
      <c r="G883" s="480"/>
      <c r="H883" s="249"/>
      <c r="I883" s="479"/>
      <c r="K883" s="249"/>
      <c r="L883" s="480"/>
      <c r="M883" s="481"/>
      <c r="O883" s="492"/>
      <c r="P883" s="249"/>
      <c r="Q883" s="481"/>
    </row>
    <row r="884" ht="12.75" customHeight="1">
      <c r="G884" s="480"/>
      <c r="H884" s="249"/>
      <c r="I884" s="479"/>
      <c r="K884" s="249"/>
      <c r="L884" s="480"/>
      <c r="M884" s="481"/>
      <c r="O884" s="492"/>
      <c r="P884" s="249"/>
      <c r="Q884" s="481"/>
    </row>
    <row r="885" ht="12.75" customHeight="1">
      <c r="G885" s="480"/>
      <c r="H885" s="249"/>
      <c r="I885" s="479"/>
      <c r="K885" s="249"/>
      <c r="L885" s="480"/>
      <c r="M885" s="481"/>
      <c r="O885" s="492"/>
      <c r="P885" s="249"/>
      <c r="Q885" s="481"/>
    </row>
    <row r="886" ht="12.75" customHeight="1">
      <c r="G886" s="480"/>
      <c r="H886" s="249"/>
      <c r="I886" s="479"/>
      <c r="K886" s="249"/>
      <c r="L886" s="480"/>
      <c r="M886" s="481"/>
      <c r="O886" s="492"/>
      <c r="P886" s="249"/>
      <c r="Q886" s="481"/>
    </row>
    <row r="887" ht="12.75" customHeight="1">
      <c r="G887" s="480"/>
      <c r="H887" s="249"/>
      <c r="I887" s="479"/>
      <c r="K887" s="249"/>
      <c r="L887" s="480"/>
      <c r="M887" s="481"/>
      <c r="O887" s="492"/>
      <c r="P887" s="249"/>
      <c r="Q887" s="481"/>
    </row>
    <row r="888" ht="12.75" customHeight="1">
      <c r="G888" s="480"/>
      <c r="H888" s="249"/>
      <c r="I888" s="479"/>
      <c r="K888" s="249"/>
      <c r="L888" s="480"/>
      <c r="M888" s="481"/>
      <c r="O888" s="492"/>
      <c r="P888" s="249"/>
      <c r="Q888" s="481"/>
    </row>
    <row r="889" ht="12.75" customHeight="1">
      <c r="G889" s="480"/>
      <c r="H889" s="249"/>
      <c r="I889" s="479"/>
      <c r="K889" s="249"/>
      <c r="L889" s="480"/>
      <c r="M889" s="481"/>
      <c r="O889" s="492"/>
      <c r="P889" s="249"/>
      <c r="Q889" s="481"/>
    </row>
    <row r="890" ht="12.75" customHeight="1">
      <c r="G890" s="480"/>
      <c r="H890" s="249"/>
      <c r="I890" s="479"/>
      <c r="K890" s="249"/>
      <c r="L890" s="480"/>
      <c r="M890" s="481"/>
      <c r="O890" s="492"/>
      <c r="P890" s="249"/>
      <c r="Q890" s="481"/>
    </row>
    <row r="891" ht="12.75" customHeight="1">
      <c r="G891" s="480"/>
      <c r="H891" s="249"/>
      <c r="I891" s="479"/>
      <c r="K891" s="249"/>
      <c r="L891" s="480"/>
      <c r="M891" s="481"/>
      <c r="O891" s="492"/>
      <c r="P891" s="249"/>
      <c r="Q891" s="481"/>
    </row>
    <row r="892" ht="12.75" customHeight="1">
      <c r="G892" s="480"/>
      <c r="H892" s="249"/>
      <c r="I892" s="479"/>
      <c r="K892" s="249"/>
      <c r="L892" s="480"/>
      <c r="M892" s="481"/>
      <c r="O892" s="492"/>
      <c r="P892" s="249"/>
      <c r="Q892" s="481"/>
    </row>
    <row r="893" ht="12.75" customHeight="1">
      <c r="G893" s="480"/>
      <c r="H893" s="249"/>
      <c r="I893" s="479"/>
      <c r="K893" s="249"/>
      <c r="L893" s="480"/>
      <c r="M893" s="481"/>
      <c r="O893" s="492"/>
      <c r="P893" s="249"/>
      <c r="Q893" s="481"/>
    </row>
    <row r="894" ht="12.75" customHeight="1">
      <c r="G894" s="480"/>
      <c r="H894" s="249"/>
      <c r="I894" s="479"/>
      <c r="K894" s="249"/>
      <c r="L894" s="480"/>
      <c r="M894" s="481"/>
      <c r="O894" s="492"/>
      <c r="P894" s="249"/>
      <c r="Q894" s="481"/>
    </row>
    <row r="895" ht="12.75" customHeight="1">
      <c r="G895" s="480"/>
      <c r="H895" s="249"/>
      <c r="I895" s="479"/>
      <c r="K895" s="249"/>
      <c r="L895" s="480"/>
      <c r="M895" s="481"/>
      <c r="O895" s="492"/>
      <c r="P895" s="249"/>
      <c r="Q895" s="481"/>
    </row>
    <row r="896" ht="12.75" customHeight="1">
      <c r="G896" s="480"/>
      <c r="H896" s="249"/>
      <c r="I896" s="479"/>
      <c r="K896" s="249"/>
      <c r="L896" s="480"/>
      <c r="M896" s="481"/>
      <c r="O896" s="492"/>
      <c r="P896" s="249"/>
      <c r="Q896" s="481"/>
    </row>
    <row r="897" ht="12.75" customHeight="1">
      <c r="G897" s="480"/>
      <c r="H897" s="249"/>
      <c r="I897" s="479"/>
      <c r="K897" s="249"/>
      <c r="L897" s="480"/>
      <c r="M897" s="481"/>
      <c r="O897" s="492"/>
      <c r="P897" s="249"/>
      <c r="Q897" s="481"/>
    </row>
    <row r="898" ht="12.75" customHeight="1">
      <c r="G898" s="480"/>
      <c r="H898" s="249"/>
      <c r="I898" s="479"/>
      <c r="K898" s="249"/>
      <c r="L898" s="480"/>
      <c r="M898" s="481"/>
      <c r="O898" s="492"/>
      <c r="P898" s="249"/>
      <c r="Q898" s="481"/>
    </row>
    <row r="899" ht="12.75" customHeight="1">
      <c r="G899" s="480"/>
      <c r="H899" s="249"/>
      <c r="I899" s="479"/>
      <c r="K899" s="249"/>
      <c r="L899" s="480"/>
      <c r="M899" s="481"/>
      <c r="O899" s="492"/>
      <c r="P899" s="249"/>
      <c r="Q899" s="481"/>
    </row>
    <row r="900" ht="12.75" customHeight="1">
      <c r="G900" s="480"/>
      <c r="H900" s="249"/>
      <c r="I900" s="479"/>
      <c r="K900" s="249"/>
      <c r="L900" s="480"/>
      <c r="M900" s="481"/>
      <c r="O900" s="492"/>
      <c r="P900" s="249"/>
      <c r="Q900" s="481"/>
    </row>
    <row r="901" ht="12.75" customHeight="1">
      <c r="G901" s="480"/>
      <c r="H901" s="249"/>
      <c r="I901" s="479"/>
      <c r="K901" s="249"/>
      <c r="L901" s="480"/>
      <c r="M901" s="481"/>
      <c r="O901" s="492"/>
      <c r="P901" s="249"/>
      <c r="Q901" s="481"/>
    </row>
    <row r="902" ht="12.75" customHeight="1">
      <c r="G902" s="480"/>
      <c r="H902" s="249"/>
      <c r="I902" s="479"/>
      <c r="K902" s="249"/>
      <c r="L902" s="480"/>
      <c r="M902" s="481"/>
      <c r="O902" s="492"/>
      <c r="P902" s="249"/>
      <c r="Q902" s="481"/>
    </row>
    <row r="903" ht="12.75" customHeight="1">
      <c r="G903" s="480"/>
      <c r="H903" s="249"/>
      <c r="I903" s="479"/>
      <c r="K903" s="249"/>
      <c r="L903" s="480"/>
      <c r="M903" s="481"/>
      <c r="O903" s="492"/>
      <c r="P903" s="249"/>
      <c r="Q903" s="481"/>
    </row>
    <row r="904" ht="12.75" customHeight="1">
      <c r="G904" s="480"/>
      <c r="H904" s="249"/>
      <c r="I904" s="479"/>
      <c r="K904" s="249"/>
      <c r="L904" s="480"/>
      <c r="M904" s="481"/>
      <c r="O904" s="492"/>
      <c r="P904" s="249"/>
      <c r="Q904" s="481"/>
    </row>
    <row r="905" ht="12.75" customHeight="1">
      <c r="G905" s="480"/>
      <c r="H905" s="249"/>
      <c r="I905" s="479"/>
      <c r="K905" s="249"/>
      <c r="L905" s="480"/>
      <c r="M905" s="481"/>
      <c r="O905" s="492"/>
      <c r="P905" s="249"/>
      <c r="Q905" s="481"/>
    </row>
    <row r="906" ht="12.75" customHeight="1">
      <c r="G906" s="480"/>
      <c r="H906" s="249"/>
      <c r="I906" s="479"/>
      <c r="K906" s="249"/>
      <c r="L906" s="480"/>
      <c r="M906" s="481"/>
      <c r="O906" s="492"/>
      <c r="P906" s="249"/>
      <c r="Q906" s="481"/>
    </row>
    <row r="907" ht="12.75" customHeight="1">
      <c r="G907" s="480"/>
      <c r="H907" s="249"/>
      <c r="I907" s="479"/>
      <c r="K907" s="249"/>
      <c r="L907" s="480"/>
      <c r="M907" s="481"/>
      <c r="O907" s="492"/>
      <c r="P907" s="249"/>
      <c r="Q907" s="481"/>
    </row>
    <row r="908" ht="12.75" customHeight="1">
      <c r="G908" s="480"/>
      <c r="H908" s="249"/>
      <c r="I908" s="479"/>
      <c r="K908" s="249"/>
      <c r="L908" s="480"/>
      <c r="M908" s="481"/>
      <c r="O908" s="492"/>
      <c r="P908" s="249"/>
      <c r="Q908" s="481"/>
    </row>
    <row r="909" ht="12.75" customHeight="1">
      <c r="G909" s="480"/>
      <c r="H909" s="249"/>
      <c r="I909" s="479"/>
      <c r="K909" s="249"/>
      <c r="L909" s="480"/>
      <c r="M909" s="481"/>
      <c r="O909" s="492"/>
      <c r="P909" s="249"/>
      <c r="Q909" s="481"/>
    </row>
    <row r="910" ht="12.75" customHeight="1">
      <c r="G910" s="480"/>
      <c r="H910" s="249"/>
      <c r="I910" s="479"/>
      <c r="K910" s="249"/>
      <c r="L910" s="480"/>
      <c r="M910" s="481"/>
      <c r="O910" s="492"/>
      <c r="P910" s="249"/>
      <c r="Q910" s="481"/>
    </row>
    <row r="911" ht="12.75" customHeight="1">
      <c r="G911" s="480"/>
      <c r="H911" s="249"/>
      <c r="I911" s="479"/>
      <c r="K911" s="249"/>
      <c r="L911" s="480"/>
      <c r="M911" s="481"/>
      <c r="O911" s="492"/>
      <c r="P911" s="249"/>
      <c r="Q911" s="481"/>
    </row>
    <row r="912" ht="12.75" customHeight="1">
      <c r="G912" s="480"/>
      <c r="H912" s="249"/>
      <c r="I912" s="479"/>
      <c r="K912" s="249"/>
      <c r="L912" s="480"/>
      <c r="M912" s="481"/>
      <c r="O912" s="492"/>
      <c r="P912" s="249"/>
      <c r="Q912" s="481"/>
    </row>
    <row r="913" ht="12.75" customHeight="1">
      <c r="G913" s="480"/>
      <c r="H913" s="249"/>
      <c r="I913" s="479"/>
      <c r="K913" s="249"/>
      <c r="L913" s="480"/>
      <c r="M913" s="481"/>
      <c r="O913" s="492"/>
      <c r="P913" s="249"/>
      <c r="Q913" s="481"/>
    </row>
    <row r="914" ht="12.75" customHeight="1">
      <c r="G914" s="480"/>
      <c r="H914" s="249"/>
      <c r="I914" s="479"/>
      <c r="K914" s="249"/>
      <c r="L914" s="480"/>
      <c r="M914" s="481"/>
      <c r="O914" s="492"/>
      <c r="P914" s="249"/>
      <c r="Q914" s="481"/>
    </row>
    <row r="915" ht="12.75" customHeight="1">
      <c r="G915" s="480"/>
      <c r="H915" s="249"/>
      <c r="I915" s="479"/>
      <c r="K915" s="249"/>
      <c r="L915" s="480"/>
      <c r="M915" s="481"/>
      <c r="O915" s="492"/>
      <c r="P915" s="249"/>
      <c r="Q915" s="481"/>
    </row>
    <row r="916" ht="12.75" customHeight="1">
      <c r="G916" s="480"/>
      <c r="H916" s="249"/>
      <c r="I916" s="479"/>
      <c r="K916" s="249"/>
      <c r="L916" s="480"/>
      <c r="M916" s="481"/>
      <c r="O916" s="492"/>
      <c r="P916" s="249"/>
      <c r="Q916" s="481"/>
    </row>
    <row r="917" ht="12.75" customHeight="1">
      <c r="G917" s="480"/>
      <c r="H917" s="249"/>
      <c r="I917" s="479"/>
      <c r="K917" s="249"/>
      <c r="L917" s="480"/>
      <c r="M917" s="481"/>
      <c r="O917" s="492"/>
      <c r="P917" s="249"/>
      <c r="Q917" s="481"/>
    </row>
    <row r="918" ht="12.75" customHeight="1">
      <c r="G918" s="480"/>
      <c r="H918" s="249"/>
      <c r="I918" s="479"/>
      <c r="K918" s="249"/>
      <c r="L918" s="480"/>
      <c r="M918" s="481"/>
      <c r="O918" s="492"/>
      <c r="P918" s="249"/>
      <c r="Q918" s="481"/>
    </row>
    <row r="919" ht="12.75" customHeight="1">
      <c r="G919" s="480"/>
      <c r="H919" s="249"/>
      <c r="I919" s="479"/>
      <c r="K919" s="249"/>
      <c r="L919" s="480"/>
      <c r="M919" s="481"/>
      <c r="O919" s="492"/>
      <c r="P919" s="249"/>
      <c r="Q919" s="481"/>
    </row>
    <row r="920" ht="12.75" customHeight="1">
      <c r="G920" s="480"/>
      <c r="H920" s="249"/>
      <c r="I920" s="479"/>
      <c r="K920" s="249"/>
      <c r="L920" s="480"/>
      <c r="M920" s="481"/>
      <c r="O920" s="492"/>
      <c r="P920" s="249"/>
      <c r="Q920" s="481"/>
    </row>
    <row r="921" ht="12.75" customHeight="1">
      <c r="G921" s="480"/>
      <c r="H921" s="249"/>
      <c r="I921" s="479"/>
      <c r="K921" s="249"/>
      <c r="L921" s="480"/>
      <c r="M921" s="481"/>
      <c r="O921" s="492"/>
      <c r="P921" s="249"/>
      <c r="Q921" s="481"/>
    </row>
    <row r="922" ht="12.75" customHeight="1">
      <c r="G922" s="480"/>
      <c r="H922" s="249"/>
      <c r="I922" s="479"/>
      <c r="K922" s="249"/>
      <c r="L922" s="480"/>
      <c r="M922" s="481"/>
      <c r="O922" s="492"/>
      <c r="P922" s="249"/>
      <c r="Q922" s="481"/>
    </row>
    <row r="923" ht="12.75" customHeight="1">
      <c r="G923" s="480"/>
      <c r="H923" s="249"/>
      <c r="I923" s="479"/>
      <c r="K923" s="249"/>
      <c r="L923" s="480"/>
      <c r="M923" s="481"/>
      <c r="O923" s="492"/>
      <c r="P923" s="249"/>
      <c r="Q923" s="481"/>
    </row>
    <row r="924" ht="12.75" customHeight="1">
      <c r="G924" s="480"/>
      <c r="H924" s="249"/>
      <c r="I924" s="479"/>
      <c r="K924" s="249"/>
      <c r="L924" s="480"/>
      <c r="M924" s="481"/>
      <c r="O924" s="492"/>
      <c r="P924" s="249"/>
      <c r="Q924" s="481"/>
    </row>
    <row r="925" ht="12.75" customHeight="1">
      <c r="G925" s="480"/>
      <c r="H925" s="249"/>
      <c r="I925" s="479"/>
      <c r="K925" s="249"/>
      <c r="L925" s="480"/>
      <c r="M925" s="481"/>
      <c r="O925" s="492"/>
      <c r="P925" s="249"/>
      <c r="Q925" s="481"/>
    </row>
    <row r="926" ht="12.75" customHeight="1">
      <c r="G926" s="480"/>
      <c r="H926" s="249"/>
      <c r="I926" s="479"/>
      <c r="K926" s="249"/>
      <c r="L926" s="480"/>
      <c r="M926" s="481"/>
      <c r="O926" s="492"/>
      <c r="P926" s="249"/>
      <c r="Q926" s="481"/>
    </row>
    <row r="927" ht="12.75" customHeight="1">
      <c r="G927" s="480"/>
      <c r="H927" s="249"/>
      <c r="I927" s="479"/>
      <c r="K927" s="249"/>
      <c r="L927" s="480"/>
      <c r="M927" s="481"/>
      <c r="O927" s="492"/>
      <c r="P927" s="249"/>
      <c r="Q927" s="481"/>
    </row>
    <row r="928" ht="12.75" customHeight="1">
      <c r="G928" s="480"/>
      <c r="H928" s="249"/>
      <c r="I928" s="479"/>
      <c r="K928" s="249"/>
      <c r="L928" s="480"/>
      <c r="M928" s="481"/>
      <c r="O928" s="492"/>
      <c r="P928" s="249"/>
      <c r="Q928" s="481"/>
    </row>
    <row r="929" ht="12.75" customHeight="1">
      <c r="G929" s="480"/>
      <c r="H929" s="249"/>
      <c r="I929" s="479"/>
      <c r="K929" s="249"/>
      <c r="L929" s="480"/>
      <c r="M929" s="481"/>
      <c r="O929" s="492"/>
      <c r="P929" s="249"/>
      <c r="Q929" s="481"/>
    </row>
    <row r="930" ht="12.75" customHeight="1">
      <c r="G930" s="480"/>
      <c r="H930" s="249"/>
      <c r="I930" s="479"/>
      <c r="K930" s="249"/>
      <c r="L930" s="480"/>
      <c r="M930" s="481"/>
      <c r="O930" s="492"/>
      <c r="P930" s="249"/>
      <c r="Q930" s="481"/>
    </row>
    <row r="931" ht="12.75" customHeight="1">
      <c r="G931" s="480"/>
      <c r="H931" s="249"/>
      <c r="I931" s="479"/>
      <c r="K931" s="249"/>
      <c r="L931" s="480"/>
      <c r="M931" s="481"/>
      <c r="O931" s="492"/>
      <c r="P931" s="249"/>
      <c r="Q931" s="481"/>
    </row>
    <row r="932" ht="12.75" customHeight="1">
      <c r="G932" s="480"/>
      <c r="H932" s="249"/>
      <c r="I932" s="479"/>
      <c r="K932" s="249"/>
      <c r="L932" s="480"/>
      <c r="M932" s="481"/>
      <c r="O932" s="492"/>
      <c r="P932" s="249"/>
      <c r="Q932" s="481"/>
    </row>
    <row r="933" ht="12.75" customHeight="1">
      <c r="G933" s="480"/>
      <c r="H933" s="249"/>
      <c r="I933" s="479"/>
      <c r="K933" s="249"/>
      <c r="L933" s="480"/>
      <c r="M933" s="481"/>
      <c r="O933" s="492"/>
      <c r="P933" s="249"/>
      <c r="Q933" s="481"/>
    </row>
    <row r="934" ht="12.75" customHeight="1">
      <c r="G934" s="480"/>
      <c r="H934" s="249"/>
      <c r="I934" s="479"/>
      <c r="K934" s="249"/>
      <c r="L934" s="480"/>
      <c r="M934" s="481"/>
      <c r="O934" s="492"/>
      <c r="P934" s="249"/>
      <c r="Q934" s="481"/>
    </row>
    <row r="935" ht="12.75" customHeight="1">
      <c r="G935" s="480"/>
      <c r="H935" s="249"/>
      <c r="I935" s="479"/>
      <c r="K935" s="249"/>
      <c r="L935" s="480"/>
      <c r="M935" s="481"/>
      <c r="O935" s="492"/>
      <c r="P935" s="249"/>
      <c r="Q935" s="481"/>
    </row>
    <row r="936" ht="12.75" customHeight="1">
      <c r="G936" s="480"/>
      <c r="H936" s="249"/>
      <c r="I936" s="479"/>
      <c r="K936" s="249"/>
      <c r="L936" s="480"/>
      <c r="M936" s="481"/>
      <c r="O936" s="492"/>
      <c r="P936" s="249"/>
      <c r="Q936" s="481"/>
    </row>
    <row r="937" ht="12.75" customHeight="1">
      <c r="G937" s="480"/>
      <c r="H937" s="249"/>
      <c r="I937" s="479"/>
      <c r="K937" s="249"/>
      <c r="L937" s="480"/>
      <c r="M937" s="481"/>
      <c r="O937" s="492"/>
      <c r="P937" s="249"/>
      <c r="Q937" s="481"/>
    </row>
    <row r="938" ht="12.75" customHeight="1">
      <c r="G938" s="480"/>
      <c r="H938" s="249"/>
      <c r="I938" s="479"/>
      <c r="K938" s="249"/>
      <c r="L938" s="480"/>
      <c r="M938" s="481"/>
      <c r="O938" s="492"/>
      <c r="P938" s="249"/>
      <c r="Q938" s="481"/>
    </row>
    <row r="939" ht="12.75" customHeight="1">
      <c r="G939" s="480"/>
      <c r="H939" s="249"/>
      <c r="I939" s="479"/>
      <c r="K939" s="249"/>
      <c r="L939" s="480"/>
      <c r="M939" s="481"/>
      <c r="O939" s="492"/>
      <c r="P939" s="249"/>
      <c r="Q939" s="481"/>
    </row>
    <row r="940" ht="12.75" customHeight="1">
      <c r="G940" s="480"/>
      <c r="H940" s="249"/>
      <c r="I940" s="479"/>
      <c r="K940" s="249"/>
      <c r="L940" s="480"/>
      <c r="M940" s="481"/>
      <c r="O940" s="492"/>
      <c r="P940" s="249"/>
      <c r="Q940" s="481"/>
    </row>
    <row r="941" ht="12.75" customHeight="1">
      <c r="G941" s="480"/>
      <c r="H941" s="249"/>
      <c r="I941" s="479"/>
      <c r="K941" s="249"/>
      <c r="L941" s="480"/>
      <c r="M941" s="481"/>
      <c r="O941" s="492"/>
      <c r="P941" s="249"/>
      <c r="Q941" s="481"/>
    </row>
    <row r="942" ht="12.75" customHeight="1">
      <c r="G942" s="480"/>
      <c r="H942" s="249"/>
      <c r="I942" s="479"/>
      <c r="K942" s="249"/>
      <c r="L942" s="480"/>
      <c r="M942" s="481"/>
      <c r="O942" s="492"/>
      <c r="P942" s="249"/>
      <c r="Q942" s="481"/>
    </row>
    <row r="943" ht="12.75" customHeight="1">
      <c r="G943" s="480"/>
      <c r="H943" s="249"/>
      <c r="I943" s="479"/>
      <c r="K943" s="249"/>
      <c r="L943" s="480"/>
      <c r="M943" s="481"/>
      <c r="O943" s="492"/>
      <c r="P943" s="249"/>
      <c r="Q943" s="481"/>
    </row>
    <row r="944" ht="12.75" customHeight="1">
      <c r="G944" s="480"/>
      <c r="H944" s="249"/>
      <c r="I944" s="479"/>
      <c r="K944" s="249"/>
      <c r="L944" s="480"/>
      <c r="M944" s="481"/>
      <c r="O944" s="492"/>
      <c r="P944" s="249"/>
      <c r="Q944" s="481"/>
    </row>
    <row r="945" ht="12.75" customHeight="1">
      <c r="G945" s="480"/>
      <c r="H945" s="249"/>
      <c r="I945" s="479"/>
      <c r="K945" s="249"/>
      <c r="L945" s="480"/>
      <c r="M945" s="481"/>
      <c r="O945" s="492"/>
      <c r="P945" s="249"/>
      <c r="Q945" s="481"/>
    </row>
    <row r="946" ht="12.75" customHeight="1">
      <c r="G946" s="480"/>
      <c r="H946" s="249"/>
      <c r="I946" s="479"/>
      <c r="K946" s="249"/>
      <c r="L946" s="480"/>
      <c r="M946" s="481"/>
      <c r="O946" s="492"/>
      <c r="P946" s="249"/>
      <c r="Q946" s="481"/>
    </row>
    <row r="947" ht="12.75" customHeight="1">
      <c r="G947" s="480"/>
      <c r="H947" s="249"/>
      <c r="I947" s="479"/>
      <c r="K947" s="249"/>
      <c r="L947" s="480"/>
      <c r="M947" s="481"/>
      <c r="O947" s="492"/>
      <c r="P947" s="249"/>
      <c r="Q947" s="481"/>
    </row>
    <row r="948" ht="12.75" customHeight="1">
      <c r="G948" s="480"/>
      <c r="H948" s="249"/>
      <c r="I948" s="479"/>
      <c r="K948" s="249"/>
      <c r="L948" s="480"/>
      <c r="M948" s="481"/>
      <c r="O948" s="492"/>
      <c r="P948" s="249"/>
      <c r="Q948" s="481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5" width="12.13"/>
    <col customWidth="1" min="6" max="6" width="11.75"/>
    <col customWidth="1" min="7" max="7" width="17.75"/>
    <col customWidth="1" min="8" max="44" width="8.63"/>
  </cols>
  <sheetData>
    <row r="1" ht="12.75" customHeight="1">
      <c r="A1" s="437" t="s">
        <v>753</v>
      </c>
      <c r="B1" s="437"/>
      <c r="C1" s="437"/>
      <c r="D1" s="437"/>
      <c r="E1" s="437"/>
      <c r="F1" s="437"/>
      <c r="G1" s="437"/>
    </row>
    <row r="2" ht="12.75" customHeight="1">
      <c r="A2" s="440" t="s">
        <v>754</v>
      </c>
      <c r="B2" s="441" t="s">
        <v>756</v>
      </c>
      <c r="C2" s="442" t="s">
        <v>757</v>
      </c>
      <c r="D2" s="442" t="s">
        <v>758</v>
      </c>
      <c r="E2" s="441" t="s">
        <v>759</v>
      </c>
      <c r="F2" s="442" t="s">
        <v>760</v>
      </c>
      <c r="G2" s="442" t="s">
        <v>761</v>
      </c>
    </row>
    <row r="3" ht="12.75" customHeight="1">
      <c r="A3" s="509" t="s">
        <v>455</v>
      </c>
      <c r="B3" s="461" t="s">
        <v>762</v>
      </c>
      <c r="C3" s="461">
        <v>0.0</v>
      </c>
      <c r="D3" s="461" t="s">
        <v>763</v>
      </c>
      <c r="E3" s="461">
        <v>15.0</v>
      </c>
      <c r="F3" s="444">
        <v>9.0</v>
      </c>
      <c r="G3" s="461" t="s">
        <v>764</v>
      </c>
    </row>
    <row r="4" ht="12.75" customHeight="1">
      <c r="A4" s="509" t="s">
        <v>488</v>
      </c>
      <c r="B4" s="461" t="s">
        <v>765</v>
      </c>
      <c r="C4" s="461">
        <v>0.0</v>
      </c>
      <c r="D4" s="461" t="s">
        <v>763</v>
      </c>
      <c r="E4" s="461">
        <v>15.0</v>
      </c>
      <c r="F4" s="444">
        <v>9.0</v>
      </c>
      <c r="G4" s="461" t="s">
        <v>764</v>
      </c>
    </row>
    <row r="5" ht="12.75" customHeight="1">
      <c r="A5" s="509" t="s">
        <v>516</v>
      </c>
      <c r="B5" s="461" t="s">
        <v>762</v>
      </c>
      <c r="C5" s="461">
        <v>30.0</v>
      </c>
      <c r="D5" s="461" t="s">
        <v>766</v>
      </c>
      <c r="E5" s="461">
        <v>150.0</v>
      </c>
      <c r="F5" s="444">
        <v>18.0</v>
      </c>
      <c r="G5" s="461" t="s">
        <v>764</v>
      </c>
    </row>
    <row r="6" ht="12.75" customHeight="1">
      <c r="A6" s="509" t="s">
        <v>517</v>
      </c>
      <c r="B6" s="461" t="s">
        <v>765</v>
      </c>
      <c r="C6" s="461">
        <v>30.0</v>
      </c>
      <c r="D6" s="461" t="s">
        <v>766</v>
      </c>
      <c r="E6" s="461">
        <v>150.0</v>
      </c>
      <c r="F6" s="444">
        <v>18.0</v>
      </c>
      <c r="G6" s="461" t="s">
        <v>764</v>
      </c>
    </row>
    <row r="7" ht="12.75" customHeight="1">
      <c r="A7" s="509" t="s">
        <v>532</v>
      </c>
      <c r="B7" s="461" t="s">
        <v>762</v>
      </c>
      <c r="C7" s="461">
        <v>300.0</v>
      </c>
      <c r="D7" s="444">
        <v>600.0</v>
      </c>
      <c r="E7" s="461">
        <v>500.0</v>
      </c>
      <c r="F7" s="444">
        <v>27.0</v>
      </c>
      <c r="G7" s="461" t="s">
        <v>764</v>
      </c>
    </row>
    <row r="8" ht="12.75" customHeight="1">
      <c r="A8" s="509" t="s">
        <v>555</v>
      </c>
      <c r="B8" s="461" t="s">
        <v>765</v>
      </c>
      <c r="C8" s="461">
        <v>300.0</v>
      </c>
      <c r="D8" s="444">
        <v>600.0</v>
      </c>
      <c r="E8" s="461">
        <v>500.0</v>
      </c>
      <c r="F8" s="444">
        <v>27.0</v>
      </c>
      <c r="G8" s="461" t="s">
        <v>764</v>
      </c>
    </row>
    <row r="9" ht="12.75" customHeight="1"/>
    <row r="10" ht="12.75" customHeight="1">
      <c r="A10" s="437" t="s">
        <v>768</v>
      </c>
      <c r="B10" s="437"/>
      <c r="C10" s="437"/>
      <c r="D10" s="437"/>
      <c r="E10" s="437"/>
    </row>
    <row r="11" ht="12.75" customHeight="1">
      <c r="A11" s="440" t="s">
        <v>457</v>
      </c>
      <c r="B11" s="441" t="s">
        <v>458</v>
      </c>
      <c r="C11" s="440" t="s">
        <v>769</v>
      </c>
      <c r="D11" s="510"/>
      <c r="E11" s="510"/>
    </row>
    <row r="12" ht="12.75" customHeight="1">
      <c r="A12" s="443" t="s">
        <v>771</v>
      </c>
      <c r="B12" s="461">
        <v>250.0</v>
      </c>
      <c r="C12" s="445" t="s">
        <v>772</v>
      </c>
    </row>
    <row r="13" ht="12.75" customHeight="1">
      <c r="A13" s="443" t="s">
        <v>773</v>
      </c>
      <c r="B13" s="461">
        <v>14.0</v>
      </c>
      <c r="C13" s="445" t="s">
        <v>774</v>
      </c>
    </row>
    <row r="14" ht="12.75" customHeight="1">
      <c r="A14" s="443" t="s">
        <v>775</v>
      </c>
      <c r="B14" s="464">
        <v>0.95</v>
      </c>
      <c r="C14" s="445" t="s">
        <v>776</v>
      </c>
    </row>
    <row r="15" ht="12.75" customHeight="1"/>
    <row r="16" ht="12.75" customHeight="1"/>
    <row r="17" ht="12.75" customHeight="1">
      <c r="A17" s="511" t="s">
        <v>777</v>
      </c>
      <c r="B17" s="437"/>
      <c r="C17" s="437"/>
      <c r="D17" s="437"/>
      <c r="E17" s="437"/>
    </row>
    <row r="18" ht="12.75" customHeight="1">
      <c r="A18" s="440" t="s">
        <v>754</v>
      </c>
      <c r="B18" s="512" t="s">
        <v>778</v>
      </c>
    </row>
    <row r="19" ht="12.75" customHeight="1">
      <c r="A19" s="509" t="s">
        <v>455</v>
      </c>
      <c r="B19" s="515" t="str">
        <f>IFERROR(__xludf.DUMMYFUNCTION("LET(
  w, ARRAYFORMULA(VALUE(SPLIT(G3,""/""))),
  dw, MAP(SEQUENCE(29), LAMBDA(d, INDEX(w,1,MOD(d-1,7)+1))),
  k, MAP(dw, LAMBDA(wt, RAND()^(1/wt))),
  t, LARGE(k, F3),
  lv, MAP(k, LAMBDA(x, IF(x&gt;=t, RANDBETWEEN(C3,D3), 0))),
  TEXTJOIN("";"", FALSE, lv)"&amp;"
)"),"0;0;0;7;0;0;8;0;0;0;0;22;0;0;0;0;0;0;15;2;26;0;0;0;28;0;17;0;0")</f>
        <v>0;0;0;7;0;0;8;0;0;0;0;22;0;0;0;0;0;0;15;2;26;0;0;0;28;0;17;0;0</v>
      </c>
    </row>
    <row r="20" ht="12.75" customHeight="1">
      <c r="A20" s="509" t="s">
        <v>488</v>
      </c>
      <c r="B20" s="515" t="str">
        <f>IFERROR(__xludf.DUMMYFUNCTION("LET(
  w, ARRAYFORMULA(VALUE(SPLIT(G4,""/""))),
  dw, MAP(SEQUENCE(29), LAMBDA(d, INDEX(w,1,MOD(d-1,7)+1))),
  k, MAP(dw, LAMBDA(wt, RAND()^(1/wt))),
  t, LARGE(k, F4),
  lv, MAP(k, LAMBDA(x, IF(x&gt;=t, RANDBETWEEN(C4,D4), 0))),
  TEXTJOIN("";"", FALSE, lv)"&amp;"
)"),"0;0;0;12;0;12;13;0;0;0;0;4;0;0;0;0;0;0;27;23;16;0;0;0;0;0;19;0;0")</f>
        <v>0;0;0;12;0;12;13;0;0;0;0;4;0;0;0;0;0;0;27;23;16;0;0;0;0;0;19;0;0</v>
      </c>
    </row>
    <row r="21" ht="12.75" customHeight="1">
      <c r="A21" s="509" t="s">
        <v>516</v>
      </c>
      <c r="B21" s="515" t="str">
        <f>IFERROR(__xludf.DUMMYFUNCTION("LET(
  w, ARRAYFORMULA(VALUE(SPLIT(G5,""/""))),
  dw, MAP(SEQUENCE(29), LAMBDA(d, INDEX(w,1,MOD(d-1,7)+1))),
  k, MAP(dw, LAMBDA(wt, RAND()^(1/wt))),
  t, LARGE(k, F5),
  lv, MAP(k, LAMBDA(x, IF(x&gt;=t, RANDBETWEEN(C5,D5), 0))),
  TEXTJOIN("";"", FALSE, lv)"&amp;"
)"),"0;0;0;57;50;219;112;0;0;0;167;293;64;120;271;87;0;0;36;33;164;0;0;0;74;86;132;165;269")</f>
        <v>0;0;0;57;50;219;112;0;0;0;167;293;64;120;271;87;0;0;36;33;164;0;0;0;74;86;132;165;269</v>
      </c>
    </row>
    <row r="22" ht="12.75" customHeight="1">
      <c r="A22" s="509" t="s">
        <v>517</v>
      </c>
      <c r="B22" s="515" t="str">
        <f>IFERROR(__xludf.DUMMYFUNCTION("LET(
  w, ARRAYFORMULA(VALUE(SPLIT(G6,""/""))),
  dw, MAP(SEQUENCE(29), LAMBDA(d, INDEX(w,1,MOD(d-1,7)+1))),
  k, MAP(dw, LAMBDA(wt, RAND()^(1/wt))),
  t, LARGE(k, F6),
  lv, MAP(k, LAMBDA(x, IF(x&gt;=t, RANDBETWEEN(C6,D6), 0))),
  TEXTJOIN("";"", FALSE, lv)"&amp;"
)"),"0;164;0;138;0;131;299;0;0;58;108;61;148;43;0;0;0;0;99;36;55;0;299;214;136;169;224;141;0")</f>
        <v>0;164;0;138;0;131;299;0;0;58;108;61;148;43;0;0;0;0;99;36;55;0;299;214;136;169;224;141;0</v>
      </c>
    </row>
    <row r="23" ht="12.75" customHeight="1">
      <c r="A23" s="509" t="s">
        <v>532</v>
      </c>
      <c r="B23" s="515" t="str">
        <f>IFERROR(__xludf.DUMMYFUNCTION("LET(
  w, ARRAYFORMULA(VALUE(SPLIT(G7,""/""))),
  dw, MAP(SEQUENCE(29), LAMBDA(d, INDEX(w,1,MOD(d-1,7)+1))),
  k, MAP(dw, LAMBDA(wt, RAND()^(1/wt))),
  t, LARGE(k, F7),
  lv, MAP(k, LAMBDA(x, IF(x&gt;=t, RANDBETWEEN(C7,D7), 0))),
  TEXTJOIN("";"", FALSE, lv)"&amp;"
)"),"303;425;459;386;570;328;330;310;352;400;339;466;514;379;367;334;0;338;500;571;553;0;468;386;595;321;517;431;378")</f>
        <v>303;425;459;386;570;328;330;310;352;400;339;466;514;379;367;334;0;338;500;571;553;0;468;386;595;321;517;431;378</v>
      </c>
    </row>
    <row r="24" ht="12.75" customHeight="1">
      <c r="A24" s="509" t="s">
        <v>555</v>
      </c>
      <c r="B24" s="515" t="str">
        <f>IFERROR(__xludf.DUMMYFUNCTION("LET(
  w, ARRAYFORMULA(VALUE(SPLIT(G8,""/""))),
  dw, MAP(SEQUENCE(29), LAMBDA(d, INDEX(w,1,MOD(d-1,7)+1))),
  k, MAP(dw, LAMBDA(wt, RAND()^(1/wt))),
  t, LARGE(k, F8),
  lv, MAP(k, LAMBDA(x, IF(x&gt;=t, RANDBETWEEN(C8,D8), 0))),
  TEXTJOIN("";"", FALSE, lv)"&amp;"
)"),"456;350;415;499;427;508;356;356;418;0;560;351;445;332;397;366;336;356;320;534;575;532;0;575;483;506;503;546;504")</f>
        <v>456;350;415;499;427;508;356;356;418;0;560;351;445;332;397;366;336;356;320;534;575;532;0;575;483;506;503;546;504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C11:E11"/>
    <mergeCell ref="C12:E12"/>
    <mergeCell ref="C13:E13"/>
    <mergeCell ref="C14:E1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75"/>
    <col customWidth="1" min="2" max="7" width="23.38"/>
    <col customWidth="1" min="8" max="26" width="8.63"/>
  </cols>
  <sheetData>
    <row r="1" ht="12.75" customHeight="1">
      <c r="A1" s="437" t="s">
        <v>794</v>
      </c>
      <c r="B1" s="438"/>
      <c r="C1" s="438"/>
      <c r="D1" s="438"/>
      <c r="E1" s="438"/>
      <c r="F1" s="438"/>
      <c r="G1" s="439"/>
    </row>
    <row r="2" ht="12.75" customHeight="1">
      <c r="A2" s="440" t="s">
        <v>795</v>
      </c>
      <c r="B2" s="441" t="s">
        <v>455</v>
      </c>
      <c r="C2" s="441" t="s">
        <v>488</v>
      </c>
      <c r="D2" s="441" t="s">
        <v>516</v>
      </c>
      <c r="E2" s="441" t="s">
        <v>517</v>
      </c>
      <c r="F2" s="441" t="s">
        <v>532</v>
      </c>
      <c r="G2" s="441" t="s">
        <v>555</v>
      </c>
    </row>
    <row r="3" ht="12.75" customHeight="1">
      <c r="A3" s="443" t="s">
        <v>798</v>
      </c>
      <c r="B3" s="449" t="s">
        <v>90</v>
      </c>
      <c r="C3" s="449" t="s">
        <v>90</v>
      </c>
      <c r="D3" s="449" t="s">
        <v>90</v>
      </c>
      <c r="E3" s="449" t="s">
        <v>90</v>
      </c>
      <c r="F3" s="449" t="s">
        <v>90</v>
      </c>
      <c r="G3" s="449" t="s">
        <v>90</v>
      </c>
    </row>
    <row r="4" ht="12.75" customHeight="1">
      <c r="A4" s="443" t="s">
        <v>799</v>
      </c>
      <c r="B4" s="449" t="s">
        <v>90</v>
      </c>
      <c r="C4" s="449" t="s">
        <v>90</v>
      </c>
      <c r="D4" s="449" t="s">
        <v>90</v>
      </c>
      <c r="E4" s="449" t="s">
        <v>90</v>
      </c>
      <c r="F4" s="449" t="s">
        <v>90</v>
      </c>
      <c r="G4" s="449" t="s">
        <v>90</v>
      </c>
    </row>
    <row r="5" ht="12.75" customHeight="1">
      <c r="A5" s="443" t="s">
        <v>800</v>
      </c>
      <c r="B5" s="449" t="s">
        <v>90</v>
      </c>
      <c r="C5" s="449" t="s">
        <v>90</v>
      </c>
      <c r="D5" s="449" t="s">
        <v>90</v>
      </c>
      <c r="E5" s="449" t="s">
        <v>90</v>
      </c>
      <c r="F5" s="449" t="s">
        <v>90</v>
      </c>
      <c r="G5" s="449" t="s">
        <v>90</v>
      </c>
    </row>
    <row r="6" ht="12.75" customHeight="1">
      <c r="A6" s="443" t="s">
        <v>801</v>
      </c>
      <c r="B6" s="449" t="s">
        <v>90</v>
      </c>
      <c r="C6" s="449" t="s">
        <v>90</v>
      </c>
      <c r="D6" s="449" t="s">
        <v>90</v>
      </c>
      <c r="E6" s="449" t="s">
        <v>90</v>
      </c>
      <c r="F6" s="449" t="s">
        <v>90</v>
      </c>
      <c r="G6" s="449" t="s">
        <v>90</v>
      </c>
    </row>
    <row r="7" ht="12.75" customHeight="1"/>
    <row r="8" ht="12.75" customHeight="1">
      <c r="A8" s="443" t="s">
        <v>802</v>
      </c>
      <c r="B8" s="449" t="s">
        <v>90</v>
      </c>
      <c r="C8" s="449" t="s">
        <v>90</v>
      </c>
      <c r="D8" s="449" t="s">
        <v>90</v>
      </c>
      <c r="E8" s="449" t="s">
        <v>90</v>
      </c>
      <c r="F8" s="449" t="s">
        <v>90</v>
      </c>
      <c r="G8" s="449" t="s">
        <v>90</v>
      </c>
    </row>
    <row r="9" ht="12.75" customHeight="1">
      <c r="A9" s="443" t="s">
        <v>803</v>
      </c>
      <c r="B9" s="449" t="s">
        <v>90</v>
      </c>
      <c r="C9" s="449" t="s">
        <v>90</v>
      </c>
      <c r="D9" s="449" t="s">
        <v>90</v>
      </c>
      <c r="E9" s="449" t="s">
        <v>90</v>
      </c>
      <c r="F9" s="449" t="s">
        <v>90</v>
      </c>
      <c r="G9" s="449" t="s">
        <v>90</v>
      </c>
    </row>
    <row r="10" ht="12.75" customHeight="1">
      <c r="A10" s="443" t="s">
        <v>804</v>
      </c>
      <c r="B10" s="449" t="s">
        <v>90</v>
      </c>
      <c r="C10" s="449" t="s">
        <v>90</v>
      </c>
      <c r="D10" s="449" t="s">
        <v>90</v>
      </c>
      <c r="E10" s="449" t="s">
        <v>90</v>
      </c>
      <c r="F10" s="449" t="s">
        <v>90</v>
      </c>
      <c r="G10" s="449" t="s">
        <v>90</v>
      </c>
    </row>
    <row r="11" ht="12.75" customHeight="1"/>
    <row r="12" ht="12.75" customHeight="1">
      <c r="A12" s="443" t="s">
        <v>805</v>
      </c>
      <c r="B12" s="449" t="s">
        <v>90</v>
      </c>
      <c r="C12" s="449" t="s">
        <v>90</v>
      </c>
      <c r="D12" s="449" t="s">
        <v>90</v>
      </c>
      <c r="E12" s="449" t="s">
        <v>90</v>
      </c>
      <c r="F12" s="449" t="s">
        <v>90</v>
      </c>
      <c r="G12" s="449" t="s">
        <v>90</v>
      </c>
    </row>
    <row r="13" ht="12.75" customHeight="1">
      <c r="A13" s="443" t="s">
        <v>807</v>
      </c>
      <c r="B13" s="449" t="s">
        <v>90</v>
      </c>
      <c r="C13" s="449" t="s">
        <v>90</v>
      </c>
      <c r="D13" s="449" t="s">
        <v>90</v>
      </c>
      <c r="E13" s="449" t="s">
        <v>90</v>
      </c>
      <c r="F13" s="449" t="s">
        <v>90</v>
      </c>
      <c r="G13" s="449" t="s">
        <v>90</v>
      </c>
    </row>
    <row r="14" ht="12.75" customHeight="1">
      <c r="A14" s="443" t="s">
        <v>808</v>
      </c>
      <c r="B14" s="449" t="s">
        <v>90</v>
      </c>
      <c r="C14" s="449" t="s">
        <v>90</v>
      </c>
      <c r="D14" s="449" t="s">
        <v>90</v>
      </c>
      <c r="E14" s="449" t="s">
        <v>90</v>
      </c>
      <c r="F14" s="449" t="s">
        <v>90</v>
      </c>
      <c r="G14" s="449" t="s">
        <v>90</v>
      </c>
    </row>
    <row r="15" ht="12.75" customHeight="1"/>
    <row r="16" ht="12.75" customHeight="1">
      <c r="A16" s="443" t="s">
        <v>809</v>
      </c>
      <c r="B16" s="449" t="s">
        <v>90</v>
      </c>
      <c r="C16" s="449" t="s">
        <v>90</v>
      </c>
      <c r="D16" s="449" t="s">
        <v>90</v>
      </c>
      <c r="E16" s="449" t="s">
        <v>90</v>
      </c>
      <c r="F16" s="449" t="s">
        <v>90</v>
      </c>
      <c r="G16" s="449" t="s">
        <v>90</v>
      </c>
    </row>
    <row r="17" ht="12.75" customHeight="1">
      <c r="A17" s="443" t="s">
        <v>810</v>
      </c>
      <c r="B17" s="449" t="s">
        <v>90</v>
      </c>
      <c r="C17" s="449" t="s">
        <v>90</v>
      </c>
      <c r="D17" s="449" t="s">
        <v>90</v>
      </c>
      <c r="E17" s="449" t="s">
        <v>90</v>
      </c>
      <c r="F17" s="449" t="s">
        <v>90</v>
      </c>
      <c r="G17" s="449" t="s">
        <v>90</v>
      </c>
    </row>
    <row r="18" ht="12.75" customHeight="1">
      <c r="A18" s="443" t="s">
        <v>811</v>
      </c>
      <c r="B18" s="449" t="s">
        <v>90</v>
      </c>
      <c r="C18" s="449" t="s">
        <v>90</v>
      </c>
      <c r="D18" s="449" t="s">
        <v>90</v>
      </c>
      <c r="E18" s="449" t="s">
        <v>90</v>
      </c>
      <c r="F18" s="449" t="s">
        <v>90</v>
      </c>
      <c r="G18" s="449" t="s">
        <v>90</v>
      </c>
    </row>
    <row r="19" ht="12.75" customHeight="1">
      <c r="A19" s="443" t="s">
        <v>812</v>
      </c>
      <c r="B19" s="449" t="s">
        <v>90</v>
      </c>
      <c r="C19" s="449" t="s">
        <v>90</v>
      </c>
      <c r="D19" s="449" t="s">
        <v>90</v>
      </c>
      <c r="E19" s="449" t="s">
        <v>90</v>
      </c>
      <c r="F19" s="449" t="s">
        <v>90</v>
      </c>
      <c r="G19" s="449" t="s">
        <v>90</v>
      </c>
    </row>
    <row r="20" ht="12.75" customHeight="1">
      <c r="A20" s="443" t="s">
        <v>813</v>
      </c>
      <c r="B20" s="449" t="s">
        <v>90</v>
      </c>
      <c r="C20" s="449" t="s">
        <v>90</v>
      </c>
      <c r="D20" s="449" t="s">
        <v>90</v>
      </c>
      <c r="E20" s="449" t="s">
        <v>90</v>
      </c>
      <c r="F20" s="449" t="s">
        <v>90</v>
      </c>
      <c r="G20" s="449" t="s">
        <v>90</v>
      </c>
    </row>
    <row r="21" ht="12.75" customHeight="1">
      <c r="A21" s="443" t="s">
        <v>814</v>
      </c>
      <c r="B21" s="449" t="s">
        <v>90</v>
      </c>
      <c r="C21" s="449" t="s">
        <v>90</v>
      </c>
      <c r="D21" s="449" t="s">
        <v>90</v>
      </c>
      <c r="E21" s="449" t="s">
        <v>90</v>
      </c>
      <c r="F21" s="449" t="s">
        <v>90</v>
      </c>
      <c r="G21" s="449" t="s">
        <v>90</v>
      </c>
    </row>
    <row r="22" ht="12.75" customHeight="1"/>
    <row r="23" ht="12.75" customHeight="1">
      <c r="A23" s="443" t="s">
        <v>815</v>
      </c>
      <c r="B23" s="449" t="s">
        <v>90</v>
      </c>
      <c r="C23" s="449" t="s">
        <v>90</v>
      </c>
      <c r="D23" s="449" t="s">
        <v>90</v>
      </c>
      <c r="E23" s="449" t="s">
        <v>90</v>
      </c>
      <c r="F23" s="449" t="s">
        <v>90</v>
      </c>
      <c r="G23" s="449" t="s">
        <v>90</v>
      </c>
    </row>
    <row r="24" ht="12.75" customHeight="1">
      <c r="A24" s="443" t="s">
        <v>816</v>
      </c>
      <c r="B24" s="449" t="s">
        <v>90</v>
      </c>
      <c r="C24" s="449" t="s">
        <v>90</v>
      </c>
      <c r="D24" s="449" t="s">
        <v>90</v>
      </c>
      <c r="E24" s="449" t="s">
        <v>90</v>
      </c>
      <c r="F24" s="449" t="s">
        <v>90</v>
      </c>
      <c r="G24" s="449" t="s">
        <v>90</v>
      </c>
    </row>
    <row r="25" ht="12.75" customHeight="1"/>
    <row r="26" ht="12.75" customHeight="1">
      <c r="A26" s="437" t="s">
        <v>817</v>
      </c>
      <c r="B26" s="438"/>
      <c r="C26" s="438"/>
      <c r="D26" s="438"/>
      <c r="E26" s="438"/>
      <c r="F26" s="438"/>
      <c r="G26" s="439"/>
    </row>
    <row r="27" ht="12.75" customHeight="1">
      <c r="A27" s="440" t="s">
        <v>818</v>
      </c>
      <c r="B27" s="441" t="s">
        <v>455</v>
      </c>
      <c r="C27" s="441" t="s">
        <v>488</v>
      </c>
      <c r="D27" s="441" t="s">
        <v>516</v>
      </c>
      <c r="E27" s="441" t="s">
        <v>517</v>
      </c>
      <c r="F27" s="441" t="s">
        <v>532</v>
      </c>
      <c r="G27" s="441" t="s">
        <v>555</v>
      </c>
    </row>
    <row r="28" ht="12.75" customHeight="1">
      <c r="A28" s="448" t="s">
        <v>820</v>
      </c>
      <c r="B28" s="449" t="s">
        <v>90</v>
      </c>
      <c r="C28" s="449" t="s">
        <v>90</v>
      </c>
      <c r="D28" s="449" t="s">
        <v>90</v>
      </c>
      <c r="E28" s="449" t="s">
        <v>90</v>
      </c>
      <c r="F28" s="449" t="s">
        <v>90</v>
      </c>
      <c r="G28" s="449" t="s">
        <v>90</v>
      </c>
    </row>
    <row r="29" ht="12.75" customHeight="1">
      <c r="A29" s="448" t="s">
        <v>821</v>
      </c>
      <c r="B29" s="449" t="s">
        <v>90</v>
      </c>
      <c r="C29" s="449" t="s">
        <v>90</v>
      </c>
      <c r="D29" s="449" t="s">
        <v>90</v>
      </c>
      <c r="E29" s="449" t="s">
        <v>90</v>
      </c>
      <c r="F29" s="449" t="s">
        <v>90</v>
      </c>
      <c r="G29" s="449" t="s">
        <v>90</v>
      </c>
    </row>
    <row r="30" ht="12.75" customHeight="1">
      <c r="A30" s="448" t="s">
        <v>822</v>
      </c>
      <c r="B30" s="449" t="s">
        <v>90</v>
      </c>
      <c r="C30" s="449" t="s">
        <v>90</v>
      </c>
      <c r="D30" s="449" t="s">
        <v>90</v>
      </c>
      <c r="E30" s="449" t="s">
        <v>90</v>
      </c>
      <c r="F30" s="449" t="s">
        <v>90</v>
      </c>
      <c r="G30" s="449" t="s">
        <v>90</v>
      </c>
    </row>
    <row r="31" ht="12.75" customHeight="1">
      <c r="A31" s="448" t="s">
        <v>824</v>
      </c>
      <c r="B31" s="449" t="s">
        <v>90</v>
      </c>
      <c r="C31" s="449" t="s">
        <v>90</v>
      </c>
      <c r="D31" s="449" t="s">
        <v>90</v>
      </c>
      <c r="E31" s="449" t="s">
        <v>90</v>
      </c>
      <c r="F31" s="449" t="s">
        <v>90</v>
      </c>
      <c r="G31" s="449" t="s">
        <v>90</v>
      </c>
    </row>
    <row r="32" ht="12.75" customHeight="1">
      <c r="A32" s="448" t="s">
        <v>825</v>
      </c>
      <c r="B32" s="449" t="s">
        <v>90</v>
      </c>
      <c r="C32" s="449" t="s">
        <v>90</v>
      </c>
      <c r="D32" s="449" t="s">
        <v>90</v>
      </c>
      <c r="E32" s="449" t="s">
        <v>90</v>
      </c>
      <c r="F32" s="449" t="s">
        <v>90</v>
      </c>
      <c r="G32" s="449" t="s">
        <v>90</v>
      </c>
    </row>
    <row r="33" ht="12.75" customHeight="1">
      <c r="A33" s="448" t="s">
        <v>826</v>
      </c>
      <c r="B33" s="449" t="s">
        <v>90</v>
      </c>
      <c r="C33" s="449" t="s">
        <v>90</v>
      </c>
      <c r="D33" s="449" t="s">
        <v>90</v>
      </c>
      <c r="E33" s="449" t="s">
        <v>90</v>
      </c>
      <c r="F33" s="449" t="s">
        <v>90</v>
      </c>
      <c r="G33" s="449" t="s">
        <v>90</v>
      </c>
    </row>
    <row r="34" ht="12.75" customHeight="1">
      <c r="A34" s="448" t="s">
        <v>827</v>
      </c>
      <c r="B34" s="449" t="s">
        <v>90</v>
      </c>
      <c r="C34" s="449" t="s">
        <v>90</v>
      </c>
      <c r="D34" s="449" t="s">
        <v>90</v>
      </c>
      <c r="E34" s="449" t="s">
        <v>90</v>
      </c>
      <c r="F34" s="449" t="s">
        <v>90</v>
      </c>
      <c r="G34" s="449" t="s">
        <v>90</v>
      </c>
    </row>
    <row r="35" ht="12.75" customHeight="1">
      <c r="A35" s="448" t="s">
        <v>828</v>
      </c>
      <c r="B35" s="449" t="s">
        <v>90</v>
      </c>
      <c r="C35" s="449" t="s">
        <v>90</v>
      </c>
      <c r="D35" s="449" t="s">
        <v>90</v>
      </c>
      <c r="E35" s="449" t="s">
        <v>90</v>
      </c>
      <c r="F35" s="449" t="s">
        <v>90</v>
      </c>
      <c r="G35" s="449" t="s">
        <v>90</v>
      </c>
    </row>
    <row r="36" ht="12.75" customHeight="1">
      <c r="A36" s="448" t="s">
        <v>829</v>
      </c>
      <c r="B36" s="449" t="s">
        <v>90</v>
      </c>
      <c r="C36" s="449" t="s">
        <v>90</v>
      </c>
      <c r="D36" s="449" t="s">
        <v>90</v>
      </c>
      <c r="E36" s="449" t="s">
        <v>90</v>
      </c>
      <c r="F36" s="449" t="s">
        <v>90</v>
      </c>
      <c r="G36" s="449" t="s">
        <v>90</v>
      </c>
    </row>
    <row r="37" ht="12.75" customHeight="1">
      <c r="A37" s="448" t="s">
        <v>830</v>
      </c>
      <c r="B37" s="449" t="s">
        <v>90</v>
      </c>
      <c r="C37" s="449" t="s">
        <v>90</v>
      </c>
      <c r="D37" s="449" t="s">
        <v>90</v>
      </c>
      <c r="E37" s="449" t="s">
        <v>90</v>
      </c>
      <c r="F37" s="449" t="s">
        <v>90</v>
      </c>
      <c r="G37" s="449" t="s">
        <v>90</v>
      </c>
    </row>
    <row r="38" ht="12.75" customHeight="1">
      <c r="A38" s="448" t="s">
        <v>831</v>
      </c>
      <c r="B38" s="449" t="s">
        <v>90</v>
      </c>
      <c r="C38" s="449" t="s">
        <v>90</v>
      </c>
      <c r="D38" s="449" t="s">
        <v>90</v>
      </c>
      <c r="E38" s="449" t="s">
        <v>90</v>
      </c>
      <c r="F38" s="449" t="s">
        <v>90</v>
      </c>
      <c r="G38" s="449" t="s">
        <v>90</v>
      </c>
    </row>
    <row r="39" ht="12.75" customHeight="1">
      <c r="A39" s="448" t="s">
        <v>832</v>
      </c>
      <c r="B39" s="449" t="s">
        <v>90</v>
      </c>
      <c r="C39" s="449" t="s">
        <v>90</v>
      </c>
      <c r="D39" s="449" t="s">
        <v>90</v>
      </c>
      <c r="E39" s="449" t="s">
        <v>90</v>
      </c>
      <c r="F39" s="449" t="s">
        <v>90</v>
      </c>
      <c r="G39" s="449" t="s">
        <v>90</v>
      </c>
    </row>
    <row r="40" ht="12.75" customHeight="1">
      <c r="A40" s="448" t="s">
        <v>833</v>
      </c>
      <c r="B40" s="449" t="s">
        <v>90</v>
      </c>
      <c r="C40" s="449" t="s">
        <v>90</v>
      </c>
      <c r="D40" s="449" t="s">
        <v>90</v>
      </c>
      <c r="E40" s="449" t="s">
        <v>90</v>
      </c>
      <c r="F40" s="449" t="s">
        <v>90</v>
      </c>
      <c r="G40" s="449" t="s">
        <v>90</v>
      </c>
    </row>
    <row r="41" ht="12.75" customHeight="1">
      <c r="A41" s="448" t="s">
        <v>834</v>
      </c>
      <c r="B41" s="449" t="s">
        <v>90</v>
      </c>
      <c r="C41" s="449" t="s">
        <v>90</v>
      </c>
      <c r="D41" s="449" t="s">
        <v>90</v>
      </c>
      <c r="E41" s="449" t="s">
        <v>90</v>
      </c>
      <c r="F41" s="449" t="s">
        <v>90</v>
      </c>
      <c r="G41" s="449" t="s">
        <v>90</v>
      </c>
    </row>
    <row r="42" ht="12.75" customHeight="1">
      <c r="A42" s="448" t="s">
        <v>836</v>
      </c>
      <c r="B42" s="449" t="s">
        <v>90</v>
      </c>
      <c r="C42" s="449" t="s">
        <v>90</v>
      </c>
      <c r="D42" s="449" t="s">
        <v>90</v>
      </c>
      <c r="E42" s="449" t="s">
        <v>90</v>
      </c>
      <c r="F42" s="449" t="s">
        <v>90</v>
      </c>
      <c r="G42" s="449" t="s">
        <v>90</v>
      </c>
    </row>
    <row r="43" ht="12.75" customHeight="1">
      <c r="A43" s="448" t="s">
        <v>837</v>
      </c>
      <c r="B43" s="449" t="s">
        <v>90</v>
      </c>
      <c r="C43" s="449" t="s">
        <v>90</v>
      </c>
      <c r="D43" s="449" t="s">
        <v>90</v>
      </c>
      <c r="E43" s="449" t="s">
        <v>90</v>
      </c>
      <c r="F43" s="449" t="s">
        <v>90</v>
      </c>
      <c r="G43" s="449" t="s">
        <v>90</v>
      </c>
    </row>
    <row r="44" ht="12.75" customHeight="1"/>
    <row r="45" ht="12.75" customHeight="1">
      <c r="A45" s="437" t="s">
        <v>838</v>
      </c>
      <c r="B45" s="438"/>
      <c r="C45" s="438"/>
      <c r="D45" s="438"/>
      <c r="E45" s="438"/>
      <c r="F45" s="438"/>
      <c r="G45" s="439"/>
    </row>
    <row r="46" ht="12.75" customHeight="1">
      <c r="A46" s="440" t="s">
        <v>174</v>
      </c>
      <c r="B46" s="441" t="s">
        <v>455</v>
      </c>
      <c r="C46" s="441" t="s">
        <v>488</v>
      </c>
      <c r="D46" s="441" t="s">
        <v>516</v>
      </c>
      <c r="E46" s="441" t="s">
        <v>517</v>
      </c>
      <c r="F46" s="441" t="s">
        <v>532</v>
      </c>
      <c r="G46" s="441" t="s">
        <v>555</v>
      </c>
    </row>
    <row r="47" ht="12.75" customHeight="1">
      <c r="A47" s="448" t="s">
        <v>839</v>
      </c>
      <c r="B47" s="449" t="s">
        <v>90</v>
      </c>
      <c r="C47" s="449" t="s">
        <v>90</v>
      </c>
      <c r="D47" s="449" t="s">
        <v>90</v>
      </c>
      <c r="E47" s="449" t="s">
        <v>90</v>
      </c>
      <c r="F47" s="449" t="s">
        <v>90</v>
      </c>
      <c r="G47" s="449" t="s">
        <v>90</v>
      </c>
    </row>
    <row r="48" ht="12.75" customHeight="1">
      <c r="A48" s="448" t="s">
        <v>840</v>
      </c>
      <c r="B48" s="449" t="s">
        <v>90</v>
      </c>
      <c r="C48" s="449" t="s">
        <v>90</v>
      </c>
      <c r="D48" s="449" t="s">
        <v>90</v>
      </c>
      <c r="E48" s="449" t="s">
        <v>90</v>
      </c>
      <c r="F48" s="449" t="s">
        <v>90</v>
      </c>
      <c r="G48" s="449" t="s">
        <v>90</v>
      </c>
    </row>
    <row r="49" ht="12.75" customHeight="1">
      <c r="A49" s="448" t="s">
        <v>841</v>
      </c>
      <c r="B49" s="449" t="s">
        <v>90</v>
      </c>
      <c r="C49" s="449" t="s">
        <v>90</v>
      </c>
      <c r="D49" s="449" t="s">
        <v>90</v>
      </c>
      <c r="E49" s="449" t="s">
        <v>90</v>
      </c>
      <c r="F49" s="449" t="s">
        <v>90</v>
      </c>
      <c r="G49" s="449" t="s">
        <v>90</v>
      </c>
    </row>
    <row r="50" ht="12.75" customHeight="1">
      <c r="A50" s="448" t="s">
        <v>842</v>
      </c>
      <c r="B50" s="449" t="s">
        <v>90</v>
      </c>
      <c r="C50" s="449" t="s">
        <v>90</v>
      </c>
      <c r="D50" s="449" t="s">
        <v>90</v>
      </c>
      <c r="E50" s="449" t="s">
        <v>90</v>
      </c>
      <c r="F50" s="449" t="s">
        <v>90</v>
      </c>
      <c r="G50" s="449" t="s">
        <v>90</v>
      </c>
    </row>
    <row r="51" ht="12.75" customHeight="1">
      <c r="A51" s="448" t="s">
        <v>843</v>
      </c>
      <c r="B51" s="449" t="s">
        <v>90</v>
      </c>
      <c r="C51" s="449" t="s">
        <v>90</v>
      </c>
      <c r="D51" s="449" t="s">
        <v>90</v>
      </c>
      <c r="E51" s="449" t="s">
        <v>90</v>
      </c>
      <c r="F51" s="449" t="s">
        <v>90</v>
      </c>
      <c r="G51" s="449" t="s">
        <v>90</v>
      </c>
    </row>
    <row r="52" ht="12.75" customHeight="1">
      <c r="A52" s="448" t="s">
        <v>844</v>
      </c>
      <c r="B52" s="449" t="s">
        <v>90</v>
      </c>
      <c r="C52" s="449" t="s">
        <v>90</v>
      </c>
      <c r="D52" s="449" t="s">
        <v>90</v>
      </c>
      <c r="E52" s="449" t="s">
        <v>90</v>
      </c>
      <c r="F52" s="449" t="s">
        <v>90</v>
      </c>
      <c r="G52" s="449" t="s">
        <v>90</v>
      </c>
    </row>
    <row r="53" ht="12.75" customHeight="1"/>
    <row r="54" ht="12.75" customHeight="1">
      <c r="A54" s="445" t="s">
        <v>846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G1"/>
    <mergeCell ref="A26:G26"/>
    <mergeCell ref="A45:G45"/>
    <mergeCell ref="A54:G5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75"/>
    <col customWidth="1" min="3" max="3" width="17.75"/>
    <col customWidth="1" min="4" max="8" width="18.0"/>
    <col customWidth="1" min="9" max="9" width="15.25"/>
    <col customWidth="1" min="10" max="20" width="4.38"/>
    <col customWidth="1" min="21" max="55" width="8.63"/>
  </cols>
  <sheetData>
    <row r="1" ht="12.75" customHeight="1">
      <c r="A1" s="437" t="s">
        <v>853</v>
      </c>
      <c r="B1" s="523"/>
      <c r="C1" s="523"/>
      <c r="D1" s="523"/>
      <c r="E1" s="523"/>
      <c r="F1" s="523"/>
      <c r="G1" s="523"/>
      <c r="H1" s="523"/>
    </row>
    <row r="2" ht="12.75" customHeight="1">
      <c r="A2" s="443" t="s">
        <v>854</v>
      </c>
      <c r="B2" s="524" t="s">
        <v>516</v>
      </c>
      <c r="C2" s="443"/>
      <c r="D2" s="443"/>
      <c r="E2" s="443"/>
      <c r="F2" s="443" t="s">
        <v>855</v>
      </c>
      <c r="G2" s="461">
        <v>1.0</v>
      </c>
      <c r="I2" s="525"/>
    </row>
    <row r="3" ht="12.75" customHeight="1">
      <c r="I3" s="525"/>
    </row>
    <row r="4" ht="12.75" customHeight="1">
      <c r="A4" s="437" t="s">
        <v>856</v>
      </c>
      <c r="B4" s="523"/>
      <c r="C4" s="523"/>
      <c r="D4" s="523"/>
      <c r="E4" s="523"/>
      <c r="F4" s="523"/>
      <c r="G4" s="523"/>
      <c r="H4" s="523"/>
    </row>
    <row r="5" ht="12.75" customHeight="1">
      <c r="A5" s="441" t="s">
        <v>96</v>
      </c>
      <c r="B5" s="441" t="s">
        <v>857</v>
      </c>
      <c r="C5" s="441" t="s">
        <v>598</v>
      </c>
      <c r="D5" s="441" t="s">
        <v>858</v>
      </c>
      <c r="E5" s="441" t="s">
        <v>859</v>
      </c>
      <c r="F5" s="441" t="s">
        <v>860</v>
      </c>
      <c r="I5" s="525"/>
    </row>
    <row r="6" ht="12.75" customHeight="1">
      <c r="A6" s="485">
        <v>1.0</v>
      </c>
      <c r="B6" s="449" t="s">
        <v>90</v>
      </c>
      <c r="C6" s="449" t="s">
        <v>90</v>
      </c>
      <c r="D6" s="449" t="s">
        <v>90</v>
      </c>
      <c r="E6" s="449" t="s">
        <v>90</v>
      </c>
      <c r="F6" s="449" t="s">
        <v>90</v>
      </c>
      <c r="I6" s="525"/>
    </row>
    <row r="7" ht="12.75" customHeight="1">
      <c r="A7" s="485">
        <v>2.0</v>
      </c>
      <c r="B7" s="449" t="s">
        <v>90</v>
      </c>
      <c r="C7" s="449" t="s">
        <v>90</v>
      </c>
      <c r="D7" s="449" t="s">
        <v>90</v>
      </c>
      <c r="E7" s="449" t="s">
        <v>90</v>
      </c>
      <c r="F7" s="449" t="s">
        <v>90</v>
      </c>
      <c r="I7" s="525"/>
    </row>
    <row r="8" ht="12.75" customHeight="1">
      <c r="A8" s="485">
        <v>3.0</v>
      </c>
      <c r="B8" s="449" t="s">
        <v>90</v>
      </c>
      <c r="C8" s="449" t="s">
        <v>90</v>
      </c>
      <c r="D8" s="449" t="s">
        <v>90</v>
      </c>
      <c r="E8" s="449" t="s">
        <v>90</v>
      </c>
      <c r="F8" s="449" t="s">
        <v>90</v>
      </c>
      <c r="I8" s="525"/>
    </row>
    <row r="9" ht="12.75" customHeight="1">
      <c r="A9" s="485">
        <v>4.0</v>
      </c>
      <c r="B9" s="449" t="s">
        <v>90</v>
      </c>
      <c r="C9" s="449" t="s">
        <v>90</v>
      </c>
      <c r="D9" s="449" t="s">
        <v>90</v>
      </c>
      <c r="E9" s="449" t="s">
        <v>90</v>
      </c>
      <c r="F9" s="449" t="s">
        <v>90</v>
      </c>
      <c r="I9" s="525"/>
    </row>
    <row r="10" ht="12.75" customHeight="1">
      <c r="A10" s="485">
        <v>5.0</v>
      </c>
      <c r="B10" s="449" t="s">
        <v>90</v>
      </c>
      <c r="C10" s="449" t="s">
        <v>90</v>
      </c>
      <c r="D10" s="449" t="s">
        <v>90</v>
      </c>
      <c r="E10" s="449" t="s">
        <v>90</v>
      </c>
      <c r="F10" s="449" t="s">
        <v>90</v>
      </c>
      <c r="I10" s="525"/>
    </row>
    <row r="11" ht="12.75" customHeight="1">
      <c r="A11" s="485">
        <v>6.0</v>
      </c>
      <c r="B11" s="449" t="s">
        <v>90</v>
      </c>
      <c r="C11" s="449" t="s">
        <v>90</v>
      </c>
      <c r="D11" s="449" t="s">
        <v>90</v>
      </c>
      <c r="E11" s="449" t="s">
        <v>90</v>
      </c>
      <c r="F11" s="449" t="s">
        <v>90</v>
      </c>
      <c r="I11" s="525"/>
    </row>
    <row r="12" ht="12.75" customHeight="1">
      <c r="A12" s="485">
        <v>7.0</v>
      </c>
      <c r="B12" s="449" t="s">
        <v>90</v>
      </c>
      <c r="C12" s="449" t="s">
        <v>90</v>
      </c>
      <c r="D12" s="449" t="s">
        <v>90</v>
      </c>
      <c r="E12" s="449" t="s">
        <v>90</v>
      </c>
      <c r="F12" s="449" t="s">
        <v>90</v>
      </c>
      <c r="I12" s="525"/>
    </row>
    <row r="13" ht="12.75" customHeight="1">
      <c r="A13" s="485">
        <v>8.0</v>
      </c>
      <c r="B13" s="449" t="s">
        <v>90</v>
      </c>
      <c r="C13" s="449" t="s">
        <v>90</v>
      </c>
      <c r="D13" s="449" t="s">
        <v>90</v>
      </c>
      <c r="E13" s="449" t="s">
        <v>90</v>
      </c>
      <c r="F13" s="449" t="s">
        <v>90</v>
      </c>
      <c r="I13" s="525"/>
    </row>
    <row r="14" ht="12.75" customHeight="1">
      <c r="A14" s="485">
        <v>9.0</v>
      </c>
      <c r="B14" s="449" t="s">
        <v>90</v>
      </c>
      <c r="C14" s="449" t="s">
        <v>90</v>
      </c>
      <c r="D14" s="449" t="s">
        <v>90</v>
      </c>
      <c r="E14" s="449" t="s">
        <v>90</v>
      </c>
      <c r="F14" s="449" t="s">
        <v>90</v>
      </c>
      <c r="I14" s="525"/>
    </row>
    <row r="15" ht="12.75" customHeight="1">
      <c r="A15" s="485">
        <v>10.0</v>
      </c>
      <c r="B15" s="449" t="s">
        <v>90</v>
      </c>
      <c r="C15" s="449" t="s">
        <v>90</v>
      </c>
      <c r="D15" s="449" t="s">
        <v>90</v>
      </c>
      <c r="E15" s="449" t="s">
        <v>90</v>
      </c>
      <c r="F15" s="449" t="s">
        <v>90</v>
      </c>
      <c r="I15" s="525"/>
    </row>
    <row r="16" ht="12.75" customHeight="1">
      <c r="A16" s="485">
        <v>11.0</v>
      </c>
      <c r="B16" s="449" t="s">
        <v>90</v>
      </c>
      <c r="C16" s="449" t="s">
        <v>90</v>
      </c>
      <c r="D16" s="449" t="s">
        <v>90</v>
      </c>
      <c r="E16" s="449" t="s">
        <v>90</v>
      </c>
      <c r="F16" s="449" t="s">
        <v>90</v>
      </c>
      <c r="I16" s="525"/>
    </row>
    <row r="17" ht="12.75" customHeight="1">
      <c r="A17" s="485">
        <v>12.0</v>
      </c>
      <c r="B17" s="449" t="s">
        <v>90</v>
      </c>
      <c r="C17" s="449" t="s">
        <v>90</v>
      </c>
      <c r="D17" s="449" t="s">
        <v>90</v>
      </c>
      <c r="E17" s="449" t="s">
        <v>90</v>
      </c>
      <c r="F17" s="449" t="s">
        <v>90</v>
      </c>
      <c r="I17" s="525"/>
    </row>
    <row r="18" ht="12.75" customHeight="1">
      <c r="A18" s="485">
        <v>13.0</v>
      </c>
      <c r="B18" s="449" t="s">
        <v>90</v>
      </c>
      <c r="C18" s="449" t="s">
        <v>90</v>
      </c>
      <c r="D18" s="449" t="s">
        <v>90</v>
      </c>
      <c r="E18" s="449" t="s">
        <v>90</v>
      </c>
      <c r="F18" s="449" t="s">
        <v>90</v>
      </c>
      <c r="I18" s="525"/>
    </row>
    <row r="19" ht="12.75" customHeight="1">
      <c r="A19" s="485">
        <v>14.0</v>
      </c>
      <c r="B19" s="449" t="s">
        <v>90</v>
      </c>
      <c r="C19" s="449" t="s">
        <v>90</v>
      </c>
      <c r="D19" s="449" t="s">
        <v>90</v>
      </c>
      <c r="E19" s="449" t="s">
        <v>90</v>
      </c>
      <c r="F19" s="449" t="s">
        <v>90</v>
      </c>
      <c r="I19" s="525"/>
    </row>
    <row r="20" ht="12.75" customHeight="1">
      <c r="A20" s="485">
        <v>15.0</v>
      </c>
      <c r="B20" s="449" t="s">
        <v>90</v>
      </c>
      <c r="C20" s="449" t="s">
        <v>90</v>
      </c>
      <c r="D20" s="449" t="s">
        <v>90</v>
      </c>
      <c r="E20" s="449" t="s">
        <v>90</v>
      </c>
      <c r="F20" s="449" t="s">
        <v>90</v>
      </c>
      <c r="I20" s="525"/>
    </row>
    <row r="21" ht="12.75" customHeight="1">
      <c r="A21" s="485">
        <v>16.0</v>
      </c>
      <c r="B21" s="449" t="s">
        <v>90</v>
      </c>
      <c r="C21" s="449" t="s">
        <v>90</v>
      </c>
      <c r="D21" s="449" t="s">
        <v>90</v>
      </c>
      <c r="E21" s="449" t="s">
        <v>90</v>
      </c>
      <c r="F21" s="449" t="s">
        <v>90</v>
      </c>
      <c r="I21" s="525"/>
    </row>
    <row r="22" ht="12.75" customHeight="1">
      <c r="A22" s="485">
        <v>17.0</v>
      </c>
      <c r="B22" s="449" t="s">
        <v>90</v>
      </c>
      <c r="C22" s="449" t="s">
        <v>90</v>
      </c>
      <c r="D22" s="449" t="s">
        <v>90</v>
      </c>
      <c r="E22" s="449" t="s">
        <v>90</v>
      </c>
      <c r="F22" s="449" t="s">
        <v>90</v>
      </c>
      <c r="I22" s="525"/>
    </row>
    <row r="23" ht="12.75" customHeight="1">
      <c r="A23" s="485">
        <v>18.0</v>
      </c>
      <c r="B23" s="449" t="s">
        <v>90</v>
      </c>
      <c r="C23" s="449" t="s">
        <v>90</v>
      </c>
      <c r="D23" s="449" t="s">
        <v>90</v>
      </c>
      <c r="E23" s="449" t="s">
        <v>90</v>
      </c>
      <c r="F23" s="449" t="s">
        <v>90</v>
      </c>
      <c r="I23" s="525"/>
    </row>
    <row r="24" ht="12.75" customHeight="1">
      <c r="A24" s="485">
        <v>19.0</v>
      </c>
      <c r="B24" s="449" t="s">
        <v>90</v>
      </c>
      <c r="C24" s="449" t="s">
        <v>90</v>
      </c>
      <c r="D24" s="449" t="s">
        <v>90</v>
      </c>
      <c r="E24" s="449" t="s">
        <v>90</v>
      </c>
      <c r="F24" s="449" t="s">
        <v>90</v>
      </c>
      <c r="I24" s="525"/>
    </row>
    <row r="25" ht="12.75" customHeight="1">
      <c r="A25" s="485">
        <v>20.0</v>
      </c>
      <c r="B25" s="449" t="s">
        <v>90</v>
      </c>
      <c r="C25" s="449" t="s">
        <v>90</v>
      </c>
      <c r="D25" s="449" t="s">
        <v>90</v>
      </c>
      <c r="E25" s="449" t="s">
        <v>90</v>
      </c>
      <c r="F25" s="449" t="s">
        <v>90</v>
      </c>
      <c r="I25" s="525"/>
    </row>
    <row r="26" ht="12.75" customHeight="1">
      <c r="A26" s="485">
        <v>21.0</v>
      </c>
      <c r="B26" s="449" t="s">
        <v>90</v>
      </c>
      <c r="C26" s="449" t="s">
        <v>90</v>
      </c>
      <c r="D26" s="449" t="s">
        <v>90</v>
      </c>
      <c r="E26" s="449" t="s">
        <v>90</v>
      </c>
      <c r="F26" s="449" t="s">
        <v>90</v>
      </c>
      <c r="I26" s="525"/>
    </row>
    <row r="27" ht="12.75" customHeight="1">
      <c r="A27" s="485">
        <v>22.0</v>
      </c>
      <c r="B27" s="449" t="s">
        <v>90</v>
      </c>
      <c r="C27" s="449" t="s">
        <v>90</v>
      </c>
      <c r="D27" s="449" t="s">
        <v>90</v>
      </c>
      <c r="E27" s="449" t="s">
        <v>90</v>
      </c>
      <c r="F27" s="449" t="s">
        <v>90</v>
      </c>
      <c r="I27" s="525"/>
    </row>
    <row r="28" ht="12.75" customHeight="1">
      <c r="A28" s="485">
        <v>23.0</v>
      </c>
      <c r="B28" s="449" t="s">
        <v>90</v>
      </c>
      <c r="C28" s="449" t="s">
        <v>90</v>
      </c>
      <c r="D28" s="449" t="s">
        <v>90</v>
      </c>
      <c r="E28" s="449" t="s">
        <v>90</v>
      </c>
      <c r="F28" s="449" t="s">
        <v>90</v>
      </c>
      <c r="I28" s="525"/>
    </row>
    <row r="29" ht="12.75" customHeight="1">
      <c r="A29" s="485">
        <v>24.0</v>
      </c>
      <c r="B29" s="449" t="s">
        <v>90</v>
      </c>
      <c r="C29" s="449" t="s">
        <v>90</v>
      </c>
      <c r="D29" s="449" t="s">
        <v>90</v>
      </c>
      <c r="E29" s="449" t="s">
        <v>90</v>
      </c>
      <c r="F29" s="449" t="s">
        <v>90</v>
      </c>
      <c r="I29" s="525"/>
    </row>
    <row r="30" ht="12.75" customHeight="1">
      <c r="A30" s="485">
        <v>25.0</v>
      </c>
      <c r="B30" s="449" t="s">
        <v>90</v>
      </c>
      <c r="C30" s="449" t="s">
        <v>90</v>
      </c>
      <c r="D30" s="449" t="s">
        <v>90</v>
      </c>
      <c r="E30" s="449" t="s">
        <v>90</v>
      </c>
      <c r="F30" s="449" t="s">
        <v>90</v>
      </c>
      <c r="I30" s="525"/>
    </row>
    <row r="31" ht="12.75" customHeight="1">
      <c r="A31" s="485">
        <v>26.0</v>
      </c>
      <c r="B31" s="449" t="s">
        <v>90</v>
      </c>
      <c r="C31" s="449" t="s">
        <v>90</v>
      </c>
      <c r="D31" s="449" t="s">
        <v>90</v>
      </c>
      <c r="E31" s="449" t="s">
        <v>90</v>
      </c>
      <c r="F31" s="449" t="s">
        <v>90</v>
      </c>
      <c r="I31" s="525"/>
    </row>
    <row r="32" ht="12.75" customHeight="1">
      <c r="A32" s="485">
        <v>27.0</v>
      </c>
      <c r="B32" s="449" t="s">
        <v>90</v>
      </c>
      <c r="C32" s="449" t="s">
        <v>90</v>
      </c>
      <c r="D32" s="449" t="s">
        <v>90</v>
      </c>
      <c r="E32" s="449" t="s">
        <v>90</v>
      </c>
      <c r="F32" s="449" t="s">
        <v>90</v>
      </c>
      <c r="I32" s="525"/>
    </row>
    <row r="33" ht="12.75" customHeight="1">
      <c r="A33" s="485">
        <v>28.0</v>
      </c>
      <c r="B33" s="449" t="s">
        <v>90</v>
      </c>
      <c r="C33" s="449" t="s">
        <v>90</v>
      </c>
      <c r="D33" s="449" t="s">
        <v>90</v>
      </c>
      <c r="E33" s="449" t="s">
        <v>90</v>
      </c>
      <c r="F33" s="449" t="s">
        <v>90</v>
      </c>
      <c r="I33" s="525"/>
    </row>
    <row r="34" ht="12.75" customHeight="1">
      <c r="I34" s="525"/>
    </row>
    <row r="35" ht="12.75" customHeight="1">
      <c r="A35" s="437" t="s">
        <v>865</v>
      </c>
      <c r="B35" s="523"/>
      <c r="C35" s="523"/>
      <c r="D35" s="523"/>
      <c r="E35" s="523"/>
      <c r="F35" s="523"/>
      <c r="G35" s="523"/>
      <c r="H35" s="523"/>
    </row>
    <row r="36" ht="12.75" customHeight="1">
      <c r="A36" s="440" t="s">
        <v>866</v>
      </c>
      <c r="B36" s="441" t="s">
        <v>458</v>
      </c>
      <c r="I36" s="525"/>
    </row>
    <row r="37" ht="12.75" customHeight="1">
      <c r="A37" s="443" t="s">
        <v>798</v>
      </c>
      <c r="B37" s="449" t="s">
        <v>90</v>
      </c>
      <c r="I37" s="525"/>
    </row>
    <row r="38" ht="12.75" customHeight="1">
      <c r="A38" s="443" t="s">
        <v>799</v>
      </c>
      <c r="B38" s="449" t="s">
        <v>90</v>
      </c>
      <c r="I38" s="525"/>
    </row>
    <row r="39" ht="12.75" customHeight="1">
      <c r="A39" s="443" t="s">
        <v>598</v>
      </c>
      <c r="B39" s="449" t="s">
        <v>90</v>
      </c>
      <c r="I39" s="525"/>
    </row>
    <row r="40" ht="12.75" customHeight="1">
      <c r="A40" s="443" t="s">
        <v>868</v>
      </c>
      <c r="B40" s="449" t="s">
        <v>90</v>
      </c>
      <c r="I40" s="525"/>
    </row>
    <row r="41" ht="12.75" customHeight="1">
      <c r="A41" s="443" t="s">
        <v>869</v>
      </c>
      <c r="B41" s="449" t="s">
        <v>90</v>
      </c>
      <c r="I41" s="525"/>
    </row>
    <row r="42" ht="12.75" customHeight="1">
      <c r="A42" s="443" t="s">
        <v>870</v>
      </c>
      <c r="B42" s="449" t="s">
        <v>90</v>
      </c>
      <c r="I42" s="525"/>
    </row>
    <row r="43" ht="12.75" customHeight="1">
      <c r="A43" s="443" t="s">
        <v>871</v>
      </c>
      <c r="B43" s="449" t="s">
        <v>90</v>
      </c>
      <c r="I43" s="525"/>
    </row>
    <row r="44" ht="12.75" customHeight="1">
      <c r="A44" s="443" t="s">
        <v>872</v>
      </c>
      <c r="B44" s="449" t="s">
        <v>90</v>
      </c>
      <c r="I44" s="525"/>
    </row>
    <row r="45" ht="12.75" customHeight="1">
      <c r="A45" s="443" t="s">
        <v>873</v>
      </c>
      <c r="B45" s="449" t="s">
        <v>90</v>
      </c>
      <c r="I45" s="525"/>
    </row>
    <row r="46" ht="12.75" customHeight="1">
      <c r="A46" s="443" t="s">
        <v>874</v>
      </c>
      <c r="B46" s="449" t="s">
        <v>90</v>
      </c>
      <c r="I46" s="525"/>
    </row>
    <row r="47" ht="12.75" customHeight="1">
      <c r="I47" s="525"/>
    </row>
    <row r="48" ht="12.75" customHeight="1">
      <c r="A48" s="445"/>
    </row>
    <row r="49" ht="12.75" customHeight="1">
      <c r="A49" s="472" t="s">
        <v>876</v>
      </c>
      <c r="B49" s="523"/>
      <c r="C49" s="523"/>
      <c r="D49" s="523"/>
      <c r="E49" s="523"/>
      <c r="F49" s="523"/>
      <c r="G49" s="523"/>
      <c r="H49" s="439"/>
      <c r="I49" s="525"/>
      <c r="J49" s="472" t="s">
        <v>878</v>
      </c>
      <c r="K49" s="526"/>
      <c r="L49" s="526"/>
      <c r="M49" s="526"/>
      <c r="N49" s="526"/>
      <c r="O49" s="526"/>
      <c r="P49" s="526"/>
      <c r="Q49" s="526"/>
      <c r="R49" s="526"/>
      <c r="S49" s="526"/>
      <c r="T49" s="526"/>
    </row>
    <row r="50" ht="12.75" customHeight="1">
      <c r="A50" s="441" t="s">
        <v>96</v>
      </c>
      <c r="B50" s="442" t="s">
        <v>880</v>
      </c>
      <c r="C50" s="441" t="s">
        <v>422</v>
      </c>
      <c r="D50" s="441" t="s">
        <v>881</v>
      </c>
      <c r="E50" s="441" t="s">
        <v>882</v>
      </c>
      <c r="F50" s="441" t="s">
        <v>883</v>
      </c>
      <c r="G50" s="441" t="s">
        <v>884</v>
      </c>
      <c r="H50" s="441" t="s">
        <v>869</v>
      </c>
      <c r="I50" s="525"/>
      <c r="J50" s="393" t="s">
        <v>885</v>
      </c>
      <c r="M50" s="258" t="s">
        <v>90</v>
      </c>
      <c r="Q50" s="258" t="s">
        <v>90</v>
      </c>
      <c r="V50" s="527" t="s">
        <v>599</v>
      </c>
      <c r="W50" s="528" t="s">
        <v>887</v>
      </c>
      <c r="X50" s="529" t="s">
        <v>888</v>
      </c>
      <c r="Y50" s="527" t="s">
        <v>889</v>
      </c>
    </row>
    <row r="51" ht="12.75" customHeight="1">
      <c r="A51" s="530">
        <v>1.0</v>
      </c>
      <c r="B51" s="449"/>
      <c r="C51" s="449" t="s">
        <v>890</v>
      </c>
      <c r="D51" s="449" t="s">
        <v>891</v>
      </c>
      <c r="E51" s="531"/>
      <c r="F51" s="531"/>
      <c r="G51" s="531"/>
      <c r="H51" s="532">
        <v>0.0</v>
      </c>
      <c r="I51" s="525"/>
      <c r="J51" s="1" t="s">
        <v>892</v>
      </c>
      <c r="N51" s="1" t="s">
        <v>893</v>
      </c>
      <c r="R51" s="1" t="s">
        <v>894</v>
      </c>
      <c r="V51" s="371">
        <f>IFERROR(__xludf.DUMMYFUNCTION("counta(split(join("","", filter(F51:F350, F51:F350&lt;&gt;"""")), "",""))"),89.0)</f>
        <v>89</v>
      </c>
      <c r="W51" s="533">
        <f>V51/PackConfig!$B$3</f>
        <v>1.236111111</v>
      </c>
      <c r="X51" s="533">
        <f>max(($V$51-PackConfig!$B$3)/PackConfig!$B$3, 0)</f>
        <v>0.2361111111</v>
      </c>
      <c r="Y51" s="533">
        <f>max(($V$51-PackConfig!$B$3*2)/PackConfig!$B$3, 0)</f>
        <v>0</v>
      </c>
    </row>
    <row r="52" ht="12.75" customHeight="1">
      <c r="A52" s="530">
        <v>2.0</v>
      </c>
      <c r="B52" s="449"/>
      <c r="C52" s="449" t="s">
        <v>890</v>
      </c>
      <c r="D52" s="449" t="s">
        <v>891</v>
      </c>
      <c r="E52" s="531"/>
      <c r="F52" s="531"/>
      <c r="G52" s="531"/>
      <c r="H52" s="532">
        <v>0.0</v>
      </c>
      <c r="I52" s="525"/>
      <c r="J52" s="534" t="s">
        <v>468</v>
      </c>
      <c r="K52" s="534" t="s">
        <v>468</v>
      </c>
      <c r="L52" s="534" t="s">
        <v>468</v>
      </c>
      <c r="N52" s="534" t="s">
        <v>468</v>
      </c>
      <c r="O52" s="534" t="s">
        <v>468</v>
      </c>
      <c r="P52" s="534" t="s">
        <v>468</v>
      </c>
      <c r="R52" s="534" t="s">
        <v>468</v>
      </c>
      <c r="S52" s="534" t="s">
        <v>468</v>
      </c>
      <c r="T52" s="534" t="s">
        <v>468</v>
      </c>
      <c r="V52" s="294"/>
      <c r="W52" s="294"/>
      <c r="X52" s="294"/>
      <c r="Y52" s="294"/>
    </row>
    <row r="53" ht="12.75" customHeight="1">
      <c r="A53" s="530">
        <v>3.0</v>
      </c>
      <c r="B53" s="449"/>
      <c r="C53" s="449" t="s">
        <v>890</v>
      </c>
      <c r="D53" s="449" t="s">
        <v>891</v>
      </c>
      <c r="E53" s="531"/>
      <c r="F53" s="531"/>
      <c r="G53" s="531"/>
      <c r="H53" s="532">
        <v>0.0</v>
      </c>
      <c r="I53" s="525"/>
      <c r="J53" s="534" t="s">
        <v>468</v>
      </c>
      <c r="K53" s="534" t="s">
        <v>469</v>
      </c>
      <c r="L53" s="534" t="s">
        <v>469</v>
      </c>
      <c r="N53" s="534" t="s">
        <v>468</v>
      </c>
      <c r="O53" s="534" t="s">
        <v>469</v>
      </c>
      <c r="P53" s="534" t="s">
        <v>469</v>
      </c>
      <c r="R53" s="534" t="s">
        <v>469</v>
      </c>
      <c r="S53" s="534" t="s">
        <v>469</v>
      </c>
      <c r="T53" s="534" t="s">
        <v>470</v>
      </c>
      <c r="V53" s="535" t="s">
        <v>897</v>
      </c>
      <c r="W53" s="294"/>
      <c r="X53" s="294"/>
      <c r="Y53" s="294"/>
    </row>
    <row r="54" ht="12.75" customHeight="1">
      <c r="A54" s="530">
        <v>4.0</v>
      </c>
      <c r="B54" s="449"/>
      <c r="C54" s="449" t="s">
        <v>890</v>
      </c>
      <c r="D54" s="449" t="s">
        <v>891</v>
      </c>
      <c r="E54" s="531"/>
      <c r="F54" s="531"/>
      <c r="G54" s="531"/>
      <c r="H54" s="532">
        <v>0.0</v>
      </c>
      <c r="I54" s="525"/>
      <c r="J54" s="534" t="s">
        <v>469</v>
      </c>
      <c r="K54" s="534" t="s">
        <v>470</v>
      </c>
      <c r="L54" s="534" t="s">
        <v>470</v>
      </c>
      <c r="N54" s="534" t="s">
        <v>470</v>
      </c>
      <c r="O54" s="534" t="s">
        <v>470</v>
      </c>
      <c r="P54" s="534" t="s">
        <v>471</v>
      </c>
      <c r="R54" s="534" t="s">
        <v>471</v>
      </c>
      <c r="S54" s="534" t="s">
        <v>471</v>
      </c>
      <c r="T54" s="534" t="s">
        <v>472</v>
      </c>
      <c r="V54" s="527" t="s">
        <v>898</v>
      </c>
      <c r="W54" s="528" t="s">
        <v>899</v>
      </c>
      <c r="X54" s="294"/>
      <c r="Y54" s="294"/>
    </row>
    <row r="55" ht="12.75" customHeight="1">
      <c r="A55" s="530">
        <v>5.0</v>
      </c>
      <c r="B55" s="449"/>
      <c r="C55" s="449" t="s">
        <v>890</v>
      </c>
      <c r="D55" s="449" t="s">
        <v>891</v>
      </c>
      <c r="E55" s="531"/>
      <c r="F55" s="531"/>
      <c r="G55" s="531"/>
      <c r="H55" s="532">
        <v>0.0</v>
      </c>
      <c r="I55" s="525"/>
      <c r="V55" s="536" t="s">
        <v>468</v>
      </c>
      <c r="W55" s="537">
        <f>IFERROR(__xludf.DUMMYFUNCTION("counta(filter($B$51:$B$250, $B$51:$B$250=""1-star Dly""))/28 * 1"),1.0)</f>
        <v>1</v>
      </c>
      <c r="X55" s="294"/>
      <c r="Y55" s="294"/>
    </row>
    <row r="56" ht="12.75" customHeight="1">
      <c r="A56" s="530">
        <v>6.0</v>
      </c>
      <c r="B56" s="449"/>
      <c r="C56" s="449" t="s">
        <v>890</v>
      </c>
      <c r="D56" s="449" t="s">
        <v>891</v>
      </c>
      <c r="E56" s="531"/>
      <c r="F56" s="531"/>
      <c r="G56" s="531"/>
      <c r="H56" s="532">
        <v>0.0</v>
      </c>
      <c r="I56" s="525"/>
      <c r="J56" s="1" t="s">
        <v>901</v>
      </c>
      <c r="N56" s="1" t="s">
        <v>902</v>
      </c>
      <c r="R56" s="1" t="s">
        <v>903</v>
      </c>
      <c r="V56" s="536" t="s">
        <v>469</v>
      </c>
      <c r="W56" s="537">
        <f>IFERROR(__xludf.DUMMYFUNCTION("counta(filter($B$51:$B$250, $B$51:$B$250=""2-star Dly""))/28 * 1"),0.39285714285714285)</f>
        <v>0.3928571429</v>
      </c>
      <c r="X56" s="294"/>
      <c r="Y56" s="294"/>
    </row>
    <row r="57" ht="12.75" customHeight="1">
      <c r="A57" s="530">
        <v>7.0</v>
      </c>
      <c r="B57" s="449" t="s">
        <v>123</v>
      </c>
      <c r="C57" s="449" t="s">
        <v>413</v>
      </c>
      <c r="D57" s="449" t="s">
        <v>891</v>
      </c>
      <c r="E57" s="531" t="s">
        <v>904</v>
      </c>
      <c r="F57" s="531" t="s">
        <v>904</v>
      </c>
      <c r="G57" s="531"/>
      <c r="H57" s="532">
        <v>0.0</v>
      </c>
      <c r="I57" s="525"/>
      <c r="J57" s="534" t="s">
        <v>468</v>
      </c>
      <c r="K57" s="534" t="s">
        <v>468</v>
      </c>
      <c r="L57" s="534" t="s">
        <v>469</v>
      </c>
      <c r="N57" s="534" t="s">
        <v>468</v>
      </c>
      <c r="O57" s="534" t="s">
        <v>468</v>
      </c>
      <c r="P57" s="534" t="s">
        <v>469</v>
      </c>
      <c r="R57" s="534" t="s">
        <v>468</v>
      </c>
      <c r="S57" s="534" t="s">
        <v>468</v>
      </c>
      <c r="T57" s="534" t="s">
        <v>469</v>
      </c>
      <c r="V57" s="536" t="s">
        <v>470</v>
      </c>
      <c r="W57" s="537">
        <f>IFERROR(__xludf.DUMMYFUNCTION("counta(filter($B$51:$B$250, $B$51:$B$250=""3-star Dly""))/28 * 1"),1.1785714285714286)</f>
        <v>1.178571429</v>
      </c>
      <c r="X57" s="294"/>
      <c r="Y57" s="294"/>
    </row>
    <row r="58" ht="12.75" customHeight="1">
      <c r="A58" s="530">
        <v>7.0</v>
      </c>
      <c r="B58" s="449" t="s">
        <v>125</v>
      </c>
      <c r="C58" s="449" t="s">
        <v>413</v>
      </c>
      <c r="D58" s="449" t="s">
        <v>891</v>
      </c>
      <c r="E58" s="531" t="s">
        <v>905</v>
      </c>
      <c r="F58" s="531" t="s">
        <v>905</v>
      </c>
      <c r="G58" s="531"/>
      <c r="H58" s="532">
        <v>0.0</v>
      </c>
      <c r="I58" s="525"/>
      <c r="J58" s="534" t="s">
        <v>469</v>
      </c>
      <c r="K58" s="534" t="s">
        <v>470</v>
      </c>
      <c r="L58" s="534" t="s">
        <v>470</v>
      </c>
      <c r="N58" s="534" t="s">
        <v>469</v>
      </c>
      <c r="O58" s="534" t="s">
        <v>470</v>
      </c>
      <c r="P58" s="534" t="s">
        <v>471</v>
      </c>
      <c r="R58" s="534" t="s">
        <v>469</v>
      </c>
      <c r="S58" s="534" t="s">
        <v>470</v>
      </c>
      <c r="T58" s="534" t="s">
        <v>471</v>
      </c>
      <c r="V58" s="536" t="s">
        <v>471</v>
      </c>
      <c r="W58" s="537">
        <f>IFERROR(__xludf.DUMMYFUNCTION("counta(filter($B$51:$B$250, $B$51:$B$250=""4-star Dly""))/28 * 1"),0.5714285714285714)</f>
        <v>0.5714285714</v>
      </c>
      <c r="X58" s="294"/>
      <c r="Y58" s="294"/>
    </row>
    <row r="59" ht="12.75" customHeight="1">
      <c r="A59" s="530">
        <v>7.0</v>
      </c>
      <c r="B59" s="449" t="s">
        <v>126</v>
      </c>
      <c r="C59" s="449" t="s">
        <v>413</v>
      </c>
      <c r="D59" s="449" t="s">
        <v>891</v>
      </c>
      <c r="E59" s="531" t="s">
        <v>906</v>
      </c>
      <c r="F59" s="531" t="s">
        <v>906</v>
      </c>
      <c r="G59" s="531"/>
      <c r="H59" s="532">
        <v>0.0</v>
      </c>
      <c r="I59" s="525"/>
      <c r="J59" s="534" t="s">
        <v>471</v>
      </c>
      <c r="K59" s="534" t="s">
        <v>471</v>
      </c>
      <c r="L59" s="534" t="s">
        <v>472</v>
      </c>
      <c r="N59" s="534" t="s">
        <v>471</v>
      </c>
      <c r="O59" s="534" t="s">
        <v>472</v>
      </c>
      <c r="P59" s="534" t="s">
        <v>472</v>
      </c>
      <c r="R59" s="534" t="s">
        <v>472</v>
      </c>
      <c r="S59" s="534" t="s">
        <v>472</v>
      </c>
      <c r="T59" s="534" t="s">
        <v>472</v>
      </c>
      <c r="V59" s="536" t="s">
        <v>472</v>
      </c>
      <c r="W59" s="537">
        <f>IFERROR(__xludf.DUMMYFUNCTION("counta(filter($B$51:$B$250, $B$51:$B$250=""5-star Dly""))/28 * 1"),0.2857142857142857)</f>
        <v>0.2857142857</v>
      </c>
      <c r="X59" s="294"/>
      <c r="Y59" s="294"/>
    </row>
    <row r="60" ht="12.75" customHeight="1">
      <c r="A60" s="530">
        <v>7.0</v>
      </c>
      <c r="B60" s="449" t="s">
        <v>126</v>
      </c>
      <c r="C60" s="449" t="s">
        <v>433</v>
      </c>
      <c r="D60" s="449" t="s">
        <v>891</v>
      </c>
      <c r="E60" s="531" t="s">
        <v>908</v>
      </c>
      <c r="F60" s="531" t="s">
        <v>909</v>
      </c>
      <c r="G60" s="531" t="s">
        <v>910</v>
      </c>
      <c r="H60" s="532">
        <v>1.0</v>
      </c>
      <c r="I60" s="525"/>
    </row>
    <row r="61" ht="12.75" customHeight="1">
      <c r="A61" s="530">
        <v>7.0</v>
      </c>
      <c r="B61" s="449" t="s">
        <v>127</v>
      </c>
      <c r="C61" s="449" t="s">
        <v>433</v>
      </c>
      <c r="D61" s="449" t="s">
        <v>891</v>
      </c>
      <c r="E61" s="531" t="s">
        <v>911</v>
      </c>
      <c r="F61" s="531" t="s">
        <v>912</v>
      </c>
      <c r="G61" s="531" t="s">
        <v>913</v>
      </c>
      <c r="H61" s="532">
        <v>3.0</v>
      </c>
      <c r="I61" s="525"/>
      <c r="J61" s="1" t="s">
        <v>914</v>
      </c>
      <c r="N61" s="1" t="s">
        <v>915</v>
      </c>
    </row>
    <row r="62" ht="12.75" customHeight="1">
      <c r="A62" s="530">
        <v>7.0</v>
      </c>
      <c r="B62" s="449" t="s">
        <v>123</v>
      </c>
      <c r="C62" s="449" t="s">
        <v>15</v>
      </c>
      <c r="D62" s="449" t="s">
        <v>891</v>
      </c>
      <c r="E62" s="531" t="s">
        <v>916</v>
      </c>
      <c r="F62" s="531"/>
      <c r="G62" s="531" t="s">
        <v>916</v>
      </c>
      <c r="H62" s="532">
        <v>5.0</v>
      </c>
      <c r="I62" s="525"/>
      <c r="J62" s="534" t="s">
        <v>468</v>
      </c>
      <c r="K62" s="534" t="s">
        <v>468</v>
      </c>
      <c r="L62" s="534" t="s">
        <v>469</v>
      </c>
      <c r="N62" s="534" t="s">
        <v>468</v>
      </c>
      <c r="O62" s="534" t="s">
        <v>468</v>
      </c>
      <c r="P62" s="534" t="s">
        <v>469</v>
      </c>
    </row>
    <row r="63" ht="12.75" customHeight="1">
      <c r="A63" s="530">
        <v>7.0</v>
      </c>
      <c r="B63" s="449" t="s">
        <v>125</v>
      </c>
      <c r="C63" s="449" t="s">
        <v>15</v>
      </c>
      <c r="D63" s="449" t="s">
        <v>891</v>
      </c>
      <c r="E63" s="531" t="s">
        <v>917</v>
      </c>
      <c r="F63" s="531" t="s">
        <v>918</v>
      </c>
      <c r="G63" s="531" t="s">
        <v>919</v>
      </c>
      <c r="H63" s="532">
        <v>9.0</v>
      </c>
      <c r="I63" s="525"/>
      <c r="J63" s="534" t="s">
        <v>469</v>
      </c>
      <c r="K63" s="534" t="s">
        <v>470</v>
      </c>
      <c r="L63" s="534" t="s">
        <v>471</v>
      </c>
      <c r="N63" s="534" t="s">
        <v>469</v>
      </c>
      <c r="O63" s="534" t="s">
        <v>470</v>
      </c>
      <c r="P63" s="534" t="s">
        <v>471</v>
      </c>
    </row>
    <row r="64" ht="12.75" customHeight="1">
      <c r="A64" s="530">
        <v>7.0</v>
      </c>
      <c r="B64" s="449" t="s">
        <v>123</v>
      </c>
      <c r="C64" s="449" t="s">
        <v>16</v>
      </c>
      <c r="D64" s="449" t="s">
        <v>891</v>
      </c>
      <c r="E64" s="531" t="s">
        <v>920</v>
      </c>
      <c r="F64" s="531" t="s">
        <v>920</v>
      </c>
      <c r="G64" s="531"/>
      <c r="H64" s="532">
        <v>9.0</v>
      </c>
      <c r="I64" s="525"/>
      <c r="J64" s="534" t="s">
        <v>472</v>
      </c>
      <c r="K64" s="534" t="s">
        <v>472</v>
      </c>
      <c r="L64" s="534" t="s">
        <v>472</v>
      </c>
      <c r="N64" s="534" t="s">
        <v>472</v>
      </c>
      <c r="O64" s="534" t="s">
        <v>472</v>
      </c>
      <c r="P64" s="534" t="s">
        <v>472</v>
      </c>
    </row>
    <row r="65" ht="12.75" customHeight="1">
      <c r="A65" s="530">
        <v>7.0</v>
      </c>
      <c r="B65" s="449" t="s">
        <v>125</v>
      </c>
      <c r="C65" s="449" t="s">
        <v>16</v>
      </c>
      <c r="D65" s="449" t="s">
        <v>891</v>
      </c>
      <c r="E65" s="531" t="s">
        <v>922</v>
      </c>
      <c r="F65" s="531" t="s">
        <v>923</v>
      </c>
      <c r="G65" s="531" t="s">
        <v>924</v>
      </c>
      <c r="H65" s="532">
        <v>13.0</v>
      </c>
      <c r="I65" s="525"/>
    </row>
    <row r="66" ht="12.75" customHeight="1">
      <c r="A66" s="530">
        <v>8.0</v>
      </c>
      <c r="B66" s="449"/>
      <c r="C66" s="449" t="s">
        <v>890</v>
      </c>
      <c r="D66" s="449" t="s">
        <v>891</v>
      </c>
      <c r="E66" s="531"/>
      <c r="F66" s="531"/>
      <c r="G66" s="531"/>
      <c r="H66" s="532">
        <v>13.0</v>
      </c>
      <c r="I66" s="525"/>
    </row>
    <row r="67" ht="12.75" customHeight="1">
      <c r="A67" s="530">
        <v>9.0</v>
      </c>
      <c r="B67" s="449"/>
      <c r="C67" s="449" t="s">
        <v>890</v>
      </c>
      <c r="D67" s="449" t="s">
        <v>891</v>
      </c>
      <c r="E67" s="531"/>
      <c r="F67" s="531"/>
      <c r="G67" s="531"/>
      <c r="H67" s="532">
        <v>13.0</v>
      </c>
      <c r="I67" s="525"/>
      <c r="J67" s="393" t="s">
        <v>925</v>
      </c>
      <c r="M67" s="258" t="s">
        <v>90</v>
      </c>
      <c r="Q67" s="258" t="s">
        <v>90</v>
      </c>
    </row>
    <row r="68" ht="12.75" customHeight="1">
      <c r="A68" s="530">
        <v>10.0</v>
      </c>
      <c r="B68" s="449"/>
      <c r="C68" s="449" t="s">
        <v>890</v>
      </c>
      <c r="D68" s="449" t="s">
        <v>891</v>
      </c>
      <c r="E68" s="531"/>
      <c r="F68" s="531"/>
      <c r="G68" s="531"/>
      <c r="H68" s="532">
        <v>13.0</v>
      </c>
      <c r="I68" s="525"/>
      <c r="J68" s="1" t="s">
        <v>892</v>
      </c>
      <c r="N68" s="1" t="s">
        <v>893</v>
      </c>
      <c r="R68" s="1" t="s">
        <v>894</v>
      </c>
    </row>
    <row r="69" ht="12.75" customHeight="1">
      <c r="A69" s="530">
        <v>11.0</v>
      </c>
      <c r="B69" s="449"/>
      <c r="C69" s="449" t="s">
        <v>890</v>
      </c>
      <c r="D69" s="449" t="s">
        <v>891</v>
      </c>
      <c r="E69" s="531"/>
      <c r="F69" s="531"/>
      <c r="G69" s="531"/>
      <c r="H69" s="532">
        <v>13.0</v>
      </c>
      <c r="I69" s="525"/>
      <c r="J69" s="534"/>
      <c r="K69" s="534" t="s">
        <v>468</v>
      </c>
      <c r="L69" s="534" t="s">
        <v>468</v>
      </c>
      <c r="N69" s="534"/>
      <c r="O69" s="534" t="s">
        <v>468</v>
      </c>
      <c r="P69" s="534" t="s">
        <v>468</v>
      </c>
      <c r="R69" s="534"/>
      <c r="S69" s="534"/>
      <c r="T69" s="534" t="s">
        <v>468</v>
      </c>
    </row>
    <row r="70" ht="12.75" customHeight="1">
      <c r="A70" s="530">
        <v>12.0</v>
      </c>
      <c r="B70" s="449" t="s">
        <v>123</v>
      </c>
      <c r="C70" s="449" t="s">
        <v>51</v>
      </c>
      <c r="D70" s="449" t="s">
        <v>891</v>
      </c>
      <c r="E70" s="531" t="s">
        <v>926</v>
      </c>
      <c r="F70" s="531" t="s">
        <v>927</v>
      </c>
      <c r="G70" s="531" t="s">
        <v>928</v>
      </c>
      <c r="H70" s="532">
        <v>15.0</v>
      </c>
      <c r="I70" s="525"/>
      <c r="J70" s="534"/>
      <c r="K70" s="534"/>
      <c r="L70" s="534"/>
      <c r="N70" s="534"/>
      <c r="O70" s="534" t="s">
        <v>469</v>
      </c>
      <c r="P70" s="534" t="s">
        <v>469</v>
      </c>
      <c r="R70" s="534" t="s">
        <v>469</v>
      </c>
      <c r="S70" s="534"/>
      <c r="T70" s="534"/>
    </row>
    <row r="71" ht="12.75" customHeight="1">
      <c r="A71" s="530">
        <v>13.0</v>
      </c>
      <c r="B71" s="449" t="s">
        <v>123</v>
      </c>
      <c r="C71" s="449" t="s">
        <v>413</v>
      </c>
      <c r="D71" s="449" t="s">
        <v>891</v>
      </c>
      <c r="E71" s="531" t="s">
        <v>929</v>
      </c>
      <c r="F71" s="531" t="s">
        <v>930</v>
      </c>
      <c r="G71" s="531" t="s">
        <v>931</v>
      </c>
      <c r="H71" s="532">
        <v>16.0</v>
      </c>
      <c r="I71" s="525"/>
      <c r="J71" s="534" t="s">
        <v>469</v>
      </c>
      <c r="K71" s="534" t="s">
        <v>470</v>
      </c>
      <c r="L71" s="534"/>
      <c r="N71" s="534"/>
      <c r="O71" s="534"/>
      <c r="P71" s="534" t="s">
        <v>471</v>
      </c>
      <c r="R71" s="534"/>
      <c r="S71" s="534"/>
      <c r="T71" s="534"/>
    </row>
    <row r="72" ht="12.75" customHeight="1">
      <c r="A72" s="530">
        <v>13.0</v>
      </c>
      <c r="B72" s="449" t="s">
        <v>125</v>
      </c>
      <c r="C72" s="449" t="s">
        <v>413</v>
      </c>
      <c r="D72" s="449" t="s">
        <v>891</v>
      </c>
      <c r="E72" s="531" t="s">
        <v>932</v>
      </c>
      <c r="F72" s="531" t="s">
        <v>933</v>
      </c>
      <c r="G72" s="531" t="s">
        <v>934</v>
      </c>
      <c r="H72" s="532">
        <v>19.0</v>
      </c>
      <c r="I72" s="525"/>
    </row>
    <row r="73" ht="12.75" customHeight="1">
      <c r="A73" s="530">
        <v>13.0</v>
      </c>
      <c r="B73" s="449" t="s">
        <v>126</v>
      </c>
      <c r="C73" s="449" t="s">
        <v>413</v>
      </c>
      <c r="D73" s="449" t="s">
        <v>891</v>
      </c>
      <c r="E73" s="531" t="s">
        <v>936</v>
      </c>
      <c r="F73" s="531" t="s">
        <v>937</v>
      </c>
      <c r="G73" s="531" t="s">
        <v>938</v>
      </c>
      <c r="H73" s="532">
        <v>24.0</v>
      </c>
      <c r="I73" s="525"/>
      <c r="J73" s="1" t="s">
        <v>901</v>
      </c>
      <c r="N73" s="1" t="s">
        <v>902</v>
      </c>
      <c r="R73" s="1" t="s">
        <v>903</v>
      </c>
    </row>
    <row r="74" ht="12.75" customHeight="1">
      <c r="A74" s="530">
        <v>13.0</v>
      </c>
      <c r="B74" s="449" t="s">
        <v>126</v>
      </c>
      <c r="C74" s="449" t="s">
        <v>433</v>
      </c>
      <c r="D74" s="449" t="s">
        <v>891</v>
      </c>
      <c r="E74" s="531" t="s">
        <v>939</v>
      </c>
      <c r="F74" s="531" t="s">
        <v>940</v>
      </c>
      <c r="G74" s="531" t="s">
        <v>941</v>
      </c>
      <c r="H74" s="532">
        <v>26.0</v>
      </c>
      <c r="I74" s="525"/>
      <c r="J74" s="534"/>
      <c r="K74" s="534" t="s">
        <v>468</v>
      </c>
      <c r="L74" s="534"/>
      <c r="N74" s="534"/>
      <c r="O74" s="534"/>
      <c r="P74" s="534"/>
      <c r="R74" s="534" t="s">
        <v>468</v>
      </c>
      <c r="S74" s="534" t="s">
        <v>468</v>
      </c>
      <c r="T74" s="534"/>
    </row>
    <row r="75" ht="12.75" customHeight="1">
      <c r="A75" s="530">
        <v>13.0</v>
      </c>
      <c r="B75" s="449" t="s">
        <v>127</v>
      </c>
      <c r="C75" s="449" t="s">
        <v>433</v>
      </c>
      <c r="D75" s="449" t="s">
        <v>891</v>
      </c>
      <c r="E75" s="531" t="s">
        <v>942</v>
      </c>
      <c r="F75" s="531" t="s">
        <v>943</v>
      </c>
      <c r="G75" s="531" t="s">
        <v>944</v>
      </c>
      <c r="H75" s="532">
        <v>37.0</v>
      </c>
      <c r="I75" s="525"/>
      <c r="J75" s="534"/>
      <c r="K75" s="534" t="s">
        <v>470</v>
      </c>
      <c r="L75" s="534"/>
      <c r="N75" s="534"/>
      <c r="O75" s="534"/>
      <c r="P75" s="534"/>
      <c r="R75" s="534"/>
      <c r="S75" s="534"/>
      <c r="T75" s="534"/>
    </row>
    <row r="76" ht="12.75" customHeight="1">
      <c r="A76" s="530">
        <v>13.0</v>
      </c>
      <c r="B76" s="449" t="s">
        <v>123</v>
      </c>
      <c r="C76" s="449" t="s">
        <v>15</v>
      </c>
      <c r="D76" s="449" t="s">
        <v>891</v>
      </c>
      <c r="E76" s="531" t="s">
        <v>945</v>
      </c>
      <c r="F76" s="531" t="s">
        <v>945</v>
      </c>
      <c r="G76" s="531"/>
      <c r="H76" s="532">
        <v>37.0</v>
      </c>
      <c r="I76" s="525"/>
      <c r="J76" s="534"/>
      <c r="K76" s="534"/>
      <c r="L76" s="534"/>
      <c r="N76" s="534"/>
      <c r="O76" s="534"/>
      <c r="P76" s="534"/>
      <c r="R76" s="534"/>
      <c r="S76" s="534" t="s">
        <v>472</v>
      </c>
      <c r="T76" s="534"/>
    </row>
    <row r="77" ht="12.75" customHeight="1">
      <c r="A77" s="530">
        <v>13.0</v>
      </c>
      <c r="B77" s="449" t="s">
        <v>125</v>
      </c>
      <c r="C77" s="449" t="s">
        <v>15</v>
      </c>
      <c r="D77" s="449" t="s">
        <v>891</v>
      </c>
      <c r="E77" s="531" t="s">
        <v>946</v>
      </c>
      <c r="F77" s="531" t="s">
        <v>947</v>
      </c>
      <c r="G77" s="531" t="s">
        <v>948</v>
      </c>
      <c r="H77" s="532">
        <v>38.0</v>
      </c>
      <c r="I77" s="525"/>
    </row>
    <row r="78" ht="12.75" customHeight="1">
      <c r="A78" s="530">
        <v>13.0</v>
      </c>
      <c r="B78" s="449" t="s">
        <v>123</v>
      </c>
      <c r="C78" s="449" t="s">
        <v>16</v>
      </c>
      <c r="D78" s="449" t="s">
        <v>891</v>
      </c>
      <c r="E78" s="531" t="s">
        <v>949</v>
      </c>
      <c r="F78" s="531" t="s">
        <v>950</v>
      </c>
      <c r="G78" s="531" t="s">
        <v>951</v>
      </c>
      <c r="H78" s="532">
        <v>39.0</v>
      </c>
      <c r="I78" s="525"/>
      <c r="J78" s="1" t="s">
        <v>914</v>
      </c>
      <c r="N78" s="1" t="s">
        <v>915</v>
      </c>
    </row>
    <row r="79" ht="12.75" customHeight="1">
      <c r="A79" s="530">
        <v>13.0</v>
      </c>
      <c r="B79" s="449" t="s">
        <v>125</v>
      </c>
      <c r="C79" s="449" t="s">
        <v>16</v>
      </c>
      <c r="D79" s="449" t="s">
        <v>891</v>
      </c>
      <c r="E79" s="531" t="s">
        <v>952</v>
      </c>
      <c r="F79" s="531" t="s">
        <v>953</v>
      </c>
      <c r="G79" s="531" t="s">
        <v>954</v>
      </c>
      <c r="H79" s="532">
        <v>41.0</v>
      </c>
      <c r="I79" s="525"/>
      <c r="J79" s="534"/>
      <c r="K79" s="534"/>
      <c r="L79" s="534"/>
      <c r="N79" s="534"/>
      <c r="O79" s="534"/>
      <c r="P79" s="534"/>
    </row>
    <row r="80" ht="12.75" customHeight="1">
      <c r="A80" s="530">
        <v>14.0</v>
      </c>
      <c r="B80" s="449"/>
      <c r="C80" s="449" t="s">
        <v>890</v>
      </c>
      <c r="D80" s="449" t="s">
        <v>891</v>
      </c>
      <c r="E80" s="531"/>
      <c r="F80" s="531"/>
      <c r="G80" s="531"/>
      <c r="H80" s="532">
        <v>41.0</v>
      </c>
      <c r="I80" s="525"/>
      <c r="J80" s="534"/>
      <c r="K80" s="534" t="s">
        <v>470</v>
      </c>
      <c r="L80" s="534"/>
      <c r="N80" s="534"/>
      <c r="O80" s="534"/>
      <c r="P80" s="534"/>
    </row>
    <row r="81" ht="12.75" customHeight="1">
      <c r="A81" s="530">
        <v>15.0</v>
      </c>
      <c r="B81" s="449"/>
      <c r="C81" s="449" t="s">
        <v>890</v>
      </c>
      <c r="D81" s="449" t="s">
        <v>891</v>
      </c>
      <c r="E81" s="531"/>
      <c r="F81" s="531"/>
      <c r="G81" s="531"/>
      <c r="H81" s="532">
        <v>41.0</v>
      </c>
      <c r="I81" s="525"/>
      <c r="J81" s="534"/>
      <c r="K81" s="534"/>
      <c r="L81" s="534"/>
      <c r="N81" s="534"/>
      <c r="O81" s="534"/>
      <c r="P81" s="534"/>
    </row>
    <row r="82" ht="12.75" customHeight="1">
      <c r="A82" s="530">
        <v>16.0</v>
      </c>
      <c r="B82" s="449"/>
      <c r="C82" s="449" t="s">
        <v>890</v>
      </c>
      <c r="D82" s="449" t="s">
        <v>891</v>
      </c>
      <c r="E82" s="531"/>
      <c r="F82" s="531"/>
      <c r="G82" s="531"/>
      <c r="H82" s="532">
        <v>41.0</v>
      </c>
      <c r="I82" s="525"/>
    </row>
    <row r="83" ht="12.75" customHeight="1">
      <c r="A83" s="530">
        <v>17.0</v>
      </c>
      <c r="B83" s="449" t="s">
        <v>124</v>
      </c>
      <c r="C83" s="449" t="s">
        <v>401</v>
      </c>
      <c r="D83" s="449" t="s">
        <v>891</v>
      </c>
      <c r="E83" s="531" t="s">
        <v>956</v>
      </c>
      <c r="F83" s="531" t="s">
        <v>957</v>
      </c>
      <c r="G83" s="531" t="s">
        <v>958</v>
      </c>
      <c r="H83" s="532">
        <v>47.0</v>
      </c>
      <c r="I83" s="525"/>
    </row>
    <row r="84" ht="12.75" customHeight="1">
      <c r="A84" s="530">
        <v>18.0</v>
      </c>
      <c r="B84" s="449" t="s">
        <v>125</v>
      </c>
      <c r="C84" s="449" t="s">
        <v>338</v>
      </c>
      <c r="D84" s="449" t="s">
        <v>891</v>
      </c>
      <c r="E84" s="531" t="s">
        <v>959</v>
      </c>
      <c r="F84" s="531" t="s">
        <v>960</v>
      </c>
      <c r="G84" s="531" t="s">
        <v>961</v>
      </c>
      <c r="H84" s="532">
        <v>50.0</v>
      </c>
      <c r="I84" s="525"/>
      <c r="J84" s="393" t="s">
        <v>962</v>
      </c>
      <c r="M84" s="258" t="s">
        <v>90</v>
      </c>
      <c r="Q84" s="258" t="s">
        <v>90</v>
      </c>
    </row>
    <row r="85" ht="12.75" customHeight="1">
      <c r="A85" s="530">
        <v>19.0</v>
      </c>
      <c r="B85" s="449" t="s">
        <v>123</v>
      </c>
      <c r="C85" s="449" t="s">
        <v>413</v>
      </c>
      <c r="D85" s="449" t="s">
        <v>891</v>
      </c>
      <c r="E85" s="531" t="s">
        <v>963</v>
      </c>
      <c r="F85" s="531"/>
      <c r="G85" s="531" t="s">
        <v>963</v>
      </c>
      <c r="H85" s="532">
        <v>52.0</v>
      </c>
      <c r="I85" s="525"/>
      <c r="J85" s="1" t="s">
        <v>892</v>
      </c>
      <c r="N85" s="1" t="s">
        <v>893</v>
      </c>
      <c r="R85" s="1" t="s">
        <v>894</v>
      </c>
    </row>
    <row r="86" ht="12.75" customHeight="1">
      <c r="A86" s="530">
        <v>19.0</v>
      </c>
      <c r="B86" s="449" t="s">
        <v>125</v>
      </c>
      <c r="C86" s="449" t="s">
        <v>413</v>
      </c>
      <c r="D86" s="449" t="s">
        <v>891</v>
      </c>
      <c r="E86" s="531" t="s">
        <v>964</v>
      </c>
      <c r="F86" s="531" t="s">
        <v>965</v>
      </c>
      <c r="G86" s="531" t="s">
        <v>966</v>
      </c>
      <c r="H86" s="532">
        <v>56.0</v>
      </c>
      <c r="I86" s="538" t="s">
        <v>967</v>
      </c>
      <c r="J86" s="534"/>
      <c r="K86" s="534"/>
      <c r="L86" s="534"/>
      <c r="N86" s="534"/>
      <c r="O86" s="534"/>
      <c r="P86" s="534"/>
      <c r="R86" s="534"/>
      <c r="S86" s="534"/>
      <c r="T86" s="534"/>
    </row>
    <row r="87" ht="12.75" customHeight="1">
      <c r="A87" s="530">
        <v>19.0</v>
      </c>
      <c r="B87" s="449" t="s">
        <v>126</v>
      </c>
      <c r="C87" s="449" t="s">
        <v>413</v>
      </c>
      <c r="D87" s="449" t="s">
        <v>891</v>
      </c>
      <c r="E87" s="531" t="s">
        <v>969</v>
      </c>
      <c r="F87" s="531" t="s">
        <v>970</v>
      </c>
      <c r="G87" s="531" t="s">
        <v>971</v>
      </c>
      <c r="H87" s="532">
        <v>58.0</v>
      </c>
      <c r="I87" s="538" t="s">
        <v>972</v>
      </c>
      <c r="J87" s="534"/>
      <c r="K87" s="534"/>
      <c r="L87" s="534"/>
      <c r="N87" s="534"/>
      <c r="O87" s="534"/>
      <c r="P87" s="534"/>
      <c r="R87" s="534"/>
      <c r="S87" s="534"/>
      <c r="T87" s="534"/>
    </row>
    <row r="88" ht="12.75" customHeight="1">
      <c r="A88" s="530">
        <v>19.0</v>
      </c>
      <c r="B88" s="449" t="s">
        <v>126</v>
      </c>
      <c r="C88" s="449" t="s">
        <v>433</v>
      </c>
      <c r="D88" s="449" t="s">
        <v>891</v>
      </c>
      <c r="E88" s="531" t="s">
        <v>973</v>
      </c>
      <c r="F88" s="531"/>
      <c r="G88" s="531" t="s">
        <v>973</v>
      </c>
      <c r="H88" s="532">
        <v>67.0</v>
      </c>
      <c r="I88" s="538"/>
      <c r="J88" s="534"/>
      <c r="K88" s="534"/>
      <c r="L88" s="534"/>
      <c r="N88" s="534"/>
      <c r="O88" s="534"/>
      <c r="P88" s="534"/>
      <c r="R88" s="534"/>
      <c r="S88" s="534"/>
      <c r="T88" s="534"/>
    </row>
    <row r="89" ht="12.75" customHeight="1">
      <c r="A89" s="530">
        <v>19.0</v>
      </c>
      <c r="B89" s="449" t="s">
        <v>127</v>
      </c>
      <c r="C89" s="449" t="s">
        <v>433</v>
      </c>
      <c r="D89" s="449" t="s">
        <v>891</v>
      </c>
      <c r="E89" s="531" t="s">
        <v>974</v>
      </c>
      <c r="F89" s="531"/>
      <c r="G89" s="531" t="s">
        <v>974</v>
      </c>
      <c r="H89" s="532">
        <v>74.0</v>
      </c>
      <c r="I89" s="525"/>
    </row>
    <row r="90" ht="12.75" customHeight="1">
      <c r="A90" s="530">
        <v>19.0</v>
      </c>
      <c r="B90" s="449" t="s">
        <v>123</v>
      </c>
      <c r="C90" s="449" t="s">
        <v>15</v>
      </c>
      <c r="D90" s="449" t="s">
        <v>891</v>
      </c>
      <c r="E90" s="531" t="s">
        <v>975</v>
      </c>
      <c r="F90" s="531" t="s">
        <v>975</v>
      </c>
      <c r="G90" s="531"/>
      <c r="H90" s="532">
        <v>74.0</v>
      </c>
      <c r="I90" s="525"/>
      <c r="J90" s="1" t="s">
        <v>901</v>
      </c>
      <c r="N90" s="1" t="s">
        <v>902</v>
      </c>
      <c r="R90" s="1" t="s">
        <v>903</v>
      </c>
    </row>
    <row r="91" ht="12.75" customHeight="1">
      <c r="A91" s="530">
        <v>19.0</v>
      </c>
      <c r="B91" s="449" t="s">
        <v>125</v>
      </c>
      <c r="C91" s="449" t="s">
        <v>15</v>
      </c>
      <c r="D91" s="449" t="s">
        <v>891</v>
      </c>
      <c r="E91" s="531" t="s">
        <v>976</v>
      </c>
      <c r="F91" s="531"/>
      <c r="G91" s="531" t="s">
        <v>976</v>
      </c>
      <c r="H91" s="532">
        <v>80.0</v>
      </c>
      <c r="I91" s="525"/>
      <c r="J91" s="534"/>
      <c r="K91" s="534"/>
      <c r="L91" s="534"/>
      <c r="N91" s="534"/>
      <c r="O91" s="534"/>
      <c r="P91" s="534"/>
      <c r="R91" s="534"/>
      <c r="S91" s="534"/>
      <c r="T91" s="534"/>
    </row>
    <row r="92" ht="12.75" customHeight="1">
      <c r="A92" s="530">
        <v>19.0</v>
      </c>
      <c r="B92" s="449" t="s">
        <v>123</v>
      </c>
      <c r="C92" s="449" t="s">
        <v>16</v>
      </c>
      <c r="D92" s="449" t="s">
        <v>891</v>
      </c>
      <c r="E92" s="531" t="s">
        <v>977</v>
      </c>
      <c r="F92" s="531"/>
      <c r="G92" s="531" t="s">
        <v>977</v>
      </c>
      <c r="H92" s="532">
        <v>84.0</v>
      </c>
      <c r="I92" s="525"/>
      <c r="J92" s="534"/>
      <c r="K92" s="534"/>
      <c r="L92" s="534"/>
      <c r="N92" s="534"/>
      <c r="O92" s="534"/>
      <c r="P92" s="534"/>
      <c r="R92" s="534"/>
      <c r="S92" s="534"/>
      <c r="T92" s="534"/>
    </row>
    <row r="93" ht="12.75" customHeight="1">
      <c r="A93" s="530">
        <v>19.0</v>
      </c>
      <c r="B93" s="449" t="s">
        <v>125</v>
      </c>
      <c r="C93" s="449" t="s">
        <v>16</v>
      </c>
      <c r="D93" s="449" t="s">
        <v>891</v>
      </c>
      <c r="E93" s="531" t="s">
        <v>979</v>
      </c>
      <c r="F93" s="531" t="s">
        <v>980</v>
      </c>
      <c r="G93" s="531" t="s">
        <v>981</v>
      </c>
      <c r="H93" s="532">
        <v>94.0</v>
      </c>
      <c r="I93" s="538" t="s">
        <v>982</v>
      </c>
      <c r="J93" s="534"/>
      <c r="K93" s="534"/>
      <c r="L93" s="534"/>
      <c r="N93" s="534"/>
      <c r="O93" s="534"/>
      <c r="P93" s="534"/>
      <c r="R93" s="534"/>
      <c r="S93" s="534"/>
      <c r="T93" s="534"/>
    </row>
    <row r="94" ht="12.75" customHeight="1">
      <c r="A94" s="530">
        <v>20.0</v>
      </c>
      <c r="B94" s="449"/>
      <c r="C94" s="449" t="s">
        <v>890</v>
      </c>
      <c r="D94" s="449" t="s">
        <v>891</v>
      </c>
      <c r="E94" s="531"/>
      <c r="F94" s="531"/>
      <c r="G94" s="531"/>
      <c r="H94" s="532">
        <v>94.0</v>
      </c>
      <c r="I94" s="525"/>
    </row>
    <row r="95" ht="12.75" customHeight="1">
      <c r="A95" s="530">
        <v>21.0</v>
      </c>
      <c r="B95" s="449" t="s">
        <v>125</v>
      </c>
      <c r="C95" s="449" t="s">
        <v>329</v>
      </c>
      <c r="D95" s="449" t="s">
        <v>891</v>
      </c>
      <c r="E95" s="531" t="s">
        <v>984</v>
      </c>
      <c r="F95" s="531" t="s">
        <v>985</v>
      </c>
      <c r="G95" s="531" t="s">
        <v>986</v>
      </c>
      <c r="H95" s="532">
        <v>101.0</v>
      </c>
      <c r="I95" s="525"/>
      <c r="J95" s="1" t="s">
        <v>914</v>
      </c>
      <c r="N95" s="1" t="s">
        <v>915</v>
      </c>
    </row>
    <row r="96" ht="12.75" customHeight="1">
      <c r="A96" s="530">
        <v>21.0</v>
      </c>
      <c r="B96" s="449" t="s">
        <v>124</v>
      </c>
      <c r="C96" s="449" t="s">
        <v>206</v>
      </c>
      <c r="D96" s="449" t="s">
        <v>891</v>
      </c>
      <c r="E96" s="531" t="s">
        <v>987</v>
      </c>
      <c r="F96" s="531" t="s">
        <v>988</v>
      </c>
      <c r="G96" s="531" t="s">
        <v>989</v>
      </c>
      <c r="H96" s="532">
        <v>105.0</v>
      </c>
      <c r="I96" s="525"/>
      <c r="J96" s="534"/>
      <c r="K96" s="534"/>
      <c r="L96" s="534"/>
      <c r="N96" s="534"/>
      <c r="O96" s="534"/>
      <c r="P96" s="534"/>
    </row>
    <row r="97" ht="12.75" customHeight="1">
      <c r="A97" s="530">
        <v>22.0</v>
      </c>
      <c r="B97" s="449"/>
      <c r="C97" s="449" t="s">
        <v>890</v>
      </c>
      <c r="D97" s="449" t="s">
        <v>891</v>
      </c>
      <c r="E97" s="531"/>
      <c r="F97" s="531"/>
      <c r="G97" s="531"/>
      <c r="H97" s="532">
        <v>105.0</v>
      </c>
      <c r="I97" s="525"/>
      <c r="J97" s="534"/>
      <c r="K97" s="534"/>
      <c r="L97" s="534"/>
      <c r="N97" s="534"/>
      <c r="O97" s="534"/>
      <c r="P97" s="534"/>
    </row>
    <row r="98" ht="12.75" customHeight="1">
      <c r="A98" s="530">
        <v>23.0</v>
      </c>
      <c r="B98" s="449" t="s">
        <v>125</v>
      </c>
      <c r="C98" s="449" t="s">
        <v>341</v>
      </c>
      <c r="D98" s="449" t="s">
        <v>891</v>
      </c>
      <c r="E98" s="531" t="s">
        <v>994</v>
      </c>
      <c r="F98" s="531" t="s">
        <v>995</v>
      </c>
      <c r="G98" s="531" t="s">
        <v>996</v>
      </c>
      <c r="H98" s="532">
        <v>113.0</v>
      </c>
      <c r="I98" s="525"/>
      <c r="J98" s="534"/>
      <c r="K98" s="534"/>
      <c r="L98" s="534"/>
      <c r="N98" s="534"/>
      <c r="O98" s="534"/>
      <c r="P98" s="534"/>
    </row>
    <row r="99" ht="12.75" customHeight="1">
      <c r="A99" s="530">
        <v>23.0</v>
      </c>
      <c r="B99" s="449" t="s">
        <v>124</v>
      </c>
      <c r="C99" s="449" t="s">
        <v>434</v>
      </c>
      <c r="D99" s="449" t="s">
        <v>891</v>
      </c>
      <c r="E99" s="531" t="s">
        <v>998</v>
      </c>
      <c r="F99" s="531"/>
      <c r="G99" s="531" t="s">
        <v>998</v>
      </c>
      <c r="H99" s="532">
        <v>116.0</v>
      </c>
      <c r="I99" s="525"/>
    </row>
    <row r="100" ht="12.75" customHeight="1">
      <c r="A100" s="530">
        <v>24.0</v>
      </c>
      <c r="B100" s="449"/>
      <c r="C100" s="449" t="s">
        <v>890</v>
      </c>
      <c r="D100" s="449" t="s">
        <v>891</v>
      </c>
      <c r="E100" s="531"/>
      <c r="F100" s="531"/>
      <c r="G100" s="531"/>
      <c r="H100" s="532">
        <v>116.0</v>
      </c>
      <c r="I100" s="525"/>
    </row>
    <row r="101" ht="12.75" customHeight="1">
      <c r="A101" s="530">
        <v>25.0</v>
      </c>
      <c r="B101" s="449" t="s">
        <v>123</v>
      </c>
      <c r="C101" s="449" t="s">
        <v>413</v>
      </c>
      <c r="D101" s="449" t="s">
        <v>891</v>
      </c>
      <c r="E101" s="531" t="s">
        <v>999</v>
      </c>
      <c r="F101" s="531" t="s">
        <v>1000</v>
      </c>
      <c r="G101" s="531" t="s">
        <v>1001</v>
      </c>
      <c r="H101" s="532">
        <v>118.0</v>
      </c>
      <c r="I101" s="525"/>
    </row>
    <row r="102" ht="12.75" customHeight="1">
      <c r="A102" s="530">
        <v>25.0</v>
      </c>
      <c r="B102" s="449" t="s">
        <v>125</v>
      </c>
      <c r="C102" s="449" t="s">
        <v>413</v>
      </c>
      <c r="D102" s="449" t="s">
        <v>891</v>
      </c>
      <c r="E102" s="531" t="s">
        <v>1002</v>
      </c>
      <c r="F102" s="531"/>
      <c r="G102" s="531" t="s">
        <v>1002</v>
      </c>
      <c r="H102" s="532">
        <v>128.0</v>
      </c>
      <c r="I102" s="525"/>
    </row>
    <row r="103" ht="12.75" customHeight="1">
      <c r="A103" s="530">
        <v>25.0</v>
      </c>
      <c r="B103" s="449" t="s">
        <v>126</v>
      </c>
      <c r="C103" s="449" t="s">
        <v>413</v>
      </c>
      <c r="D103" s="449" t="s">
        <v>891</v>
      </c>
      <c r="E103" s="531" t="s">
        <v>1003</v>
      </c>
      <c r="F103" s="531" t="s">
        <v>1004</v>
      </c>
      <c r="G103" s="531" t="s">
        <v>1005</v>
      </c>
      <c r="H103" s="532">
        <v>136.0</v>
      </c>
      <c r="I103" s="525"/>
    </row>
    <row r="104" ht="12.75" customHeight="1">
      <c r="A104" s="530">
        <v>25.0</v>
      </c>
      <c r="B104" s="449" t="s">
        <v>126</v>
      </c>
      <c r="C104" s="449" t="s">
        <v>433</v>
      </c>
      <c r="D104" s="449" t="s">
        <v>891</v>
      </c>
      <c r="E104" s="531" t="s">
        <v>1006</v>
      </c>
      <c r="F104" s="531"/>
      <c r="G104" s="531" t="s">
        <v>1006</v>
      </c>
      <c r="H104" s="532">
        <v>148.0</v>
      </c>
      <c r="I104" s="525"/>
    </row>
    <row r="105" ht="12.75" customHeight="1">
      <c r="A105" s="530">
        <v>25.0</v>
      </c>
      <c r="B105" s="449" t="s">
        <v>127</v>
      </c>
      <c r="C105" s="449" t="s">
        <v>433</v>
      </c>
      <c r="D105" s="449" t="s">
        <v>891</v>
      </c>
      <c r="E105" s="531" t="s">
        <v>1007</v>
      </c>
      <c r="F105" s="531" t="s">
        <v>1008</v>
      </c>
      <c r="G105" s="531" t="s">
        <v>1009</v>
      </c>
      <c r="H105" s="532">
        <v>155.0</v>
      </c>
      <c r="I105" s="525"/>
    </row>
    <row r="106" ht="12.75" customHeight="1">
      <c r="A106" s="530">
        <v>25.0</v>
      </c>
      <c r="B106" s="449" t="s">
        <v>123</v>
      </c>
      <c r="C106" s="449" t="s">
        <v>15</v>
      </c>
      <c r="D106" s="449" t="s">
        <v>891</v>
      </c>
      <c r="E106" s="531" t="s">
        <v>1011</v>
      </c>
      <c r="F106" s="531"/>
      <c r="G106" s="531" t="s">
        <v>1011</v>
      </c>
      <c r="H106" s="532">
        <v>157.0</v>
      </c>
      <c r="I106" s="538"/>
    </row>
    <row r="107" ht="12.75" customHeight="1">
      <c r="A107" s="530">
        <v>25.0</v>
      </c>
      <c r="B107" s="449" t="s">
        <v>125</v>
      </c>
      <c r="C107" s="449" t="s">
        <v>15</v>
      </c>
      <c r="D107" s="449" t="s">
        <v>891</v>
      </c>
      <c r="E107" s="531" t="s">
        <v>1012</v>
      </c>
      <c r="F107" s="531"/>
      <c r="G107" s="531" t="s">
        <v>1012</v>
      </c>
      <c r="H107" s="532">
        <v>167.0</v>
      </c>
      <c r="I107" s="538"/>
    </row>
    <row r="108" ht="12.75" customHeight="1">
      <c r="A108" s="530">
        <v>25.0</v>
      </c>
      <c r="B108" s="449" t="s">
        <v>123</v>
      </c>
      <c r="C108" s="449" t="s">
        <v>16</v>
      </c>
      <c r="D108" s="449" t="s">
        <v>891</v>
      </c>
      <c r="E108" s="531" t="s">
        <v>1013</v>
      </c>
      <c r="F108" s="531"/>
      <c r="G108" s="531" t="s">
        <v>1013</v>
      </c>
      <c r="H108" s="532">
        <v>170.0</v>
      </c>
      <c r="I108" s="525"/>
    </row>
    <row r="109" ht="12.75" customHeight="1">
      <c r="A109" s="530">
        <v>25.0</v>
      </c>
      <c r="B109" s="449" t="s">
        <v>125</v>
      </c>
      <c r="C109" s="449" t="s">
        <v>16</v>
      </c>
      <c r="D109" s="449" t="s">
        <v>891</v>
      </c>
      <c r="E109" s="531" t="s">
        <v>1014</v>
      </c>
      <c r="F109" s="531" t="s">
        <v>1015</v>
      </c>
      <c r="G109" s="531" t="s">
        <v>1016</v>
      </c>
      <c r="H109" s="532">
        <v>176.0</v>
      </c>
      <c r="I109" s="525"/>
    </row>
    <row r="110" ht="12.75" customHeight="1">
      <c r="A110" s="530">
        <v>26.0</v>
      </c>
      <c r="B110" s="449" t="s">
        <v>124</v>
      </c>
      <c r="C110" s="449" t="s">
        <v>438</v>
      </c>
      <c r="D110" s="449" t="s">
        <v>891</v>
      </c>
      <c r="E110" s="531" t="s">
        <v>1017</v>
      </c>
      <c r="F110" s="531"/>
      <c r="G110" s="531" t="s">
        <v>1017</v>
      </c>
      <c r="H110" s="532">
        <v>181.0</v>
      </c>
      <c r="I110" s="525"/>
    </row>
    <row r="111" ht="12.75" customHeight="1">
      <c r="A111" s="530">
        <v>26.0</v>
      </c>
      <c r="B111" s="449" t="s">
        <v>123</v>
      </c>
      <c r="C111" s="449" t="s">
        <v>51</v>
      </c>
      <c r="D111" s="449" t="s">
        <v>891</v>
      </c>
      <c r="E111" s="531" t="s">
        <v>1018</v>
      </c>
      <c r="F111" s="531"/>
      <c r="G111" s="531" t="s">
        <v>1018</v>
      </c>
      <c r="H111" s="532">
        <v>185.0</v>
      </c>
      <c r="I111" s="525"/>
    </row>
    <row r="112" ht="12.75" customHeight="1">
      <c r="A112" s="530">
        <v>27.0</v>
      </c>
      <c r="B112" s="449"/>
      <c r="C112" s="449" t="s">
        <v>890</v>
      </c>
      <c r="D112" s="449" t="s">
        <v>891</v>
      </c>
      <c r="E112" s="531"/>
      <c r="F112" s="531"/>
      <c r="G112" s="531"/>
      <c r="H112" s="532">
        <v>185.0</v>
      </c>
      <c r="I112" s="525"/>
    </row>
    <row r="113" ht="12.75" customHeight="1">
      <c r="A113" s="530">
        <v>28.0</v>
      </c>
      <c r="B113" s="449" t="s">
        <v>125</v>
      </c>
      <c r="C113" s="449" t="s">
        <v>42</v>
      </c>
      <c r="D113" s="449" t="s">
        <v>891</v>
      </c>
      <c r="E113" s="531" t="s">
        <v>1019</v>
      </c>
      <c r="F113" s="531"/>
      <c r="G113" s="531" t="s">
        <v>1019</v>
      </c>
      <c r="H113" s="532">
        <v>193.0</v>
      </c>
      <c r="I113" s="525"/>
    </row>
    <row r="114" ht="12.75" customHeight="1">
      <c r="A114" s="530">
        <v>29.0</v>
      </c>
      <c r="B114" s="449"/>
      <c r="C114" s="449" t="s">
        <v>890</v>
      </c>
      <c r="D114" s="449" t="s">
        <v>891</v>
      </c>
      <c r="E114" s="531"/>
      <c r="F114" s="531"/>
      <c r="G114" s="531"/>
      <c r="H114" s="532">
        <v>193.0</v>
      </c>
      <c r="I114" s="525"/>
    </row>
    <row r="115" ht="12.75" customHeight="1">
      <c r="A115" s="530">
        <v>30.0</v>
      </c>
      <c r="B115" s="449"/>
      <c r="C115" s="449" t="s">
        <v>890</v>
      </c>
      <c r="D115" s="449" t="s">
        <v>891</v>
      </c>
      <c r="E115" s="531"/>
      <c r="F115" s="531"/>
      <c r="G115" s="531"/>
      <c r="H115" s="532">
        <v>193.0</v>
      </c>
      <c r="I115" s="525"/>
    </row>
    <row r="116" ht="12.75" customHeight="1">
      <c r="A116" s="530">
        <v>31.0</v>
      </c>
      <c r="B116" s="449" t="s">
        <v>123</v>
      </c>
      <c r="C116" s="449" t="s">
        <v>413</v>
      </c>
      <c r="D116" s="449" t="s">
        <v>891</v>
      </c>
      <c r="E116" s="531" t="s">
        <v>1021</v>
      </c>
      <c r="F116" s="531" t="s">
        <v>1022</v>
      </c>
      <c r="G116" s="531" t="s">
        <v>1023</v>
      </c>
      <c r="H116" s="532">
        <v>195.0</v>
      </c>
      <c r="I116" s="525"/>
    </row>
    <row r="117" ht="12.75" customHeight="1">
      <c r="A117" s="530">
        <v>31.0</v>
      </c>
      <c r="B117" s="449" t="s">
        <v>125</v>
      </c>
      <c r="C117" s="449" t="s">
        <v>413</v>
      </c>
      <c r="D117" s="449" t="s">
        <v>891</v>
      </c>
      <c r="E117" s="531" t="s">
        <v>1024</v>
      </c>
      <c r="F117" s="531" t="s">
        <v>1025</v>
      </c>
      <c r="G117" s="531" t="s">
        <v>1026</v>
      </c>
      <c r="H117" s="532">
        <v>199.0</v>
      </c>
      <c r="I117" s="525"/>
    </row>
    <row r="118" ht="12.75" customHeight="1">
      <c r="A118" s="530">
        <v>31.0</v>
      </c>
      <c r="B118" s="449" t="s">
        <v>126</v>
      </c>
      <c r="C118" s="449" t="s">
        <v>413</v>
      </c>
      <c r="D118" s="449" t="s">
        <v>891</v>
      </c>
      <c r="E118" s="531" t="s">
        <v>1027</v>
      </c>
      <c r="F118" s="531"/>
      <c r="G118" s="531" t="s">
        <v>1027</v>
      </c>
      <c r="H118" s="532">
        <v>207.0</v>
      </c>
      <c r="I118" s="525"/>
    </row>
    <row r="119" ht="12.75" customHeight="1">
      <c r="A119" s="530">
        <v>31.0</v>
      </c>
      <c r="B119" s="449" t="s">
        <v>126</v>
      </c>
      <c r="C119" s="449" t="s">
        <v>433</v>
      </c>
      <c r="D119" s="449" t="s">
        <v>891</v>
      </c>
      <c r="E119" s="531" t="s">
        <v>1029</v>
      </c>
      <c r="F119" s="531"/>
      <c r="G119" s="531" t="s">
        <v>1029</v>
      </c>
      <c r="H119" s="532">
        <v>217.0</v>
      </c>
      <c r="I119" s="538"/>
    </row>
    <row r="120" ht="12.75" customHeight="1">
      <c r="A120" s="530">
        <v>31.0</v>
      </c>
      <c r="B120" s="449" t="s">
        <v>127</v>
      </c>
      <c r="C120" s="449" t="s">
        <v>433</v>
      </c>
      <c r="D120" s="449" t="s">
        <v>891</v>
      </c>
      <c r="E120" s="531" t="s">
        <v>1030</v>
      </c>
      <c r="F120" s="531" t="s">
        <v>1031</v>
      </c>
      <c r="G120" s="531" t="s">
        <v>1032</v>
      </c>
      <c r="H120" s="532">
        <v>223.0</v>
      </c>
      <c r="I120" s="525"/>
    </row>
    <row r="121" ht="12.75" customHeight="1">
      <c r="A121" s="530">
        <v>31.0</v>
      </c>
      <c r="B121" s="449" t="s">
        <v>123</v>
      </c>
      <c r="C121" s="449" t="s">
        <v>15</v>
      </c>
      <c r="D121" s="449" t="s">
        <v>891</v>
      </c>
      <c r="E121" s="531" t="s">
        <v>1033</v>
      </c>
      <c r="F121" s="531"/>
      <c r="G121" s="531" t="s">
        <v>1033</v>
      </c>
      <c r="H121" s="532">
        <v>226.0</v>
      </c>
      <c r="I121" s="525"/>
    </row>
    <row r="122" ht="12.75" customHeight="1">
      <c r="A122" s="530">
        <v>31.0</v>
      </c>
      <c r="B122" s="449" t="s">
        <v>125</v>
      </c>
      <c r="C122" s="449" t="s">
        <v>15</v>
      </c>
      <c r="D122" s="449" t="s">
        <v>891</v>
      </c>
      <c r="E122" s="531" t="s">
        <v>1035</v>
      </c>
      <c r="F122" s="531"/>
      <c r="G122" s="531" t="s">
        <v>1035</v>
      </c>
      <c r="H122" s="532">
        <v>233.0</v>
      </c>
      <c r="I122" s="525"/>
    </row>
    <row r="123" ht="12.75" customHeight="1">
      <c r="A123" s="530">
        <v>31.0</v>
      </c>
      <c r="B123" s="449" t="s">
        <v>123</v>
      </c>
      <c r="C123" s="449" t="s">
        <v>16</v>
      </c>
      <c r="D123" s="449" t="s">
        <v>891</v>
      </c>
      <c r="E123" s="531" t="s">
        <v>1036</v>
      </c>
      <c r="F123" s="531" t="s">
        <v>1037</v>
      </c>
      <c r="G123" s="531" t="s">
        <v>957</v>
      </c>
      <c r="H123" s="532">
        <v>234.0</v>
      </c>
      <c r="I123" s="538"/>
    </row>
    <row r="124" ht="12.75" customHeight="1">
      <c r="A124" s="530">
        <v>31.0</v>
      </c>
      <c r="B124" s="449" t="s">
        <v>125</v>
      </c>
      <c r="C124" s="449" t="s">
        <v>16</v>
      </c>
      <c r="D124" s="449" t="s">
        <v>891</v>
      </c>
      <c r="E124" s="531" t="s">
        <v>1038</v>
      </c>
      <c r="F124" s="531" t="s">
        <v>1039</v>
      </c>
      <c r="G124" s="531" t="s">
        <v>1040</v>
      </c>
      <c r="H124" s="532">
        <v>240.0</v>
      </c>
      <c r="I124" s="525"/>
    </row>
    <row r="125" ht="12.75" customHeight="1">
      <c r="A125" s="530">
        <v>32.0</v>
      </c>
      <c r="B125" s="449"/>
      <c r="C125" s="449" t="s">
        <v>890</v>
      </c>
      <c r="D125" s="449" t="s">
        <v>891</v>
      </c>
      <c r="E125" s="531"/>
      <c r="F125" s="531"/>
      <c r="G125" s="531"/>
      <c r="H125" s="532">
        <v>240.0</v>
      </c>
      <c r="I125" s="538"/>
    </row>
    <row r="126" ht="12.75" customHeight="1">
      <c r="A126" s="530">
        <v>33.0</v>
      </c>
      <c r="B126" s="449"/>
      <c r="C126" s="449" t="s">
        <v>890</v>
      </c>
      <c r="D126" s="449" t="s">
        <v>891</v>
      </c>
      <c r="E126" s="531"/>
      <c r="F126" s="531"/>
      <c r="G126" s="531"/>
      <c r="H126" s="532">
        <v>240.0</v>
      </c>
      <c r="I126" s="525"/>
    </row>
    <row r="127" ht="12.75" customHeight="1">
      <c r="A127" s="530">
        <v>34.0</v>
      </c>
      <c r="B127" s="449"/>
      <c r="C127" s="449" t="s">
        <v>890</v>
      </c>
      <c r="D127" s="449" t="s">
        <v>891</v>
      </c>
      <c r="E127" s="531"/>
      <c r="F127" s="531"/>
      <c r="G127" s="531"/>
      <c r="H127" s="532">
        <v>240.0</v>
      </c>
      <c r="I127" s="538"/>
    </row>
    <row r="128" ht="12.75" customHeight="1">
      <c r="A128" s="530">
        <v>35.0</v>
      </c>
      <c r="B128" s="449" t="s">
        <v>123</v>
      </c>
      <c r="C128" s="449" t="s">
        <v>413</v>
      </c>
      <c r="D128" s="449" t="s">
        <v>891</v>
      </c>
      <c r="E128" s="531" t="s">
        <v>1041</v>
      </c>
      <c r="F128" s="531"/>
      <c r="G128" s="531" t="s">
        <v>1041</v>
      </c>
      <c r="H128" s="532">
        <v>243.0</v>
      </c>
      <c r="I128" s="525"/>
    </row>
    <row r="129" ht="12.75" customHeight="1">
      <c r="A129" s="530">
        <v>35.0</v>
      </c>
      <c r="B129" s="449" t="s">
        <v>125</v>
      </c>
      <c r="C129" s="449" t="s">
        <v>413</v>
      </c>
      <c r="D129" s="449" t="s">
        <v>891</v>
      </c>
      <c r="E129" s="531" t="s">
        <v>1042</v>
      </c>
      <c r="F129" s="531"/>
      <c r="G129" s="531" t="s">
        <v>1042</v>
      </c>
      <c r="H129" s="532">
        <v>250.0</v>
      </c>
      <c r="I129" s="525"/>
    </row>
    <row r="130" ht="12.75" customHeight="1">
      <c r="A130" s="530">
        <v>35.0</v>
      </c>
      <c r="B130" s="449" t="s">
        <v>126</v>
      </c>
      <c r="C130" s="449" t="s">
        <v>413</v>
      </c>
      <c r="D130" s="449" t="s">
        <v>891</v>
      </c>
      <c r="E130" s="531" t="s">
        <v>1043</v>
      </c>
      <c r="F130" s="531" t="s">
        <v>1044</v>
      </c>
      <c r="G130" s="531" t="s">
        <v>1045</v>
      </c>
      <c r="H130" s="532">
        <v>259.0</v>
      </c>
      <c r="I130" s="525"/>
    </row>
    <row r="131" ht="12.75" customHeight="1">
      <c r="A131" s="530">
        <v>35.0</v>
      </c>
      <c r="B131" s="449" t="s">
        <v>126</v>
      </c>
      <c r="C131" s="449" t="s">
        <v>433</v>
      </c>
      <c r="D131" s="449" t="s">
        <v>891</v>
      </c>
      <c r="E131" s="531" t="s">
        <v>1047</v>
      </c>
      <c r="F131" s="531"/>
      <c r="G131" s="531" t="s">
        <v>1047</v>
      </c>
      <c r="H131" s="532">
        <v>266.0</v>
      </c>
      <c r="I131" s="525"/>
    </row>
    <row r="132" ht="12.75" customHeight="1">
      <c r="A132" s="530">
        <v>35.0</v>
      </c>
      <c r="B132" s="449" t="s">
        <v>127</v>
      </c>
      <c r="C132" s="449" t="s">
        <v>433</v>
      </c>
      <c r="D132" s="449" t="s">
        <v>891</v>
      </c>
      <c r="E132" s="531" t="s">
        <v>1048</v>
      </c>
      <c r="F132" s="531"/>
      <c r="G132" s="531" t="s">
        <v>1048</v>
      </c>
      <c r="H132" s="532">
        <v>276.0</v>
      </c>
      <c r="I132" s="525"/>
    </row>
    <row r="133" ht="12.75" customHeight="1">
      <c r="A133" s="530">
        <v>35.0</v>
      </c>
      <c r="B133" s="449" t="s">
        <v>123</v>
      </c>
      <c r="C133" s="449" t="s">
        <v>15</v>
      </c>
      <c r="D133" s="449" t="s">
        <v>891</v>
      </c>
      <c r="E133" s="531" t="s">
        <v>1049</v>
      </c>
      <c r="F133" s="531"/>
      <c r="G133" s="531" t="s">
        <v>1049</v>
      </c>
      <c r="H133" s="532">
        <v>281.0</v>
      </c>
      <c r="I133" s="525"/>
    </row>
    <row r="134" ht="12.75" customHeight="1">
      <c r="A134" s="530">
        <v>35.0</v>
      </c>
      <c r="B134" s="449" t="s">
        <v>125</v>
      </c>
      <c r="C134" s="449" t="s">
        <v>15</v>
      </c>
      <c r="D134" s="449" t="s">
        <v>891</v>
      </c>
      <c r="E134" s="531" t="s">
        <v>1050</v>
      </c>
      <c r="F134" s="531" t="s">
        <v>1051</v>
      </c>
      <c r="G134" s="531" t="s">
        <v>1052</v>
      </c>
      <c r="H134" s="532">
        <v>289.0</v>
      </c>
      <c r="I134" s="538"/>
    </row>
    <row r="135" ht="12.75" customHeight="1">
      <c r="A135" s="530">
        <v>35.0</v>
      </c>
      <c r="B135" s="449" t="s">
        <v>123</v>
      </c>
      <c r="C135" s="449" t="s">
        <v>16</v>
      </c>
      <c r="D135" s="449" t="s">
        <v>891</v>
      </c>
      <c r="E135" s="531" t="s">
        <v>1053</v>
      </c>
      <c r="F135" s="531"/>
      <c r="G135" s="531" t="s">
        <v>1053</v>
      </c>
      <c r="H135" s="532">
        <v>296.0</v>
      </c>
      <c r="I135" s="525"/>
    </row>
    <row r="136" ht="12.75" customHeight="1">
      <c r="A136" s="530">
        <v>35.0</v>
      </c>
      <c r="B136" s="449" t="s">
        <v>125</v>
      </c>
      <c r="C136" s="449" t="s">
        <v>16</v>
      </c>
      <c r="D136" s="449" t="s">
        <v>891</v>
      </c>
      <c r="E136" s="531" t="s">
        <v>1054</v>
      </c>
      <c r="F136" s="531"/>
      <c r="G136" s="531" t="s">
        <v>1054</v>
      </c>
      <c r="H136" s="532">
        <v>304.0</v>
      </c>
      <c r="I136" s="525"/>
    </row>
    <row r="137" ht="12.75" customHeight="1">
      <c r="A137" s="530">
        <v>36.0</v>
      </c>
      <c r="B137" s="449"/>
      <c r="C137" s="449" t="s">
        <v>890</v>
      </c>
      <c r="D137" s="449" t="s">
        <v>891</v>
      </c>
      <c r="E137" s="531"/>
      <c r="F137" s="531"/>
      <c r="G137" s="531"/>
      <c r="H137" s="532">
        <v>304.0</v>
      </c>
      <c r="I137" s="525"/>
    </row>
    <row r="138" ht="12.75" customHeight="1">
      <c r="A138" s="530">
        <v>37.0</v>
      </c>
      <c r="B138" s="449"/>
      <c r="C138" s="449" t="s">
        <v>890</v>
      </c>
      <c r="D138" s="449" t="s">
        <v>891</v>
      </c>
      <c r="E138" s="531"/>
      <c r="F138" s="531"/>
      <c r="G138" s="531"/>
      <c r="H138" s="532">
        <v>304.0</v>
      </c>
      <c r="I138" s="538"/>
    </row>
    <row r="139" ht="12.75" customHeight="1">
      <c r="A139" s="530">
        <v>38.0</v>
      </c>
      <c r="B139" s="449"/>
      <c r="C139" s="449" t="s">
        <v>890</v>
      </c>
      <c r="D139" s="449" t="s">
        <v>891</v>
      </c>
      <c r="E139" s="531"/>
      <c r="F139" s="531"/>
      <c r="G139" s="531"/>
      <c r="H139" s="532">
        <v>304.0</v>
      </c>
      <c r="I139" s="525"/>
    </row>
    <row r="140" ht="12.75" customHeight="1">
      <c r="A140" s="530">
        <v>39.0</v>
      </c>
      <c r="B140" s="449" t="s">
        <v>125</v>
      </c>
      <c r="C140" s="449" t="s">
        <v>341</v>
      </c>
      <c r="D140" s="449" t="s">
        <v>891</v>
      </c>
      <c r="E140" s="531" t="s">
        <v>1057</v>
      </c>
      <c r="F140" s="531"/>
      <c r="G140" s="531" t="s">
        <v>1057</v>
      </c>
      <c r="H140" s="532">
        <v>310.0</v>
      </c>
      <c r="I140" s="525"/>
    </row>
    <row r="141" ht="12.75" customHeight="1">
      <c r="A141" s="530">
        <v>40.0</v>
      </c>
      <c r="B141" s="449" t="s">
        <v>123</v>
      </c>
      <c r="C141" s="449" t="s">
        <v>51</v>
      </c>
      <c r="D141" s="449" t="s">
        <v>891</v>
      </c>
      <c r="E141" s="531" t="s">
        <v>1058</v>
      </c>
      <c r="F141" s="531" t="s">
        <v>1059</v>
      </c>
      <c r="G141" s="531" t="s">
        <v>1000</v>
      </c>
      <c r="H141" s="532">
        <v>311.0</v>
      </c>
      <c r="I141" s="538" t="s">
        <v>1060</v>
      </c>
    </row>
    <row r="142" ht="12.75" customHeight="1">
      <c r="A142" s="530">
        <v>41.0</v>
      </c>
      <c r="B142" s="449" t="s">
        <v>124</v>
      </c>
      <c r="C142" s="449" t="s">
        <v>401</v>
      </c>
      <c r="D142" s="449" t="s">
        <v>891</v>
      </c>
      <c r="E142" s="531" t="s">
        <v>1061</v>
      </c>
      <c r="F142" s="531"/>
      <c r="G142" s="531" t="s">
        <v>1061</v>
      </c>
      <c r="H142" s="532">
        <v>317.0</v>
      </c>
      <c r="I142" s="538"/>
    </row>
    <row r="143" ht="12.75" customHeight="1">
      <c r="A143" s="530">
        <v>42.0</v>
      </c>
      <c r="B143" s="449" t="s">
        <v>123</v>
      </c>
      <c r="C143" s="449" t="s">
        <v>413</v>
      </c>
      <c r="D143" s="449" t="s">
        <v>891</v>
      </c>
      <c r="E143" s="531" t="s">
        <v>1062</v>
      </c>
      <c r="F143" s="531"/>
      <c r="G143" s="531" t="s">
        <v>1062</v>
      </c>
      <c r="H143" s="532">
        <v>322.0</v>
      </c>
      <c r="I143" s="525"/>
    </row>
    <row r="144" ht="12.75" customHeight="1">
      <c r="A144" s="530">
        <v>42.0</v>
      </c>
      <c r="B144" s="449" t="s">
        <v>478</v>
      </c>
      <c r="C144" s="449" t="s">
        <v>1063</v>
      </c>
      <c r="D144" s="449" t="s">
        <v>891</v>
      </c>
      <c r="E144" s="531" t="s">
        <v>1064</v>
      </c>
      <c r="F144" s="531"/>
      <c r="G144" s="531" t="s">
        <v>1064</v>
      </c>
      <c r="H144" s="532">
        <v>76.0</v>
      </c>
      <c r="I144" s="525"/>
    </row>
    <row r="145" ht="12.75" customHeight="1">
      <c r="A145" s="530">
        <v>42.0</v>
      </c>
      <c r="B145" s="449" t="s">
        <v>125</v>
      </c>
      <c r="C145" s="449" t="s">
        <v>413</v>
      </c>
      <c r="D145" s="449" t="s">
        <v>891</v>
      </c>
      <c r="E145" s="531" t="s">
        <v>1065</v>
      </c>
      <c r="F145" s="531" t="s">
        <v>1066</v>
      </c>
      <c r="G145" s="531" t="s">
        <v>1067</v>
      </c>
      <c r="H145" s="532">
        <v>81.0</v>
      </c>
      <c r="I145" s="525"/>
    </row>
    <row r="146" ht="12.75" customHeight="1">
      <c r="A146" s="530">
        <v>42.0</v>
      </c>
      <c r="B146" s="449" t="s">
        <v>126</v>
      </c>
      <c r="C146" s="449" t="s">
        <v>413</v>
      </c>
      <c r="D146" s="449" t="s">
        <v>891</v>
      </c>
      <c r="E146" s="531" t="s">
        <v>1068</v>
      </c>
      <c r="F146" s="531"/>
      <c r="G146" s="531" t="s">
        <v>1068</v>
      </c>
      <c r="H146" s="532">
        <v>90.0</v>
      </c>
      <c r="I146" s="525"/>
    </row>
    <row r="147" ht="12.75" customHeight="1">
      <c r="A147" s="530">
        <v>42.0</v>
      </c>
      <c r="B147" s="449" t="s">
        <v>126</v>
      </c>
      <c r="C147" s="449" t="s">
        <v>433</v>
      </c>
      <c r="D147" s="449" t="s">
        <v>891</v>
      </c>
      <c r="E147" s="531" t="s">
        <v>1070</v>
      </c>
      <c r="F147" s="531"/>
      <c r="G147" s="531" t="s">
        <v>1070</v>
      </c>
      <c r="H147" s="532">
        <v>107.0</v>
      </c>
      <c r="I147" s="538"/>
    </row>
    <row r="148" ht="12.75" customHeight="1">
      <c r="A148" s="530">
        <v>42.0</v>
      </c>
      <c r="B148" s="449" t="s">
        <v>127</v>
      </c>
      <c r="C148" s="449" t="s">
        <v>433</v>
      </c>
      <c r="D148" s="449" t="s">
        <v>891</v>
      </c>
      <c r="E148" s="531" t="s">
        <v>1071</v>
      </c>
      <c r="F148" s="531"/>
      <c r="G148" s="531" t="s">
        <v>1071</v>
      </c>
      <c r="H148" s="532">
        <v>117.0</v>
      </c>
      <c r="I148" s="525"/>
    </row>
    <row r="149" ht="12.75" customHeight="1">
      <c r="A149" s="530">
        <v>42.0</v>
      </c>
      <c r="B149" s="449" t="s">
        <v>123</v>
      </c>
      <c r="C149" s="449" t="s">
        <v>15</v>
      </c>
      <c r="D149" s="449" t="s">
        <v>891</v>
      </c>
      <c r="E149" s="531" t="s">
        <v>1072</v>
      </c>
      <c r="F149" s="531" t="s">
        <v>1073</v>
      </c>
      <c r="G149" s="531" t="s">
        <v>1074</v>
      </c>
      <c r="H149" s="532">
        <v>121.0</v>
      </c>
      <c r="I149" s="525"/>
    </row>
    <row r="150" ht="12.75" customHeight="1">
      <c r="A150" s="530">
        <v>42.0</v>
      </c>
      <c r="B150" s="449" t="s">
        <v>125</v>
      </c>
      <c r="C150" s="449" t="s">
        <v>15</v>
      </c>
      <c r="D150" s="449" t="s">
        <v>891</v>
      </c>
      <c r="E150" s="531" t="s">
        <v>1075</v>
      </c>
      <c r="F150" s="531"/>
      <c r="G150" s="531" t="s">
        <v>1075</v>
      </c>
      <c r="H150" s="532">
        <v>127.0</v>
      </c>
      <c r="I150" s="525"/>
    </row>
    <row r="151" ht="12.75" customHeight="1">
      <c r="A151" s="530">
        <v>42.0</v>
      </c>
      <c r="B151" s="449" t="s">
        <v>123</v>
      </c>
      <c r="C151" s="449" t="s">
        <v>16</v>
      </c>
      <c r="D151" s="449" t="s">
        <v>891</v>
      </c>
      <c r="E151" s="531" t="s">
        <v>1076</v>
      </c>
      <c r="F151" s="531"/>
      <c r="G151" s="531" t="s">
        <v>1076</v>
      </c>
      <c r="H151" s="532">
        <v>132.0</v>
      </c>
      <c r="I151" s="538"/>
    </row>
    <row r="152" ht="12.75" customHeight="1">
      <c r="A152" s="530">
        <v>42.0</v>
      </c>
      <c r="B152" s="449" t="s">
        <v>125</v>
      </c>
      <c r="C152" s="449" t="s">
        <v>16</v>
      </c>
      <c r="D152" s="449" t="s">
        <v>891</v>
      </c>
      <c r="E152" s="531" t="s">
        <v>1077</v>
      </c>
      <c r="F152" s="531"/>
      <c r="G152" s="531" t="s">
        <v>1077</v>
      </c>
      <c r="H152" s="532">
        <v>137.0</v>
      </c>
      <c r="I152" s="538"/>
    </row>
    <row r="153" ht="12.75" customHeight="1">
      <c r="A153" s="530">
        <v>43.0</v>
      </c>
      <c r="B153" s="449"/>
      <c r="C153" s="449" t="s">
        <v>890</v>
      </c>
      <c r="D153" s="449" t="s">
        <v>891</v>
      </c>
      <c r="E153" s="531"/>
      <c r="F153" s="531"/>
      <c r="G153" s="531"/>
      <c r="H153" s="532">
        <v>137.0</v>
      </c>
      <c r="I153" s="525"/>
    </row>
    <row r="154" ht="12.75" customHeight="1">
      <c r="A154" s="530">
        <v>44.0</v>
      </c>
      <c r="B154" s="449"/>
      <c r="C154" s="449" t="s">
        <v>890</v>
      </c>
      <c r="D154" s="449" t="s">
        <v>891</v>
      </c>
      <c r="E154" s="531"/>
      <c r="F154" s="531"/>
      <c r="G154" s="531"/>
      <c r="H154" s="532">
        <v>137.0</v>
      </c>
      <c r="I154" s="538"/>
    </row>
    <row r="155" ht="12.75" customHeight="1">
      <c r="A155" s="530">
        <v>45.0</v>
      </c>
      <c r="B155" s="449"/>
      <c r="C155" s="449" t="s">
        <v>890</v>
      </c>
      <c r="D155" s="449" t="s">
        <v>891</v>
      </c>
      <c r="E155" s="531"/>
      <c r="F155" s="531"/>
      <c r="G155" s="531"/>
      <c r="H155" s="532">
        <v>137.0</v>
      </c>
      <c r="I155" s="538"/>
    </row>
    <row r="156" ht="12.75" customHeight="1">
      <c r="A156" s="530">
        <v>46.0</v>
      </c>
      <c r="B156" s="449" t="s">
        <v>125</v>
      </c>
      <c r="C156" s="449" t="s">
        <v>338</v>
      </c>
      <c r="D156" s="449" t="s">
        <v>891</v>
      </c>
      <c r="E156" s="531" t="s">
        <v>1080</v>
      </c>
      <c r="F156" s="531" t="s">
        <v>1081</v>
      </c>
      <c r="G156" s="531" t="s">
        <v>1082</v>
      </c>
      <c r="H156" s="532">
        <v>146.0</v>
      </c>
      <c r="I156" s="538" t="s">
        <v>1083</v>
      </c>
    </row>
    <row r="157" ht="12.75" customHeight="1">
      <c r="A157" s="530">
        <v>47.0</v>
      </c>
      <c r="B157" s="449" t="s">
        <v>124</v>
      </c>
      <c r="C157" s="449" t="s">
        <v>434</v>
      </c>
      <c r="D157" s="449" t="s">
        <v>891</v>
      </c>
      <c r="E157" s="531" t="s">
        <v>1085</v>
      </c>
      <c r="F157" s="531"/>
      <c r="G157" s="531" t="s">
        <v>1085</v>
      </c>
      <c r="H157" s="532">
        <v>152.0</v>
      </c>
      <c r="I157" s="538"/>
    </row>
    <row r="158" ht="12.75" customHeight="1">
      <c r="A158" s="530">
        <v>48.0</v>
      </c>
      <c r="B158" s="449" t="s">
        <v>124</v>
      </c>
      <c r="C158" s="449" t="s">
        <v>401</v>
      </c>
      <c r="D158" s="449" t="s">
        <v>891</v>
      </c>
      <c r="E158" s="531" t="s">
        <v>1086</v>
      </c>
      <c r="F158" s="531"/>
      <c r="G158" s="531" t="s">
        <v>1086</v>
      </c>
      <c r="H158" s="532">
        <v>159.0</v>
      </c>
      <c r="I158" s="525"/>
    </row>
    <row r="159" ht="12.75" customHeight="1">
      <c r="A159" s="530">
        <v>49.0</v>
      </c>
      <c r="B159" s="449" t="s">
        <v>125</v>
      </c>
      <c r="C159" s="449" t="s">
        <v>329</v>
      </c>
      <c r="D159" s="449" t="s">
        <v>891</v>
      </c>
      <c r="E159" s="531" t="s">
        <v>1088</v>
      </c>
      <c r="F159" s="531"/>
      <c r="G159" s="531" t="s">
        <v>1088</v>
      </c>
      <c r="H159" s="532">
        <v>169.0</v>
      </c>
      <c r="I159" s="525"/>
    </row>
    <row r="160" ht="12.75" customHeight="1">
      <c r="A160" s="530">
        <v>49.0</v>
      </c>
      <c r="B160" s="449" t="s">
        <v>125</v>
      </c>
      <c r="C160" s="449" t="s">
        <v>341</v>
      </c>
      <c r="D160" s="449" t="s">
        <v>891</v>
      </c>
      <c r="E160" s="531" t="s">
        <v>1089</v>
      </c>
      <c r="F160" s="531" t="s">
        <v>1090</v>
      </c>
      <c r="G160" s="531" t="s">
        <v>1091</v>
      </c>
      <c r="H160" s="532">
        <v>176.0</v>
      </c>
      <c r="I160" s="538" t="s">
        <v>1092</v>
      </c>
    </row>
    <row r="161" ht="12.75" customHeight="1">
      <c r="A161" s="530">
        <v>49.0</v>
      </c>
      <c r="B161" s="449" t="s">
        <v>125</v>
      </c>
      <c r="C161" s="449" t="s">
        <v>42</v>
      </c>
      <c r="D161" s="449" t="s">
        <v>891</v>
      </c>
      <c r="E161" s="531" t="s">
        <v>1094</v>
      </c>
      <c r="F161" s="531"/>
      <c r="G161" s="531" t="s">
        <v>1094</v>
      </c>
      <c r="H161" s="532">
        <v>184.0</v>
      </c>
      <c r="I161" s="538"/>
    </row>
    <row r="162" ht="12.75" customHeight="1">
      <c r="A162" s="530">
        <v>49.0</v>
      </c>
      <c r="B162" s="449" t="s">
        <v>123</v>
      </c>
      <c r="C162" s="449" t="s">
        <v>413</v>
      </c>
      <c r="D162" s="449" t="s">
        <v>891</v>
      </c>
      <c r="E162" s="531" t="s">
        <v>1095</v>
      </c>
      <c r="F162" s="531"/>
      <c r="G162" s="531" t="s">
        <v>1095</v>
      </c>
      <c r="H162" s="532">
        <v>188.0</v>
      </c>
      <c r="I162" s="525"/>
    </row>
    <row r="163" ht="12.75" customHeight="1">
      <c r="A163" s="530">
        <v>49.0</v>
      </c>
      <c r="B163" s="449" t="s">
        <v>125</v>
      </c>
      <c r="C163" s="449" t="s">
        <v>413</v>
      </c>
      <c r="D163" s="449" t="s">
        <v>891</v>
      </c>
      <c r="E163" s="531" t="s">
        <v>1097</v>
      </c>
      <c r="F163" s="531"/>
      <c r="G163" s="531" t="s">
        <v>1097</v>
      </c>
      <c r="H163" s="532">
        <v>197.0</v>
      </c>
      <c r="I163" s="525"/>
    </row>
    <row r="164" ht="12.75" customHeight="1">
      <c r="A164" s="530">
        <v>49.0</v>
      </c>
      <c r="B164" s="449" t="s">
        <v>126</v>
      </c>
      <c r="C164" s="449" t="s">
        <v>413</v>
      </c>
      <c r="D164" s="449" t="s">
        <v>891</v>
      </c>
      <c r="E164" s="531" t="s">
        <v>1098</v>
      </c>
      <c r="F164" s="531" t="s">
        <v>1099</v>
      </c>
      <c r="G164" s="531" t="s">
        <v>1100</v>
      </c>
      <c r="H164" s="532">
        <v>205.0</v>
      </c>
      <c r="I164" s="538" t="s">
        <v>1101</v>
      </c>
    </row>
    <row r="165" ht="12.75" customHeight="1">
      <c r="A165" s="530">
        <v>49.0</v>
      </c>
      <c r="B165" s="449" t="s">
        <v>126</v>
      </c>
      <c r="C165" s="449" t="s">
        <v>433</v>
      </c>
      <c r="D165" s="449" t="s">
        <v>891</v>
      </c>
      <c r="E165" s="531" t="s">
        <v>1102</v>
      </c>
      <c r="F165" s="531"/>
      <c r="G165" s="531" t="s">
        <v>1102</v>
      </c>
      <c r="H165" s="532">
        <v>214.0</v>
      </c>
      <c r="I165" s="525"/>
    </row>
    <row r="166" ht="12.75" customHeight="1">
      <c r="A166" s="530">
        <v>49.0</v>
      </c>
      <c r="B166" s="449" t="s">
        <v>127</v>
      </c>
      <c r="C166" s="449" t="s">
        <v>433</v>
      </c>
      <c r="D166" s="449" t="s">
        <v>891</v>
      </c>
      <c r="E166" s="531" t="s">
        <v>1103</v>
      </c>
      <c r="F166" s="531"/>
      <c r="G166" s="531" t="s">
        <v>1103</v>
      </c>
      <c r="H166" s="532">
        <v>222.0</v>
      </c>
      <c r="I166" s="538"/>
    </row>
    <row r="167" ht="12.75" customHeight="1">
      <c r="A167" s="530">
        <v>49.0</v>
      </c>
      <c r="B167" s="449" t="s">
        <v>124</v>
      </c>
      <c r="C167" s="449" t="s">
        <v>434</v>
      </c>
      <c r="D167" s="449" t="s">
        <v>891</v>
      </c>
      <c r="E167" s="531" t="s">
        <v>1104</v>
      </c>
      <c r="F167" s="531"/>
      <c r="G167" s="531" t="s">
        <v>1104</v>
      </c>
      <c r="H167" s="532">
        <v>229.0</v>
      </c>
      <c r="I167" s="525"/>
    </row>
    <row r="168" ht="12.75" customHeight="1">
      <c r="A168" s="530">
        <v>49.0</v>
      </c>
      <c r="B168" s="449" t="s">
        <v>124</v>
      </c>
      <c r="C168" s="449" t="s">
        <v>206</v>
      </c>
      <c r="D168" s="449" t="s">
        <v>891</v>
      </c>
      <c r="E168" s="531" t="s">
        <v>1105</v>
      </c>
      <c r="F168" s="531" t="s">
        <v>1106</v>
      </c>
      <c r="G168" s="531" t="s">
        <v>1107</v>
      </c>
      <c r="H168" s="532">
        <v>232.0</v>
      </c>
      <c r="I168" s="538" t="s">
        <v>1108</v>
      </c>
    </row>
    <row r="169" ht="12.75" customHeight="1">
      <c r="A169" s="530">
        <v>49.0</v>
      </c>
      <c r="B169" s="449" t="s">
        <v>124</v>
      </c>
      <c r="C169" s="449" t="s">
        <v>438</v>
      </c>
      <c r="D169" s="449" t="s">
        <v>1109</v>
      </c>
      <c r="E169" s="531" t="s">
        <v>1110</v>
      </c>
      <c r="F169" s="531" t="s">
        <v>1110</v>
      </c>
      <c r="G169" s="531"/>
      <c r="H169" s="532">
        <v>232.0</v>
      </c>
      <c r="I169" s="525"/>
    </row>
    <row r="170" ht="12.75" customHeight="1">
      <c r="A170" s="530">
        <v>49.0</v>
      </c>
      <c r="B170" s="449" t="s">
        <v>124</v>
      </c>
      <c r="C170" s="449" t="s">
        <v>63</v>
      </c>
      <c r="D170" s="449" t="s">
        <v>1109</v>
      </c>
      <c r="E170" s="531" t="s">
        <v>1112</v>
      </c>
      <c r="F170" s="531" t="s">
        <v>1112</v>
      </c>
      <c r="G170" s="531"/>
      <c r="H170" s="532">
        <v>232.0</v>
      </c>
      <c r="I170" s="525"/>
    </row>
    <row r="171" ht="12.75" customHeight="1">
      <c r="A171" s="530">
        <v>49.0</v>
      </c>
      <c r="B171" s="449" t="s">
        <v>123</v>
      </c>
      <c r="C171" s="449" t="s">
        <v>51</v>
      </c>
      <c r="D171" s="449" t="s">
        <v>1109</v>
      </c>
      <c r="E171" s="531" t="s">
        <v>1113</v>
      </c>
      <c r="F171" s="531" t="s">
        <v>1113</v>
      </c>
      <c r="G171" s="531"/>
      <c r="H171" s="532">
        <v>232.0</v>
      </c>
      <c r="I171" s="525"/>
    </row>
    <row r="172" ht="12.75" customHeight="1">
      <c r="A172" s="530">
        <v>49.0</v>
      </c>
      <c r="B172" s="449" t="s">
        <v>123</v>
      </c>
      <c r="C172" s="449" t="s">
        <v>15</v>
      </c>
      <c r="D172" s="449" t="s">
        <v>1109</v>
      </c>
      <c r="E172" s="531" t="s">
        <v>1114</v>
      </c>
      <c r="F172" s="531" t="s">
        <v>1114</v>
      </c>
      <c r="G172" s="531"/>
      <c r="H172" s="532">
        <v>232.0</v>
      </c>
      <c r="I172" s="525"/>
    </row>
    <row r="173" ht="12.75" customHeight="1">
      <c r="A173" s="530">
        <v>49.0</v>
      </c>
      <c r="B173" s="449" t="s">
        <v>125</v>
      </c>
      <c r="C173" s="449" t="s">
        <v>15</v>
      </c>
      <c r="D173" s="449" t="s">
        <v>1109</v>
      </c>
      <c r="E173" s="531" t="s">
        <v>1115</v>
      </c>
      <c r="F173" s="531" t="s">
        <v>1116</v>
      </c>
      <c r="G173" s="531" t="s">
        <v>1117</v>
      </c>
      <c r="H173" s="532">
        <v>234.0</v>
      </c>
      <c r="I173" s="525"/>
    </row>
    <row r="174" ht="12.75" customHeight="1">
      <c r="A174" s="530">
        <v>49.0</v>
      </c>
      <c r="B174" s="449" t="s">
        <v>123</v>
      </c>
      <c r="C174" s="449" t="s">
        <v>16</v>
      </c>
      <c r="D174" s="449" t="s">
        <v>1109</v>
      </c>
      <c r="E174" s="531" t="s">
        <v>1118</v>
      </c>
      <c r="F174" s="531" t="s">
        <v>1119</v>
      </c>
      <c r="G174" s="531" t="s">
        <v>995</v>
      </c>
      <c r="H174" s="532">
        <v>237.0</v>
      </c>
      <c r="I174" s="525"/>
    </row>
    <row r="175" ht="12.75" customHeight="1">
      <c r="A175" s="530">
        <v>49.0</v>
      </c>
      <c r="B175" s="449" t="s">
        <v>125</v>
      </c>
      <c r="C175" s="449" t="s">
        <v>16</v>
      </c>
      <c r="D175" s="449" t="s">
        <v>1109</v>
      </c>
      <c r="E175" s="531" t="s">
        <v>1120</v>
      </c>
      <c r="F175" s="531" t="s">
        <v>1121</v>
      </c>
      <c r="G175" s="531" t="s">
        <v>985</v>
      </c>
      <c r="H175" s="532">
        <v>238.0</v>
      </c>
      <c r="I175" s="525"/>
    </row>
    <row r="176" ht="12.75" customHeight="1">
      <c r="A176" s="530"/>
      <c r="B176" s="449"/>
      <c r="C176" s="449"/>
      <c r="D176" s="449"/>
      <c r="E176" s="531"/>
      <c r="F176" s="531"/>
      <c r="G176" s="531"/>
      <c r="H176" s="532"/>
      <c r="I176" s="525"/>
    </row>
    <row r="177" ht="12.75" customHeight="1">
      <c r="A177" s="530"/>
      <c r="B177" s="449"/>
      <c r="C177" s="449"/>
      <c r="D177" s="449"/>
      <c r="E177" s="531"/>
      <c r="F177" s="531"/>
      <c r="G177" s="531"/>
      <c r="H177" s="532"/>
      <c r="I177" s="525"/>
    </row>
    <row r="178" ht="12.75" customHeight="1">
      <c r="A178" s="530"/>
      <c r="B178" s="449"/>
      <c r="C178" s="449"/>
      <c r="D178" s="449"/>
      <c r="E178" s="531"/>
      <c r="F178" s="531"/>
      <c r="G178" s="531"/>
      <c r="H178" s="532"/>
      <c r="I178" s="525"/>
    </row>
    <row r="179" ht="12.75" customHeight="1">
      <c r="A179" s="530"/>
      <c r="B179" s="449"/>
      <c r="C179" s="449"/>
      <c r="D179" s="449"/>
      <c r="E179" s="531"/>
      <c r="F179" s="531"/>
      <c r="G179" s="531"/>
      <c r="H179" s="532"/>
      <c r="I179" s="525"/>
    </row>
    <row r="180" ht="12.75" customHeight="1">
      <c r="A180" s="530"/>
      <c r="B180" s="449"/>
      <c r="C180" s="449"/>
      <c r="D180" s="449"/>
      <c r="E180" s="531"/>
      <c r="F180" s="531"/>
      <c r="G180" s="531"/>
      <c r="H180" s="532"/>
      <c r="I180" s="525"/>
    </row>
    <row r="181" ht="12.75" customHeight="1">
      <c r="A181" s="485"/>
      <c r="B181" s="485"/>
      <c r="C181" s="485"/>
      <c r="D181" s="485"/>
      <c r="E181" s="531"/>
      <c r="F181" s="531"/>
      <c r="G181" s="531"/>
      <c r="H181" s="532"/>
      <c r="I181" s="525"/>
    </row>
    <row r="182" ht="12.75" customHeight="1">
      <c r="A182" s="485"/>
      <c r="B182" s="485"/>
      <c r="C182" s="485"/>
      <c r="D182" s="485"/>
      <c r="E182" s="531"/>
      <c r="F182" s="531"/>
      <c r="G182" s="531"/>
      <c r="H182" s="532"/>
      <c r="I182" s="525"/>
    </row>
    <row r="183" ht="12.75" customHeight="1">
      <c r="A183" s="485"/>
      <c r="B183" s="485"/>
      <c r="C183" s="485"/>
      <c r="D183" s="485"/>
      <c r="E183" s="531"/>
      <c r="F183" s="531"/>
      <c r="G183" s="531"/>
      <c r="H183" s="532"/>
      <c r="I183" s="525"/>
    </row>
    <row r="184" ht="12.75" customHeight="1">
      <c r="A184" s="485"/>
      <c r="B184" s="485"/>
      <c r="C184" s="485"/>
      <c r="D184" s="485"/>
      <c r="E184" s="531"/>
      <c r="F184" s="531"/>
      <c r="G184" s="531"/>
      <c r="H184" s="532"/>
      <c r="I184" s="525"/>
    </row>
    <row r="185" ht="12.75" customHeight="1">
      <c r="A185" s="485"/>
      <c r="B185" s="485"/>
      <c r="C185" s="485"/>
      <c r="D185" s="485"/>
      <c r="E185" s="531"/>
      <c r="F185" s="531"/>
      <c r="G185" s="531"/>
      <c r="H185" s="532"/>
      <c r="I185" s="525"/>
    </row>
    <row r="186" ht="12.75" customHeight="1">
      <c r="A186" s="485"/>
      <c r="B186" s="485"/>
      <c r="C186" s="485"/>
      <c r="D186" s="485"/>
      <c r="E186" s="531"/>
      <c r="F186" s="531"/>
      <c r="G186" s="531"/>
      <c r="H186" s="532"/>
      <c r="I186" s="525"/>
    </row>
    <row r="187" ht="12.75" customHeight="1">
      <c r="A187" s="485"/>
      <c r="B187" s="485"/>
      <c r="C187" s="485"/>
      <c r="D187" s="485"/>
      <c r="E187" s="531"/>
      <c r="F187" s="531"/>
      <c r="G187" s="531"/>
      <c r="H187" s="532"/>
      <c r="I187" s="525"/>
    </row>
    <row r="188" ht="12.75" customHeight="1">
      <c r="A188" s="485"/>
      <c r="B188" s="485"/>
      <c r="C188" s="485"/>
      <c r="D188" s="485"/>
      <c r="E188" s="531"/>
      <c r="F188" s="531"/>
      <c r="G188" s="531"/>
      <c r="H188" s="532"/>
      <c r="I188" s="525"/>
    </row>
    <row r="189" ht="12.75" customHeight="1">
      <c r="A189" s="485"/>
      <c r="B189" s="485"/>
      <c r="C189" s="485"/>
      <c r="D189" s="485"/>
      <c r="E189" s="531"/>
      <c r="F189" s="531"/>
      <c r="G189" s="531"/>
      <c r="H189" s="532"/>
      <c r="I189" s="525"/>
    </row>
    <row r="190" ht="12.75" customHeight="1">
      <c r="A190" s="485"/>
      <c r="B190" s="485"/>
      <c r="C190" s="485"/>
      <c r="D190" s="485"/>
      <c r="E190" s="531"/>
      <c r="F190" s="531"/>
      <c r="G190" s="531"/>
      <c r="H190" s="532"/>
      <c r="I190" s="525"/>
    </row>
    <row r="191" ht="12.75" customHeight="1">
      <c r="I191" s="525"/>
    </row>
    <row r="192">
      <c r="I192" s="525"/>
    </row>
    <row r="193">
      <c r="I193" s="525"/>
    </row>
    <row r="194">
      <c r="I194" s="525"/>
    </row>
    <row r="195">
      <c r="I195" s="525"/>
    </row>
    <row r="196">
      <c r="I196" s="525"/>
    </row>
    <row r="197">
      <c r="I197" s="525"/>
    </row>
    <row r="198">
      <c r="I198" s="525"/>
    </row>
    <row r="199">
      <c r="I199" s="525"/>
    </row>
    <row r="200">
      <c r="I200" s="525"/>
    </row>
    <row r="201">
      <c r="I201" s="525"/>
    </row>
    <row r="202">
      <c r="I202" s="525"/>
    </row>
    <row r="203">
      <c r="I203" s="525"/>
    </row>
    <row r="204">
      <c r="I204" s="525"/>
    </row>
    <row r="205">
      <c r="I205" s="525"/>
    </row>
    <row r="206">
      <c r="I206" s="525"/>
    </row>
    <row r="207">
      <c r="I207" s="525"/>
    </row>
    <row r="208">
      <c r="I208" s="525"/>
    </row>
    <row r="209">
      <c r="I209" s="525"/>
    </row>
    <row r="210">
      <c r="I210" s="525"/>
    </row>
    <row r="211">
      <c r="I211" s="525"/>
    </row>
    <row r="212">
      <c r="I212" s="525"/>
    </row>
    <row r="213">
      <c r="I213" s="525"/>
    </row>
    <row r="214">
      <c r="I214" s="525"/>
    </row>
    <row r="215">
      <c r="I215" s="525"/>
    </row>
    <row r="216">
      <c r="I216" s="525"/>
    </row>
    <row r="217">
      <c r="I217" s="525"/>
    </row>
    <row r="218">
      <c r="I218" s="525"/>
    </row>
    <row r="219">
      <c r="I219" s="525"/>
    </row>
    <row r="220">
      <c r="I220" s="525"/>
    </row>
    <row r="221">
      <c r="I221" s="525"/>
    </row>
    <row r="222">
      <c r="I222" s="525"/>
    </row>
    <row r="223">
      <c r="I223" s="525"/>
    </row>
    <row r="224">
      <c r="I224" s="525"/>
    </row>
    <row r="225">
      <c r="I225" s="525"/>
    </row>
    <row r="226">
      <c r="I226" s="525"/>
    </row>
    <row r="227">
      <c r="I227" s="525"/>
    </row>
    <row r="228">
      <c r="I228" s="525"/>
    </row>
    <row r="229">
      <c r="I229" s="525"/>
    </row>
    <row r="230">
      <c r="I230" s="525"/>
    </row>
    <row r="231">
      <c r="I231" s="525"/>
    </row>
    <row r="232">
      <c r="I232" s="525"/>
    </row>
    <row r="233">
      <c r="I233" s="525"/>
    </row>
    <row r="234">
      <c r="I234" s="525"/>
    </row>
    <row r="235">
      <c r="I235" s="525"/>
    </row>
    <row r="236">
      <c r="I236" s="525"/>
    </row>
    <row r="237" ht="12.75" customHeight="1">
      <c r="I237" s="525"/>
    </row>
    <row r="238" ht="12.75" customHeight="1">
      <c r="I238" s="525"/>
    </row>
    <row r="239" ht="12.75" customHeight="1">
      <c r="I239" s="525"/>
    </row>
    <row r="240" ht="12.75" customHeight="1">
      <c r="I240" s="525"/>
    </row>
    <row r="241" ht="12.75" customHeight="1">
      <c r="I241" s="525"/>
    </row>
    <row r="242" ht="12.75" customHeight="1">
      <c r="I242" s="525"/>
    </row>
    <row r="243" ht="12.75" customHeight="1">
      <c r="I243" s="525"/>
    </row>
    <row r="244" ht="12.75" customHeight="1">
      <c r="I244" s="525"/>
    </row>
    <row r="245" ht="12.75" customHeight="1">
      <c r="I245" s="525"/>
    </row>
    <row r="246" ht="12.75" customHeight="1">
      <c r="I246" s="525"/>
    </row>
    <row r="247" ht="12.75" customHeight="1">
      <c r="I247" s="525"/>
    </row>
    <row r="248" ht="12.75" customHeight="1">
      <c r="I248" s="525"/>
    </row>
    <row r="249" ht="12.75" customHeight="1">
      <c r="I249" s="525"/>
    </row>
    <row r="250" ht="12.75" customHeight="1">
      <c r="I250" s="525"/>
    </row>
    <row r="251" ht="12.75" customHeight="1">
      <c r="I251" s="525"/>
    </row>
    <row r="252" ht="12.75" customHeight="1">
      <c r="I252" s="525"/>
    </row>
    <row r="253" ht="12.75" customHeight="1">
      <c r="I253" s="525"/>
    </row>
    <row r="254" ht="12.75" customHeight="1">
      <c r="I254" s="525"/>
    </row>
    <row r="255" ht="12.75" customHeight="1">
      <c r="I255" s="525"/>
    </row>
    <row r="256" ht="12.75" customHeight="1">
      <c r="I256" s="525"/>
    </row>
    <row r="257" ht="12.75" customHeight="1">
      <c r="I257" s="525"/>
    </row>
    <row r="258" ht="12.75" customHeight="1">
      <c r="I258" s="525"/>
    </row>
    <row r="259" ht="12.75" customHeight="1">
      <c r="I259" s="525"/>
    </row>
    <row r="260" ht="12.75" customHeight="1">
      <c r="I260" s="525"/>
    </row>
    <row r="261" ht="12.75" customHeight="1">
      <c r="I261" s="525"/>
    </row>
    <row r="262" ht="12.75" customHeight="1">
      <c r="I262" s="525"/>
    </row>
    <row r="263" ht="12.75" customHeight="1">
      <c r="I263" s="525"/>
    </row>
    <row r="264" ht="12.75" customHeight="1">
      <c r="I264" s="525"/>
    </row>
    <row r="265" ht="12.75" customHeight="1">
      <c r="I265" s="525"/>
    </row>
    <row r="266" ht="12.75" customHeight="1">
      <c r="I266" s="525"/>
    </row>
    <row r="267" ht="12.75" customHeight="1">
      <c r="I267" s="525"/>
    </row>
    <row r="268" ht="12.75" customHeight="1">
      <c r="I268" s="525"/>
    </row>
    <row r="269" ht="12.75" customHeight="1">
      <c r="I269" s="525"/>
    </row>
    <row r="270" ht="12.75" customHeight="1">
      <c r="I270" s="525"/>
    </row>
    <row r="271" ht="12.75" customHeight="1">
      <c r="I271" s="525"/>
    </row>
    <row r="272" ht="12.75" customHeight="1">
      <c r="I272" s="525"/>
    </row>
    <row r="273" ht="12.75" customHeight="1">
      <c r="I273" s="525"/>
    </row>
    <row r="274" ht="12.75" customHeight="1">
      <c r="I274" s="525"/>
    </row>
    <row r="275" ht="12.75" customHeight="1">
      <c r="I275" s="525"/>
    </row>
    <row r="276" ht="12.75" customHeight="1">
      <c r="I276" s="525"/>
    </row>
    <row r="277" ht="12.75" customHeight="1">
      <c r="I277" s="525"/>
    </row>
    <row r="278" ht="12.75" customHeight="1">
      <c r="I278" s="525"/>
    </row>
    <row r="279" ht="12.75" customHeight="1">
      <c r="I279" s="525"/>
    </row>
    <row r="280" ht="12.75" customHeight="1">
      <c r="I280" s="525"/>
    </row>
    <row r="281" ht="12.75" customHeight="1">
      <c r="I281" s="525"/>
    </row>
    <row r="282" ht="12.75" customHeight="1">
      <c r="I282" s="525"/>
    </row>
    <row r="283" ht="12.75" customHeight="1">
      <c r="I283" s="525"/>
    </row>
    <row r="284" ht="12.75" customHeight="1">
      <c r="I284" s="525"/>
    </row>
    <row r="285" ht="12.75" customHeight="1">
      <c r="I285" s="525"/>
    </row>
    <row r="286" ht="12.75" customHeight="1">
      <c r="I286" s="525"/>
    </row>
    <row r="287" ht="12.75" customHeight="1">
      <c r="I287" s="525"/>
    </row>
    <row r="288" ht="12.75" customHeight="1">
      <c r="I288" s="525"/>
    </row>
    <row r="289" ht="12.75" customHeight="1">
      <c r="I289" s="525"/>
    </row>
    <row r="290" ht="12.75" customHeight="1">
      <c r="I290" s="525"/>
    </row>
    <row r="291" ht="12.75" customHeight="1">
      <c r="I291" s="525"/>
    </row>
    <row r="292" ht="12.75" customHeight="1">
      <c r="I292" s="525"/>
    </row>
    <row r="293" ht="12.75" customHeight="1">
      <c r="I293" s="525"/>
    </row>
    <row r="294" ht="12.75" customHeight="1">
      <c r="I294" s="525"/>
    </row>
    <row r="295" ht="12.75" customHeight="1">
      <c r="I295" s="525"/>
    </row>
    <row r="296" ht="12.75" customHeight="1">
      <c r="I296" s="525"/>
    </row>
    <row r="297" ht="12.75" customHeight="1">
      <c r="I297" s="525"/>
    </row>
    <row r="298" ht="12.75" customHeight="1">
      <c r="I298" s="525"/>
    </row>
    <row r="299" ht="12.75" customHeight="1">
      <c r="I299" s="525"/>
    </row>
    <row r="300" ht="12.75" customHeight="1">
      <c r="I300" s="525"/>
    </row>
    <row r="301" ht="12.75" customHeight="1">
      <c r="I301" s="525"/>
    </row>
    <row r="302" ht="12.75" customHeight="1">
      <c r="I302" s="525"/>
    </row>
    <row r="303" ht="12.75" customHeight="1">
      <c r="I303" s="525"/>
    </row>
    <row r="304" ht="12.75" customHeight="1">
      <c r="I304" s="525"/>
    </row>
    <row r="305" ht="12.75" customHeight="1">
      <c r="I305" s="525"/>
    </row>
    <row r="306" ht="12.75" customHeight="1">
      <c r="I306" s="525"/>
    </row>
    <row r="307" ht="12.75" customHeight="1">
      <c r="I307" s="525"/>
    </row>
    <row r="308" ht="12.75" customHeight="1">
      <c r="I308" s="525"/>
    </row>
    <row r="309" ht="12.75" customHeight="1">
      <c r="I309" s="525"/>
    </row>
    <row r="310" ht="12.75" customHeight="1">
      <c r="I310" s="525"/>
    </row>
    <row r="311" ht="12.75" customHeight="1">
      <c r="I311" s="525"/>
    </row>
    <row r="312" ht="12.75" customHeight="1">
      <c r="I312" s="525"/>
    </row>
    <row r="313" ht="12.75" customHeight="1">
      <c r="I313" s="525"/>
    </row>
    <row r="314" ht="12.75" customHeight="1">
      <c r="I314" s="525"/>
    </row>
    <row r="315" ht="12.75" customHeight="1">
      <c r="I315" s="525"/>
    </row>
    <row r="316" ht="12.75" customHeight="1">
      <c r="I316" s="525"/>
    </row>
    <row r="317" ht="12.75" customHeight="1">
      <c r="I317" s="525"/>
    </row>
    <row r="318" ht="12.75" customHeight="1">
      <c r="I318" s="525"/>
    </row>
    <row r="319" ht="12.75" customHeight="1">
      <c r="I319" s="525"/>
    </row>
    <row r="320" ht="12.75" customHeight="1">
      <c r="I320" s="525"/>
    </row>
    <row r="321" ht="12.75" customHeight="1">
      <c r="I321" s="525"/>
    </row>
    <row r="322" ht="12.75" customHeight="1">
      <c r="I322" s="525"/>
    </row>
    <row r="323" ht="12.75" customHeight="1">
      <c r="I323" s="525"/>
    </row>
    <row r="324" ht="12.75" customHeight="1">
      <c r="I324" s="525"/>
    </row>
    <row r="325" ht="12.75" customHeight="1">
      <c r="I325" s="525"/>
    </row>
    <row r="326" ht="12.75" customHeight="1">
      <c r="I326" s="525"/>
    </row>
    <row r="327" ht="12.75" customHeight="1">
      <c r="I327" s="525"/>
    </row>
    <row r="328" ht="12.75" customHeight="1">
      <c r="I328" s="525"/>
    </row>
    <row r="329" ht="12.75" customHeight="1">
      <c r="I329" s="525"/>
    </row>
    <row r="330" ht="12.75" customHeight="1">
      <c r="I330" s="525"/>
    </row>
    <row r="331" ht="12.75" customHeight="1">
      <c r="I331" s="525"/>
    </row>
    <row r="332" ht="12.75" customHeight="1">
      <c r="I332" s="525"/>
    </row>
    <row r="333" ht="12.75" customHeight="1">
      <c r="I333" s="525"/>
    </row>
    <row r="334" ht="12.75" customHeight="1">
      <c r="I334" s="525"/>
    </row>
    <row r="335" ht="12.75" customHeight="1">
      <c r="I335" s="525"/>
    </row>
    <row r="336" ht="12.75" customHeight="1">
      <c r="I336" s="525"/>
    </row>
    <row r="337" ht="12.75" customHeight="1">
      <c r="I337" s="525"/>
    </row>
    <row r="338" ht="12.75" customHeight="1">
      <c r="I338" s="525"/>
    </row>
    <row r="339" ht="12.75" customHeight="1">
      <c r="I339" s="525"/>
    </row>
    <row r="340" ht="12.75" customHeight="1">
      <c r="I340" s="525"/>
    </row>
    <row r="341" ht="12.75" customHeight="1">
      <c r="I341" s="525"/>
    </row>
    <row r="342" ht="12.75" customHeight="1">
      <c r="I342" s="525"/>
    </row>
    <row r="343" ht="12.75" customHeight="1">
      <c r="I343" s="525"/>
    </row>
    <row r="344" ht="12.75" customHeight="1">
      <c r="I344" s="525"/>
    </row>
    <row r="345" ht="12.75" customHeight="1">
      <c r="I345" s="525"/>
    </row>
    <row r="346" ht="12.75" customHeight="1">
      <c r="I346" s="525"/>
    </row>
    <row r="347" ht="12.75" customHeight="1">
      <c r="I347" s="525"/>
    </row>
    <row r="348" ht="12.75" customHeight="1">
      <c r="I348" s="525"/>
    </row>
    <row r="349" ht="12.75" customHeight="1">
      <c r="I349" s="525"/>
    </row>
    <row r="350" ht="12.75" customHeight="1">
      <c r="I350" s="525"/>
    </row>
    <row r="351" ht="12.75" customHeight="1">
      <c r="I351" s="525"/>
    </row>
    <row r="352" ht="12.75" customHeight="1">
      <c r="I352" s="525"/>
    </row>
    <row r="353" ht="12.75" customHeight="1">
      <c r="I353" s="525"/>
    </row>
    <row r="354" ht="12.75" customHeight="1">
      <c r="I354" s="525"/>
    </row>
    <row r="355" ht="12.75" customHeight="1">
      <c r="I355" s="525"/>
    </row>
    <row r="356" ht="12.75" customHeight="1">
      <c r="I356" s="525"/>
    </row>
    <row r="357" ht="12.75" customHeight="1">
      <c r="I357" s="525"/>
    </row>
    <row r="358" ht="12.75" customHeight="1">
      <c r="I358" s="525"/>
    </row>
    <row r="359" ht="12.75" customHeight="1">
      <c r="I359" s="525"/>
    </row>
    <row r="360" ht="12.75" customHeight="1">
      <c r="I360" s="525"/>
    </row>
    <row r="361" ht="12.75" customHeight="1">
      <c r="I361" s="525"/>
    </row>
    <row r="362" ht="12.75" customHeight="1">
      <c r="I362" s="525"/>
    </row>
    <row r="363" ht="12.75" customHeight="1">
      <c r="I363" s="525"/>
    </row>
    <row r="364" ht="12.75" customHeight="1">
      <c r="I364" s="525"/>
    </row>
    <row r="365" ht="12.75" customHeight="1">
      <c r="I365" s="525"/>
    </row>
    <row r="366" ht="12.75" customHeight="1">
      <c r="I366" s="525"/>
    </row>
    <row r="367" ht="12.75" customHeight="1">
      <c r="I367" s="525"/>
    </row>
    <row r="368" ht="12.75" customHeight="1">
      <c r="I368" s="525"/>
    </row>
    <row r="369" ht="12.75" customHeight="1">
      <c r="I369" s="525"/>
    </row>
    <row r="370" ht="12.75" customHeight="1">
      <c r="I370" s="525"/>
    </row>
    <row r="371" ht="12.75" customHeight="1">
      <c r="I371" s="525"/>
    </row>
    <row r="372" ht="12.75" customHeight="1">
      <c r="I372" s="525"/>
    </row>
    <row r="373" ht="12.75" customHeight="1">
      <c r="I373" s="525"/>
    </row>
    <row r="374" ht="12.75" customHeight="1">
      <c r="I374" s="525"/>
    </row>
    <row r="375" ht="12.75" customHeight="1">
      <c r="I375" s="525"/>
    </row>
    <row r="376" ht="12.75" customHeight="1">
      <c r="I376" s="525"/>
    </row>
    <row r="377" ht="12.75" customHeight="1">
      <c r="I377" s="525"/>
    </row>
    <row r="378" ht="12.75" customHeight="1">
      <c r="I378" s="525"/>
    </row>
    <row r="379" ht="12.75" customHeight="1">
      <c r="I379" s="525"/>
    </row>
    <row r="380" ht="12.75" customHeight="1">
      <c r="I380" s="525"/>
    </row>
    <row r="381" ht="12.75" customHeight="1">
      <c r="I381" s="525"/>
    </row>
    <row r="382" ht="12.75" customHeight="1">
      <c r="I382" s="525"/>
    </row>
    <row r="383" ht="12.75" customHeight="1">
      <c r="I383" s="525"/>
    </row>
    <row r="384" ht="12.75" customHeight="1">
      <c r="I384" s="525"/>
    </row>
    <row r="385" ht="12.75" customHeight="1">
      <c r="I385" s="525"/>
    </row>
    <row r="386" ht="12.75" customHeight="1">
      <c r="I386" s="525"/>
    </row>
    <row r="387" ht="12.75" customHeight="1">
      <c r="I387" s="525"/>
    </row>
    <row r="388" ht="12.75" customHeight="1">
      <c r="I388" s="525"/>
    </row>
    <row r="389" ht="12.75" customHeight="1">
      <c r="I389" s="525"/>
    </row>
    <row r="390" ht="12.75" customHeight="1">
      <c r="I390" s="525"/>
    </row>
    <row r="391" ht="12.75" customHeight="1">
      <c r="I391" s="525"/>
    </row>
    <row r="392" ht="12.75" customHeight="1">
      <c r="I392" s="525"/>
    </row>
    <row r="393" ht="12.75" customHeight="1">
      <c r="I393" s="525"/>
    </row>
    <row r="394" ht="12.75" customHeight="1">
      <c r="I394" s="525"/>
    </row>
    <row r="395" ht="12.75" customHeight="1">
      <c r="I395" s="525"/>
    </row>
    <row r="396" ht="12.75" customHeight="1">
      <c r="I396" s="525"/>
    </row>
    <row r="397" ht="12.75" customHeight="1">
      <c r="I397" s="525"/>
    </row>
    <row r="398" ht="12.75" customHeight="1">
      <c r="I398" s="525"/>
    </row>
    <row r="399" ht="12.75" customHeight="1">
      <c r="I399" s="525"/>
    </row>
    <row r="400" ht="12.75" customHeight="1">
      <c r="I400" s="525"/>
    </row>
    <row r="401" ht="12.75" customHeight="1">
      <c r="I401" s="525"/>
    </row>
    <row r="402" ht="12.75" customHeight="1">
      <c r="I402" s="525"/>
    </row>
    <row r="403" ht="12.75" customHeight="1">
      <c r="I403" s="525"/>
    </row>
    <row r="404" ht="12.75" customHeight="1">
      <c r="I404" s="525"/>
    </row>
    <row r="405" ht="12.75" customHeight="1">
      <c r="I405" s="525"/>
    </row>
    <row r="406" ht="12.75" customHeight="1">
      <c r="I406" s="525"/>
    </row>
    <row r="407" ht="12.75" customHeight="1">
      <c r="I407" s="525"/>
    </row>
    <row r="408" ht="12.75" customHeight="1">
      <c r="I408" s="525"/>
    </row>
    <row r="409" ht="12.75" customHeight="1">
      <c r="I409" s="525"/>
    </row>
    <row r="410" ht="12.75" customHeight="1">
      <c r="I410" s="525"/>
    </row>
    <row r="411" ht="12.75" customHeight="1">
      <c r="I411" s="525"/>
    </row>
    <row r="412" ht="12.75" customHeight="1">
      <c r="I412" s="525"/>
    </row>
    <row r="413" ht="12.75" customHeight="1">
      <c r="I413" s="525"/>
    </row>
    <row r="414" ht="12.75" customHeight="1">
      <c r="I414" s="525"/>
    </row>
    <row r="415" ht="12.75" customHeight="1">
      <c r="I415" s="525"/>
    </row>
    <row r="416" ht="12.75" customHeight="1">
      <c r="I416" s="525"/>
    </row>
    <row r="417" ht="12.75" customHeight="1">
      <c r="I417" s="525"/>
    </row>
    <row r="418" ht="12.75" customHeight="1">
      <c r="I418" s="525"/>
    </row>
    <row r="419" ht="12.75" customHeight="1">
      <c r="I419" s="525"/>
    </row>
    <row r="420" ht="12.75" customHeight="1">
      <c r="I420" s="525"/>
    </row>
    <row r="421" ht="12.75" customHeight="1">
      <c r="I421" s="525"/>
    </row>
    <row r="422" ht="12.75" customHeight="1">
      <c r="I422" s="525"/>
    </row>
    <row r="423" ht="12.75" customHeight="1">
      <c r="I423" s="525"/>
    </row>
    <row r="424" ht="12.75" customHeight="1">
      <c r="I424" s="525"/>
    </row>
    <row r="425" ht="12.75" customHeight="1">
      <c r="I425" s="525"/>
    </row>
    <row r="426" ht="12.75" customHeight="1">
      <c r="I426" s="525"/>
    </row>
    <row r="427" ht="12.75" customHeight="1">
      <c r="I427" s="525"/>
    </row>
    <row r="428" ht="12.75" customHeight="1">
      <c r="I428" s="525"/>
    </row>
    <row r="429" ht="12.75" customHeight="1">
      <c r="I429" s="525"/>
    </row>
    <row r="430" ht="12.75" customHeight="1">
      <c r="I430" s="525"/>
    </row>
    <row r="431" ht="12.75" customHeight="1">
      <c r="I431" s="525"/>
    </row>
    <row r="432" ht="12.75" customHeight="1">
      <c r="I432" s="525"/>
    </row>
    <row r="433" ht="12.75" customHeight="1">
      <c r="I433" s="525"/>
    </row>
    <row r="434" ht="12.75" customHeight="1">
      <c r="I434" s="525"/>
    </row>
    <row r="435" ht="12.75" customHeight="1">
      <c r="I435" s="525"/>
    </row>
    <row r="436" ht="12.75" customHeight="1">
      <c r="I436" s="525"/>
    </row>
    <row r="437" ht="12.75" customHeight="1">
      <c r="I437" s="525"/>
    </row>
    <row r="438" ht="12.75" customHeight="1">
      <c r="I438" s="525"/>
    </row>
    <row r="439" ht="12.75" customHeight="1">
      <c r="I439" s="525"/>
    </row>
    <row r="440" ht="12.75" customHeight="1">
      <c r="I440" s="525"/>
    </row>
    <row r="441" ht="12.75" customHeight="1">
      <c r="I441" s="525"/>
    </row>
    <row r="442" ht="12.75" customHeight="1">
      <c r="I442" s="525"/>
    </row>
    <row r="443" ht="12.75" customHeight="1">
      <c r="I443" s="525"/>
    </row>
    <row r="444" ht="12.75" customHeight="1">
      <c r="I444" s="525"/>
    </row>
    <row r="445" ht="12.75" customHeight="1">
      <c r="I445" s="525"/>
    </row>
    <row r="446" ht="12.75" customHeight="1">
      <c r="I446" s="525"/>
    </row>
    <row r="447" ht="12.75" customHeight="1">
      <c r="I447" s="525"/>
    </row>
    <row r="448" ht="12.75" customHeight="1">
      <c r="I448" s="525"/>
    </row>
    <row r="449" ht="12.75" customHeight="1">
      <c r="I449" s="525"/>
    </row>
    <row r="450" ht="12.75" customHeight="1">
      <c r="I450" s="525"/>
    </row>
    <row r="451" ht="12.75" customHeight="1">
      <c r="I451" s="525"/>
    </row>
    <row r="452" ht="12.75" customHeight="1">
      <c r="I452" s="525"/>
    </row>
    <row r="453" ht="12.75" customHeight="1">
      <c r="I453" s="525"/>
    </row>
    <row r="454" ht="12.75" customHeight="1">
      <c r="I454" s="525"/>
    </row>
    <row r="455" ht="12.75" customHeight="1">
      <c r="I455" s="525"/>
    </row>
    <row r="456" ht="12.75" customHeight="1">
      <c r="I456" s="525"/>
    </row>
    <row r="457" ht="12.75" customHeight="1">
      <c r="I457" s="525"/>
    </row>
    <row r="458" ht="12.75" customHeight="1">
      <c r="I458" s="525"/>
    </row>
    <row r="459" ht="12.75" customHeight="1">
      <c r="I459" s="525"/>
    </row>
    <row r="460" ht="12.75" customHeight="1">
      <c r="I460" s="525"/>
    </row>
    <row r="461" ht="12.75" customHeight="1">
      <c r="I461" s="525"/>
    </row>
    <row r="462" ht="12.75" customHeight="1">
      <c r="I462" s="525"/>
    </row>
    <row r="463" ht="12.75" customHeight="1">
      <c r="I463" s="525"/>
    </row>
    <row r="464" ht="12.75" customHeight="1">
      <c r="I464" s="525"/>
    </row>
    <row r="465" ht="12.75" customHeight="1">
      <c r="I465" s="525"/>
    </row>
    <row r="466" ht="12.75" customHeight="1">
      <c r="I466" s="525"/>
    </row>
    <row r="467" ht="12.75" customHeight="1">
      <c r="I467" s="525"/>
    </row>
    <row r="468" ht="12.75" customHeight="1">
      <c r="I468" s="525"/>
    </row>
    <row r="469" ht="12.75" customHeight="1">
      <c r="I469" s="525"/>
    </row>
    <row r="470" ht="12.75" customHeight="1">
      <c r="I470" s="525"/>
    </row>
    <row r="471" ht="12.75" customHeight="1">
      <c r="I471" s="525"/>
    </row>
    <row r="472" ht="12.75" customHeight="1">
      <c r="I472" s="525"/>
    </row>
    <row r="473" ht="12.75" customHeight="1">
      <c r="I473" s="525"/>
    </row>
    <row r="474" ht="12.75" customHeight="1">
      <c r="I474" s="525"/>
    </row>
    <row r="475" ht="12.75" customHeight="1">
      <c r="I475" s="525"/>
    </row>
    <row r="476" ht="12.75" customHeight="1">
      <c r="I476" s="525"/>
    </row>
    <row r="477" ht="12.75" customHeight="1">
      <c r="I477" s="525"/>
    </row>
    <row r="478" ht="12.75" customHeight="1">
      <c r="I478" s="525"/>
    </row>
    <row r="479" ht="12.75" customHeight="1">
      <c r="I479" s="525"/>
    </row>
    <row r="480" ht="12.75" customHeight="1">
      <c r="I480" s="525"/>
    </row>
    <row r="481" ht="12.75" customHeight="1">
      <c r="I481" s="525"/>
    </row>
    <row r="482" ht="12.75" customHeight="1">
      <c r="I482" s="525"/>
    </row>
    <row r="483" ht="12.75" customHeight="1">
      <c r="I483" s="525"/>
    </row>
    <row r="484" ht="12.75" customHeight="1">
      <c r="I484" s="525"/>
    </row>
    <row r="485" ht="12.75" customHeight="1">
      <c r="I485" s="525"/>
    </row>
    <row r="486" ht="12.75" customHeight="1">
      <c r="I486" s="525"/>
    </row>
    <row r="487" ht="12.75" customHeight="1">
      <c r="I487" s="525"/>
    </row>
    <row r="488" ht="12.75" customHeight="1">
      <c r="I488" s="525"/>
    </row>
    <row r="489" ht="12.75" customHeight="1">
      <c r="I489" s="525"/>
    </row>
    <row r="490" ht="12.75" customHeight="1">
      <c r="I490" s="525"/>
    </row>
    <row r="491" ht="12.75" customHeight="1">
      <c r="I491" s="525"/>
    </row>
    <row r="492" ht="12.75" customHeight="1">
      <c r="I492" s="525"/>
    </row>
    <row r="493" ht="12.75" customHeight="1">
      <c r="I493" s="525"/>
    </row>
    <row r="494" ht="12.75" customHeight="1">
      <c r="I494" s="525"/>
    </row>
    <row r="495" ht="12.75" customHeight="1">
      <c r="I495" s="525"/>
    </row>
    <row r="496" ht="12.75" customHeight="1">
      <c r="I496" s="525"/>
    </row>
    <row r="497" ht="12.75" customHeight="1">
      <c r="I497" s="525"/>
    </row>
    <row r="498" ht="12.75" customHeight="1">
      <c r="I498" s="525"/>
    </row>
    <row r="499" ht="12.75" customHeight="1">
      <c r="I499" s="525"/>
    </row>
    <row r="500" ht="12.75" customHeight="1">
      <c r="I500" s="525"/>
    </row>
    <row r="501" ht="12.75" customHeight="1">
      <c r="I501" s="525"/>
    </row>
    <row r="502" ht="12.75" customHeight="1">
      <c r="I502" s="525"/>
    </row>
    <row r="503" ht="12.75" customHeight="1">
      <c r="I503" s="525"/>
    </row>
    <row r="504" ht="12.75" customHeight="1">
      <c r="I504" s="525"/>
    </row>
    <row r="505" ht="12.75" customHeight="1">
      <c r="I505" s="525"/>
    </row>
    <row r="506" ht="12.75" customHeight="1">
      <c r="I506" s="525"/>
    </row>
    <row r="507" ht="12.75" customHeight="1">
      <c r="I507" s="525"/>
    </row>
    <row r="508" ht="12.75" customHeight="1">
      <c r="I508" s="525"/>
    </row>
    <row r="509" ht="12.75" customHeight="1">
      <c r="I509" s="525"/>
    </row>
    <row r="510" ht="12.75" customHeight="1">
      <c r="I510" s="525"/>
    </row>
    <row r="511" ht="12.75" customHeight="1">
      <c r="I511" s="525"/>
    </row>
    <row r="512" ht="12.75" customHeight="1">
      <c r="I512" s="525"/>
    </row>
    <row r="513" ht="12.75" customHeight="1">
      <c r="I513" s="525"/>
    </row>
    <row r="514" ht="12.75" customHeight="1">
      <c r="I514" s="525"/>
    </row>
    <row r="515" ht="12.75" customHeight="1">
      <c r="I515" s="525"/>
    </row>
    <row r="516" ht="12.75" customHeight="1">
      <c r="I516" s="525"/>
    </row>
    <row r="517" ht="12.75" customHeight="1">
      <c r="I517" s="525"/>
    </row>
    <row r="518" ht="12.75" customHeight="1">
      <c r="I518" s="525"/>
    </row>
    <row r="519" ht="12.75" customHeight="1">
      <c r="I519" s="525"/>
    </row>
    <row r="520" ht="12.75" customHeight="1">
      <c r="I520" s="525"/>
    </row>
    <row r="521" ht="12.75" customHeight="1">
      <c r="I521" s="525"/>
    </row>
    <row r="522" ht="12.75" customHeight="1">
      <c r="I522" s="525"/>
    </row>
    <row r="523" ht="12.75" customHeight="1">
      <c r="I523" s="525"/>
    </row>
    <row r="524" ht="12.75" customHeight="1">
      <c r="I524" s="525"/>
    </row>
    <row r="525" ht="12.75" customHeight="1">
      <c r="I525" s="525"/>
    </row>
    <row r="526" ht="12.75" customHeight="1">
      <c r="I526" s="525"/>
    </row>
    <row r="527" ht="12.75" customHeight="1">
      <c r="I527" s="525"/>
    </row>
    <row r="528" ht="12.75" customHeight="1">
      <c r="I528" s="525"/>
    </row>
    <row r="529" ht="12.75" customHeight="1">
      <c r="I529" s="525"/>
    </row>
    <row r="530" ht="12.75" customHeight="1">
      <c r="I530" s="525"/>
    </row>
    <row r="531" ht="12.75" customHeight="1">
      <c r="I531" s="525"/>
    </row>
    <row r="532" ht="12.75" customHeight="1">
      <c r="I532" s="525"/>
    </row>
    <row r="533" ht="12.75" customHeight="1">
      <c r="I533" s="525"/>
    </row>
    <row r="534" ht="12.75" customHeight="1">
      <c r="I534" s="525"/>
    </row>
    <row r="535" ht="12.75" customHeight="1">
      <c r="I535" s="525"/>
    </row>
    <row r="536" ht="12.75" customHeight="1">
      <c r="I536" s="525"/>
    </row>
    <row r="537" ht="12.75" customHeight="1">
      <c r="I537" s="525"/>
    </row>
    <row r="538" ht="12.75" customHeight="1">
      <c r="I538" s="525"/>
    </row>
    <row r="539" ht="12.75" customHeight="1">
      <c r="I539" s="525"/>
    </row>
    <row r="540" ht="12.75" customHeight="1">
      <c r="I540" s="525"/>
    </row>
    <row r="541" ht="12.75" customHeight="1">
      <c r="I541" s="525"/>
    </row>
    <row r="542" ht="12.75" customHeight="1">
      <c r="I542" s="525"/>
    </row>
    <row r="543" ht="12.75" customHeight="1">
      <c r="I543" s="525"/>
    </row>
    <row r="544" ht="12.75" customHeight="1">
      <c r="I544" s="525"/>
    </row>
    <row r="545" ht="12.75" customHeight="1">
      <c r="I545" s="525"/>
    </row>
    <row r="546" ht="12.75" customHeight="1">
      <c r="I546" s="525"/>
    </row>
    <row r="547" ht="12.75" customHeight="1">
      <c r="I547" s="525"/>
    </row>
    <row r="548" ht="12.75" customHeight="1">
      <c r="I548" s="525"/>
    </row>
    <row r="549" ht="12.75" customHeight="1">
      <c r="I549" s="525"/>
    </row>
    <row r="550" ht="12.75" customHeight="1">
      <c r="I550" s="525"/>
    </row>
    <row r="551" ht="12.75" customHeight="1">
      <c r="I551" s="525"/>
    </row>
    <row r="552" ht="12.75" customHeight="1">
      <c r="I552" s="525"/>
    </row>
    <row r="553" ht="12.75" customHeight="1">
      <c r="I553" s="525"/>
    </row>
    <row r="554" ht="12.75" customHeight="1">
      <c r="I554" s="525"/>
    </row>
    <row r="555" ht="12.75" customHeight="1">
      <c r="I555" s="525"/>
    </row>
    <row r="556" ht="12.75" customHeight="1">
      <c r="I556" s="525"/>
    </row>
    <row r="557" ht="12.75" customHeight="1">
      <c r="I557" s="525"/>
    </row>
    <row r="558" ht="12.75" customHeight="1">
      <c r="I558" s="525"/>
    </row>
    <row r="559" ht="12.75" customHeight="1">
      <c r="I559" s="525"/>
    </row>
    <row r="560" ht="12.75" customHeight="1">
      <c r="I560" s="525"/>
    </row>
    <row r="561" ht="12.75" customHeight="1">
      <c r="I561" s="525"/>
    </row>
    <row r="562" ht="12.75" customHeight="1">
      <c r="I562" s="525"/>
    </row>
    <row r="563" ht="12.75" customHeight="1">
      <c r="I563" s="525"/>
    </row>
    <row r="564" ht="12.75" customHeight="1">
      <c r="I564" s="525"/>
    </row>
    <row r="565" ht="12.75" customHeight="1">
      <c r="I565" s="525"/>
    </row>
    <row r="566" ht="12.75" customHeight="1">
      <c r="I566" s="525"/>
    </row>
    <row r="567" ht="12.75" customHeight="1">
      <c r="I567" s="525"/>
    </row>
    <row r="568" ht="12.75" customHeight="1">
      <c r="I568" s="525"/>
    </row>
    <row r="569" ht="12.75" customHeight="1">
      <c r="I569" s="525"/>
    </row>
    <row r="570" ht="12.75" customHeight="1">
      <c r="I570" s="525"/>
    </row>
    <row r="571" ht="12.75" customHeight="1">
      <c r="I571" s="525"/>
    </row>
    <row r="572" ht="12.75" customHeight="1">
      <c r="I572" s="525"/>
    </row>
    <row r="573" ht="12.75" customHeight="1">
      <c r="I573" s="525"/>
    </row>
    <row r="574" ht="12.75" customHeight="1">
      <c r="I574" s="525"/>
    </row>
    <row r="575" ht="12.75" customHeight="1">
      <c r="I575" s="525"/>
    </row>
    <row r="576" ht="12.75" customHeight="1">
      <c r="I576" s="525"/>
    </row>
    <row r="577" ht="12.75" customHeight="1">
      <c r="I577" s="525"/>
    </row>
    <row r="578" ht="12.75" customHeight="1">
      <c r="I578" s="525"/>
    </row>
    <row r="579" ht="12.75" customHeight="1">
      <c r="I579" s="525"/>
    </row>
    <row r="580" ht="12.75" customHeight="1">
      <c r="I580" s="525"/>
    </row>
    <row r="581" ht="12.75" customHeight="1">
      <c r="I581" s="525"/>
    </row>
    <row r="582" ht="12.75" customHeight="1">
      <c r="I582" s="525"/>
    </row>
    <row r="583" ht="12.75" customHeight="1">
      <c r="I583" s="525"/>
    </row>
    <row r="584" ht="12.75" customHeight="1">
      <c r="I584" s="525"/>
    </row>
    <row r="585" ht="12.75" customHeight="1">
      <c r="I585" s="525"/>
    </row>
    <row r="586" ht="12.75" customHeight="1">
      <c r="I586" s="525"/>
    </row>
    <row r="587" ht="12.75" customHeight="1">
      <c r="I587" s="525"/>
    </row>
    <row r="588" ht="12.75" customHeight="1">
      <c r="I588" s="525"/>
    </row>
    <row r="589" ht="12.75" customHeight="1">
      <c r="I589" s="525"/>
    </row>
    <row r="590" ht="12.75" customHeight="1">
      <c r="I590" s="525"/>
    </row>
    <row r="591" ht="12.75" customHeight="1">
      <c r="I591" s="525"/>
    </row>
    <row r="592" ht="12.75" customHeight="1">
      <c r="I592" s="525"/>
    </row>
    <row r="593" ht="12.75" customHeight="1">
      <c r="I593" s="525"/>
    </row>
    <row r="594" ht="12.75" customHeight="1">
      <c r="I594" s="525"/>
    </row>
    <row r="595" ht="12.75" customHeight="1">
      <c r="I595" s="525"/>
    </row>
    <row r="596" ht="12.75" customHeight="1">
      <c r="I596" s="525"/>
    </row>
    <row r="597" ht="12.75" customHeight="1">
      <c r="I597" s="525"/>
    </row>
    <row r="598" ht="12.75" customHeight="1">
      <c r="I598" s="525"/>
    </row>
    <row r="599" ht="12.75" customHeight="1">
      <c r="I599" s="525"/>
    </row>
    <row r="600" ht="12.75" customHeight="1">
      <c r="I600" s="525"/>
    </row>
    <row r="601" ht="12.75" customHeight="1">
      <c r="I601" s="525"/>
    </row>
    <row r="602" ht="12.75" customHeight="1">
      <c r="I602" s="525"/>
    </row>
    <row r="603" ht="12.75" customHeight="1">
      <c r="I603" s="525"/>
    </row>
    <row r="604" ht="12.75" customHeight="1">
      <c r="I604" s="525"/>
    </row>
    <row r="605" ht="12.75" customHeight="1">
      <c r="I605" s="525"/>
    </row>
    <row r="606" ht="12.75" customHeight="1">
      <c r="I606" s="525"/>
    </row>
    <row r="607" ht="12.75" customHeight="1">
      <c r="I607" s="525"/>
    </row>
    <row r="608" ht="12.75" customHeight="1">
      <c r="I608" s="525"/>
    </row>
    <row r="609" ht="12.75" customHeight="1">
      <c r="I609" s="525"/>
    </row>
    <row r="610" ht="12.75" customHeight="1">
      <c r="I610" s="525"/>
    </row>
    <row r="611" ht="12.75" customHeight="1">
      <c r="I611" s="525"/>
    </row>
    <row r="612" ht="12.75" customHeight="1">
      <c r="I612" s="525"/>
    </row>
    <row r="613" ht="12.75" customHeight="1">
      <c r="I613" s="525"/>
    </row>
    <row r="614" ht="12.75" customHeight="1">
      <c r="I614" s="525"/>
    </row>
    <row r="615" ht="12.75" customHeight="1">
      <c r="I615" s="525"/>
    </row>
    <row r="616" ht="12.75" customHeight="1">
      <c r="I616" s="525"/>
    </row>
    <row r="617" ht="12.75" customHeight="1">
      <c r="I617" s="525"/>
    </row>
    <row r="618" ht="12.75" customHeight="1">
      <c r="I618" s="525"/>
    </row>
    <row r="619" ht="12.75" customHeight="1">
      <c r="I619" s="525"/>
    </row>
    <row r="620" ht="12.75" customHeight="1">
      <c r="I620" s="525"/>
    </row>
    <row r="621" ht="12.75" customHeight="1">
      <c r="I621" s="525"/>
    </row>
    <row r="622" ht="12.75" customHeight="1">
      <c r="I622" s="525"/>
    </row>
    <row r="623" ht="12.75" customHeight="1">
      <c r="I623" s="525"/>
    </row>
    <row r="624" ht="12.75" customHeight="1">
      <c r="I624" s="525"/>
    </row>
    <row r="625" ht="12.75" customHeight="1">
      <c r="I625" s="525"/>
    </row>
    <row r="626" ht="12.75" customHeight="1">
      <c r="I626" s="525"/>
    </row>
    <row r="627" ht="12.75" customHeight="1">
      <c r="I627" s="525"/>
    </row>
    <row r="628" ht="12.75" customHeight="1">
      <c r="I628" s="525"/>
    </row>
    <row r="629" ht="12.75" customHeight="1">
      <c r="I629" s="525"/>
    </row>
    <row r="630" ht="12.75" customHeight="1">
      <c r="I630" s="525"/>
    </row>
    <row r="631" ht="12.75" customHeight="1">
      <c r="I631" s="525"/>
    </row>
    <row r="632" ht="12.75" customHeight="1">
      <c r="I632" s="525"/>
    </row>
    <row r="633" ht="12.75" customHeight="1">
      <c r="I633" s="525"/>
    </row>
    <row r="634" ht="12.75" customHeight="1">
      <c r="I634" s="525"/>
    </row>
    <row r="635" ht="12.75" customHeight="1">
      <c r="I635" s="525"/>
    </row>
    <row r="636" ht="12.75" customHeight="1">
      <c r="I636" s="525"/>
    </row>
    <row r="637" ht="12.75" customHeight="1">
      <c r="I637" s="525"/>
    </row>
    <row r="638" ht="12.75" customHeight="1">
      <c r="I638" s="525"/>
    </row>
    <row r="639" ht="12.75" customHeight="1">
      <c r="I639" s="525"/>
    </row>
    <row r="640" ht="12.75" customHeight="1">
      <c r="I640" s="525"/>
    </row>
    <row r="641" ht="12.75" customHeight="1">
      <c r="I641" s="525"/>
    </row>
    <row r="642" ht="12.75" customHeight="1">
      <c r="I642" s="525"/>
    </row>
    <row r="643" ht="12.75" customHeight="1">
      <c r="I643" s="525"/>
    </row>
    <row r="644" ht="12.75" customHeight="1">
      <c r="I644" s="525"/>
    </row>
    <row r="645" ht="12.75" customHeight="1">
      <c r="I645" s="525"/>
    </row>
    <row r="646" ht="12.75" customHeight="1">
      <c r="I646" s="525"/>
    </row>
    <row r="647" ht="12.75" customHeight="1">
      <c r="I647" s="525"/>
    </row>
    <row r="648" ht="12.75" customHeight="1">
      <c r="I648" s="525"/>
    </row>
    <row r="649" ht="12.75" customHeight="1">
      <c r="I649" s="525"/>
    </row>
    <row r="650" ht="12.75" customHeight="1">
      <c r="I650" s="525"/>
    </row>
    <row r="651" ht="12.75" customHeight="1">
      <c r="I651" s="525"/>
    </row>
    <row r="652" ht="12.75" customHeight="1">
      <c r="I652" s="525"/>
    </row>
    <row r="653" ht="12.75" customHeight="1">
      <c r="I653" s="525"/>
    </row>
    <row r="654" ht="12.75" customHeight="1">
      <c r="I654" s="525"/>
    </row>
    <row r="655" ht="12.75" customHeight="1">
      <c r="I655" s="525"/>
    </row>
    <row r="656" ht="12.75" customHeight="1">
      <c r="I656" s="525"/>
    </row>
    <row r="657" ht="12.75" customHeight="1">
      <c r="I657" s="525"/>
    </row>
    <row r="658" ht="12.75" customHeight="1">
      <c r="I658" s="525"/>
    </row>
    <row r="659" ht="12.75" customHeight="1">
      <c r="I659" s="525"/>
    </row>
    <row r="660" ht="12.75" customHeight="1">
      <c r="I660" s="525"/>
    </row>
    <row r="661" ht="12.75" customHeight="1">
      <c r="I661" s="525"/>
    </row>
    <row r="662" ht="12.75" customHeight="1">
      <c r="I662" s="525"/>
    </row>
    <row r="663" ht="12.75" customHeight="1">
      <c r="I663" s="525"/>
    </row>
    <row r="664" ht="12.75" customHeight="1">
      <c r="I664" s="525"/>
    </row>
    <row r="665" ht="12.75" customHeight="1">
      <c r="I665" s="525"/>
    </row>
    <row r="666" ht="12.75" customHeight="1">
      <c r="I666" s="525"/>
    </row>
    <row r="667" ht="12.75" customHeight="1">
      <c r="I667" s="525"/>
    </row>
    <row r="668" ht="12.75" customHeight="1">
      <c r="I668" s="525"/>
    </row>
    <row r="669" ht="12.75" customHeight="1">
      <c r="I669" s="525"/>
    </row>
    <row r="670" ht="12.75" customHeight="1">
      <c r="I670" s="525"/>
    </row>
    <row r="671" ht="12.75" customHeight="1">
      <c r="I671" s="525"/>
    </row>
    <row r="672" ht="12.75" customHeight="1">
      <c r="I672" s="525"/>
    </row>
    <row r="673" ht="12.75" customHeight="1">
      <c r="I673" s="525"/>
    </row>
    <row r="674" ht="12.75" customHeight="1">
      <c r="I674" s="525"/>
    </row>
    <row r="675" ht="12.75" customHeight="1">
      <c r="I675" s="525"/>
    </row>
    <row r="676" ht="12.75" customHeight="1">
      <c r="I676" s="525"/>
    </row>
    <row r="677" ht="12.75" customHeight="1">
      <c r="I677" s="525"/>
    </row>
    <row r="678" ht="12.75" customHeight="1">
      <c r="I678" s="525"/>
    </row>
    <row r="679" ht="12.75" customHeight="1">
      <c r="I679" s="525"/>
    </row>
    <row r="680" ht="12.75" customHeight="1">
      <c r="I680" s="525"/>
    </row>
    <row r="681" ht="12.75" customHeight="1">
      <c r="I681" s="525"/>
    </row>
    <row r="682" ht="12.75" customHeight="1">
      <c r="I682" s="525"/>
    </row>
    <row r="683" ht="12.75" customHeight="1">
      <c r="I683" s="525"/>
    </row>
    <row r="684" ht="12.75" customHeight="1">
      <c r="I684" s="525"/>
    </row>
    <row r="685" ht="12.75" customHeight="1">
      <c r="I685" s="525"/>
    </row>
    <row r="686" ht="12.75" customHeight="1">
      <c r="I686" s="525"/>
    </row>
    <row r="687" ht="12.75" customHeight="1">
      <c r="I687" s="525"/>
    </row>
    <row r="688" ht="12.75" customHeight="1">
      <c r="I688" s="525"/>
    </row>
    <row r="689" ht="12.75" customHeight="1">
      <c r="I689" s="525"/>
    </row>
    <row r="690" ht="12.75" customHeight="1">
      <c r="I690" s="525"/>
    </row>
    <row r="691" ht="12.75" customHeight="1">
      <c r="I691" s="525"/>
    </row>
    <row r="692" ht="12.75" customHeight="1">
      <c r="I692" s="525"/>
    </row>
    <row r="693" ht="12.75" customHeight="1">
      <c r="I693" s="525"/>
    </row>
    <row r="694" ht="12.75" customHeight="1">
      <c r="I694" s="525"/>
    </row>
    <row r="695" ht="12.75" customHeight="1">
      <c r="I695" s="525"/>
    </row>
    <row r="696" ht="12.75" customHeight="1">
      <c r="I696" s="525"/>
    </row>
    <row r="697" ht="12.75" customHeight="1">
      <c r="I697" s="525"/>
    </row>
    <row r="698" ht="12.75" customHeight="1">
      <c r="I698" s="525"/>
    </row>
    <row r="699" ht="12.75" customHeight="1">
      <c r="I699" s="525"/>
    </row>
    <row r="700" ht="12.75" customHeight="1">
      <c r="I700" s="525"/>
    </row>
    <row r="701" ht="12.75" customHeight="1">
      <c r="I701" s="525"/>
    </row>
    <row r="702" ht="12.75" customHeight="1">
      <c r="I702" s="525"/>
    </row>
    <row r="703" ht="12.75" customHeight="1">
      <c r="I703" s="525"/>
    </row>
    <row r="704" ht="12.75" customHeight="1">
      <c r="I704" s="525"/>
    </row>
    <row r="705" ht="12.75" customHeight="1">
      <c r="I705" s="525"/>
    </row>
    <row r="706" ht="12.75" customHeight="1">
      <c r="I706" s="525"/>
    </row>
    <row r="707" ht="12.75" customHeight="1">
      <c r="I707" s="525"/>
    </row>
    <row r="708" ht="12.75" customHeight="1">
      <c r="I708" s="525"/>
    </row>
    <row r="709" ht="12.75" customHeight="1">
      <c r="I709" s="525"/>
    </row>
    <row r="710" ht="12.75" customHeight="1">
      <c r="I710" s="525"/>
    </row>
    <row r="711" ht="12.75" customHeight="1">
      <c r="I711" s="525"/>
    </row>
    <row r="712" ht="12.75" customHeight="1">
      <c r="I712" s="525"/>
    </row>
    <row r="713" ht="12.75" customHeight="1">
      <c r="I713" s="525"/>
    </row>
    <row r="714" ht="12.75" customHeight="1">
      <c r="I714" s="525"/>
    </row>
    <row r="715" ht="12.75" customHeight="1">
      <c r="I715" s="525"/>
    </row>
    <row r="716" ht="12.75" customHeight="1">
      <c r="I716" s="525"/>
    </row>
    <row r="717" ht="12.75" customHeight="1">
      <c r="I717" s="525"/>
    </row>
    <row r="718" ht="12.75" customHeight="1">
      <c r="I718" s="525"/>
    </row>
    <row r="719" ht="12.75" customHeight="1">
      <c r="I719" s="525"/>
    </row>
    <row r="720" ht="12.75" customHeight="1">
      <c r="I720" s="525"/>
    </row>
    <row r="721" ht="12.75" customHeight="1">
      <c r="I721" s="525"/>
    </row>
    <row r="722" ht="12.75" customHeight="1">
      <c r="I722" s="525"/>
    </row>
    <row r="723" ht="12.75" customHeight="1">
      <c r="I723" s="525"/>
    </row>
    <row r="724" ht="12.75" customHeight="1">
      <c r="I724" s="525"/>
    </row>
    <row r="725" ht="12.75" customHeight="1">
      <c r="I725" s="525"/>
    </row>
    <row r="726" ht="12.75" customHeight="1">
      <c r="I726" s="525"/>
    </row>
    <row r="727" ht="12.75" customHeight="1">
      <c r="I727" s="525"/>
    </row>
    <row r="728" ht="12.75" customHeight="1">
      <c r="I728" s="525"/>
    </row>
    <row r="729" ht="12.75" customHeight="1">
      <c r="I729" s="525"/>
    </row>
    <row r="730" ht="12.75" customHeight="1">
      <c r="I730" s="525"/>
    </row>
    <row r="731" ht="12.75" customHeight="1">
      <c r="I731" s="525"/>
    </row>
    <row r="732" ht="12.75" customHeight="1">
      <c r="I732" s="525"/>
    </row>
    <row r="733" ht="12.75" customHeight="1">
      <c r="I733" s="525"/>
    </row>
    <row r="734" ht="12.75" customHeight="1">
      <c r="I734" s="525"/>
    </row>
    <row r="735" ht="12.75" customHeight="1">
      <c r="I735" s="525"/>
    </row>
    <row r="736" ht="12.75" customHeight="1">
      <c r="I736" s="525"/>
    </row>
    <row r="737" ht="12.75" customHeight="1">
      <c r="I737" s="525"/>
    </row>
    <row r="738" ht="12.75" customHeight="1">
      <c r="I738" s="525"/>
    </row>
    <row r="739" ht="12.75" customHeight="1">
      <c r="I739" s="525"/>
    </row>
    <row r="740" ht="12.75" customHeight="1">
      <c r="I740" s="525"/>
    </row>
    <row r="741" ht="12.75" customHeight="1">
      <c r="I741" s="525"/>
    </row>
    <row r="742" ht="12.75" customHeight="1">
      <c r="I742" s="525"/>
    </row>
    <row r="743" ht="12.75" customHeight="1">
      <c r="I743" s="525"/>
    </row>
    <row r="744" ht="12.75" customHeight="1">
      <c r="I744" s="525"/>
    </row>
    <row r="745" ht="12.75" customHeight="1">
      <c r="I745" s="525"/>
    </row>
    <row r="746" ht="12.75" customHeight="1">
      <c r="I746" s="525"/>
    </row>
    <row r="747" ht="12.75" customHeight="1">
      <c r="I747" s="525"/>
    </row>
    <row r="748" ht="12.75" customHeight="1">
      <c r="I748" s="525"/>
    </row>
    <row r="749" ht="12.75" customHeight="1">
      <c r="I749" s="525"/>
    </row>
    <row r="750" ht="12.75" customHeight="1">
      <c r="I750" s="525"/>
    </row>
    <row r="751" ht="12.75" customHeight="1">
      <c r="I751" s="525"/>
    </row>
    <row r="752" ht="12.75" customHeight="1">
      <c r="I752" s="525"/>
    </row>
    <row r="753" ht="12.75" customHeight="1">
      <c r="I753" s="525"/>
    </row>
    <row r="754" ht="12.75" customHeight="1">
      <c r="I754" s="525"/>
    </row>
    <row r="755" ht="12.75" customHeight="1">
      <c r="I755" s="525"/>
    </row>
    <row r="756" ht="12.75" customHeight="1">
      <c r="I756" s="525"/>
    </row>
    <row r="757" ht="12.75" customHeight="1">
      <c r="I757" s="525"/>
    </row>
    <row r="758" ht="12.75" customHeight="1">
      <c r="I758" s="525"/>
    </row>
    <row r="759" ht="12.75" customHeight="1">
      <c r="I759" s="525"/>
    </row>
    <row r="760" ht="12.75" customHeight="1">
      <c r="I760" s="525"/>
    </row>
    <row r="761" ht="12.75" customHeight="1">
      <c r="I761" s="525"/>
    </row>
    <row r="762" ht="12.75" customHeight="1">
      <c r="I762" s="525"/>
    </row>
    <row r="763" ht="12.75" customHeight="1">
      <c r="I763" s="525"/>
    </row>
    <row r="764" ht="12.75" customHeight="1">
      <c r="I764" s="525"/>
    </row>
    <row r="765" ht="12.75" customHeight="1">
      <c r="I765" s="525"/>
    </row>
    <row r="766" ht="12.75" customHeight="1">
      <c r="I766" s="525"/>
    </row>
    <row r="767" ht="12.75" customHeight="1">
      <c r="I767" s="525"/>
    </row>
    <row r="768" ht="12.75" customHeight="1">
      <c r="I768" s="525"/>
    </row>
    <row r="769" ht="12.75" customHeight="1">
      <c r="I769" s="525"/>
    </row>
    <row r="770" ht="12.75" customHeight="1">
      <c r="I770" s="525"/>
    </row>
    <row r="771" ht="12.75" customHeight="1">
      <c r="I771" s="525"/>
    </row>
    <row r="772" ht="12.75" customHeight="1">
      <c r="I772" s="525"/>
    </row>
    <row r="773" ht="12.75" customHeight="1">
      <c r="I773" s="525"/>
    </row>
    <row r="774" ht="12.75" customHeight="1">
      <c r="I774" s="525"/>
    </row>
    <row r="775" ht="12.75" customHeight="1">
      <c r="I775" s="525"/>
    </row>
    <row r="776" ht="12.75" customHeight="1">
      <c r="I776" s="525"/>
    </row>
    <row r="777" ht="12.75" customHeight="1">
      <c r="I777" s="525"/>
    </row>
    <row r="778" ht="12.75" customHeight="1">
      <c r="I778" s="525"/>
    </row>
    <row r="779" ht="12.75" customHeight="1">
      <c r="I779" s="525"/>
    </row>
    <row r="780" ht="12.75" customHeight="1">
      <c r="I780" s="525"/>
    </row>
    <row r="781" ht="12.75" customHeight="1">
      <c r="I781" s="525"/>
    </row>
    <row r="782" ht="12.75" customHeight="1">
      <c r="I782" s="525"/>
    </row>
    <row r="783" ht="12.75" customHeight="1">
      <c r="I783" s="525"/>
    </row>
    <row r="784" ht="12.75" customHeight="1">
      <c r="I784" s="525"/>
    </row>
    <row r="785" ht="12.75" customHeight="1">
      <c r="I785" s="525"/>
    </row>
    <row r="786" ht="12.75" customHeight="1">
      <c r="I786" s="525"/>
    </row>
    <row r="787" ht="12.75" customHeight="1">
      <c r="I787" s="525"/>
    </row>
    <row r="788" ht="12.75" customHeight="1">
      <c r="I788" s="525"/>
    </row>
    <row r="789" ht="12.75" customHeight="1">
      <c r="I789" s="525"/>
    </row>
    <row r="790" ht="12.75" customHeight="1">
      <c r="I790" s="525"/>
    </row>
    <row r="791" ht="12.75" customHeight="1">
      <c r="I791" s="525"/>
    </row>
    <row r="792" ht="12.75" customHeight="1">
      <c r="I792" s="525"/>
    </row>
    <row r="793" ht="12.75" customHeight="1">
      <c r="I793" s="525"/>
    </row>
    <row r="794" ht="12.75" customHeight="1">
      <c r="I794" s="525"/>
    </row>
    <row r="795" ht="12.75" customHeight="1">
      <c r="I795" s="525"/>
    </row>
    <row r="796" ht="12.75" customHeight="1">
      <c r="I796" s="525"/>
    </row>
    <row r="797" ht="12.75" customHeight="1">
      <c r="I797" s="525"/>
    </row>
    <row r="798" ht="12.75" customHeight="1">
      <c r="I798" s="525"/>
    </row>
    <row r="799" ht="12.75" customHeight="1">
      <c r="I799" s="525"/>
    </row>
    <row r="800" ht="12.75" customHeight="1">
      <c r="I800" s="525"/>
    </row>
    <row r="801" ht="12.75" customHeight="1">
      <c r="I801" s="525"/>
    </row>
    <row r="802" ht="12.75" customHeight="1">
      <c r="I802" s="525"/>
    </row>
    <row r="803" ht="12.75" customHeight="1">
      <c r="I803" s="525"/>
    </row>
    <row r="804" ht="12.75" customHeight="1">
      <c r="I804" s="525"/>
    </row>
    <row r="805" ht="12.75" customHeight="1">
      <c r="I805" s="525"/>
    </row>
    <row r="806" ht="12.75" customHeight="1">
      <c r="I806" s="525"/>
    </row>
    <row r="807" ht="12.75" customHeight="1">
      <c r="I807" s="525"/>
    </row>
    <row r="808" ht="12.75" customHeight="1">
      <c r="I808" s="525"/>
    </row>
    <row r="809" ht="12.75" customHeight="1">
      <c r="I809" s="525"/>
    </row>
    <row r="810" ht="12.75" customHeight="1">
      <c r="I810" s="525"/>
    </row>
    <row r="811" ht="12.75" customHeight="1">
      <c r="I811" s="525"/>
    </row>
    <row r="812" ht="12.75" customHeight="1">
      <c r="I812" s="525"/>
    </row>
    <row r="813" ht="12.75" customHeight="1">
      <c r="I813" s="525"/>
    </row>
    <row r="814" ht="12.75" customHeight="1">
      <c r="I814" s="525"/>
    </row>
    <row r="815" ht="12.75" customHeight="1">
      <c r="I815" s="525"/>
    </row>
    <row r="816" ht="12.75" customHeight="1">
      <c r="I816" s="525"/>
    </row>
    <row r="817" ht="12.75" customHeight="1">
      <c r="I817" s="525"/>
    </row>
    <row r="818" ht="12.75" customHeight="1">
      <c r="I818" s="525"/>
    </row>
    <row r="819" ht="12.75" customHeight="1">
      <c r="I819" s="525"/>
    </row>
    <row r="820" ht="12.75" customHeight="1">
      <c r="I820" s="525"/>
    </row>
    <row r="821" ht="12.75" customHeight="1">
      <c r="I821" s="525"/>
    </row>
    <row r="822" ht="12.75" customHeight="1">
      <c r="I822" s="525"/>
    </row>
    <row r="823" ht="12.75" customHeight="1">
      <c r="I823" s="525"/>
    </row>
    <row r="824" ht="12.75" customHeight="1">
      <c r="I824" s="525"/>
    </row>
    <row r="825" ht="12.75" customHeight="1">
      <c r="I825" s="525"/>
    </row>
    <row r="826" ht="12.75" customHeight="1">
      <c r="I826" s="525"/>
    </row>
    <row r="827" ht="12.75" customHeight="1">
      <c r="I827" s="525"/>
    </row>
    <row r="828" ht="12.75" customHeight="1">
      <c r="I828" s="525"/>
    </row>
    <row r="829" ht="12.75" customHeight="1">
      <c r="I829" s="525"/>
    </row>
    <row r="830" ht="12.75" customHeight="1">
      <c r="I830" s="525"/>
    </row>
    <row r="831" ht="12.75" customHeight="1">
      <c r="I831" s="525"/>
    </row>
    <row r="832" ht="12.75" customHeight="1">
      <c r="I832" s="525"/>
    </row>
    <row r="833" ht="12.75" customHeight="1">
      <c r="I833" s="525"/>
    </row>
    <row r="834" ht="12.75" customHeight="1">
      <c r="I834" s="525"/>
    </row>
    <row r="835" ht="12.75" customHeight="1">
      <c r="I835" s="525"/>
    </row>
    <row r="836" ht="12.75" customHeight="1">
      <c r="I836" s="525"/>
    </row>
    <row r="837" ht="12.75" customHeight="1">
      <c r="I837" s="525"/>
    </row>
    <row r="838" ht="12.75" customHeight="1">
      <c r="I838" s="525"/>
    </row>
    <row r="839" ht="12.75" customHeight="1">
      <c r="I839" s="525"/>
    </row>
    <row r="840" ht="12.75" customHeight="1">
      <c r="I840" s="525"/>
    </row>
    <row r="841" ht="12.75" customHeight="1">
      <c r="I841" s="525"/>
    </row>
    <row r="842" ht="12.75" customHeight="1">
      <c r="I842" s="525"/>
    </row>
    <row r="843" ht="12.75" customHeight="1">
      <c r="I843" s="525"/>
    </row>
    <row r="844" ht="12.75" customHeight="1">
      <c r="I844" s="525"/>
    </row>
    <row r="845" ht="12.75" customHeight="1">
      <c r="I845" s="525"/>
    </row>
    <row r="846" ht="12.75" customHeight="1">
      <c r="I846" s="525"/>
    </row>
    <row r="847" ht="12.75" customHeight="1">
      <c r="I847" s="525"/>
    </row>
    <row r="848" ht="12.75" customHeight="1">
      <c r="I848" s="525"/>
    </row>
    <row r="849" ht="12.75" customHeight="1">
      <c r="I849" s="525"/>
    </row>
    <row r="850" ht="12.75" customHeight="1">
      <c r="I850" s="525"/>
    </row>
    <row r="851" ht="12.75" customHeight="1">
      <c r="I851" s="525"/>
    </row>
    <row r="852" ht="12.75" customHeight="1">
      <c r="I852" s="525"/>
    </row>
    <row r="853" ht="12.75" customHeight="1">
      <c r="I853" s="525"/>
    </row>
    <row r="854" ht="12.75" customHeight="1">
      <c r="I854" s="525"/>
    </row>
    <row r="855" ht="12.75" customHeight="1">
      <c r="I855" s="525"/>
    </row>
    <row r="856" ht="12.75" customHeight="1">
      <c r="I856" s="525"/>
    </row>
    <row r="857" ht="12.75" customHeight="1">
      <c r="I857" s="525"/>
    </row>
    <row r="858" ht="12.75" customHeight="1">
      <c r="I858" s="525"/>
    </row>
    <row r="859" ht="12.75" customHeight="1">
      <c r="I859" s="525"/>
    </row>
    <row r="860" ht="12.75" customHeight="1">
      <c r="I860" s="525"/>
    </row>
    <row r="861" ht="12.75" customHeight="1">
      <c r="I861" s="525"/>
    </row>
    <row r="862" ht="12.75" customHeight="1">
      <c r="I862" s="525"/>
    </row>
    <row r="863" ht="12.75" customHeight="1">
      <c r="I863" s="525"/>
    </row>
    <row r="864" ht="12.75" customHeight="1">
      <c r="I864" s="525"/>
    </row>
    <row r="865" ht="12.75" customHeight="1">
      <c r="I865" s="525"/>
    </row>
    <row r="866" ht="12.75" customHeight="1">
      <c r="I866" s="525"/>
    </row>
    <row r="867" ht="12.75" customHeight="1">
      <c r="I867" s="525"/>
    </row>
    <row r="868" ht="12.75" customHeight="1">
      <c r="I868" s="525"/>
    </row>
    <row r="869" ht="12.75" customHeight="1">
      <c r="I869" s="525"/>
    </row>
    <row r="870" ht="12.75" customHeight="1">
      <c r="I870" s="525"/>
    </row>
    <row r="871" ht="12.75" customHeight="1">
      <c r="I871" s="525"/>
    </row>
    <row r="872" ht="12.75" customHeight="1">
      <c r="I872" s="525"/>
    </row>
    <row r="873" ht="12.75" customHeight="1">
      <c r="I873" s="525"/>
    </row>
    <row r="874" ht="12.75" customHeight="1">
      <c r="I874" s="525"/>
    </row>
    <row r="875" ht="12.75" customHeight="1">
      <c r="I875" s="525"/>
    </row>
    <row r="876" ht="12.75" customHeight="1">
      <c r="I876" s="525"/>
    </row>
    <row r="877" ht="12.75" customHeight="1">
      <c r="I877" s="525"/>
    </row>
    <row r="878" ht="12.75" customHeight="1">
      <c r="I878" s="525"/>
    </row>
    <row r="879" ht="12.75" customHeight="1">
      <c r="I879" s="525"/>
    </row>
    <row r="880" ht="12.75" customHeight="1">
      <c r="I880" s="525"/>
    </row>
    <row r="881" ht="12.75" customHeight="1">
      <c r="I881" s="525"/>
    </row>
    <row r="882" ht="12.75" customHeight="1">
      <c r="I882" s="525"/>
    </row>
    <row r="883" ht="12.75" customHeight="1">
      <c r="I883" s="525"/>
    </row>
    <row r="884" ht="12.75" customHeight="1">
      <c r="I884" s="525"/>
    </row>
    <row r="885" ht="12.75" customHeight="1">
      <c r="I885" s="525"/>
    </row>
    <row r="886" ht="12.75" customHeight="1">
      <c r="I886" s="525"/>
    </row>
    <row r="887" ht="12.75" customHeight="1">
      <c r="I887" s="525"/>
    </row>
    <row r="888" ht="12.75" customHeight="1">
      <c r="I888" s="525"/>
    </row>
    <row r="889" ht="12.75" customHeight="1">
      <c r="I889" s="525"/>
    </row>
    <row r="890" ht="12.75" customHeight="1">
      <c r="I890" s="525"/>
    </row>
    <row r="891" ht="12.75" customHeight="1">
      <c r="I891" s="525"/>
    </row>
    <row r="892" ht="12.75" customHeight="1">
      <c r="I892" s="525"/>
    </row>
    <row r="893" ht="12.75" customHeight="1">
      <c r="I893" s="525"/>
    </row>
    <row r="894" ht="12.75" customHeight="1">
      <c r="I894" s="525"/>
    </row>
    <row r="895" ht="12.75" customHeight="1">
      <c r="I895" s="525"/>
    </row>
    <row r="896" ht="12.75" customHeight="1">
      <c r="I896" s="525"/>
    </row>
    <row r="897" ht="12.75" customHeight="1">
      <c r="I897" s="525"/>
    </row>
    <row r="898" ht="12.75" customHeight="1">
      <c r="I898" s="525"/>
    </row>
    <row r="899" ht="12.75" customHeight="1">
      <c r="I899" s="525"/>
    </row>
    <row r="900" ht="12.75" customHeight="1">
      <c r="I900" s="525"/>
    </row>
    <row r="901" ht="12.75" customHeight="1">
      <c r="I901" s="525"/>
    </row>
    <row r="902" ht="12.75" customHeight="1">
      <c r="I902" s="525"/>
    </row>
    <row r="903" ht="12.75" customHeight="1">
      <c r="I903" s="525"/>
    </row>
    <row r="904" ht="12.75" customHeight="1">
      <c r="I904" s="525"/>
    </row>
    <row r="905" ht="12.75" customHeight="1">
      <c r="I905" s="525"/>
    </row>
    <row r="906" ht="12.75" customHeight="1">
      <c r="I906" s="525"/>
    </row>
    <row r="907" ht="12.75" customHeight="1">
      <c r="I907" s="525"/>
    </row>
    <row r="908" ht="12.75" customHeight="1">
      <c r="I908" s="525"/>
    </row>
    <row r="909" ht="12.75" customHeight="1">
      <c r="I909" s="525"/>
    </row>
    <row r="910" ht="12.75" customHeight="1">
      <c r="I910" s="525"/>
    </row>
    <row r="911" ht="12.75" customHeight="1">
      <c r="I911" s="525"/>
    </row>
    <row r="912" ht="12.75" customHeight="1">
      <c r="I912" s="525"/>
    </row>
    <row r="913" ht="12.75" customHeight="1">
      <c r="I913" s="525"/>
    </row>
    <row r="914" ht="12.75" customHeight="1">
      <c r="I914" s="525"/>
    </row>
    <row r="915" ht="12.75" customHeight="1">
      <c r="I915" s="525"/>
    </row>
    <row r="916" ht="12.75" customHeight="1">
      <c r="I916" s="525"/>
    </row>
    <row r="917" ht="12.75" customHeight="1">
      <c r="I917" s="525"/>
    </row>
    <row r="918" ht="12.75" customHeight="1">
      <c r="I918" s="525"/>
    </row>
    <row r="919" ht="12.75" customHeight="1">
      <c r="I919" s="525"/>
    </row>
    <row r="920" ht="12.75" customHeight="1">
      <c r="I920" s="525"/>
    </row>
    <row r="921" ht="12.75" customHeight="1">
      <c r="I921" s="525"/>
    </row>
    <row r="922" ht="12.75" customHeight="1">
      <c r="I922" s="525"/>
    </row>
    <row r="923" ht="12.75" customHeight="1">
      <c r="I923" s="525"/>
    </row>
    <row r="924" ht="12.75" customHeight="1">
      <c r="I924" s="525"/>
    </row>
    <row r="925" ht="12.75" customHeight="1">
      <c r="I925" s="525"/>
    </row>
    <row r="926" ht="12.75" customHeight="1">
      <c r="I926" s="525"/>
    </row>
    <row r="927" ht="12.75" customHeight="1">
      <c r="I927" s="525"/>
    </row>
    <row r="928" ht="12.75" customHeight="1">
      <c r="I928" s="525"/>
    </row>
    <row r="929" ht="12.75" customHeight="1">
      <c r="I929" s="525"/>
    </row>
    <row r="930" ht="12.75" customHeight="1">
      <c r="I930" s="525"/>
    </row>
    <row r="931" ht="12.75" customHeight="1">
      <c r="I931" s="525"/>
    </row>
    <row r="932" ht="12.75" customHeight="1">
      <c r="I932" s="525"/>
    </row>
    <row r="933" ht="12.75" customHeight="1">
      <c r="I933" s="525"/>
    </row>
    <row r="934" ht="12.75" customHeight="1">
      <c r="I934" s="525"/>
    </row>
    <row r="935" ht="12.75" customHeight="1">
      <c r="I935" s="525"/>
    </row>
    <row r="936" ht="12.75" customHeight="1">
      <c r="I936" s="525"/>
    </row>
    <row r="937" ht="12.75" customHeight="1">
      <c r="I937" s="525"/>
    </row>
    <row r="938" ht="12.75" customHeight="1">
      <c r="I938" s="525"/>
    </row>
    <row r="939" ht="12.75" customHeight="1">
      <c r="I939" s="525"/>
    </row>
    <row r="940" ht="12.75" customHeight="1">
      <c r="I940" s="525"/>
    </row>
    <row r="941" ht="12.75" customHeight="1">
      <c r="I941" s="525"/>
    </row>
    <row r="942" ht="12.75" customHeight="1">
      <c r="I942" s="525"/>
    </row>
    <row r="943" ht="12.75" customHeight="1">
      <c r="I943" s="525"/>
    </row>
    <row r="944" ht="12.75" customHeight="1">
      <c r="I944" s="525"/>
    </row>
    <row r="945" ht="12.75" customHeight="1">
      <c r="I945" s="525"/>
    </row>
    <row r="946" ht="12.75" customHeight="1">
      <c r="I946" s="525"/>
    </row>
    <row r="947" ht="12.75" customHeight="1">
      <c r="I947" s="525"/>
    </row>
    <row r="948" ht="12.75" customHeight="1">
      <c r="I948" s="525"/>
    </row>
    <row r="949" ht="12.75" customHeight="1">
      <c r="I949" s="525"/>
    </row>
    <row r="950" ht="12.75" customHeight="1">
      <c r="I950" s="525"/>
    </row>
    <row r="951" ht="12.75" customHeight="1">
      <c r="I951" s="525"/>
    </row>
    <row r="952" ht="12.75" customHeight="1">
      <c r="I952" s="525"/>
    </row>
    <row r="953" ht="12.75" customHeight="1">
      <c r="I953" s="525"/>
    </row>
    <row r="954" ht="12.75" customHeight="1">
      <c r="I954" s="525"/>
    </row>
    <row r="955" ht="12.75" customHeight="1">
      <c r="I955" s="525"/>
    </row>
    <row r="956" ht="12.75" customHeight="1">
      <c r="I956" s="525"/>
    </row>
    <row r="957" ht="12.75" customHeight="1">
      <c r="I957" s="525"/>
    </row>
    <row r="958" ht="12.75" customHeight="1">
      <c r="I958" s="525"/>
    </row>
    <row r="959" ht="12.75" customHeight="1">
      <c r="I959" s="525"/>
    </row>
    <row r="960" ht="12.75" customHeight="1">
      <c r="I960" s="525"/>
    </row>
    <row r="961" ht="12.75" customHeight="1">
      <c r="I961" s="525"/>
    </row>
    <row r="962" ht="12.75" customHeight="1">
      <c r="I962" s="525"/>
    </row>
    <row r="963" ht="12.75" customHeight="1">
      <c r="I963" s="525"/>
    </row>
    <row r="964" ht="12.75" customHeight="1">
      <c r="I964" s="525"/>
    </row>
    <row r="965" ht="12.75" customHeight="1">
      <c r="I965" s="525"/>
    </row>
    <row r="966" ht="12.75" customHeight="1">
      <c r="I966" s="525"/>
    </row>
    <row r="967" ht="12.75" customHeight="1">
      <c r="I967" s="525"/>
    </row>
    <row r="968" ht="12.75" customHeight="1">
      <c r="I968" s="525"/>
    </row>
    <row r="969" ht="12.75" customHeight="1">
      <c r="I969" s="525"/>
    </row>
    <row r="970" ht="12.75" customHeight="1">
      <c r="I970" s="525"/>
    </row>
    <row r="971" ht="12.75" customHeight="1">
      <c r="I971" s="525"/>
    </row>
    <row r="972" ht="12.75" customHeight="1">
      <c r="I972" s="525"/>
    </row>
    <row r="973" ht="12.75" customHeight="1">
      <c r="I973" s="525"/>
    </row>
    <row r="974" ht="12.75" customHeight="1">
      <c r="I974" s="525"/>
    </row>
    <row r="975" ht="12.75" customHeight="1">
      <c r="I975" s="525"/>
    </row>
    <row r="976" ht="12.75" customHeight="1">
      <c r="I976" s="525"/>
    </row>
    <row r="977" ht="12.75" customHeight="1">
      <c r="I977" s="525"/>
    </row>
    <row r="978" ht="12.75" customHeight="1">
      <c r="I978" s="525"/>
    </row>
    <row r="979" ht="12.75" customHeight="1">
      <c r="I979" s="525"/>
    </row>
    <row r="980" ht="12.75" customHeight="1">
      <c r="I980" s="525"/>
    </row>
    <row r="981" ht="12.75" customHeight="1">
      <c r="I981" s="525"/>
    </row>
    <row r="982" ht="12.75" customHeight="1">
      <c r="I982" s="525"/>
    </row>
    <row r="983" ht="12.75" customHeight="1">
      <c r="I983" s="525"/>
    </row>
    <row r="984" ht="12.75" customHeight="1">
      <c r="I984" s="525"/>
    </row>
    <row r="985" ht="12.75" customHeight="1">
      <c r="I985" s="525"/>
    </row>
    <row r="986" ht="12.75" customHeight="1">
      <c r="I986" s="525"/>
    </row>
    <row r="987" ht="12.75" customHeight="1">
      <c r="I987" s="525"/>
    </row>
    <row r="988" ht="12.75" customHeight="1">
      <c r="I988" s="525"/>
    </row>
    <row r="989" ht="12.75" customHeight="1">
      <c r="I989" s="525"/>
    </row>
    <row r="990" ht="12.75" customHeight="1">
      <c r="I990" s="525"/>
    </row>
    <row r="991" ht="12.75" customHeight="1">
      <c r="I991" s="525"/>
    </row>
    <row r="992" ht="12.75" customHeight="1">
      <c r="I992" s="525"/>
    </row>
    <row r="993" ht="12.75" customHeight="1">
      <c r="I993" s="525"/>
    </row>
    <row r="994" ht="12.75" customHeight="1">
      <c r="I994" s="525"/>
    </row>
    <row r="995" ht="12.75" customHeight="1">
      <c r="I995" s="525"/>
    </row>
    <row r="996" ht="12.75" customHeight="1">
      <c r="I996" s="525"/>
    </row>
    <row r="997" ht="12.75" customHeight="1">
      <c r="I997" s="525"/>
    </row>
    <row r="998" ht="12.75" customHeight="1">
      <c r="I998" s="525"/>
    </row>
    <row r="999" ht="12.75" customHeight="1">
      <c r="I999" s="525"/>
    </row>
    <row r="1000" ht="12.75" customHeight="1">
      <c r="I1000" s="525"/>
    </row>
    <row r="1001" ht="12.75" customHeight="1">
      <c r="I1001" s="525"/>
    </row>
    <row r="1002" ht="12.75" customHeight="1">
      <c r="I1002" s="525"/>
    </row>
    <row r="1003" ht="12.75" customHeight="1">
      <c r="I1003" s="525"/>
    </row>
    <row r="1004" ht="12.75" customHeight="1">
      <c r="I1004" s="525"/>
    </row>
    <row r="1005" ht="12.75" customHeight="1">
      <c r="I1005" s="525"/>
    </row>
    <row r="1006" ht="12.75" customHeight="1">
      <c r="I1006" s="525"/>
    </row>
    <row r="1007" ht="12.75" customHeight="1">
      <c r="I1007" s="525"/>
    </row>
    <row r="1008" ht="12.75" customHeight="1">
      <c r="I1008" s="525"/>
    </row>
    <row r="1009" ht="12.75" customHeight="1">
      <c r="I1009" s="525"/>
    </row>
    <row r="1010" ht="12.75" customHeight="1">
      <c r="I1010" s="525"/>
    </row>
    <row r="1011" ht="12.75" customHeight="1">
      <c r="I1011" s="525"/>
    </row>
    <row r="1012" ht="12.75" customHeight="1">
      <c r="I1012" s="525"/>
    </row>
    <row r="1013" ht="12.75" customHeight="1">
      <c r="I1013" s="525"/>
    </row>
    <row r="1014" ht="12.75" customHeight="1">
      <c r="I1014" s="525"/>
    </row>
    <row r="1015" ht="12.75" customHeight="1">
      <c r="I1015" s="525"/>
    </row>
    <row r="1016" ht="12.75" customHeight="1">
      <c r="I1016" s="525"/>
    </row>
    <row r="1017" ht="12.75" customHeight="1">
      <c r="I1017" s="525"/>
    </row>
    <row r="1018" ht="12.75" customHeight="1">
      <c r="I1018" s="525"/>
    </row>
    <row r="1019" ht="12.75" customHeight="1">
      <c r="I1019" s="525"/>
    </row>
    <row r="1020" ht="12.75" customHeight="1">
      <c r="I1020" s="525"/>
    </row>
    <row r="1021" ht="12.75" customHeight="1">
      <c r="I1021" s="525"/>
    </row>
    <row r="1022" ht="12.75" customHeight="1">
      <c r="I1022" s="525"/>
    </row>
    <row r="1023" ht="12.75" customHeight="1">
      <c r="I1023" s="525"/>
    </row>
    <row r="1024" ht="12.75" customHeight="1">
      <c r="I1024" s="525"/>
    </row>
    <row r="1025" ht="12.75" customHeight="1">
      <c r="I1025" s="525"/>
    </row>
    <row r="1026" ht="12.75" customHeight="1">
      <c r="I1026" s="525"/>
    </row>
    <row r="1027" ht="12.75" customHeight="1">
      <c r="I1027" s="525"/>
    </row>
    <row r="1028" ht="12.75" customHeight="1">
      <c r="I1028" s="525"/>
    </row>
    <row r="1029" ht="12.75" customHeight="1">
      <c r="I1029" s="525"/>
    </row>
    <row r="1030" ht="12.75" customHeight="1">
      <c r="I1030" s="525"/>
    </row>
    <row r="1031" ht="12.75" customHeight="1">
      <c r="I1031" s="525"/>
    </row>
    <row r="1032" ht="12.75" customHeight="1">
      <c r="I1032" s="525"/>
    </row>
    <row r="1033" ht="12.75" customHeight="1">
      <c r="I1033" s="525"/>
    </row>
    <row r="1034" ht="12.75" customHeight="1">
      <c r="I1034" s="525"/>
    </row>
    <row r="1035" ht="12.75" customHeight="1">
      <c r="I1035" s="525"/>
    </row>
    <row r="1036" ht="12.75" customHeight="1">
      <c r="I1036" s="525"/>
    </row>
    <row r="1037" ht="12.75" customHeight="1">
      <c r="I1037" s="525"/>
    </row>
    <row r="1038" ht="12.75" customHeight="1">
      <c r="I1038" s="525"/>
    </row>
    <row r="1039" ht="12.75" customHeight="1">
      <c r="I1039" s="525"/>
    </row>
    <row r="1040" ht="12.75" customHeight="1">
      <c r="I1040" s="525"/>
    </row>
    <row r="1041" ht="12.75" customHeight="1">
      <c r="I1041" s="525"/>
    </row>
    <row r="1042" ht="12.75" customHeight="1">
      <c r="I1042" s="525"/>
    </row>
    <row r="1043" ht="12.75" customHeight="1">
      <c r="I1043" s="525"/>
    </row>
    <row r="1044" ht="12.75" customHeight="1">
      <c r="I1044" s="525"/>
    </row>
    <row r="1045" ht="12.75" customHeight="1">
      <c r="I1045" s="525"/>
    </row>
  </sheetData>
  <mergeCells count="2">
    <mergeCell ref="A48:K48"/>
    <mergeCell ref="G49:H49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9.63"/>
    <col customWidth="1" min="3" max="7" width="7.38"/>
    <col customWidth="1" min="8" max="8" width="2.5"/>
    <col customWidth="1" min="9" max="13" width="7.38"/>
    <col customWidth="1" min="14" max="14" width="2.5"/>
    <col customWidth="1" min="15" max="19" width="7.38"/>
    <col customWidth="1" min="20" max="20" width="2.5"/>
    <col customWidth="1" hidden="1" min="21" max="23" width="11.25"/>
    <col customWidth="1" hidden="1" min="24" max="24" width="10.75"/>
    <col customWidth="1" hidden="1" min="25" max="25" width="9.75"/>
    <col customWidth="1" min="26" max="26" width="7.63"/>
    <col customWidth="1" min="27" max="29" width="16.5"/>
    <col customWidth="1" min="30" max="30" width="3.25"/>
    <col customWidth="1" min="31" max="37" width="16.5"/>
  </cols>
  <sheetData>
    <row r="1">
      <c r="A1" s="542" t="s">
        <v>1188</v>
      </c>
    </row>
    <row r="3">
      <c r="B3" s="544" t="s">
        <v>1191</v>
      </c>
      <c r="C3" s="545"/>
      <c r="D3" s="545"/>
      <c r="E3" s="545"/>
      <c r="F3" s="545"/>
      <c r="G3" s="545"/>
      <c r="H3" s="545"/>
      <c r="I3" s="545"/>
      <c r="J3" s="545"/>
      <c r="K3" s="545"/>
      <c r="L3" s="545"/>
      <c r="M3" s="545"/>
      <c r="N3" s="545"/>
      <c r="O3" s="545"/>
      <c r="P3" s="545"/>
      <c r="Q3" s="545"/>
      <c r="R3" s="545"/>
      <c r="S3" s="545"/>
      <c r="T3" s="545"/>
      <c r="U3" s="548"/>
      <c r="V3" s="548"/>
      <c r="W3" s="548"/>
      <c r="X3" s="548"/>
      <c r="Y3" s="548"/>
    </row>
    <row r="4">
      <c r="C4" s="549" t="s">
        <v>1195</v>
      </c>
      <c r="D4" s="550"/>
      <c r="E4" s="550"/>
      <c r="F4" s="550"/>
      <c r="G4" s="550"/>
      <c r="I4" s="551" t="s">
        <v>1196</v>
      </c>
      <c r="J4" s="552"/>
      <c r="K4" s="552"/>
      <c r="L4" s="552"/>
      <c r="M4" s="552"/>
      <c r="O4" s="554" t="s">
        <v>1197</v>
      </c>
      <c r="P4" s="556"/>
      <c r="Q4" s="556"/>
      <c r="R4" s="556"/>
      <c r="S4" s="556"/>
      <c r="U4" s="548"/>
      <c r="V4" s="548"/>
      <c r="W4" s="548"/>
      <c r="X4" s="548"/>
      <c r="Y4" s="548"/>
      <c r="AA4" s="558" t="s">
        <v>1201</v>
      </c>
      <c r="AB4" s="559"/>
      <c r="AC4" s="560"/>
    </row>
    <row r="5">
      <c r="B5" s="226" t="s">
        <v>1203</v>
      </c>
      <c r="C5" s="562" t="s">
        <v>1204</v>
      </c>
      <c r="D5" s="562" t="s">
        <v>1206</v>
      </c>
      <c r="E5" s="562" t="s">
        <v>1207</v>
      </c>
      <c r="F5" s="562" t="s">
        <v>1208</v>
      </c>
      <c r="G5" s="562" t="s">
        <v>129</v>
      </c>
      <c r="I5" s="564" t="s">
        <v>1204</v>
      </c>
      <c r="J5" s="564" t="s">
        <v>1206</v>
      </c>
      <c r="K5" s="564" t="s">
        <v>1207</v>
      </c>
      <c r="L5" s="564" t="s">
        <v>1208</v>
      </c>
      <c r="M5" s="564" t="s">
        <v>129</v>
      </c>
      <c r="O5" s="565" t="s">
        <v>1204</v>
      </c>
      <c r="P5" s="565" t="s">
        <v>1206</v>
      </c>
      <c r="Q5" s="565" t="s">
        <v>1207</v>
      </c>
      <c r="R5" s="565" t="s">
        <v>1208</v>
      </c>
      <c r="S5" s="568" t="s">
        <v>1215</v>
      </c>
      <c r="U5" s="548"/>
      <c r="V5" s="548"/>
      <c r="W5" s="548"/>
      <c r="X5" s="548"/>
      <c r="Y5" s="548"/>
      <c r="AA5" s="568" t="s">
        <v>1216</v>
      </c>
      <c r="AB5" s="568" t="s">
        <v>180</v>
      </c>
      <c r="AC5" s="568" t="s">
        <v>1192</v>
      </c>
    </row>
    <row r="6">
      <c r="B6" s="569" t="s">
        <v>180</v>
      </c>
      <c r="C6" s="569"/>
      <c r="D6" s="569"/>
      <c r="E6" s="569"/>
      <c r="F6" s="569"/>
      <c r="G6" s="569"/>
      <c r="H6" s="569"/>
      <c r="I6" s="569"/>
      <c r="J6" s="569"/>
      <c r="K6" s="569"/>
      <c r="L6" s="569"/>
      <c r="M6" s="569"/>
      <c r="N6" s="569"/>
      <c r="O6" s="569"/>
      <c r="P6" s="569"/>
      <c r="Q6" s="569"/>
      <c r="R6" s="569"/>
      <c r="S6" s="569"/>
      <c r="U6" s="548"/>
      <c r="V6" s="548"/>
      <c r="W6" s="548"/>
      <c r="X6" s="548"/>
      <c r="Y6" s="548"/>
      <c r="AA6" s="574" t="str">
        <f t="array" ref="AA6:AA18">TRANSPOSE(EcoGainsSim!C65:O65)</f>
        <v>HC</v>
      </c>
      <c r="AB6" s="575" t="str">
        <f>TEXT(M31-G31, "+#,##0.0;-#,##0.0;0.0") &amp; " (" &amp; TEXT(S31, "+0%;-0%;0%") &amp; ")"</f>
        <v>+25.2 (+9%)</v>
      </c>
      <c r="AC6" s="576" t="str">
        <f>TEXT(M38-G38, "+#,##0.0;-#,##0.0;0.0") &amp; " (" &amp; TEXT(S38, "+0%;-0%;0%") &amp; ")"</f>
        <v>+65.8 (+11%)</v>
      </c>
    </row>
    <row r="7">
      <c r="B7" s="577" t="s">
        <v>19</v>
      </c>
      <c r="C7" s="586">
        <f>C26*item_vals!$B$3 + C45*item_vals!$J$3 + C64*item_vals!$I$3 + C83*item_vals!$H$3 + C102*item_vals!$E$3 + C121*item_vals!$F$3 + C140*item_vals!$G$3 + C159*item_vals!$N$3 + C178*item_vals!$M$3 + C197*item_vals!$L$3 + C216*item_vals!$K$3 + C235*item_vals!$C$3 + C254*item_vals!$D$3</f>
        <v>0</v>
      </c>
      <c r="D7" s="586">
        <f>D26*item_vals!$B$3 + D45*item_vals!$J$3 + D64*item_vals!$I$3 + D83*item_vals!$H$3 + D102*item_vals!$E$3 + D121*item_vals!$F$3 + D140*item_vals!$G$3 + D159*item_vals!$N$3 + D178*item_vals!$M$3 + D197*item_vals!$L$3 + D216*item_vals!$K$3 + D235*item_vals!$C$3 + D254*item_vals!$D$3</f>
        <v>72.2139</v>
      </c>
      <c r="E7" s="586">
        <f>E26*item_vals!$B$3 + E45*item_vals!$J$3 + E64*item_vals!$I$3 + E83*item_vals!$H$3 + E102*item_vals!$E$3 + E121*item_vals!$F$3 + E140*item_vals!$G$3 + E159*item_vals!$N$3 + E178*item_vals!$M$3 + E197*item_vals!$L$3 + E216*item_vals!$K$3 + E235*item_vals!$C$3 + E254*item_vals!$D$3</f>
        <v>1441.5672</v>
      </c>
      <c r="F7" s="586">
        <f>F26*item_vals!$B$3 + F45*item_vals!$J$3 + F64*item_vals!$I$3 + F83*item_vals!$H$3 + F102*item_vals!$E$3 + F121*item_vals!$F$3 + F140*item_vals!$G$3 + F159*item_vals!$N$3 + F178*item_vals!$M$3 + F197*item_vals!$L$3 + F216*item_vals!$K$3 + F235*item_vals!$C$3 + F254*item_vals!$D$3</f>
        <v>1572.6714</v>
      </c>
      <c r="G7" s="588">
        <f>G26*item_vals!$B$3 + G45*item_vals!$J$3 + G64*item_vals!$I$3 + G83*item_vals!$H$3 + G102*item_vals!$E$3 + G121*item_vals!$F$3 + G140*item_vals!$G$3 + G159*item_vals!$N$3 + G178*item_vals!$M$3 + G197*item_vals!$L$3 + G216*item_vals!$K$3 + G235*item_vals!$C$3 + G254*item_vals!$D$3</f>
        <v>3086.4525</v>
      </c>
      <c r="I7" s="586">
        <f>I26*item_vals!$B$3 + I45*item_vals!$J$3 + I64*item_vals!$I$3 + I83*item_vals!$H$3 + I102*item_vals!$E$3 + I121*item_vals!$F$3 + I140*item_vals!$G$3 + I159*item_vals!$N$3 + I178*item_vals!$M$3 + I197*item_vals!$L$3 + I216*item_vals!$K$3 + I235*item_vals!$C$3 + I254*item_vals!$D$3</f>
        <v>0</v>
      </c>
      <c r="J7" s="586">
        <f>J26*item_vals!$B$3 + J45*item_vals!$J$3 + J64*item_vals!$I$3 + J83*item_vals!$H$3 + J102*item_vals!$E$3 + J121*item_vals!$F$3 + J140*item_vals!$G$3 + J159*item_vals!$N$3 + J178*item_vals!$M$3 + J197*item_vals!$L$3 + J216*item_vals!$K$3 + J235*item_vals!$C$3 + J254*item_vals!$D$3</f>
        <v>72.2139</v>
      </c>
      <c r="K7" s="586">
        <f>K26*item_vals!$B$3 + K45*item_vals!$J$3 + K64*item_vals!$I$3 + K83*item_vals!$H$3 + K102*item_vals!$E$3 + K121*item_vals!$F$3 + K140*item_vals!$G$3 + K159*item_vals!$N$3 + K178*item_vals!$M$3 + K197*item_vals!$L$3 + K216*item_vals!$K$3 + K235*item_vals!$C$3 + K254*item_vals!$D$3</f>
        <v>1429.5272</v>
      </c>
      <c r="L7" s="586">
        <f>L26*item_vals!$B$3 + L45*item_vals!$J$3 + L64*item_vals!$I$3 + L83*item_vals!$H$3 + L102*item_vals!$E$3 + L121*item_vals!$F$3 + L140*item_vals!$G$3 + L159*item_vals!$N$3 + L178*item_vals!$M$3 + L197*item_vals!$L$3 + L216*item_vals!$K$3 + L235*item_vals!$C$3 + L254*item_vals!$D$3</f>
        <v>1546.6956</v>
      </c>
      <c r="M7" s="588">
        <f>M26*item_vals!$B$3 + M45*item_vals!$J$3 + M64*item_vals!$I$3 + M83*item_vals!$H$3 + M102*item_vals!$E$3 + M121*item_vals!$F$3 + M140*item_vals!$G$3 + M159*item_vals!$N$3 + M178*item_vals!$M$3 + M197*item_vals!$L$3 + M216*item_vals!$K$3 + M235*item_vals!$C$3 + M254*item_vals!$D$3</f>
        <v>3048.4367</v>
      </c>
      <c r="O7" s="575" t="str">
        <f t="shared" ref="O7:S7" si="1">IFERROR(I7/C7-1,"")</f>
        <v/>
      </c>
      <c r="P7" s="575">
        <f t="shared" si="1"/>
        <v>0</v>
      </c>
      <c r="Q7" s="575">
        <f t="shared" si="1"/>
        <v>-0.008352021328</v>
      </c>
      <c r="R7" s="575">
        <f t="shared" si="1"/>
        <v>-0.01651699141</v>
      </c>
      <c r="S7" s="575">
        <f t="shared" si="1"/>
        <v>-0.01231698852</v>
      </c>
      <c r="U7" s="548"/>
      <c r="V7" s="548"/>
      <c r="W7" s="548"/>
      <c r="X7" s="548"/>
      <c r="Y7" s="548"/>
      <c r="AA7" s="591" t="s">
        <v>52</v>
      </c>
      <c r="AB7" s="593" t="str">
        <f>TEXT(M50-G50, "+#,##0.0;-#,##0.0;0.0") &amp; " (" &amp; TEXT(S50, "+0%;-0%;0%") &amp; ")"</f>
        <v>-2.0 (-37%)</v>
      </c>
      <c r="AC7" s="594" t="str">
        <f>TEXT(M57-G57, "+#,##0.0;-#,##0.0;0.0") &amp; " (" &amp; TEXT(S57, "+0%;-0%;0%") &amp; ")"</f>
        <v>-3.1 (-34%)</v>
      </c>
    </row>
    <row r="8">
      <c r="B8" s="577" t="s">
        <v>21</v>
      </c>
      <c r="C8" s="586">
        <f>C27*item_vals!$B$3 + C46*item_vals!$J$3 + C65*item_vals!$I$3 + C84*item_vals!$H$3 + C103*item_vals!$E$3 + C122*item_vals!$F$3 + C141*item_vals!$G$3 + C160*item_vals!$N$3 + C179*item_vals!$M$3 + C198*item_vals!$L$3 + C217*item_vals!$K$3 + C236*item_vals!$C$3 + C255*item_vals!$D$3</f>
        <v>0</v>
      </c>
      <c r="D8" s="586">
        <f>D27*item_vals!$B$3 + D46*item_vals!$J$3 + D65*item_vals!$I$3 + D84*item_vals!$H$3 + D103*item_vals!$E$3 + D122*item_vals!$F$3 + D141*item_vals!$G$3 + D160*item_vals!$N$3 + D179*item_vals!$M$3 + D198*item_vals!$L$3 + D217*item_vals!$K$3 + D236*item_vals!$C$3 + D255*item_vals!$D$3</f>
        <v>72.1517</v>
      </c>
      <c r="E8" s="586">
        <f>E27*item_vals!$B$3 + E46*item_vals!$J$3 + E65*item_vals!$I$3 + E84*item_vals!$H$3 + E103*item_vals!$E$3 + E122*item_vals!$F$3 + E141*item_vals!$G$3 + E160*item_vals!$N$3 + E179*item_vals!$M$3 + E198*item_vals!$L$3 + E217*item_vals!$K$3 + E236*item_vals!$C$3 + E255*item_vals!$D$3</f>
        <v>1740.9092</v>
      </c>
      <c r="F8" s="586">
        <f>F27*item_vals!$B$3 + F46*item_vals!$J$3 + F65*item_vals!$I$3 + F84*item_vals!$H$3 + F103*item_vals!$E$3 + F122*item_vals!$F$3 + F141*item_vals!$G$3 + F160*item_vals!$N$3 + F179*item_vals!$M$3 + F198*item_vals!$L$3 + F217*item_vals!$K$3 + F236*item_vals!$C$3 + F255*item_vals!$D$3</f>
        <v>2059.0428</v>
      </c>
      <c r="G8" s="588">
        <f>G27*item_vals!$B$3 + G46*item_vals!$J$3 + G65*item_vals!$I$3 + G84*item_vals!$H$3 + G103*item_vals!$E$3 + G122*item_vals!$F$3 + G141*item_vals!$G$3 + G160*item_vals!$N$3 + G179*item_vals!$M$3 + G198*item_vals!$L$3 + G217*item_vals!$K$3 + G236*item_vals!$C$3 + G255*item_vals!$D$3</f>
        <v>3872.1037</v>
      </c>
      <c r="I8" s="586">
        <f>I27*item_vals!$B$3 + I46*item_vals!$J$3 + I65*item_vals!$I$3 + I84*item_vals!$H$3 + I103*item_vals!$E$3 + I122*item_vals!$F$3 + I141*item_vals!$G$3 + I160*item_vals!$N$3 + I179*item_vals!$M$3 + I198*item_vals!$L$3 + I217*item_vals!$K$3 + I236*item_vals!$C$3 + I255*item_vals!$D$3</f>
        <v>0</v>
      </c>
      <c r="J8" s="586">
        <f>J27*item_vals!$B$3 + J46*item_vals!$J$3 + J65*item_vals!$I$3 + J84*item_vals!$H$3 + J103*item_vals!$E$3 + J122*item_vals!$F$3 + J141*item_vals!$G$3 + J160*item_vals!$N$3 + J179*item_vals!$M$3 + J198*item_vals!$L$3 + J217*item_vals!$K$3 + J236*item_vals!$C$3 + J255*item_vals!$D$3</f>
        <v>72.1517</v>
      </c>
      <c r="K8" s="586">
        <f>K27*item_vals!$B$3 + K46*item_vals!$J$3 + K65*item_vals!$I$3 + K84*item_vals!$H$3 + K103*item_vals!$E$3 + K122*item_vals!$F$3 + K141*item_vals!$G$3 + K160*item_vals!$N$3 + K179*item_vals!$M$3 + K198*item_vals!$L$3 + K217*item_vals!$K$3 + K236*item_vals!$C$3 + K255*item_vals!$D$3</f>
        <v>1718.2092</v>
      </c>
      <c r="L8" s="586">
        <f>L27*item_vals!$B$3 + L46*item_vals!$J$3 + L65*item_vals!$I$3 + L84*item_vals!$H$3 + L103*item_vals!$E$3 + L122*item_vals!$F$3 + L141*item_vals!$G$3 + L160*item_vals!$N$3 + L179*item_vals!$M$3 + L198*item_vals!$L$3 + L217*item_vals!$K$3 + L236*item_vals!$C$3 + L255*item_vals!$D$3</f>
        <v>2040.7367</v>
      </c>
      <c r="M8" s="588">
        <f>M27*item_vals!$B$3 + M46*item_vals!$J$3 + M65*item_vals!$I$3 + M84*item_vals!$H$3 + M103*item_vals!$E$3 + M122*item_vals!$F$3 + M141*item_vals!$G$3 + M160*item_vals!$N$3 + M179*item_vals!$M$3 + M198*item_vals!$L$3 + M217*item_vals!$K$3 + M236*item_vals!$C$3 + M255*item_vals!$D$3</f>
        <v>3831.0976</v>
      </c>
      <c r="O8" s="575" t="str">
        <f t="shared" ref="O8:S8" si="2">IFERROR(I8/C8-1,"")</f>
        <v/>
      </c>
      <c r="P8" s="575">
        <f t="shared" si="2"/>
        <v>0</v>
      </c>
      <c r="Q8" s="575">
        <f t="shared" si="2"/>
        <v>-0.01303916367</v>
      </c>
      <c r="R8" s="575">
        <f t="shared" si="2"/>
        <v>-0.008890587413</v>
      </c>
      <c r="S8" s="575">
        <f t="shared" si="2"/>
        <v>-0.01059013476</v>
      </c>
      <c r="U8" s="548"/>
      <c r="V8" s="548"/>
      <c r="W8" s="548"/>
      <c r="X8" s="548"/>
      <c r="Y8" s="548"/>
      <c r="AA8" s="574" t="s">
        <v>53</v>
      </c>
      <c r="AB8" s="575" t="str">
        <f>TEXT(M69-G69, "+#,##0.0;-#,##0.0;0.0") &amp; " (" &amp; TEXT(S69, "+0%;-0%;0%") &amp; ")"</f>
        <v>0.0 (0%)</v>
      </c>
      <c r="AC8" s="576" t="str">
        <f>TEXT(M76-G76, "+#,##0.0;-#,##0.0;0.0") &amp; " (" &amp; TEXT(S76, "+0%;-0%;0%") &amp; ")"</f>
        <v>-0.0 (-0%)</v>
      </c>
    </row>
    <row r="9">
      <c r="B9" s="577" t="s">
        <v>22</v>
      </c>
      <c r="C9" s="586">
        <f>C28*item_vals!$B$3 + C47*item_vals!$J$3 + C66*item_vals!$I$3 + C85*item_vals!$H$3 + C104*item_vals!$E$3 + C123*item_vals!$F$3 + C142*item_vals!$G$3 + C161*item_vals!$N$3 + C180*item_vals!$M$3 + C199*item_vals!$L$3 + C218*item_vals!$K$3 + C237*item_vals!$C$3 + C256*item_vals!$D$3</f>
        <v>0</v>
      </c>
      <c r="D9" s="586">
        <f>D28*item_vals!$B$3 + D47*item_vals!$J$3 + D66*item_vals!$I$3 + D85*item_vals!$H$3 + D104*item_vals!$E$3 + D123*item_vals!$F$3 + D142*item_vals!$G$3 + D161*item_vals!$N$3 + D180*item_vals!$M$3 + D199*item_vals!$L$3 + D218*item_vals!$K$3 + D237*item_vals!$C$3 + D256*item_vals!$D$3</f>
        <v>69.0401</v>
      </c>
      <c r="E9" s="586">
        <f>E28*item_vals!$B$3 + E47*item_vals!$J$3 + E66*item_vals!$I$3 + E85*item_vals!$H$3 + E104*item_vals!$E$3 + E123*item_vals!$F$3 + E142*item_vals!$G$3 + E161*item_vals!$N$3 + E180*item_vals!$M$3 + E199*item_vals!$L$3 + E218*item_vals!$K$3 + E237*item_vals!$C$3 + E256*item_vals!$D$3</f>
        <v>2462.7857</v>
      </c>
      <c r="F9" s="586">
        <f>F28*item_vals!$B$3 + F47*item_vals!$J$3 + F66*item_vals!$I$3 + F85*item_vals!$H$3 + F104*item_vals!$E$3 + F123*item_vals!$F$3 + F142*item_vals!$G$3 + F161*item_vals!$N$3 + F180*item_vals!$M$3 + F199*item_vals!$L$3 + F218*item_vals!$K$3 + F237*item_vals!$C$3 + F256*item_vals!$D$3</f>
        <v>2746.4167</v>
      </c>
      <c r="G9" s="588">
        <f>G28*item_vals!$B$3 + G47*item_vals!$J$3 + G66*item_vals!$I$3 + G85*item_vals!$H$3 + G104*item_vals!$E$3 + G123*item_vals!$F$3 + G142*item_vals!$G$3 + G161*item_vals!$N$3 + G180*item_vals!$M$3 + G199*item_vals!$L$3 + G218*item_vals!$K$3 + G237*item_vals!$C$3 + G256*item_vals!$D$3</f>
        <v>5278.2425</v>
      </c>
      <c r="I9" s="586">
        <f>I28*item_vals!$B$3 + I47*item_vals!$J$3 + I66*item_vals!$I$3 + I85*item_vals!$H$3 + I104*item_vals!$E$3 + I123*item_vals!$F$3 + I142*item_vals!$G$3 + I161*item_vals!$N$3 + I180*item_vals!$M$3 + I199*item_vals!$L$3 + I218*item_vals!$K$3 + I237*item_vals!$C$3 + I256*item_vals!$D$3</f>
        <v>0</v>
      </c>
      <c r="J9" s="586">
        <f>J28*item_vals!$B$3 + J47*item_vals!$J$3 + J66*item_vals!$I$3 + J85*item_vals!$H$3 + J104*item_vals!$E$3 + J123*item_vals!$F$3 + J142*item_vals!$G$3 + J161*item_vals!$N$3 + J180*item_vals!$M$3 + J199*item_vals!$L$3 + J218*item_vals!$K$3 + J237*item_vals!$C$3 + J256*item_vals!$D$3</f>
        <v>69.0401</v>
      </c>
      <c r="K9" s="586">
        <f>K28*item_vals!$B$3 + K47*item_vals!$J$3 + K66*item_vals!$I$3 + K85*item_vals!$H$3 + K104*item_vals!$E$3 + K123*item_vals!$F$3 + K142*item_vals!$G$3 + K161*item_vals!$N$3 + K180*item_vals!$M$3 + K199*item_vals!$L$3 + K218*item_vals!$K$3 + K237*item_vals!$C$3 + K256*item_vals!$D$3</f>
        <v>2433.7257</v>
      </c>
      <c r="L9" s="586">
        <f>L28*item_vals!$B$3 + L47*item_vals!$J$3 + L66*item_vals!$I$3 + L85*item_vals!$H$3 + L104*item_vals!$E$3 + L123*item_vals!$F$3 + L142*item_vals!$G$3 + L161*item_vals!$N$3 + L180*item_vals!$M$3 + L199*item_vals!$L$3 + L218*item_vals!$K$3 + L237*item_vals!$C$3 + L256*item_vals!$D$3</f>
        <v>2739.1544</v>
      </c>
      <c r="M9" s="588">
        <f>M28*item_vals!$B$3 + M47*item_vals!$J$3 + M66*item_vals!$I$3 + M85*item_vals!$H$3 + M104*item_vals!$E$3 + M123*item_vals!$F$3 + M142*item_vals!$G$3 + M161*item_vals!$N$3 + M180*item_vals!$M$3 + M199*item_vals!$L$3 + M218*item_vals!$K$3 + M237*item_vals!$C$3 + M256*item_vals!$D$3</f>
        <v>5241.9202</v>
      </c>
      <c r="O9" s="575" t="str">
        <f t="shared" ref="O9:S9" si="3">IFERROR(I9/C9-1,"")</f>
        <v/>
      </c>
      <c r="P9" s="575">
        <f t="shared" si="3"/>
        <v>0</v>
      </c>
      <c r="Q9" s="575">
        <f t="shared" si="3"/>
        <v>-0.01179964623</v>
      </c>
      <c r="R9" s="575">
        <f t="shared" si="3"/>
        <v>-0.002644281911</v>
      </c>
      <c r="S9" s="575">
        <f t="shared" si="3"/>
        <v>-0.006881514065</v>
      </c>
      <c r="U9" s="548"/>
      <c r="V9" s="548"/>
      <c r="W9" s="548"/>
      <c r="X9" s="548"/>
      <c r="Y9" s="548"/>
      <c r="AA9" s="595" t="s">
        <v>54</v>
      </c>
      <c r="AB9" s="575" t="str">
        <f>TEXT(M88-G88, "+#,##0.0;-#,##0.0;0.0") &amp; " (" &amp; TEXT(S88, "+0%;-0%;0%") &amp; ")"</f>
        <v>0.0 (0%)</v>
      </c>
      <c r="AC9" s="576" t="str">
        <f>TEXT(M95-G95, "+#,##0.0;-#,##0.0;0.0") &amp; " (" &amp; TEXT(S95, "+0%;-0%;0%") &amp; ")"</f>
        <v>0.0 (0%)</v>
      </c>
    </row>
    <row r="10">
      <c r="B10" s="577" t="s">
        <v>24</v>
      </c>
      <c r="C10" s="586">
        <f>C29*item_vals!$B$3 + C48*item_vals!$J$3 + C67*item_vals!$I$3 + C86*item_vals!$H$3 + C105*item_vals!$E$3 + C124*item_vals!$F$3 + C143*item_vals!$G$3 + C162*item_vals!$N$3 + C181*item_vals!$M$3 + C200*item_vals!$L$3 + C219*item_vals!$K$3 + C238*item_vals!$C$3 + C257*item_vals!$D$3</f>
        <v>0</v>
      </c>
      <c r="D10" s="586">
        <f>D29*item_vals!$B$3 + D48*item_vals!$J$3 + D67*item_vals!$I$3 + D86*item_vals!$H$3 + D105*item_vals!$E$3 + D124*item_vals!$F$3 + D143*item_vals!$G$3 + D162*item_vals!$N$3 + D181*item_vals!$M$3 + D200*item_vals!$L$3 + D219*item_vals!$K$3 + D238*item_vals!$C$3 + D257*item_vals!$D$3</f>
        <v>80.062</v>
      </c>
      <c r="E10" s="586">
        <f>E29*item_vals!$B$3 + E48*item_vals!$J$3 + E67*item_vals!$I$3 + E86*item_vals!$H$3 + E105*item_vals!$E$3 + E124*item_vals!$F$3 + E143*item_vals!$G$3 + E162*item_vals!$N$3 + E181*item_vals!$M$3 + E200*item_vals!$L$3 + E219*item_vals!$K$3 + E238*item_vals!$C$3 + E257*item_vals!$D$3</f>
        <v>4802.358</v>
      </c>
      <c r="F10" s="586">
        <f>F29*item_vals!$B$3 + F48*item_vals!$J$3 + F67*item_vals!$I$3 + F86*item_vals!$H$3 + F105*item_vals!$E$3 + F124*item_vals!$F$3 + F143*item_vals!$G$3 + F162*item_vals!$N$3 + F181*item_vals!$M$3 + F200*item_vals!$L$3 + F219*item_vals!$K$3 + F238*item_vals!$C$3 + F257*item_vals!$D$3</f>
        <v>4046.573</v>
      </c>
      <c r="G10" s="588">
        <f>G29*item_vals!$B$3 + G48*item_vals!$J$3 + G67*item_vals!$I$3 + G86*item_vals!$H$3 + G105*item_vals!$E$3 + G124*item_vals!$F$3 + G143*item_vals!$G$3 + G162*item_vals!$N$3 + G181*item_vals!$M$3 + G200*item_vals!$L$3 + G219*item_vals!$K$3 + G238*item_vals!$C$3 + G257*item_vals!$D$3</f>
        <v>8928.993</v>
      </c>
      <c r="I10" s="586">
        <f>I29*item_vals!$B$3 + I48*item_vals!$J$3 + I67*item_vals!$I$3 + I86*item_vals!$H$3 + I105*item_vals!$E$3 + I124*item_vals!$F$3 + I143*item_vals!$G$3 + I162*item_vals!$N$3 + I181*item_vals!$M$3 + I200*item_vals!$L$3 + I219*item_vals!$K$3 + I238*item_vals!$C$3 + I257*item_vals!$D$3</f>
        <v>0</v>
      </c>
      <c r="J10" s="586">
        <f>J29*item_vals!$B$3 + J48*item_vals!$J$3 + J67*item_vals!$I$3 + J86*item_vals!$H$3 + J105*item_vals!$E$3 + J124*item_vals!$F$3 + J143*item_vals!$G$3 + J162*item_vals!$N$3 + J181*item_vals!$M$3 + J200*item_vals!$L$3 + J219*item_vals!$K$3 + J238*item_vals!$C$3 + J257*item_vals!$D$3</f>
        <v>80.062</v>
      </c>
      <c r="K10" s="586">
        <f>K29*item_vals!$B$3 + K48*item_vals!$J$3 + K67*item_vals!$I$3 + K86*item_vals!$H$3 + K105*item_vals!$E$3 + K124*item_vals!$F$3 + K143*item_vals!$G$3 + K162*item_vals!$N$3 + K181*item_vals!$M$3 + K200*item_vals!$L$3 + K219*item_vals!$K$3 + K238*item_vals!$C$3 + K257*item_vals!$D$3</f>
        <v>4755.178</v>
      </c>
      <c r="L10" s="586">
        <f>L29*item_vals!$B$3 + L48*item_vals!$J$3 + L67*item_vals!$I$3 + L86*item_vals!$H$3 + L105*item_vals!$E$3 + L124*item_vals!$F$3 + L143*item_vals!$G$3 + L162*item_vals!$N$3 + L181*item_vals!$M$3 + L200*item_vals!$L$3 + L219*item_vals!$K$3 + L238*item_vals!$C$3 + L257*item_vals!$D$3</f>
        <v>4067.6454</v>
      </c>
      <c r="M10" s="588">
        <f>M29*item_vals!$B$3 + M48*item_vals!$J$3 + M67*item_vals!$I$3 + M86*item_vals!$H$3 + M105*item_vals!$E$3 + M124*item_vals!$F$3 + M143*item_vals!$G$3 + M162*item_vals!$N$3 + M181*item_vals!$M$3 + M200*item_vals!$L$3 + M219*item_vals!$K$3 + M238*item_vals!$C$3 + M257*item_vals!$D$3</f>
        <v>8902.8854</v>
      </c>
      <c r="O10" s="575" t="str">
        <f t="shared" ref="O10:S10" si="4">IFERROR(I10/C10-1,"")</f>
        <v/>
      </c>
      <c r="P10" s="575">
        <f t="shared" si="4"/>
        <v>0</v>
      </c>
      <c r="Q10" s="575">
        <f t="shared" si="4"/>
        <v>-0.009824340459</v>
      </c>
      <c r="R10" s="575">
        <f t="shared" si="4"/>
        <v>0.005207468147</v>
      </c>
      <c r="S10" s="575">
        <f t="shared" si="4"/>
        <v>-0.002923913145</v>
      </c>
      <c r="U10" s="548"/>
      <c r="V10" s="548"/>
      <c r="W10" s="548"/>
      <c r="X10" s="548"/>
      <c r="Y10" s="548"/>
      <c r="AA10" s="574" t="s">
        <v>47</v>
      </c>
      <c r="AB10" s="593" t="str">
        <f>TEXT(M107-G107, "+#,##0.0;-#,##0.0;0.0") &amp; " (" &amp; TEXT(S107, "+0%;-0%;0%") &amp; ")"</f>
        <v>+0.3 (+5%)</v>
      </c>
      <c r="AC10" s="594" t="str">
        <f>TEXT(M114-G114, "+#,##0.0;-#,##0.0;0.0") &amp; " (" &amp; TEXT(S114, "+0%;-0%;0%") &amp; ")"</f>
        <v>+0.5 (+6%)</v>
      </c>
    </row>
    <row r="11">
      <c r="B11" s="577" t="s">
        <v>26</v>
      </c>
      <c r="C11" s="586">
        <f>C30*item_vals!$B$3 + C49*item_vals!$J$3 + C68*item_vals!$I$3 + C87*item_vals!$H$3 + C106*item_vals!$E$3 + C125*item_vals!$F$3 + C144*item_vals!$G$3 + C163*item_vals!$N$3 + C182*item_vals!$M$3 + C201*item_vals!$L$3 + C220*item_vals!$K$3 + C239*item_vals!$C$3 + C258*item_vals!$D$3</f>
        <v>0</v>
      </c>
      <c r="D11" s="586">
        <f>D30*item_vals!$B$3 + D49*item_vals!$J$3 + D68*item_vals!$I$3 + D87*item_vals!$H$3 + D106*item_vals!$E$3 + D125*item_vals!$F$3 + D144*item_vals!$G$3 + D163*item_vals!$N$3 + D182*item_vals!$M$3 + D201*item_vals!$L$3 + D220*item_vals!$K$3 + D239*item_vals!$C$3 + D258*item_vals!$D$3</f>
        <v>85.101</v>
      </c>
      <c r="E11" s="586">
        <f>E30*item_vals!$B$3 + E49*item_vals!$J$3 + E68*item_vals!$I$3 + E87*item_vals!$H$3 + E106*item_vals!$E$3 + E125*item_vals!$F$3 + E144*item_vals!$G$3 + E163*item_vals!$N$3 + E182*item_vals!$M$3 + E201*item_vals!$L$3 + E220*item_vals!$K$3 + E239*item_vals!$C$3 + E258*item_vals!$D$3</f>
        <v>8388.2513</v>
      </c>
      <c r="F11" s="586">
        <f>F30*item_vals!$B$3 + F49*item_vals!$J$3 + F68*item_vals!$I$3 + F87*item_vals!$H$3 + F106*item_vals!$E$3 + F125*item_vals!$F$3 + F144*item_vals!$G$3 + F163*item_vals!$N$3 + F182*item_vals!$M$3 + F201*item_vals!$L$3 + F220*item_vals!$K$3 + F239*item_vals!$C$3 + F258*item_vals!$D$3</f>
        <v>5998.1229</v>
      </c>
      <c r="G11" s="588">
        <f>G30*item_vals!$B$3 + G49*item_vals!$J$3 + G68*item_vals!$I$3 + G87*item_vals!$H$3 + G106*item_vals!$E$3 + G125*item_vals!$F$3 + G144*item_vals!$G$3 + G163*item_vals!$N$3 + G182*item_vals!$M$3 + G201*item_vals!$L$3 + G220*item_vals!$K$3 + G239*item_vals!$C$3 + G258*item_vals!$D$3</f>
        <v>14471.4752</v>
      </c>
      <c r="I11" s="586">
        <f>I30*item_vals!$B$3 + I49*item_vals!$J$3 + I68*item_vals!$I$3 + I87*item_vals!$H$3 + I106*item_vals!$E$3 + I125*item_vals!$F$3 + I144*item_vals!$G$3 + I163*item_vals!$N$3 + I182*item_vals!$M$3 + I201*item_vals!$L$3 + I220*item_vals!$K$3 + I239*item_vals!$C$3 + I258*item_vals!$D$3</f>
        <v>0</v>
      </c>
      <c r="J11" s="586">
        <f>J30*item_vals!$B$3 + J49*item_vals!$J$3 + J68*item_vals!$I$3 + J87*item_vals!$H$3 + J106*item_vals!$E$3 + J125*item_vals!$F$3 + J144*item_vals!$G$3 + J163*item_vals!$N$3 + J182*item_vals!$M$3 + J201*item_vals!$L$3 + J220*item_vals!$K$3 + J239*item_vals!$C$3 + J258*item_vals!$D$3</f>
        <v>85.101</v>
      </c>
      <c r="K11" s="586">
        <f>K30*item_vals!$B$3 + K49*item_vals!$J$3 + K68*item_vals!$I$3 + K87*item_vals!$H$3 + K106*item_vals!$E$3 + K125*item_vals!$F$3 + K144*item_vals!$G$3 + K163*item_vals!$N$3 + K182*item_vals!$M$3 + K201*item_vals!$L$3 + K220*item_vals!$K$3 + K239*item_vals!$C$3 + K258*item_vals!$D$3</f>
        <v>8321.0513</v>
      </c>
      <c r="L11" s="586">
        <f>L30*item_vals!$B$3 + L49*item_vals!$J$3 + L68*item_vals!$I$3 + L87*item_vals!$H$3 + L106*item_vals!$E$3 + L125*item_vals!$F$3 + L144*item_vals!$G$3 + L163*item_vals!$N$3 + L182*item_vals!$M$3 + L201*item_vals!$L$3 + L220*item_vals!$K$3 + L239*item_vals!$C$3 + L258*item_vals!$D$3</f>
        <v>5919.1033</v>
      </c>
      <c r="M11" s="588">
        <f>M30*item_vals!$B$3 + M49*item_vals!$J$3 + M68*item_vals!$I$3 + M87*item_vals!$H$3 + M106*item_vals!$E$3 + M125*item_vals!$F$3 + M144*item_vals!$G$3 + M163*item_vals!$N$3 + M182*item_vals!$M$3 + M201*item_vals!$L$3 + M220*item_vals!$K$3 + M239*item_vals!$C$3 + M258*item_vals!$D$3</f>
        <v>14325.2556</v>
      </c>
      <c r="O11" s="575" t="str">
        <f t="shared" ref="O11:S11" si="5">IFERROR(I11/C11-1,"")</f>
        <v/>
      </c>
      <c r="P11" s="575">
        <f t="shared" si="5"/>
        <v>0</v>
      </c>
      <c r="Q11" s="575">
        <f t="shared" si="5"/>
        <v>-0.00801120491</v>
      </c>
      <c r="R11" s="575">
        <f t="shared" si="5"/>
        <v>-0.01317405484</v>
      </c>
      <c r="S11" s="575">
        <f t="shared" si="5"/>
        <v>-0.01010398719</v>
      </c>
      <c r="U11" s="548"/>
      <c r="V11" s="548"/>
      <c r="W11" s="548"/>
      <c r="X11" s="548"/>
      <c r="Y11" s="548"/>
      <c r="AA11" s="574" t="s">
        <v>48</v>
      </c>
      <c r="AB11" s="575" t="str">
        <f>TEXT(M126-G126, "+#,##0.0;-#,##0.0;0.0") &amp; " (" &amp; TEXT(S126, "+0%;-0%;0%") &amp; ")"</f>
        <v>+0.4 (+8%)</v>
      </c>
      <c r="AC11" s="576" t="str">
        <f>TEXT(M133-G133, "+#,##0.0;-#,##0.0;0.0") &amp; " (" &amp; TEXT(S133, "+0%;-0%;0%") &amp; ")"</f>
        <v>+0.6 (+8%)</v>
      </c>
    </row>
    <row r="12">
      <c r="B12" s="603" t="s">
        <v>1628</v>
      </c>
      <c r="C12" s="604">
        <f>C31*item_vals!$B$3 + C50*item_vals!$J$3 + C69*item_vals!$I$3 + C88*item_vals!$H$3 + C107*item_vals!$E$3 + C126*item_vals!$F$3 + C145*item_vals!$G$3 + C164*item_vals!$N$3 + C183*item_vals!$M$3 + C202*item_vals!$L$3 + C221*item_vals!$K$3 + C240*item_vals!$C$3 + C259*item_vals!$D$3</f>
        <v>0</v>
      </c>
      <c r="D12" s="604">
        <f>D31*item_vals!$B$3 + D50*item_vals!$J$3 + D69*item_vals!$I$3 + D88*item_vals!$H$3 + D107*item_vals!$E$3 + D126*item_vals!$F$3 + D145*item_vals!$G$3 + D164*item_vals!$N$3 + D183*item_vals!$M$3 + D202*item_vals!$L$3 + D221*item_vals!$K$3 + D240*item_vals!$C$3 + D259*item_vals!$D$3</f>
        <v>72.9638</v>
      </c>
      <c r="E12" s="604">
        <f>E31*item_vals!$B$3 + E50*item_vals!$J$3 + E69*item_vals!$I$3 + E88*item_vals!$H$3 + E107*item_vals!$E$3 + E126*item_vals!$F$3 + E145*item_vals!$G$3 + E164*item_vals!$N$3 + E183*item_vals!$M$3 + E202*item_vals!$L$3 + E221*item_vals!$K$3 + E240*item_vals!$C$3 + E259*item_vals!$D$3</f>
        <v>2123.1666</v>
      </c>
      <c r="F12" s="604">
        <f>F31*item_vals!$B$3 + F50*item_vals!$J$3 + F69*item_vals!$I$3 + F88*item_vals!$H$3 + F107*item_vals!$E$3 + F126*item_vals!$F$3 + F145*item_vals!$G$3 + F164*item_vals!$N$3 + F183*item_vals!$M$3 + F202*item_vals!$L$3 + F221*item_vals!$K$3 + F240*item_vals!$C$3 + F259*item_vals!$D$3</f>
        <v>2211.4256</v>
      </c>
      <c r="G12" s="605">
        <f>G31*item_vals!$B$3 + G50*item_vals!$J$3 + G69*item_vals!$I$3 + G88*item_vals!$H$3 + G107*item_vals!$E$3 + G126*item_vals!$F$3 + G145*item_vals!$G$3 + G164*item_vals!$N$3 + G183*item_vals!$M$3 + G202*item_vals!$L$3 + G221*item_vals!$K$3 + G240*item_vals!$C$3 + G259*item_vals!$D$3</f>
        <v>4407.556</v>
      </c>
      <c r="I12" s="604">
        <f>I31*item_vals!$B$3 + I50*item_vals!$J$3 + I69*item_vals!$I$3 + I88*item_vals!$H$3 + I107*item_vals!$E$3 + I126*item_vals!$F$3 + I145*item_vals!$G$3 + I164*item_vals!$N$3 + I183*item_vals!$M$3 + I202*item_vals!$L$3 + I221*item_vals!$K$3 + I240*item_vals!$C$3 + I259*item_vals!$D$3</f>
        <v>0</v>
      </c>
      <c r="J12" s="604">
        <f>J31*item_vals!$B$3 + J50*item_vals!$J$3 + J69*item_vals!$I$3 + J88*item_vals!$H$3 + J107*item_vals!$E$3 + J126*item_vals!$F$3 + J145*item_vals!$G$3 + J164*item_vals!$N$3 + J183*item_vals!$M$3 + J202*item_vals!$L$3 + J221*item_vals!$K$3 + J240*item_vals!$C$3 + J259*item_vals!$D$3</f>
        <v>72.9638</v>
      </c>
      <c r="K12" s="604">
        <f>K31*item_vals!$B$3 + K50*item_vals!$J$3 + K69*item_vals!$I$3 + K88*item_vals!$H$3 + K107*item_vals!$E$3 + K126*item_vals!$F$3 + K145*item_vals!$G$3 + K164*item_vals!$N$3 + K183*item_vals!$M$3 + K202*item_vals!$L$3 + K221*item_vals!$K$3 + K240*item_vals!$C$3 + K259*item_vals!$D$3</f>
        <v>2100.7866</v>
      </c>
      <c r="L12" s="604">
        <f>L31*item_vals!$B$3 + L50*item_vals!$J$3 + L69*item_vals!$I$3 + L88*item_vals!$H$3 + L107*item_vals!$E$3 + L126*item_vals!$F$3 + L145*item_vals!$G$3 + L164*item_vals!$N$3 + L183*item_vals!$M$3 + L202*item_vals!$L$3 + L221*item_vals!$K$3 + L240*item_vals!$C$3 + L259*item_vals!$D$3</f>
        <v>2194.4849</v>
      </c>
      <c r="M12" s="605">
        <f>M31*item_vals!$B$3 + M50*item_vals!$J$3 + M69*item_vals!$I$3 + M88*item_vals!$H$3 + M107*item_vals!$E$3 + M126*item_vals!$F$3 + M145*item_vals!$G$3 + M164*item_vals!$N$3 + M183*item_vals!$M$3 + M202*item_vals!$L$3 + M221*item_vals!$K$3 + M240*item_vals!$C$3 + M259*item_vals!$D$3</f>
        <v>4368.2353</v>
      </c>
      <c r="O12" s="606" t="str">
        <f t="shared" ref="O12:S12" si="6">IFERROR(I12/C12-1,"")</f>
        <v/>
      </c>
      <c r="P12" s="606">
        <f t="shared" si="6"/>
        <v>0</v>
      </c>
      <c r="Q12" s="606">
        <f t="shared" si="6"/>
        <v>-0.01054085911</v>
      </c>
      <c r="R12" s="606">
        <f t="shared" si="6"/>
        <v>-0.007660533549</v>
      </c>
      <c r="S12" s="606">
        <f t="shared" si="6"/>
        <v>-0.008921202589</v>
      </c>
      <c r="U12" s="548"/>
      <c r="V12" s="548"/>
      <c r="W12" s="548"/>
      <c r="X12" s="548"/>
      <c r="Y12" s="548"/>
      <c r="AA12" s="595" t="s">
        <v>50</v>
      </c>
      <c r="AB12" s="607" t="str">
        <f>TEXT(M145-G145, "+#,##0.0;-#,##0.0;0.0") &amp; " (" &amp; TEXT(S145, "+0%;-0%;0%") &amp; ")"</f>
        <v>+0.1 (+3%)</v>
      </c>
      <c r="AC12" s="608" t="str">
        <f>TEXT(M152-G152, "+#,##0.0;-#,##0.0;0.0") &amp; " (" &amp; TEXT(S152, "+0%;-0%;0%") &amp; ")"</f>
        <v>+0.1 (+2%)</v>
      </c>
    </row>
    <row r="13">
      <c r="B13" s="569" t="s">
        <v>1192</v>
      </c>
      <c r="C13" s="569"/>
      <c r="D13" s="569"/>
      <c r="E13" s="569"/>
      <c r="F13" s="569"/>
      <c r="G13" s="569"/>
      <c r="H13" s="569"/>
      <c r="I13" s="569"/>
      <c r="J13" s="569"/>
      <c r="K13" s="569"/>
      <c r="L13" s="569"/>
      <c r="M13" s="569"/>
      <c r="N13" s="569"/>
      <c r="O13" s="569"/>
      <c r="P13" s="569"/>
      <c r="Q13" s="569"/>
      <c r="R13" s="569"/>
      <c r="S13" s="569"/>
      <c r="U13" s="548"/>
      <c r="V13" s="548"/>
      <c r="W13" s="548"/>
      <c r="X13" s="548"/>
      <c r="Y13" s="548"/>
      <c r="AA13" s="574" t="s">
        <v>1209</v>
      </c>
      <c r="AB13" s="575" t="str">
        <f>TEXT(M164-G164, "+#,##0.0;-#,##0.0;0.0") &amp; " (" &amp; TEXT(S164, "+0%;-0%;0%") &amp; ")"</f>
        <v>0.0 (0%)</v>
      </c>
      <c r="AC13" s="576" t="str">
        <f>TEXT(M171-G171, "+#,##0.0;-#,##0.0;0.0") &amp; " (" &amp; TEXT(S171, "+0%;-0%;0%") &amp; ")"</f>
        <v>0.0 (0%)</v>
      </c>
    </row>
    <row r="14">
      <c r="B14" s="577" t="s">
        <v>19</v>
      </c>
      <c r="C14" s="586">
        <f>C33*item_vals!$B$3 + C52*item_vals!$J$3 + C71*item_vals!$I$3 + C90*item_vals!$H$3 + C109*item_vals!$E$3 + C128*item_vals!$F$3 + C147*item_vals!$G$3 + C166*item_vals!$N$3 + C185*item_vals!$M$3 + C204*item_vals!$L$3 + C223*item_vals!$K$3 + C242*item_vals!$C$3 + C261*item_vals!$D$3</f>
        <v>0</v>
      </c>
      <c r="D14" s="586">
        <f>D33*item_vals!$B$3 + D52*item_vals!$J$3 + D71*item_vals!$I$3 + D90*item_vals!$H$3 + D109*item_vals!$E$3 + D128*item_vals!$F$3 + D147*item_vals!$G$3 + D166*item_vals!$N$3 + D185*item_vals!$M$3 + D204*item_vals!$L$3 + D223*item_vals!$K$3 + D242*item_vals!$C$3 + D261*item_vals!$D$3</f>
        <v>224.9029</v>
      </c>
      <c r="E14" s="586">
        <f>E33*item_vals!$B$3 + E52*item_vals!$J$3 + E71*item_vals!$I$3 + E90*item_vals!$H$3 + E109*item_vals!$E$3 + E128*item_vals!$F$3 + E147*item_vals!$G$3 + E166*item_vals!$N$3 + E185*item_vals!$M$3 + E204*item_vals!$L$3 + E223*item_vals!$K$3 + E242*item_vals!$C$3 + E261*item_vals!$D$3</f>
        <v>2263.6405</v>
      </c>
      <c r="F14" s="586">
        <f>F33*item_vals!$B$3 + F52*item_vals!$J$3 + F71*item_vals!$I$3 + F90*item_vals!$H$3 + F109*item_vals!$E$3 + F128*item_vals!$F$3 + F147*item_vals!$G$3 + F166*item_vals!$N$3 + F185*item_vals!$M$3 + F204*item_vals!$L$3 + F223*item_vals!$K$3 + F242*item_vals!$C$3 + F261*item_vals!$D$3</f>
        <v>2947.7101</v>
      </c>
      <c r="G14" s="588">
        <f>G33*item_vals!$B$3 + G52*item_vals!$J$3 + G71*item_vals!$I$3 + G90*item_vals!$H$3 + G109*item_vals!$E$3 + G128*item_vals!$F$3 + G147*item_vals!$G$3 + G166*item_vals!$N$3 + G185*item_vals!$M$3 + G204*item_vals!$L$3 + G223*item_vals!$K$3 + G242*item_vals!$C$3 + G261*item_vals!$D$3</f>
        <v>5436.2535</v>
      </c>
      <c r="I14" s="586">
        <f>I33*item_vals!$B$3 + I52*item_vals!$J$3 + I71*item_vals!$I$3 + I90*item_vals!$H$3 + I109*item_vals!$E$3 + I128*item_vals!$F$3 + I147*item_vals!$G$3 + I166*item_vals!$N$3 + I185*item_vals!$M$3 + I204*item_vals!$L$3 + I223*item_vals!$K$3 + I242*item_vals!$C$3 + I261*item_vals!$D$3</f>
        <v>0</v>
      </c>
      <c r="J14" s="586">
        <f>J33*item_vals!$B$3 + J52*item_vals!$J$3 + J71*item_vals!$I$3 + J90*item_vals!$H$3 + J109*item_vals!$E$3 + J128*item_vals!$F$3 + J147*item_vals!$G$3 + J166*item_vals!$N$3 + J185*item_vals!$M$3 + J204*item_vals!$L$3 + J223*item_vals!$K$3 + J242*item_vals!$C$3 + J261*item_vals!$D$3</f>
        <v>224.9029</v>
      </c>
      <c r="K14" s="586">
        <f>K33*item_vals!$B$3 + K52*item_vals!$J$3 + K71*item_vals!$I$3 + K90*item_vals!$H$3 + K109*item_vals!$E$3 + K128*item_vals!$F$3 + K147*item_vals!$G$3 + K166*item_vals!$N$3 + K185*item_vals!$M$3 + K204*item_vals!$L$3 + K223*item_vals!$K$3 + K242*item_vals!$C$3 + K261*item_vals!$D$3</f>
        <v>2248.5105</v>
      </c>
      <c r="L14" s="586">
        <f>L33*item_vals!$B$3 + L52*item_vals!$J$3 + L71*item_vals!$I$3 + L90*item_vals!$H$3 + L109*item_vals!$E$3 + L128*item_vals!$F$3 + L147*item_vals!$G$3 + L166*item_vals!$N$3 + L185*item_vals!$M$3 + L204*item_vals!$L$3 + L223*item_vals!$K$3 + L242*item_vals!$C$3 + L261*item_vals!$D$3</f>
        <v>2948.2218</v>
      </c>
      <c r="M14" s="588">
        <f>M33*item_vals!$B$3 + M52*item_vals!$J$3 + M71*item_vals!$I$3 + M90*item_vals!$H$3 + M109*item_vals!$E$3 + M128*item_vals!$F$3 + M147*item_vals!$G$3 + M166*item_vals!$N$3 + M185*item_vals!$M$3 + M204*item_vals!$L$3 + M223*item_vals!$K$3 + M242*item_vals!$C$3 + M261*item_vals!$D$3</f>
        <v>5421.6352</v>
      </c>
      <c r="O14" s="575" t="str">
        <f t="shared" ref="O14:S14" si="7">IFERROR(I14/C14-1,"")</f>
        <v/>
      </c>
      <c r="P14" s="575">
        <f t="shared" si="7"/>
        <v>0</v>
      </c>
      <c r="Q14" s="575">
        <f t="shared" si="7"/>
        <v>-0.006683923529</v>
      </c>
      <c r="R14" s="575">
        <f t="shared" si="7"/>
        <v>0.000173592376</v>
      </c>
      <c r="S14" s="575">
        <f t="shared" si="7"/>
        <v>-0.002689039428</v>
      </c>
      <c r="U14" s="548"/>
      <c r="V14" s="548"/>
      <c r="W14" s="548"/>
      <c r="X14" s="548"/>
      <c r="Y14" s="548"/>
      <c r="AA14" s="574" t="s">
        <v>1210</v>
      </c>
      <c r="AB14" s="575" t="str">
        <f>TEXT(M183-G183, "+#,##0.0;-#,##0.0;0.0") &amp; " (" &amp; TEXT(S183, "+0%;-0%;0%") &amp; ")"</f>
        <v>0.0 (0%)</v>
      </c>
      <c r="AC14" s="576" t="str">
        <f>TEXT(M190-G190, "+#,##0.0;-#,##0.0;0.0") &amp; " (" &amp; TEXT(S190, "+0%;-0%;0%") &amp; ")"</f>
        <v>0.0 (0%)</v>
      </c>
    </row>
    <row r="15">
      <c r="B15" s="577" t="s">
        <v>21</v>
      </c>
      <c r="C15" s="586">
        <f>C34*item_vals!$B$3 + C53*item_vals!$J$3 + C72*item_vals!$I$3 + C91*item_vals!$H$3 + C110*item_vals!$E$3 + C129*item_vals!$F$3 + C148*item_vals!$G$3 + C167*item_vals!$N$3 + C186*item_vals!$M$3 + C205*item_vals!$L$3 + C224*item_vals!$K$3 + C243*item_vals!$C$3 + C262*item_vals!$D$3</f>
        <v>0</v>
      </c>
      <c r="D15" s="586">
        <f>D34*item_vals!$B$3 + D53*item_vals!$J$3 + D72*item_vals!$I$3 + D91*item_vals!$H$3 + D110*item_vals!$E$3 + D129*item_vals!$F$3 + D148*item_vals!$G$3 + D167*item_vals!$N$3 + D186*item_vals!$M$3 + D205*item_vals!$L$3 + D224*item_vals!$K$3 + D243*item_vals!$C$3 + D262*item_vals!$D$3</f>
        <v>172.2213</v>
      </c>
      <c r="E15" s="586">
        <f>E34*item_vals!$B$3 + E53*item_vals!$J$3 + E72*item_vals!$I$3 + E91*item_vals!$H$3 + E110*item_vals!$E$3 + E129*item_vals!$F$3 + E148*item_vals!$G$3 + E167*item_vals!$N$3 + E186*item_vals!$M$3 + E205*item_vals!$L$3 + E224*item_vals!$K$3 + E243*item_vals!$C$3 + E262*item_vals!$D$3</f>
        <v>2271.5919</v>
      </c>
      <c r="F15" s="586">
        <f>F34*item_vals!$B$3 + F53*item_vals!$J$3 + F72*item_vals!$I$3 + F91*item_vals!$H$3 + F110*item_vals!$E$3 + F129*item_vals!$F$3 + F148*item_vals!$G$3 + F167*item_vals!$N$3 + F186*item_vals!$M$3 + F205*item_vals!$L$3 + F224*item_vals!$K$3 + F243*item_vals!$C$3 + F262*item_vals!$D$3</f>
        <v>3710.731</v>
      </c>
      <c r="G15" s="588">
        <f>G34*item_vals!$B$3 + G53*item_vals!$J$3 + G72*item_vals!$I$3 + G91*item_vals!$H$3 + G110*item_vals!$E$3 + G129*item_vals!$F$3 + G148*item_vals!$G$3 + G167*item_vals!$N$3 + G186*item_vals!$M$3 + G205*item_vals!$L$3 + G224*item_vals!$K$3 + G243*item_vals!$C$3 + G262*item_vals!$D$3</f>
        <v>6154.5442</v>
      </c>
      <c r="I15" s="586">
        <f>I34*item_vals!$B$3 + I53*item_vals!$J$3 + I72*item_vals!$I$3 + I91*item_vals!$H$3 + I110*item_vals!$E$3 + I129*item_vals!$F$3 + I148*item_vals!$G$3 + I167*item_vals!$N$3 + I186*item_vals!$M$3 + I205*item_vals!$L$3 + I224*item_vals!$K$3 + I243*item_vals!$C$3 + I262*item_vals!$D$3</f>
        <v>0</v>
      </c>
      <c r="J15" s="586">
        <f>J34*item_vals!$B$3 + J53*item_vals!$J$3 + J72*item_vals!$I$3 + J91*item_vals!$H$3 + J110*item_vals!$E$3 + J129*item_vals!$F$3 + J148*item_vals!$G$3 + J167*item_vals!$N$3 + J186*item_vals!$M$3 + J205*item_vals!$L$3 + J224*item_vals!$K$3 + J243*item_vals!$C$3 + J262*item_vals!$D$3</f>
        <v>172.2213</v>
      </c>
      <c r="K15" s="586">
        <f>K34*item_vals!$B$3 + K53*item_vals!$J$3 + K72*item_vals!$I$3 + K91*item_vals!$H$3 + K110*item_vals!$E$3 + K129*item_vals!$F$3 + K148*item_vals!$G$3 + K167*item_vals!$N$3 + K186*item_vals!$M$3 + K205*item_vals!$L$3 + K224*item_vals!$K$3 + K243*item_vals!$C$3 + K262*item_vals!$D$3</f>
        <v>2243.8319</v>
      </c>
      <c r="L15" s="586">
        <f>L34*item_vals!$B$3 + L53*item_vals!$J$3 + L72*item_vals!$I$3 + L91*item_vals!$H$3 + L110*item_vals!$E$3 + L129*item_vals!$F$3 + L148*item_vals!$G$3 + L167*item_vals!$N$3 + L186*item_vals!$M$3 + L205*item_vals!$L$3 + L224*item_vals!$K$3 + L243*item_vals!$C$3 + L262*item_vals!$D$3</f>
        <v>3703.0738</v>
      </c>
      <c r="M15" s="588">
        <f>M34*item_vals!$B$3 + M53*item_vals!$J$3 + M72*item_vals!$I$3 + M91*item_vals!$H$3 + M110*item_vals!$E$3 + M129*item_vals!$F$3 + M148*item_vals!$G$3 + M167*item_vals!$N$3 + M186*item_vals!$M$3 + M205*item_vals!$L$3 + M224*item_vals!$K$3 + M243*item_vals!$C$3 + M262*item_vals!$D$3</f>
        <v>6119.127</v>
      </c>
      <c r="O15" s="575" t="str">
        <f t="shared" ref="O15:S15" si="8">IFERROR(I15/C15-1,"")</f>
        <v/>
      </c>
      <c r="P15" s="575">
        <f t="shared" si="8"/>
        <v>0</v>
      </c>
      <c r="Q15" s="575">
        <f t="shared" si="8"/>
        <v>-0.01222050492</v>
      </c>
      <c r="R15" s="575">
        <f t="shared" si="8"/>
        <v>-0.002063528723</v>
      </c>
      <c r="S15" s="575">
        <f t="shared" si="8"/>
        <v>-0.005754642237</v>
      </c>
      <c r="U15" s="548"/>
      <c r="V15" s="548"/>
      <c r="W15" s="548"/>
      <c r="X15" s="548"/>
      <c r="Y15" s="548"/>
      <c r="AA15" s="574" t="s">
        <v>1211</v>
      </c>
      <c r="AB15" s="575" t="str">
        <f>TEXT(M202-G202, "+#,##0.0;-#,##0.0;0.0") &amp; " (" &amp; TEXT(S202, "+0%;-0%;0%") &amp; ")"</f>
        <v>-0.5 (-2%)</v>
      </c>
      <c r="AC15" s="576" t="str">
        <f>TEXT(M209-G209, "+#,##0.0;-#,##0.0;0.0") &amp; " (" &amp; TEXT(S209, "+0%;-0%;0%") &amp; ")"</f>
        <v>-0.2 (-1%)</v>
      </c>
    </row>
    <row r="16">
      <c r="B16" s="577" t="s">
        <v>22</v>
      </c>
      <c r="C16" s="586">
        <f>C35*item_vals!$B$3 + C54*item_vals!$J$3 + C73*item_vals!$I$3 + C92*item_vals!$H$3 + C111*item_vals!$E$3 + C130*item_vals!$F$3 + C149*item_vals!$G$3 + C168*item_vals!$N$3 + C187*item_vals!$M$3 + C206*item_vals!$L$3 + C225*item_vals!$K$3 + C244*item_vals!$C$3 + C263*item_vals!$D$3</f>
        <v>0</v>
      </c>
      <c r="D16" s="586">
        <f>D35*item_vals!$B$3 + D54*item_vals!$J$3 + D73*item_vals!$I$3 + D92*item_vals!$H$3 + D111*item_vals!$E$3 + D130*item_vals!$F$3 + D149*item_vals!$G$3 + D168*item_vals!$N$3 + D187*item_vals!$M$3 + D206*item_vals!$L$3 + D225*item_vals!$K$3 + D244*item_vals!$C$3 + D263*item_vals!$D$3</f>
        <v>138.8589</v>
      </c>
      <c r="E16" s="586">
        <f>E35*item_vals!$B$3 + E54*item_vals!$J$3 + E73*item_vals!$I$3 + E92*item_vals!$H$3 + E111*item_vals!$E$3 + E130*item_vals!$F$3 + E149*item_vals!$G$3 + E168*item_vals!$N$3 + E187*item_vals!$M$3 + E206*item_vals!$L$3 + E225*item_vals!$K$3 + E244*item_vals!$C$3 + E263*item_vals!$D$3</f>
        <v>3111.5434</v>
      </c>
      <c r="F16" s="586">
        <f>F35*item_vals!$B$3 + F54*item_vals!$J$3 + F73*item_vals!$I$3 + F92*item_vals!$H$3 + F111*item_vals!$E$3 + F130*item_vals!$F$3 + F149*item_vals!$G$3 + F168*item_vals!$N$3 + F187*item_vals!$M$3 + F206*item_vals!$L$3 + F225*item_vals!$K$3 + F244*item_vals!$C$3 + F263*item_vals!$D$3</f>
        <v>4640.1026</v>
      </c>
      <c r="G16" s="588">
        <f>G35*item_vals!$B$3 + G54*item_vals!$J$3 + G73*item_vals!$I$3 + G92*item_vals!$H$3 + G111*item_vals!$E$3 + G130*item_vals!$F$3 + G149*item_vals!$G$3 + G168*item_vals!$N$3 + G187*item_vals!$M$3 + G206*item_vals!$L$3 + G225*item_vals!$K$3 + G244*item_vals!$C$3 + G263*item_vals!$D$3</f>
        <v>7890.5049</v>
      </c>
      <c r="I16" s="586">
        <f>I35*item_vals!$B$3 + I54*item_vals!$J$3 + I73*item_vals!$I$3 + I92*item_vals!$H$3 + I111*item_vals!$E$3 + I130*item_vals!$F$3 + I149*item_vals!$G$3 + I168*item_vals!$N$3 + I187*item_vals!$M$3 + I206*item_vals!$L$3 + I225*item_vals!$K$3 + I244*item_vals!$C$3 + I263*item_vals!$D$3</f>
        <v>0</v>
      </c>
      <c r="J16" s="586">
        <f>J35*item_vals!$B$3 + J54*item_vals!$J$3 + J73*item_vals!$I$3 + J92*item_vals!$H$3 + J111*item_vals!$E$3 + J130*item_vals!$F$3 + J149*item_vals!$G$3 + J168*item_vals!$N$3 + J187*item_vals!$M$3 + J206*item_vals!$L$3 + J225*item_vals!$K$3 + J244*item_vals!$C$3 + J263*item_vals!$D$3</f>
        <v>138.8589</v>
      </c>
      <c r="K16" s="586">
        <f>K35*item_vals!$B$3 + K54*item_vals!$J$3 + K73*item_vals!$I$3 + K92*item_vals!$H$3 + K111*item_vals!$E$3 + K130*item_vals!$F$3 + K149*item_vals!$G$3 + K168*item_vals!$N$3 + K187*item_vals!$M$3 + K206*item_vals!$L$3 + K225*item_vals!$K$3 + K244*item_vals!$C$3 + K263*item_vals!$D$3</f>
        <v>3082.7934</v>
      </c>
      <c r="L16" s="586">
        <f>L35*item_vals!$B$3 + L54*item_vals!$J$3 + L73*item_vals!$I$3 + L92*item_vals!$H$3 + L111*item_vals!$E$3 + L130*item_vals!$F$3 + L149*item_vals!$G$3 + L168*item_vals!$N$3 + L187*item_vals!$M$3 + L206*item_vals!$L$3 + L225*item_vals!$K$3 + L244*item_vals!$C$3 + L263*item_vals!$D$3</f>
        <v>4633.6219</v>
      </c>
      <c r="M16" s="588">
        <f>M35*item_vals!$B$3 + M54*item_vals!$J$3 + M73*item_vals!$I$3 + M92*item_vals!$H$3 + M111*item_vals!$E$3 + M130*item_vals!$F$3 + M149*item_vals!$G$3 + M168*item_vals!$N$3 + M187*item_vals!$M$3 + M206*item_vals!$L$3 + M225*item_vals!$K$3 + M244*item_vals!$C$3 + M263*item_vals!$D$3</f>
        <v>7855.2742</v>
      </c>
      <c r="O16" s="575" t="str">
        <f t="shared" ref="O16:S16" si="9">IFERROR(I16/C16-1,"")</f>
        <v/>
      </c>
      <c r="P16" s="575">
        <f t="shared" si="9"/>
        <v>0</v>
      </c>
      <c r="Q16" s="575">
        <f t="shared" si="9"/>
        <v>-0.00923978756</v>
      </c>
      <c r="R16" s="575">
        <f t="shared" si="9"/>
        <v>-0.001396671703</v>
      </c>
      <c r="S16" s="575">
        <f t="shared" si="9"/>
        <v>-0.004464948751</v>
      </c>
      <c r="U16" s="548"/>
      <c r="V16" s="548"/>
      <c r="W16" s="548"/>
      <c r="X16" s="548"/>
      <c r="Y16" s="548"/>
      <c r="AA16" s="595" t="s">
        <v>55</v>
      </c>
      <c r="AB16" s="575" t="str">
        <f>TEXT(M221-G221, "+#,##0.0;-#,##0.0;0.0") &amp; " (" &amp; TEXT(S221, "+0%;-0%;0%") &amp; ")"</f>
        <v>+1.6 (+0%)</v>
      </c>
      <c r="AC16" s="576" t="str">
        <f>TEXT(M228-G228, "+#,##0.0;-#,##0.0;0.0") &amp; " (" &amp; TEXT(S228, "+0%;-0%;0%") &amp; ")"</f>
        <v>+1.8 (+0%)</v>
      </c>
    </row>
    <row r="17">
      <c r="B17" s="577" t="s">
        <v>24</v>
      </c>
      <c r="C17" s="586">
        <f>C36*item_vals!$B$3 + C55*item_vals!$J$3 + C74*item_vals!$I$3 + C93*item_vals!$H$3 + C112*item_vals!$E$3 + C131*item_vals!$F$3 + C150*item_vals!$G$3 + C169*item_vals!$N$3 + C188*item_vals!$M$3 + C207*item_vals!$L$3 + C226*item_vals!$K$3 + C245*item_vals!$C$3 + C264*item_vals!$D$3</f>
        <v>0</v>
      </c>
      <c r="D17" s="586">
        <f>D36*item_vals!$B$3 + D55*item_vals!$J$3 + D74*item_vals!$I$3 + D93*item_vals!$H$3 + D112*item_vals!$E$3 + D131*item_vals!$F$3 + D150*item_vals!$G$3 + D169*item_vals!$N$3 + D188*item_vals!$M$3 + D207*item_vals!$L$3 + D226*item_vals!$K$3 + D245*item_vals!$C$3 + D264*item_vals!$D$3</f>
        <v>153.3233</v>
      </c>
      <c r="E17" s="586">
        <f>E36*item_vals!$B$3 + E55*item_vals!$J$3 + E74*item_vals!$I$3 + E93*item_vals!$H$3 + E112*item_vals!$E$3 + E131*item_vals!$F$3 + E150*item_vals!$G$3 + E169*item_vals!$N$3 + E188*item_vals!$M$3 + E207*item_vals!$L$3 + E226*item_vals!$K$3 + E245*item_vals!$C$3 + E264*item_vals!$D$3</f>
        <v>6431.8684</v>
      </c>
      <c r="F17" s="586">
        <f>F36*item_vals!$B$3 + F55*item_vals!$J$3 + F74*item_vals!$I$3 + F93*item_vals!$H$3 + F112*item_vals!$E$3 + F131*item_vals!$F$3 + F150*item_vals!$G$3 + F169*item_vals!$N$3 + F188*item_vals!$M$3 + F207*item_vals!$L$3 + F226*item_vals!$K$3 + F245*item_vals!$C$3 + F264*item_vals!$D$3</f>
        <v>6770.252</v>
      </c>
      <c r="G17" s="588">
        <f>G36*item_vals!$B$3 + G55*item_vals!$J$3 + G74*item_vals!$I$3 + G93*item_vals!$H$3 + G112*item_vals!$E$3 + G131*item_vals!$F$3 + G150*item_vals!$G$3 + G169*item_vals!$N$3 + G188*item_vals!$M$3 + G207*item_vals!$L$3 + G226*item_vals!$K$3 + G245*item_vals!$C$3 + G264*item_vals!$D$3</f>
        <v>13355.4437</v>
      </c>
      <c r="I17" s="586">
        <f>I36*item_vals!$B$3 + I55*item_vals!$J$3 + I74*item_vals!$I$3 + I93*item_vals!$H$3 + I112*item_vals!$E$3 + I131*item_vals!$F$3 + I150*item_vals!$G$3 + I169*item_vals!$N$3 + I188*item_vals!$M$3 + I207*item_vals!$L$3 + I226*item_vals!$K$3 + I245*item_vals!$C$3 + I264*item_vals!$D$3</f>
        <v>0</v>
      </c>
      <c r="J17" s="586">
        <f>J36*item_vals!$B$3 + J55*item_vals!$J$3 + J74*item_vals!$I$3 + J93*item_vals!$H$3 + J112*item_vals!$E$3 + J131*item_vals!$F$3 + J150*item_vals!$G$3 + J169*item_vals!$N$3 + J188*item_vals!$M$3 + J207*item_vals!$L$3 + J226*item_vals!$K$3 + J245*item_vals!$C$3 + J264*item_vals!$D$3</f>
        <v>153.3233</v>
      </c>
      <c r="K17" s="586">
        <f>K36*item_vals!$B$3 + K55*item_vals!$J$3 + K74*item_vals!$I$3 + K93*item_vals!$H$3 + K112*item_vals!$E$3 + K131*item_vals!$F$3 + K150*item_vals!$G$3 + K169*item_vals!$N$3 + K188*item_vals!$M$3 + K207*item_vals!$L$3 + K226*item_vals!$K$3 + K245*item_vals!$C$3 + K264*item_vals!$D$3</f>
        <v>6384.5984</v>
      </c>
      <c r="L17" s="586">
        <f>L36*item_vals!$B$3 + L55*item_vals!$J$3 + L74*item_vals!$I$3 + L93*item_vals!$H$3 + L112*item_vals!$E$3 + L131*item_vals!$F$3 + L150*item_vals!$G$3 + L169*item_vals!$N$3 + L188*item_vals!$M$3 + L207*item_vals!$L$3 + L226*item_vals!$K$3 + L245*item_vals!$C$3 + L264*item_vals!$D$3</f>
        <v>6802.7082</v>
      </c>
      <c r="M17" s="588">
        <f>M36*item_vals!$B$3 + M55*item_vals!$J$3 + M74*item_vals!$I$3 + M93*item_vals!$H$3 + M112*item_vals!$E$3 + M131*item_vals!$F$3 + M150*item_vals!$G$3 + M169*item_vals!$N$3 + M188*item_vals!$M$3 + M207*item_vals!$L$3 + M226*item_vals!$K$3 + M245*item_vals!$C$3 + M264*item_vals!$D$3</f>
        <v>13340.6299</v>
      </c>
      <c r="O17" s="575" t="str">
        <f t="shared" ref="O17:S17" si="10">IFERROR(I17/C17-1,"")</f>
        <v/>
      </c>
      <c r="P17" s="575">
        <f t="shared" si="10"/>
        <v>0</v>
      </c>
      <c r="Q17" s="575">
        <f t="shared" si="10"/>
        <v>-0.007349341911</v>
      </c>
      <c r="R17" s="575">
        <f t="shared" si="10"/>
        <v>0.004793942677</v>
      </c>
      <c r="S17" s="575">
        <f t="shared" si="10"/>
        <v>-0.001109195646</v>
      </c>
      <c r="U17" s="548"/>
      <c r="V17" s="548"/>
      <c r="W17" s="548"/>
      <c r="X17" s="548"/>
      <c r="Y17" s="548"/>
      <c r="AA17" s="574" t="s">
        <v>46</v>
      </c>
      <c r="AB17" s="593" t="str">
        <f>TEXT(M240-G240, "+#,##0.0;-#,##0.0;0.0") &amp; " (" &amp; TEXT(S240, "+0%;-0%;0%") &amp; ")"</f>
        <v>-3.2 (-1%)</v>
      </c>
      <c r="AC17" s="594" t="str">
        <f>TEXT(M247-G247, "+#,##0.0;-#,##0.0;0.0") &amp; " (" &amp; TEXT(S247, "+0%;-0%;0%") &amp; ")"</f>
        <v>-1.2 (-0%)</v>
      </c>
    </row>
    <row r="18">
      <c r="B18" s="577" t="s">
        <v>26</v>
      </c>
      <c r="C18" s="586">
        <f>C37*item_vals!$B$3 + C56*item_vals!$J$3 + C75*item_vals!$I$3 + C94*item_vals!$H$3 + C113*item_vals!$E$3 + C132*item_vals!$F$3 + C151*item_vals!$G$3 + C170*item_vals!$N$3 + C189*item_vals!$M$3 + C208*item_vals!$L$3 + C227*item_vals!$K$3 + C246*item_vals!$C$3 + C265*item_vals!$D$3</f>
        <v>0</v>
      </c>
      <c r="D18" s="586">
        <f>D37*item_vals!$B$3 + D56*item_vals!$J$3 + D75*item_vals!$I$3 + D94*item_vals!$H$3 + D113*item_vals!$E$3 + D132*item_vals!$F$3 + D151*item_vals!$G$3 + D170*item_vals!$N$3 + D189*item_vals!$M$3 + D208*item_vals!$L$3 + D227*item_vals!$K$3 + D246*item_vals!$C$3 + D265*item_vals!$D$3</f>
        <v>144.7274</v>
      </c>
      <c r="E18" s="586">
        <f>E37*item_vals!$B$3 + E56*item_vals!$J$3 + E75*item_vals!$I$3 + E94*item_vals!$H$3 + E113*item_vals!$E$3 + E132*item_vals!$F$3 + E151*item_vals!$G$3 + E170*item_vals!$N$3 + E189*item_vals!$M$3 + E208*item_vals!$L$3 + E227*item_vals!$K$3 + E246*item_vals!$C$3 + E265*item_vals!$D$3</f>
        <v>9328.6627</v>
      </c>
      <c r="F18" s="586">
        <f>F37*item_vals!$B$3 + F56*item_vals!$J$3 + F75*item_vals!$I$3 + F94*item_vals!$H$3 + F113*item_vals!$E$3 + F132*item_vals!$F$3 + F151*item_vals!$G$3 + F170*item_vals!$N$3 + F189*item_vals!$M$3 + F208*item_vals!$L$3 + F227*item_vals!$K$3 + F246*item_vals!$C$3 + F265*item_vals!$D$3</f>
        <v>8683.7219</v>
      </c>
      <c r="G18" s="588">
        <f>G37*item_vals!$B$3 + G56*item_vals!$J$3 + G75*item_vals!$I$3 + G94*item_vals!$H$3 + G113*item_vals!$E$3 + G132*item_vals!$F$3 + G151*item_vals!$G$3 + G170*item_vals!$N$3 + G189*item_vals!$M$3 + G208*item_vals!$L$3 + G227*item_vals!$K$3 + G246*item_vals!$C$3 + G265*item_vals!$D$3</f>
        <v>18157.112</v>
      </c>
      <c r="I18" s="586">
        <f>I37*item_vals!$B$3 + I56*item_vals!$J$3 + I75*item_vals!$I$3 + I94*item_vals!$H$3 + I113*item_vals!$E$3 + I132*item_vals!$F$3 + I151*item_vals!$G$3 + I170*item_vals!$N$3 + I189*item_vals!$M$3 + I208*item_vals!$L$3 + I227*item_vals!$K$3 + I246*item_vals!$C$3 + I265*item_vals!$D$3</f>
        <v>0</v>
      </c>
      <c r="J18" s="586">
        <f>J37*item_vals!$B$3 + J56*item_vals!$J$3 + J75*item_vals!$I$3 + J94*item_vals!$H$3 + J113*item_vals!$E$3 + J132*item_vals!$F$3 + J151*item_vals!$G$3 + J170*item_vals!$N$3 + J189*item_vals!$M$3 + J208*item_vals!$L$3 + J227*item_vals!$K$3 + J246*item_vals!$C$3 + J265*item_vals!$D$3</f>
        <v>144.7274</v>
      </c>
      <c r="K18" s="586">
        <f>K37*item_vals!$B$3 + K56*item_vals!$J$3 + K75*item_vals!$I$3 + K94*item_vals!$H$3 + K113*item_vals!$E$3 + K132*item_vals!$F$3 + K151*item_vals!$G$3 + K170*item_vals!$N$3 + K189*item_vals!$M$3 + K208*item_vals!$L$3 + K227*item_vals!$K$3 + K246*item_vals!$C$3 + K265*item_vals!$D$3</f>
        <v>9245.4127</v>
      </c>
      <c r="L18" s="586">
        <f>L37*item_vals!$B$3 + L56*item_vals!$J$3 + L75*item_vals!$I$3 + L94*item_vals!$H$3 + L113*item_vals!$E$3 + L132*item_vals!$F$3 + L151*item_vals!$G$3 + L170*item_vals!$N$3 + L189*item_vals!$M$3 + L208*item_vals!$L$3 + L227*item_vals!$K$3 + L246*item_vals!$C$3 + L265*item_vals!$D$3</f>
        <v>8583.3461</v>
      </c>
      <c r="M18" s="588">
        <f>M37*item_vals!$B$3 + M56*item_vals!$J$3 + M75*item_vals!$I$3 + M94*item_vals!$H$3 + M113*item_vals!$E$3 + M132*item_vals!$F$3 + M151*item_vals!$G$3 + M170*item_vals!$N$3 + M189*item_vals!$M$3 + M208*item_vals!$L$3 + M227*item_vals!$K$3 + M246*item_vals!$C$3 + M265*item_vals!$D$3</f>
        <v>17973.4862</v>
      </c>
      <c r="O18" s="575" t="str">
        <f t="shared" ref="O18:S18" si="11">IFERROR(I18/C18-1,"")</f>
        <v/>
      </c>
      <c r="P18" s="575">
        <f t="shared" si="11"/>
        <v>0</v>
      </c>
      <c r="Q18" s="575">
        <f t="shared" si="11"/>
        <v>-0.008924108704</v>
      </c>
      <c r="R18" s="575">
        <f t="shared" si="11"/>
        <v>-0.01155907584</v>
      </c>
      <c r="S18" s="575">
        <f t="shared" si="11"/>
        <v>-0.01011316117</v>
      </c>
      <c r="U18" s="548"/>
      <c r="V18" s="548"/>
      <c r="W18" s="548"/>
      <c r="X18" s="548"/>
      <c r="Y18" s="548"/>
      <c r="AA18" s="595" t="s">
        <v>1213</v>
      </c>
      <c r="AB18" s="607" t="str">
        <f>TEXT(M259-G259, "+#,##0.0;-#,##0.0;0.0") &amp; " (" &amp; TEXT(S259, "+0%;-0%;0%") &amp; ")"</f>
        <v>0.0 (0%)</v>
      </c>
      <c r="AC18" s="608" t="str">
        <f>TEXT(M266-G266, "+#,##0.0;-#,##0.0;0.0") &amp; " (" &amp; TEXT(S266, "+0%;-0%;0%") &amp; ")"</f>
        <v>0.0 (0%)</v>
      </c>
    </row>
    <row r="19">
      <c r="B19" s="603" t="s">
        <v>1628</v>
      </c>
      <c r="C19" s="604">
        <f>C38*item_vals!$B$3 + C57*item_vals!$J$3 + C76*item_vals!$I$3 + C95*item_vals!$H$3 + C114*item_vals!$E$3 + C133*item_vals!$F$3 + C152*item_vals!$G$3 + C171*item_vals!$N$3 + C190*item_vals!$M$3 + C209*item_vals!$L$3 + C228*item_vals!$K$3 + C247*item_vals!$C$3 + C266*item_vals!$D$3</f>
        <v>0</v>
      </c>
      <c r="D19" s="604">
        <f>D38*item_vals!$B$3 + D57*item_vals!$J$3 + D76*item_vals!$I$3 + D95*item_vals!$H$3 + D114*item_vals!$E$3 + D133*item_vals!$F$3 + D152*item_vals!$G$3 + D171*item_vals!$N$3 + D190*item_vals!$M$3 + D209*item_vals!$L$3 + D228*item_vals!$K$3 + D247*item_vals!$C$3 + D266*item_vals!$D$3</f>
        <v>182.9482</v>
      </c>
      <c r="E19" s="604">
        <f>E38*item_vals!$B$3 + E57*item_vals!$J$3 + E76*item_vals!$I$3 + E95*item_vals!$H$3 + E114*item_vals!$E$3 + E133*item_vals!$F$3 + E152*item_vals!$G$3 + E171*item_vals!$N$3 + E190*item_vals!$M$3 + E209*item_vals!$L$3 + E228*item_vals!$K$3 + E247*item_vals!$C$3 + E266*item_vals!$D$3</f>
        <v>3211.0902</v>
      </c>
      <c r="F19" s="604">
        <f>F38*item_vals!$B$3 + F57*item_vals!$J$3 + F76*item_vals!$I$3 + F95*item_vals!$H$3 + F114*item_vals!$E$3 + F133*item_vals!$F$3 + F152*item_vals!$G$3 + F171*item_vals!$N$3 + F190*item_vals!$M$3 + F209*item_vals!$L$3 + F228*item_vals!$K$3 + F247*item_vals!$C$3 + F266*item_vals!$D$3</f>
        <v>4156.2123</v>
      </c>
      <c r="G19" s="605">
        <f>G38*item_vals!$B$3 + G57*item_vals!$J$3 + G76*item_vals!$I$3 + G95*item_vals!$H$3 + G114*item_vals!$E$3 + G133*item_vals!$F$3 + G152*item_vals!$G$3 + G171*item_vals!$N$3 + G190*item_vals!$M$3 + G209*item_vals!$L$3 + G228*item_vals!$K$3 + G247*item_vals!$C$3 + G266*item_vals!$D$3</f>
        <v>7550.2507</v>
      </c>
      <c r="I19" s="604">
        <f>I38*item_vals!$B$3 + I57*item_vals!$J$3 + I76*item_vals!$I$3 + I95*item_vals!$H$3 + I114*item_vals!$E$3 + I133*item_vals!$F$3 + I152*item_vals!$G$3 + I171*item_vals!$N$3 + I190*item_vals!$M$3 + I209*item_vals!$L$3 + I228*item_vals!$K$3 + I247*item_vals!$C$3 + I266*item_vals!$D$3</f>
        <v>0</v>
      </c>
      <c r="J19" s="604">
        <f>J38*item_vals!$B$3 + J57*item_vals!$J$3 + J76*item_vals!$I$3 + J95*item_vals!$H$3 + J114*item_vals!$E$3 + J133*item_vals!$F$3 + J152*item_vals!$G$3 + J171*item_vals!$N$3 + J190*item_vals!$M$3 + J209*item_vals!$L$3 + J228*item_vals!$K$3 + J247*item_vals!$C$3 + J266*item_vals!$D$3</f>
        <v>182.9482</v>
      </c>
      <c r="K19" s="604">
        <f>K38*item_vals!$B$3 + K57*item_vals!$J$3 + K76*item_vals!$I$3 + K95*item_vals!$H$3 + K114*item_vals!$E$3 + K133*item_vals!$F$3 + K152*item_vals!$G$3 + K171*item_vals!$N$3 + K190*item_vals!$M$3 + K209*item_vals!$L$3 + K228*item_vals!$K$3 + K247*item_vals!$C$3 + K266*item_vals!$D$3</f>
        <v>3184.3202</v>
      </c>
      <c r="L19" s="604">
        <f>L38*item_vals!$B$3 + L57*item_vals!$J$3 + L76*item_vals!$I$3 + L95*item_vals!$H$3 + L114*item_vals!$E$3 + L133*item_vals!$F$3 + L152*item_vals!$G$3 + L171*item_vals!$N$3 + L190*item_vals!$M$3 + L209*item_vals!$L$3 + L228*item_vals!$K$3 + L247*item_vals!$C$3 + L266*item_vals!$D$3</f>
        <v>4155.1202</v>
      </c>
      <c r="M19" s="605">
        <f>M38*item_vals!$B$3 + M57*item_vals!$J$3 + M76*item_vals!$I$3 + M95*item_vals!$H$3 + M114*item_vals!$E$3 + M133*item_vals!$F$3 + M152*item_vals!$G$3 + M171*item_vals!$N$3 + M190*item_vals!$M$3 + M209*item_vals!$L$3 + M228*item_vals!$K$3 + M247*item_vals!$C$3 + M266*item_vals!$D$3</f>
        <v>7522.3886</v>
      </c>
      <c r="O19" s="606" t="str">
        <f t="shared" ref="O19:S19" si="12">IFERROR(I19/C19-1,"")</f>
        <v/>
      </c>
      <c r="P19" s="606">
        <f t="shared" si="12"/>
        <v>0</v>
      </c>
      <c r="Q19" s="606">
        <f t="shared" si="12"/>
        <v>-0.00833673249</v>
      </c>
      <c r="R19" s="606">
        <f t="shared" si="12"/>
        <v>-0.0002627632857</v>
      </c>
      <c r="S19" s="606">
        <f t="shared" si="12"/>
        <v>-0.003690221836</v>
      </c>
      <c r="U19" s="548"/>
      <c r="V19" s="548"/>
      <c r="W19" s="548"/>
      <c r="X19" s="548"/>
      <c r="Y19" s="548"/>
    </row>
    <row r="20">
      <c r="U20" s="548"/>
      <c r="V20" s="548"/>
      <c r="W20" s="548"/>
      <c r="X20" s="548"/>
      <c r="Y20" s="548"/>
    </row>
    <row r="21">
      <c r="A21" s="624"/>
      <c r="B21" s="624"/>
      <c r="C21" s="624"/>
      <c r="D21" s="624"/>
      <c r="E21" s="624"/>
      <c r="F21" s="624"/>
      <c r="G21" s="624"/>
      <c r="H21" s="624"/>
      <c r="I21" s="624"/>
      <c r="J21" s="624"/>
      <c r="K21" s="624"/>
      <c r="L21" s="624"/>
      <c r="M21" s="624"/>
      <c r="N21" s="624"/>
      <c r="O21" s="624"/>
      <c r="P21" s="624"/>
      <c r="Q21" s="624"/>
      <c r="R21" s="624"/>
      <c r="S21" s="624"/>
      <c r="T21" s="624"/>
      <c r="U21" s="625"/>
      <c r="V21" s="625"/>
      <c r="W21" s="625"/>
      <c r="X21" s="625"/>
      <c r="Y21" s="625"/>
      <c r="Z21" s="624"/>
      <c r="AA21" s="624"/>
      <c r="AB21" s="624"/>
      <c r="AC21" s="624"/>
      <c r="AD21" s="624"/>
    </row>
    <row r="22">
      <c r="B22" s="545" t="s">
        <v>2103</v>
      </c>
      <c r="C22" s="545"/>
      <c r="D22" s="545"/>
      <c r="E22" s="545"/>
      <c r="F22" s="545"/>
      <c r="G22" s="545"/>
      <c r="H22" s="545"/>
      <c r="I22" s="545"/>
      <c r="J22" s="545"/>
      <c r="K22" s="545"/>
      <c r="L22" s="545"/>
      <c r="M22" s="545"/>
      <c r="N22" s="545"/>
      <c r="O22" s="545"/>
      <c r="P22" s="545"/>
      <c r="Q22" s="545"/>
      <c r="R22" s="545"/>
      <c r="S22" s="545"/>
      <c r="T22" s="545"/>
      <c r="U22" s="545"/>
      <c r="V22" s="545"/>
      <c r="W22" s="545"/>
      <c r="X22" s="545"/>
      <c r="Y22" s="545"/>
    </row>
    <row r="23">
      <c r="C23" s="626" t="s">
        <v>2104</v>
      </c>
      <c r="D23" s="550"/>
      <c r="E23" s="550"/>
      <c r="F23" s="550"/>
      <c r="G23" s="550"/>
      <c r="I23" s="551" t="s">
        <v>2105</v>
      </c>
      <c r="J23" s="552"/>
      <c r="K23" s="552"/>
      <c r="L23" s="552"/>
      <c r="M23" s="552"/>
      <c r="O23" s="554" t="s">
        <v>1197</v>
      </c>
      <c r="P23" s="556"/>
      <c r="Q23" s="556"/>
      <c r="R23" s="556"/>
      <c r="S23" s="556"/>
      <c r="U23" s="627" t="s">
        <v>2106</v>
      </c>
      <c r="V23" s="628"/>
      <c r="W23" s="628"/>
      <c r="X23" s="556"/>
      <c r="Y23" s="556"/>
    </row>
    <row r="24">
      <c r="B24" s="226" t="s">
        <v>1203</v>
      </c>
      <c r="C24" s="562" t="s">
        <v>1204</v>
      </c>
      <c r="D24" s="562" t="s">
        <v>1206</v>
      </c>
      <c r="E24" s="562" t="s">
        <v>1207</v>
      </c>
      <c r="F24" s="562" t="s">
        <v>1208</v>
      </c>
      <c r="G24" s="562" t="s">
        <v>129</v>
      </c>
      <c r="I24" s="564" t="s">
        <v>1204</v>
      </c>
      <c r="J24" s="564" t="s">
        <v>1206</v>
      </c>
      <c r="K24" s="564" t="s">
        <v>1207</v>
      </c>
      <c r="L24" s="564" t="s">
        <v>1208</v>
      </c>
      <c r="M24" s="564" t="s">
        <v>129</v>
      </c>
      <c r="O24" s="565" t="s">
        <v>1204</v>
      </c>
      <c r="P24" s="565" t="s">
        <v>1206</v>
      </c>
      <c r="Q24" s="565" t="s">
        <v>1207</v>
      </c>
      <c r="R24" s="565" t="s">
        <v>1208</v>
      </c>
      <c r="S24" s="568" t="s">
        <v>1215</v>
      </c>
      <c r="U24" s="629" t="s">
        <v>2107</v>
      </c>
      <c r="V24" s="629" t="s">
        <v>2108</v>
      </c>
      <c r="W24" s="629" t="s">
        <v>2109</v>
      </c>
      <c r="X24" s="565" t="s">
        <v>2110</v>
      </c>
      <c r="Y24" s="568" t="s">
        <v>2111</v>
      </c>
    </row>
    <row r="25">
      <c r="B25" s="569" t="s">
        <v>180</v>
      </c>
      <c r="C25" s="569"/>
      <c r="D25" s="569"/>
      <c r="E25" s="569"/>
      <c r="F25" s="569"/>
      <c r="G25" s="569"/>
      <c r="H25" s="569"/>
      <c r="I25" s="569"/>
      <c r="J25" s="569"/>
      <c r="K25" s="569"/>
      <c r="L25" s="569"/>
      <c r="M25" s="569"/>
      <c r="N25" s="569"/>
      <c r="O25" s="569"/>
      <c r="P25" s="569"/>
      <c r="Q25" s="569"/>
      <c r="R25" s="569"/>
      <c r="S25" s="569"/>
      <c r="T25" s="569"/>
      <c r="U25" s="569"/>
      <c r="V25" s="569"/>
      <c r="W25" s="569"/>
      <c r="X25" s="569"/>
      <c r="Y25" s="569"/>
    </row>
    <row r="26">
      <c r="B26" s="577" t="s">
        <v>19</v>
      </c>
      <c r="C26" s="586">
        <v>0.0</v>
      </c>
      <c r="D26" s="586">
        <v>4.43</v>
      </c>
      <c r="E26" s="586">
        <v>67.14</v>
      </c>
      <c r="F26" s="586">
        <v>49.43</v>
      </c>
      <c r="G26" s="588">
        <f t="shared" ref="G26:G31" si="14">SUM(C26:F26)</f>
        <v>121</v>
      </c>
      <c r="I26" s="586">
        <v>0.0</v>
      </c>
      <c r="J26" s="586">
        <v>4.43</v>
      </c>
      <c r="K26" s="586">
        <v>69.6</v>
      </c>
      <c r="L26" s="586">
        <v>49.43</v>
      </c>
      <c r="M26" s="588">
        <f t="shared" ref="M26:M31" si="15">SUM(I26:L26)</f>
        <v>123.46</v>
      </c>
      <c r="O26" s="575" t="str">
        <f t="shared" ref="O26:S26" si="13">IFERROR(I26/C26-1,"")</f>
        <v/>
      </c>
      <c r="P26" s="575">
        <f t="shared" si="13"/>
        <v>0</v>
      </c>
      <c r="Q26" s="575">
        <f t="shared" si="13"/>
        <v>0.03663985702</v>
      </c>
      <c r="R26" s="575">
        <f t="shared" si="13"/>
        <v>0</v>
      </c>
      <c r="S26" s="575">
        <f t="shared" si="13"/>
        <v>0.02033057851</v>
      </c>
      <c r="U26" s="630">
        <v>166.11</v>
      </c>
      <c r="V26" s="630">
        <v>4.41</v>
      </c>
      <c r="W26" s="630">
        <v>6.87</v>
      </c>
      <c r="X26" s="631">
        <f t="shared" ref="X26:X31" si="17">IFERROR(W26-V26,"")</f>
        <v>2.46</v>
      </c>
      <c r="Y26" s="632">
        <f t="shared" ref="Y26:Y38" si="18">IF(ISNUMBER(X26), IFERROR(X26/ABS(V26), 0), "")</f>
        <v>0.5578231293</v>
      </c>
    </row>
    <row r="27">
      <c r="B27" s="577" t="s">
        <v>21</v>
      </c>
      <c r="C27" s="586">
        <v>0.0</v>
      </c>
      <c r="D27" s="586">
        <v>5.79</v>
      </c>
      <c r="E27" s="586">
        <v>122.4</v>
      </c>
      <c r="F27" s="586">
        <v>72.84</v>
      </c>
      <c r="G27" s="588">
        <f t="shared" si="14"/>
        <v>201.03</v>
      </c>
      <c r="I27" s="586">
        <v>0.0</v>
      </c>
      <c r="J27" s="586">
        <v>5.79</v>
      </c>
      <c r="K27" s="586">
        <v>125.7</v>
      </c>
      <c r="L27" s="586">
        <v>87.63</v>
      </c>
      <c r="M27" s="588">
        <f t="shared" si="15"/>
        <v>219.12</v>
      </c>
      <c r="O27" s="575" t="str">
        <f t="shared" ref="O27:S27" si="16">IFERROR(I27/C27-1,"")</f>
        <v/>
      </c>
      <c r="P27" s="575">
        <f t="shared" si="16"/>
        <v>0</v>
      </c>
      <c r="Q27" s="575">
        <f t="shared" si="16"/>
        <v>0.02696078431</v>
      </c>
      <c r="R27" s="575">
        <f t="shared" si="16"/>
        <v>0.2030477759</v>
      </c>
      <c r="S27" s="575">
        <f t="shared" si="16"/>
        <v>0.08998656917</v>
      </c>
      <c r="U27" s="630">
        <v>306.87</v>
      </c>
      <c r="V27" s="630">
        <v>11.69</v>
      </c>
      <c r="W27" s="630">
        <v>29.78</v>
      </c>
      <c r="X27" s="631">
        <f t="shared" si="17"/>
        <v>18.09</v>
      </c>
      <c r="Y27" s="632">
        <f t="shared" si="18"/>
        <v>1.547476476</v>
      </c>
    </row>
    <row r="28">
      <c r="B28" s="577" t="s">
        <v>22</v>
      </c>
      <c r="C28" s="586">
        <v>0.0</v>
      </c>
      <c r="D28" s="586">
        <v>7.36</v>
      </c>
      <c r="E28" s="586">
        <v>239.66</v>
      </c>
      <c r="F28" s="586">
        <v>138.69</v>
      </c>
      <c r="G28" s="588">
        <f t="shared" si="14"/>
        <v>385.71</v>
      </c>
      <c r="I28" s="586">
        <v>0.0</v>
      </c>
      <c r="J28" s="586">
        <v>7.36</v>
      </c>
      <c r="K28" s="586">
        <v>256.6</v>
      </c>
      <c r="L28" s="586">
        <v>167.06</v>
      </c>
      <c r="M28" s="588">
        <f t="shared" si="15"/>
        <v>431.02</v>
      </c>
      <c r="O28" s="575" t="str">
        <f t="shared" ref="O28:S28" si="19">IFERROR(I28/C28-1,"")</f>
        <v/>
      </c>
      <c r="P28" s="575">
        <f t="shared" si="19"/>
        <v>0</v>
      </c>
      <c r="Q28" s="575">
        <f t="shared" si="19"/>
        <v>0.07068346825</v>
      </c>
      <c r="R28" s="575">
        <f t="shared" si="19"/>
        <v>0.2045569255</v>
      </c>
      <c r="S28" s="575">
        <f t="shared" si="19"/>
        <v>0.1174716756</v>
      </c>
      <c r="U28" s="630">
        <v>610.71</v>
      </c>
      <c r="V28" s="630">
        <v>26.8</v>
      </c>
      <c r="W28" s="630">
        <v>72.11</v>
      </c>
      <c r="X28" s="631">
        <f t="shared" si="17"/>
        <v>45.31</v>
      </c>
      <c r="Y28" s="632">
        <f t="shared" si="18"/>
        <v>1.690671642</v>
      </c>
    </row>
    <row r="29">
      <c r="B29" s="577" t="s">
        <v>24</v>
      </c>
      <c r="C29" s="586">
        <v>0.0</v>
      </c>
      <c r="D29" s="586">
        <v>10.92</v>
      </c>
      <c r="E29" s="586">
        <v>535.14</v>
      </c>
      <c r="F29" s="586">
        <v>295.38</v>
      </c>
      <c r="G29" s="588">
        <f t="shared" si="14"/>
        <v>841.44</v>
      </c>
      <c r="I29" s="586">
        <v>0.0</v>
      </c>
      <c r="J29" s="586">
        <v>10.92</v>
      </c>
      <c r="K29" s="586">
        <v>583.96</v>
      </c>
      <c r="L29" s="586">
        <v>336.31</v>
      </c>
      <c r="M29" s="588">
        <f t="shared" si="15"/>
        <v>931.19</v>
      </c>
      <c r="O29" s="575" t="str">
        <f t="shared" ref="O29:S29" si="20">IFERROR(I29/C29-1,"")</f>
        <v/>
      </c>
      <c r="P29" s="575">
        <f t="shared" si="20"/>
        <v>0</v>
      </c>
      <c r="Q29" s="575">
        <f t="shared" si="20"/>
        <v>0.09122846358</v>
      </c>
      <c r="R29" s="575">
        <f t="shared" si="20"/>
        <v>0.1385672693</v>
      </c>
      <c r="S29" s="575">
        <f t="shared" si="20"/>
        <v>0.1066623883</v>
      </c>
      <c r="U29" s="630">
        <v>1305.52</v>
      </c>
      <c r="V29" s="630">
        <v>37.76</v>
      </c>
      <c r="W29" s="630">
        <v>127.51</v>
      </c>
      <c r="X29" s="631">
        <f t="shared" si="17"/>
        <v>89.75</v>
      </c>
      <c r="Y29" s="632">
        <f t="shared" si="18"/>
        <v>2.376853814</v>
      </c>
    </row>
    <row r="30">
      <c r="B30" s="577" t="s">
        <v>26</v>
      </c>
      <c r="C30" s="586">
        <v>0.0</v>
      </c>
      <c r="D30" s="586">
        <v>12.71</v>
      </c>
      <c r="E30" s="586">
        <v>880.75</v>
      </c>
      <c r="F30" s="586">
        <v>444.1</v>
      </c>
      <c r="G30" s="588">
        <f t="shared" si="14"/>
        <v>1337.56</v>
      </c>
      <c r="I30" s="586">
        <v>0.0</v>
      </c>
      <c r="J30" s="586">
        <v>12.71</v>
      </c>
      <c r="K30" s="586">
        <v>977.55</v>
      </c>
      <c r="L30" s="586">
        <v>530.26</v>
      </c>
      <c r="M30" s="588">
        <f t="shared" si="15"/>
        <v>1520.52</v>
      </c>
      <c r="O30" s="575" t="str">
        <f t="shared" ref="O30:S30" si="21">IFERROR(I30/C30-1,"")</f>
        <v/>
      </c>
      <c r="P30" s="575">
        <f t="shared" si="21"/>
        <v>0</v>
      </c>
      <c r="Q30" s="575">
        <f t="shared" si="21"/>
        <v>0.1099063298</v>
      </c>
      <c r="R30" s="575">
        <f t="shared" si="21"/>
        <v>0.194010358</v>
      </c>
      <c r="S30" s="575">
        <f t="shared" si="21"/>
        <v>0.1367863872</v>
      </c>
      <c r="U30" s="630">
        <v>2147.06</v>
      </c>
      <c r="V30" s="630">
        <v>120.19</v>
      </c>
      <c r="W30" s="630">
        <v>303.15</v>
      </c>
      <c r="X30" s="631">
        <f t="shared" si="17"/>
        <v>182.96</v>
      </c>
      <c r="Y30" s="632">
        <f t="shared" si="18"/>
        <v>1.522256427</v>
      </c>
    </row>
    <row r="31">
      <c r="B31" s="603" t="s">
        <v>1628</v>
      </c>
      <c r="C31" s="604">
        <v>0.0</v>
      </c>
      <c r="D31" s="604">
        <v>6.06</v>
      </c>
      <c r="E31" s="604">
        <v>169.35</v>
      </c>
      <c r="F31" s="604">
        <v>101.13</v>
      </c>
      <c r="G31" s="605">
        <f t="shared" si="14"/>
        <v>276.54</v>
      </c>
      <c r="I31" s="604">
        <v>0.0</v>
      </c>
      <c r="J31" s="604">
        <v>6.06</v>
      </c>
      <c r="K31" s="604">
        <v>180.47</v>
      </c>
      <c r="L31" s="604">
        <v>115.18</v>
      </c>
      <c r="M31" s="605">
        <f t="shared" si="15"/>
        <v>301.71</v>
      </c>
      <c r="O31" s="606" t="str">
        <f t="shared" ref="O31:S31" si="22">IFERROR(I31/C31-1,"")</f>
        <v/>
      </c>
      <c r="P31" s="606">
        <f t="shared" si="22"/>
        <v>0</v>
      </c>
      <c r="Q31" s="606">
        <f t="shared" si="22"/>
        <v>0.06566282846</v>
      </c>
      <c r="R31" s="606">
        <f t="shared" si="22"/>
        <v>0.13893009</v>
      </c>
      <c r="S31" s="606">
        <f t="shared" si="22"/>
        <v>0.09101757431</v>
      </c>
      <c r="U31" s="633">
        <v>485.0</v>
      </c>
      <c r="V31" s="633">
        <v>17.76</v>
      </c>
      <c r="W31" s="633">
        <v>48.61</v>
      </c>
      <c r="X31" s="634">
        <f t="shared" si="17"/>
        <v>30.85</v>
      </c>
      <c r="Y31" s="635">
        <f t="shared" si="18"/>
        <v>1.73704955</v>
      </c>
    </row>
    <row r="32">
      <c r="B32" s="569" t="s">
        <v>1192</v>
      </c>
      <c r="C32" s="569"/>
      <c r="D32" s="569"/>
      <c r="E32" s="569"/>
      <c r="F32" s="569"/>
      <c r="G32" s="569"/>
      <c r="H32" s="569"/>
      <c r="I32" s="569"/>
      <c r="J32" s="569"/>
      <c r="K32" s="569"/>
      <c r="L32" s="569"/>
      <c r="M32" s="569"/>
      <c r="N32" s="569"/>
      <c r="O32" s="569"/>
      <c r="P32" s="569"/>
      <c r="Q32" s="569"/>
      <c r="R32" s="569"/>
      <c r="S32" s="569"/>
      <c r="T32" s="569"/>
      <c r="U32" s="569"/>
      <c r="V32" s="569"/>
      <c r="W32" s="569"/>
      <c r="X32" s="569"/>
      <c r="Y32" s="636" t="str">
        <f t="shared" si="18"/>
        <v/>
      </c>
    </row>
    <row r="33">
      <c r="B33" s="577" t="s">
        <v>19</v>
      </c>
      <c r="C33" s="586">
        <v>0.0</v>
      </c>
      <c r="D33" s="586">
        <v>25.75</v>
      </c>
      <c r="E33" s="586">
        <v>133.77</v>
      </c>
      <c r="F33" s="586">
        <v>159.79</v>
      </c>
      <c r="G33" s="588">
        <f t="shared" ref="G33:G38" si="24">SUM(C33:F33)</f>
        <v>319.31</v>
      </c>
      <c r="I33" s="586">
        <v>0.0</v>
      </c>
      <c r="J33" s="586">
        <v>25.75</v>
      </c>
      <c r="K33" s="586">
        <v>138.64</v>
      </c>
      <c r="L33" s="586">
        <v>200.32</v>
      </c>
      <c r="M33" s="588">
        <f t="shared" ref="M33:M38" si="25">SUM(I33:L33)</f>
        <v>364.71</v>
      </c>
      <c r="O33" s="575" t="str">
        <f t="shared" ref="O33:S33" si="23">IFERROR(I33/C33-1,"")</f>
        <v/>
      </c>
      <c r="P33" s="575">
        <f t="shared" si="23"/>
        <v>0</v>
      </c>
      <c r="Q33" s="575">
        <f t="shared" si="23"/>
        <v>0.0364057711</v>
      </c>
      <c r="R33" s="575">
        <f t="shared" si="23"/>
        <v>0.2536454096</v>
      </c>
      <c r="S33" s="575">
        <f t="shared" si="23"/>
        <v>0.142181579</v>
      </c>
      <c r="U33" s="630">
        <v>601.47</v>
      </c>
      <c r="V33" s="630">
        <v>-4.4</v>
      </c>
      <c r="W33" s="630">
        <v>41.0</v>
      </c>
      <c r="X33" s="631">
        <f t="shared" ref="X33:X38" si="27">IFERROR(W33-V33,"")</f>
        <v>45.4</v>
      </c>
      <c r="Y33" s="632">
        <f t="shared" si="18"/>
        <v>10.31818182</v>
      </c>
    </row>
    <row r="34">
      <c r="B34" s="577" t="s">
        <v>21</v>
      </c>
      <c r="C34" s="586">
        <v>0.0</v>
      </c>
      <c r="D34" s="586">
        <v>21.35</v>
      </c>
      <c r="E34" s="586">
        <v>184.34</v>
      </c>
      <c r="F34" s="586">
        <v>200.3</v>
      </c>
      <c r="G34" s="588">
        <f t="shared" si="24"/>
        <v>405.99</v>
      </c>
      <c r="I34" s="586">
        <v>0.0</v>
      </c>
      <c r="J34" s="586">
        <v>21.35</v>
      </c>
      <c r="K34" s="586">
        <v>187.58</v>
      </c>
      <c r="L34" s="586">
        <v>232.4</v>
      </c>
      <c r="M34" s="588">
        <f t="shared" si="25"/>
        <v>441.33</v>
      </c>
      <c r="O34" s="575" t="str">
        <f t="shared" ref="O34:S34" si="26">IFERROR(I34/C34-1,"")</f>
        <v/>
      </c>
      <c r="P34" s="575">
        <f t="shared" si="26"/>
        <v>0</v>
      </c>
      <c r="Q34" s="575">
        <f t="shared" si="26"/>
        <v>0.01757621786</v>
      </c>
      <c r="R34" s="575">
        <f t="shared" si="26"/>
        <v>0.1602596106</v>
      </c>
      <c r="S34" s="575">
        <f t="shared" si="26"/>
        <v>0.08704647898</v>
      </c>
      <c r="U34" s="630">
        <v>1221.97</v>
      </c>
      <c r="V34" s="630">
        <v>-11.45</v>
      </c>
      <c r="W34" s="630">
        <v>23.89</v>
      </c>
      <c r="X34" s="631">
        <f t="shared" si="27"/>
        <v>35.34</v>
      </c>
      <c r="Y34" s="632">
        <f t="shared" si="18"/>
        <v>3.086462882</v>
      </c>
    </row>
    <row r="35">
      <c r="B35" s="577" t="s">
        <v>22</v>
      </c>
      <c r="C35" s="586">
        <v>0.0</v>
      </c>
      <c r="D35" s="586">
        <v>18.73</v>
      </c>
      <c r="E35" s="586">
        <v>323.12</v>
      </c>
      <c r="F35" s="586">
        <v>303.04</v>
      </c>
      <c r="G35" s="588">
        <f t="shared" si="24"/>
        <v>644.89</v>
      </c>
      <c r="I35" s="586">
        <v>0.0</v>
      </c>
      <c r="J35" s="586">
        <v>18.73</v>
      </c>
      <c r="K35" s="586">
        <v>350.37</v>
      </c>
      <c r="L35" s="586">
        <v>341.2</v>
      </c>
      <c r="M35" s="588">
        <f t="shared" si="25"/>
        <v>710.3</v>
      </c>
      <c r="O35" s="575" t="str">
        <f t="shared" ref="O35:S35" si="28">IFERROR(I35/C35-1,"")</f>
        <v/>
      </c>
      <c r="P35" s="575">
        <f t="shared" si="28"/>
        <v>0</v>
      </c>
      <c r="Q35" s="575">
        <f t="shared" si="28"/>
        <v>0.08433399356</v>
      </c>
      <c r="R35" s="575">
        <f t="shared" si="28"/>
        <v>0.1259239704</v>
      </c>
      <c r="S35" s="575">
        <f t="shared" si="28"/>
        <v>0.1014281505</v>
      </c>
      <c r="U35" s="630">
        <v>2077.93</v>
      </c>
      <c r="V35" s="630">
        <v>-57.68</v>
      </c>
      <c r="W35" s="630">
        <v>7.73</v>
      </c>
      <c r="X35" s="631">
        <f t="shared" si="27"/>
        <v>65.41</v>
      </c>
      <c r="Y35" s="632">
        <f t="shared" si="18"/>
        <v>1.134015257</v>
      </c>
    </row>
    <row r="36">
      <c r="B36" s="577" t="s">
        <v>24</v>
      </c>
      <c r="C36" s="586">
        <v>0.0</v>
      </c>
      <c r="D36" s="586">
        <v>23.18</v>
      </c>
      <c r="E36" s="586">
        <v>718.73</v>
      </c>
      <c r="F36" s="586">
        <v>581.38</v>
      </c>
      <c r="G36" s="588">
        <f t="shared" si="24"/>
        <v>1323.29</v>
      </c>
      <c r="I36" s="586">
        <v>0.0</v>
      </c>
      <c r="J36" s="586">
        <v>23.18</v>
      </c>
      <c r="K36" s="586">
        <v>800.46</v>
      </c>
      <c r="L36" s="586">
        <v>644.3</v>
      </c>
      <c r="M36" s="588">
        <f t="shared" si="25"/>
        <v>1467.94</v>
      </c>
      <c r="O36" s="575" t="str">
        <f t="shared" ref="O36:S36" si="29">IFERROR(I36/C36-1,"")</f>
        <v/>
      </c>
      <c r="P36" s="575">
        <f t="shared" si="29"/>
        <v>0</v>
      </c>
      <c r="Q36" s="575">
        <f t="shared" si="29"/>
        <v>0.1137144686</v>
      </c>
      <c r="R36" s="575">
        <f t="shared" si="29"/>
        <v>0.1082252571</v>
      </c>
      <c r="S36" s="575">
        <f t="shared" si="29"/>
        <v>0.1093108842</v>
      </c>
      <c r="U36" s="630">
        <v>3332.01</v>
      </c>
      <c r="V36" s="630">
        <v>-4.67</v>
      </c>
      <c r="W36" s="630">
        <v>139.98</v>
      </c>
      <c r="X36" s="631">
        <f t="shared" si="27"/>
        <v>144.65</v>
      </c>
      <c r="Y36" s="632">
        <f t="shared" si="18"/>
        <v>30.97430407</v>
      </c>
    </row>
    <row r="37">
      <c r="B37" s="577" t="s">
        <v>26</v>
      </c>
      <c r="C37" s="586">
        <v>0.0</v>
      </c>
      <c r="D37" s="586">
        <v>20.9</v>
      </c>
      <c r="E37" s="586">
        <v>976.25</v>
      </c>
      <c r="F37" s="586">
        <v>683.87</v>
      </c>
      <c r="G37" s="588">
        <f t="shared" si="24"/>
        <v>1681.02</v>
      </c>
      <c r="I37" s="586">
        <v>0.0</v>
      </c>
      <c r="J37" s="586">
        <v>20.9</v>
      </c>
      <c r="K37" s="586">
        <v>1091.0</v>
      </c>
      <c r="L37" s="586">
        <v>793.63</v>
      </c>
      <c r="M37" s="588">
        <f t="shared" si="25"/>
        <v>1905.53</v>
      </c>
      <c r="O37" s="575" t="str">
        <f t="shared" ref="O37:S37" si="30">IFERROR(I37/C37-1,"")</f>
        <v/>
      </c>
      <c r="P37" s="575">
        <f t="shared" si="30"/>
        <v>0</v>
      </c>
      <c r="Q37" s="575">
        <f t="shared" si="30"/>
        <v>0.1175416133</v>
      </c>
      <c r="R37" s="575">
        <f t="shared" si="30"/>
        <v>0.1604983403</v>
      </c>
      <c r="S37" s="575">
        <f t="shared" si="30"/>
        <v>0.1335558173</v>
      </c>
      <c r="U37" s="630">
        <v>4276.49</v>
      </c>
      <c r="V37" s="630">
        <v>-25.09</v>
      </c>
      <c r="W37" s="630">
        <v>199.42</v>
      </c>
      <c r="X37" s="631">
        <f t="shared" si="27"/>
        <v>224.51</v>
      </c>
      <c r="Y37" s="632">
        <f t="shared" si="18"/>
        <v>8.948186528</v>
      </c>
    </row>
    <row r="38">
      <c r="B38" s="603" t="s">
        <v>1628</v>
      </c>
      <c r="C38" s="604">
        <v>0.0</v>
      </c>
      <c r="D38" s="604">
        <v>22.85</v>
      </c>
      <c r="E38" s="604">
        <v>288.47</v>
      </c>
      <c r="F38" s="604">
        <v>271.46</v>
      </c>
      <c r="G38" s="605">
        <f t="shared" si="24"/>
        <v>582.78</v>
      </c>
      <c r="I38" s="604">
        <v>0.0</v>
      </c>
      <c r="J38" s="604">
        <v>22.85</v>
      </c>
      <c r="K38" s="604">
        <v>311.2</v>
      </c>
      <c r="L38" s="604">
        <v>314.52</v>
      </c>
      <c r="M38" s="605">
        <f t="shared" si="25"/>
        <v>648.57</v>
      </c>
      <c r="O38" s="606" t="str">
        <f t="shared" ref="O38:S38" si="31">IFERROR(I38/C38-1,"")</f>
        <v/>
      </c>
      <c r="P38" s="606">
        <f t="shared" si="31"/>
        <v>0</v>
      </c>
      <c r="Q38" s="606">
        <f t="shared" si="31"/>
        <v>0.07879502201</v>
      </c>
      <c r="R38" s="606">
        <f t="shared" si="31"/>
        <v>0.1586237383</v>
      </c>
      <c r="S38" s="606">
        <f t="shared" si="31"/>
        <v>0.1128899413</v>
      </c>
      <c r="U38" s="633">
        <v>1538.08</v>
      </c>
      <c r="V38" s="633">
        <v>-17.13</v>
      </c>
      <c r="W38" s="633">
        <v>49.02</v>
      </c>
      <c r="X38" s="634">
        <f t="shared" si="27"/>
        <v>66.15</v>
      </c>
      <c r="Y38" s="635">
        <f t="shared" si="18"/>
        <v>3.861646235</v>
      </c>
    </row>
    <row r="40" ht="15.75" customHeight="1"/>
    <row r="41" ht="15.75" customHeight="1">
      <c r="B41" s="545" t="s">
        <v>2132</v>
      </c>
      <c r="C41" s="545"/>
      <c r="D41" s="545"/>
      <c r="E41" s="545"/>
      <c r="F41" s="545"/>
      <c r="G41" s="545"/>
      <c r="H41" s="545"/>
      <c r="I41" s="545"/>
      <c r="J41" s="545"/>
      <c r="K41" s="545"/>
      <c r="L41" s="545"/>
      <c r="M41" s="545"/>
      <c r="N41" s="545"/>
      <c r="O41" s="545"/>
      <c r="P41" s="545"/>
      <c r="Q41" s="545"/>
      <c r="R41" s="545"/>
      <c r="S41" s="545"/>
      <c r="T41" s="545"/>
      <c r="U41" s="545"/>
      <c r="V41" s="545"/>
      <c r="W41" s="545"/>
      <c r="X41" s="545"/>
      <c r="Y41" s="545"/>
    </row>
    <row r="42" ht="15.75" customHeight="1">
      <c r="C42" s="626" t="s">
        <v>2104</v>
      </c>
      <c r="D42" s="550"/>
      <c r="E42" s="550"/>
      <c r="F42" s="550"/>
      <c r="G42" s="550"/>
      <c r="I42" s="551" t="s">
        <v>2105</v>
      </c>
      <c r="J42" s="552"/>
      <c r="K42" s="552"/>
      <c r="L42" s="552"/>
      <c r="M42" s="552"/>
      <c r="O42" s="554" t="s">
        <v>1197</v>
      </c>
      <c r="P42" s="556"/>
      <c r="Q42" s="556"/>
      <c r="R42" s="556"/>
      <c r="S42" s="556"/>
      <c r="U42" s="627" t="s">
        <v>2106</v>
      </c>
      <c r="V42" s="628"/>
      <c r="W42" s="628"/>
      <c r="X42" s="556"/>
      <c r="Y42" s="556"/>
    </row>
    <row r="43" ht="15.75" customHeight="1">
      <c r="B43" s="226" t="s">
        <v>1203</v>
      </c>
      <c r="C43" s="562" t="s">
        <v>1204</v>
      </c>
      <c r="D43" s="562" t="s">
        <v>1206</v>
      </c>
      <c r="E43" s="562" t="s">
        <v>1207</v>
      </c>
      <c r="F43" s="562" t="s">
        <v>1208</v>
      </c>
      <c r="G43" s="562" t="s">
        <v>129</v>
      </c>
      <c r="I43" s="564" t="s">
        <v>1204</v>
      </c>
      <c r="J43" s="564" t="s">
        <v>1206</v>
      </c>
      <c r="K43" s="564" t="s">
        <v>1207</v>
      </c>
      <c r="L43" s="564" t="s">
        <v>1208</v>
      </c>
      <c r="M43" s="564" t="s">
        <v>129</v>
      </c>
      <c r="O43" s="565" t="s">
        <v>1204</v>
      </c>
      <c r="P43" s="565" t="s">
        <v>1206</v>
      </c>
      <c r="Q43" s="565" t="s">
        <v>1207</v>
      </c>
      <c r="R43" s="565" t="s">
        <v>1208</v>
      </c>
      <c r="S43" s="568" t="s">
        <v>1215</v>
      </c>
      <c r="U43" s="629" t="s">
        <v>2107</v>
      </c>
      <c r="V43" s="629" t="s">
        <v>2108</v>
      </c>
      <c r="W43" s="629" t="s">
        <v>2109</v>
      </c>
      <c r="X43" s="565" t="s">
        <v>2110</v>
      </c>
      <c r="Y43" s="568" t="s">
        <v>2111</v>
      </c>
    </row>
    <row r="44" ht="15.75" customHeight="1">
      <c r="B44" s="569" t="s">
        <v>180</v>
      </c>
      <c r="C44" s="569"/>
      <c r="D44" s="569"/>
      <c r="E44" s="569"/>
      <c r="F44" s="569"/>
      <c r="G44" s="569"/>
      <c r="H44" s="569"/>
      <c r="I44" s="569"/>
      <c r="J44" s="569"/>
      <c r="K44" s="569"/>
      <c r="L44" s="569"/>
      <c r="M44" s="569"/>
      <c r="N44" s="569"/>
      <c r="O44" s="569"/>
      <c r="P44" s="569"/>
      <c r="Q44" s="569"/>
      <c r="R44" s="569"/>
      <c r="S44" s="569"/>
      <c r="T44" s="569"/>
      <c r="U44" s="569"/>
      <c r="V44" s="569"/>
      <c r="W44" s="569"/>
      <c r="X44" s="569"/>
      <c r="Y44" s="569"/>
    </row>
    <row r="45" ht="15.75" customHeight="1">
      <c r="B45" s="577" t="s">
        <v>19</v>
      </c>
      <c r="C45" s="586">
        <v>0.0</v>
      </c>
      <c r="D45" s="586">
        <v>0.2</v>
      </c>
      <c r="E45" s="586">
        <v>1.63</v>
      </c>
      <c r="F45" s="586">
        <v>2.1</v>
      </c>
      <c r="G45" s="588">
        <f t="shared" ref="G45:G50" si="33">SUM(C45:F45)</f>
        <v>3.93</v>
      </c>
      <c r="I45" s="586">
        <v>0.0</v>
      </c>
      <c r="J45" s="586">
        <v>0.2</v>
      </c>
      <c r="K45" s="586">
        <v>1.34</v>
      </c>
      <c r="L45" s="586">
        <v>1.08</v>
      </c>
      <c r="M45" s="588">
        <f t="shared" ref="M45:M50" si="34">SUM(I45:L45)</f>
        <v>2.62</v>
      </c>
      <c r="O45" s="575" t="str">
        <f t="shared" ref="O45:S45" si="32">IFERROR(I45/C45-1,"")</f>
        <v/>
      </c>
      <c r="P45" s="575">
        <f t="shared" si="32"/>
        <v>0</v>
      </c>
      <c r="Q45" s="575">
        <f t="shared" si="32"/>
        <v>-0.1779141104</v>
      </c>
      <c r="R45" s="575">
        <f t="shared" si="32"/>
        <v>-0.4857142857</v>
      </c>
      <c r="S45" s="575">
        <f t="shared" si="32"/>
        <v>-0.3333333333</v>
      </c>
      <c r="U45" s="630">
        <v>5.28</v>
      </c>
      <c r="V45" s="630">
        <v>0.65</v>
      </c>
      <c r="W45" s="630">
        <v>-0.66</v>
      </c>
      <c r="X45" s="631">
        <f t="shared" ref="X45:X50" si="36">IFERROR(W45-V45,"")</f>
        <v>-1.31</v>
      </c>
      <c r="Y45" s="632">
        <f t="shared" ref="Y45:Y57" si="37">IF(ISNUMBER(X45), IFERROR(X45/ABS(V45), 0), "")</f>
        <v>-2.015384615</v>
      </c>
    </row>
    <row r="46" ht="15.75" customHeight="1">
      <c r="B46" s="577" t="s">
        <v>21</v>
      </c>
      <c r="C46" s="586">
        <v>0.0</v>
      </c>
      <c r="D46" s="586">
        <v>0.21</v>
      </c>
      <c r="E46" s="586">
        <v>2.19</v>
      </c>
      <c r="F46" s="586">
        <v>2.78</v>
      </c>
      <c r="G46" s="588">
        <f t="shared" si="33"/>
        <v>5.18</v>
      </c>
      <c r="I46" s="586">
        <v>0.0</v>
      </c>
      <c r="J46" s="586">
        <v>0.21</v>
      </c>
      <c r="K46" s="586">
        <v>1.67</v>
      </c>
      <c r="L46" s="586">
        <v>1.39</v>
      </c>
      <c r="M46" s="588">
        <f t="shared" si="34"/>
        <v>3.27</v>
      </c>
      <c r="O46" s="575" t="str">
        <f t="shared" ref="O46:S46" si="35">IFERROR(I46/C46-1,"")</f>
        <v/>
      </c>
      <c r="P46" s="575">
        <f t="shared" si="35"/>
        <v>0</v>
      </c>
      <c r="Q46" s="575">
        <f t="shared" si="35"/>
        <v>-0.2374429224</v>
      </c>
      <c r="R46" s="575">
        <f t="shared" si="35"/>
        <v>-0.5</v>
      </c>
      <c r="S46" s="575">
        <f t="shared" si="35"/>
        <v>-0.3687258687</v>
      </c>
      <c r="U46" s="630">
        <v>7.7</v>
      </c>
      <c r="V46" s="630">
        <v>0.97</v>
      </c>
      <c r="W46" s="630">
        <v>-0.94</v>
      </c>
      <c r="X46" s="631">
        <f t="shared" si="36"/>
        <v>-1.91</v>
      </c>
      <c r="Y46" s="632">
        <f t="shared" si="37"/>
        <v>-1.969072165</v>
      </c>
    </row>
    <row r="47" ht="15.75" customHeight="1">
      <c r="B47" s="577" t="s">
        <v>22</v>
      </c>
      <c r="C47" s="586">
        <v>0.0</v>
      </c>
      <c r="D47" s="586">
        <v>0.2</v>
      </c>
      <c r="E47" s="586">
        <v>3.03</v>
      </c>
      <c r="F47" s="586">
        <v>3.46</v>
      </c>
      <c r="G47" s="588">
        <f t="shared" si="33"/>
        <v>6.69</v>
      </c>
      <c r="I47" s="586">
        <v>0.0</v>
      </c>
      <c r="J47" s="586">
        <v>0.2</v>
      </c>
      <c r="K47" s="586">
        <v>2.11</v>
      </c>
      <c r="L47" s="586">
        <v>1.78</v>
      </c>
      <c r="M47" s="588">
        <f t="shared" si="34"/>
        <v>4.09</v>
      </c>
      <c r="O47" s="575" t="str">
        <f t="shared" ref="O47:S47" si="38">IFERROR(I47/C47-1,"")</f>
        <v/>
      </c>
      <c r="P47" s="575">
        <f t="shared" si="38"/>
        <v>0</v>
      </c>
      <c r="Q47" s="575">
        <f t="shared" si="38"/>
        <v>-0.303630363</v>
      </c>
      <c r="R47" s="575">
        <f t="shared" si="38"/>
        <v>-0.4855491329</v>
      </c>
      <c r="S47" s="575">
        <f t="shared" si="38"/>
        <v>-0.3886397608</v>
      </c>
      <c r="U47" s="630">
        <v>10.24</v>
      </c>
      <c r="V47" s="630">
        <v>0.67</v>
      </c>
      <c r="W47" s="630">
        <v>-1.93</v>
      </c>
      <c r="X47" s="631">
        <f t="shared" si="36"/>
        <v>-2.6</v>
      </c>
      <c r="Y47" s="632">
        <f t="shared" si="37"/>
        <v>-3.880597015</v>
      </c>
    </row>
    <row r="48" ht="15.75" customHeight="1">
      <c r="B48" s="577" t="s">
        <v>24</v>
      </c>
      <c r="C48" s="586">
        <v>0.0</v>
      </c>
      <c r="D48" s="586">
        <v>0.24</v>
      </c>
      <c r="E48" s="586">
        <v>5.23</v>
      </c>
      <c r="F48" s="586">
        <v>4.03</v>
      </c>
      <c r="G48" s="588">
        <f t="shared" si="33"/>
        <v>9.5</v>
      </c>
      <c r="I48" s="586">
        <v>0.0</v>
      </c>
      <c r="J48" s="586">
        <v>0.24</v>
      </c>
      <c r="K48" s="586">
        <v>3.31</v>
      </c>
      <c r="L48" s="586">
        <v>2.27</v>
      </c>
      <c r="M48" s="588">
        <f t="shared" si="34"/>
        <v>5.82</v>
      </c>
      <c r="O48" s="575" t="str">
        <f t="shared" ref="O48:S48" si="39">IFERROR(I48/C48-1,"")</f>
        <v/>
      </c>
      <c r="P48" s="575">
        <f t="shared" si="39"/>
        <v>0</v>
      </c>
      <c r="Q48" s="575">
        <f t="shared" si="39"/>
        <v>-0.3671128107</v>
      </c>
      <c r="R48" s="575">
        <f t="shared" si="39"/>
        <v>-0.4367245658</v>
      </c>
      <c r="S48" s="575">
        <f t="shared" si="39"/>
        <v>-0.3873684211</v>
      </c>
      <c r="U48" s="630">
        <v>14.45</v>
      </c>
      <c r="V48" s="630">
        <v>0.7</v>
      </c>
      <c r="W48" s="630">
        <v>-2.98</v>
      </c>
      <c r="X48" s="631">
        <f t="shared" si="36"/>
        <v>-3.68</v>
      </c>
      <c r="Y48" s="632">
        <f t="shared" si="37"/>
        <v>-5.257142857</v>
      </c>
    </row>
    <row r="49" ht="15.75" customHeight="1">
      <c r="B49" s="577" t="s">
        <v>26</v>
      </c>
      <c r="C49" s="586">
        <v>0.0</v>
      </c>
      <c r="D49" s="586">
        <v>0.27</v>
      </c>
      <c r="E49" s="586">
        <v>9.12</v>
      </c>
      <c r="F49" s="586">
        <v>8.19</v>
      </c>
      <c r="G49" s="588">
        <f t="shared" si="33"/>
        <v>17.58</v>
      </c>
      <c r="I49" s="586">
        <v>0.0</v>
      </c>
      <c r="J49" s="586">
        <v>0.27</v>
      </c>
      <c r="K49" s="586">
        <v>5.84</v>
      </c>
      <c r="L49" s="586">
        <v>3.16</v>
      </c>
      <c r="M49" s="588">
        <f t="shared" si="34"/>
        <v>9.27</v>
      </c>
      <c r="O49" s="575" t="str">
        <f t="shared" ref="O49:S49" si="40">IFERROR(I49/C49-1,"")</f>
        <v/>
      </c>
      <c r="P49" s="575">
        <f t="shared" si="40"/>
        <v>0</v>
      </c>
      <c r="Q49" s="575">
        <f t="shared" si="40"/>
        <v>-0.3596491228</v>
      </c>
      <c r="R49" s="575">
        <f t="shared" si="40"/>
        <v>-0.6141636142</v>
      </c>
      <c r="S49" s="575">
        <f t="shared" si="40"/>
        <v>-0.4726962457</v>
      </c>
      <c r="U49" s="630">
        <v>22.91</v>
      </c>
      <c r="V49" s="630">
        <v>7.73</v>
      </c>
      <c r="W49" s="630">
        <v>-0.58</v>
      </c>
      <c r="X49" s="631">
        <f t="shared" si="36"/>
        <v>-8.31</v>
      </c>
      <c r="Y49" s="632">
        <f t="shared" si="37"/>
        <v>-1.075032342</v>
      </c>
    </row>
    <row r="50" ht="15.75" customHeight="1">
      <c r="B50" s="603" t="s">
        <v>1628</v>
      </c>
      <c r="C50" s="604">
        <v>0.0</v>
      </c>
      <c r="D50" s="604">
        <v>0.21</v>
      </c>
      <c r="E50" s="604">
        <v>2.48</v>
      </c>
      <c r="F50" s="604">
        <v>2.79</v>
      </c>
      <c r="G50" s="605">
        <f t="shared" si="33"/>
        <v>5.48</v>
      </c>
      <c r="I50" s="604">
        <v>0.0</v>
      </c>
      <c r="J50" s="604">
        <v>0.21</v>
      </c>
      <c r="K50" s="604">
        <v>1.81</v>
      </c>
      <c r="L50" s="604">
        <v>1.43</v>
      </c>
      <c r="M50" s="605">
        <f t="shared" si="34"/>
        <v>3.45</v>
      </c>
      <c r="O50" s="606" t="str">
        <f t="shared" ref="O50:S50" si="41">IFERROR(I50/C50-1,"")</f>
        <v/>
      </c>
      <c r="P50" s="606">
        <f t="shared" si="41"/>
        <v>0</v>
      </c>
      <c r="Q50" s="606">
        <f t="shared" si="41"/>
        <v>-0.2701612903</v>
      </c>
      <c r="R50" s="606">
        <f t="shared" si="41"/>
        <v>-0.4874551971</v>
      </c>
      <c r="S50" s="606">
        <f t="shared" si="41"/>
        <v>-0.3704379562</v>
      </c>
      <c r="U50" s="633">
        <v>9.54</v>
      </c>
      <c r="V50" s="633">
        <v>0.91</v>
      </c>
      <c r="W50" s="633">
        <v>-1.55</v>
      </c>
      <c r="X50" s="634">
        <f t="shared" si="36"/>
        <v>-2.46</v>
      </c>
      <c r="Y50" s="635">
        <f t="shared" si="37"/>
        <v>-2.703296703</v>
      </c>
    </row>
    <row r="51" ht="15.75" customHeight="1">
      <c r="B51" s="569" t="s">
        <v>1192</v>
      </c>
      <c r="C51" s="569"/>
      <c r="D51" s="569"/>
      <c r="E51" s="569"/>
      <c r="F51" s="569"/>
      <c r="G51" s="569"/>
      <c r="H51" s="569"/>
      <c r="I51" s="569"/>
      <c r="J51" s="569"/>
      <c r="K51" s="569"/>
      <c r="L51" s="569"/>
      <c r="M51" s="569"/>
      <c r="N51" s="569"/>
      <c r="O51" s="569"/>
      <c r="P51" s="569"/>
      <c r="Q51" s="569"/>
      <c r="R51" s="569"/>
      <c r="S51" s="569"/>
      <c r="T51" s="569"/>
      <c r="U51" s="569"/>
      <c r="V51" s="569"/>
      <c r="W51" s="569"/>
      <c r="X51" s="569"/>
      <c r="Y51" s="636" t="str">
        <f t="shared" si="37"/>
        <v/>
      </c>
    </row>
    <row r="52" ht="15.75" customHeight="1">
      <c r="B52" s="577" t="s">
        <v>19</v>
      </c>
      <c r="C52" s="586">
        <v>0.0</v>
      </c>
      <c r="D52" s="586">
        <v>0.71</v>
      </c>
      <c r="E52" s="586">
        <v>2.36</v>
      </c>
      <c r="F52" s="586">
        <v>4.02</v>
      </c>
      <c r="G52" s="588">
        <f t="shared" ref="G52:G57" si="43">SUM(C52:F52)</f>
        <v>7.09</v>
      </c>
      <c r="I52" s="586">
        <v>0.0</v>
      </c>
      <c r="J52" s="586">
        <v>0.71</v>
      </c>
      <c r="K52" s="586">
        <v>1.96</v>
      </c>
      <c r="L52" s="586">
        <v>2.05</v>
      </c>
      <c r="M52" s="588">
        <f t="shared" ref="M52:M57" si="44">SUM(I52:L52)</f>
        <v>4.72</v>
      </c>
      <c r="O52" s="575" t="str">
        <f t="shared" ref="O52:S52" si="42">IFERROR(I52/C52-1,"")</f>
        <v/>
      </c>
      <c r="P52" s="575">
        <f t="shared" si="42"/>
        <v>0</v>
      </c>
      <c r="Q52" s="575">
        <f t="shared" si="42"/>
        <v>-0.1694915254</v>
      </c>
      <c r="R52" s="575">
        <f t="shared" si="42"/>
        <v>-0.4900497512</v>
      </c>
      <c r="S52" s="575">
        <f t="shared" si="42"/>
        <v>-0.3342736248</v>
      </c>
      <c r="U52" s="630">
        <v>10.57</v>
      </c>
      <c r="V52" s="630">
        <v>0.4</v>
      </c>
      <c r="W52" s="630">
        <v>-1.97</v>
      </c>
      <c r="X52" s="631">
        <f t="shared" ref="X52:X57" si="46">IFERROR(W52-V52,"")</f>
        <v>-2.37</v>
      </c>
      <c r="Y52" s="632">
        <f t="shared" si="37"/>
        <v>-5.925</v>
      </c>
    </row>
    <row r="53" ht="15.75" customHeight="1">
      <c r="B53" s="577" t="s">
        <v>21</v>
      </c>
      <c r="C53" s="586">
        <v>0.0</v>
      </c>
      <c r="D53" s="586">
        <v>0.51</v>
      </c>
      <c r="E53" s="586">
        <v>2.45</v>
      </c>
      <c r="F53" s="586">
        <v>4.58</v>
      </c>
      <c r="G53" s="588">
        <f t="shared" si="43"/>
        <v>7.54</v>
      </c>
      <c r="I53" s="586">
        <v>0.0</v>
      </c>
      <c r="J53" s="586">
        <v>0.51</v>
      </c>
      <c r="K53" s="586">
        <v>1.83</v>
      </c>
      <c r="L53" s="586">
        <v>2.76</v>
      </c>
      <c r="M53" s="588">
        <f t="shared" si="44"/>
        <v>5.1</v>
      </c>
      <c r="O53" s="575" t="str">
        <f t="shared" ref="O53:S53" si="45">IFERROR(I53/C53-1,"")</f>
        <v/>
      </c>
      <c r="P53" s="575">
        <f t="shared" si="45"/>
        <v>0</v>
      </c>
      <c r="Q53" s="575">
        <f t="shared" si="45"/>
        <v>-0.2530612245</v>
      </c>
      <c r="R53" s="575">
        <f t="shared" si="45"/>
        <v>-0.3973799127</v>
      </c>
      <c r="S53" s="575">
        <f t="shared" si="45"/>
        <v>-0.3236074271</v>
      </c>
      <c r="U53" s="630">
        <v>14.62</v>
      </c>
      <c r="V53" s="630">
        <v>0.4</v>
      </c>
      <c r="W53" s="630">
        <v>-2.04</v>
      </c>
      <c r="X53" s="631">
        <f t="shared" si="46"/>
        <v>-2.44</v>
      </c>
      <c r="Y53" s="632">
        <f t="shared" si="37"/>
        <v>-6.1</v>
      </c>
    </row>
    <row r="54" ht="15.75" customHeight="1">
      <c r="B54" s="577" t="s">
        <v>22</v>
      </c>
      <c r="C54" s="586">
        <v>0.0</v>
      </c>
      <c r="D54" s="586">
        <v>0.45</v>
      </c>
      <c r="E54" s="586">
        <v>3.31</v>
      </c>
      <c r="F54" s="586">
        <v>5.65</v>
      </c>
      <c r="G54" s="588">
        <f t="shared" si="43"/>
        <v>9.41</v>
      </c>
      <c r="I54" s="586">
        <v>0.0</v>
      </c>
      <c r="J54" s="586">
        <v>0.45</v>
      </c>
      <c r="K54" s="586">
        <v>2.19</v>
      </c>
      <c r="L54" s="586">
        <v>3.57</v>
      </c>
      <c r="M54" s="588">
        <f t="shared" si="44"/>
        <v>6.21</v>
      </c>
      <c r="O54" s="575" t="str">
        <f t="shared" ref="O54:S54" si="47">IFERROR(I54/C54-1,"")</f>
        <v/>
      </c>
      <c r="P54" s="575">
        <f t="shared" si="47"/>
        <v>0</v>
      </c>
      <c r="Q54" s="575">
        <f t="shared" si="47"/>
        <v>-0.3383685801</v>
      </c>
      <c r="R54" s="575">
        <f t="shared" si="47"/>
        <v>-0.3681415929</v>
      </c>
      <c r="S54" s="575">
        <f t="shared" si="47"/>
        <v>-0.340063762</v>
      </c>
      <c r="U54" s="630">
        <v>18.72</v>
      </c>
      <c r="V54" s="630">
        <v>-0.72</v>
      </c>
      <c r="W54" s="630">
        <v>-3.92</v>
      </c>
      <c r="X54" s="631">
        <f t="shared" si="46"/>
        <v>-3.2</v>
      </c>
      <c r="Y54" s="632">
        <f t="shared" si="37"/>
        <v>-4.444444444</v>
      </c>
    </row>
    <row r="55" ht="15.75" customHeight="1">
      <c r="B55" s="577" t="s">
        <v>24</v>
      </c>
      <c r="C55" s="586">
        <v>0.0</v>
      </c>
      <c r="D55" s="586">
        <v>0.52</v>
      </c>
      <c r="E55" s="586">
        <v>6.13</v>
      </c>
      <c r="F55" s="586">
        <v>7.5</v>
      </c>
      <c r="G55" s="588">
        <f t="shared" si="43"/>
        <v>14.15</v>
      </c>
      <c r="I55" s="586">
        <v>0.0</v>
      </c>
      <c r="J55" s="586">
        <v>0.52</v>
      </c>
      <c r="K55" s="586">
        <v>3.55</v>
      </c>
      <c r="L55" s="586">
        <v>5.23</v>
      </c>
      <c r="M55" s="588">
        <f t="shared" si="44"/>
        <v>9.3</v>
      </c>
      <c r="O55" s="575" t="str">
        <f t="shared" ref="O55:S55" si="48">IFERROR(I55/C55-1,"")</f>
        <v/>
      </c>
      <c r="P55" s="575">
        <f t="shared" si="48"/>
        <v>0</v>
      </c>
      <c r="Q55" s="575">
        <f t="shared" si="48"/>
        <v>-0.4208809135</v>
      </c>
      <c r="R55" s="575">
        <f t="shared" si="48"/>
        <v>-0.3026666667</v>
      </c>
      <c r="S55" s="575">
        <f t="shared" si="48"/>
        <v>-0.3427561837</v>
      </c>
      <c r="U55" s="630">
        <v>26.42</v>
      </c>
      <c r="V55" s="630">
        <v>-0.69</v>
      </c>
      <c r="W55" s="630">
        <v>-5.54</v>
      </c>
      <c r="X55" s="631">
        <f t="shared" si="46"/>
        <v>-4.85</v>
      </c>
      <c r="Y55" s="632">
        <f t="shared" si="37"/>
        <v>-7.028985507</v>
      </c>
    </row>
    <row r="56" ht="15.75" customHeight="1">
      <c r="B56" s="577" t="s">
        <v>26</v>
      </c>
      <c r="C56" s="586">
        <v>0.0</v>
      </c>
      <c r="D56" s="586">
        <v>0.45</v>
      </c>
      <c r="E56" s="586">
        <v>9.56</v>
      </c>
      <c r="F56" s="586">
        <v>12.18</v>
      </c>
      <c r="G56" s="588">
        <f t="shared" si="43"/>
        <v>22.19</v>
      </c>
      <c r="I56" s="586">
        <v>0.0</v>
      </c>
      <c r="J56" s="586">
        <v>0.45</v>
      </c>
      <c r="K56" s="586">
        <v>5.6</v>
      </c>
      <c r="L56" s="586">
        <v>6.2</v>
      </c>
      <c r="M56" s="588">
        <f t="shared" si="44"/>
        <v>12.25</v>
      </c>
      <c r="O56" s="575" t="str">
        <f t="shared" ref="O56:S56" si="49">IFERROR(I56/C56-1,"")</f>
        <v/>
      </c>
      <c r="P56" s="575">
        <f t="shared" si="49"/>
        <v>0</v>
      </c>
      <c r="Q56" s="575">
        <f t="shared" si="49"/>
        <v>-0.4142259414</v>
      </c>
      <c r="R56" s="575">
        <f t="shared" si="49"/>
        <v>-0.4909688013</v>
      </c>
      <c r="S56" s="575">
        <f t="shared" si="49"/>
        <v>-0.4479495268</v>
      </c>
      <c r="U56" s="630">
        <v>32.96</v>
      </c>
      <c r="V56" s="630">
        <v>3.67</v>
      </c>
      <c r="W56" s="630">
        <v>-6.27</v>
      </c>
      <c r="X56" s="631">
        <f t="shared" si="46"/>
        <v>-9.94</v>
      </c>
      <c r="Y56" s="632">
        <f t="shared" si="37"/>
        <v>-2.708446866</v>
      </c>
    </row>
    <row r="57" ht="15.75" customHeight="1">
      <c r="B57" s="603" t="s">
        <v>1628</v>
      </c>
      <c r="C57" s="604">
        <v>0.0</v>
      </c>
      <c r="D57" s="604">
        <v>0.58</v>
      </c>
      <c r="E57" s="604">
        <v>3.29</v>
      </c>
      <c r="F57" s="604">
        <v>5.18</v>
      </c>
      <c r="G57" s="605">
        <f t="shared" si="43"/>
        <v>9.05</v>
      </c>
      <c r="I57" s="604">
        <v>0.0</v>
      </c>
      <c r="J57" s="604">
        <v>0.58</v>
      </c>
      <c r="K57" s="604">
        <v>2.3</v>
      </c>
      <c r="L57" s="604">
        <v>3.08</v>
      </c>
      <c r="M57" s="605">
        <f t="shared" si="44"/>
        <v>5.96</v>
      </c>
      <c r="O57" s="606" t="str">
        <f t="shared" ref="O57:S57" si="50">IFERROR(I57/C57-1,"")</f>
        <v/>
      </c>
      <c r="P57" s="606">
        <f t="shared" si="50"/>
        <v>0</v>
      </c>
      <c r="Q57" s="606">
        <f t="shared" si="50"/>
        <v>-0.3009118541</v>
      </c>
      <c r="R57" s="606">
        <f t="shared" si="50"/>
        <v>-0.4054054054</v>
      </c>
      <c r="S57" s="606">
        <f t="shared" si="50"/>
        <v>-0.3414364641</v>
      </c>
      <c r="U57" s="633">
        <v>16.56</v>
      </c>
      <c r="V57" s="633">
        <v>0.08</v>
      </c>
      <c r="W57" s="633">
        <v>-3.11</v>
      </c>
      <c r="X57" s="634">
        <f t="shared" si="46"/>
        <v>-3.19</v>
      </c>
      <c r="Y57" s="635">
        <f t="shared" si="37"/>
        <v>-39.875</v>
      </c>
    </row>
    <row r="58" ht="15.75" customHeight="1"/>
    <row r="59" ht="15.75" customHeight="1"/>
    <row r="60" ht="15.75" customHeight="1">
      <c r="B60" s="545" t="s">
        <v>2147</v>
      </c>
      <c r="C60" s="545"/>
      <c r="D60" s="545"/>
      <c r="E60" s="545"/>
      <c r="F60" s="545"/>
      <c r="G60" s="545"/>
      <c r="H60" s="545"/>
      <c r="I60" s="545"/>
      <c r="J60" s="545"/>
      <c r="K60" s="545"/>
      <c r="L60" s="545"/>
      <c r="M60" s="545"/>
      <c r="N60" s="545"/>
      <c r="O60" s="545"/>
      <c r="P60" s="545"/>
      <c r="Q60" s="545"/>
      <c r="R60" s="545"/>
      <c r="S60" s="545"/>
      <c r="T60" s="545"/>
      <c r="U60" s="545"/>
      <c r="V60" s="545"/>
      <c r="W60" s="545"/>
      <c r="X60" s="545"/>
      <c r="Y60" s="545"/>
    </row>
    <row r="61" ht="15.75" customHeight="1">
      <c r="C61" s="626" t="s">
        <v>2104</v>
      </c>
      <c r="D61" s="550"/>
      <c r="E61" s="550"/>
      <c r="F61" s="550"/>
      <c r="G61" s="550"/>
      <c r="I61" s="551" t="s">
        <v>2105</v>
      </c>
      <c r="J61" s="552"/>
      <c r="K61" s="552"/>
      <c r="L61" s="552"/>
      <c r="M61" s="552"/>
      <c r="O61" s="554" t="s">
        <v>1197</v>
      </c>
      <c r="P61" s="556"/>
      <c r="Q61" s="556"/>
      <c r="R61" s="556"/>
      <c r="S61" s="556"/>
      <c r="U61" s="627" t="s">
        <v>2106</v>
      </c>
      <c r="V61" s="628"/>
      <c r="W61" s="628"/>
      <c r="X61" s="556"/>
      <c r="Y61" s="556"/>
    </row>
    <row r="62" ht="15.75" customHeight="1">
      <c r="B62" s="226" t="s">
        <v>1203</v>
      </c>
      <c r="C62" s="562" t="s">
        <v>1204</v>
      </c>
      <c r="D62" s="562" t="s">
        <v>1206</v>
      </c>
      <c r="E62" s="562" t="s">
        <v>1207</v>
      </c>
      <c r="F62" s="562" t="s">
        <v>1208</v>
      </c>
      <c r="G62" s="562" t="s">
        <v>129</v>
      </c>
      <c r="I62" s="564" t="s">
        <v>1204</v>
      </c>
      <c r="J62" s="564" t="s">
        <v>1206</v>
      </c>
      <c r="K62" s="564" t="s">
        <v>1207</v>
      </c>
      <c r="L62" s="564" t="s">
        <v>1208</v>
      </c>
      <c r="M62" s="564" t="s">
        <v>129</v>
      </c>
      <c r="O62" s="565" t="s">
        <v>1204</v>
      </c>
      <c r="P62" s="565" t="s">
        <v>1206</v>
      </c>
      <c r="Q62" s="565" t="s">
        <v>1207</v>
      </c>
      <c r="R62" s="565" t="s">
        <v>1208</v>
      </c>
      <c r="S62" s="568" t="s">
        <v>1215</v>
      </c>
      <c r="U62" s="629" t="s">
        <v>2107</v>
      </c>
      <c r="V62" s="629" t="s">
        <v>2108</v>
      </c>
      <c r="W62" s="629" t="s">
        <v>2109</v>
      </c>
      <c r="X62" s="565" t="s">
        <v>2110</v>
      </c>
      <c r="Y62" s="568" t="s">
        <v>2111</v>
      </c>
    </row>
    <row r="63" ht="15.75" customHeight="1">
      <c r="B63" s="569" t="s">
        <v>180</v>
      </c>
      <c r="C63" s="569"/>
      <c r="D63" s="569"/>
      <c r="E63" s="569"/>
      <c r="F63" s="569"/>
      <c r="G63" s="569"/>
      <c r="H63" s="569"/>
      <c r="I63" s="569"/>
      <c r="J63" s="569"/>
      <c r="K63" s="569"/>
      <c r="L63" s="569"/>
      <c r="M63" s="569"/>
      <c r="N63" s="569"/>
      <c r="O63" s="569"/>
      <c r="P63" s="569"/>
      <c r="Q63" s="569"/>
      <c r="R63" s="569"/>
      <c r="S63" s="569"/>
      <c r="T63" s="569"/>
      <c r="U63" s="569"/>
      <c r="V63" s="569"/>
      <c r="W63" s="569"/>
      <c r="X63" s="569"/>
      <c r="Y63" s="569"/>
    </row>
    <row r="64" ht="15.75" customHeight="1">
      <c r="B64" s="577" t="s">
        <v>19</v>
      </c>
      <c r="C64" s="586">
        <v>0.0</v>
      </c>
      <c r="D64" s="586">
        <v>0.26</v>
      </c>
      <c r="E64" s="586">
        <v>1.28</v>
      </c>
      <c r="F64" s="586">
        <v>1.29</v>
      </c>
      <c r="G64" s="588">
        <f t="shared" ref="G64:G69" si="52">SUM(C64:F64)</f>
        <v>2.83</v>
      </c>
      <c r="I64" s="586">
        <v>0.0</v>
      </c>
      <c r="J64" s="586">
        <v>0.26</v>
      </c>
      <c r="K64" s="586">
        <v>1.28</v>
      </c>
      <c r="L64" s="586">
        <v>1.29</v>
      </c>
      <c r="M64" s="588">
        <f t="shared" ref="M64:M69" si="53">SUM(I64:L64)</f>
        <v>2.83</v>
      </c>
      <c r="O64" s="575" t="str">
        <f t="shared" ref="O64:S64" si="51">IFERROR(I64/C64-1,"")</f>
        <v/>
      </c>
      <c r="P64" s="575">
        <f t="shared" si="51"/>
        <v>0</v>
      </c>
      <c r="Q64" s="575">
        <f t="shared" si="51"/>
        <v>0</v>
      </c>
      <c r="R64" s="575">
        <f t="shared" si="51"/>
        <v>0</v>
      </c>
      <c r="S64" s="575">
        <f t="shared" si="51"/>
        <v>0</v>
      </c>
      <c r="U64" s="630">
        <v>4.49</v>
      </c>
      <c r="V64" s="630">
        <v>-0.34</v>
      </c>
      <c r="W64" s="630">
        <v>-0.34</v>
      </c>
      <c r="X64" s="631">
        <f t="shared" ref="X64:X69" si="55">IFERROR(W64-V64,"")</f>
        <v>0</v>
      </c>
      <c r="Y64" s="632">
        <f t="shared" ref="Y64:Y76" si="56">IF(ISNUMBER(X64), IFERROR(X64/ABS(V64), 0), "")</f>
        <v>0</v>
      </c>
    </row>
    <row r="65" ht="15.75" customHeight="1">
      <c r="B65" s="577" t="s">
        <v>21</v>
      </c>
      <c r="C65" s="586">
        <v>0.0</v>
      </c>
      <c r="D65" s="586">
        <v>0.26</v>
      </c>
      <c r="E65" s="586">
        <v>1.76</v>
      </c>
      <c r="F65" s="586">
        <v>1.93</v>
      </c>
      <c r="G65" s="588">
        <f t="shared" si="52"/>
        <v>3.95</v>
      </c>
      <c r="I65" s="586">
        <v>0.0</v>
      </c>
      <c r="J65" s="586">
        <v>0.26</v>
      </c>
      <c r="K65" s="586">
        <v>1.76</v>
      </c>
      <c r="L65" s="586">
        <v>1.93</v>
      </c>
      <c r="M65" s="588">
        <f t="shared" si="53"/>
        <v>3.95</v>
      </c>
      <c r="O65" s="575" t="str">
        <f t="shared" ref="O65:S65" si="54">IFERROR(I65/C65-1,"")</f>
        <v/>
      </c>
      <c r="P65" s="575">
        <f t="shared" si="54"/>
        <v>0</v>
      </c>
      <c r="Q65" s="575">
        <f t="shared" si="54"/>
        <v>0</v>
      </c>
      <c r="R65" s="575">
        <f t="shared" si="54"/>
        <v>0</v>
      </c>
      <c r="S65" s="575">
        <f t="shared" si="54"/>
        <v>0</v>
      </c>
      <c r="U65" s="630">
        <v>6.86</v>
      </c>
      <c r="V65" s="630">
        <v>-0.31</v>
      </c>
      <c r="W65" s="630">
        <v>-0.31</v>
      </c>
      <c r="X65" s="631">
        <f t="shared" si="55"/>
        <v>0</v>
      </c>
      <c r="Y65" s="632">
        <f t="shared" si="56"/>
        <v>0</v>
      </c>
    </row>
    <row r="66" ht="15.75" customHeight="1">
      <c r="B66" s="577" t="s">
        <v>22</v>
      </c>
      <c r="C66" s="586">
        <v>0.0</v>
      </c>
      <c r="D66" s="586">
        <v>0.24</v>
      </c>
      <c r="E66" s="586">
        <v>2.66</v>
      </c>
      <c r="F66" s="586">
        <v>2.63</v>
      </c>
      <c r="G66" s="588">
        <f t="shared" si="52"/>
        <v>5.53</v>
      </c>
      <c r="I66" s="586">
        <v>0.0</v>
      </c>
      <c r="J66" s="586">
        <v>0.24</v>
      </c>
      <c r="K66" s="586">
        <v>2.66</v>
      </c>
      <c r="L66" s="586">
        <v>2.62</v>
      </c>
      <c r="M66" s="588">
        <f t="shared" si="53"/>
        <v>5.52</v>
      </c>
      <c r="O66" s="575" t="str">
        <f t="shared" ref="O66:S66" si="57">IFERROR(I66/C66-1,"")</f>
        <v/>
      </c>
      <c r="P66" s="575">
        <f t="shared" si="57"/>
        <v>0</v>
      </c>
      <c r="Q66" s="575">
        <f t="shared" si="57"/>
        <v>0</v>
      </c>
      <c r="R66" s="575">
        <f t="shared" si="57"/>
        <v>-0.003802281369</v>
      </c>
      <c r="S66" s="575">
        <f t="shared" si="57"/>
        <v>-0.001808318264</v>
      </c>
      <c r="U66" s="630">
        <v>9.37</v>
      </c>
      <c r="V66" s="630">
        <v>-0.3</v>
      </c>
      <c r="W66" s="630">
        <v>-0.31</v>
      </c>
      <c r="X66" s="631">
        <f t="shared" si="55"/>
        <v>-0.01</v>
      </c>
      <c r="Y66" s="632">
        <f t="shared" si="56"/>
        <v>-0.03333333333</v>
      </c>
    </row>
    <row r="67" ht="15.75" customHeight="1">
      <c r="B67" s="577" t="s">
        <v>24</v>
      </c>
      <c r="C67" s="586">
        <v>0.0</v>
      </c>
      <c r="D67" s="586">
        <v>0.25</v>
      </c>
      <c r="E67" s="586">
        <v>4.75</v>
      </c>
      <c r="F67" s="586">
        <v>3.64</v>
      </c>
      <c r="G67" s="588">
        <f t="shared" si="52"/>
        <v>8.64</v>
      </c>
      <c r="I67" s="586">
        <v>0.0</v>
      </c>
      <c r="J67" s="586">
        <v>0.25</v>
      </c>
      <c r="K67" s="586">
        <v>4.75</v>
      </c>
      <c r="L67" s="586">
        <v>3.63</v>
      </c>
      <c r="M67" s="588">
        <f t="shared" si="53"/>
        <v>8.63</v>
      </c>
      <c r="O67" s="575" t="str">
        <f t="shared" ref="O67:S67" si="58">IFERROR(I67/C67-1,"")</f>
        <v/>
      </c>
      <c r="P67" s="575">
        <f t="shared" si="58"/>
        <v>0</v>
      </c>
      <c r="Q67" s="575">
        <f t="shared" si="58"/>
        <v>0</v>
      </c>
      <c r="R67" s="575">
        <f t="shared" si="58"/>
        <v>-0.002747252747</v>
      </c>
      <c r="S67" s="575">
        <f t="shared" si="58"/>
        <v>-0.001157407407</v>
      </c>
      <c r="U67" s="630">
        <v>13.57</v>
      </c>
      <c r="V67" s="630">
        <v>-0.13</v>
      </c>
      <c r="W67" s="630">
        <v>-0.14</v>
      </c>
      <c r="X67" s="631">
        <f t="shared" si="55"/>
        <v>-0.01</v>
      </c>
      <c r="Y67" s="632">
        <f t="shared" si="56"/>
        <v>-0.07692307692</v>
      </c>
    </row>
    <row r="68" ht="15.75" customHeight="1">
      <c r="B68" s="577" t="s">
        <v>26</v>
      </c>
      <c r="C68" s="586">
        <v>0.0</v>
      </c>
      <c r="D68" s="586">
        <v>0.25</v>
      </c>
      <c r="E68" s="586">
        <v>8.01</v>
      </c>
      <c r="F68" s="586">
        <v>8.2</v>
      </c>
      <c r="G68" s="588">
        <f t="shared" si="52"/>
        <v>16.46</v>
      </c>
      <c r="I68" s="586">
        <v>0.0</v>
      </c>
      <c r="J68" s="586">
        <v>0.25</v>
      </c>
      <c r="K68" s="586">
        <v>8.01</v>
      </c>
      <c r="L68" s="586">
        <v>8.17</v>
      </c>
      <c r="M68" s="588">
        <f t="shared" si="53"/>
        <v>16.43</v>
      </c>
      <c r="O68" s="575" t="str">
        <f t="shared" ref="O68:S68" si="59">IFERROR(I68/C68-1,"")</f>
        <v/>
      </c>
      <c r="P68" s="575">
        <f t="shared" si="59"/>
        <v>0</v>
      </c>
      <c r="Q68" s="575">
        <f t="shared" si="59"/>
        <v>0</v>
      </c>
      <c r="R68" s="575">
        <f t="shared" si="59"/>
        <v>-0.003658536585</v>
      </c>
      <c r="S68" s="575">
        <f t="shared" si="59"/>
        <v>-0.001822600243</v>
      </c>
      <c r="U68" s="630">
        <v>25.65</v>
      </c>
      <c r="V68" s="630">
        <v>3.56</v>
      </c>
      <c r="W68" s="630">
        <v>3.53</v>
      </c>
      <c r="X68" s="631">
        <f t="shared" si="55"/>
        <v>-0.03</v>
      </c>
      <c r="Y68" s="632">
        <f t="shared" si="56"/>
        <v>-0.008426966292</v>
      </c>
    </row>
    <row r="69" ht="15.75" customHeight="1">
      <c r="B69" s="603" t="s">
        <v>1628</v>
      </c>
      <c r="C69" s="604">
        <v>0.0</v>
      </c>
      <c r="D69" s="604">
        <v>0.26</v>
      </c>
      <c r="E69" s="604">
        <v>2.08</v>
      </c>
      <c r="F69" s="604">
        <v>2.01</v>
      </c>
      <c r="G69" s="605">
        <f t="shared" si="52"/>
        <v>4.35</v>
      </c>
      <c r="I69" s="604">
        <v>0.0</v>
      </c>
      <c r="J69" s="604">
        <v>0.26</v>
      </c>
      <c r="K69" s="604">
        <v>2.08</v>
      </c>
      <c r="L69" s="604">
        <v>2.01</v>
      </c>
      <c r="M69" s="605">
        <f t="shared" si="53"/>
        <v>4.35</v>
      </c>
      <c r="O69" s="606" t="str">
        <f t="shared" ref="O69:S69" si="60">IFERROR(I69/C69-1,"")</f>
        <v/>
      </c>
      <c r="P69" s="606">
        <f t="shared" si="60"/>
        <v>0</v>
      </c>
      <c r="Q69" s="606">
        <f t="shared" si="60"/>
        <v>0</v>
      </c>
      <c r="R69" s="606">
        <f t="shared" si="60"/>
        <v>0</v>
      </c>
      <c r="S69" s="606">
        <f t="shared" si="60"/>
        <v>0</v>
      </c>
      <c r="U69" s="633">
        <v>9.03</v>
      </c>
      <c r="V69" s="633">
        <v>-0.17</v>
      </c>
      <c r="W69" s="633">
        <v>-0.18</v>
      </c>
      <c r="X69" s="634">
        <f t="shared" si="55"/>
        <v>-0.01</v>
      </c>
      <c r="Y69" s="635">
        <f t="shared" si="56"/>
        <v>-0.05882352941</v>
      </c>
    </row>
    <row r="70" ht="15.75" customHeight="1">
      <c r="B70" s="569" t="s">
        <v>1192</v>
      </c>
      <c r="C70" s="569"/>
      <c r="D70" s="569"/>
      <c r="E70" s="569"/>
      <c r="F70" s="569"/>
      <c r="G70" s="569"/>
      <c r="H70" s="569"/>
      <c r="I70" s="569"/>
      <c r="J70" s="569"/>
      <c r="K70" s="569"/>
      <c r="L70" s="569"/>
      <c r="M70" s="569"/>
      <c r="N70" s="569"/>
      <c r="O70" s="569"/>
      <c r="P70" s="569"/>
      <c r="Q70" s="569"/>
      <c r="R70" s="569"/>
      <c r="S70" s="569"/>
      <c r="T70" s="569"/>
      <c r="U70" s="569"/>
      <c r="V70" s="569"/>
      <c r="W70" s="569"/>
      <c r="X70" s="569"/>
      <c r="Y70" s="636" t="str">
        <f t="shared" si="56"/>
        <v/>
      </c>
    </row>
    <row r="71" ht="15.75" customHeight="1">
      <c r="B71" s="577" t="s">
        <v>19</v>
      </c>
      <c r="C71" s="586">
        <v>0.0</v>
      </c>
      <c r="D71" s="586">
        <v>0.8</v>
      </c>
      <c r="E71" s="586">
        <v>1.54</v>
      </c>
      <c r="F71" s="586">
        <v>2.32</v>
      </c>
      <c r="G71" s="588">
        <f t="shared" ref="G71:G76" si="62">SUM(C71:F71)</f>
        <v>4.66</v>
      </c>
      <c r="I71" s="586">
        <v>0.0</v>
      </c>
      <c r="J71" s="586">
        <v>0.8</v>
      </c>
      <c r="K71" s="586">
        <v>1.54</v>
      </c>
      <c r="L71" s="586">
        <v>2.32</v>
      </c>
      <c r="M71" s="588">
        <f t="shared" ref="M71:M76" si="63">SUM(I71:L71)</f>
        <v>4.66</v>
      </c>
      <c r="O71" s="575" t="str">
        <f t="shared" ref="O71:S71" si="61">IFERROR(I71/C71-1,"")</f>
        <v/>
      </c>
      <c r="P71" s="575">
        <f t="shared" si="61"/>
        <v>0</v>
      </c>
      <c r="Q71" s="575">
        <f t="shared" si="61"/>
        <v>0</v>
      </c>
      <c r="R71" s="575">
        <f t="shared" si="61"/>
        <v>0</v>
      </c>
      <c r="S71" s="575">
        <f t="shared" si="61"/>
        <v>0</v>
      </c>
      <c r="U71" s="630">
        <v>7.41</v>
      </c>
      <c r="V71" s="630">
        <v>-0.37</v>
      </c>
      <c r="W71" s="630">
        <v>-0.37</v>
      </c>
      <c r="X71" s="631">
        <f t="shared" ref="X71:X76" si="65">IFERROR(W71-V71,"")</f>
        <v>0</v>
      </c>
      <c r="Y71" s="632">
        <f t="shared" si="56"/>
        <v>0</v>
      </c>
    </row>
    <row r="72" ht="15.75" customHeight="1">
      <c r="B72" s="577" t="s">
        <v>21</v>
      </c>
      <c r="C72" s="586">
        <v>0.0</v>
      </c>
      <c r="D72" s="586">
        <v>0.57</v>
      </c>
      <c r="E72" s="586">
        <v>1.69</v>
      </c>
      <c r="F72" s="586">
        <v>3.24</v>
      </c>
      <c r="G72" s="588">
        <f t="shared" si="62"/>
        <v>5.5</v>
      </c>
      <c r="I72" s="586">
        <v>0.0</v>
      </c>
      <c r="J72" s="586">
        <v>0.57</v>
      </c>
      <c r="K72" s="586">
        <v>1.69</v>
      </c>
      <c r="L72" s="586">
        <v>3.23</v>
      </c>
      <c r="M72" s="588">
        <f t="shared" si="63"/>
        <v>5.49</v>
      </c>
      <c r="O72" s="575" t="str">
        <f t="shared" ref="O72:S72" si="64">IFERROR(I72/C72-1,"")</f>
        <v/>
      </c>
      <c r="P72" s="575">
        <f t="shared" si="64"/>
        <v>0</v>
      </c>
      <c r="Q72" s="575">
        <f t="shared" si="64"/>
        <v>0</v>
      </c>
      <c r="R72" s="575">
        <f t="shared" si="64"/>
        <v>-0.003086419753</v>
      </c>
      <c r="S72" s="575">
        <f t="shared" si="64"/>
        <v>-0.001818181818</v>
      </c>
      <c r="U72" s="630">
        <v>11.47</v>
      </c>
      <c r="V72" s="630">
        <v>-0.52</v>
      </c>
      <c r="W72" s="630">
        <v>-0.53</v>
      </c>
      <c r="X72" s="631">
        <f t="shared" si="65"/>
        <v>-0.01</v>
      </c>
      <c r="Y72" s="632">
        <f t="shared" si="56"/>
        <v>-0.01923076923</v>
      </c>
    </row>
    <row r="73" ht="15.75" customHeight="1">
      <c r="B73" s="577" t="s">
        <v>22</v>
      </c>
      <c r="C73" s="586">
        <v>0.0</v>
      </c>
      <c r="D73" s="586">
        <v>0.45</v>
      </c>
      <c r="E73" s="586">
        <v>2.57</v>
      </c>
      <c r="F73" s="586">
        <v>4.24</v>
      </c>
      <c r="G73" s="588">
        <f t="shared" si="62"/>
        <v>7.26</v>
      </c>
      <c r="I73" s="586">
        <v>0.0</v>
      </c>
      <c r="J73" s="586">
        <v>0.45</v>
      </c>
      <c r="K73" s="586">
        <v>2.57</v>
      </c>
      <c r="L73" s="586">
        <v>4.24</v>
      </c>
      <c r="M73" s="588">
        <f t="shared" si="63"/>
        <v>7.26</v>
      </c>
      <c r="O73" s="575" t="str">
        <f t="shared" ref="O73:S73" si="66">IFERROR(I73/C73-1,"")</f>
        <v/>
      </c>
      <c r="P73" s="575">
        <f t="shared" si="66"/>
        <v>0</v>
      </c>
      <c r="Q73" s="575">
        <f t="shared" si="66"/>
        <v>0</v>
      </c>
      <c r="R73" s="575">
        <f t="shared" si="66"/>
        <v>0</v>
      </c>
      <c r="S73" s="575">
        <f t="shared" si="66"/>
        <v>0</v>
      </c>
      <c r="U73" s="630">
        <v>15.24</v>
      </c>
      <c r="V73" s="630">
        <v>-1.46</v>
      </c>
      <c r="W73" s="630">
        <v>-1.46</v>
      </c>
      <c r="X73" s="631">
        <f t="shared" si="65"/>
        <v>0</v>
      </c>
      <c r="Y73" s="632">
        <f t="shared" si="56"/>
        <v>0</v>
      </c>
    </row>
    <row r="74" ht="15.75" customHeight="1">
      <c r="B74" s="577" t="s">
        <v>24</v>
      </c>
      <c r="C74" s="586">
        <v>0.0</v>
      </c>
      <c r="D74" s="586">
        <v>0.49</v>
      </c>
      <c r="E74" s="586">
        <v>5.63</v>
      </c>
      <c r="F74" s="586">
        <v>6.51</v>
      </c>
      <c r="G74" s="588">
        <f t="shared" si="62"/>
        <v>12.63</v>
      </c>
      <c r="I74" s="586">
        <v>0.0</v>
      </c>
      <c r="J74" s="586">
        <v>0.49</v>
      </c>
      <c r="K74" s="586">
        <v>5.63</v>
      </c>
      <c r="L74" s="586">
        <v>6.5</v>
      </c>
      <c r="M74" s="588">
        <f t="shared" si="63"/>
        <v>12.62</v>
      </c>
      <c r="O74" s="575" t="str">
        <f t="shared" ref="O74:S74" si="67">IFERROR(I74/C74-1,"")</f>
        <v/>
      </c>
      <c r="P74" s="575">
        <f t="shared" si="67"/>
        <v>0</v>
      </c>
      <c r="Q74" s="575">
        <f t="shared" si="67"/>
        <v>0</v>
      </c>
      <c r="R74" s="575">
        <f t="shared" si="67"/>
        <v>-0.00153609831</v>
      </c>
      <c r="S74" s="575">
        <f t="shared" si="67"/>
        <v>-0.0007917656374</v>
      </c>
      <c r="U74" s="630">
        <v>23.53</v>
      </c>
      <c r="V74" s="630">
        <v>-0.88</v>
      </c>
      <c r="W74" s="630">
        <v>-0.89</v>
      </c>
      <c r="X74" s="631">
        <f t="shared" si="65"/>
        <v>-0.01</v>
      </c>
      <c r="Y74" s="632">
        <f t="shared" si="56"/>
        <v>-0.01136363636</v>
      </c>
    </row>
    <row r="75" ht="15.75" customHeight="1">
      <c r="B75" s="577" t="s">
        <v>26</v>
      </c>
      <c r="C75" s="586">
        <v>0.0</v>
      </c>
      <c r="D75" s="586">
        <v>0.42</v>
      </c>
      <c r="E75" s="586">
        <v>8.53</v>
      </c>
      <c r="F75" s="586">
        <v>12.23</v>
      </c>
      <c r="G75" s="588">
        <f t="shared" si="62"/>
        <v>21.18</v>
      </c>
      <c r="I75" s="586">
        <v>0.0</v>
      </c>
      <c r="J75" s="586">
        <v>0.42</v>
      </c>
      <c r="K75" s="586">
        <v>8.53</v>
      </c>
      <c r="L75" s="586">
        <v>12.23</v>
      </c>
      <c r="M75" s="588">
        <f t="shared" si="63"/>
        <v>21.18</v>
      </c>
      <c r="O75" s="575" t="str">
        <f t="shared" ref="O75:S75" si="68">IFERROR(I75/C75-1,"")</f>
        <v/>
      </c>
      <c r="P75" s="575">
        <f t="shared" si="68"/>
        <v>0</v>
      </c>
      <c r="Q75" s="575">
        <f t="shared" si="68"/>
        <v>0</v>
      </c>
      <c r="R75" s="575">
        <f t="shared" si="68"/>
        <v>0</v>
      </c>
      <c r="S75" s="575">
        <f t="shared" si="68"/>
        <v>0</v>
      </c>
      <c r="U75" s="630">
        <v>30.95</v>
      </c>
      <c r="V75" s="630">
        <v>4.09</v>
      </c>
      <c r="W75" s="630">
        <v>4.09</v>
      </c>
      <c r="X75" s="631">
        <f t="shared" si="65"/>
        <v>0</v>
      </c>
      <c r="Y75" s="632">
        <f t="shared" si="56"/>
        <v>0</v>
      </c>
    </row>
    <row r="76" ht="15.75" customHeight="1">
      <c r="B76" s="603" t="s">
        <v>1628</v>
      </c>
      <c r="C76" s="604">
        <v>0.0</v>
      </c>
      <c r="D76" s="604">
        <v>0.62</v>
      </c>
      <c r="E76" s="604">
        <v>2.54</v>
      </c>
      <c r="F76" s="604">
        <v>3.77</v>
      </c>
      <c r="G76" s="605">
        <f t="shared" si="62"/>
        <v>6.93</v>
      </c>
      <c r="I76" s="604">
        <v>0.0</v>
      </c>
      <c r="J76" s="604">
        <v>0.62</v>
      </c>
      <c r="K76" s="604">
        <v>2.54</v>
      </c>
      <c r="L76" s="604">
        <v>3.76</v>
      </c>
      <c r="M76" s="605">
        <f t="shared" si="63"/>
        <v>6.92</v>
      </c>
      <c r="O76" s="606" t="str">
        <f t="shared" ref="O76:S76" si="69">IFERROR(I76/C76-1,"")</f>
        <v/>
      </c>
      <c r="P76" s="606">
        <f t="shared" si="69"/>
        <v>0</v>
      </c>
      <c r="Q76" s="606">
        <f t="shared" si="69"/>
        <v>0</v>
      </c>
      <c r="R76" s="606">
        <f t="shared" si="69"/>
        <v>-0.002652519894</v>
      </c>
      <c r="S76" s="606">
        <f t="shared" si="69"/>
        <v>-0.001443001443</v>
      </c>
      <c r="U76" s="633">
        <v>13.61</v>
      </c>
      <c r="V76" s="633">
        <v>-0.6</v>
      </c>
      <c r="W76" s="633">
        <v>-0.6</v>
      </c>
      <c r="X76" s="634">
        <f t="shared" si="65"/>
        <v>0</v>
      </c>
      <c r="Y76" s="635">
        <f t="shared" si="56"/>
        <v>0</v>
      </c>
    </row>
    <row r="77" ht="15.75" customHeight="1"/>
    <row r="78" ht="15.75" customHeight="1"/>
    <row r="79" ht="15.75" customHeight="1">
      <c r="B79" s="545" t="s">
        <v>2151</v>
      </c>
      <c r="C79" s="545"/>
      <c r="D79" s="545"/>
      <c r="E79" s="545"/>
      <c r="F79" s="545"/>
      <c r="G79" s="545"/>
      <c r="H79" s="545"/>
      <c r="I79" s="545"/>
      <c r="J79" s="545"/>
      <c r="K79" s="545"/>
      <c r="L79" s="545"/>
      <c r="M79" s="545"/>
      <c r="N79" s="545"/>
      <c r="O79" s="545"/>
      <c r="P79" s="545"/>
      <c r="Q79" s="545"/>
      <c r="R79" s="545"/>
      <c r="S79" s="545"/>
      <c r="T79" s="545"/>
      <c r="U79" s="545"/>
      <c r="V79" s="545"/>
      <c r="W79" s="545"/>
      <c r="X79" s="545"/>
      <c r="Y79" s="545"/>
    </row>
    <row r="80" ht="15.75" customHeight="1">
      <c r="C80" s="626" t="s">
        <v>2104</v>
      </c>
      <c r="D80" s="550"/>
      <c r="E80" s="550"/>
      <c r="F80" s="550"/>
      <c r="G80" s="550"/>
      <c r="I80" s="551" t="s">
        <v>2105</v>
      </c>
      <c r="J80" s="552"/>
      <c r="K80" s="552"/>
      <c r="L80" s="552"/>
      <c r="M80" s="552"/>
      <c r="O80" s="554" t="s">
        <v>1197</v>
      </c>
      <c r="P80" s="556"/>
      <c r="Q80" s="556"/>
      <c r="R80" s="556"/>
      <c r="S80" s="556"/>
      <c r="U80" s="627" t="s">
        <v>2106</v>
      </c>
      <c r="V80" s="628"/>
      <c r="W80" s="628"/>
      <c r="X80" s="556"/>
      <c r="Y80" s="556"/>
    </row>
    <row r="81" ht="15.75" customHeight="1">
      <c r="B81" s="226" t="s">
        <v>1203</v>
      </c>
      <c r="C81" s="562" t="s">
        <v>1204</v>
      </c>
      <c r="D81" s="562" t="s">
        <v>1206</v>
      </c>
      <c r="E81" s="562" t="s">
        <v>1207</v>
      </c>
      <c r="F81" s="562" t="s">
        <v>1208</v>
      </c>
      <c r="G81" s="562" t="s">
        <v>129</v>
      </c>
      <c r="I81" s="564" t="s">
        <v>1204</v>
      </c>
      <c r="J81" s="564" t="s">
        <v>1206</v>
      </c>
      <c r="K81" s="564" t="s">
        <v>1207</v>
      </c>
      <c r="L81" s="564" t="s">
        <v>1208</v>
      </c>
      <c r="M81" s="564" t="s">
        <v>129</v>
      </c>
      <c r="O81" s="565" t="s">
        <v>1204</v>
      </c>
      <c r="P81" s="565" t="s">
        <v>1206</v>
      </c>
      <c r="Q81" s="565" t="s">
        <v>1207</v>
      </c>
      <c r="R81" s="565" t="s">
        <v>1208</v>
      </c>
      <c r="S81" s="568" t="s">
        <v>1215</v>
      </c>
      <c r="U81" s="629" t="s">
        <v>2107</v>
      </c>
      <c r="V81" s="629" t="s">
        <v>2108</v>
      </c>
      <c r="W81" s="629" t="s">
        <v>2109</v>
      </c>
      <c r="X81" s="565" t="s">
        <v>2110</v>
      </c>
      <c r="Y81" s="568" t="s">
        <v>2111</v>
      </c>
    </row>
    <row r="82" ht="15.75" customHeight="1">
      <c r="B82" s="569" t="s">
        <v>180</v>
      </c>
      <c r="C82" s="569"/>
      <c r="D82" s="569"/>
      <c r="E82" s="569"/>
      <c r="F82" s="569"/>
      <c r="G82" s="569"/>
      <c r="H82" s="569"/>
      <c r="I82" s="569"/>
      <c r="J82" s="569"/>
      <c r="K82" s="569"/>
      <c r="L82" s="569"/>
      <c r="M82" s="569"/>
      <c r="N82" s="569"/>
      <c r="O82" s="569"/>
      <c r="P82" s="569"/>
      <c r="Q82" s="569"/>
      <c r="R82" s="569"/>
      <c r="S82" s="569"/>
      <c r="T82" s="569"/>
      <c r="U82" s="569"/>
      <c r="V82" s="569"/>
      <c r="W82" s="569"/>
      <c r="X82" s="569"/>
      <c r="Y82" s="569"/>
    </row>
    <row r="83" ht="15.75" customHeight="1">
      <c r="B83" s="577" t="s">
        <v>19</v>
      </c>
      <c r="C83" s="586">
        <v>0.0</v>
      </c>
      <c r="D83" s="586">
        <v>0.2</v>
      </c>
      <c r="E83" s="586">
        <v>0.33</v>
      </c>
      <c r="F83" s="586">
        <v>1.36</v>
      </c>
      <c r="G83" s="588">
        <f t="shared" ref="G83:G88" si="71">SUM(C83:F83)</f>
        <v>1.89</v>
      </c>
      <c r="I83" s="586">
        <v>0.0</v>
      </c>
      <c r="J83" s="586">
        <v>0.2</v>
      </c>
      <c r="K83" s="586">
        <v>0.33</v>
      </c>
      <c r="L83" s="586">
        <v>1.36</v>
      </c>
      <c r="M83" s="588">
        <f t="shared" ref="M83:M88" si="72">SUM(I83:L83)</f>
        <v>1.89</v>
      </c>
      <c r="O83" s="575" t="str">
        <f t="shared" ref="O83:S83" si="70">IFERROR(I83/C83-1,"")</f>
        <v/>
      </c>
      <c r="P83" s="575">
        <f t="shared" si="70"/>
        <v>0</v>
      </c>
      <c r="Q83" s="575">
        <f t="shared" si="70"/>
        <v>0</v>
      </c>
      <c r="R83" s="575">
        <f t="shared" si="70"/>
        <v>0</v>
      </c>
      <c r="S83" s="575">
        <f t="shared" si="70"/>
        <v>0</v>
      </c>
      <c r="U83" s="630">
        <v>3.52</v>
      </c>
      <c r="V83" s="630">
        <v>-0.88</v>
      </c>
      <c r="W83" s="630">
        <v>-0.88</v>
      </c>
      <c r="X83" s="631">
        <f t="shared" ref="X83:X88" si="74">IFERROR(W83-V83,"")</f>
        <v>0</v>
      </c>
      <c r="Y83" s="632">
        <f t="shared" ref="Y83:Y95" si="75">IF(ISNUMBER(X83), IFERROR(X83/ABS(V83), 0), "")</f>
        <v>0</v>
      </c>
    </row>
    <row r="84" ht="15.75" customHeight="1">
      <c r="B84" s="577" t="s">
        <v>21</v>
      </c>
      <c r="C84" s="586">
        <v>0.0</v>
      </c>
      <c r="D84" s="586">
        <v>0.18</v>
      </c>
      <c r="E84" s="586">
        <v>0.44</v>
      </c>
      <c r="F84" s="586">
        <v>2.09</v>
      </c>
      <c r="G84" s="588">
        <f t="shared" si="71"/>
        <v>2.71</v>
      </c>
      <c r="I84" s="586">
        <v>0.0</v>
      </c>
      <c r="J84" s="586">
        <v>0.18</v>
      </c>
      <c r="K84" s="586">
        <v>0.44</v>
      </c>
      <c r="L84" s="586">
        <v>2.09</v>
      </c>
      <c r="M84" s="588">
        <f t="shared" si="72"/>
        <v>2.71</v>
      </c>
      <c r="O84" s="575" t="str">
        <f t="shared" ref="O84:S84" si="73">IFERROR(I84/C84-1,"")</f>
        <v/>
      </c>
      <c r="P84" s="575">
        <f t="shared" si="73"/>
        <v>0</v>
      </c>
      <c r="Q84" s="575">
        <f t="shared" si="73"/>
        <v>0</v>
      </c>
      <c r="R84" s="575">
        <f t="shared" si="73"/>
        <v>0</v>
      </c>
      <c r="S84" s="575">
        <f t="shared" si="73"/>
        <v>0</v>
      </c>
      <c r="U84" s="630">
        <v>5.57</v>
      </c>
      <c r="V84" s="630">
        <v>-1.38</v>
      </c>
      <c r="W84" s="630">
        <v>-1.38</v>
      </c>
      <c r="X84" s="631">
        <f t="shared" si="74"/>
        <v>0</v>
      </c>
      <c r="Y84" s="632">
        <f t="shared" si="75"/>
        <v>0</v>
      </c>
    </row>
    <row r="85" ht="15.75" customHeight="1">
      <c r="B85" s="577" t="s">
        <v>22</v>
      </c>
      <c r="C85" s="586">
        <v>0.0</v>
      </c>
      <c r="D85" s="586">
        <v>0.15</v>
      </c>
      <c r="E85" s="586">
        <v>0.66</v>
      </c>
      <c r="F85" s="586">
        <v>2.5</v>
      </c>
      <c r="G85" s="588">
        <f t="shared" si="71"/>
        <v>3.31</v>
      </c>
      <c r="I85" s="586">
        <v>0.0</v>
      </c>
      <c r="J85" s="586">
        <v>0.15</v>
      </c>
      <c r="K85" s="586">
        <v>0.66</v>
      </c>
      <c r="L85" s="586">
        <v>2.5</v>
      </c>
      <c r="M85" s="588">
        <f t="shared" si="72"/>
        <v>3.31</v>
      </c>
      <c r="O85" s="575" t="str">
        <f t="shared" ref="O85:S85" si="76">IFERROR(I85/C85-1,"")</f>
        <v/>
      </c>
      <c r="P85" s="575">
        <f t="shared" si="76"/>
        <v>0</v>
      </c>
      <c r="Q85" s="575">
        <f t="shared" si="76"/>
        <v>0</v>
      </c>
      <c r="R85" s="575">
        <f t="shared" si="76"/>
        <v>0</v>
      </c>
      <c r="S85" s="575">
        <f t="shared" si="76"/>
        <v>0</v>
      </c>
      <c r="U85" s="630">
        <v>7.21</v>
      </c>
      <c r="V85" s="630">
        <v>-2.16</v>
      </c>
      <c r="W85" s="630">
        <v>-2.16</v>
      </c>
      <c r="X85" s="631">
        <f t="shared" si="74"/>
        <v>0</v>
      </c>
      <c r="Y85" s="632">
        <f t="shared" si="75"/>
        <v>0</v>
      </c>
    </row>
    <row r="86" ht="15.75" customHeight="1">
      <c r="B86" s="577" t="s">
        <v>24</v>
      </c>
      <c r="C86" s="586">
        <v>0.0</v>
      </c>
      <c r="D86" s="586">
        <v>0.15</v>
      </c>
      <c r="E86" s="586">
        <v>1.3</v>
      </c>
      <c r="F86" s="586">
        <v>3.21</v>
      </c>
      <c r="G86" s="588">
        <f t="shared" si="71"/>
        <v>4.66</v>
      </c>
      <c r="I86" s="586">
        <v>0.0</v>
      </c>
      <c r="J86" s="586">
        <v>0.15</v>
      </c>
      <c r="K86" s="586">
        <v>1.3</v>
      </c>
      <c r="L86" s="586">
        <v>3.21</v>
      </c>
      <c r="M86" s="588">
        <f t="shared" si="72"/>
        <v>4.66</v>
      </c>
      <c r="O86" s="575" t="str">
        <f t="shared" ref="O86:S86" si="77">IFERROR(I86/C86-1,"")</f>
        <v/>
      </c>
      <c r="P86" s="575">
        <f t="shared" si="77"/>
        <v>0</v>
      </c>
      <c r="Q86" s="575">
        <f t="shared" si="77"/>
        <v>0</v>
      </c>
      <c r="R86" s="575">
        <f t="shared" si="77"/>
        <v>0</v>
      </c>
      <c r="S86" s="575">
        <f t="shared" si="77"/>
        <v>0</v>
      </c>
      <c r="U86" s="630">
        <v>9.12</v>
      </c>
      <c r="V86" s="630">
        <v>-2.11</v>
      </c>
      <c r="W86" s="630">
        <v>-2.11</v>
      </c>
      <c r="X86" s="631">
        <f t="shared" si="74"/>
        <v>0</v>
      </c>
      <c r="Y86" s="632">
        <f t="shared" si="75"/>
        <v>0</v>
      </c>
    </row>
    <row r="87" ht="15.75" customHeight="1">
      <c r="B87" s="577" t="s">
        <v>26</v>
      </c>
      <c r="C87" s="586">
        <v>0.0</v>
      </c>
      <c r="D87" s="586">
        <v>0.14</v>
      </c>
      <c r="E87" s="586">
        <v>1.82</v>
      </c>
      <c r="F87" s="586">
        <v>7.63</v>
      </c>
      <c r="G87" s="588">
        <f t="shared" si="71"/>
        <v>9.59</v>
      </c>
      <c r="I87" s="586">
        <v>0.0</v>
      </c>
      <c r="J87" s="586">
        <v>0.14</v>
      </c>
      <c r="K87" s="586">
        <v>1.82</v>
      </c>
      <c r="L87" s="586">
        <v>7.63</v>
      </c>
      <c r="M87" s="588">
        <f t="shared" si="72"/>
        <v>9.59</v>
      </c>
      <c r="O87" s="575" t="str">
        <f t="shared" ref="O87:S87" si="78">IFERROR(I87/C87-1,"")</f>
        <v/>
      </c>
      <c r="P87" s="575">
        <f t="shared" si="78"/>
        <v>0</v>
      </c>
      <c r="Q87" s="575">
        <f t="shared" si="78"/>
        <v>0</v>
      </c>
      <c r="R87" s="575">
        <f t="shared" si="78"/>
        <v>0</v>
      </c>
      <c r="S87" s="575">
        <f t="shared" si="78"/>
        <v>0</v>
      </c>
      <c r="U87" s="630">
        <v>19.78</v>
      </c>
      <c r="V87" s="630">
        <v>-1.81</v>
      </c>
      <c r="W87" s="630">
        <v>-1.81</v>
      </c>
      <c r="X87" s="631">
        <f t="shared" si="74"/>
        <v>0</v>
      </c>
      <c r="Y87" s="632">
        <f t="shared" si="75"/>
        <v>0</v>
      </c>
    </row>
    <row r="88" ht="15.75" customHeight="1">
      <c r="B88" s="603" t="s">
        <v>1628</v>
      </c>
      <c r="C88" s="604">
        <v>0.0</v>
      </c>
      <c r="D88" s="604">
        <v>0.18</v>
      </c>
      <c r="E88" s="604">
        <v>0.53</v>
      </c>
      <c r="F88" s="604">
        <v>2.01</v>
      </c>
      <c r="G88" s="605">
        <f t="shared" si="71"/>
        <v>2.72</v>
      </c>
      <c r="I88" s="604">
        <v>0.0</v>
      </c>
      <c r="J88" s="604">
        <v>0.18</v>
      </c>
      <c r="K88" s="604">
        <v>0.53</v>
      </c>
      <c r="L88" s="604">
        <v>2.01</v>
      </c>
      <c r="M88" s="605">
        <f t="shared" si="72"/>
        <v>2.72</v>
      </c>
      <c r="O88" s="606" t="str">
        <f t="shared" ref="O88:S88" si="79">IFERROR(I88/C88-1,"")</f>
        <v/>
      </c>
      <c r="P88" s="606">
        <f t="shared" si="79"/>
        <v>0</v>
      </c>
      <c r="Q88" s="606">
        <f t="shared" si="79"/>
        <v>0</v>
      </c>
      <c r="R88" s="606">
        <f t="shared" si="79"/>
        <v>0</v>
      </c>
      <c r="S88" s="606">
        <f t="shared" si="79"/>
        <v>0</v>
      </c>
      <c r="U88" s="633">
        <v>7.01</v>
      </c>
      <c r="V88" s="633">
        <v>-1.71</v>
      </c>
      <c r="W88" s="633">
        <v>-1.71</v>
      </c>
      <c r="X88" s="634">
        <f t="shared" si="74"/>
        <v>0</v>
      </c>
      <c r="Y88" s="635">
        <f t="shared" si="75"/>
        <v>0</v>
      </c>
    </row>
    <row r="89" ht="15.75" customHeight="1">
      <c r="B89" s="569" t="s">
        <v>1192</v>
      </c>
      <c r="C89" s="569"/>
      <c r="D89" s="569"/>
      <c r="E89" s="569"/>
      <c r="F89" s="569"/>
      <c r="G89" s="569"/>
      <c r="H89" s="569"/>
      <c r="I89" s="569"/>
      <c r="J89" s="569"/>
      <c r="K89" s="569"/>
      <c r="L89" s="569"/>
      <c r="M89" s="569"/>
      <c r="N89" s="569"/>
      <c r="O89" s="569"/>
      <c r="P89" s="569"/>
      <c r="Q89" s="569"/>
      <c r="R89" s="569"/>
      <c r="S89" s="569"/>
      <c r="T89" s="569"/>
      <c r="U89" s="569"/>
      <c r="V89" s="569"/>
      <c r="W89" s="569"/>
      <c r="X89" s="569"/>
      <c r="Y89" s="636" t="str">
        <f t="shared" si="75"/>
        <v/>
      </c>
    </row>
    <row r="90" ht="15.75" customHeight="1">
      <c r="B90" s="577" t="s">
        <v>19</v>
      </c>
      <c r="C90" s="586">
        <v>0.0</v>
      </c>
      <c r="D90" s="586">
        <v>0.45</v>
      </c>
      <c r="E90" s="586">
        <v>0.28</v>
      </c>
      <c r="F90" s="586">
        <v>2.07</v>
      </c>
      <c r="G90" s="588">
        <f t="shared" ref="G90:G95" si="81">SUM(C90:F90)</f>
        <v>2.8</v>
      </c>
      <c r="I90" s="586">
        <v>0.0</v>
      </c>
      <c r="J90" s="586">
        <v>0.45</v>
      </c>
      <c r="K90" s="586">
        <v>0.28</v>
      </c>
      <c r="L90" s="586">
        <v>2.07</v>
      </c>
      <c r="M90" s="588">
        <f t="shared" ref="M90:M95" si="82">SUM(I90:L90)</f>
        <v>2.8</v>
      </c>
      <c r="O90" s="575" t="str">
        <f t="shared" ref="O90:S90" si="80">IFERROR(I90/C90-1,"")</f>
        <v/>
      </c>
      <c r="P90" s="575">
        <f t="shared" si="80"/>
        <v>0</v>
      </c>
      <c r="Q90" s="575">
        <f t="shared" si="80"/>
        <v>0</v>
      </c>
      <c r="R90" s="575">
        <f t="shared" si="80"/>
        <v>0</v>
      </c>
      <c r="S90" s="575">
        <f t="shared" si="80"/>
        <v>0</v>
      </c>
      <c r="U90" s="630">
        <v>4.27</v>
      </c>
      <c r="V90" s="630">
        <v>-0.22</v>
      </c>
      <c r="W90" s="630">
        <v>-0.22</v>
      </c>
      <c r="X90" s="631">
        <f t="shared" ref="X90:X95" si="84">IFERROR(W90-V90,"")</f>
        <v>0</v>
      </c>
      <c r="Y90" s="632">
        <f t="shared" si="75"/>
        <v>0</v>
      </c>
    </row>
    <row r="91" ht="15.75" customHeight="1">
      <c r="B91" s="577" t="s">
        <v>21</v>
      </c>
      <c r="C91" s="586">
        <v>0.0</v>
      </c>
      <c r="D91" s="586">
        <v>0.35</v>
      </c>
      <c r="E91" s="586">
        <v>0.31</v>
      </c>
      <c r="F91" s="586">
        <v>3.1</v>
      </c>
      <c r="G91" s="588">
        <f t="shared" si="81"/>
        <v>3.76</v>
      </c>
      <c r="I91" s="586">
        <v>0.0</v>
      </c>
      <c r="J91" s="586">
        <v>0.35</v>
      </c>
      <c r="K91" s="586">
        <v>0.31</v>
      </c>
      <c r="L91" s="586">
        <v>3.1</v>
      </c>
      <c r="M91" s="588">
        <f t="shared" si="82"/>
        <v>3.76</v>
      </c>
      <c r="O91" s="575" t="str">
        <f t="shared" ref="O91:S91" si="83">IFERROR(I91/C91-1,"")</f>
        <v/>
      </c>
      <c r="P91" s="575">
        <f t="shared" si="83"/>
        <v>0</v>
      </c>
      <c r="Q91" s="575">
        <f t="shared" si="83"/>
        <v>0</v>
      </c>
      <c r="R91" s="575">
        <f t="shared" si="83"/>
        <v>0</v>
      </c>
      <c r="S91" s="575">
        <f t="shared" si="83"/>
        <v>0</v>
      </c>
      <c r="U91" s="630">
        <v>7.48</v>
      </c>
      <c r="V91" s="630">
        <v>-0.54</v>
      </c>
      <c r="W91" s="630">
        <v>-0.54</v>
      </c>
      <c r="X91" s="631">
        <f t="shared" si="84"/>
        <v>0</v>
      </c>
      <c r="Y91" s="632">
        <f t="shared" si="75"/>
        <v>0</v>
      </c>
    </row>
    <row r="92" ht="15.75" customHeight="1">
      <c r="B92" s="577" t="s">
        <v>22</v>
      </c>
      <c r="C92" s="586">
        <v>0.0</v>
      </c>
      <c r="D92" s="586">
        <v>0.25</v>
      </c>
      <c r="E92" s="586">
        <v>0.47</v>
      </c>
      <c r="F92" s="586">
        <v>3.63</v>
      </c>
      <c r="G92" s="588">
        <f t="shared" si="81"/>
        <v>4.35</v>
      </c>
      <c r="I92" s="586">
        <v>0.0</v>
      </c>
      <c r="J92" s="586">
        <v>0.25</v>
      </c>
      <c r="K92" s="586">
        <v>0.47</v>
      </c>
      <c r="L92" s="586">
        <v>3.63</v>
      </c>
      <c r="M92" s="588">
        <f t="shared" si="82"/>
        <v>4.35</v>
      </c>
      <c r="O92" s="575" t="str">
        <f t="shared" ref="O92:S92" si="85">IFERROR(I92/C92-1,"")</f>
        <v/>
      </c>
      <c r="P92" s="575">
        <f t="shared" si="85"/>
        <v>0</v>
      </c>
      <c r="Q92" s="575">
        <f t="shared" si="85"/>
        <v>0</v>
      </c>
      <c r="R92" s="575">
        <f t="shared" si="85"/>
        <v>0</v>
      </c>
      <c r="S92" s="575">
        <f t="shared" si="85"/>
        <v>0</v>
      </c>
      <c r="U92" s="630">
        <v>9.8</v>
      </c>
      <c r="V92" s="630">
        <v>-1.76</v>
      </c>
      <c r="W92" s="630">
        <v>-1.76</v>
      </c>
      <c r="X92" s="631">
        <f t="shared" si="84"/>
        <v>0</v>
      </c>
      <c r="Y92" s="632">
        <f t="shared" si="75"/>
        <v>0</v>
      </c>
    </row>
    <row r="93" ht="15.75" customHeight="1">
      <c r="B93" s="577" t="s">
        <v>24</v>
      </c>
      <c r="C93" s="586">
        <v>0.0</v>
      </c>
      <c r="D93" s="586">
        <v>0.24</v>
      </c>
      <c r="E93" s="586">
        <v>1.29</v>
      </c>
      <c r="F93" s="586">
        <v>5.21</v>
      </c>
      <c r="G93" s="588">
        <f t="shared" si="81"/>
        <v>6.74</v>
      </c>
      <c r="I93" s="586">
        <v>0.0</v>
      </c>
      <c r="J93" s="586">
        <v>0.24</v>
      </c>
      <c r="K93" s="586">
        <v>1.29</v>
      </c>
      <c r="L93" s="586">
        <v>5.21</v>
      </c>
      <c r="M93" s="588">
        <f t="shared" si="82"/>
        <v>6.74</v>
      </c>
      <c r="O93" s="575" t="str">
        <f t="shared" ref="O93:S93" si="86">IFERROR(I93/C93-1,"")</f>
        <v/>
      </c>
      <c r="P93" s="575">
        <f t="shared" si="86"/>
        <v>0</v>
      </c>
      <c r="Q93" s="575">
        <f t="shared" si="86"/>
        <v>0</v>
      </c>
      <c r="R93" s="575">
        <f t="shared" si="86"/>
        <v>0</v>
      </c>
      <c r="S93" s="575">
        <f t="shared" si="86"/>
        <v>0</v>
      </c>
      <c r="U93" s="630">
        <v>13.8</v>
      </c>
      <c r="V93" s="630">
        <v>-1.68</v>
      </c>
      <c r="W93" s="630">
        <v>-1.68</v>
      </c>
      <c r="X93" s="631">
        <f t="shared" si="84"/>
        <v>0</v>
      </c>
      <c r="Y93" s="632">
        <f t="shared" si="75"/>
        <v>0</v>
      </c>
    </row>
    <row r="94" ht="15.75" customHeight="1">
      <c r="B94" s="577" t="s">
        <v>26</v>
      </c>
      <c r="C94" s="586">
        <v>0.0</v>
      </c>
      <c r="D94" s="586">
        <v>0.23</v>
      </c>
      <c r="E94" s="586">
        <v>1.98</v>
      </c>
      <c r="F94" s="586">
        <v>11.33</v>
      </c>
      <c r="G94" s="588">
        <f t="shared" si="81"/>
        <v>13.54</v>
      </c>
      <c r="I94" s="586">
        <v>0.0</v>
      </c>
      <c r="J94" s="586">
        <v>0.23</v>
      </c>
      <c r="K94" s="586">
        <v>1.98</v>
      </c>
      <c r="L94" s="586">
        <v>11.33</v>
      </c>
      <c r="M94" s="588">
        <f t="shared" si="82"/>
        <v>13.54</v>
      </c>
      <c r="O94" s="575" t="str">
        <f t="shared" ref="O94:S94" si="87">IFERROR(I94/C94-1,"")</f>
        <v/>
      </c>
      <c r="P94" s="575">
        <f t="shared" si="87"/>
        <v>0</v>
      </c>
      <c r="Q94" s="575">
        <f t="shared" si="87"/>
        <v>0</v>
      </c>
      <c r="R94" s="575">
        <f t="shared" si="87"/>
        <v>0</v>
      </c>
      <c r="S94" s="575">
        <f t="shared" si="87"/>
        <v>0</v>
      </c>
      <c r="U94" s="630">
        <v>18.26</v>
      </c>
      <c r="V94" s="630">
        <v>3.0</v>
      </c>
      <c r="W94" s="630">
        <v>3.0</v>
      </c>
      <c r="X94" s="631">
        <f t="shared" si="84"/>
        <v>0</v>
      </c>
      <c r="Y94" s="632">
        <f t="shared" si="75"/>
        <v>0</v>
      </c>
    </row>
    <row r="95" ht="15.75" customHeight="1">
      <c r="B95" s="603" t="s">
        <v>1628</v>
      </c>
      <c r="C95" s="604">
        <v>0.0</v>
      </c>
      <c r="D95" s="604">
        <v>0.35</v>
      </c>
      <c r="E95" s="604">
        <v>0.51</v>
      </c>
      <c r="F95" s="604">
        <v>3.31</v>
      </c>
      <c r="G95" s="605">
        <f t="shared" si="81"/>
        <v>4.17</v>
      </c>
      <c r="I95" s="604">
        <v>0.0</v>
      </c>
      <c r="J95" s="604">
        <v>0.35</v>
      </c>
      <c r="K95" s="604">
        <v>0.51</v>
      </c>
      <c r="L95" s="604">
        <v>3.31</v>
      </c>
      <c r="M95" s="605">
        <f t="shared" si="82"/>
        <v>4.17</v>
      </c>
      <c r="O95" s="606" t="str">
        <f t="shared" ref="O95:S95" si="88">IFERROR(I95/C95-1,"")</f>
        <v/>
      </c>
      <c r="P95" s="606">
        <f t="shared" si="88"/>
        <v>0</v>
      </c>
      <c r="Q95" s="606">
        <f t="shared" si="88"/>
        <v>0</v>
      </c>
      <c r="R95" s="606">
        <f t="shared" si="88"/>
        <v>0</v>
      </c>
      <c r="S95" s="606">
        <f t="shared" si="88"/>
        <v>0</v>
      </c>
      <c r="U95" s="633">
        <v>8.45</v>
      </c>
      <c r="V95" s="633">
        <v>-0.79</v>
      </c>
      <c r="W95" s="633">
        <v>-0.79</v>
      </c>
      <c r="X95" s="634">
        <f t="shared" si="84"/>
        <v>0</v>
      </c>
      <c r="Y95" s="635">
        <f t="shared" si="75"/>
        <v>0</v>
      </c>
    </row>
    <row r="96" ht="15.75" customHeight="1"/>
    <row r="97" ht="15.75" customHeight="1"/>
    <row r="98" ht="15.75" customHeight="1">
      <c r="B98" s="545" t="s">
        <v>2160</v>
      </c>
      <c r="C98" s="545"/>
      <c r="D98" s="545"/>
      <c r="E98" s="545"/>
      <c r="F98" s="545"/>
      <c r="G98" s="545"/>
      <c r="H98" s="545"/>
      <c r="I98" s="545"/>
      <c r="J98" s="545"/>
      <c r="K98" s="545"/>
      <c r="L98" s="545"/>
      <c r="M98" s="545"/>
      <c r="N98" s="545"/>
      <c r="O98" s="545"/>
      <c r="P98" s="545"/>
      <c r="Q98" s="545"/>
      <c r="R98" s="545"/>
      <c r="S98" s="545"/>
      <c r="T98" s="545"/>
      <c r="U98" s="545"/>
      <c r="V98" s="545"/>
      <c r="W98" s="545"/>
      <c r="X98" s="545"/>
      <c r="Y98" s="545"/>
    </row>
    <row r="99" ht="15.75" customHeight="1">
      <c r="C99" s="626" t="s">
        <v>2104</v>
      </c>
      <c r="D99" s="550"/>
      <c r="E99" s="550"/>
      <c r="F99" s="550"/>
      <c r="G99" s="550"/>
      <c r="I99" s="551" t="s">
        <v>2105</v>
      </c>
      <c r="J99" s="552"/>
      <c r="K99" s="552"/>
      <c r="L99" s="552"/>
      <c r="M99" s="552"/>
      <c r="O99" s="554" t="s">
        <v>1197</v>
      </c>
      <c r="P99" s="556"/>
      <c r="Q99" s="556"/>
      <c r="R99" s="556"/>
      <c r="S99" s="556"/>
      <c r="U99" s="627" t="s">
        <v>2106</v>
      </c>
      <c r="V99" s="628"/>
      <c r="W99" s="628"/>
      <c r="X99" s="556"/>
      <c r="Y99" s="556"/>
    </row>
    <row r="100" ht="15.75" customHeight="1">
      <c r="B100" s="226" t="s">
        <v>1203</v>
      </c>
      <c r="C100" s="562" t="s">
        <v>1204</v>
      </c>
      <c r="D100" s="562" t="s">
        <v>1206</v>
      </c>
      <c r="E100" s="562" t="s">
        <v>1207</v>
      </c>
      <c r="F100" s="562" t="s">
        <v>1208</v>
      </c>
      <c r="G100" s="562" t="s">
        <v>129</v>
      </c>
      <c r="I100" s="564" t="s">
        <v>1204</v>
      </c>
      <c r="J100" s="564" t="s">
        <v>1206</v>
      </c>
      <c r="K100" s="564" t="s">
        <v>1207</v>
      </c>
      <c r="L100" s="564" t="s">
        <v>1208</v>
      </c>
      <c r="M100" s="564" t="s">
        <v>129</v>
      </c>
      <c r="O100" s="565" t="s">
        <v>1204</v>
      </c>
      <c r="P100" s="565" t="s">
        <v>1206</v>
      </c>
      <c r="Q100" s="565" t="s">
        <v>1207</v>
      </c>
      <c r="R100" s="565" t="s">
        <v>1208</v>
      </c>
      <c r="S100" s="568" t="s">
        <v>1215</v>
      </c>
      <c r="U100" s="629" t="s">
        <v>2107</v>
      </c>
      <c r="V100" s="629" t="s">
        <v>2108</v>
      </c>
      <c r="W100" s="629" t="s">
        <v>2109</v>
      </c>
      <c r="X100" s="565" t="s">
        <v>2110</v>
      </c>
      <c r="Y100" s="568" t="s">
        <v>2111</v>
      </c>
    </row>
    <row r="101" ht="15.75" customHeight="1">
      <c r="B101" s="569" t="s">
        <v>180</v>
      </c>
      <c r="C101" s="569"/>
      <c r="D101" s="569"/>
      <c r="E101" s="569"/>
      <c r="F101" s="569"/>
      <c r="G101" s="569"/>
      <c r="H101" s="569"/>
      <c r="I101" s="569"/>
      <c r="J101" s="569"/>
      <c r="K101" s="569"/>
      <c r="L101" s="569"/>
      <c r="M101" s="569"/>
      <c r="N101" s="569"/>
      <c r="O101" s="569"/>
      <c r="P101" s="569"/>
      <c r="Q101" s="569"/>
      <c r="R101" s="569"/>
      <c r="S101" s="569"/>
      <c r="T101" s="569"/>
      <c r="U101" s="569"/>
      <c r="V101" s="569"/>
      <c r="W101" s="569"/>
      <c r="X101" s="569"/>
      <c r="Y101" s="569"/>
    </row>
    <row r="102" ht="15.75" customHeight="1">
      <c r="B102" s="577" t="s">
        <v>19</v>
      </c>
      <c r="C102" s="586">
        <v>0.0</v>
      </c>
      <c r="D102" s="586">
        <v>0.0</v>
      </c>
      <c r="E102" s="586">
        <v>1.22</v>
      </c>
      <c r="F102" s="586">
        <v>2.67</v>
      </c>
      <c r="G102" s="588">
        <f t="shared" ref="G102:G107" si="90">SUM(C102:F102)</f>
        <v>3.89</v>
      </c>
      <c r="I102" s="586">
        <v>0.0</v>
      </c>
      <c r="J102" s="586">
        <v>0.0</v>
      </c>
      <c r="K102" s="586">
        <v>1.22</v>
      </c>
      <c r="L102" s="586">
        <v>2.87</v>
      </c>
      <c r="M102" s="588">
        <f t="shared" ref="M102:M107" si="91">SUM(I102:L102)</f>
        <v>4.09</v>
      </c>
      <c r="O102" s="575" t="str">
        <f t="shared" ref="O102:S102" si="89">IFERROR(I102/C102-1,"")</f>
        <v/>
      </c>
      <c r="P102" s="575" t="str">
        <f t="shared" si="89"/>
        <v/>
      </c>
      <c r="Q102" s="575">
        <f t="shared" si="89"/>
        <v>0</v>
      </c>
      <c r="R102" s="575">
        <f t="shared" si="89"/>
        <v>0.07490636704</v>
      </c>
      <c r="S102" s="575">
        <f t="shared" si="89"/>
        <v>0.05141388175</v>
      </c>
      <c r="U102" s="630">
        <v>4.69</v>
      </c>
      <c r="V102" s="630">
        <v>0.94</v>
      </c>
      <c r="W102" s="630">
        <v>1.14</v>
      </c>
      <c r="X102" s="631">
        <f t="shared" ref="X102:X107" si="93">IFERROR(W102-V102,"")</f>
        <v>0.2</v>
      </c>
      <c r="Y102" s="632">
        <f t="shared" ref="Y102:Y114" si="94">IF(ISNUMBER(X102), IFERROR(X102/ABS(V102), 0), "")</f>
        <v>0.2127659574</v>
      </c>
    </row>
    <row r="103" ht="15.75" customHeight="1">
      <c r="B103" s="577" t="s">
        <v>21</v>
      </c>
      <c r="C103" s="586">
        <v>0.0</v>
      </c>
      <c r="D103" s="586">
        <v>0.0</v>
      </c>
      <c r="E103" s="586">
        <v>1.7</v>
      </c>
      <c r="F103" s="586">
        <v>2.93</v>
      </c>
      <c r="G103" s="588">
        <f t="shared" si="90"/>
        <v>4.63</v>
      </c>
      <c r="I103" s="586">
        <v>0.0</v>
      </c>
      <c r="J103" s="586">
        <v>0.0</v>
      </c>
      <c r="K103" s="586">
        <v>1.7</v>
      </c>
      <c r="L103" s="586">
        <v>3.21</v>
      </c>
      <c r="M103" s="588">
        <f t="shared" si="91"/>
        <v>4.91</v>
      </c>
      <c r="O103" s="575" t="str">
        <f t="shared" ref="O103:S103" si="92">IFERROR(I103/C103-1,"")</f>
        <v/>
      </c>
      <c r="P103" s="575" t="str">
        <f t="shared" si="92"/>
        <v/>
      </c>
      <c r="Q103" s="575">
        <f t="shared" si="92"/>
        <v>0</v>
      </c>
      <c r="R103" s="575">
        <f t="shared" si="92"/>
        <v>0.09556313993</v>
      </c>
      <c r="S103" s="575">
        <f t="shared" si="92"/>
        <v>0.06047516199</v>
      </c>
      <c r="U103" s="630">
        <v>6.93</v>
      </c>
      <c r="V103" s="630">
        <v>0.67</v>
      </c>
      <c r="W103" s="630">
        <v>0.95</v>
      </c>
      <c r="X103" s="631">
        <f t="shared" si="93"/>
        <v>0.28</v>
      </c>
      <c r="Y103" s="632">
        <f t="shared" si="94"/>
        <v>0.4179104478</v>
      </c>
    </row>
    <row r="104" ht="15.75" customHeight="1">
      <c r="B104" s="577" t="s">
        <v>22</v>
      </c>
      <c r="C104" s="586">
        <v>0.0</v>
      </c>
      <c r="D104" s="586">
        <v>0.0</v>
      </c>
      <c r="E104" s="586">
        <v>2.12</v>
      </c>
      <c r="F104" s="586">
        <v>3.12</v>
      </c>
      <c r="G104" s="588">
        <f t="shared" si="90"/>
        <v>5.24</v>
      </c>
      <c r="I104" s="586">
        <v>0.0</v>
      </c>
      <c r="J104" s="586">
        <v>0.0</v>
      </c>
      <c r="K104" s="586">
        <v>2.12</v>
      </c>
      <c r="L104" s="586">
        <v>3.45</v>
      </c>
      <c r="M104" s="588">
        <f t="shared" si="91"/>
        <v>5.57</v>
      </c>
      <c r="O104" s="575" t="str">
        <f t="shared" ref="O104:S104" si="95">IFERROR(I104/C104-1,"")</f>
        <v/>
      </c>
      <c r="P104" s="575" t="str">
        <f t="shared" si="95"/>
        <v/>
      </c>
      <c r="Q104" s="575">
        <f t="shared" si="95"/>
        <v>0</v>
      </c>
      <c r="R104" s="575">
        <f t="shared" si="95"/>
        <v>0.1057692308</v>
      </c>
      <c r="S104" s="575">
        <f t="shared" si="95"/>
        <v>0.06297709924</v>
      </c>
      <c r="U104" s="630">
        <v>7.48</v>
      </c>
      <c r="V104" s="630">
        <v>0.97</v>
      </c>
      <c r="W104" s="630">
        <v>1.3</v>
      </c>
      <c r="X104" s="631">
        <f t="shared" si="93"/>
        <v>0.33</v>
      </c>
      <c r="Y104" s="632">
        <f t="shared" si="94"/>
        <v>0.3402061856</v>
      </c>
    </row>
    <row r="105" ht="15.75" customHeight="1">
      <c r="B105" s="577" t="s">
        <v>24</v>
      </c>
      <c r="C105" s="586">
        <v>0.0</v>
      </c>
      <c r="D105" s="586">
        <v>0.01</v>
      </c>
      <c r="E105" s="586">
        <v>3.81</v>
      </c>
      <c r="F105" s="586">
        <v>4.95</v>
      </c>
      <c r="G105" s="588">
        <f t="shared" si="90"/>
        <v>8.77</v>
      </c>
      <c r="I105" s="586">
        <v>0.0</v>
      </c>
      <c r="J105" s="586">
        <v>0.01</v>
      </c>
      <c r="K105" s="586">
        <v>3.81</v>
      </c>
      <c r="L105" s="586">
        <v>5.45</v>
      </c>
      <c r="M105" s="588">
        <f t="shared" si="91"/>
        <v>9.27</v>
      </c>
      <c r="O105" s="575" t="str">
        <f t="shared" ref="O105:S105" si="96">IFERROR(I105/C105-1,"")</f>
        <v/>
      </c>
      <c r="P105" s="575">
        <f t="shared" si="96"/>
        <v>0</v>
      </c>
      <c r="Q105" s="575">
        <f t="shared" si="96"/>
        <v>0</v>
      </c>
      <c r="R105" s="575">
        <f t="shared" si="96"/>
        <v>0.101010101</v>
      </c>
      <c r="S105" s="575">
        <f t="shared" si="96"/>
        <v>0.05701254276</v>
      </c>
      <c r="U105" s="630">
        <v>12.74</v>
      </c>
      <c r="V105" s="630">
        <v>0.99</v>
      </c>
      <c r="W105" s="630">
        <v>1.49</v>
      </c>
      <c r="X105" s="631">
        <f t="shared" si="93"/>
        <v>0.5</v>
      </c>
      <c r="Y105" s="632">
        <f t="shared" si="94"/>
        <v>0.5050505051</v>
      </c>
    </row>
    <row r="106" ht="15.75" customHeight="1">
      <c r="B106" s="577" t="s">
        <v>26</v>
      </c>
      <c r="C106" s="586">
        <v>0.0</v>
      </c>
      <c r="D106" s="586">
        <v>0.01</v>
      </c>
      <c r="E106" s="586">
        <v>6.39</v>
      </c>
      <c r="F106" s="586">
        <v>6.2</v>
      </c>
      <c r="G106" s="588">
        <f t="shared" si="90"/>
        <v>12.6</v>
      </c>
      <c r="I106" s="586">
        <v>0.0</v>
      </c>
      <c r="J106" s="586">
        <v>0.01</v>
      </c>
      <c r="K106" s="586">
        <v>6.39</v>
      </c>
      <c r="L106" s="586">
        <v>6.69</v>
      </c>
      <c r="M106" s="588">
        <f t="shared" si="91"/>
        <v>13.09</v>
      </c>
      <c r="O106" s="575" t="str">
        <f t="shared" ref="O106:S106" si="97">IFERROR(I106/C106-1,"")</f>
        <v/>
      </c>
      <c r="P106" s="575">
        <f t="shared" si="97"/>
        <v>0</v>
      </c>
      <c r="Q106" s="575">
        <f t="shared" si="97"/>
        <v>0</v>
      </c>
      <c r="R106" s="575">
        <f t="shared" si="97"/>
        <v>0.07903225806</v>
      </c>
      <c r="S106" s="575">
        <f t="shared" si="97"/>
        <v>0.03888888889</v>
      </c>
      <c r="U106" s="630">
        <v>18.76</v>
      </c>
      <c r="V106" s="630">
        <v>1.13</v>
      </c>
      <c r="W106" s="630">
        <v>1.62</v>
      </c>
      <c r="X106" s="631">
        <f t="shared" si="93"/>
        <v>0.49</v>
      </c>
      <c r="Y106" s="632">
        <f t="shared" si="94"/>
        <v>0.4336283186</v>
      </c>
    </row>
    <row r="107" ht="15.75" customHeight="1">
      <c r="B107" s="603" t="s">
        <v>1628</v>
      </c>
      <c r="C107" s="604">
        <v>0.0</v>
      </c>
      <c r="D107" s="604">
        <v>0.0</v>
      </c>
      <c r="E107" s="604">
        <v>1.83</v>
      </c>
      <c r="F107" s="604">
        <v>3.09</v>
      </c>
      <c r="G107" s="605">
        <f t="shared" si="90"/>
        <v>4.92</v>
      </c>
      <c r="I107" s="604">
        <v>0.0</v>
      </c>
      <c r="J107" s="604">
        <v>0.0</v>
      </c>
      <c r="K107" s="604">
        <v>1.83</v>
      </c>
      <c r="L107" s="604">
        <v>3.36</v>
      </c>
      <c r="M107" s="605">
        <f t="shared" si="91"/>
        <v>5.19</v>
      </c>
      <c r="O107" s="606" t="str">
        <f t="shared" ref="O107:S107" si="98">IFERROR(I107/C107-1,"")</f>
        <v/>
      </c>
      <c r="P107" s="606" t="str">
        <f t="shared" si="98"/>
        <v/>
      </c>
      <c r="Q107" s="606">
        <f t="shared" si="98"/>
        <v>0</v>
      </c>
      <c r="R107" s="606">
        <f t="shared" si="98"/>
        <v>0.08737864078</v>
      </c>
      <c r="S107" s="606">
        <f t="shared" si="98"/>
        <v>0.05487804878</v>
      </c>
      <c r="U107" s="633">
        <v>7.68</v>
      </c>
      <c r="V107" s="633">
        <v>0.89</v>
      </c>
      <c r="W107" s="633">
        <v>1.2</v>
      </c>
      <c r="X107" s="634">
        <f t="shared" si="93"/>
        <v>0.31</v>
      </c>
      <c r="Y107" s="635">
        <f t="shared" si="94"/>
        <v>0.3483146067</v>
      </c>
    </row>
    <row r="108" ht="15.75" customHeight="1">
      <c r="B108" s="569" t="s">
        <v>1192</v>
      </c>
      <c r="C108" s="569"/>
      <c r="D108" s="569"/>
      <c r="E108" s="569"/>
      <c r="F108" s="569"/>
      <c r="G108" s="569"/>
      <c r="H108" s="569"/>
      <c r="I108" s="569"/>
      <c r="J108" s="569"/>
      <c r="K108" s="569"/>
      <c r="L108" s="569"/>
      <c r="M108" s="569"/>
      <c r="N108" s="569"/>
      <c r="O108" s="569"/>
      <c r="P108" s="569"/>
      <c r="Q108" s="569"/>
      <c r="R108" s="569"/>
      <c r="S108" s="569"/>
      <c r="T108" s="569"/>
      <c r="U108" s="569"/>
      <c r="V108" s="569"/>
      <c r="W108" s="569"/>
      <c r="X108" s="569"/>
      <c r="Y108" s="636" t="str">
        <f t="shared" si="94"/>
        <v/>
      </c>
    </row>
    <row r="109" ht="15.75" customHeight="1">
      <c r="B109" s="577" t="s">
        <v>19</v>
      </c>
      <c r="C109" s="586">
        <v>0.0</v>
      </c>
      <c r="D109" s="586">
        <v>0.0</v>
      </c>
      <c r="E109" s="586">
        <v>1.94</v>
      </c>
      <c r="F109" s="586">
        <v>4.86</v>
      </c>
      <c r="G109" s="588">
        <f t="shared" ref="G109:G114" si="100">SUM(C109:F109)</f>
        <v>6.8</v>
      </c>
      <c r="I109" s="586">
        <v>0.0</v>
      </c>
      <c r="J109" s="586">
        <v>0.0</v>
      </c>
      <c r="K109" s="586">
        <v>1.94</v>
      </c>
      <c r="L109" s="586">
        <v>5.39</v>
      </c>
      <c r="M109" s="588">
        <f t="shared" ref="M109:M114" si="101">SUM(I109:L109)</f>
        <v>7.33</v>
      </c>
      <c r="O109" s="575" t="str">
        <f t="shared" ref="O109:S109" si="99">IFERROR(I109/C109-1,"")</f>
        <v/>
      </c>
      <c r="P109" s="575" t="str">
        <f t="shared" si="99"/>
        <v/>
      </c>
      <c r="Q109" s="575">
        <f t="shared" si="99"/>
        <v>0</v>
      </c>
      <c r="R109" s="575">
        <f t="shared" si="99"/>
        <v>0.1090534979</v>
      </c>
      <c r="S109" s="575">
        <f t="shared" si="99"/>
        <v>0.07794117647</v>
      </c>
      <c r="U109" s="630">
        <v>10.12</v>
      </c>
      <c r="V109" s="630">
        <v>0.1</v>
      </c>
      <c r="W109" s="630">
        <v>0.63</v>
      </c>
      <c r="X109" s="631">
        <f t="shared" ref="X109:X114" si="103">IFERROR(W109-V109,"")</f>
        <v>0.53</v>
      </c>
      <c r="Y109" s="632">
        <f t="shared" si="94"/>
        <v>5.3</v>
      </c>
    </row>
    <row r="110" ht="15.75" customHeight="1">
      <c r="B110" s="577" t="s">
        <v>21</v>
      </c>
      <c r="C110" s="586">
        <v>0.0</v>
      </c>
      <c r="D110" s="586">
        <v>0.0</v>
      </c>
      <c r="E110" s="586">
        <v>2.23</v>
      </c>
      <c r="F110" s="586">
        <v>4.59</v>
      </c>
      <c r="G110" s="588">
        <f t="shared" si="100"/>
        <v>6.82</v>
      </c>
      <c r="I110" s="586">
        <v>0.0</v>
      </c>
      <c r="J110" s="586">
        <v>0.0</v>
      </c>
      <c r="K110" s="586">
        <v>2.23</v>
      </c>
      <c r="L110" s="586">
        <v>4.96</v>
      </c>
      <c r="M110" s="588">
        <f t="shared" si="101"/>
        <v>7.19</v>
      </c>
      <c r="O110" s="575" t="str">
        <f t="shared" ref="O110:S110" si="102">IFERROR(I110/C110-1,"")</f>
        <v/>
      </c>
      <c r="P110" s="575" t="str">
        <f t="shared" si="102"/>
        <v/>
      </c>
      <c r="Q110" s="575">
        <f t="shared" si="102"/>
        <v>0</v>
      </c>
      <c r="R110" s="575">
        <f t="shared" si="102"/>
        <v>0.08061002179</v>
      </c>
      <c r="S110" s="575">
        <f t="shared" si="102"/>
        <v>0.05425219941</v>
      </c>
      <c r="U110" s="630">
        <v>15.47</v>
      </c>
      <c r="V110" s="630">
        <v>-1.88</v>
      </c>
      <c r="W110" s="630">
        <v>-1.51</v>
      </c>
      <c r="X110" s="631">
        <f t="shared" si="103"/>
        <v>0.37</v>
      </c>
      <c r="Y110" s="632">
        <f t="shared" si="94"/>
        <v>0.1968085106</v>
      </c>
    </row>
    <row r="111" ht="15.75" customHeight="1">
      <c r="B111" s="577" t="s">
        <v>22</v>
      </c>
      <c r="C111" s="586">
        <v>0.0</v>
      </c>
      <c r="D111" s="586">
        <v>0.0</v>
      </c>
      <c r="E111" s="586">
        <v>2.82</v>
      </c>
      <c r="F111" s="586">
        <v>5.32</v>
      </c>
      <c r="G111" s="588">
        <f t="shared" si="100"/>
        <v>8.14</v>
      </c>
      <c r="I111" s="586">
        <v>0.0</v>
      </c>
      <c r="J111" s="586">
        <v>0.0</v>
      </c>
      <c r="K111" s="586">
        <v>2.82</v>
      </c>
      <c r="L111" s="586">
        <v>5.71</v>
      </c>
      <c r="M111" s="588">
        <f t="shared" si="101"/>
        <v>8.53</v>
      </c>
      <c r="O111" s="575" t="str">
        <f t="shared" ref="O111:S111" si="104">IFERROR(I111/C111-1,"")</f>
        <v/>
      </c>
      <c r="P111" s="575" t="str">
        <f t="shared" si="104"/>
        <v/>
      </c>
      <c r="Q111" s="575">
        <f t="shared" si="104"/>
        <v>0</v>
      </c>
      <c r="R111" s="575">
        <f t="shared" si="104"/>
        <v>0.07330827068</v>
      </c>
      <c r="S111" s="575">
        <f t="shared" si="104"/>
        <v>0.04791154791</v>
      </c>
      <c r="U111" s="630">
        <v>19.42</v>
      </c>
      <c r="V111" s="630">
        <v>-3.52</v>
      </c>
      <c r="W111" s="630">
        <v>-3.13</v>
      </c>
      <c r="X111" s="631">
        <f t="shared" si="103"/>
        <v>0.39</v>
      </c>
      <c r="Y111" s="632">
        <f t="shared" si="94"/>
        <v>0.1107954545</v>
      </c>
    </row>
    <row r="112" ht="15.75" customHeight="1">
      <c r="B112" s="577" t="s">
        <v>24</v>
      </c>
      <c r="C112" s="586">
        <v>0.0</v>
      </c>
      <c r="D112" s="586">
        <v>0.0</v>
      </c>
      <c r="E112" s="586">
        <v>4.92</v>
      </c>
      <c r="F112" s="586">
        <v>7.57</v>
      </c>
      <c r="G112" s="588">
        <f t="shared" si="100"/>
        <v>12.49</v>
      </c>
      <c r="I112" s="586">
        <v>0.0</v>
      </c>
      <c r="J112" s="586">
        <v>0.0</v>
      </c>
      <c r="K112" s="586">
        <v>4.92</v>
      </c>
      <c r="L112" s="586">
        <v>8.16</v>
      </c>
      <c r="M112" s="588">
        <f t="shared" si="101"/>
        <v>13.08</v>
      </c>
      <c r="O112" s="575" t="str">
        <f t="shared" ref="O112:S112" si="105">IFERROR(I112/C112-1,"")</f>
        <v/>
      </c>
      <c r="P112" s="575" t="str">
        <f t="shared" si="105"/>
        <v/>
      </c>
      <c r="Q112" s="575">
        <f t="shared" si="105"/>
        <v>0</v>
      </c>
      <c r="R112" s="575">
        <f t="shared" si="105"/>
        <v>0.07793923382</v>
      </c>
      <c r="S112" s="575">
        <f t="shared" si="105"/>
        <v>0.04723779023</v>
      </c>
      <c r="U112" s="630">
        <v>27.16</v>
      </c>
      <c r="V112" s="630">
        <v>-5.65</v>
      </c>
      <c r="W112" s="630">
        <v>-5.06</v>
      </c>
      <c r="X112" s="631">
        <f t="shared" si="103"/>
        <v>0.59</v>
      </c>
      <c r="Y112" s="632">
        <f t="shared" si="94"/>
        <v>0.1044247788</v>
      </c>
    </row>
    <row r="113" ht="15.75" customHeight="1">
      <c r="B113" s="577" t="s">
        <v>26</v>
      </c>
      <c r="C113" s="586">
        <v>0.0</v>
      </c>
      <c r="D113" s="586">
        <v>0.0</v>
      </c>
      <c r="E113" s="586">
        <v>7.08</v>
      </c>
      <c r="F113" s="586">
        <v>7.76</v>
      </c>
      <c r="G113" s="588">
        <f t="shared" si="100"/>
        <v>14.84</v>
      </c>
      <c r="I113" s="586">
        <v>0.0</v>
      </c>
      <c r="J113" s="586">
        <v>0.0</v>
      </c>
      <c r="K113" s="586">
        <v>7.08</v>
      </c>
      <c r="L113" s="586">
        <v>8.25</v>
      </c>
      <c r="M113" s="588">
        <f t="shared" si="101"/>
        <v>15.33</v>
      </c>
      <c r="O113" s="575" t="str">
        <f t="shared" ref="O113:S113" si="106">IFERROR(I113/C113-1,"")</f>
        <v/>
      </c>
      <c r="P113" s="575" t="str">
        <f t="shared" si="106"/>
        <v/>
      </c>
      <c r="Q113" s="575">
        <f t="shared" si="106"/>
        <v>0</v>
      </c>
      <c r="R113" s="575">
        <f t="shared" si="106"/>
        <v>0.0631443299</v>
      </c>
      <c r="S113" s="575">
        <f t="shared" si="106"/>
        <v>0.03301886792</v>
      </c>
      <c r="U113" s="630">
        <v>33.53</v>
      </c>
      <c r="V113" s="630">
        <v>-7.64</v>
      </c>
      <c r="W113" s="630">
        <v>-7.15</v>
      </c>
      <c r="X113" s="631">
        <f t="shared" si="103"/>
        <v>0.49</v>
      </c>
      <c r="Y113" s="632">
        <f t="shared" si="94"/>
        <v>0.06413612565</v>
      </c>
    </row>
    <row r="114" ht="15.75" customHeight="1">
      <c r="B114" s="603" t="s">
        <v>1628</v>
      </c>
      <c r="C114" s="604">
        <v>0.0</v>
      </c>
      <c r="D114" s="604">
        <v>0.0</v>
      </c>
      <c r="E114" s="604">
        <v>2.74</v>
      </c>
      <c r="F114" s="604">
        <v>5.35</v>
      </c>
      <c r="G114" s="605">
        <f t="shared" si="100"/>
        <v>8.09</v>
      </c>
      <c r="I114" s="604">
        <v>0.0</v>
      </c>
      <c r="J114" s="604">
        <v>0.0</v>
      </c>
      <c r="K114" s="604">
        <v>2.74</v>
      </c>
      <c r="L114" s="604">
        <v>5.82</v>
      </c>
      <c r="M114" s="605">
        <f t="shared" si="101"/>
        <v>8.56</v>
      </c>
      <c r="O114" s="606" t="str">
        <f t="shared" ref="O114:S114" si="107">IFERROR(I114/C114-1,"")</f>
        <v/>
      </c>
      <c r="P114" s="606" t="str">
        <f t="shared" si="107"/>
        <v/>
      </c>
      <c r="Q114" s="606">
        <f t="shared" si="107"/>
        <v>0</v>
      </c>
      <c r="R114" s="606">
        <f t="shared" si="107"/>
        <v>0.08785046729</v>
      </c>
      <c r="S114" s="606">
        <f t="shared" si="107"/>
        <v>0.05809641533</v>
      </c>
      <c r="U114" s="633">
        <v>16.52</v>
      </c>
      <c r="V114" s="633">
        <v>-2.19</v>
      </c>
      <c r="W114" s="633">
        <v>-1.72</v>
      </c>
      <c r="X114" s="634">
        <f t="shared" si="103"/>
        <v>0.47</v>
      </c>
      <c r="Y114" s="635">
        <f t="shared" si="94"/>
        <v>0.2146118721</v>
      </c>
    </row>
    <row r="115" ht="15.75" customHeight="1"/>
    <row r="116" ht="15.75" customHeight="1"/>
    <row r="117" ht="15.75" customHeight="1">
      <c r="B117" s="545" t="s">
        <v>2161</v>
      </c>
      <c r="C117" s="545"/>
      <c r="D117" s="545"/>
      <c r="E117" s="545"/>
      <c r="F117" s="545"/>
      <c r="G117" s="545"/>
      <c r="H117" s="545"/>
      <c r="I117" s="545"/>
      <c r="J117" s="545"/>
      <c r="K117" s="545"/>
      <c r="L117" s="545"/>
      <c r="M117" s="545"/>
      <c r="N117" s="545"/>
      <c r="O117" s="545"/>
      <c r="P117" s="545"/>
      <c r="Q117" s="545"/>
      <c r="R117" s="545"/>
      <c r="S117" s="545"/>
      <c r="T117" s="545"/>
      <c r="U117" s="545"/>
      <c r="V117" s="545"/>
      <c r="W117" s="545"/>
      <c r="X117" s="545"/>
      <c r="Y117" s="545"/>
    </row>
    <row r="118" ht="15.75" customHeight="1">
      <c r="C118" s="626" t="s">
        <v>2104</v>
      </c>
      <c r="D118" s="550"/>
      <c r="E118" s="550"/>
      <c r="F118" s="550"/>
      <c r="G118" s="550"/>
      <c r="I118" s="551" t="s">
        <v>2105</v>
      </c>
      <c r="J118" s="552"/>
      <c r="K118" s="552"/>
      <c r="L118" s="552"/>
      <c r="M118" s="552"/>
      <c r="O118" s="554" t="s">
        <v>1197</v>
      </c>
      <c r="P118" s="556"/>
      <c r="Q118" s="556"/>
      <c r="R118" s="556"/>
      <c r="S118" s="556"/>
      <c r="U118" s="627" t="s">
        <v>2106</v>
      </c>
      <c r="V118" s="628"/>
      <c r="W118" s="628"/>
      <c r="X118" s="556"/>
      <c r="Y118" s="556"/>
    </row>
    <row r="119" ht="15.75" customHeight="1">
      <c r="B119" s="226" t="s">
        <v>1203</v>
      </c>
      <c r="C119" s="562" t="s">
        <v>1204</v>
      </c>
      <c r="D119" s="562" t="s">
        <v>1206</v>
      </c>
      <c r="E119" s="562" t="s">
        <v>1207</v>
      </c>
      <c r="F119" s="562" t="s">
        <v>1208</v>
      </c>
      <c r="G119" s="562" t="s">
        <v>129</v>
      </c>
      <c r="I119" s="564" t="s">
        <v>1204</v>
      </c>
      <c r="J119" s="564" t="s">
        <v>1206</v>
      </c>
      <c r="K119" s="564" t="s">
        <v>1207</v>
      </c>
      <c r="L119" s="564" t="s">
        <v>1208</v>
      </c>
      <c r="M119" s="564" t="s">
        <v>129</v>
      </c>
      <c r="O119" s="565" t="s">
        <v>1204</v>
      </c>
      <c r="P119" s="565" t="s">
        <v>1206</v>
      </c>
      <c r="Q119" s="565" t="s">
        <v>1207</v>
      </c>
      <c r="R119" s="565" t="s">
        <v>1208</v>
      </c>
      <c r="S119" s="568" t="s">
        <v>1215</v>
      </c>
      <c r="U119" s="629" t="s">
        <v>2107</v>
      </c>
      <c r="V119" s="629" t="s">
        <v>2108</v>
      </c>
      <c r="W119" s="629" t="s">
        <v>2109</v>
      </c>
      <c r="X119" s="565" t="s">
        <v>2110</v>
      </c>
      <c r="Y119" s="568" t="s">
        <v>2111</v>
      </c>
    </row>
    <row r="120" ht="15.75" customHeight="1">
      <c r="B120" s="569" t="s">
        <v>180</v>
      </c>
      <c r="C120" s="569"/>
      <c r="D120" s="569"/>
      <c r="E120" s="569"/>
      <c r="F120" s="569"/>
      <c r="G120" s="569"/>
      <c r="H120" s="569"/>
      <c r="I120" s="569"/>
      <c r="J120" s="569"/>
      <c r="K120" s="569"/>
      <c r="L120" s="569"/>
      <c r="M120" s="569"/>
      <c r="N120" s="569"/>
      <c r="O120" s="569"/>
      <c r="P120" s="569"/>
      <c r="Q120" s="569"/>
      <c r="R120" s="569"/>
      <c r="S120" s="569"/>
      <c r="T120" s="569"/>
      <c r="U120" s="569"/>
      <c r="V120" s="569"/>
      <c r="W120" s="569"/>
      <c r="X120" s="569"/>
      <c r="Y120" s="569"/>
    </row>
    <row r="121" ht="15.75" customHeight="1">
      <c r="B121" s="577" t="s">
        <v>19</v>
      </c>
      <c r="C121" s="586">
        <v>0.0</v>
      </c>
      <c r="D121" s="586">
        <v>0.0</v>
      </c>
      <c r="E121" s="586">
        <v>1.0</v>
      </c>
      <c r="F121" s="586">
        <v>2.15</v>
      </c>
      <c r="G121" s="588">
        <f t="shared" ref="G121:G126" si="109">SUM(C121:F121)</f>
        <v>3.15</v>
      </c>
      <c r="I121" s="586">
        <v>0.0</v>
      </c>
      <c r="J121" s="586">
        <v>0.0</v>
      </c>
      <c r="K121" s="586">
        <v>1.0</v>
      </c>
      <c r="L121" s="586">
        <v>2.45</v>
      </c>
      <c r="M121" s="588">
        <f t="shared" ref="M121:M126" si="110">SUM(I121:L121)</f>
        <v>3.45</v>
      </c>
      <c r="O121" s="575" t="str">
        <f t="shared" ref="O121:S121" si="108">IFERROR(I121/C121-1,"")</f>
        <v/>
      </c>
      <c r="P121" s="575" t="str">
        <f t="shared" si="108"/>
        <v/>
      </c>
      <c r="Q121" s="575">
        <f t="shared" si="108"/>
        <v>0</v>
      </c>
      <c r="R121" s="575">
        <f t="shared" si="108"/>
        <v>0.1395348837</v>
      </c>
      <c r="S121" s="575">
        <f t="shared" si="108"/>
        <v>0.09523809524</v>
      </c>
      <c r="U121" s="630">
        <v>3.14</v>
      </c>
      <c r="V121" s="630">
        <v>1.17</v>
      </c>
      <c r="W121" s="630">
        <v>1.47</v>
      </c>
      <c r="X121" s="631">
        <f t="shared" ref="X121:X126" si="112">IFERROR(W121-V121,"")</f>
        <v>0.3</v>
      </c>
      <c r="Y121" s="632">
        <f t="shared" ref="Y121:Y133" si="113">IF(ISNUMBER(X121), IFERROR(X121/ABS(V121), 0), "")</f>
        <v>0.2564102564</v>
      </c>
    </row>
    <row r="122" ht="15.75" customHeight="1">
      <c r="B122" s="577" t="s">
        <v>21</v>
      </c>
      <c r="C122" s="586">
        <v>0.0</v>
      </c>
      <c r="D122" s="586">
        <v>0.0</v>
      </c>
      <c r="E122" s="586">
        <v>1.57</v>
      </c>
      <c r="F122" s="586">
        <v>2.88</v>
      </c>
      <c r="G122" s="588">
        <f t="shared" si="109"/>
        <v>4.45</v>
      </c>
      <c r="I122" s="586">
        <v>0.0</v>
      </c>
      <c r="J122" s="586">
        <v>0.0</v>
      </c>
      <c r="K122" s="586">
        <v>1.57</v>
      </c>
      <c r="L122" s="586">
        <v>3.25</v>
      </c>
      <c r="M122" s="588">
        <f t="shared" si="110"/>
        <v>4.82</v>
      </c>
      <c r="O122" s="575" t="str">
        <f t="shared" ref="O122:S122" si="111">IFERROR(I122/C122-1,"")</f>
        <v/>
      </c>
      <c r="P122" s="575" t="str">
        <f t="shared" si="111"/>
        <v/>
      </c>
      <c r="Q122" s="575">
        <f t="shared" si="111"/>
        <v>0</v>
      </c>
      <c r="R122" s="575">
        <f t="shared" si="111"/>
        <v>0.1284722222</v>
      </c>
      <c r="S122" s="575">
        <f t="shared" si="111"/>
        <v>0.08314606742</v>
      </c>
      <c r="U122" s="630">
        <v>4.95</v>
      </c>
      <c r="V122" s="630">
        <v>1.69</v>
      </c>
      <c r="W122" s="630">
        <v>2.06</v>
      </c>
      <c r="X122" s="631">
        <f t="shared" si="112"/>
        <v>0.37</v>
      </c>
      <c r="Y122" s="632">
        <f t="shared" si="113"/>
        <v>0.2189349112</v>
      </c>
    </row>
    <row r="123" ht="15.75" customHeight="1">
      <c r="B123" s="577" t="s">
        <v>22</v>
      </c>
      <c r="C123" s="586">
        <v>0.0</v>
      </c>
      <c r="D123" s="586">
        <v>0.0</v>
      </c>
      <c r="E123" s="586">
        <v>2.29</v>
      </c>
      <c r="F123" s="586">
        <v>3.42</v>
      </c>
      <c r="G123" s="588">
        <f t="shared" si="109"/>
        <v>5.71</v>
      </c>
      <c r="I123" s="586">
        <v>0.0</v>
      </c>
      <c r="J123" s="586">
        <v>0.0</v>
      </c>
      <c r="K123" s="586">
        <v>2.29</v>
      </c>
      <c r="L123" s="586">
        <v>3.87</v>
      </c>
      <c r="M123" s="588">
        <f t="shared" si="110"/>
        <v>6.16</v>
      </c>
      <c r="O123" s="575" t="str">
        <f t="shared" ref="O123:S123" si="114">IFERROR(I123/C123-1,"")</f>
        <v/>
      </c>
      <c r="P123" s="575" t="str">
        <f t="shared" si="114"/>
        <v/>
      </c>
      <c r="Q123" s="575">
        <f t="shared" si="114"/>
        <v>0</v>
      </c>
      <c r="R123" s="575">
        <f t="shared" si="114"/>
        <v>0.1315789474</v>
      </c>
      <c r="S123" s="575">
        <f t="shared" si="114"/>
        <v>0.07880910683</v>
      </c>
      <c r="U123" s="630">
        <v>6.89</v>
      </c>
      <c r="V123" s="630">
        <v>2.38</v>
      </c>
      <c r="W123" s="630">
        <v>2.83</v>
      </c>
      <c r="X123" s="631">
        <f t="shared" si="112"/>
        <v>0.45</v>
      </c>
      <c r="Y123" s="632">
        <f t="shared" si="113"/>
        <v>0.1890756303</v>
      </c>
    </row>
    <row r="124" ht="15.75" customHeight="1">
      <c r="B124" s="577" t="s">
        <v>24</v>
      </c>
      <c r="C124" s="586">
        <v>0.0</v>
      </c>
      <c r="D124" s="586">
        <v>0.0</v>
      </c>
      <c r="E124" s="586">
        <v>4.37</v>
      </c>
      <c r="F124" s="586">
        <v>5.19</v>
      </c>
      <c r="G124" s="588">
        <f t="shared" si="109"/>
        <v>9.56</v>
      </c>
      <c r="I124" s="586">
        <v>0.0</v>
      </c>
      <c r="J124" s="586">
        <v>0.0</v>
      </c>
      <c r="K124" s="586">
        <v>4.37</v>
      </c>
      <c r="L124" s="586">
        <v>5.81</v>
      </c>
      <c r="M124" s="588">
        <f t="shared" si="110"/>
        <v>10.18</v>
      </c>
      <c r="O124" s="575" t="str">
        <f t="shared" ref="O124:S124" si="115">IFERROR(I124/C124-1,"")</f>
        <v/>
      </c>
      <c r="P124" s="575" t="str">
        <f t="shared" si="115"/>
        <v/>
      </c>
      <c r="Q124" s="575">
        <f t="shared" si="115"/>
        <v>0</v>
      </c>
      <c r="R124" s="575">
        <f t="shared" si="115"/>
        <v>0.119460501</v>
      </c>
      <c r="S124" s="575">
        <f t="shared" si="115"/>
        <v>0.06485355649</v>
      </c>
      <c r="U124" s="630">
        <v>12.27</v>
      </c>
      <c r="V124" s="630">
        <v>2.73</v>
      </c>
      <c r="W124" s="630">
        <v>3.35</v>
      </c>
      <c r="X124" s="631">
        <f t="shared" si="112"/>
        <v>0.62</v>
      </c>
      <c r="Y124" s="632">
        <f t="shared" si="113"/>
        <v>0.2271062271</v>
      </c>
    </row>
    <row r="125" ht="15.75" customHeight="1">
      <c r="B125" s="577" t="s">
        <v>26</v>
      </c>
      <c r="C125" s="586">
        <v>0.0</v>
      </c>
      <c r="D125" s="586">
        <v>0.01</v>
      </c>
      <c r="E125" s="586">
        <v>7.89</v>
      </c>
      <c r="F125" s="586">
        <v>6.23</v>
      </c>
      <c r="G125" s="588">
        <f t="shared" si="109"/>
        <v>14.13</v>
      </c>
      <c r="I125" s="586">
        <v>0.0</v>
      </c>
      <c r="J125" s="586">
        <v>0.01</v>
      </c>
      <c r="K125" s="586">
        <v>7.89</v>
      </c>
      <c r="L125" s="586">
        <v>6.87</v>
      </c>
      <c r="M125" s="588">
        <f t="shared" si="110"/>
        <v>14.77</v>
      </c>
      <c r="O125" s="575" t="str">
        <f t="shared" ref="O125:S125" si="116">IFERROR(I125/C125-1,"")</f>
        <v/>
      </c>
      <c r="P125" s="575">
        <f t="shared" si="116"/>
        <v>0</v>
      </c>
      <c r="Q125" s="575">
        <f t="shared" si="116"/>
        <v>0</v>
      </c>
      <c r="R125" s="575">
        <f t="shared" si="116"/>
        <v>0.1027287319</v>
      </c>
      <c r="S125" s="575">
        <f t="shared" si="116"/>
        <v>0.04529370134</v>
      </c>
      <c r="U125" s="630">
        <v>18.88</v>
      </c>
      <c r="V125" s="630">
        <v>2.96</v>
      </c>
      <c r="W125" s="630">
        <v>3.6</v>
      </c>
      <c r="X125" s="631">
        <f t="shared" si="112"/>
        <v>0.64</v>
      </c>
      <c r="Y125" s="632">
        <f t="shared" si="113"/>
        <v>0.2162162162</v>
      </c>
    </row>
    <row r="126" ht="15.75" customHeight="1">
      <c r="B126" s="603" t="s">
        <v>1628</v>
      </c>
      <c r="C126" s="604">
        <v>0.0</v>
      </c>
      <c r="D126" s="604">
        <v>0.0</v>
      </c>
      <c r="E126" s="604">
        <v>1.8</v>
      </c>
      <c r="F126" s="604">
        <v>2.92</v>
      </c>
      <c r="G126" s="605">
        <f t="shared" si="109"/>
        <v>4.72</v>
      </c>
      <c r="I126" s="604">
        <v>0.0</v>
      </c>
      <c r="J126" s="604">
        <v>0.0</v>
      </c>
      <c r="K126" s="604">
        <v>1.8</v>
      </c>
      <c r="L126" s="604">
        <v>3.3</v>
      </c>
      <c r="M126" s="605">
        <f t="shared" si="110"/>
        <v>5.1</v>
      </c>
      <c r="O126" s="606" t="str">
        <f t="shared" ref="O126:S126" si="117">IFERROR(I126/C126-1,"")</f>
        <v/>
      </c>
      <c r="P126" s="606" t="str">
        <f t="shared" si="117"/>
        <v/>
      </c>
      <c r="Q126" s="606">
        <f t="shared" si="117"/>
        <v>0</v>
      </c>
      <c r="R126" s="606">
        <f t="shared" si="117"/>
        <v>0.1301369863</v>
      </c>
      <c r="S126" s="606">
        <f t="shared" si="117"/>
        <v>0.08050847458</v>
      </c>
      <c r="U126" s="633">
        <v>6.25</v>
      </c>
      <c r="V126" s="633">
        <v>1.9</v>
      </c>
      <c r="W126" s="633">
        <v>2.31</v>
      </c>
      <c r="X126" s="634">
        <f t="shared" si="112"/>
        <v>0.41</v>
      </c>
      <c r="Y126" s="635">
        <f t="shared" si="113"/>
        <v>0.2157894737</v>
      </c>
    </row>
    <row r="127" ht="15.75" customHeight="1">
      <c r="B127" s="569" t="s">
        <v>1192</v>
      </c>
      <c r="C127" s="569"/>
      <c r="D127" s="569"/>
      <c r="E127" s="569"/>
      <c r="F127" s="569"/>
      <c r="G127" s="569"/>
      <c r="H127" s="569"/>
      <c r="I127" s="569"/>
      <c r="J127" s="569"/>
      <c r="K127" s="569"/>
      <c r="L127" s="569"/>
      <c r="M127" s="569"/>
      <c r="N127" s="569"/>
      <c r="O127" s="569"/>
      <c r="P127" s="569"/>
      <c r="Q127" s="569"/>
      <c r="R127" s="569"/>
      <c r="S127" s="569"/>
      <c r="T127" s="569"/>
      <c r="U127" s="569"/>
      <c r="V127" s="569"/>
      <c r="W127" s="569"/>
      <c r="X127" s="569"/>
      <c r="Y127" s="636" t="str">
        <f t="shared" si="113"/>
        <v/>
      </c>
    </row>
    <row r="128" ht="15.75" customHeight="1">
      <c r="B128" s="577" t="s">
        <v>19</v>
      </c>
      <c r="C128" s="586">
        <v>0.0</v>
      </c>
      <c r="D128" s="586">
        <v>0.0</v>
      </c>
      <c r="E128" s="586">
        <v>0.95</v>
      </c>
      <c r="F128" s="586">
        <v>4.68</v>
      </c>
      <c r="G128" s="588">
        <f t="shared" ref="G128:G133" si="119">SUM(C128:F128)</f>
        <v>5.63</v>
      </c>
      <c r="I128" s="586">
        <v>0.0</v>
      </c>
      <c r="J128" s="586">
        <v>0.0</v>
      </c>
      <c r="K128" s="586">
        <v>0.95</v>
      </c>
      <c r="L128" s="586">
        <v>5.38</v>
      </c>
      <c r="M128" s="588">
        <f t="shared" ref="M128:M133" si="120">SUM(I128:L128)</f>
        <v>6.33</v>
      </c>
      <c r="O128" s="575" t="str">
        <f t="shared" ref="O128:S128" si="118">IFERROR(I128/C128-1,"")</f>
        <v/>
      </c>
      <c r="P128" s="575" t="str">
        <f t="shared" si="118"/>
        <v/>
      </c>
      <c r="Q128" s="575">
        <f t="shared" si="118"/>
        <v>0</v>
      </c>
      <c r="R128" s="575">
        <f t="shared" si="118"/>
        <v>0.1495726496</v>
      </c>
      <c r="S128" s="575">
        <f t="shared" si="118"/>
        <v>0.1243339254</v>
      </c>
      <c r="U128" s="630">
        <v>8.71</v>
      </c>
      <c r="V128" s="630">
        <v>-0.16</v>
      </c>
      <c r="W128" s="630">
        <v>0.54</v>
      </c>
      <c r="X128" s="631">
        <f t="shared" ref="X128:X133" si="122">IFERROR(W128-V128,"")</f>
        <v>0.7</v>
      </c>
      <c r="Y128" s="632">
        <f t="shared" si="113"/>
        <v>4.375</v>
      </c>
    </row>
    <row r="129" ht="15.75" customHeight="1">
      <c r="B129" s="577" t="s">
        <v>21</v>
      </c>
      <c r="C129" s="586">
        <v>0.0</v>
      </c>
      <c r="D129" s="586">
        <v>0.0</v>
      </c>
      <c r="E129" s="586">
        <v>1.52</v>
      </c>
      <c r="F129" s="586">
        <v>5.12</v>
      </c>
      <c r="G129" s="588">
        <f t="shared" si="119"/>
        <v>6.64</v>
      </c>
      <c r="I129" s="586">
        <v>0.0</v>
      </c>
      <c r="J129" s="586">
        <v>0.0</v>
      </c>
      <c r="K129" s="586">
        <v>1.52</v>
      </c>
      <c r="L129" s="586">
        <v>5.69</v>
      </c>
      <c r="M129" s="588">
        <f t="shared" si="120"/>
        <v>7.21</v>
      </c>
      <c r="O129" s="575" t="str">
        <f t="shared" ref="O129:S129" si="121">IFERROR(I129/C129-1,"")</f>
        <v/>
      </c>
      <c r="P129" s="575" t="str">
        <f t="shared" si="121"/>
        <v/>
      </c>
      <c r="Q129" s="575">
        <f t="shared" si="121"/>
        <v>0</v>
      </c>
      <c r="R129" s="575">
        <f t="shared" si="121"/>
        <v>0.111328125</v>
      </c>
      <c r="S129" s="575">
        <f t="shared" si="121"/>
        <v>0.08584337349</v>
      </c>
      <c r="U129" s="630">
        <v>14.03</v>
      </c>
      <c r="V129" s="630">
        <v>-0.94</v>
      </c>
      <c r="W129" s="630">
        <v>-0.37</v>
      </c>
      <c r="X129" s="631">
        <f t="shared" si="122"/>
        <v>0.57</v>
      </c>
      <c r="Y129" s="632">
        <f t="shared" si="113"/>
        <v>0.6063829787</v>
      </c>
    </row>
    <row r="130" ht="15.75" customHeight="1">
      <c r="B130" s="577" t="s">
        <v>22</v>
      </c>
      <c r="C130" s="586">
        <v>0.0</v>
      </c>
      <c r="D130" s="586">
        <v>0.0</v>
      </c>
      <c r="E130" s="586">
        <v>2.29</v>
      </c>
      <c r="F130" s="586">
        <v>5.87</v>
      </c>
      <c r="G130" s="588">
        <f t="shared" si="119"/>
        <v>8.16</v>
      </c>
      <c r="I130" s="586">
        <v>0.0</v>
      </c>
      <c r="J130" s="586">
        <v>0.0</v>
      </c>
      <c r="K130" s="586">
        <v>2.29</v>
      </c>
      <c r="L130" s="586">
        <v>6.43</v>
      </c>
      <c r="M130" s="588">
        <f t="shared" si="120"/>
        <v>8.72</v>
      </c>
      <c r="O130" s="575" t="str">
        <f t="shared" ref="O130:S130" si="123">IFERROR(I130/C130-1,"")</f>
        <v/>
      </c>
      <c r="P130" s="575" t="str">
        <f t="shared" si="123"/>
        <v/>
      </c>
      <c r="Q130" s="575">
        <f t="shared" si="123"/>
        <v>0</v>
      </c>
      <c r="R130" s="575">
        <f t="shared" si="123"/>
        <v>0.09540034072</v>
      </c>
      <c r="S130" s="575">
        <f t="shared" si="123"/>
        <v>0.06862745098</v>
      </c>
      <c r="U130" s="630">
        <v>18.15</v>
      </c>
      <c r="V130" s="630">
        <v>-2.16</v>
      </c>
      <c r="W130" s="630">
        <v>-1.6</v>
      </c>
      <c r="X130" s="631">
        <f t="shared" si="122"/>
        <v>0.56</v>
      </c>
      <c r="Y130" s="632">
        <f t="shared" si="113"/>
        <v>0.2592592593</v>
      </c>
    </row>
    <row r="131" ht="15.75" customHeight="1">
      <c r="B131" s="577" t="s">
        <v>24</v>
      </c>
      <c r="C131" s="586">
        <v>0.0</v>
      </c>
      <c r="D131" s="586">
        <v>0.0</v>
      </c>
      <c r="E131" s="586">
        <v>4.68</v>
      </c>
      <c r="F131" s="586">
        <v>7.92</v>
      </c>
      <c r="G131" s="588">
        <f t="shared" si="119"/>
        <v>12.6</v>
      </c>
      <c r="I131" s="586">
        <v>0.0</v>
      </c>
      <c r="J131" s="586">
        <v>0.0</v>
      </c>
      <c r="K131" s="586">
        <v>4.68</v>
      </c>
      <c r="L131" s="586">
        <v>8.64</v>
      </c>
      <c r="M131" s="588">
        <f t="shared" si="120"/>
        <v>13.32</v>
      </c>
      <c r="O131" s="575" t="str">
        <f t="shared" ref="O131:S131" si="124">IFERROR(I131/C131-1,"")</f>
        <v/>
      </c>
      <c r="P131" s="575" t="str">
        <f t="shared" si="124"/>
        <v/>
      </c>
      <c r="Q131" s="575">
        <f t="shared" si="124"/>
        <v>0</v>
      </c>
      <c r="R131" s="575">
        <f t="shared" si="124"/>
        <v>0.09090909091</v>
      </c>
      <c r="S131" s="575">
        <f t="shared" si="124"/>
        <v>0.05714285714</v>
      </c>
      <c r="U131" s="630">
        <v>26.09</v>
      </c>
      <c r="V131" s="630">
        <v>-4.24</v>
      </c>
      <c r="W131" s="630">
        <v>-3.52</v>
      </c>
      <c r="X131" s="631">
        <f t="shared" si="122"/>
        <v>0.72</v>
      </c>
      <c r="Y131" s="632">
        <f t="shared" si="113"/>
        <v>0.1698113208</v>
      </c>
    </row>
    <row r="132" ht="15.75" customHeight="1">
      <c r="B132" s="577" t="s">
        <v>26</v>
      </c>
      <c r="C132" s="586">
        <v>0.0</v>
      </c>
      <c r="D132" s="586">
        <v>0.01</v>
      </c>
      <c r="E132" s="586">
        <v>7.78</v>
      </c>
      <c r="F132" s="586">
        <v>7.93</v>
      </c>
      <c r="G132" s="588">
        <f t="shared" si="119"/>
        <v>15.72</v>
      </c>
      <c r="I132" s="586">
        <v>0.0</v>
      </c>
      <c r="J132" s="586">
        <v>0.01</v>
      </c>
      <c r="K132" s="586">
        <v>7.78</v>
      </c>
      <c r="L132" s="586">
        <v>8.58</v>
      </c>
      <c r="M132" s="588">
        <f t="shared" si="120"/>
        <v>16.37</v>
      </c>
      <c r="O132" s="575" t="str">
        <f t="shared" ref="O132:S132" si="125">IFERROR(I132/C132-1,"")</f>
        <v/>
      </c>
      <c r="P132" s="575">
        <f t="shared" si="125"/>
        <v>0</v>
      </c>
      <c r="Q132" s="575">
        <f t="shared" si="125"/>
        <v>0</v>
      </c>
      <c r="R132" s="575">
        <f t="shared" si="125"/>
        <v>0.08196721311</v>
      </c>
      <c r="S132" s="575">
        <f t="shared" si="125"/>
        <v>0.04134860051</v>
      </c>
      <c r="U132" s="630">
        <v>33.52</v>
      </c>
      <c r="V132" s="630">
        <v>-6.37</v>
      </c>
      <c r="W132" s="630">
        <v>-5.72</v>
      </c>
      <c r="X132" s="631">
        <f t="shared" si="122"/>
        <v>0.65</v>
      </c>
      <c r="Y132" s="632">
        <f t="shared" si="113"/>
        <v>0.1020408163</v>
      </c>
    </row>
    <row r="133" ht="15.75" customHeight="1">
      <c r="B133" s="603" t="s">
        <v>1628</v>
      </c>
      <c r="C133" s="604">
        <v>0.0</v>
      </c>
      <c r="D133" s="604">
        <v>0.0</v>
      </c>
      <c r="E133" s="604">
        <v>2.06</v>
      </c>
      <c r="F133" s="604">
        <v>5.57</v>
      </c>
      <c r="G133" s="605">
        <f t="shared" si="119"/>
        <v>7.63</v>
      </c>
      <c r="I133" s="604">
        <v>0.0</v>
      </c>
      <c r="J133" s="604">
        <v>0.0</v>
      </c>
      <c r="K133" s="604">
        <v>2.06</v>
      </c>
      <c r="L133" s="604">
        <v>6.21</v>
      </c>
      <c r="M133" s="605">
        <f t="shared" si="120"/>
        <v>8.27</v>
      </c>
      <c r="O133" s="606" t="str">
        <f t="shared" ref="O133:S133" si="126">IFERROR(I133/C133-1,"")</f>
        <v/>
      </c>
      <c r="P133" s="606" t="str">
        <f t="shared" si="126"/>
        <v/>
      </c>
      <c r="Q133" s="606">
        <f t="shared" si="126"/>
        <v>0</v>
      </c>
      <c r="R133" s="606">
        <f t="shared" si="126"/>
        <v>0.1149012567</v>
      </c>
      <c r="S133" s="606">
        <f t="shared" si="126"/>
        <v>0.08387942333</v>
      </c>
      <c r="U133" s="633">
        <v>15.28</v>
      </c>
      <c r="V133" s="633">
        <v>-1.55</v>
      </c>
      <c r="W133" s="633">
        <v>-0.91</v>
      </c>
      <c r="X133" s="634">
        <f t="shared" si="122"/>
        <v>0.64</v>
      </c>
      <c r="Y133" s="635">
        <f t="shared" si="113"/>
        <v>0.4129032258</v>
      </c>
    </row>
    <row r="134" ht="15.75" customHeight="1"/>
    <row r="135" ht="15.75" customHeight="1"/>
    <row r="136" ht="15.75" customHeight="1">
      <c r="B136" s="545" t="s">
        <v>2172</v>
      </c>
      <c r="C136" s="545"/>
      <c r="D136" s="545"/>
      <c r="E136" s="545"/>
      <c r="F136" s="545"/>
      <c r="G136" s="545"/>
      <c r="H136" s="545"/>
      <c r="I136" s="545"/>
      <c r="J136" s="545"/>
      <c r="K136" s="545"/>
      <c r="L136" s="545"/>
      <c r="M136" s="545"/>
      <c r="N136" s="545"/>
      <c r="O136" s="545"/>
      <c r="P136" s="545"/>
      <c r="Q136" s="545"/>
      <c r="R136" s="545"/>
      <c r="S136" s="545"/>
      <c r="T136" s="545"/>
      <c r="U136" s="545"/>
      <c r="V136" s="545"/>
      <c r="W136" s="545"/>
      <c r="X136" s="545"/>
      <c r="Y136" s="545"/>
    </row>
    <row r="137" ht="15.75" customHeight="1">
      <c r="C137" s="626" t="s">
        <v>2104</v>
      </c>
      <c r="D137" s="550"/>
      <c r="E137" s="550"/>
      <c r="F137" s="550"/>
      <c r="G137" s="550"/>
      <c r="I137" s="551" t="s">
        <v>2105</v>
      </c>
      <c r="J137" s="552"/>
      <c r="K137" s="552"/>
      <c r="L137" s="552"/>
      <c r="M137" s="552"/>
      <c r="O137" s="554" t="s">
        <v>1197</v>
      </c>
      <c r="P137" s="556"/>
      <c r="Q137" s="556"/>
      <c r="R137" s="556"/>
      <c r="S137" s="556"/>
      <c r="U137" s="627" t="s">
        <v>2106</v>
      </c>
      <c r="V137" s="628"/>
      <c r="W137" s="628"/>
      <c r="X137" s="556"/>
      <c r="Y137" s="556"/>
    </row>
    <row r="138" ht="15.75" customHeight="1">
      <c r="B138" s="226" t="s">
        <v>1203</v>
      </c>
      <c r="C138" s="562" t="s">
        <v>1204</v>
      </c>
      <c r="D138" s="562" t="s">
        <v>1206</v>
      </c>
      <c r="E138" s="562" t="s">
        <v>1207</v>
      </c>
      <c r="F138" s="562" t="s">
        <v>1208</v>
      </c>
      <c r="G138" s="562" t="s">
        <v>129</v>
      </c>
      <c r="I138" s="564" t="s">
        <v>1204</v>
      </c>
      <c r="J138" s="564" t="s">
        <v>1206</v>
      </c>
      <c r="K138" s="564" t="s">
        <v>1207</v>
      </c>
      <c r="L138" s="564" t="s">
        <v>1208</v>
      </c>
      <c r="M138" s="564" t="s">
        <v>129</v>
      </c>
      <c r="O138" s="565" t="s">
        <v>1204</v>
      </c>
      <c r="P138" s="565" t="s">
        <v>1206</v>
      </c>
      <c r="Q138" s="565" t="s">
        <v>1207</v>
      </c>
      <c r="R138" s="565" t="s">
        <v>1208</v>
      </c>
      <c r="S138" s="568" t="s">
        <v>1215</v>
      </c>
      <c r="U138" s="629" t="s">
        <v>2107</v>
      </c>
      <c r="V138" s="629" t="s">
        <v>2108</v>
      </c>
      <c r="W138" s="629" t="s">
        <v>2109</v>
      </c>
      <c r="X138" s="565" t="s">
        <v>2110</v>
      </c>
      <c r="Y138" s="568" t="s">
        <v>2111</v>
      </c>
    </row>
    <row r="139" ht="15.75" customHeight="1">
      <c r="B139" s="569" t="s">
        <v>180</v>
      </c>
      <c r="C139" s="569"/>
      <c r="D139" s="569"/>
      <c r="E139" s="569"/>
      <c r="F139" s="569"/>
      <c r="G139" s="569"/>
      <c r="H139" s="569"/>
      <c r="I139" s="569"/>
      <c r="J139" s="569"/>
      <c r="K139" s="569"/>
      <c r="L139" s="569"/>
      <c r="M139" s="569"/>
      <c r="N139" s="569"/>
      <c r="O139" s="569"/>
      <c r="P139" s="569"/>
      <c r="Q139" s="569"/>
      <c r="R139" s="569"/>
      <c r="S139" s="569"/>
      <c r="T139" s="569"/>
      <c r="U139" s="569"/>
      <c r="V139" s="569"/>
      <c r="W139" s="569"/>
      <c r="X139" s="569"/>
      <c r="Y139" s="569"/>
    </row>
    <row r="140" ht="15.75" customHeight="1">
      <c r="B140" s="577" t="s">
        <v>19</v>
      </c>
      <c r="C140" s="586">
        <v>0.0</v>
      </c>
      <c r="D140" s="586">
        <v>0.0</v>
      </c>
      <c r="E140" s="586">
        <v>0.71</v>
      </c>
      <c r="F140" s="586">
        <v>1.25</v>
      </c>
      <c r="G140" s="588">
        <f t="shared" ref="G140:G145" si="128">SUM(C140:F140)</f>
        <v>1.96</v>
      </c>
      <c r="I140" s="586">
        <v>0.0</v>
      </c>
      <c r="J140" s="586">
        <v>0.0</v>
      </c>
      <c r="K140" s="586">
        <v>0.71</v>
      </c>
      <c r="L140" s="586">
        <v>1.25</v>
      </c>
      <c r="M140" s="588">
        <f t="shared" ref="M140:M145" si="129">SUM(I140:L140)</f>
        <v>1.96</v>
      </c>
      <c r="O140" s="575" t="str">
        <f t="shared" ref="O140:S140" si="127">IFERROR(I140/C140-1,"")</f>
        <v/>
      </c>
      <c r="P140" s="575" t="str">
        <f t="shared" si="127"/>
        <v/>
      </c>
      <c r="Q140" s="575">
        <f t="shared" si="127"/>
        <v>0</v>
      </c>
      <c r="R140" s="575">
        <f t="shared" si="127"/>
        <v>0</v>
      </c>
      <c r="S140" s="575">
        <f t="shared" si="127"/>
        <v>0</v>
      </c>
      <c r="U140" s="630">
        <v>2.47</v>
      </c>
      <c r="V140" s="630">
        <v>0.24</v>
      </c>
      <c r="W140" s="630">
        <v>0.24</v>
      </c>
      <c r="X140" s="631">
        <f t="shared" ref="X140:X145" si="131">IFERROR(W140-V140,"")</f>
        <v>0</v>
      </c>
      <c r="Y140" s="632">
        <f t="shared" ref="Y140:Y152" si="132">IF(ISNUMBER(X140), IFERROR(X140/ABS(V140), 0), "")</f>
        <v>0</v>
      </c>
    </row>
    <row r="141" ht="15.75" customHeight="1">
      <c r="B141" s="577" t="s">
        <v>21</v>
      </c>
      <c r="C141" s="586">
        <v>0.0</v>
      </c>
      <c r="D141" s="586">
        <v>0.0</v>
      </c>
      <c r="E141" s="586">
        <v>1.18</v>
      </c>
      <c r="F141" s="586">
        <v>1.67</v>
      </c>
      <c r="G141" s="588">
        <f t="shared" si="128"/>
        <v>2.85</v>
      </c>
      <c r="I141" s="586">
        <v>0.0</v>
      </c>
      <c r="J141" s="586">
        <v>0.0</v>
      </c>
      <c r="K141" s="586">
        <v>1.18</v>
      </c>
      <c r="L141" s="586">
        <v>1.78</v>
      </c>
      <c r="M141" s="588">
        <f t="shared" si="129"/>
        <v>2.96</v>
      </c>
      <c r="O141" s="575" t="str">
        <f t="shared" ref="O141:S141" si="130">IFERROR(I141/C141-1,"")</f>
        <v/>
      </c>
      <c r="P141" s="575" t="str">
        <f t="shared" si="130"/>
        <v/>
      </c>
      <c r="Q141" s="575">
        <f t="shared" si="130"/>
        <v>0</v>
      </c>
      <c r="R141" s="575">
        <f t="shared" si="130"/>
        <v>0.06586826347</v>
      </c>
      <c r="S141" s="575">
        <f t="shared" si="130"/>
        <v>0.03859649123</v>
      </c>
      <c r="U141" s="630">
        <v>3.58</v>
      </c>
      <c r="V141" s="630">
        <v>0.73</v>
      </c>
      <c r="W141" s="630">
        <v>0.84</v>
      </c>
      <c r="X141" s="631">
        <f t="shared" si="131"/>
        <v>0.11</v>
      </c>
      <c r="Y141" s="632">
        <f t="shared" si="132"/>
        <v>0.1506849315</v>
      </c>
    </row>
    <row r="142" ht="15.75" customHeight="1">
      <c r="B142" s="577" t="s">
        <v>22</v>
      </c>
      <c r="C142" s="586">
        <v>0.0</v>
      </c>
      <c r="D142" s="586">
        <v>0.0</v>
      </c>
      <c r="E142" s="586">
        <v>1.86</v>
      </c>
      <c r="F142" s="586">
        <v>2.16</v>
      </c>
      <c r="G142" s="588">
        <f t="shared" si="128"/>
        <v>4.02</v>
      </c>
      <c r="I142" s="586">
        <v>0.0</v>
      </c>
      <c r="J142" s="586">
        <v>0.0</v>
      </c>
      <c r="K142" s="586">
        <v>1.86</v>
      </c>
      <c r="L142" s="586">
        <v>2.34</v>
      </c>
      <c r="M142" s="588">
        <f t="shared" si="129"/>
        <v>4.2</v>
      </c>
      <c r="O142" s="575" t="str">
        <f t="shared" ref="O142:S142" si="133">IFERROR(I142/C142-1,"")</f>
        <v/>
      </c>
      <c r="P142" s="575" t="str">
        <f t="shared" si="133"/>
        <v/>
      </c>
      <c r="Q142" s="575">
        <f t="shared" si="133"/>
        <v>0</v>
      </c>
      <c r="R142" s="575">
        <f t="shared" si="133"/>
        <v>0.08333333333</v>
      </c>
      <c r="S142" s="575">
        <f t="shared" si="133"/>
        <v>0.0447761194</v>
      </c>
      <c r="U142" s="630">
        <v>4.66</v>
      </c>
      <c r="V142" s="630">
        <v>1.44</v>
      </c>
      <c r="W142" s="630">
        <v>1.62</v>
      </c>
      <c r="X142" s="631">
        <f t="shared" si="131"/>
        <v>0.18</v>
      </c>
      <c r="Y142" s="632">
        <f t="shared" si="132"/>
        <v>0.125</v>
      </c>
    </row>
    <row r="143" ht="15.75" customHeight="1">
      <c r="B143" s="577" t="s">
        <v>24</v>
      </c>
      <c r="C143" s="586">
        <v>0.0</v>
      </c>
      <c r="D143" s="586">
        <v>0.0</v>
      </c>
      <c r="E143" s="586">
        <v>3.35</v>
      </c>
      <c r="F143" s="586">
        <v>3.23</v>
      </c>
      <c r="G143" s="588">
        <f t="shared" si="128"/>
        <v>6.58</v>
      </c>
      <c r="I143" s="586">
        <v>0.0</v>
      </c>
      <c r="J143" s="586">
        <v>0.0</v>
      </c>
      <c r="K143" s="586">
        <v>3.35</v>
      </c>
      <c r="L143" s="586">
        <v>3.48</v>
      </c>
      <c r="M143" s="588">
        <f t="shared" si="129"/>
        <v>6.83</v>
      </c>
      <c r="O143" s="575" t="str">
        <f t="shared" ref="O143:S143" si="134">IFERROR(I143/C143-1,"")</f>
        <v/>
      </c>
      <c r="P143" s="575" t="str">
        <f t="shared" si="134"/>
        <v/>
      </c>
      <c r="Q143" s="575">
        <f t="shared" si="134"/>
        <v>0</v>
      </c>
      <c r="R143" s="575">
        <f t="shared" si="134"/>
        <v>0.0773993808</v>
      </c>
      <c r="S143" s="575">
        <f t="shared" si="134"/>
        <v>0.03799392097</v>
      </c>
      <c r="U143" s="630">
        <v>8.2</v>
      </c>
      <c r="V143" s="630">
        <v>1.96</v>
      </c>
      <c r="W143" s="630">
        <v>2.21</v>
      </c>
      <c r="X143" s="631">
        <f t="shared" si="131"/>
        <v>0.25</v>
      </c>
      <c r="Y143" s="632">
        <f t="shared" si="132"/>
        <v>0.1275510204</v>
      </c>
    </row>
    <row r="144" ht="15.75" customHeight="1">
      <c r="B144" s="577" t="s">
        <v>26</v>
      </c>
      <c r="C144" s="586">
        <v>0.0</v>
      </c>
      <c r="D144" s="586">
        <v>0.0</v>
      </c>
      <c r="E144" s="586">
        <v>6.07</v>
      </c>
      <c r="F144" s="586">
        <v>4.41</v>
      </c>
      <c r="G144" s="588">
        <f t="shared" si="128"/>
        <v>10.48</v>
      </c>
      <c r="I144" s="586">
        <v>0.0</v>
      </c>
      <c r="J144" s="586">
        <v>0.0</v>
      </c>
      <c r="K144" s="586">
        <v>6.07</v>
      </c>
      <c r="L144" s="586">
        <v>4.86</v>
      </c>
      <c r="M144" s="588">
        <f t="shared" si="129"/>
        <v>10.93</v>
      </c>
      <c r="O144" s="575" t="str">
        <f t="shared" ref="O144:S144" si="135">IFERROR(I144/C144-1,"")</f>
        <v/>
      </c>
      <c r="P144" s="575" t="str">
        <f t="shared" si="135"/>
        <v/>
      </c>
      <c r="Q144" s="575">
        <f t="shared" si="135"/>
        <v>0</v>
      </c>
      <c r="R144" s="575">
        <f t="shared" si="135"/>
        <v>0.1020408163</v>
      </c>
      <c r="S144" s="575">
        <f t="shared" si="135"/>
        <v>0.0429389313</v>
      </c>
      <c r="U144" s="630">
        <v>13.78</v>
      </c>
      <c r="V144" s="630">
        <v>3.0</v>
      </c>
      <c r="W144" s="630">
        <v>3.45</v>
      </c>
      <c r="X144" s="631">
        <f t="shared" si="131"/>
        <v>0.45</v>
      </c>
      <c r="Y144" s="632">
        <f t="shared" si="132"/>
        <v>0.15</v>
      </c>
    </row>
    <row r="145" ht="15.75" customHeight="1">
      <c r="B145" s="603" t="s">
        <v>1628</v>
      </c>
      <c r="C145" s="604">
        <v>0.0</v>
      </c>
      <c r="D145" s="604">
        <v>0.0</v>
      </c>
      <c r="E145" s="604">
        <v>1.37</v>
      </c>
      <c r="F145" s="604">
        <v>1.76</v>
      </c>
      <c r="G145" s="605">
        <f t="shared" si="128"/>
        <v>3.13</v>
      </c>
      <c r="I145" s="604">
        <v>0.0</v>
      </c>
      <c r="J145" s="604">
        <v>0.0</v>
      </c>
      <c r="K145" s="604">
        <v>1.37</v>
      </c>
      <c r="L145" s="604">
        <v>1.85</v>
      </c>
      <c r="M145" s="605">
        <f t="shared" si="129"/>
        <v>3.22</v>
      </c>
      <c r="O145" s="606" t="str">
        <f t="shared" ref="O145:S145" si="136">IFERROR(I145/C145-1,"")</f>
        <v/>
      </c>
      <c r="P145" s="606" t="str">
        <f t="shared" si="136"/>
        <v/>
      </c>
      <c r="Q145" s="606">
        <f t="shared" si="136"/>
        <v>0</v>
      </c>
      <c r="R145" s="606">
        <f t="shared" si="136"/>
        <v>0.05113636364</v>
      </c>
      <c r="S145" s="606">
        <f t="shared" si="136"/>
        <v>0.02875399361</v>
      </c>
      <c r="U145" s="633">
        <v>4.69</v>
      </c>
      <c r="V145" s="633">
        <v>1.1</v>
      </c>
      <c r="W145" s="633">
        <v>1.24</v>
      </c>
      <c r="X145" s="634">
        <f t="shared" si="131"/>
        <v>0.14</v>
      </c>
      <c r="Y145" s="635">
        <f t="shared" si="132"/>
        <v>0.1272727273</v>
      </c>
    </row>
    <row r="146" ht="15.75" customHeight="1">
      <c r="B146" s="569" t="s">
        <v>1192</v>
      </c>
      <c r="C146" s="569"/>
      <c r="D146" s="569"/>
      <c r="E146" s="569"/>
      <c r="F146" s="569"/>
      <c r="G146" s="569"/>
      <c r="H146" s="569"/>
      <c r="I146" s="569"/>
      <c r="J146" s="569"/>
      <c r="K146" s="569"/>
      <c r="L146" s="569"/>
      <c r="M146" s="569"/>
      <c r="N146" s="569"/>
      <c r="O146" s="569"/>
      <c r="P146" s="569"/>
      <c r="Q146" s="569"/>
      <c r="R146" s="569"/>
      <c r="S146" s="569"/>
      <c r="T146" s="569"/>
      <c r="U146" s="569"/>
      <c r="V146" s="569"/>
      <c r="W146" s="569"/>
      <c r="X146" s="569"/>
      <c r="Y146" s="636" t="str">
        <f t="shared" si="132"/>
        <v/>
      </c>
    </row>
    <row r="147" ht="15.75" customHeight="1">
      <c r="B147" s="577" t="s">
        <v>19</v>
      </c>
      <c r="C147" s="586">
        <v>0.0</v>
      </c>
      <c r="D147" s="586">
        <v>0.0</v>
      </c>
      <c r="E147" s="586">
        <v>0.48</v>
      </c>
      <c r="F147" s="586">
        <v>2.42</v>
      </c>
      <c r="G147" s="588">
        <f t="shared" ref="G147:G152" si="138">SUM(C147:F147)</f>
        <v>2.9</v>
      </c>
      <c r="I147" s="586">
        <v>0.0</v>
      </c>
      <c r="J147" s="586">
        <v>0.0</v>
      </c>
      <c r="K147" s="586">
        <v>0.48</v>
      </c>
      <c r="L147" s="586">
        <v>2.43</v>
      </c>
      <c r="M147" s="588">
        <f t="shared" ref="M147:M152" si="139">SUM(I147:L147)</f>
        <v>2.91</v>
      </c>
      <c r="O147" s="575" t="str">
        <f t="shared" ref="O147:S147" si="137">IFERROR(I147/C147-1,"")</f>
        <v/>
      </c>
      <c r="P147" s="575" t="str">
        <f t="shared" si="137"/>
        <v/>
      </c>
      <c r="Q147" s="575">
        <f t="shared" si="137"/>
        <v>0</v>
      </c>
      <c r="R147" s="575">
        <f t="shared" si="137"/>
        <v>0.004132231405</v>
      </c>
      <c r="S147" s="575">
        <f t="shared" si="137"/>
        <v>0.003448275862</v>
      </c>
      <c r="U147" s="630">
        <v>4.84</v>
      </c>
      <c r="V147" s="630">
        <v>-0.48</v>
      </c>
      <c r="W147" s="630">
        <v>-0.47</v>
      </c>
      <c r="X147" s="631">
        <f t="shared" ref="X147:X152" si="141">IFERROR(W147-V147,"")</f>
        <v>0.01</v>
      </c>
      <c r="Y147" s="632">
        <f t="shared" si="132"/>
        <v>0.02083333333</v>
      </c>
    </row>
    <row r="148" ht="15.75" customHeight="1">
      <c r="B148" s="577" t="s">
        <v>21</v>
      </c>
      <c r="C148" s="586">
        <v>0.0</v>
      </c>
      <c r="D148" s="586">
        <v>0.0</v>
      </c>
      <c r="E148" s="586">
        <v>0.83</v>
      </c>
      <c r="F148" s="586">
        <v>3.27</v>
      </c>
      <c r="G148" s="588">
        <f t="shared" si="138"/>
        <v>4.1</v>
      </c>
      <c r="I148" s="586">
        <v>0.0</v>
      </c>
      <c r="J148" s="586">
        <v>0.0</v>
      </c>
      <c r="K148" s="586">
        <v>0.83</v>
      </c>
      <c r="L148" s="586">
        <v>3.35</v>
      </c>
      <c r="M148" s="588">
        <f t="shared" si="139"/>
        <v>4.18</v>
      </c>
      <c r="O148" s="575" t="str">
        <f t="shared" ref="O148:S148" si="140">IFERROR(I148/C148-1,"")</f>
        <v/>
      </c>
      <c r="P148" s="575" t="str">
        <f t="shared" si="140"/>
        <v/>
      </c>
      <c r="Q148" s="575">
        <f t="shared" si="140"/>
        <v>0</v>
      </c>
      <c r="R148" s="575">
        <f t="shared" si="140"/>
        <v>0.0244648318</v>
      </c>
      <c r="S148" s="575">
        <f t="shared" si="140"/>
        <v>0.01951219512</v>
      </c>
      <c r="U148" s="630">
        <v>8.88</v>
      </c>
      <c r="V148" s="630">
        <v>-0.99</v>
      </c>
      <c r="W148" s="630">
        <v>-0.91</v>
      </c>
      <c r="X148" s="631">
        <f t="shared" si="141"/>
        <v>0.08</v>
      </c>
      <c r="Y148" s="632">
        <f t="shared" si="132"/>
        <v>0.08080808081</v>
      </c>
    </row>
    <row r="149" ht="15.75" customHeight="1">
      <c r="B149" s="577" t="s">
        <v>22</v>
      </c>
      <c r="C149" s="586">
        <v>0.0</v>
      </c>
      <c r="D149" s="586">
        <v>0.0</v>
      </c>
      <c r="E149" s="586">
        <v>1.5</v>
      </c>
      <c r="F149" s="586">
        <v>4.26</v>
      </c>
      <c r="G149" s="588">
        <f t="shared" si="138"/>
        <v>5.76</v>
      </c>
      <c r="I149" s="586">
        <v>0.0</v>
      </c>
      <c r="J149" s="586">
        <v>0.0</v>
      </c>
      <c r="K149" s="586">
        <v>1.5</v>
      </c>
      <c r="L149" s="586">
        <v>4.47</v>
      </c>
      <c r="M149" s="588">
        <f t="shared" si="139"/>
        <v>5.97</v>
      </c>
      <c r="O149" s="575" t="str">
        <f t="shared" ref="O149:S149" si="142">IFERROR(I149/C149-1,"")</f>
        <v/>
      </c>
      <c r="P149" s="575" t="str">
        <f t="shared" si="142"/>
        <v/>
      </c>
      <c r="Q149" s="575">
        <f t="shared" si="142"/>
        <v>0</v>
      </c>
      <c r="R149" s="575">
        <f t="shared" si="142"/>
        <v>0.04929577465</v>
      </c>
      <c r="S149" s="575">
        <f t="shared" si="142"/>
        <v>0.03645833333</v>
      </c>
      <c r="U149" s="630">
        <v>12.46</v>
      </c>
      <c r="V149" s="630">
        <v>-1.7</v>
      </c>
      <c r="W149" s="630">
        <v>-1.49</v>
      </c>
      <c r="X149" s="631">
        <f t="shared" si="141"/>
        <v>0.21</v>
      </c>
      <c r="Y149" s="632">
        <f t="shared" si="132"/>
        <v>0.1235294118</v>
      </c>
    </row>
    <row r="150" ht="15.75" customHeight="1">
      <c r="B150" s="577" t="s">
        <v>24</v>
      </c>
      <c r="C150" s="586">
        <v>0.0</v>
      </c>
      <c r="D150" s="586">
        <v>0.0</v>
      </c>
      <c r="E150" s="586">
        <v>3.59</v>
      </c>
      <c r="F150" s="586">
        <v>5.99</v>
      </c>
      <c r="G150" s="588">
        <f t="shared" si="138"/>
        <v>9.58</v>
      </c>
      <c r="I150" s="586">
        <v>0.0</v>
      </c>
      <c r="J150" s="586">
        <v>0.0</v>
      </c>
      <c r="K150" s="586">
        <v>3.59</v>
      </c>
      <c r="L150" s="586">
        <v>6.28</v>
      </c>
      <c r="M150" s="588">
        <f t="shared" si="139"/>
        <v>9.87</v>
      </c>
      <c r="O150" s="575" t="str">
        <f t="shared" ref="O150:S150" si="143">IFERROR(I150/C150-1,"")</f>
        <v/>
      </c>
      <c r="P150" s="575" t="str">
        <f t="shared" si="143"/>
        <v/>
      </c>
      <c r="Q150" s="575">
        <f t="shared" si="143"/>
        <v>0</v>
      </c>
      <c r="R150" s="575">
        <f t="shared" si="143"/>
        <v>0.04841402337</v>
      </c>
      <c r="S150" s="575">
        <f t="shared" si="143"/>
        <v>0.03027139875</v>
      </c>
      <c r="U150" s="630">
        <v>18.8</v>
      </c>
      <c r="V150" s="630">
        <v>-2.61</v>
      </c>
      <c r="W150" s="630">
        <v>-2.32</v>
      </c>
      <c r="X150" s="631">
        <f t="shared" si="141"/>
        <v>0.29</v>
      </c>
      <c r="Y150" s="632">
        <f t="shared" si="132"/>
        <v>0.1111111111</v>
      </c>
    </row>
    <row r="151" ht="15.75" customHeight="1">
      <c r="B151" s="577" t="s">
        <v>26</v>
      </c>
      <c r="C151" s="586">
        <v>0.0</v>
      </c>
      <c r="D151" s="586">
        <v>0.0</v>
      </c>
      <c r="E151" s="586">
        <v>6.16</v>
      </c>
      <c r="F151" s="586">
        <v>6.56</v>
      </c>
      <c r="G151" s="588">
        <f t="shared" si="138"/>
        <v>12.72</v>
      </c>
      <c r="I151" s="586">
        <v>0.0</v>
      </c>
      <c r="J151" s="586">
        <v>0.0</v>
      </c>
      <c r="K151" s="586">
        <v>6.16</v>
      </c>
      <c r="L151" s="586">
        <v>7.0</v>
      </c>
      <c r="M151" s="588">
        <f t="shared" si="139"/>
        <v>13.16</v>
      </c>
      <c r="O151" s="575" t="str">
        <f t="shared" ref="O151:S151" si="144">IFERROR(I151/C151-1,"")</f>
        <v/>
      </c>
      <c r="P151" s="575" t="str">
        <f t="shared" si="144"/>
        <v/>
      </c>
      <c r="Q151" s="575">
        <f t="shared" si="144"/>
        <v>0</v>
      </c>
      <c r="R151" s="575">
        <f t="shared" si="144"/>
        <v>0.06707317073</v>
      </c>
      <c r="S151" s="575">
        <f t="shared" si="144"/>
        <v>0.03459119497</v>
      </c>
      <c r="U151" s="630">
        <v>26.35</v>
      </c>
      <c r="V151" s="630">
        <v>-3.99</v>
      </c>
      <c r="W151" s="630">
        <v>-3.55</v>
      </c>
      <c r="X151" s="631">
        <f t="shared" si="141"/>
        <v>0.44</v>
      </c>
      <c r="Y151" s="632">
        <f t="shared" si="132"/>
        <v>0.1102756892</v>
      </c>
    </row>
    <row r="152" ht="15.75" customHeight="1">
      <c r="B152" s="603" t="s">
        <v>1628</v>
      </c>
      <c r="C152" s="604">
        <v>0.0</v>
      </c>
      <c r="D152" s="604">
        <v>0.0</v>
      </c>
      <c r="E152" s="604">
        <v>1.35</v>
      </c>
      <c r="F152" s="604">
        <v>3.6</v>
      </c>
      <c r="G152" s="605">
        <f t="shared" si="138"/>
        <v>4.95</v>
      </c>
      <c r="I152" s="604">
        <v>0.0</v>
      </c>
      <c r="J152" s="604">
        <v>0.0</v>
      </c>
      <c r="K152" s="604">
        <v>1.35</v>
      </c>
      <c r="L152" s="604">
        <v>3.72</v>
      </c>
      <c r="M152" s="605">
        <f t="shared" si="139"/>
        <v>5.07</v>
      </c>
      <c r="O152" s="606" t="str">
        <f t="shared" ref="O152:S152" si="145">IFERROR(I152/C152-1,"")</f>
        <v/>
      </c>
      <c r="P152" s="606" t="str">
        <f t="shared" si="145"/>
        <v/>
      </c>
      <c r="Q152" s="606">
        <f t="shared" si="145"/>
        <v>0</v>
      </c>
      <c r="R152" s="606">
        <f t="shared" si="145"/>
        <v>0.03333333333</v>
      </c>
      <c r="S152" s="606">
        <f t="shared" si="145"/>
        <v>0.02424242424</v>
      </c>
      <c r="U152" s="633">
        <v>10.37</v>
      </c>
      <c r="V152" s="633">
        <v>-1.32</v>
      </c>
      <c r="W152" s="633">
        <v>-1.19</v>
      </c>
      <c r="X152" s="634">
        <f t="shared" si="141"/>
        <v>0.13</v>
      </c>
      <c r="Y152" s="635">
        <f t="shared" si="132"/>
        <v>0.09848484848</v>
      </c>
    </row>
    <row r="153" ht="15.75" customHeight="1"/>
    <row r="154" ht="15.75" customHeight="1"/>
    <row r="155" ht="15.75" customHeight="1">
      <c r="B155" s="545" t="s">
        <v>2198</v>
      </c>
      <c r="C155" s="545"/>
      <c r="D155" s="545"/>
      <c r="E155" s="545"/>
      <c r="F155" s="545"/>
      <c r="G155" s="545"/>
      <c r="H155" s="545"/>
      <c r="I155" s="545"/>
      <c r="J155" s="545"/>
      <c r="K155" s="545"/>
      <c r="L155" s="545"/>
      <c r="M155" s="545"/>
      <c r="N155" s="545"/>
      <c r="O155" s="545"/>
      <c r="P155" s="545"/>
      <c r="Q155" s="545"/>
      <c r="R155" s="545"/>
      <c r="S155" s="545"/>
      <c r="T155" s="545"/>
      <c r="U155" s="545"/>
      <c r="V155" s="545"/>
      <c r="W155" s="545"/>
      <c r="X155" s="545"/>
      <c r="Y155" s="545"/>
    </row>
    <row r="156" ht="15.75" customHeight="1">
      <c r="C156" s="626" t="s">
        <v>2104</v>
      </c>
      <c r="D156" s="550"/>
      <c r="E156" s="550"/>
      <c r="F156" s="550"/>
      <c r="G156" s="550"/>
      <c r="I156" s="551" t="s">
        <v>2105</v>
      </c>
      <c r="J156" s="552"/>
      <c r="K156" s="552"/>
      <c r="L156" s="552"/>
      <c r="M156" s="552"/>
      <c r="O156" s="554" t="s">
        <v>1197</v>
      </c>
      <c r="P156" s="556"/>
      <c r="Q156" s="556"/>
      <c r="R156" s="556"/>
      <c r="S156" s="556"/>
      <c r="U156" s="627" t="s">
        <v>2106</v>
      </c>
      <c r="V156" s="628"/>
      <c r="W156" s="628"/>
      <c r="X156" s="556"/>
      <c r="Y156" s="556"/>
    </row>
    <row r="157" ht="15.75" customHeight="1">
      <c r="B157" s="226" t="s">
        <v>1203</v>
      </c>
      <c r="C157" s="562" t="s">
        <v>1204</v>
      </c>
      <c r="D157" s="562" t="s">
        <v>1206</v>
      </c>
      <c r="E157" s="562" t="s">
        <v>1207</v>
      </c>
      <c r="F157" s="562" t="s">
        <v>1208</v>
      </c>
      <c r="G157" s="562" t="s">
        <v>129</v>
      </c>
      <c r="I157" s="564" t="s">
        <v>1204</v>
      </c>
      <c r="J157" s="564" t="s">
        <v>1206</v>
      </c>
      <c r="K157" s="564" t="s">
        <v>1207</v>
      </c>
      <c r="L157" s="564" t="s">
        <v>1208</v>
      </c>
      <c r="M157" s="564" t="s">
        <v>129</v>
      </c>
      <c r="O157" s="565" t="s">
        <v>1204</v>
      </c>
      <c r="P157" s="565" t="s">
        <v>1206</v>
      </c>
      <c r="Q157" s="565" t="s">
        <v>1207</v>
      </c>
      <c r="R157" s="565" t="s">
        <v>1208</v>
      </c>
      <c r="S157" s="568" t="s">
        <v>1215</v>
      </c>
      <c r="U157" s="629" t="s">
        <v>2107</v>
      </c>
      <c r="V157" s="629" t="s">
        <v>2108</v>
      </c>
      <c r="W157" s="629" t="s">
        <v>2109</v>
      </c>
      <c r="X157" s="565" t="s">
        <v>2110</v>
      </c>
      <c r="Y157" s="568" t="s">
        <v>2111</v>
      </c>
    </row>
    <row r="158" ht="15.75" customHeight="1">
      <c r="B158" s="569" t="s">
        <v>180</v>
      </c>
      <c r="C158" s="569"/>
      <c r="D158" s="569"/>
      <c r="E158" s="569"/>
      <c r="F158" s="569"/>
      <c r="G158" s="569"/>
      <c r="H158" s="569"/>
      <c r="I158" s="569"/>
      <c r="J158" s="569"/>
      <c r="K158" s="569"/>
      <c r="L158" s="569"/>
      <c r="M158" s="569"/>
      <c r="N158" s="569"/>
      <c r="O158" s="569"/>
      <c r="P158" s="569"/>
      <c r="Q158" s="569"/>
      <c r="R158" s="569"/>
      <c r="S158" s="569"/>
      <c r="T158" s="569"/>
      <c r="U158" s="569"/>
      <c r="V158" s="569"/>
      <c r="W158" s="569"/>
      <c r="X158" s="569"/>
      <c r="Y158" s="569"/>
    </row>
    <row r="159" ht="15.75" customHeight="1">
      <c r="B159" s="577" t="s">
        <v>19</v>
      </c>
      <c r="C159" s="586">
        <v>0.0</v>
      </c>
      <c r="D159" s="586">
        <v>0.0</v>
      </c>
      <c r="E159" s="586">
        <v>24.63</v>
      </c>
      <c r="F159" s="586">
        <v>4.81</v>
      </c>
      <c r="G159" s="588">
        <f t="shared" ref="G159:G164" si="147">SUM(C159:F159)</f>
        <v>29.44</v>
      </c>
      <c r="I159" s="586">
        <v>0.0</v>
      </c>
      <c r="J159" s="586">
        <v>0.0</v>
      </c>
      <c r="K159" s="586">
        <v>24.63</v>
      </c>
      <c r="L159" s="586">
        <v>4.81</v>
      </c>
      <c r="M159" s="588">
        <f t="shared" ref="M159:M164" si="148">SUM(I159:L159)</f>
        <v>29.44</v>
      </c>
      <c r="O159" s="575" t="str">
        <f t="shared" ref="O159:S159" si="146">IFERROR(I159/C159-1,"")</f>
        <v/>
      </c>
      <c r="P159" s="575" t="str">
        <f t="shared" si="146"/>
        <v/>
      </c>
      <c r="Q159" s="575">
        <f t="shared" si="146"/>
        <v>0</v>
      </c>
      <c r="R159" s="575">
        <f t="shared" si="146"/>
        <v>0</v>
      </c>
      <c r="S159" s="575">
        <f t="shared" si="146"/>
        <v>0</v>
      </c>
      <c r="U159" s="630">
        <v>8.32</v>
      </c>
      <c r="V159" s="630">
        <v>21.8</v>
      </c>
      <c r="W159" s="630">
        <v>21.8</v>
      </c>
      <c r="X159" s="631">
        <f t="shared" ref="X159:X164" si="150">IFERROR(W159-V159,"")</f>
        <v>0</v>
      </c>
      <c r="Y159" s="632">
        <f t="shared" ref="Y159:Y171" si="151">IF(ISNUMBER(X159), IFERROR(X159/ABS(V159), 0), "")</f>
        <v>0</v>
      </c>
    </row>
    <row r="160" ht="15.75" customHeight="1">
      <c r="B160" s="577" t="s">
        <v>21</v>
      </c>
      <c r="C160" s="586">
        <v>0.0</v>
      </c>
      <c r="D160" s="586">
        <v>0.0</v>
      </c>
      <c r="E160" s="586">
        <v>18.51</v>
      </c>
      <c r="F160" s="586">
        <v>5.94</v>
      </c>
      <c r="G160" s="588">
        <f t="shared" si="147"/>
        <v>24.45</v>
      </c>
      <c r="I160" s="586">
        <v>0.0</v>
      </c>
      <c r="J160" s="586">
        <v>0.0</v>
      </c>
      <c r="K160" s="586">
        <v>18.51</v>
      </c>
      <c r="L160" s="586">
        <v>5.94</v>
      </c>
      <c r="M160" s="588">
        <f t="shared" si="148"/>
        <v>24.45</v>
      </c>
      <c r="O160" s="575" t="str">
        <f t="shared" ref="O160:S160" si="149">IFERROR(I160/C160-1,"")</f>
        <v/>
      </c>
      <c r="P160" s="575" t="str">
        <f t="shared" si="149"/>
        <v/>
      </c>
      <c r="Q160" s="575">
        <f t="shared" si="149"/>
        <v>0</v>
      </c>
      <c r="R160" s="575">
        <f t="shared" si="149"/>
        <v>0</v>
      </c>
      <c r="S160" s="575">
        <f t="shared" si="149"/>
        <v>0</v>
      </c>
      <c r="U160" s="630">
        <v>10.41</v>
      </c>
      <c r="V160" s="630">
        <v>15.6</v>
      </c>
      <c r="W160" s="630">
        <v>15.6</v>
      </c>
      <c r="X160" s="631">
        <f t="shared" si="150"/>
        <v>0</v>
      </c>
      <c r="Y160" s="632">
        <f t="shared" si="151"/>
        <v>0</v>
      </c>
    </row>
    <row r="161" ht="15.75" customHeight="1">
      <c r="B161" s="577" t="s">
        <v>22</v>
      </c>
      <c r="C161" s="586">
        <v>0.0</v>
      </c>
      <c r="D161" s="586">
        <v>0.0</v>
      </c>
      <c r="E161" s="586">
        <v>8.13</v>
      </c>
      <c r="F161" s="586">
        <v>10.89</v>
      </c>
      <c r="G161" s="588">
        <f t="shared" si="147"/>
        <v>19.02</v>
      </c>
      <c r="I161" s="586">
        <v>0.0</v>
      </c>
      <c r="J161" s="586">
        <v>0.0</v>
      </c>
      <c r="K161" s="586">
        <v>8.13</v>
      </c>
      <c r="L161" s="586">
        <v>10.89</v>
      </c>
      <c r="M161" s="588">
        <f t="shared" si="148"/>
        <v>19.02</v>
      </c>
      <c r="O161" s="575" t="str">
        <f t="shared" ref="O161:S161" si="152">IFERROR(I161/C161-1,"")</f>
        <v/>
      </c>
      <c r="P161" s="575" t="str">
        <f t="shared" si="152"/>
        <v/>
      </c>
      <c r="Q161" s="575">
        <f t="shared" si="152"/>
        <v>0</v>
      </c>
      <c r="R161" s="575">
        <f t="shared" si="152"/>
        <v>0</v>
      </c>
      <c r="S161" s="575">
        <f t="shared" si="152"/>
        <v>0</v>
      </c>
      <c r="U161" s="630">
        <v>11.01</v>
      </c>
      <c r="V161" s="630">
        <v>11.17</v>
      </c>
      <c r="W161" s="630">
        <v>11.17</v>
      </c>
      <c r="X161" s="631">
        <f t="shared" si="150"/>
        <v>0</v>
      </c>
      <c r="Y161" s="632">
        <f t="shared" si="151"/>
        <v>0</v>
      </c>
    </row>
    <row r="162" ht="15.75" customHeight="1">
      <c r="B162" s="577" t="s">
        <v>24</v>
      </c>
      <c r="C162" s="586">
        <v>0.0</v>
      </c>
      <c r="D162" s="586">
        <v>0.0</v>
      </c>
      <c r="E162" s="586">
        <v>4.26</v>
      </c>
      <c r="F162" s="586">
        <v>15.83</v>
      </c>
      <c r="G162" s="588">
        <f t="shared" si="147"/>
        <v>20.09</v>
      </c>
      <c r="I162" s="586">
        <v>0.0</v>
      </c>
      <c r="J162" s="586">
        <v>0.0</v>
      </c>
      <c r="K162" s="586">
        <v>4.26</v>
      </c>
      <c r="L162" s="586">
        <v>15.83</v>
      </c>
      <c r="M162" s="588">
        <f t="shared" si="148"/>
        <v>20.09</v>
      </c>
      <c r="O162" s="575" t="str">
        <f t="shared" ref="O162:S162" si="153">IFERROR(I162/C162-1,"")</f>
        <v/>
      </c>
      <c r="P162" s="575" t="str">
        <f t="shared" si="153"/>
        <v/>
      </c>
      <c r="Q162" s="575">
        <f t="shared" si="153"/>
        <v>0</v>
      </c>
      <c r="R162" s="575">
        <f t="shared" si="153"/>
        <v>0</v>
      </c>
      <c r="S162" s="575">
        <f t="shared" si="153"/>
        <v>0</v>
      </c>
      <c r="U162" s="630">
        <v>14.64</v>
      </c>
      <c r="V162" s="630">
        <v>9.41</v>
      </c>
      <c r="W162" s="630">
        <v>9.41</v>
      </c>
      <c r="X162" s="631">
        <f t="shared" si="150"/>
        <v>0</v>
      </c>
      <c r="Y162" s="632">
        <f t="shared" si="151"/>
        <v>0</v>
      </c>
    </row>
    <row r="163" ht="15.75" customHeight="1">
      <c r="B163" s="577" t="s">
        <v>26</v>
      </c>
      <c r="C163" s="586">
        <v>0.0</v>
      </c>
      <c r="D163" s="586">
        <v>0.0</v>
      </c>
      <c r="E163" s="586">
        <v>2.63</v>
      </c>
      <c r="F163" s="586">
        <v>19.09</v>
      </c>
      <c r="G163" s="588">
        <f t="shared" si="147"/>
        <v>21.72</v>
      </c>
      <c r="I163" s="586">
        <v>0.0</v>
      </c>
      <c r="J163" s="586">
        <v>0.0</v>
      </c>
      <c r="K163" s="586">
        <v>2.63</v>
      </c>
      <c r="L163" s="586">
        <v>19.09</v>
      </c>
      <c r="M163" s="588">
        <f t="shared" si="148"/>
        <v>21.72</v>
      </c>
      <c r="O163" s="575" t="str">
        <f t="shared" ref="O163:S163" si="154">IFERROR(I163/C163-1,"")</f>
        <v/>
      </c>
      <c r="P163" s="575" t="str">
        <f t="shared" si="154"/>
        <v/>
      </c>
      <c r="Q163" s="575">
        <f t="shared" si="154"/>
        <v>0</v>
      </c>
      <c r="R163" s="575">
        <f t="shared" si="154"/>
        <v>0</v>
      </c>
      <c r="S163" s="575">
        <f t="shared" si="154"/>
        <v>0</v>
      </c>
      <c r="U163" s="630">
        <v>23.2</v>
      </c>
      <c r="V163" s="630">
        <v>7.27</v>
      </c>
      <c r="W163" s="630">
        <v>7.27</v>
      </c>
      <c r="X163" s="631">
        <f t="shared" si="150"/>
        <v>0</v>
      </c>
      <c r="Y163" s="632">
        <f t="shared" si="151"/>
        <v>0</v>
      </c>
    </row>
    <row r="164" ht="15.75" customHeight="1">
      <c r="B164" s="603" t="s">
        <v>1628</v>
      </c>
      <c r="C164" s="604">
        <v>0.0</v>
      </c>
      <c r="D164" s="604">
        <v>0.0</v>
      </c>
      <c r="E164" s="604">
        <v>17.73</v>
      </c>
      <c r="F164" s="604">
        <v>7.5</v>
      </c>
      <c r="G164" s="605">
        <f t="shared" si="147"/>
        <v>25.23</v>
      </c>
      <c r="I164" s="604">
        <v>0.0</v>
      </c>
      <c r="J164" s="604">
        <v>0.0</v>
      </c>
      <c r="K164" s="604">
        <v>17.73</v>
      </c>
      <c r="L164" s="604">
        <v>7.5</v>
      </c>
      <c r="M164" s="605">
        <f t="shared" si="148"/>
        <v>25.23</v>
      </c>
      <c r="O164" s="606" t="str">
        <f t="shared" ref="O164:S164" si="155">IFERROR(I164/C164-1,"")</f>
        <v/>
      </c>
      <c r="P164" s="606" t="str">
        <f t="shared" si="155"/>
        <v/>
      </c>
      <c r="Q164" s="606">
        <f t="shared" si="155"/>
        <v>0</v>
      </c>
      <c r="R164" s="606">
        <f t="shared" si="155"/>
        <v>0</v>
      </c>
      <c r="S164" s="606">
        <f t="shared" si="155"/>
        <v>0</v>
      </c>
      <c r="U164" s="633">
        <v>12.5</v>
      </c>
      <c r="V164" s="633">
        <v>12.33</v>
      </c>
      <c r="W164" s="633">
        <v>12.33</v>
      </c>
      <c r="X164" s="634">
        <f t="shared" si="150"/>
        <v>0</v>
      </c>
      <c r="Y164" s="635">
        <f t="shared" si="151"/>
        <v>0</v>
      </c>
    </row>
    <row r="165" ht="15.75" customHeight="1">
      <c r="B165" s="569" t="s">
        <v>1192</v>
      </c>
      <c r="C165" s="569"/>
      <c r="D165" s="569"/>
      <c r="E165" s="569"/>
      <c r="F165" s="569"/>
      <c r="G165" s="569"/>
      <c r="H165" s="569"/>
      <c r="I165" s="569"/>
      <c r="J165" s="569"/>
      <c r="K165" s="569"/>
      <c r="L165" s="569"/>
      <c r="M165" s="569"/>
      <c r="N165" s="569"/>
      <c r="O165" s="569"/>
      <c r="P165" s="569"/>
      <c r="Q165" s="569"/>
      <c r="R165" s="569"/>
      <c r="S165" s="569"/>
      <c r="T165" s="569"/>
      <c r="U165" s="569"/>
      <c r="V165" s="569"/>
      <c r="W165" s="569"/>
      <c r="X165" s="569"/>
      <c r="Y165" s="636" t="str">
        <f t="shared" si="151"/>
        <v/>
      </c>
    </row>
    <row r="166" ht="15.75" customHeight="1">
      <c r="B166" s="577" t="s">
        <v>19</v>
      </c>
      <c r="C166" s="586">
        <v>0.0</v>
      </c>
      <c r="D166" s="586">
        <v>0.0</v>
      </c>
      <c r="E166" s="586">
        <v>23.66</v>
      </c>
      <c r="F166" s="586">
        <v>3.73</v>
      </c>
      <c r="G166" s="588">
        <f t="shared" ref="G166:G171" si="157">SUM(C166:F166)</f>
        <v>27.39</v>
      </c>
      <c r="I166" s="586">
        <v>0.0</v>
      </c>
      <c r="J166" s="586">
        <v>0.0</v>
      </c>
      <c r="K166" s="586">
        <v>23.66</v>
      </c>
      <c r="L166" s="586">
        <v>3.73</v>
      </c>
      <c r="M166" s="588">
        <f t="shared" ref="M166:M171" si="158">SUM(I166:L166)</f>
        <v>27.39</v>
      </c>
      <c r="O166" s="575" t="str">
        <f t="shared" ref="O166:S166" si="156">IFERROR(I166/C166-1,"")</f>
        <v/>
      </c>
      <c r="P166" s="575" t="str">
        <f t="shared" si="156"/>
        <v/>
      </c>
      <c r="Q166" s="575">
        <f t="shared" si="156"/>
        <v>0</v>
      </c>
      <c r="R166" s="575">
        <f t="shared" si="156"/>
        <v>0</v>
      </c>
      <c r="S166" s="575">
        <f t="shared" si="156"/>
        <v>0</v>
      </c>
      <c r="U166" s="630">
        <v>28.64</v>
      </c>
      <c r="V166" s="630">
        <v>0.67</v>
      </c>
      <c r="W166" s="630">
        <v>0.67</v>
      </c>
      <c r="X166" s="631">
        <f t="shared" ref="X166:X171" si="160">IFERROR(W166-V166,"")</f>
        <v>0</v>
      </c>
      <c r="Y166" s="632">
        <f t="shared" si="151"/>
        <v>0</v>
      </c>
    </row>
    <row r="167" ht="15.75" customHeight="1">
      <c r="B167" s="577" t="s">
        <v>21</v>
      </c>
      <c r="C167" s="586">
        <v>0.0</v>
      </c>
      <c r="D167" s="586">
        <v>0.0</v>
      </c>
      <c r="E167" s="586">
        <v>14.44</v>
      </c>
      <c r="F167" s="586">
        <v>10.31</v>
      </c>
      <c r="G167" s="588">
        <f t="shared" si="157"/>
        <v>24.75</v>
      </c>
      <c r="I167" s="586">
        <v>0.0</v>
      </c>
      <c r="J167" s="586">
        <v>0.0</v>
      </c>
      <c r="K167" s="586">
        <v>14.44</v>
      </c>
      <c r="L167" s="586">
        <v>10.31</v>
      </c>
      <c r="M167" s="588">
        <f t="shared" si="158"/>
        <v>24.75</v>
      </c>
      <c r="O167" s="575" t="str">
        <f t="shared" ref="O167:S167" si="159">IFERROR(I167/C167-1,"")</f>
        <v/>
      </c>
      <c r="P167" s="575" t="str">
        <f t="shared" si="159"/>
        <v/>
      </c>
      <c r="Q167" s="575">
        <f t="shared" si="159"/>
        <v>0</v>
      </c>
      <c r="R167" s="575">
        <f t="shared" si="159"/>
        <v>0</v>
      </c>
      <c r="S167" s="575">
        <f t="shared" si="159"/>
        <v>0</v>
      </c>
      <c r="U167" s="630">
        <v>43.83</v>
      </c>
      <c r="V167" s="630">
        <v>-14.18</v>
      </c>
      <c r="W167" s="630">
        <v>-14.18</v>
      </c>
      <c r="X167" s="631">
        <f t="shared" si="160"/>
        <v>0</v>
      </c>
      <c r="Y167" s="632">
        <f t="shared" si="151"/>
        <v>0</v>
      </c>
    </row>
    <row r="168" ht="15.75" customHeight="1">
      <c r="B168" s="577" t="s">
        <v>22</v>
      </c>
      <c r="C168" s="586">
        <v>0.0</v>
      </c>
      <c r="D168" s="586">
        <v>0.0</v>
      </c>
      <c r="E168" s="586">
        <v>6.98</v>
      </c>
      <c r="F168" s="586">
        <v>17.01</v>
      </c>
      <c r="G168" s="588">
        <f t="shared" si="157"/>
        <v>23.99</v>
      </c>
      <c r="I168" s="586">
        <v>0.0</v>
      </c>
      <c r="J168" s="586">
        <v>0.0</v>
      </c>
      <c r="K168" s="586">
        <v>6.98</v>
      </c>
      <c r="L168" s="586">
        <v>17.01</v>
      </c>
      <c r="M168" s="588">
        <f t="shared" si="158"/>
        <v>23.99</v>
      </c>
      <c r="O168" s="575" t="str">
        <f t="shared" ref="O168:S168" si="161">IFERROR(I168/C168-1,"")</f>
        <v/>
      </c>
      <c r="P168" s="575" t="str">
        <f t="shared" si="161"/>
        <v/>
      </c>
      <c r="Q168" s="575">
        <f t="shared" si="161"/>
        <v>0</v>
      </c>
      <c r="R168" s="575">
        <f t="shared" si="161"/>
        <v>0</v>
      </c>
      <c r="S168" s="575">
        <f t="shared" si="161"/>
        <v>0</v>
      </c>
      <c r="U168" s="630">
        <v>45.92</v>
      </c>
      <c r="V168" s="630">
        <v>-11.84</v>
      </c>
      <c r="W168" s="630">
        <v>-11.84</v>
      </c>
      <c r="X168" s="631">
        <f t="shared" si="160"/>
        <v>0</v>
      </c>
      <c r="Y168" s="632">
        <f t="shared" si="151"/>
        <v>0</v>
      </c>
    </row>
    <row r="169" ht="15.75" customHeight="1">
      <c r="B169" s="577" t="s">
        <v>24</v>
      </c>
      <c r="C169" s="586">
        <v>0.0</v>
      </c>
      <c r="D169" s="586">
        <v>0.0</v>
      </c>
      <c r="E169" s="586">
        <v>5.39</v>
      </c>
      <c r="F169" s="586">
        <v>20.37</v>
      </c>
      <c r="G169" s="588">
        <f t="shared" si="157"/>
        <v>25.76</v>
      </c>
      <c r="I169" s="586">
        <v>0.0</v>
      </c>
      <c r="J169" s="586">
        <v>0.0</v>
      </c>
      <c r="K169" s="586">
        <v>5.39</v>
      </c>
      <c r="L169" s="586">
        <v>20.37</v>
      </c>
      <c r="M169" s="588">
        <f t="shared" si="158"/>
        <v>25.76</v>
      </c>
      <c r="O169" s="575" t="str">
        <f t="shared" ref="O169:S169" si="162">IFERROR(I169/C169-1,"")</f>
        <v/>
      </c>
      <c r="P169" s="575" t="str">
        <f t="shared" si="162"/>
        <v/>
      </c>
      <c r="Q169" s="575">
        <f t="shared" si="162"/>
        <v>0</v>
      </c>
      <c r="R169" s="575">
        <f t="shared" si="162"/>
        <v>0</v>
      </c>
      <c r="S169" s="575">
        <f t="shared" si="162"/>
        <v>0</v>
      </c>
      <c r="U169" s="630">
        <v>46.76</v>
      </c>
      <c r="V169" s="630">
        <v>-12.99</v>
      </c>
      <c r="W169" s="630">
        <v>-12.99</v>
      </c>
      <c r="X169" s="631">
        <f t="shared" si="160"/>
        <v>0</v>
      </c>
      <c r="Y169" s="632">
        <f t="shared" si="151"/>
        <v>0</v>
      </c>
    </row>
    <row r="170" ht="15.75" customHeight="1">
      <c r="B170" s="577" t="s">
        <v>26</v>
      </c>
      <c r="C170" s="586">
        <v>0.0</v>
      </c>
      <c r="D170" s="586">
        <v>0.0</v>
      </c>
      <c r="E170" s="586">
        <v>2.0</v>
      </c>
      <c r="F170" s="586">
        <v>24.83</v>
      </c>
      <c r="G170" s="588">
        <f t="shared" si="157"/>
        <v>26.83</v>
      </c>
      <c r="I170" s="586">
        <v>0.0</v>
      </c>
      <c r="J170" s="586">
        <v>0.0</v>
      </c>
      <c r="K170" s="586">
        <v>2.0</v>
      </c>
      <c r="L170" s="586">
        <v>24.83</v>
      </c>
      <c r="M170" s="588">
        <f t="shared" si="158"/>
        <v>26.83</v>
      </c>
      <c r="O170" s="575" t="str">
        <f t="shared" ref="O170:S170" si="163">IFERROR(I170/C170-1,"")</f>
        <v/>
      </c>
      <c r="P170" s="575" t="str">
        <f t="shared" si="163"/>
        <v/>
      </c>
      <c r="Q170" s="575">
        <f t="shared" si="163"/>
        <v>0</v>
      </c>
      <c r="R170" s="575">
        <f t="shared" si="163"/>
        <v>0</v>
      </c>
      <c r="S170" s="575">
        <f t="shared" si="163"/>
        <v>0</v>
      </c>
      <c r="U170" s="630">
        <v>53.04</v>
      </c>
      <c r="V170" s="630">
        <v>-12.86</v>
      </c>
      <c r="W170" s="630">
        <v>-12.86</v>
      </c>
      <c r="X170" s="631">
        <f t="shared" si="160"/>
        <v>0</v>
      </c>
      <c r="Y170" s="632">
        <f t="shared" si="151"/>
        <v>0</v>
      </c>
    </row>
    <row r="171" ht="15.75" customHeight="1">
      <c r="B171" s="603" t="s">
        <v>1628</v>
      </c>
      <c r="C171" s="604">
        <v>0.0</v>
      </c>
      <c r="D171" s="604">
        <v>0.0</v>
      </c>
      <c r="E171" s="604">
        <v>15.05</v>
      </c>
      <c r="F171" s="604">
        <v>10.8</v>
      </c>
      <c r="G171" s="605">
        <f t="shared" si="157"/>
        <v>25.85</v>
      </c>
      <c r="I171" s="604">
        <v>0.0</v>
      </c>
      <c r="J171" s="604">
        <v>0.0</v>
      </c>
      <c r="K171" s="604">
        <v>15.05</v>
      </c>
      <c r="L171" s="604">
        <v>10.8</v>
      </c>
      <c r="M171" s="605">
        <f t="shared" si="158"/>
        <v>25.85</v>
      </c>
      <c r="O171" s="606" t="str">
        <f t="shared" ref="O171:S171" si="164">IFERROR(I171/C171-1,"")</f>
        <v/>
      </c>
      <c r="P171" s="606" t="str">
        <f t="shared" si="164"/>
        <v/>
      </c>
      <c r="Q171" s="606">
        <f t="shared" si="164"/>
        <v>0</v>
      </c>
      <c r="R171" s="606">
        <f t="shared" si="164"/>
        <v>0</v>
      </c>
      <c r="S171" s="606">
        <f t="shared" si="164"/>
        <v>0</v>
      </c>
      <c r="U171" s="633">
        <v>42.45</v>
      </c>
      <c r="V171" s="633">
        <v>-10.08</v>
      </c>
      <c r="W171" s="633">
        <v>-10.08</v>
      </c>
      <c r="X171" s="634">
        <f t="shared" si="160"/>
        <v>0</v>
      </c>
      <c r="Y171" s="635">
        <f t="shared" si="151"/>
        <v>0</v>
      </c>
    </row>
    <row r="172" ht="15.75" customHeight="1"/>
    <row r="173" ht="15.75" customHeight="1"/>
    <row r="174" ht="15.75" customHeight="1">
      <c r="B174" s="545" t="s">
        <v>2233</v>
      </c>
      <c r="C174" s="545"/>
      <c r="D174" s="545"/>
      <c r="E174" s="545"/>
      <c r="F174" s="545"/>
      <c r="G174" s="545"/>
      <c r="H174" s="545"/>
      <c r="I174" s="545"/>
      <c r="J174" s="545"/>
      <c r="K174" s="545"/>
      <c r="L174" s="545"/>
      <c r="M174" s="545"/>
      <c r="N174" s="545"/>
      <c r="O174" s="545"/>
      <c r="P174" s="545"/>
      <c r="Q174" s="545"/>
      <c r="R174" s="545"/>
      <c r="S174" s="545"/>
      <c r="T174" s="545"/>
      <c r="U174" s="545"/>
      <c r="V174" s="545"/>
      <c r="W174" s="545"/>
      <c r="X174" s="545"/>
      <c r="Y174" s="545"/>
    </row>
    <row r="175" ht="15.75" customHeight="1">
      <c r="C175" s="626" t="s">
        <v>2104</v>
      </c>
      <c r="D175" s="550"/>
      <c r="E175" s="550"/>
      <c r="F175" s="550"/>
      <c r="G175" s="550"/>
      <c r="I175" s="551" t="s">
        <v>2105</v>
      </c>
      <c r="J175" s="552"/>
      <c r="K175" s="552"/>
      <c r="L175" s="552"/>
      <c r="M175" s="552"/>
      <c r="O175" s="554" t="s">
        <v>1197</v>
      </c>
      <c r="P175" s="556"/>
      <c r="Q175" s="556"/>
      <c r="R175" s="556"/>
      <c r="S175" s="556"/>
      <c r="U175" s="627" t="s">
        <v>2106</v>
      </c>
      <c r="V175" s="628"/>
      <c r="W175" s="628"/>
      <c r="X175" s="556"/>
      <c r="Y175" s="556"/>
    </row>
    <row r="176" ht="15.75" customHeight="1">
      <c r="B176" s="226" t="s">
        <v>1203</v>
      </c>
      <c r="C176" s="562" t="s">
        <v>1204</v>
      </c>
      <c r="D176" s="562" t="s">
        <v>1206</v>
      </c>
      <c r="E176" s="562" t="s">
        <v>1207</v>
      </c>
      <c r="F176" s="562" t="s">
        <v>1208</v>
      </c>
      <c r="G176" s="562" t="s">
        <v>129</v>
      </c>
      <c r="I176" s="564" t="s">
        <v>1204</v>
      </c>
      <c r="J176" s="564" t="s">
        <v>1206</v>
      </c>
      <c r="K176" s="564" t="s">
        <v>1207</v>
      </c>
      <c r="L176" s="564" t="s">
        <v>1208</v>
      </c>
      <c r="M176" s="564" t="s">
        <v>129</v>
      </c>
      <c r="O176" s="565" t="s">
        <v>1204</v>
      </c>
      <c r="P176" s="565" t="s">
        <v>1206</v>
      </c>
      <c r="Q176" s="565" t="s">
        <v>1207</v>
      </c>
      <c r="R176" s="565" t="s">
        <v>1208</v>
      </c>
      <c r="S176" s="568" t="s">
        <v>1215</v>
      </c>
      <c r="U176" s="629" t="s">
        <v>2107</v>
      </c>
      <c r="V176" s="629" t="s">
        <v>2108</v>
      </c>
      <c r="W176" s="629" t="s">
        <v>2109</v>
      </c>
      <c r="X176" s="565" t="s">
        <v>2110</v>
      </c>
      <c r="Y176" s="568" t="s">
        <v>2111</v>
      </c>
    </row>
    <row r="177" ht="15.75" customHeight="1">
      <c r="B177" s="569" t="s">
        <v>180</v>
      </c>
      <c r="C177" s="569"/>
      <c r="D177" s="569"/>
      <c r="E177" s="569"/>
      <c r="F177" s="569"/>
      <c r="G177" s="569"/>
      <c r="H177" s="569"/>
      <c r="I177" s="569"/>
      <c r="J177" s="569"/>
      <c r="K177" s="569"/>
      <c r="L177" s="569"/>
      <c r="M177" s="569"/>
      <c r="N177" s="569"/>
      <c r="O177" s="569"/>
      <c r="P177" s="569"/>
      <c r="Q177" s="569"/>
      <c r="R177" s="569"/>
      <c r="S177" s="569"/>
      <c r="T177" s="569"/>
      <c r="U177" s="569"/>
      <c r="V177" s="569"/>
      <c r="W177" s="569"/>
      <c r="X177" s="569"/>
      <c r="Y177" s="569"/>
    </row>
    <row r="178" ht="15.75" customHeight="1">
      <c r="B178" s="577" t="s">
        <v>19</v>
      </c>
      <c r="C178" s="586">
        <v>0.0</v>
      </c>
      <c r="D178" s="586">
        <v>0.0</v>
      </c>
      <c r="E178" s="586">
        <v>8.36</v>
      </c>
      <c r="F178" s="586">
        <v>14.61</v>
      </c>
      <c r="G178" s="588">
        <f t="shared" ref="G178:G183" si="166">SUM(C178:F178)</f>
        <v>22.97</v>
      </c>
      <c r="I178" s="586">
        <v>0.0</v>
      </c>
      <c r="J178" s="586">
        <v>0.0</v>
      </c>
      <c r="K178" s="586">
        <v>8.36</v>
      </c>
      <c r="L178" s="586">
        <v>14.61</v>
      </c>
      <c r="M178" s="588">
        <f t="shared" ref="M178:M183" si="167">SUM(I178:L178)</f>
        <v>22.97</v>
      </c>
      <c r="O178" s="575" t="str">
        <f t="shared" ref="O178:S178" si="165">IFERROR(I178/C178-1,"")</f>
        <v/>
      </c>
      <c r="P178" s="575" t="str">
        <f t="shared" si="165"/>
        <v/>
      </c>
      <c r="Q178" s="575">
        <f t="shared" si="165"/>
        <v>0</v>
      </c>
      <c r="R178" s="575">
        <f t="shared" si="165"/>
        <v>0</v>
      </c>
      <c r="S178" s="575">
        <f t="shared" si="165"/>
        <v>0</v>
      </c>
      <c r="U178" s="630">
        <v>6.19</v>
      </c>
      <c r="V178" s="630">
        <v>18.67</v>
      </c>
      <c r="W178" s="630">
        <v>18.67</v>
      </c>
      <c r="X178" s="631">
        <f t="shared" ref="X178:X183" si="169">IFERROR(W178-V178,"")</f>
        <v>0</v>
      </c>
      <c r="Y178" s="632">
        <f t="shared" ref="Y178:Y190" si="170">IF(ISNUMBER(X178), IFERROR(X178/ABS(V178), 0), "")</f>
        <v>0</v>
      </c>
    </row>
    <row r="179" ht="15.75" customHeight="1">
      <c r="B179" s="577" t="s">
        <v>21</v>
      </c>
      <c r="C179" s="586">
        <v>0.0</v>
      </c>
      <c r="D179" s="586">
        <v>0.0</v>
      </c>
      <c r="E179" s="586">
        <v>7.39</v>
      </c>
      <c r="F179" s="586">
        <v>15.05</v>
      </c>
      <c r="G179" s="588">
        <f t="shared" si="166"/>
        <v>22.44</v>
      </c>
      <c r="I179" s="586">
        <v>0.0</v>
      </c>
      <c r="J179" s="586">
        <v>0.0</v>
      </c>
      <c r="K179" s="586">
        <v>7.39</v>
      </c>
      <c r="L179" s="586">
        <v>15.05</v>
      </c>
      <c r="M179" s="588">
        <f t="shared" si="167"/>
        <v>22.44</v>
      </c>
      <c r="O179" s="575" t="str">
        <f t="shared" ref="O179:S179" si="168">IFERROR(I179/C179-1,"")</f>
        <v/>
      </c>
      <c r="P179" s="575" t="str">
        <f t="shared" si="168"/>
        <v/>
      </c>
      <c r="Q179" s="575">
        <f t="shared" si="168"/>
        <v>0</v>
      </c>
      <c r="R179" s="575">
        <f t="shared" si="168"/>
        <v>0</v>
      </c>
      <c r="S179" s="575">
        <f t="shared" si="168"/>
        <v>0</v>
      </c>
      <c r="U179" s="630">
        <v>9.88</v>
      </c>
      <c r="V179" s="630">
        <v>17.42</v>
      </c>
      <c r="W179" s="630">
        <v>17.42</v>
      </c>
      <c r="X179" s="631">
        <f t="shared" si="169"/>
        <v>0</v>
      </c>
      <c r="Y179" s="632">
        <f t="shared" si="170"/>
        <v>0</v>
      </c>
    </row>
    <row r="180" ht="15.75" customHeight="1">
      <c r="B180" s="577" t="s">
        <v>22</v>
      </c>
      <c r="C180" s="586">
        <v>0.0</v>
      </c>
      <c r="D180" s="586">
        <v>0.0</v>
      </c>
      <c r="E180" s="586">
        <v>6.13</v>
      </c>
      <c r="F180" s="586">
        <v>17.84</v>
      </c>
      <c r="G180" s="588">
        <f t="shared" si="166"/>
        <v>23.97</v>
      </c>
      <c r="I180" s="586">
        <v>0.0</v>
      </c>
      <c r="J180" s="586">
        <v>0.0</v>
      </c>
      <c r="K180" s="586">
        <v>6.13</v>
      </c>
      <c r="L180" s="586">
        <v>17.84</v>
      </c>
      <c r="M180" s="588">
        <f t="shared" si="167"/>
        <v>23.97</v>
      </c>
      <c r="O180" s="575" t="str">
        <f t="shared" ref="O180:S180" si="171">IFERROR(I180/C180-1,"")</f>
        <v/>
      </c>
      <c r="P180" s="575" t="str">
        <f t="shared" si="171"/>
        <v/>
      </c>
      <c r="Q180" s="575">
        <f t="shared" si="171"/>
        <v>0</v>
      </c>
      <c r="R180" s="575">
        <f t="shared" si="171"/>
        <v>0</v>
      </c>
      <c r="S180" s="575">
        <f t="shared" si="171"/>
        <v>0</v>
      </c>
      <c r="U180" s="630">
        <v>13.86</v>
      </c>
      <c r="V180" s="630">
        <v>17.33</v>
      </c>
      <c r="W180" s="630">
        <v>17.33</v>
      </c>
      <c r="X180" s="631">
        <f t="shared" si="169"/>
        <v>0</v>
      </c>
      <c r="Y180" s="632">
        <f t="shared" si="170"/>
        <v>0</v>
      </c>
    </row>
    <row r="181" ht="15.75" customHeight="1">
      <c r="B181" s="577" t="s">
        <v>24</v>
      </c>
      <c r="C181" s="586">
        <v>0.0</v>
      </c>
      <c r="D181" s="586">
        <v>0.0</v>
      </c>
      <c r="E181" s="586">
        <v>4.52</v>
      </c>
      <c r="F181" s="586">
        <v>25.96</v>
      </c>
      <c r="G181" s="588">
        <f t="shared" si="166"/>
        <v>30.48</v>
      </c>
      <c r="I181" s="586">
        <v>0.0</v>
      </c>
      <c r="J181" s="586">
        <v>0.0</v>
      </c>
      <c r="K181" s="586">
        <v>4.52</v>
      </c>
      <c r="L181" s="586">
        <v>25.96</v>
      </c>
      <c r="M181" s="588">
        <f t="shared" si="167"/>
        <v>30.48</v>
      </c>
      <c r="O181" s="575" t="str">
        <f t="shared" ref="O181:S181" si="172">IFERROR(I181/C181-1,"")</f>
        <v/>
      </c>
      <c r="P181" s="575" t="str">
        <f t="shared" si="172"/>
        <v/>
      </c>
      <c r="Q181" s="575">
        <f t="shared" si="172"/>
        <v>0</v>
      </c>
      <c r="R181" s="575">
        <f t="shared" si="172"/>
        <v>0</v>
      </c>
      <c r="S181" s="575">
        <f t="shared" si="172"/>
        <v>0</v>
      </c>
      <c r="U181" s="630">
        <v>22.52</v>
      </c>
      <c r="V181" s="630">
        <v>18.3</v>
      </c>
      <c r="W181" s="630">
        <v>18.3</v>
      </c>
      <c r="X181" s="631">
        <f t="shared" si="169"/>
        <v>0</v>
      </c>
      <c r="Y181" s="632">
        <f t="shared" si="170"/>
        <v>0</v>
      </c>
    </row>
    <row r="182" ht="15.75" customHeight="1">
      <c r="B182" s="577" t="s">
        <v>26</v>
      </c>
      <c r="C182" s="586">
        <v>0.0</v>
      </c>
      <c r="D182" s="586">
        <v>0.0</v>
      </c>
      <c r="E182" s="586">
        <v>2.66</v>
      </c>
      <c r="F182" s="586">
        <v>30.13</v>
      </c>
      <c r="G182" s="588">
        <f t="shared" si="166"/>
        <v>32.79</v>
      </c>
      <c r="I182" s="586">
        <v>0.0</v>
      </c>
      <c r="J182" s="586">
        <v>0.0</v>
      </c>
      <c r="K182" s="586">
        <v>2.66</v>
      </c>
      <c r="L182" s="586">
        <v>30.13</v>
      </c>
      <c r="M182" s="588">
        <f t="shared" si="167"/>
        <v>32.79</v>
      </c>
      <c r="O182" s="575" t="str">
        <f t="shared" ref="O182:S182" si="173">IFERROR(I182/C182-1,"")</f>
        <v/>
      </c>
      <c r="P182" s="575" t="str">
        <f t="shared" si="173"/>
        <v/>
      </c>
      <c r="Q182" s="575">
        <f t="shared" si="173"/>
        <v>0</v>
      </c>
      <c r="R182" s="575">
        <f t="shared" si="173"/>
        <v>0</v>
      </c>
      <c r="S182" s="575">
        <f t="shared" si="173"/>
        <v>0</v>
      </c>
      <c r="U182" s="630">
        <v>34.03</v>
      </c>
      <c r="V182" s="630">
        <v>16.31</v>
      </c>
      <c r="W182" s="630">
        <v>16.31</v>
      </c>
      <c r="X182" s="631">
        <f t="shared" si="169"/>
        <v>0</v>
      </c>
      <c r="Y182" s="632">
        <f t="shared" si="170"/>
        <v>0</v>
      </c>
    </row>
    <row r="183" ht="15.75" customHeight="1">
      <c r="B183" s="603" t="s">
        <v>1628</v>
      </c>
      <c r="C183" s="604">
        <v>0.0</v>
      </c>
      <c r="D183" s="604">
        <v>0.0</v>
      </c>
      <c r="E183" s="604">
        <v>7.25</v>
      </c>
      <c r="F183" s="604">
        <v>16.64</v>
      </c>
      <c r="G183" s="605">
        <f t="shared" si="166"/>
        <v>23.89</v>
      </c>
      <c r="I183" s="604">
        <v>0.0</v>
      </c>
      <c r="J183" s="604">
        <v>0.0</v>
      </c>
      <c r="K183" s="604">
        <v>7.25</v>
      </c>
      <c r="L183" s="604">
        <v>16.64</v>
      </c>
      <c r="M183" s="605">
        <f t="shared" si="167"/>
        <v>23.89</v>
      </c>
      <c r="O183" s="606" t="str">
        <f t="shared" ref="O183:S183" si="174">IFERROR(I183/C183-1,"")</f>
        <v/>
      </c>
      <c r="P183" s="606" t="str">
        <f t="shared" si="174"/>
        <v/>
      </c>
      <c r="Q183" s="606">
        <f t="shared" si="174"/>
        <v>0</v>
      </c>
      <c r="R183" s="606">
        <f t="shared" si="174"/>
        <v>0</v>
      </c>
      <c r="S183" s="606">
        <f t="shared" si="174"/>
        <v>0</v>
      </c>
      <c r="U183" s="633">
        <v>14.05</v>
      </c>
      <c r="V183" s="633">
        <v>17.81</v>
      </c>
      <c r="W183" s="633">
        <v>17.81</v>
      </c>
      <c r="X183" s="634">
        <f t="shared" si="169"/>
        <v>0</v>
      </c>
      <c r="Y183" s="635">
        <f t="shared" si="170"/>
        <v>0</v>
      </c>
    </row>
    <row r="184" ht="15.75" customHeight="1">
      <c r="B184" s="569" t="s">
        <v>1192</v>
      </c>
      <c r="C184" s="569"/>
      <c r="D184" s="569"/>
      <c r="E184" s="569"/>
      <c r="F184" s="569"/>
      <c r="G184" s="569"/>
      <c r="H184" s="569"/>
      <c r="I184" s="569"/>
      <c r="J184" s="569"/>
      <c r="K184" s="569"/>
      <c r="L184" s="569"/>
      <c r="M184" s="569"/>
      <c r="N184" s="569"/>
      <c r="O184" s="569"/>
      <c r="P184" s="569"/>
      <c r="Q184" s="569"/>
      <c r="R184" s="569"/>
      <c r="S184" s="569"/>
      <c r="T184" s="569"/>
      <c r="U184" s="569"/>
      <c r="V184" s="569"/>
      <c r="W184" s="569"/>
      <c r="X184" s="569"/>
      <c r="Y184" s="636" t="str">
        <f t="shared" si="170"/>
        <v/>
      </c>
    </row>
    <row r="185" ht="15.75" customHeight="1">
      <c r="B185" s="577" t="s">
        <v>19</v>
      </c>
      <c r="C185" s="586">
        <v>0.0</v>
      </c>
      <c r="D185" s="586">
        <v>0.0</v>
      </c>
      <c r="E185" s="586">
        <v>16.55</v>
      </c>
      <c r="F185" s="586">
        <v>14.06</v>
      </c>
      <c r="G185" s="588">
        <f t="shared" ref="G185:G190" si="176">SUM(C185:F185)</f>
        <v>30.61</v>
      </c>
      <c r="I185" s="586">
        <v>0.0</v>
      </c>
      <c r="J185" s="586">
        <v>0.0</v>
      </c>
      <c r="K185" s="586">
        <v>16.55</v>
      </c>
      <c r="L185" s="586">
        <v>14.06</v>
      </c>
      <c r="M185" s="588">
        <f t="shared" ref="M185:M190" si="177">SUM(I185:L185)</f>
        <v>30.61</v>
      </c>
      <c r="O185" s="575" t="str">
        <f t="shared" ref="O185:S185" si="175">IFERROR(I185/C185-1,"")</f>
        <v/>
      </c>
      <c r="P185" s="575" t="str">
        <f t="shared" si="175"/>
        <v/>
      </c>
      <c r="Q185" s="575">
        <f t="shared" si="175"/>
        <v>0</v>
      </c>
      <c r="R185" s="575">
        <f t="shared" si="175"/>
        <v>0</v>
      </c>
      <c r="S185" s="575">
        <f t="shared" si="175"/>
        <v>0</v>
      </c>
      <c r="U185" s="630">
        <v>16.63</v>
      </c>
      <c r="V185" s="630">
        <v>18.34</v>
      </c>
      <c r="W185" s="630">
        <v>18.34</v>
      </c>
      <c r="X185" s="631">
        <f t="shared" ref="X185:X190" si="179">IFERROR(W185-V185,"")</f>
        <v>0</v>
      </c>
      <c r="Y185" s="632">
        <f t="shared" si="170"/>
        <v>0</v>
      </c>
    </row>
    <row r="186" ht="15.75" customHeight="1">
      <c r="B186" s="577" t="s">
        <v>21</v>
      </c>
      <c r="C186" s="586">
        <v>0.0</v>
      </c>
      <c r="D186" s="586">
        <v>0.0</v>
      </c>
      <c r="E186" s="586">
        <v>9.41</v>
      </c>
      <c r="F186" s="586">
        <v>18.3</v>
      </c>
      <c r="G186" s="588">
        <f t="shared" si="176"/>
        <v>27.71</v>
      </c>
      <c r="I186" s="586">
        <v>0.0</v>
      </c>
      <c r="J186" s="586">
        <v>0.0</v>
      </c>
      <c r="K186" s="586">
        <v>9.41</v>
      </c>
      <c r="L186" s="586">
        <v>18.3</v>
      </c>
      <c r="M186" s="588">
        <f t="shared" si="177"/>
        <v>27.71</v>
      </c>
      <c r="O186" s="575" t="str">
        <f t="shared" ref="O186:S186" si="178">IFERROR(I186/C186-1,"")</f>
        <v/>
      </c>
      <c r="P186" s="575" t="str">
        <f t="shared" si="178"/>
        <v/>
      </c>
      <c r="Q186" s="575">
        <f t="shared" si="178"/>
        <v>0</v>
      </c>
      <c r="R186" s="575">
        <f t="shared" si="178"/>
        <v>0</v>
      </c>
      <c r="S186" s="575">
        <f t="shared" si="178"/>
        <v>0</v>
      </c>
      <c r="U186" s="630">
        <v>28.44</v>
      </c>
      <c r="V186" s="630">
        <v>10.38</v>
      </c>
      <c r="W186" s="630">
        <v>10.38</v>
      </c>
      <c r="X186" s="631">
        <f t="shared" si="179"/>
        <v>0</v>
      </c>
      <c r="Y186" s="632">
        <f t="shared" si="170"/>
        <v>0</v>
      </c>
    </row>
    <row r="187" ht="15.75" customHeight="1">
      <c r="B187" s="577" t="s">
        <v>22</v>
      </c>
      <c r="C187" s="586">
        <v>0.0</v>
      </c>
      <c r="D187" s="586">
        <v>0.0</v>
      </c>
      <c r="E187" s="586">
        <v>7.56</v>
      </c>
      <c r="F187" s="586">
        <v>22.89</v>
      </c>
      <c r="G187" s="588">
        <f t="shared" si="176"/>
        <v>30.45</v>
      </c>
      <c r="I187" s="586">
        <v>0.0</v>
      </c>
      <c r="J187" s="586">
        <v>0.0</v>
      </c>
      <c r="K187" s="586">
        <v>7.56</v>
      </c>
      <c r="L187" s="586">
        <v>22.89</v>
      </c>
      <c r="M187" s="588">
        <f t="shared" si="177"/>
        <v>30.45</v>
      </c>
      <c r="O187" s="575" t="str">
        <f t="shared" ref="O187:S187" si="180">IFERROR(I187/C187-1,"")</f>
        <v/>
      </c>
      <c r="P187" s="575" t="str">
        <f t="shared" si="180"/>
        <v/>
      </c>
      <c r="Q187" s="575">
        <f t="shared" si="180"/>
        <v>0</v>
      </c>
      <c r="R187" s="575">
        <f t="shared" si="180"/>
        <v>0</v>
      </c>
      <c r="S187" s="575">
        <f t="shared" si="180"/>
        <v>0</v>
      </c>
      <c r="U187" s="630">
        <v>38.17</v>
      </c>
      <c r="V187" s="630">
        <v>8.3</v>
      </c>
      <c r="W187" s="630">
        <v>8.3</v>
      </c>
      <c r="X187" s="631">
        <f t="shared" si="179"/>
        <v>0</v>
      </c>
      <c r="Y187" s="632">
        <f t="shared" si="170"/>
        <v>0</v>
      </c>
    </row>
    <row r="188" ht="15.75" customHeight="1">
      <c r="B188" s="577" t="s">
        <v>24</v>
      </c>
      <c r="C188" s="586">
        <v>0.0</v>
      </c>
      <c r="D188" s="586">
        <v>0.0</v>
      </c>
      <c r="E188" s="586">
        <v>7.31</v>
      </c>
      <c r="F188" s="586">
        <v>36.44</v>
      </c>
      <c r="G188" s="588">
        <f t="shared" si="176"/>
        <v>43.75</v>
      </c>
      <c r="I188" s="586">
        <v>0.0</v>
      </c>
      <c r="J188" s="586">
        <v>0.0</v>
      </c>
      <c r="K188" s="586">
        <v>7.31</v>
      </c>
      <c r="L188" s="586">
        <v>36.44</v>
      </c>
      <c r="M188" s="588">
        <f t="shared" si="177"/>
        <v>43.75</v>
      </c>
      <c r="O188" s="575" t="str">
        <f t="shared" ref="O188:S188" si="181">IFERROR(I188/C188-1,"")</f>
        <v/>
      </c>
      <c r="P188" s="575" t="str">
        <f t="shared" si="181"/>
        <v/>
      </c>
      <c r="Q188" s="575">
        <f t="shared" si="181"/>
        <v>0</v>
      </c>
      <c r="R188" s="575">
        <f t="shared" si="181"/>
        <v>0</v>
      </c>
      <c r="S188" s="575">
        <f t="shared" si="181"/>
        <v>0</v>
      </c>
      <c r="U188" s="630">
        <v>54.75</v>
      </c>
      <c r="V188" s="630">
        <v>10.4</v>
      </c>
      <c r="W188" s="630">
        <v>10.4</v>
      </c>
      <c r="X188" s="631">
        <f t="shared" si="179"/>
        <v>0</v>
      </c>
      <c r="Y188" s="632">
        <f t="shared" si="170"/>
        <v>0</v>
      </c>
    </row>
    <row r="189" ht="15.75" customHeight="1">
      <c r="B189" s="577" t="s">
        <v>26</v>
      </c>
      <c r="C189" s="586">
        <v>0.0</v>
      </c>
      <c r="D189" s="586">
        <v>0.0</v>
      </c>
      <c r="E189" s="586">
        <v>3.04</v>
      </c>
      <c r="F189" s="586">
        <v>40.61</v>
      </c>
      <c r="G189" s="588">
        <f t="shared" si="176"/>
        <v>43.65</v>
      </c>
      <c r="I189" s="586">
        <v>0.0</v>
      </c>
      <c r="J189" s="586">
        <v>0.0</v>
      </c>
      <c r="K189" s="586">
        <v>3.04</v>
      </c>
      <c r="L189" s="586">
        <v>40.61</v>
      </c>
      <c r="M189" s="588">
        <f t="shared" si="177"/>
        <v>43.65</v>
      </c>
      <c r="O189" s="575" t="str">
        <f t="shared" ref="O189:S189" si="182">IFERROR(I189/C189-1,"")</f>
        <v/>
      </c>
      <c r="P189" s="575" t="str">
        <f t="shared" si="182"/>
        <v/>
      </c>
      <c r="Q189" s="575">
        <f t="shared" si="182"/>
        <v>0</v>
      </c>
      <c r="R189" s="575">
        <f t="shared" si="182"/>
        <v>0</v>
      </c>
      <c r="S189" s="575">
        <f t="shared" si="182"/>
        <v>0</v>
      </c>
      <c r="U189" s="630">
        <v>66.19</v>
      </c>
      <c r="V189" s="630">
        <v>8.07</v>
      </c>
      <c r="W189" s="630">
        <v>8.07</v>
      </c>
      <c r="X189" s="631">
        <f t="shared" si="179"/>
        <v>0</v>
      </c>
      <c r="Y189" s="632">
        <f t="shared" si="170"/>
        <v>0</v>
      </c>
    </row>
    <row r="190" ht="15.75" customHeight="1">
      <c r="B190" s="603" t="s">
        <v>1628</v>
      </c>
      <c r="C190" s="604">
        <v>0.0</v>
      </c>
      <c r="D190" s="604">
        <v>0.0</v>
      </c>
      <c r="E190" s="604">
        <v>11.44</v>
      </c>
      <c r="F190" s="604">
        <v>20.69</v>
      </c>
      <c r="G190" s="605">
        <f t="shared" si="176"/>
        <v>32.13</v>
      </c>
      <c r="I190" s="604">
        <v>0.0</v>
      </c>
      <c r="J190" s="604">
        <v>0.0</v>
      </c>
      <c r="K190" s="604">
        <v>11.44</v>
      </c>
      <c r="L190" s="604">
        <v>20.69</v>
      </c>
      <c r="M190" s="605">
        <f t="shared" si="177"/>
        <v>32.13</v>
      </c>
      <c r="O190" s="606" t="str">
        <f t="shared" ref="O190:S190" si="183">IFERROR(I190/C190-1,"")</f>
        <v/>
      </c>
      <c r="P190" s="606" t="str">
        <f t="shared" si="183"/>
        <v/>
      </c>
      <c r="Q190" s="606">
        <f t="shared" si="183"/>
        <v>0</v>
      </c>
      <c r="R190" s="606">
        <f t="shared" si="183"/>
        <v>0</v>
      </c>
      <c r="S190" s="606">
        <f t="shared" si="183"/>
        <v>0</v>
      </c>
      <c r="U190" s="633">
        <v>33.79</v>
      </c>
      <c r="V190" s="633">
        <v>12.06</v>
      </c>
      <c r="W190" s="633">
        <v>12.06</v>
      </c>
      <c r="X190" s="634">
        <f t="shared" si="179"/>
        <v>0</v>
      </c>
      <c r="Y190" s="635">
        <f t="shared" si="170"/>
        <v>0</v>
      </c>
    </row>
    <row r="191" ht="15.75" customHeight="1"/>
    <row r="192" ht="15.75" customHeight="1"/>
    <row r="193" ht="15.75" customHeight="1">
      <c r="B193" s="545" t="s">
        <v>2235</v>
      </c>
      <c r="C193" s="545"/>
      <c r="D193" s="545"/>
      <c r="E193" s="545"/>
      <c r="F193" s="545"/>
      <c r="G193" s="545"/>
      <c r="H193" s="545"/>
      <c r="I193" s="545"/>
      <c r="J193" s="545"/>
      <c r="K193" s="545"/>
      <c r="L193" s="545"/>
      <c r="M193" s="545"/>
      <c r="N193" s="545"/>
      <c r="O193" s="545"/>
      <c r="P193" s="545"/>
      <c r="Q193" s="545"/>
      <c r="R193" s="545"/>
      <c r="S193" s="545"/>
      <c r="T193" s="545"/>
      <c r="U193" s="545"/>
      <c r="V193" s="545"/>
      <c r="W193" s="545"/>
      <c r="X193" s="545"/>
      <c r="Y193" s="545"/>
    </row>
    <row r="194" ht="15.75" customHeight="1">
      <c r="C194" s="626" t="s">
        <v>2104</v>
      </c>
      <c r="D194" s="550"/>
      <c r="E194" s="550"/>
      <c r="F194" s="550"/>
      <c r="G194" s="550"/>
      <c r="I194" s="551" t="s">
        <v>2105</v>
      </c>
      <c r="J194" s="552"/>
      <c r="K194" s="552"/>
      <c r="L194" s="552"/>
      <c r="M194" s="552"/>
      <c r="O194" s="554" t="s">
        <v>1197</v>
      </c>
      <c r="P194" s="556"/>
      <c r="Q194" s="556"/>
      <c r="R194" s="556"/>
      <c r="S194" s="556"/>
      <c r="U194" s="627" t="s">
        <v>2106</v>
      </c>
      <c r="V194" s="628"/>
      <c r="W194" s="628"/>
      <c r="X194" s="556"/>
      <c r="Y194" s="556"/>
    </row>
    <row r="195" ht="15.75" customHeight="1">
      <c r="B195" s="226" t="s">
        <v>1203</v>
      </c>
      <c r="C195" s="562" t="s">
        <v>1204</v>
      </c>
      <c r="D195" s="562" t="s">
        <v>1206</v>
      </c>
      <c r="E195" s="562" t="s">
        <v>1207</v>
      </c>
      <c r="F195" s="562" t="s">
        <v>1208</v>
      </c>
      <c r="G195" s="562" t="s">
        <v>129</v>
      </c>
      <c r="I195" s="564" t="s">
        <v>1204</v>
      </c>
      <c r="J195" s="564" t="s">
        <v>1206</v>
      </c>
      <c r="K195" s="564" t="s">
        <v>1207</v>
      </c>
      <c r="L195" s="564" t="s">
        <v>1208</v>
      </c>
      <c r="M195" s="564" t="s">
        <v>129</v>
      </c>
      <c r="O195" s="565" t="s">
        <v>1204</v>
      </c>
      <c r="P195" s="565" t="s">
        <v>1206</v>
      </c>
      <c r="Q195" s="565" t="s">
        <v>1207</v>
      </c>
      <c r="R195" s="565" t="s">
        <v>1208</v>
      </c>
      <c r="S195" s="568" t="s">
        <v>1215</v>
      </c>
      <c r="U195" s="629" t="s">
        <v>2107</v>
      </c>
      <c r="V195" s="629" t="s">
        <v>2108</v>
      </c>
      <c r="W195" s="629" t="s">
        <v>2109</v>
      </c>
      <c r="X195" s="565" t="s">
        <v>2110</v>
      </c>
      <c r="Y195" s="568" t="s">
        <v>2111</v>
      </c>
    </row>
    <row r="196" ht="15.75" customHeight="1">
      <c r="B196" s="569" t="s">
        <v>180</v>
      </c>
      <c r="C196" s="569"/>
      <c r="D196" s="569"/>
      <c r="E196" s="569"/>
      <c r="F196" s="569"/>
      <c r="G196" s="569"/>
      <c r="H196" s="569"/>
      <c r="I196" s="569"/>
      <c r="J196" s="569"/>
      <c r="K196" s="569"/>
      <c r="L196" s="569"/>
      <c r="M196" s="569"/>
      <c r="N196" s="569"/>
      <c r="O196" s="569"/>
      <c r="P196" s="569"/>
      <c r="Q196" s="569"/>
      <c r="R196" s="569"/>
      <c r="S196" s="569"/>
      <c r="T196" s="569"/>
      <c r="U196" s="569"/>
      <c r="V196" s="569"/>
      <c r="W196" s="569"/>
      <c r="X196" s="569"/>
      <c r="Y196" s="569"/>
    </row>
    <row r="197" ht="15.75" customHeight="1">
      <c r="B197" s="577" t="s">
        <v>19</v>
      </c>
      <c r="C197" s="586">
        <v>0.0</v>
      </c>
      <c r="D197" s="586">
        <v>0.0</v>
      </c>
      <c r="E197" s="586">
        <v>5.14</v>
      </c>
      <c r="F197" s="586">
        <v>15.06</v>
      </c>
      <c r="G197" s="588">
        <f t="shared" ref="G197:G202" si="185">SUM(C197:F197)</f>
        <v>20.2</v>
      </c>
      <c r="I197" s="586">
        <v>0.0</v>
      </c>
      <c r="J197" s="586">
        <v>0.0</v>
      </c>
      <c r="K197" s="586">
        <v>5.14</v>
      </c>
      <c r="L197" s="586">
        <v>14.84</v>
      </c>
      <c r="M197" s="588">
        <f t="shared" ref="M197:M202" si="186">SUM(I197:L197)</f>
        <v>19.98</v>
      </c>
      <c r="O197" s="575" t="str">
        <f t="shared" ref="O197:S197" si="184">IFERROR(I197/C197-1,"")</f>
        <v/>
      </c>
      <c r="P197" s="575" t="str">
        <f t="shared" si="184"/>
        <v/>
      </c>
      <c r="Q197" s="575">
        <f t="shared" si="184"/>
        <v>0</v>
      </c>
      <c r="R197" s="575">
        <f t="shared" si="184"/>
        <v>-0.01460823373</v>
      </c>
      <c r="S197" s="575">
        <f t="shared" si="184"/>
        <v>-0.01089108911</v>
      </c>
      <c r="U197" s="630">
        <v>6.93</v>
      </c>
      <c r="V197" s="630">
        <v>18.96</v>
      </c>
      <c r="W197" s="630">
        <v>18.74</v>
      </c>
      <c r="X197" s="631">
        <f t="shared" ref="X197:X202" si="188">IFERROR(W197-V197,"")</f>
        <v>-0.22</v>
      </c>
      <c r="Y197" s="632">
        <f t="shared" ref="Y197:Y209" si="189">IF(ISNUMBER(X197), IFERROR(X197/ABS(V197), 0), "")</f>
        <v>-0.01160337553</v>
      </c>
    </row>
    <row r="198" ht="15.75" customHeight="1">
      <c r="B198" s="577" t="s">
        <v>21</v>
      </c>
      <c r="C198" s="586">
        <v>0.0</v>
      </c>
      <c r="D198" s="586">
        <v>0.0</v>
      </c>
      <c r="E198" s="586">
        <v>5.13</v>
      </c>
      <c r="F198" s="586">
        <v>21.41</v>
      </c>
      <c r="G198" s="588">
        <f t="shared" si="185"/>
        <v>26.54</v>
      </c>
      <c r="I198" s="586">
        <v>0.0</v>
      </c>
      <c r="J198" s="586">
        <v>0.0</v>
      </c>
      <c r="K198" s="586">
        <v>5.13</v>
      </c>
      <c r="L198" s="586">
        <v>20.66</v>
      </c>
      <c r="M198" s="588">
        <f t="shared" si="186"/>
        <v>25.79</v>
      </c>
      <c r="O198" s="575" t="str">
        <f t="shared" ref="O198:S198" si="187">IFERROR(I198/C198-1,"")</f>
        <v/>
      </c>
      <c r="P198" s="575" t="str">
        <f t="shared" si="187"/>
        <v/>
      </c>
      <c r="Q198" s="575">
        <f t="shared" si="187"/>
        <v>0</v>
      </c>
      <c r="R198" s="575">
        <f t="shared" si="187"/>
        <v>-0.03503035965</v>
      </c>
      <c r="S198" s="575">
        <f t="shared" si="187"/>
        <v>-0.02825923135</v>
      </c>
      <c r="U198" s="630">
        <v>14.29</v>
      </c>
      <c r="V198" s="630">
        <v>25.12</v>
      </c>
      <c r="W198" s="630">
        <v>24.37</v>
      </c>
      <c r="X198" s="631">
        <f t="shared" si="188"/>
        <v>-0.75</v>
      </c>
      <c r="Y198" s="632">
        <f t="shared" si="189"/>
        <v>-0.0298566879</v>
      </c>
    </row>
    <row r="199" ht="15.75" customHeight="1">
      <c r="B199" s="577" t="s">
        <v>22</v>
      </c>
      <c r="C199" s="586">
        <v>0.0</v>
      </c>
      <c r="D199" s="586">
        <v>0.0</v>
      </c>
      <c r="E199" s="586">
        <v>6.58</v>
      </c>
      <c r="F199" s="586">
        <v>27.94</v>
      </c>
      <c r="G199" s="588">
        <f t="shared" si="185"/>
        <v>34.52</v>
      </c>
      <c r="I199" s="586">
        <v>0.0</v>
      </c>
      <c r="J199" s="586">
        <v>0.0</v>
      </c>
      <c r="K199" s="586">
        <v>6.58</v>
      </c>
      <c r="L199" s="586">
        <v>27.35</v>
      </c>
      <c r="M199" s="588">
        <f t="shared" si="186"/>
        <v>33.93</v>
      </c>
      <c r="O199" s="575" t="str">
        <f t="shared" ref="O199:S199" si="190">IFERROR(I199/C199-1,"")</f>
        <v/>
      </c>
      <c r="P199" s="575" t="str">
        <f t="shared" si="190"/>
        <v/>
      </c>
      <c r="Q199" s="575">
        <f t="shared" si="190"/>
        <v>0</v>
      </c>
      <c r="R199" s="575">
        <f t="shared" si="190"/>
        <v>-0.0211166786</v>
      </c>
      <c r="S199" s="575">
        <f t="shared" si="190"/>
        <v>-0.01709154114</v>
      </c>
      <c r="U199" s="630">
        <v>21.32</v>
      </c>
      <c r="V199" s="630">
        <v>29.92</v>
      </c>
      <c r="W199" s="630">
        <v>29.33</v>
      </c>
      <c r="X199" s="631">
        <f t="shared" si="188"/>
        <v>-0.59</v>
      </c>
      <c r="Y199" s="632">
        <f t="shared" si="189"/>
        <v>-0.01971925134</v>
      </c>
    </row>
    <row r="200" ht="15.75" customHeight="1">
      <c r="B200" s="577" t="s">
        <v>24</v>
      </c>
      <c r="C200" s="586">
        <v>0.0</v>
      </c>
      <c r="D200" s="586">
        <v>0.0</v>
      </c>
      <c r="E200" s="586">
        <v>8.41</v>
      </c>
      <c r="F200" s="586">
        <v>36.3</v>
      </c>
      <c r="G200" s="588">
        <f t="shared" si="185"/>
        <v>44.71</v>
      </c>
      <c r="I200" s="586">
        <v>0.0</v>
      </c>
      <c r="J200" s="586">
        <v>0.0</v>
      </c>
      <c r="K200" s="586">
        <v>8.41</v>
      </c>
      <c r="L200" s="586">
        <v>35.69</v>
      </c>
      <c r="M200" s="588">
        <f t="shared" si="186"/>
        <v>44.1</v>
      </c>
      <c r="O200" s="575" t="str">
        <f t="shared" ref="O200:S200" si="191">IFERROR(I200/C200-1,"")</f>
        <v/>
      </c>
      <c r="P200" s="575" t="str">
        <f t="shared" si="191"/>
        <v/>
      </c>
      <c r="Q200" s="575">
        <f t="shared" si="191"/>
        <v>0</v>
      </c>
      <c r="R200" s="575">
        <f t="shared" si="191"/>
        <v>-0.01680440771</v>
      </c>
      <c r="S200" s="575">
        <f t="shared" si="191"/>
        <v>-0.01364348021</v>
      </c>
      <c r="U200" s="630">
        <v>32.68</v>
      </c>
      <c r="V200" s="630">
        <v>33.35</v>
      </c>
      <c r="W200" s="630">
        <v>32.74</v>
      </c>
      <c r="X200" s="631">
        <f t="shared" si="188"/>
        <v>-0.61</v>
      </c>
      <c r="Y200" s="632">
        <f t="shared" si="189"/>
        <v>-0.01829085457</v>
      </c>
    </row>
    <row r="201" ht="15.75" customHeight="1">
      <c r="B201" s="577" t="s">
        <v>26</v>
      </c>
      <c r="C201" s="586">
        <v>0.0</v>
      </c>
      <c r="D201" s="586">
        <v>0.0</v>
      </c>
      <c r="E201" s="586">
        <v>3.64</v>
      </c>
      <c r="F201" s="586">
        <v>42.27</v>
      </c>
      <c r="G201" s="588">
        <f t="shared" si="185"/>
        <v>45.91</v>
      </c>
      <c r="I201" s="586">
        <v>0.0</v>
      </c>
      <c r="J201" s="586">
        <v>0.0</v>
      </c>
      <c r="K201" s="586">
        <v>3.64</v>
      </c>
      <c r="L201" s="586">
        <v>42.16</v>
      </c>
      <c r="M201" s="588">
        <f t="shared" si="186"/>
        <v>45.8</v>
      </c>
      <c r="O201" s="575" t="str">
        <f t="shared" ref="O201:S201" si="192">IFERROR(I201/C201-1,"")</f>
        <v/>
      </c>
      <c r="P201" s="575" t="str">
        <f t="shared" si="192"/>
        <v/>
      </c>
      <c r="Q201" s="575">
        <f t="shared" si="192"/>
        <v>0</v>
      </c>
      <c r="R201" s="575">
        <f t="shared" si="192"/>
        <v>-0.002602318429</v>
      </c>
      <c r="S201" s="575">
        <f t="shared" si="192"/>
        <v>-0.002395992159</v>
      </c>
      <c r="U201" s="630">
        <v>44.04</v>
      </c>
      <c r="V201" s="630">
        <v>27.67</v>
      </c>
      <c r="W201" s="630">
        <v>27.56</v>
      </c>
      <c r="X201" s="631">
        <f t="shared" si="188"/>
        <v>-0.11</v>
      </c>
      <c r="Y201" s="632">
        <f t="shared" si="189"/>
        <v>-0.003975424648</v>
      </c>
    </row>
    <row r="202" ht="15.75" customHeight="1">
      <c r="B202" s="603" t="s">
        <v>1628</v>
      </c>
      <c r="C202" s="604">
        <v>0.0</v>
      </c>
      <c r="D202" s="604">
        <v>0.0</v>
      </c>
      <c r="E202" s="604">
        <v>5.72</v>
      </c>
      <c r="F202" s="604">
        <v>21.48</v>
      </c>
      <c r="G202" s="605">
        <f t="shared" si="185"/>
        <v>27.2</v>
      </c>
      <c r="I202" s="604">
        <v>0.0</v>
      </c>
      <c r="J202" s="604">
        <v>0.0</v>
      </c>
      <c r="K202" s="604">
        <v>5.72</v>
      </c>
      <c r="L202" s="604">
        <v>21.02</v>
      </c>
      <c r="M202" s="605">
        <f t="shared" si="186"/>
        <v>26.74</v>
      </c>
      <c r="O202" s="606" t="str">
        <f t="shared" ref="O202:S202" si="193">IFERROR(I202/C202-1,"")</f>
        <v/>
      </c>
      <c r="P202" s="606" t="str">
        <f t="shared" si="193"/>
        <v/>
      </c>
      <c r="Q202" s="606">
        <f t="shared" si="193"/>
        <v>0</v>
      </c>
      <c r="R202" s="606">
        <f t="shared" si="193"/>
        <v>-0.02141527002</v>
      </c>
      <c r="S202" s="606">
        <f t="shared" si="193"/>
        <v>-0.01691176471</v>
      </c>
      <c r="U202" s="633">
        <v>19.19</v>
      </c>
      <c r="V202" s="633">
        <v>26.82</v>
      </c>
      <c r="W202" s="633">
        <v>26.28</v>
      </c>
      <c r="X202" s="634">
        <f t="shared" si="188"/>
        <v>-0.54</v>
      </c>
      <c r="Y202" s="635">
        <f t="shared" si="189"/>
        <v>-0.02013422819</v>
      </c>
    </row>
    <row r="203" ht="15.75" customHeight="1">
      <c r="B203" s="569" t="s">
        <v>1192</v>
      </c>
      <c r="C203" s="569"/>
      <c r="D203" s="569"/>
      <c r="E203" s="569"/>
      <c r="F203" s="569"/>
      <c r="G203" s="569"/>
      <c r="H203" s="569"/>
      <c r="I203" s="569"/>
      <c r="J203" s="569"/>
      <c r="K203" s="569"/>
      <c r="L203" s="569"/>
      <c r="M203" s="569"/>
      <c r="N203" s="569"/>
      <c r="O203" s="569"/>
      <c r="P203" s="569"/>
      <c r="Q203" s="569"/>
      <c r="R203" s="569"/>
      <c r="S203" s="569"/>
      <c r="T203" s="569"/>
      <c r="U203" s="569"/>
      <c r="V203" s="569"/>
      <c r="W203" s="569"/>
      <c r="X203" s="569"/>
      <c r="Y203" s="636" t="str">
        <f t="shared" si="189"/>
        <v/>
      </c>
    </row>
    <row r="204" ht="15.75" customHeight="1">
      <c r="B204" s="577" t="s">
        <v>19</v>
      </c>
      <c r="C204" s="586">
        <v>0.0</v>
      </c>
      <c r="D204" s="586">
        <v>0.0</v>
      </c>
      <c r="E204" s="586">
        <v>10.8</v>
      </c>
      <c r="F204" s="586">
        <v>17.86</v>
      </c>
      <c r="G204" s="588">
        <f t="shared" ref="G204:G209" si="195">SUM(C204:F204)</f>
        <v>28.66</v>
      </c>
      <c r="I204" s="586">
        <v>0.0</v>
      </c>
      <c r="J204" s="586">
        <v>0.0</v>
      </c>
      <c r="K204" s="586">
        <v>10.8</v>
      </c>
      <c r="L204" s="586">
        <v>17.72</v>
      </c>
      <c r="M204" s="588">
        <f t="shared" ref="M204:M209" si="196">SUM(I204:L204)</f>
        <v>28.52</v>
      </c>
      <c r="O204" s="575" t="str">
        <f t="shared" ref="O204:S204" si="194">IFERROR(I204/C204-1,"")</f>
        <v/>
      </c>
      <c r="P204" s="575" t="str">
        <f t="shared" si="194"/>
        <v/>
      </c>
      <c r="Q204" s="575">
        <f t="shared" si="194"/>
        <v>0</v>
      </c>
      <c r="R204" s="575">
        <f t="shared" si="194"/>
        <v>-0.007838745801</v>
      </c>
      <c r="S204" s="575">
        <f t="shared" si="194"/>
        <v>-0.004884856943</v>
      </c>
      <c r="U204" s="630">
        <v>16.96</v>
      </c>
      <c r="V204" s="630">
        <v>22.19</v>
      </c>
      <c r="W204" s="630">
        <v>22.05</v>
      </c>
      <c r="X204" s="631">
        <f t="shared" ref="X204:X209" si="198">IFERROR(W204-V204,"")</f>
        <v>-0.14</v>
      </c>
      <c r="Y204" s="632">
        <f t="shared" si="189"/>
        <v>-0.006309148265</v>
      </c>
    </row>
    <row r="205" ht="15.75" customHeight="1">
      <c r="B205" s="577" t="s">
        <v>21</v>
      </c>
      <c r="C205" s="586">
        <v>0.0</v>
      </c>
      <c r="D205" s="586">
        <v>0.0</v>
      </c>
      <c r="E205" s="586">
        <v>6.54</v>
      </c>
      <c r="F205" s="586">
        <v>27.25</v>
      </c>
      <c r="G205" s="588">
        <f t="shared" si="195"/>
        <v>33.79</v>
      </c>
      <c r="I205" s="586">
        <v>0.0</v>
      </c>
      <c r="J205" s="586">
        <v>0.0</v>
      </c>
      <c r="K205" s="586">
        <v>6.54</v>
      </c>
      <c r="L205" s="586">
        <v>27.03</v>
      </c>
      <c r="M205" s="588">
        <f t="shared" si="196"/>
        <v>33.57</v>
      </c>
      <c r="O205" s="575" t="str">
        <f t="shared" ref="O205:S205" si="197">IFERROR(I205/C205-1,"")</f>
        <v/>
      </c>
      <c r="P205" s="575" t="str">
        <f t="shared" si="197"/>
        <v/>
      </c>
      <c r="Q205" s="575">
        <f t="shared" si="197"/>
        <v>0</v>
      </c>
      <c r="R205" s="575">
        <f t="shared" si="197"/>
        <v>-0.008073394495</v>
      </c>
      <c r="S205" s="575">
        <f t="shared" si="197"/>
        <v>-0.006510802012</v>
      </c>
      <c r="U205" s="630">
        <v>35.06</v>
      </c>
      <c r="V205" s="630">
        <v>23.65</v>
      </c>
      <c r="W205" s="630">
        <v>23.43</v>
      </c>
      <c r="X205" s="631">
        <f t="shared" si="198"/>
        <v>-0.22</v>
      </c>
      <c r="Y205" s="632">
        <f t="shared" si="189"/>
        <v>-0.009302325581</v>
      </c>
    </row>
    <row r="206" ht="15.75" customHeight="1">
      <c r="B206" s="577" t="s">
        <v>22</v>
      </c>
      <c r="C206" s="586">
        <v>0.0</v>
      </c>
      <c r="D206" s="586">
        <v>0.0</v>
      </c>
      <c r="E206" s="586">
        <v>5.59</v>
      </c>
      <c r="F206" s="586">
        <v>36.19</v>
      </c>
      <c r="G206" s="588">
        <f t="shared" si="195"/>
        <v>41.78</v>
      </c>
      <c r="I206" s="586">
        <v>0.0</v>
      </c>
      <c r="J206" s="586">
        <v>0.0</v>
      </c>
      <c r="K206" s="586">
        <v>5.59</v>
      </c>
      <c r="L206" s="586">
        <v>35.71</v>
      </c>
      <c r="M206" s="588">
        <f t="shared" si="196"/>
        <v>41.3</v>
      </c>
      <c r="O206" s="575" t="str">
        <f t="shared" ref="O206:S206" si="199">IFERROR(I206/C206-1,"")</f>
        <v/>
      </c>
      <c r="P206" s="575" t="str">
        <f t="shared" si="199"/>
        <v/>
      </c>
      <c r="Q206" s="575">
        <f t="shared" si="199"/>
        <v>0</v>
      </c>
      <c r="R206" s="575">
        <f t="shared" si="199"/>
        <v>-0.01326333241</v>
      </c>
      <c r="S206" s="575">
        <f t="shared" si="199"/>
        <v>-0.0114887506</v>
      </c>
      <c r="U206" s="630">
        <v>48.61</v>
      </c>
      <c r="V206" s="630">
        <v>25.27</v>
      </c>
      <c r="W206" s="630">
        <v>24.79</v>
      </c>
      <c r="X206" s="631">
        <f t="shared" si="198"/>
        <v>-0.48</v>
      </c>
      <c r="Y206" s="632">
        <f t="shared" si="189"/>
        <v>-0.01899485556</v>
      </c>
    </row>
    <row r="207" ht="15.75" customHeight="1">
      <c r="B207" s="577" t="s">
        <v>24</v>
      </c>
      <c r="C207" s="586">
        <v>0.0</v>
      </c>
      <c r="D207" s="586">
        <v>0.0</v>
      </c>
      <c r="E207" s="586">
        <v>11.68</v>
      </c>
      <c r="F207" s="586">
        <v>49.76</v>
      </c>
      <c r="G207" s="588">
        <f t="shared" si="195"/>
        <v>61.44</v>
      </c>
      <c r="I207" s="586">
        <v>0.0</v>
      </c>
      <c r="J207" s="586">
        <v>0.0</v>
      </c>
      <c r="K207" s="586">
        <v>11.68</v>
      </c>
      <c r="L207" s="586">
        <v>49.59</v>
      </c>
      <c r="M207" s="588">
        <f t="shared" si="196"/>
        <v>61.27</v>
      </c>
      <c r="O207" s="575" t="str">
        <f t="shared" ref="O207:S207" si="200">IFERROR(I207/C207-1,"")</f>
        <v/>
      </c>
      <c r="P207" s="575" t="str">
        <f t="shared" si="200"/>
        <v/>
      </c>
      <c r="Q207" s="575">
        <f t="shared" si="200"/>
        <v>0</v>
      </c>
      <c r="R207" s="575">
        <f t="shared" si="200"/>
        <v>-0.003416398714</v>
      </c>
      <c r="S207" s="575">
        <f t="shared" si="200"/>
        <v>-0.002766927083</v>
      </c>
      <c r="U207" s="630">
        <v>68.64</v>
      </c>
      <c r="V207" s="630">
        <v>29.12</v>
      </c>
      <c r="W207" s="630">
        <v>28.95</v>
      </c>
      <c r="X207" s="631">
        <f t="shared" si="198"/>
        <v>-0.17</v>
      </c>
      <c r="Y207" s="632">
        <f t="shared" si="189"/>
        <v>-0.005837912088</v>
      </c>
    </row>
    <row r="208" ht="15.75" customHeight="1">
      <c r="B208" s="577" t="s">
        <v>26</v>
      </c>
      <c r="C208" s="586">
        <v>0.0</v>
      </c>
      <c r="D208" s="586">
        <v>0.0</v>
      </c>
      <c r="E208" s="586">
        <v>4.43</v>
      </c>
      <c r="F208" s="586">
        <v>51.71</v>
      </c>
      <c r="G208" s="588">
        <f t="shared" si="195"/>
        <v>56.14</v>
      </c>
      <c r="I208" s="586">
        <v>0.0</v>
      </c>
      <c r="J208" s="586">
        <v>0.0</v>
      </c>
      <c r="K208" s="586">
        <v>4.43</v>
      </c>
      <c r="L208" s="586">
        <v>51.66</v>
      </c>
      <c r="M208" s="588">
        <f t="shared" si="196"/>
        <v>56.09</v>
      </c>
      <c r="O208" s="575" t="str">
        <f t="shared" ref="O208:S208" si="201">IFERROR(I208/C208-1,"")</f>
        <v/>
      </c>
      <c r="P208" s="575" t="str">
        <f t="shared" si="201"/>
        <v/>
      </c>
      <c r="Q208" s="575">
        <f t="shared" si="201"/>
        <v>0</v>
      </c>
      <c r="R208" s="575">
        <f t="shared" si="201"/>
        <v>-0.0009669309611</v>
      </c>
      <c r="S208" s="575">
        <f t="shared" si="201"/>
        <v>-0.0008906305664</v>
      </c>
      <c r="U208" s="630">
        <v>78.55</v>
      </c>
      <c r="V208" s="630">
        <v>19.2</v>
      </c>
      <c r="W208" s="630">
        <v>19.15</v>
      </c>
      <c r="X208" s="631">
        <f t="shared" si="198"/>
        <v>-0.05</v>
      </c>
      <c r="Y208" s="632">
        <f t="shared" si="189"/>
        <v>-0.002604166667</v>
      </c>
    </row>
    <row r="209" ht="15.75" customHeight="1">
      <c r="B209" s="603" t="s">
        <v>1628</v>
      </c>
      <c r="C209" s="604">
        <v>0.0</v>
      </c>
      <c r="D209" s="604">
        <v>0.0</v>
      </c>
      <c r="E209" s="604">
        <v>8.75</v>
      </c>
      <c r="F209" s="604">
        <v>29.11</v>
      </c>
      <c r="G209" s="605">
        <f t="shared" si="195"/>
        <v>37.86</v>
      </c>
      <c r="I209" s="604">
        <v>0.0</v>
      </c>
      <c r="J209" s="604">
        <v>0.0</v>
      </c>
      <c r="K209" s="604">
        <v>8.75</v>
      </c>
      <c r="L209" s="604">
        <v>28.89</v>
      </c>
      <c r="M209" s="605">
        <f t="shared" si="196"/>
        <v>37.64</v>
      </c>
      <c r="O209" s="606" t="str">
        <f t="shared" ref="O209:S209" si="202">IFERROR(I209/C209-1,"")</f>
        <v/>
      </c>
      <c r="P209" s="606" t="str">
        <f t="shared" si="202"/>
        <v/>
      </c>
      <c r="Q209" s="606">
        <f t="shared" si="202"/>
        <v>0</v>
      </c>
      <c r="R209" s="606">
        <f t="shared" si="202"/>
        <v>-0.007557540364</v>
      </c>
      <c r="S209" s="606">
        <f t="shared" si="202"/>
        <v>-0.005810882198</v>
      </c>
      <c r="U209" s="633">
        <v>39.21</v>
      </c>
      <c r="V209" s="633">
        <v>24.33</v>
      </c>
      <c r="W209" s="633">
        <v>24.09</v>
      </c>
      <c r="X209" s="634">
        <f t="shared" si="198"/>
        <v>-0.24</v>
      </c>
      <c r="Y209" s="635">
        <f t="shared" si="189"/>
        <v>-0.009864364982</v>
      </c>
    </row>
    <row r="210" ht="15.75" customHeight="1"/>
    <row r="211" ht="15.75" customHeight="1"/>
    <row r="212" ht="15.75" customHeight="1">
      <c r="B212" s="545" t="s">
        <v>2253</v>
      </c>
      <c r="C212" s="545"/>
      <c r="D212" s="545"/>
      <c r="E212" s="545"/>
      <c r="F212" s="545"/>
      <c r="G212" s="545"/>
      <c r="H212" s="545"/>
      <c r="I212" s="545"/>
      <c r="J212" s="545"/>
      <c r="K212" s="545"/>
      <c r="L212" s="545"/>
      <c r="M212" s="545"/>
      <c r="N212" s="545"/>
      <c r="O212" s="545"/>
      <c r="P212" s="545"/>
      <c r="Q212" s="545"/>
      <c r="R212" s="545"/>
      <c r="S212" s="545"/>
      <c r="T212" s="545"/>
      <c r="U212" s="545"/>
      <c r="V212" s="545"/>
      <c r="W212" s="545"/>
      <c r="X212" s="545"/>
      <c r="Y212" s="545"/>
    </row>
    <row r="213" ht="15.75" customHeight="1">
      <c r="C213" s="626" t="s">
        <v>2104</v>
      </c>
      <c r="D213" s="550"/>
      <c r="E213" s="550"/>
      <c r="F213" s="550"/>
      <c r="G213" s="550"/>
      <c r="I213" s="551" t="s">
        <v>2105</v>
      </c>
      <c r="J213" s="552"/>
      <c r="K213" s="552"/>
      <c r="L213" s="552"/>
      <c r="M213" s="552"/>
      <c r="O213" s="554" t="s">
        <v>1197</v>
      </c>
      <c r="P213" s="556"/>
      <c r="Q213" s="556"/>
      <c r="R213" s="556"/>
      <c r="S213" s="556"/>
      <c r="U213" s="627" t="s">
        <v>2106</v>
      </c>
      <c r="V213" s="628"/>
      <c r="W213" s="628"/>
      <c r="X213" s="556"/>
      <c r="Y213" s="556"/>
    </row>
    <row r="214" ht="15.75" customHeight="1">
      <c r="B214" s="226" t="s">
        <v>1203</v>
      </c>
      <c r="C214" s="562" t="s">
        <v>1204</v>
      </c>
      <c r="D214" s="562" t="s">
        <v>1206</v>
      </c>
      <c r="E214" s="562" t="s">
        <v>1207</v>
      </c>
      <c r="F214" s="562" t="s">
        <v>1208</v>
      </c>
      <c r="G214" s="562" t="s">
        <v>129</v>
      </c>
      <c r="I214" s="564" t="s">
        <v>1204</v>
      </c>
      <c r="J214" s="564" t="s">
        <v>1206</v>
      </c>
      <c r="K214" s="564" t="s">
        <v>1207</v>
      </c>
      <c r="L214" s="564" t="s">
        <v>1208</v>
      </c>
      <c r="M214" s="564" t="s">
        <v>129</v>
      </c>
      <c r="O214" s="565" t="s">
        <v>1204</v>
      </c>
      <c r="P214" s="565" t="s">
        <v>1206</v>
      </c>
      <c r="Q214" s="565" t="s">
        <v>1207</v>
      </c>
      <c r="R214" s="565" t="s">
        <v>1208</v>
      </c>
      <c r="S214" s="568" t="s">
        <v>1215</v>
      </c>
      <c r="U214" s="629" t="s">
        <v>2107</v>
      </c>
      <c r="V214" s="629" t="s">
        <v>2108</v>
      </c>
      <c r="W214" s="629" t="s">
        <v>2109</v>
      </c>
      <c r="X214" s="565" t="s">
        <v>2110</v>
      </c>
      <c r="Y214" s="568" t="s">
        <v>2111</v>
      </c>
    </row>
    <row r="215" ht="15.75" customHeight="1">
      <c r="B215" s="569" t="s">
        <v>180</v>
      </c>
      <c r="C215" s="569"/>
      <c r="D215" s="569"/>
      <c r="E215" s="569"/>
      <c r="F215" s="569"/>
      <c r="G215" s="569"/>
      <c r="H215" s="569"/>
      <c r="I215" s="569"/>
      <c r="J215" s="569"/>
      <c r="K215" s="569"/>
      <c r="L215" s="569"/>
      <c r="M215" s="569"/>
      <c r="N215" s="569"/>
      <c r="O215" s="569"/>
      <c r="P215" s="569"/>
      <c r="Q215" s="569"/>
      <c r="R215" s="569"/>
      <c r="S215" s="569"/>
      <c r="T215" s="569"/>
      <c r="U215" s="569"/>
      <c r="V215" s="569"/>
      <c r="W215" s="569"/>
      <c r="X215" s="569"/>
      <c r="Y215" s="569"/>
    </row>
    <row r="216" ht="15.75" customHeight="1">
      <c r="B216" s="577" t="s">
        <v>19</v>
      </c>
      <c r="C216" s="586">
        <v>0.0</v>
      </c>
      <c r="D216" s="586">
        <v>1.67</v>
      </c>
      <c r="E216" s="586">
        <v>113.7</v>
      </c>
      <c r="F216" s="586">
        <v>109.27</v>
      </c>
      <c r="G216" s="588">
        <f t="shared" ref="G216:G221" si="204">SUM(C216:F216)</f>
        <v>224.64</v>
      </c>
      <c r="I216" s="586">
        <v>0.0</v>
      </c>
      <c r="J216" s="586">
        <v>1.67</v>
      </c>
      <c r="K216" s="586">
        <v>113.7</v>
      </c>
      <c r="L216" s="586">
        <v>110.49</v>
      </c>
      <c r="M216" s="588">
        <f t="shared" ref="M216:M221" si="205">SUM(I216:L216)</f>
        <v>225.86</v>
      </c>
      <c r="O216" s="575" t="str">
        <f t="shared" ref="O216:S216" si="203">IFERROR(I216/C216-1,"")</f>
        <v/>
      </c>
      <c r="P216" s="575">
        <f t="shared" si="203"/>
        <v>0</v>
      </c>
      <c r="Q216" s="575">
        <f t="shared" si="203"/>
        <v>0</v>
      </c>
      <c r="R216" s="575">
        <f t="shared" si="203"/>
        <v>0.01116500412</v>
      </c>
      <c r="S216" s="575">
        <f t="shared" si="203"/>
        <v>0.005430911681</v>
      </c>
      <c r="U216" s="630">
        <v>0.0</v>
      </c>
      <c r="V216" s="630">
        <v>327.56</v>
      </c>
      <c r="W216" s="630">
        <v>328.78</v>
      </c>
      <c r="X216" s="631">
        <f t="shared" ref="X216:X221" si="207">IFERROR(W216-V216,"")</f>
        <v>1.22</v>
      </c>
      <c r="Y216" s="632">
        <f t="shared" ref="Y216:Y228" si="208">IF(ISNUMBER(X216), IFERROR(X216/ABS(V216), 0), "")</f>
        <v>0.003724508487</v>
      </c>
    </row>
    <row r="217" ht="15.75" customHeight="1">
      <c r="B217" s="577" t="s">
        <v>21</v>
      </c>
      <c r="C217" s="586">
        <v>0.0</v>
      </c>
      <c r="D217" s="586">
        <v>2.01</v>
      </c>
      <c r="E217" s="586">
        <v>161.87</v>
      </c>
      <c r="F217" s="586">
        <v>137.87</v>
      </c>
      <c r="G217" s="588">
        <f t="shared" si="204"/>
        <v>301.75</v>
      </c>
      <c r="I217" s="586">
        <v>0.0</v>
      </c>
      <c r="J217" s="586">
        <v>2.01</v>
      </c>
      <c r="K217" s="586">
        <v>161.87</v>
      </c>
      <c r="L217" s="586">
        <v>139.54</v>
      </c>
      <c r="M217" s="588">
        <f t="shared" si="205"/>
        <v>303.42</v>
      </c>
      <c r="O217" s="575" t="str">
        <f t="shared" ref="O217:S217" si="206">IFERROR(I217/C217-1,"")</f>
        <v/>
      </c>
      <c r="P217" s="575">
        <f t="shared" si="206"/>
        <v>0</v>
      </c>
      <c r="Q217" s="575">
        <f t="shared" si="206"/>
        <v>0</v>
      </c>
      <c r="R217" s="575">
        <f t="shared" si="206"/>
        <v>0.01211285994</v>
      </c>
      <c r="S217" s="575">
        <f t="shared" si="206"/>
        <v>0.005534382767</v>
      </c>
      <c r="U217" s="630">
        <v>0.01</v>
      </c>
      <c r="V217" s="630">
        <v>476.25</v>
      </c>
      <c r="W217" s="630">
        <v>477.92</v>
      </c>
      <c r="X217" s="631">
        <f t="shared" si="207"/>
        <v>1.67</v>
      </c>
      <c r="Y217" s="632">
        <f t="shared" si="208"/>
        <v>0.00350656168</v>
      </c>
    </row>
    <row r="218" ht="15.75" customHeight="1">
      <c r="B218" s="577" t="s">
        <v>22</v>
      </c>
      <c r="C218" s="586">
        <v>0.0</v>
      </c>
      <c r="D218" s="586">
        <v>2.53</v>
      </c>
      <c r="E218" s="586">
        <v>292.06</v>
      </c>
      <c r="F218" s="586">
        <v>196.01</v>
      </c>
      <c r="G218" s="588">
        <f t="shared" si="204"/>
        <v>490.6</v>
      </c>
      <c r="I218" s="586">
        <v>0.0</v>
      </c>
      <c r="J218" s="586">
        <v>2.53</v>
      </c>
      <c r="K218" s="586">
        <v>292.06</v>
      </c>
      <c r="L218" s="586">
        <v>197.94</v>
      </c>
      <c r="M218" s="588">
        <f t="shared" si="205"/>
        <v>492.53</v>
      </c>
      <c r="O218" s="575" t="str">
        <f t="shared" ref="O218:S218" si="209">IFERROR(I218/C218-1,"")</f>
        <v/>
      </c>
      <c r="P218" s="575">
        <f t="shared" si="209"/>
        <v>0</v>
      </c>
      <c r="Q218" s="575">
        <f t="shared" si="209"/>
        <v>0</v>
      </c>
      <c r="R218" s="575">
        <f t="shared" si="209"/>
        <v>0.009846436406</v>
      </c>
      <c r="S218" s="575">
        <f t="shared" si="209"/>
        <v>0.003933958418</v>
      </c>
      <c r="U218" s="630">
        <v>0.01</v>
      </c>
      <c r="V218" s="630">
        <v>821.88</v>
      </c>
      <c r="W218" s="630">
        <v>823.81</v>
      </c>
      <c r="X218" s="631">
        <f t="shared" si="207"/>
        <v>1.93</v>
      </c>
      <c r="Y218" s="632">
        <f t="shared" si="208"/>
        <v>0.002348274687</v>
      </c>
    </row>
    <row r="219" ht="15.75" customHeight="1">
      <c r="B219" s="577" t="s">
        <v>24</v>
      </c>
      <c r="C219" s="586">
        <v>0.0</v>
      </c>
      <c r="D219" s="586">
        <v>3.6</v>
      </c>
      <c r="E219" s="586">
        <v>650.84</v>
      </c>
      <c r="F219" s="586">
        <v>307.76</v>
      </c>
      <c r="G219" s="588">
        <f t="shared" si="204"/>
        <v>962.2</v>
      </c>
      <c r="I219" s="586">
        <v>0.0</v>
      </c>
      <c r="J219" s="586">
        <v>3.6</v>
      </c>
      <c r="K219" s="586">
        <v>650.84</v>
      </c>
      <c r="L219" s="586">
        <v>309.96</v>
      </c>
      <c r="M219" s="588">
        <f t="shared" si="205"/>
        <v>964.4</v>
      </c>
      <c r="O219" s="575" t="str">
        <f t="shared" ref="O219:S219" si="210">IFERROR(I219/C219-1,"")</f>
        <v/>
      </c>
      <c r="P219" s="575">
        <f t="shared" si="210"/>
        <v>0</v>
      </c>
      <c r="Q219" s="575">
        <f t="shared" si="210"/>
        <v>0</v>
      </c>
      <c r="R219" s="575">
        <f t="shared" si="210"/>
        <v>0.007148427346</v>
      </c>
      <c r="S219" s="575">
        <f t="shared" si="210"/>
        <v>0.002286426938</v>
      </c>
      <c r="U219" s="630">
        <v>0.02</v>
      </c>
      <c r="V219" s="630">
        <v>1547.68</v>
      </c>
      <c r="W219" s="630">
        <v>1549.88</v>
      </c>
      <c r="X219" s="631">
        <f t="shared" si="207"/>
        <v>2.2</v>
      </c>
      <c r="Y219" s="632">
        <f t="shared" si="208"/>
        <v>0.001421482477</v>
      </c>
    </row>
    <row r="220" ht="15.75" customHeight="1">
      <c r="B220" s="577" t="s">
        <v>26</v>
      </c>
      <c r="C220" s="586">
        <v>0.0</v>
      </c>
      <c r="D220" s="586">
        <v>4.3</v>
      </c>
      <c r="E220" s="586">
        <v>1222.13</v>
      </c>
      <c r="F220" s="586">
        <v>362.94</v>
      </c>
      <c r="G220" s="588">
        <f t="shared" si="204"/>
        <v>1589.37</v>
      </c>
      <c r="I220" s="586">
        <v>0.0</v>
      </c>
      <c r="J220" s="586">
        <v>4.3</v>
      </c>
      <c r="K220" s="586">
        <v>1222.13</v>
      </c>
      <c r="L220" s="586">
        <v>365.54</v>
      </c>
      <c r="M220" s="588">
        <f t="shared" si="205"/>
        <v>1591.97</v>
      </c>
      <c r="O220" s="575" t="str">
        <f t="shared" ref="O220:S220" si="211">IFERROR(I220/C220-1,"")</f>
        <v/>
      </c>
      <c r="P220" s="575">
        <f t="shared" si="211"/>
        <v>0</v>
      </c>
      <c r="Q220" s="575">
        <f t="shared" si="211"/>
        <v>0</v>
      </c>
      <c r="R220" s="575">
        <f t="shared" si="211"/>
        <v>0.007163718521</v>
      </c>
      <c r="S220" s="575">
        <f t="shared" si="211"/>
        <v>0.0016358683</v>
      </c>
      <c r="U220" s="630">
        <v>0.07</v>
      </c>
      <c r="V220" s="630">
        <v>2638.78</v>
      </c>
      <c r="W220" s="630">
        <v>2641.38</v>
      </c>
      <c r="X220" s="631">
        <f t="shared" si="207"/>
        <v>2.6</v>
      </c>
      <c r="Y220" s="632">
        <f t="shared" si="208"/>
        <v>0.0009853038146</v>
      </c>
    </row>
    <row r="221" ht="15.75" customHeight="1">
      <c r="B221" s="603" t="s">
        <v>1628</v>
      </c>
      <c r="C221" s="604">
        <v>0.0</v>
      </c>
      <c r="D221" s="604">
        <v>2.14</v>
      </c>
      <c r="E221" s="604">
        <v>225.59</v>
      </c>
      <c r="F221" s="604">
        <v>155.4</v>
      </c>
      <c r="G221" s="605">
        <f t="shared" si="204"/>
        <v>383.13</v>
      </c>
      <c r="I221" s="604">
        <v>0.0</v>
      </c>
      <c r="J221" s="604">
        <v>2.14</v>
      </c>
      <c r="K221" s="604">
        <v>225.59</v>
      </c>
      <c r="L221" s="604">
        <v>156.97</v>
      </c>
      <c r="M221" s="605">
        <f t="shared" si="205"/>
        <v>384.7</v>
      </c>
      <c r="O221" s="606" t="str">
        <f t="shared" ref="O221:S221" si="212">IFERROR(I221/C221-1,"")</f>
        <v/>
      </c>
      <c r="P221" s="606">
        <f t="shared" si="212"/>
        <v>0</v>
      </c>
      <c r="Q221" s="606">
        <f t="shared" si="212"/>
        <v>0</v>
      </c>
      <c r="R221" s="606">
        <f t="shared" si="212"/>
        <v>0.0101029601</v>
      </c>
      <c r="S221" s="606">
        <f t="shared" si="212"/>
        <v>0.004097825803</v>
      </c>
      <c r="U221" s="633">
        <v>0.01</v>
      </c>
      <c r="V221" s="633">
        <v>691.49</v>
      </c>
      <c r="W221" s="633">
        <v>693.18</v>
      </c>
      <c r="X221" s="634">
        <f t="shared" si="207"/>
        <v>1.69</v>
      </c>
      <c r="Y221" s="635">
        <f t="shared" si="208"/>
        <v>0.002443997744</v>
      </c>
    </row>
    <row r="222" ht="15.75" customHeight="1">
      <c r="B222" s="569" t="s">
        <v>1192</v>
      </c>
      <c r="C222" s="569"/>
      <c r="D222" s="569"/>
      <c r="E222" s="569"/>
      <c r="F222" s="569"/>
      <c r="G222" s="569"/>
      <c r="H222" s="569"/>
      <c r="I222" s="569"/>
      <c r="J222" s="569"/>
      <c r="K222" s="569"/>
      <c r="L222" s="569"/>
      <c r="M222" s="569"/>
      <c r="N222" s="569"/>
      <c r="O222" s="569"/>
      <c r="P222" s="569"/>
      <c r="Q222" s="569"/>
      <c r="R222" s="569"/>
      <c r="S222" s="569"/>
      <c r="T222" s="569"/>
      <c r="U222" s="569"/>
      <c r="V222" s="569"/>
      <c r="W222" s="569"/>
      <c r="X222" s="569"/>
      <c r="Y222" s="636" t="str">
        <f t="shared" si="208"/>
        <v/>
      </c>
    </row>
    <row r="223" ht="15.75" customHeight="1">
      <c r="B223" s="577" t="s">
        <v>19</v>
      </c>
      <c r="C223" s="586">
        <v>0.0</v>
      </c>
      <c r="D223" s="586">
        <v>8.37</v>
      </c>
      <c r="E223" s="586">
        <v>252.14</v>
      </c>
      <c r="F223" s="586">
        <v>278.81</v>
      </c>
      <c r="G223" s="588">
        <f t="shared" ref="G223:G228" si="214">SUM(C223:F223)</f>
        <v>539.32</v>
      </c>
      <c r="I223" s="586">
        <v>0.0</v>
      </c>
      <c r="J223" s="586">
        <v>8.37</v>
      </c>
      <c r="K223" s="586">
        <v>252.14</v>
      </c>
      <c r="L223" s="586">
        <v>280.34</v>
      </c>
      <c r="M223" s="588">
        <f t="shared" ref="M223:M228" si="215">SUM(I223:L223)</f>
        <v>540.85</v>
      </c>
      <c r="O223" s="575" t="str">
        <f t="shared" ref="O223:S223" si="213">IFERROR(I223/C223-1,"")</f>
        <v/>
      </c>
      <c r="P223" s="575">
        <f t="shared" si="213"/>
        <v>0</v>
      </c>
      <c r="Q223" s="575">
        <f t="shared" si="213"/>
        <v>0</v>
      </c>
      <c r="R223" s="575">
        <f t="shared" si="213"/>
        <v>0.005487608048</v>
      </c>
      <c r="S223" s="575">
        <f t="shared" si="213"/>
        <v>0.002836905733</v>
      </c>
      <c r="U223" s="630">
        <v>0.0</v>
      </c>
      <c r="V223" s="630">
        <v>835.48</v>
      </c>
      <c r="W223" s="630">
        <v>837.01</v>
      </c>
      <c r="X223" s="631">
        <f t="shared" ref="X223:X228" si="217">IFERROR(W223-V223,"")</f>
        <v>1.53</v>
      </c>
      <c r="Y223" s="632">
        <f t="shared" si="208"/>
        <v>0.001831282616</v>
      </c>
    </row>
    <row r="224" ht="15.75" customHeight="1">
      <c r="B224" s="577" t="s">
        <v>21</v>
      </c>
      <c r="C224" s="586">
        <v>0.0</v>
      </c>
      <c r="D224" s="586">
        <v>6.89</v>
      </c>
      <c r="E224" s="586">
        <v>286.9</v>
      </c>
      <c r="F224" s="586">
        <v>317.54</v>
      </c>
      <c r="G224" s="588">
        <f t="shared" si="214"/>
        <v>611.33</v>
      </c>
      <c r="I224" s="586">
        <v>0.0</v>
      </c>
      <c r="J224" s="586">
        <v>6.89</v>
      </c>
      <c r="K224" s="586">
        <v>286.9</v>
      </c>
      <c r="L224" s="586">
        <v>319.34</v>
      </c>
      <c r="M224" s="588">
        <f t="shared" si="215"/>
        <v>613.13</v>
      </c>
      <c r="O224" s="575" t="str">
        <f t="shared" ref="O224:S224" si="216">IFERROR(I224/C224-1,"")</f>
        <v/>
      </c>
      <c r="P224" s="575">
        <f t="shared" si="216"/>
        <v>0</v>
      </c>
      <c r="Q224" s="575">
        <f t="shared" si="216"/>
        <v>0</v>
      </c>
      <c r="R224" s="575">
        <f t="shared" si="216"/>
        <v>0.005668577187</v>
      </c>
      <c r="S224" s="575">
        <f t="shared" si="216"/>
        <v>0.002944399915</v>
      </c>
      <c r="U224" s="630">
        <v>0.0</v>
      </c>
      <c r="V224" s="630">
        <v>1279.06</v>
      </c>
      <c r="W224" s="630">
        <v>1280.86</v>
      </c>
      <c r="X224" s="631">
        <f t="shared" si="217"/>
        <v>1.8</v>
      </c>
      <c r="Y224" s="632">
        <f t="shared" si="208"/>
        <v>0.001407283474</v>
      </c>
    </row>
    <row r="225" ht="15.75" customHeight="1">
      <c r="B225" s="577" t="s">
        <v>22</v>
      </c>
      <c r="C225" s="586">
        <v>0.0</v>
      </c>
      <c r="D225" s="586">
        <v>6.17</v>
      </c>
      <c r="E225" s="586">
        <v>435.66</v>
      </c>
      <c r="F225" s="586">
        <v>379.31</v>
      </c>
      <c r="G225" s="588">
        <f t="shared" si="214"/>
        <v>821.14</v>
      </c>
      <c r="I225" s="586">
        <v>0.0</v>
      </c>
      <c r="J225" s="586">
        <v>6.17</v>
      </c>
      <c r="K225" s="586">
        <v>435.66</v>
      </c>
      <c r="L225" s="586">
        <v>381.24</v>
      </c>
      <c r="M225" s="588">
        <f t="shared" si="215"/>
        <v>823.07</v>
      </c>
      <c r="O225" s="575" t="str">
        <f t="shared" ref="O225:S225" si="218">IFERROR(I225/C225-1,"")</f>
        <v/>
      </c>
      <c r="P225" s="575">
        <f t="shared" si="218"/>
        <v>0</v>
      </c>
      <c r="Q225" s="575">
        <f t="shared" si="218"/>
        <v>0</v>
      </c>
      <c r="R225" s="575">
        <f t="shared" si="218"/>
        <v>0.005088186444</v>
      </c>
      <c r="S225" s="575">
        <f t="shared" si="218"/>
        <v>0.00235039092</v>
      </c>
      <c r="U225" s="630">
        <v>0.0</v>
      </c>
      <c r="V225" s="630">
        <v>1672.14</v>
      </c>
      <c r="W225" s="630">
        <v>1674.07</v>
      </c>
      <c r="X225" s="631">
        <f t="shared" si="217"/>
        <v>1.93</v>
      </c>
      <c r="Y225" s="632">
        <f t="shared" si="208"/>
        <v>0.001154209576</v>
      </c>
    </row>
    <row r="226" ht="15.75" customHeight="1">
      <c r="B226" s="577" t="s">
        <v>24</v>
      </c>
      <c r="C226" s="586">
        <v>0.0</v>
      </c>
      <c r="D226" s="586">
        <v>7.49</v>
      </c>
      <c r="E226" s="586">
        <v>938.23</v>
      </c>
      <c r="F226" s="586">
        <v>554.06</v>
      </c>
      <c r="G226" s="588">
        <f t="shared" si="214"/>
        <v>1499.78</v>
      </c>
      <c r="I226" s="586">
        <v>0.0</v>
      </c>
      <c r="J226" s="586">
        <v>7.49</v>
      </c>
      <c r="K226" s="586">
        <v>938.23</v>
      </c>
      <c r="L226" s="586">
        <v>556.48</v>
      </c>
      <c r="M226" s="588">
        <f t="shared" si="215"/>
        <v>1502.2</v>
      </c>
      <c r="O226" s="575" t="str">
        <f t="shared" ref="O226:S226" si="219">IFERROR(I226/C226-1,"")</f>
        <v/>
      </c>
      <c r="P226" s="575">
        <f t="shared" si="219"/>
        <v>0</v>
      </c>
      <c r="Q226" s="575">
        <f t="shared" si="219"/>
        <v>0</v>
      </c>
      <c r="R226" s="575">
        <f t="shared" si="219"/>
        <v>0.004367758005</v>
      </c>
      <c r="S226" s="575">
        <f t="shared" si="219"/>
        <v>0.00161356999</v>
      </c>
      <c r="U226" s="630">
        <v>0.0</v>
      </c>
      <c r="V226" s="630">
        <v>2584.99</v>
      </c>
      <c r="W226" s="630">
        <v>2587.41</v>
      </c>
      <c r="X226" s="631">
        <f t="shared" si="217"/>
        <v>2.42</v>
      </c>
      <c r="Y226" s="632">
        <f t="shared" si="208"/>
        <v>0.0009361738343</v>
      </c>
    </row>
    <row r="227" ht="15.75" customHeight="1">
      <c r="B227" s="577" t="s">
        <v>26</v>
      </c>
      <c r="C227" s="586">
        <v>0.0</v>
      </c>
      <c r="D227" s="586">
        <v>8.22</v>
      </c>
      <c r="E227" s="586">
        <v>1399.03</v>
      </c>
      <c r="F227" s="586">
        <v>551.4</v>
      </c>
      <c r="G227" s="588">
        <f t="shared" si="214"/>
        <v>1958.65</v>
      </c>
      <c r="I227" s="586">
        <v>0.0</v>
      </c>
      <c r="J227" s="586">
        <v>8.22</v>
      </c>
      <c r="K227" s="586">
        <v>1399.03</v>
      </c>
      <c r="L227" s="586">
        <v>554.06</v>
      </c>
      <c r="M227" s="588">
        <f t="shared" si="215"/>
        <v>1961.31</v>
      </c>
      <c r="O227" s="575" t="str">
        <f t="shared" ref="O227:S227" si="220">IFERROR(I227/C227-1,"")</f>
        <v/>
      </c>
      <c r="P227" s="575">
        <f t="shared" si="220"/>
        <v>0</v>
      </c>
      <c r="Q227" s="575">
        <f t="shared" si="220"/>
        <v>0</v>
      </c>
      <c r="R227" s="575">
        <f t="shared" si="220"/>
        <v>0.004824084149</v>
      </c>
      <c r="S227" s="575">
        <f t="shared" si="220"/>
        <v>0.001358078268</v>
      </c>
      <c r="U227" s="630">
        <v>0.0</v>
      </c>
      <c r="V227" s="630">
        <v>3558.15</v>
      </c>
      <c r="W227" s="630">
        <v>3560.81</v>
      </c>
      <c r="X227" s="631">
        <f t="shared" si="217"/>
        <v>2.66</v>
      </c>
      <c r="Y227" s="632">
        <f t="shared" si="208"/>
        <v>0.0007475795006</v>
      </c>
    </row>
    <row r="228" ht="15.75" customHeight="1">
      <c r="B228" s="603" t="s">
        <v>1628</v>
      </c>
      <c r="C228" s="604">
        <v>0.0</v>
      </c>
      <c r="D228" s="604">
        <v>7.46</v>
      </c>
      <c r="E228" s="604">
        <v>424.32</v>
      </c>
      <c r="F228" s="604">
        <v>354.22</v>
      </c>
      <c r="G228" s="605">
        <f t="shared" si="214"/>
        <v>786</v>
      </c>
      <c r="I228" s="604">
        <v>0.0</v>
      </c>
      <c r="J228" s="604">
        <v>7.46</v>
      </c>
      <c r="K228" s="604">
        <v>424.32</v>
      </c>
      <c r="L228" s="604">
        <v>356.05</v>
      </c>
      <c r="M228" s="605">
        <f t="shared" si="215"/>
        <v>787.83</v>
      </c>
      <c r="O228" s="606" t="str">
        <f t="shared" ref="O228:S228" si="221">IFERROR(I228/C228-1,"")</f>
        <v/>
      </c>
      <c r="P228" s="606">
        <f t="shared" si="221"/>
        <v>0</v>
      </c>
      <c r="Q228" s="606">
        <f t="shared" si="221"/>
        <v>0</v>
      </c>
      <c r="R228" s="606">
        <f t="shared" si="221"/>
        <v>0.005166280842</v>
      </c>
      <c r="S228" s="606">
        <f t="shared" si="221"/>
        <v>0.002328244275</v>
      </c>
      <c r="U228" s="633">
        <v>0.0</v>
      </c>
      <c r="V228" s="633">
        <v>1436.25</v>
      </c>
      <c r="W228" s="633">
        <v>1438.09</v>
      </c>
      <c r="X228" s="634">
        <f t="shared" si="217"/>
        <v>1.84</v>
      </c>
      <c r="Y228" s="635">
        <f t="shared" si="208"/>
        <v>0.001281114012</v>
      </c>
    </row>
    <row r="229" ht="15.75" customHeight="1"/>
    <row r="230" ht="15.75" customHeight="1"/>
    <row r="231" ht="15.75" customHeight="1">
      <c r="B231" s="545" t="s">
        <v>2267</v>
      </c>
      <c r="C231" s="545"/>
      <c r="D231" s="545"/>
      <c r="E231" s="545"/>
      <c r="F231" s="545"/>
      <c r="G231" s="545"/>
      <c r="H231" s="545"/>
      <c r="I231" s="545"/>
      <c r="J231" s="545"/>
      <c r="K231" s="545"/>
      <c r="L231" s="545"/>
      <c r="M231" s="545"/>
      <c r="N231" s="545"/>
      <c r="O231" s="545"/>
      <c r="P231" s="545"/>
      <c r="Q231" s="545"/>
      <c r="R231" s="545"/>
      <c r="S231" s="545"/>
    </row>
    <row r="232" ht="15.75" customHeight="1">
      <c r="C232" s="626" t="s">
        <v>2104</v>
      </c>
      <c r="D232" s="550"/>
      <c r="E232" s="550"/>
      <c r="F232" s="550"/>
      <c r="G232" s="550"/>
      <c r="I232" s="551" t="s">
        <v>2105</v>
      </c>
      <c r="J232" s="552"/>
      <c r="K232" s="552"/>
      <c r="L232" s="552"/>
      <c r="M232" s="552"/>
      <c r="O232" s="554" t="s">
        <v>1197</v>
      </c>
      <c r="P232" s="556"/>
      <c r="Q232" s="556"/>
      <c r="R232" s="556"/>
      <c r="S232" s="556"/>
    </row>
    <row r="233" ht="15.75" customHeight="1">
      <c r="B233" s="226" t="s">
        <v>1203</v>
      </c>
      <c r="C233" s="562" t="s">
        <v>1204</v>
      </c>
      <c r="D233" s="562" t="s">
        <v>1206</v>
      </c>
      <c r="E233" s="562" t="s">
        <v>1207</v>
      </c>
      <c r="F233" s="562" t="s">
        <v>1208</v>
      </c>
      <c r="G233" s="562" t="s">
        <v>129</v>
      </c>
      <c r="I233" s="564" t="s">
        <v>1204</v>
      </c>
      <c r="J233" s="564" t="s">
        <v>1206</v>
      </c>
      <c r="K233" s="564" t="s">
        <v>1207</v>
      </c>
      <c r="L233" s="564" t="s">
        <v>1208</v>
      </c>
      <c r="M233" s="564" t="s">
        <v>129</v>
      </c>
      <c r="O233" s="565" t="s">
        <v>1204</v>
      </c>
      <c r="P233" s="565" t="s">
        <v>1206</v>
      </c>
      <c r="Q233" s="565" t="s">
        <v>1207</v>
      </c>
      <c r="R233" s="565" t="s">
        <v>1208</v>
      </c>
      <c r="S233" s="568" t="s">
        <v>1215</v>
      </c>
      <c r="Y233" s="6" t="s">
        <v>2111</v>
      </c>
    </row>
    <row r="234" ht="15.75" customHeight="1">
      <c r="B234" s="569" t="s">
        <v>180</v>
      </c>
      <c r="C234" s="569"/>
      <c r="D234" s="569"/>
      <c r="E234" s="569"/>
      <c r="F234" s="569"/>
      <c r="G234" s="569"/>
      <c r="H234" s="569"/>
      <c r="I234" s="569"/>
      <c r="J234" s="569"/>
      <c r="K234" s="569"/>
      <c r="L234" s="569"/>
      <c r="M234" s="569"/>
      <c r="N234" s="569"/>
      <c r="O234" s="569"/>
      <c r="P234" s="569"/>
      <c r="Q234" s="569"/>
      <c r="R234" s="569"/>
      <c r="S234" s="569"/>
    </row>
    <row r="235" ht="15.75" customHeight="1">
      <c r="B235" s="577" t="s">
        <v>19</v>
      </c>
      <c r="C235" s="586">
        <v>0.0</v>
      </c>
      <c r="D235" s="586">
        <v>0.0</v>
      </c>
      <c r="E235" s="586">
        <v>168.63</v>
      </c>
      <c r="F235" s="586">
        <v>49.74</v>
      </c>
      <c r="G235" s="588">
        <f t="shared" ref="G235:G240" si="223">SUM(C235:F235)</f>
        <v>218.37</v>
      </c>
      <c r="I235" s="586">
        <v>0.0</v>
      </c>
      <c r="J235" s="586">
        <v>0.0</v>
      </c>
      <c r="K235" s="586">
        <v>168.63</v>
      </c>
      <c r="L235" s="586">
        <v>44.73</v>
      </c>
      <c r="M235" s="588">
        <f t="shared" ref="M235:M240" si="224">SUM(I235:L235)</f>
        <v>213.36</v>
      </c>
      <c r="O235" s="575" t="str">
        <f t="shared" ref="O235:S235" si="222">IFERROR(I235/C235-1,"")</f>
        <v/>
      </c>
      <c r="P235" s="575" t="str">
        <f t="shared" si="222"/>
        <v/>
      </c>
      <c r="Q235" s="575">
        <f t="shared" si="222"/>
        <v>0</v>
      </c>
      <c r="R235" s="575">
        <f t="shared" si="222"/>
        <v>-0.1007237636</v>
      </c>
      <c r="S235" s="575">
        <f t="shared" si="222"/>
        <v>-0.02294271191</v>
      </c>
      <c r="U235" s="6">
        <v>0.0</v>
      </c>
      <c r="V235" s="6">
        <v>356.9</v>
      </c>
      <c r="W235" s="6">
        <v>351.89</v>
      </c>
      <c r="X235" s="250">
        <f t="shared" ref="X235:X240" si="226">IFERROR(W235-V235,"")</f>
        <v>-5.01</v>
      </c>
      <c r="Y235" s="670">
        <f t="shared" ref="Y235:Y247" si="227">IF(ISNUMBER(X235), IFERROR(X235/ABS(V235), 0), "")</f>
        <v>-0.01403754553</v>
      </c>
    </row>
    <row r="236" ht="15.75" customHeight="1">
      <c r="B236" s="577" t="s">
        <v>21</v>
      </c>
      <c r="C236" s="586">
        <v>0.0</v>
      </c>
      <c r="D236" s="586">
        <v>0.0</v>
      </c>
      <c r="E236" s="586">
        <v>374.98</v>
      </c>
      <c r="F236" s="586">
        <v>106.92</v>
      </c>
      <c r="G236" s="588">
        <f t="shared" si="223"/>
        <v>481.9</v>
      </c>
      <c r="I236" s="586">
        <v>0.0</v>
      </c>
      <c r="J236" s="586">
        <v>0.0</v>
      </c>
      <c r="K236" s="586">
        <v>374.98</v>
      </c>
      <c r="L236" s="586">
        <v>105.16</v>
      </c>
      <c r="M236" s="588">
        <f t="shared" si="224"/>
        <v>480.14</v>
      </c>
      <c r="O236" s="575" t="str">
        <f t="shared" ref="O236:S236" si="225">IFERROR(I236/C236-1,"")</f>
        <v/>
      </c>
      <c r="P236" s="575" t="str">
        <f t="shared" si="225"/>
        <v/>
      </c>
      <c r="Q236" s="575">
        <f t="shared" si="225"/>
        <v>0</v>
      </c>
      <c r="R236" s="575">
        <f t="shared" si="225"/>
        <v>-0.01646090535</v>
      </c>
      <c r="S236" s="575">
        <f t="shared" si="225"/>
        <v>-0.003652210002</v>
      </c>
      <c r="U236" s="6">
        <v>0.0</v>
      </c>
      <c r="V236" s="6">
        <v>883.88</v>
      </c>
      <c r="W236" s="6">
        <v>882.12</v>
      </c>
      <c r="X236" s="250">
        <f t="shared" si="226"/>
        <v>-1.76</v>
      </c>
      <c r="Y236" s="670">
        <f t="shared" si="227"/>
        <v>-0.001991220528</v>
      </c>
    </row>
    <row r="237" ht="15.75" customHeight="1">
      <c r="B237" s="577" t="s">
        <v>22</v>
      </c>
      <c r="C237" s="586">
        <v>0.0</v>
      </c>
      <c r="D237" s="586">
        <v>0.0</v>
      </c>
      <c r="E237" s="586">
        <v>618.47</v>
      </c>
      <c r="F237" s="586">
        <v>164.87</v>
      </c>
      <c r="G237" s="588">
        <f t="shared" si="223"/>
        <v>783.34</v>
      </c>
      <c r="I237" s="586">
        <v>0.0</v>
      </c>
      <c r="J237" s="586">
        <v>0.0</v>
      </c>
      <c r="K237" s="586">
        <v>618.47</v>
      </c>
      <c r="L237" s="586">
        <v>163.34</v>
      </c>
      <c r="M237" s="588">
        <f t="shared" si="224"/>
        <v>781.81</v>
      </c>
      <c r="O237" s="575" t="str">
        <f t="shared" ref="O237:S237" si="228">IFERROR(I237/C237-1,"")</f>
        <v/>
      </c>
      <c r="P237" s="575" t="str">
        <f t="shared" si="228"/>
        <v/>
      </c>
      <c r="Q237" s="575">
        <f t="shared" si="228"/>
        <v>0</v>
      </c>
      <c r="R237" s="575">
        <f t="shared" si="228"/>
        <v>-0.009280038818</v>
      </c>
      <c r="S237" s="575">
        <f t="shared" si="228"/>
        <v>-0.001953174867</v>
      </c>
      <c r="U237" s="6">
        <v>0.0</v>
      </c>
      <c r="V237" s="6">
        <v>1313.66</v>
      </c>
      <c r="W237" s="6">
        <v>1312.13</v>
      </c>
      <c r="X237" s="250">
        <f t="shared" si="226"/>
        <v>-1.53</v>
      </c>
      <c r="Y237" s="670">
        <f t="shared" si="227"/>
        <v>-0.001164684926</v>
      </c>
    </row>
    <row r="238" ht="15.75" customHeight="1">
      <c r="B238" s="577" t="s">
        <v>24</v>
      </c>
      <c r="C238" s="586">
        <v>0.0</v>
      </c>
      <c r="D238" s="586">
        <v>0.0</v>
      </c>
      <c r="E238" s="586">
        <v>1255.62</v>
      </c>
      <c r="F238" s="586">
        <v>306.84</v>
      </c>
      <c r="G238" s="588">
        <f t="shared" si="223"/>
        <v>1562.46</v>
      </c>
      <c r="I238" s="586">
        <v>0.0</v>
      </c>
      <c r="J238" s="586">
        <v>0.0</v>
      </c>
      <c r="K238" s="586">
        <v>1255.62</v>
      </c>
      <c r="L238" s="586">
        <v>304.84</v>
      </c>
      <c r="M238" s="588">
        <f t="shared" si="224"/>
        <v>1560.46</v>
      </c>
      <c r="O238" s="575" t="str">
        <f t="shared" ref="O238:S238" si="229">IFERROR(I238/C238-1,"")</f>
        <v/>
      </c>
      <c r="P238" s="575" t="str">
        <f t="shared" si="229"/>
        <v/>
      </c>
      <c r="Q238" s="575">
        <f t="shared" si="229"/>
        <v>0</v>
      </c>
      <c r="R238" s="575">
        <f t="shared" si="229"/>
        <v>-0.006518055012</v>
      </c>
      <c r="S238" s="575">
        <f t="shared" si="229"/>
        <v>-0.001280032769</v>
      </c>
      <c r="U238" s="6">
        <v>0.0</v>
      </c>
      <c r="V238" s="6">
        <v>2544.95</v>
      </c>
      <c r="W238" s="6">
        <v>2542.95</v>
      </c>
      <c r="X238" s="250">
        <f t="shared" si="226"/>
        <v>-2</v>
      </c>
      <c r="Y238" s="670">
        <f t="shared" si="227"/>
        <v>-0.0007858700564</v>
      </c>
    </row>
    <row r="239" ht="15.75" customHeight="1">
      <c r="B239" s="577" t="s">
        <v>26</v>
      </c>
      <c r="C239" s="586">
        <v>0.0</v>
      </c>
      <c r="D239" s="586">
        <v>0.0</v>
      </c>
      <c r="E239" s="586">
        <v>2265.66</v>
      </c>
      <c r="F239" s="586">
        <v>493.22</v>
      </c>
      <c r="G239" s="588">
        <f t="shared" si="223"/>
        <v>2758.88</v>
      </c>
      <c r="I239" s="586">
        <v>0.0</v>
      </c>
      <c r="J239" s="586">
        <v>0.0</v>
      </c>
      <c r="K239" s="586">
        <v>2265.66</v>
      </c>
      <c r="L239" s="586">
        <v>491.69</v>
      </c>
      <c r="M239" s="588">
        <f t="shared" si="224"/>
        <v>2757.35</v>
      </c>
      <c r="O239" s="575" t="str">
        <f t="shared" ref="O239:S239" si="230">IFERROR(I239/C239-1,"")</f>
        <v/>
      </c>
      <c r="P239" s="575" t="str">
        <f t="shared" si="230"/>
        <v/>
      </c>
      <c r="Q239" s="575">
        <f t="shared" si="230"/>
        <v>0</v>
      </c>
      <c r="R239" s="575">
        <f t="shared" si="230"/>
        <v>-0.003102063988</v>
      </c>
      <c r="S239" s="575">
        <f t="shared" si="230"/>
        <v>-0.0005545728702</v>
      </c>
      <c r="U239" s="6">
        <v>0.0</v>
      </c>
      <c r="V239" s="6">
        <v>4645.68</v>
      </c>
      <c r="W239" s="6">
        <v>4644.15</v>
      </c>
      <c r="X239" s="250">
        <f t="shared" si="226"/>
        <v>-1.53</v>
      </c>
      <c r="Y239" s="670">
        <f t="shared" si="227"/>
        <v>-0.0003293382239</v>
      </c>
    </row>
    <row r="240" ht="15.75" customHeight="1">
      <c r="B240" s="603" t="s">
        <v>1628</v>
      </c>
      <c r="C240" s="604">
        <v>0.0</v>
      </c>
      <c r="D240" s="604">
        <v>0.0</v>
      </c>
      <c r="E240" s="604">
        <v>436.72</v>
      </c>
      <c r="F240" s="604">
        <v>116.24</v>
      </c>
      <c r="G240" s="605">
        <f t="shared" si="223"/>
        <v>552.96</v>
      </c>
      <c r="I240" s="604">
        <v>0.0</v>
      </c>
      <c r="J240" s="604">
        <v>0.0</v>
      </c>
      <c r="K240" s="604">
        <v>436.72</v>
      </c>
      <c r="L240" s="604">
        <v>113.02</v>
      </c>
      <c r="M240" s="605">
        <f t="shared" si="224"/>
        <v>549.74</v>
      </c>
      <c r="O240" s="606" t="str">
        <f t="shared" ref="O240:S240" si="231">IFERROR(I240/C240-1,"")</f>
        <v/>
      </c>
      <c r="P240" s="606" t="str">
        <f t="shared" si="231"/>
        <v/>
      </c>
      <c r="Q240" s="606">
        <f t="shared" si="231"/>
        <v>0</v>
      </c>
      <c r="R240" s="606">
        <f t="shared" si="231"/>
        <v>-0.02770130764</v>
      </c>
      <c r="S240" s="606">
        <f t="shared" si="231"/>
        <v>-0.005823206019</v>
      </c>
      <c r="U240" s="6">
        <v>0.0</v>
      </c>
      <c r="V240" s="6">
        <v>1203.72</v>
      </c>
      <c r="W240" s="6">
        <v>1201.05</v>
      </c>
      <c r="X240" s="250">
        <f t="shared" si="226"/>
        <v>-2.67</v>
      </c>
      <c r="Y240" s="670">
        <f t="shared" si="227"/>
        <v>-0.002218123816</v>
      </c>
    </row>
    <row r="241" ht="15.75" customHeight="1">
      <c r="B241" s="569" t="s">
        <v>1192</v>
      </c>
      <c r="C241" s="569"/>
      <c r="D241" s="569"/>
      <c r="E241" s="569"/>
      <c r="F241" s="569"/>
      <c r="G241" s="569"/>
      <c r="H241" s="569"/>
      <c r="I241" s="569"/>
      <c r="J241" s="569"/>
      <c r="K241" s="569"/>
      <c r="L241" s="569"/>
      <c r="M241" s="569"/>
      <c r="N241" s="569"/>
      <c r="O241" s="569"/>
      <c r="P241" s="569"/>
      <c r="Q241" s="569"/>
      <c r="R241" s="569"/>
      <c r="S241" s="569"/>
      <c r="Y241" s="670" t="str">
        <f t="shared" si="227"/>
        <v/>
      </c>
    </row>
    <row r="242" ht="15.75" customHeight="1">
      <c r="B242" s="577" t="s">
        <v>19</v>
      </c>
      <c r="C242" s="586">
        <v>0.0</v>
      </c>
      <c r="D242" s="586">
        <v>0.0</v>
      </c>
      <c r="E242" s="586">
        <v>320.92</v>
      </c>
      <c r="F242" s="586">
        <v>112.53</v>
      </c>
      <c r="G242" s="588">
        <f t="shared" ref="G242:G247" si="233">SUM(C242:F242)</f>
        <v>433.45</v>
      </c>
      <c r="I242" s="586">
        <v>0.0</v>
      </c>
      <c r="J242" s="586">
        <v>0.0</v>
      </c>
      <c r="K242" s="586">
        <v>320.92</v>
      </c>
      <c r="L242" s="586">
        <v>111.4</v>
      </c>
      <c r="M242" s="588">
        <f t="shared" ref="M242:M247" si="234">SUM(I242:L242)</f>
        <v>432.32</v>
      </c>
      <c r="O242" s="575" t="str">
        <f t="shared" ref="O242:S242" si="232">IFERROR(I242/C242-1,"")</f>
        <v/>
      </c>
      <c r="P242" s="575" t="str">
        <f t="shared" si="232"/>
        <v/>
      </c>
      <c r="Q242" s="575">
        <f t="shared" si="232"/>
        <v>0</v>
      </c>
      <c r="R242" s="575">
        <f t="shared" si="232"/>
        <v>-0.01004176664</v>
      </c>
      <c r="S242" s="575">
        <f t="shared" si="232"/>
        <v>-0.002606990426</v>
      </c>
      <c r="U242" s="6">
        <v>0.0</v>
      </c>
      <c r="V242" s="6">
        <v>731.5</v>
      </c>
      <c r="W242" s="6">
        <v>730.37</v>
      </c>
      <c r="X242" s="250">
        <f t="shared" ref="X242:X247" si="236">IFERROR(W242-V242,"")</f>
        <v>-1.13</v>
      </c>
      <c r="Y242" s="670">
        <f t="shared" si="227"/>
        <v>-0.001544771018</v>
      </c>
    </row>
    <row r="243" ht="15.75" customHeight="1">
      <c r="B243" s="577" t="s">
        <v>21</v>
      </c>
      <c r="C243" s="586">
        <v>0.0</v>
      </c>
      <c r="D243" s="586">
        <v>0.0</v>
      </c>
      <c r="E243" s="586">
        <v>522.34</v>
      </c>
      <c r="F243" s="586">
        <v>192.83</v>
      </c>
      <c r="G243" s="588">
        <f t="shared" si="233"/>
        <v>715.17</v>
      </c>
      <c r="I243" s="586">
        <v>0.0</v>
      </c>
      <c r="J243" s="586">
        <v>0.0</v>
      </c>
      <c r="K243" s="586">
        <v>522.34</v>
      </c>
      <c r="L243" s="586">
        <v>191.88</v>
      </c>
      <c r="M243" s="588">
        <f t="shared" si="234"/>
        <v>714.22</v>
      </c>
      <c r="O243" s="575" t="str">
        <f t="shared" ref="O243:S243" si="235">IFERROR(I243/C243-1,"")</f>
        <v/>
      </c>
      <c r="P243" s="575" t="str">
        <f t="shared" si="235"/>
        <v/>
      </c>
      <c r="Q243" s="575">
        <f t="shared" si="235"/>
        <v>0</v>
      </c>
      <c r="R243" s="575">
        <f t="shared" si="235"/>
        <v>-0.004926619302</v>
      </c>
      <c r="S243" s="575">
        <f t="shared" si="235"/>
        <v>-0.001328355496</v>
      </c>
      <c r="U243" s="6">
        <v>0.0</v>
      </c>
      <c r="V243" s="6">
        <v>1516.82</v>
      </c>
      <c r="W243" s="6">
        <v>1515.87</v>
      </c>
      <c r="X243" s="250">
        <f t="shared" si="236"/>
        <v>-0.95</v>
      </c>
      <c r="Y243" s="670">
        <f t="shared" si="227"/>
        <v>-0.0006263103071</v>
      </c>
    </row>
    <row r="244" ht="15.75" customHeight="1">
      <c r="B244" s="577" t="s">
        <v>22</v>
      </c>
      <c r="C244" s="586">
        <v>0.0</v>
      </c>
      <c r="D244" s="586">
        <v>0.0</v>
      </c>
      <c r="E244" s="586">
        <v>827.24</v>
      </c>
      <c r="F244" s="586">
        <v>302.7</v>
      </c>
      <c r="G244" s="588">
        <f t="shared" si="233"/>
        <v>1129.94</v>
      </c>
      <c r="I244" s="586">
        <v>0.0</v>
      </c>
      <c r="J244" s="586">
        <v>0.0</v>
      </c>
      <c r="K244" s="586">
        <v>827.24</v>
      </c>
      <c r="L244" s="586">
        <v>301.04</v>
      </c>
      <c r="M244" s="588">
        <f t="shared" si="234"/>
        <v>1128.28</v>
      </c>
      <c r="O244" s="575" t="str">
        <f t="shared" ref="O244:S244" si="237">IFERROR(I244/C244-1,"")</f>
        <v/>
      </c>
      <c r="P244" s="575" t="str">
        <f t="shared" si="237"/>
        <v/>
      </c>
      <c r="Q244" s="575">
        <f t="shared" si="237"/>
        <v>0</v>
      </c>
      <c r="R244" s="575">
        <f t="shared" si="237"/>
        <v>-0.005483977536</v>
      </c>
      <c r="S244" s="575">
        <f t="shared" si="237"/>
        <v>-0.001469104554</v>
      </c>
      <c r="U244" s="6">
        <v>0.0</v>
      </c>
      <c r="V244" s="6">
        <v>2273.18</v>
      </c>
      <c r="W244" s="6">
        <v>2271.52</v>
      </c>
      <c r="X244" s="250">
        <f t="shared" si="236"/>
        <v>-1.66</v>
      </c>
      <c r="Y244" s="670">
        <f t="shared" si="227"/>
        <v>-0.0007302545333</v>
      </c>
    </row>
    <row r="245" ht="15.75" customHeight="1">
      <c r="B245" s="577" t="s">
        <v>24</v>
      </c>
      <c r="C245" s="586">
        <v>0.0</v>
      </c>
      <c r="D245" s="586">
        <v>0.0</v>
      </c>
      <c r="E245" s="586">
        <v>1633.8</v>
      </c>
      <c r="F245" s="586">
        <v>569.59</v>
      </c>
      <c r="G245" s="588">
        <f t="shared" si="233"/>
        <v>2203.39</v>
      </c>
      <c r="I245" s="586">
        <v>0.0</v>
      </c>
      <c r="J245" s="586">
        <v>0.0</v>
      </c>
      <c r="K245" s="586">
        <v>1633.8</v>
      </c>
      <c r="L245" s="586">
        <v>568.36</v>
      </c>
      <c r="M245" s="588">
        <f t="shared" si="234"/>
        <v>2202.16</v>
      </c>
      <c r="O245" s="575" t="str">
        <f t="shared" ref="O245:S245" si="238">IFERROR(I245/C245-1,"")</f>
        <v/>
      </c>
      <c r="P245" s="575" t="str">
        <f t="shared" si="238"/>
        <v/>
      </c>
      <c r="Q245" s="575">
        <f t="shared" si="238"/>
        <v>0</v>
      </c>
      <c r="R245" s="575">
        <f t="shared" si="238"/>
        <v>-0.002159448024</v>
      </c>
      <c r="S245" s="575">
        <f t="shared" si="238"/>
        <v>-0.0005582307263</v>
      </c>
      <c r="U245" s="6">
        <v>0.0</v>
      </c>
      <c r="V245" s="6">
        <v>3742.12</v>
      </c>
      <c r="W245" s="6">
        <v>3740.89</v>
      </c>
      <c r="X245" s="250">
        <f t="shared" si="236"/>
        <v>-1.23</v>
      </c>
      <c r="Y245" s="670">
        <f t="shared" si="227"/>
        <v>-0.0003286906887</v>
      </c>
    </row>
    <row r="246" ht="15.75" customHeight="1">
      <c r="B246" s="577" t="s">
        <v>26</v>
      </c>
      <c r="C246" s="586">
        <v>0.0</v>
      </c>
      <c r="D246" s="586">
        <v>0.0</v>
      </c>
      <c r="E246" s="586">
        <v>2551.44</v>
      </c>
      <c r="F246" s="586">
        <v>708.92</v>
      </c>
      <c r="G246" s="588">
        <f t="shared" si="233"/>
        <v>3260.36</v>
      </c>
      <c r="I246" s="586">
        <v>0.0</v>
      </c>
      <c r="J246" s="586">
        <v>0.0</v>
      </c>
      <c r="K246" s="586">
        <v>2551.44</v>
      </c>
      <c r="L246" s="586">
        <v>708.3</v>
      </c>
      <c r="M246" s="588">
        <f t="shared" si="234"/>
        <v>3259.74</v>
      </c>
      <c r="O246" s="575" t="str">
        <f t="shared" ref="O246:S246" si="239">IFERROR(I246/C246-1,"")</f>
        <v/>
      </c>
      <c r="P246" s="575" t="str">
        <f t="shared" si="239"/>
        <v/>
      </c>
      <c r="Q246" s="575">
        <f t="shared" si="239"/>
        <v>0</v>
      </c>
      <c r="R246" s="575">
        <f t="shared" si="239"/>
        <v>-0.0008745697681</v>
      </c>
      <c r="S246" s="575">
        <f t="shared" si="239"/>
        <v>-0.0001901630495</v>
      </c>
      <c r="U246" s="6">
        <v>0.0</v>
      </c>
      <c r="V246" s="6">
        <v>6073.62</v>
      </c>
      <c r="W246" s="6">
        <v>6072.99</v>
      </c>
      <c r="X246" s="250">
        <f t="shared" si="236"/>
        <v>-0.63</v>
      </c>
      <c r="Y246" s="670">
        <f t="shared" si="227"/>
        <v>-0.0001037272664</v>
      </c>
    </row>
    <row r="247" ht="15.75" customHeight="1">
      <c r="B247" s="603" t="s">
        <v>1628</v>
      </c>
      <c r="C247" s="604">
        <v>0.0</v>
      </c>
      <c r="D247" s="604">
        <v>0.0</v>
      </c>
      <c r="E247" s="604">
        <v>713.34</v>
      </c>
      <c r="F247" s="604">
        <v>249.69</v>
      </c>
      <c r="G247" s="605">
        <f t="shared" si="233"/>
        <v>963.03</v>
      </c>
      <c r="I247" s="604">
        <v>0.0</v>
      </c>
      <c r="J247" s="604">
        <v>0.0</v>
      </c>
      <c r="K247" s="604">
        <v>713.34</v>
      </c>
      <c r="L247" s="604">
        <v>248.5</v>
      </c>
      <c r="M247" s="605">
        <f t="shared" si="234"/>
        <v>961.84</v>
      </c>
      <c r="O247" s="606" t="str">
        <f t="shared" ref="O247:S247" si="240">IFERROR(I247/C247-1,"")</f>
        <v/>
      </c>
      <c r="P247" s="606" t="str">
        <f t="shared" si="240"/>
        <v/>
      </c>
      <c r="Q247" s="606">
        <f t="shared" si="240"/>
        <v>0</v>
      </c>
      <c r="R247" s="606">
        <f t="shared" si="240"/>
        <v>-0.004765909728</v>
      </c>
      <c r="S247" s="606">
        <f t="shared" si="240"/>
        <v>-0.001235683208</v>
      </c>
      <c r="U247" s="6">
        <v>0.0</v>
      </c>
      <c r="V247" s="6">
        <v>1808.61</v>
      </c>
      <c r="W247" s="6">
        <v>1807.41</v>
      </c>
      <c r="X247" s="250">
        <f t="shared" si="236"/>
        <v>-1.2</v>
      </c>
      <c r="Y247" s="670">
        <f t="shared" si="227"/>
        <v>-0.0006634929587</v>
      </c>
    </row>
    <row r="248" ht="15.75" customHeight="1"/>
    <row r="249" ht="15.75" customHeight="1"/>
    <row r="250" ht="15.75" customHeight="1">
      <c r="B250" s="545" t="s">
        <v>2268</v>
      </c>
      <c r="C250" s="545"/>
      <c r="D250" s="545"/>
      <c r="E250" s="545"/>
      <c r="F250" s="545"/>
      <c r="G250" s="545"/>
      <c r="H250" s="545"/>
      <c r="I250" s="545"/>
      <c r="J250" s="545"/>
      <c r="K250" s="545"/>
      <c r="L250" s="545"/>
      <c r="M250" s="545"/>
      <c r="N250" s="545"/>
      <c r="O250" s="545"/>
      <c r="P250" s="545"/>
      <c r="Q250" s="545"/>
      <c r="R250" s="545"/>
      <c r="S250" s="545"/>
    </row>
    <row r="251" ht="15.75" customHeight="1">
      <c r="C251" s="626" t="s">
        <v>2104</v>
      </c>
      <c r="D251" s="550"/>
      <c r="E251" s="550"/>
      <c r="F251" s="550"/>
      <c r="G251" s="550"/>
      <c r="I251" s="551" t="s">
        <v>2105</v>
      </c>
      <c r="J251" s="552"/>
      <c r="K251" s="552"/>
      <c r="L251" s="552"/>
      <c r="M251" s="552"/>
      <c r="O251" s="554" t="s">
        <v>1197</v>
      </c>
      <c r="P251" s="556"/>
      <c r="Q251" s="556"/>
      <c r="R251" s="556"/>
      <c r="S251" s="556"/>
    </row>
    <row r="252" ht="15.75" customHeight="1">
      <c r="B252" s="226" t="s">
        <v>1203</v>
      </c>
      <c r="C252" s="562" t="s">
        <v>1204</v>
      </c>
      <c r="D252" s="562" t="s">
        <v>1206</v>
      </c>
      <c r="E252" s="562" t="s">
        <v>1207</v>
      </c>
      <c r="F252" s="562" t="s">
        <v>1208</v>
      </c>
      <c r="G252" s="562" t="s">
        <v>129</v>
      </c>
      <c r="I252" s="564" t="s">
        <v>1204</v>
      </c>
      <c r="J252" s="564" t="s">
        <v>1206</v>
      </c>
      <c r="K252" s="564" t="s">
        <v>1207</v>
      </c>
      <c r="L252" s="564" t="s">
        <v>1208</v>
      </c>
      <c r="M252" s="564" t="s">
        <v>129</v>
      </c>
      <c r="O252" s="565" t="s">
        <v>1204</v>
      </c>
      <c r="P252" s="565" t="s">
        <v>1206</v>
      </c>
      <c r="Q252" s="565" t="s">
        <v>1207</v>
      </c>
      <c r="R252" s="565" t="s">
        <v>1208</v>
      </c>
      <c r="S252" s="568" t="s">
        <v>1215</v>
      </c>
      <c r="Y252" s="6" t="s">
        <v>2111</v>
      </c>
    </row>
    <row r="253" ht="15.75" customHeight="1">
      <c r="B253" s="569" t="s">
        <v>180</v>
      </c>
      <c r="C253" s="569"/>
      <c r="D253" s="569"/>
      <c r="E253" s="569"/>
      <c r="F253" s="569"/>
      <c r="G253" s="569"/>
      <c r="H253" s="569"/>
      <c r="I253" s="569"/>
      <c r="J253" s="569"/>
      <c r="K253" s="569"/>
      <c r="L253" s="569"/>
      <c r="M253" s="569"/>
      <c r="N253" s="569"/>
      <c r="O253" s="569"/>
      <c r="P253" s="569"/>
      <c r="Q253" s="569"/>
      <c r="R253" s="569"/>
      <c r="S253" s="569"/>
    </row>
    <row r="254" ht="15.75" customHeight="1">
      <c r="B254" s="577" t="s">
        <v>19</v>
      </c>
      <c r="C254" s="586">
        <v>0.0</v>
      </c>
      <c r="D254" s="586">
        <v>0.0</v>
      </c>
      <c r="E254" s="586">
        <v>0.15</v>
      </c>
      <c r="F254" s="586">
        <v>12.99</v>
      </c>
      <c r="G254" s="588">
        <f t="shared" ref="G254:G259" si="242">SUM(C254:F254)</f>
        <v>13.14</v>
      </c>
      <c r="I254" s="586">
        <v>0.0</v>
      </c>
      <c r="J254" s="586">
        <v>0.0</v>
      </c>
      <c r="K254" s="586">
        <v>0.15</v>
      </c>
      <c r="L254" s="586">
        <v>12.99</v>
      </c>
      <c r="M254" s="588">
        <f t="shared" ref="M254:M259" si="243">SUM(I254:L254)</f>
        <v>13.14</v>
      </c>
      <c r="O254" s="575" t="str">
        <f t="shared" ref="O254:S254" si="241">IFERROR(I254/C254-1,"")</f>
        <v/>
      </c>
      <c r="P254" s="575" t="str">
        <f t="shared" si="241"/>
        <v/>
      </c>
      <c r="Q254" s="575">
        <f t="shared" si="241"/>
        <v>0</v>
      </c>
      <c r="R254" s="575">
        <f t="shared" si="241"/>
        <v>0</v>
      </c>
      <c r="S254" s="575">
        <f t="shared" si="241"/>
        <v>0</v>
      </c>
      <c r="U254" s="6">
        <v>0.0</v>
      </c>
      <c r="V254" s="6">
        <v>15.54</v>
      </c>
      <c r="W254" s="6">
        <v>15.54</v>
      </c>
      <c r="X254" s="250">
        <f t="shared" ref="X254:X259" si="245">IFERROR(W254-V254,"")</f>
        <v>0</v>
      </c>
      <c r="Y254" s="670">
        <f t="shared" ref="Y254:Y266" si="246">IF(ISNUMBER(X254), IFERROR(X254/ABS(V254), 0), "")</f>
        <v>0</v>
      </c>
    </row>
    <row r="255" ht="15.75" customHeight="1">
      <c r="B255" s="577" t="s">
        <v>21</v>
      </c>
      <c r="C255" s="586">
        <v>0.0</v>
      </c>
      <c r="D255" s="586">
        <v>0.0</v>
      </c>
      <c r="E255" s="586">
        <v>0.03</v>
      </c>
      <c r="F255" s="586">
        <v>12.84</v>
      </c>
      <c r="G255" s="588">
        <f t="shared" si="242"/>
        <v>12.87</v>
      </c>
      <c r="I255" s="586">
        <v>0.0</v>
      </c>
      <c r="J255" s="586">
        <v>0.0</v>
      </c>
      <c r="K255" s="586">
        <v>0.03</v>
      </c>
      <c r="L255" s="586">
        <v>12.84</v>
      </c>
      <c r="M255" s="588">
        <f t="shared" si="243"/>
        <v>12.87</v>
      </c>
      <c r="O255" s="575" t="str">
        <f t="shared" ref="O255:S255" si="244">IFERROR(I255/C255-1,"")</f>
        <v/>
      </c>
      <c r="P255" s="575" t="str">
        <f t="shared" si="244"/>
        <v/>
      </c>
      <c r="Q255" s="575">
        <f t="shared" si="244"/>
        <v>0</v>
      </c>
      <c r="R255" s="575">
        <f t="shared" si="244"/>
        <v>0</v>
      </c>
      <c r="S255" s="575">
        <f t="shared" si="244"/>
        <v>0</v>
      </c>
      <c r="U255" s="6">
        <v>0.0</v>
      </c>
      <c r="V255" s="6">
        <v>16.44</v>
      </c>
      <c r="W255" s="6">
        <v>16.44</v>
      </c>
      <c r="X255" s="250">
        <f t="shared" si="245"/>
        <v>0</v>
      </c>
      <c r="Y255" s="670">
        <f t="shared" si="246"/>
        <v>0</v>
      </c>
    </row>
    <row r="256" ht="15.75" customHeight="1">
      <c r="B256" s="577" t="s">
        <v>22</v>
      </c>
      <c r="C256" s="586">
        <v>0.0</v>
      </c>
      <c r="D256" s="586">
        <v>0.0</v>
      </c>
      <c r="E256" s="586">
        <v>0.03</v>
      </c>
      <c r="F256" s="586">
        <v>14.84</v>
      </c>
      <c r="G256" s="588">
        <f t="shared" si="242"/>
        <v>14.87</v>
      </c>
      <c r="I256" s="586">
        <v>0.0</v>
      </c>
      <c r="J256" s="586">
        <v>0.0</v>
      </c>
      <c r="K256" s="586">
        <v>0.03</v>
      </c>
      <c r="L256" s="586">
        <v>14.84</v>
      </c>
      <c r="M256" s="588">
        <f t="shared" si="243"/>
        <v>14.87</v>
      </c>
      <c r="O256" s="575" t="str">
        <f t="shared" ref="O256:S256" si="247">IFERROR(I256/C256-1,"")</f>
        <v/>
      </c>
      <c r="P256" s="575" t="str">
        <f t="shared" si="247"/>
        <v/>
      </c>
      <c r="Q256" s="575">
        <f t="shared" si="247"/>
        <v>0</v>
      </c>
      <c r="R256" s="575">
        <f t="shared" si="247"/>
        <v>0</v>
      </c>
      <c r="S256" s="575">
        <f t="shared" si="247"/>
        <v>0</v>
      </c>
      <c r="U256" s="6">
        <v>0.0</v>
      </c>
      <c r="V256" s="6">
        <v>18.59</v>
      </c>
      <c r="W256" s="6">
        <v>18.59</v>
      </c>
      <c r="X256" s="250">
        <f t="shared" si="245"/>
        <v>0</v>
      </c>
      <c r="Y256" s="670">
        <f t="shared" si="246"/>
        <v>0</v>
      </c>
    </row>
    <row r="257" ht="15.75" customHeight="1">
      <c r="B257" s="577" t="s">
        <v>24</v>
      </c>
      <c r="C257" s="586">
        <v>0.0</v>
      </c>
      <c r="D257" s="586">
        <v>0.0</v>
      </c>
      <c r="E257" s="586">
        <v>0.03</v>
      </c>
      <c r="F257" s="586">
        <v>22.3</v>
      </c>
      <c r="G257" s="588">
        <f t="shared" si="242"/>
        <v>22.33</v>
      </c>
      <c r="I257" s="586">
        <v>0.0</v>
      </c>
      <c r="J257" s="586">
        <v>0.0</v>
      </c>
      <c r="K257" s="586">
        <v>0.03</v>
      </c>
      <c r="L257" s="586">
        <v>22.3</v>
      </c>
      <c r="M257" s="588">
        <f t="shared" si="243"/>
        <v>22.33</v>
      </c>
      <c r="O257" s="575" t="str">
        <f t="shared" ref="O257:S257" si="248">IFERROR(I257/C257-1,"")</f>
        <v/>
      </c>
      <c r="P257" s="575" t="str">
        <f t="shared" si="248"/>
        <v/>
      </c>
      <c r="Q257" s="575">
        <f t="shared" si="248"/>
        <v>0</v>
      </c>
      <c r="R257" s="575">
        <f t="shared" si="248"/>
        <v>0</v>
      </c>
      <c r="S257" s="575">
        <f t="shared" si="248"/>
        <v>0</v>
      </c>
      <c r="U257" s="6">
        <v>0.0</v>
      </c>
      <c r="V257" s="6">
        <v>26.76</v>
      </c>
      <c r="W257" s="6">
        <v>26.76</v>
      </c>
      <c r="X257" s="250">
        <f t="shared" si="245"/>
        <v>0</v>
      </c>
      <c r="Y257" s="670">
        <f t="shared" si="246"/>
        <v>0</v>
      </c>
    </row>
    <row r="258" ht="15.75" customHeight="1">
      <c r="B258" s="577" t="s">
        <v>26</v>
      </c>
      <c r="C258" s="586">
        <v>0.0</v>
      </c>
      <c r="D258" s="586">
        <v>0.0</v>
      </c>
      <c r="E258" s="586">
        <v>0.04</v>
      </c>
      <c r="F258" s="586">
        <v>26.14</v>
      </c>
      <c r="G258" s="588">
        <f t="shared" si="242"/>
        <v>26.18</v>
      </c>
      <c r="I258" s="586">
        <v>0.0</v>
      </c>
      <c r="J258" s="586">
        <v>0.0</v>
      </c>
      <c r="K258" s="586">
        <v>0.04</v>
      </c>
      <c r="L258" s="586">
        <v>26.14</v>
      </c>
      <c r="M258" s="588">
        <f t="shared" si="243"/>
        <v>26.18</v>
      </c>
      <c r="O258" s="575" t="str">
        <f t="shared" ref="O258:S258" si="249">IFERROR(I258/C258-1,"")</f>
        <v/>
      </c>
      <c r="P258" s="575" t="str">
        <f t="shared" si="249"/>
        <v/>
      </c>
      <c r="Q258" s="575">
        <f t="shared" si="249"/>
        <v>0</v>
      </c>
      <c r="R258" s="575">
        <f t="shared" si="249"/>
        <v>0</v>
      </c>
      <c r="S258" s="575">
        <f t="shared" si="249"/>
        <v>0</v>
      </c>
      <c r="U258" s="6">
        <v>0.0</v>
      </c>
      <c r="V258" s="6">
        <v>34.91</v>
      </c>
      <c r="W258" s="6">
        <v>34.91</v>
      </c>
      <c r="X258" s="250">
        <f t="shared" si="245"/>
        <v>0</v>
      </c>
      <c r="Y258" s="670">
        <f t="shared" si="246"/>
        <v>0</v>
      </c>
    </row>
    <row r="259" ht="15.75" customHeight="1">
      <c r="B259" s="603" t="s">
        <v>1628</v>
      </c>
      <c r="C259" s="604">
        <v>0.0</v>
      </c>
      <c r="D259" s="604">
        <v>0.0</v>
      </c>
      <c r="E259" s="604">
        <v>0.08</v>
      </c>
      <c r="F259" s="604">
        <v>14.38</v>
      </c>
      <c r="G259" s="605">
        <f t="shared" si="242"/>
        <v>14.46</v>
      </c>
      <c r="I259" s="604">
        <v>0.0</v>
      </c>
      <c r="J259" s="604">
        <v>0.0</v>
      </c>
      <c r="K259" s="604">
        <v>0.08</v>
      </c>
      <c r="L259" s="604">
        <v>14.38</v>
      </c>
      <c r="M259" s="605">
        <f t="shared" si="243"/>
        <v>14.46</v>
      </c>
      <c r="O259" s="606" t="str">
        <f t="shared" ref="O259:S259" si="250">IFERROR(I259/C259-1,"")</f>
        <v/>
      </c>
      <c r="P259" s="606" t="str">
        <f t="shared" si="250"/>
        <v/>
      </c>
      <c r="Q259" s="606">
        <f t="shared" si="250"/>
        <v>0</v>
      </c>
      <c r="R259" s="606">
        <f t="shared" si="250"/>
        <v>0</v>
      </c>
      <c r="S259" s="606">
        <f t="shared" si="250"/>
        <v>0</v>
      </c>
      <c r="U259" s="6">
        <v>0.0</v>
      </c>
      <c r="V259" s="6">
        <v>19.93</v>
      </c>
      <c r="W259" s="6">
        <v>19.93</v>
      </c>
      <c r="X259" s="250">
        <f t="shared" si="245"/>
        <v>0</v>
      </c>
      <c r="Y259" s="670">
        <f t="shared" si="246"/>
        <v>0</v>
      </c>
    </row>
    <row r="260" ht="15.75" customHeight="1">
      <c r="B260" s="569" t="s">
        <v>1192</v>
      </c>
      <c r="C260" s="569"/>
      <c r="D260" s="569"/>
      <c r="E260" s="569"/>
      <c r="F260" s="569"/>
      <c r="G260" s="569"/>
      <c r="H260" s="569"/>
      <c r="I260" s="569"/>
      <c r="J260" s="569"/>
      <c r="K260" s="569"/>
      <c r="L260" s="569"/>
      <c r="M260" s="569"/>
      <c r="N260" s="569"/>
      <c r="O260" s="569"/>
      <c r="P260" s="569"/>
      <c r="Q260" s="569"/>
      <c r="R260" s="569"/>
      <c r="S260" s="569"/>
      <c r="Y260" s="670" t="str">
        <f t="shared" si="246"/>
        <v/>
      </c>
    </row>
    <row r="261" ht="15.75" customHeight="1">
      <c r="B261" s="577" t="s">
        <v>19</v>
      </c>
      <c r="C261" s="586">
        <v>0.0</v>
      </c>
      <c r="D261" s="586">
        <v>0.0</v>
      </c>
      <c r="E261" s="586">
        <v>0.06</v>
      </c>
      <c r="F261" s="586">
        <v>14.09</v>
      </c>
      <c r="G261" s="588">
        <f t="shared" ref="G261:G266" si="252">SUM(C261:F261)</f>
        <v>14.15</v>
      </c>
      <c r="I261" s="586">
        <v>0.0</v>
      </c>
      <c r="J261" s="586">
        <v>0.0</v>
      </c>
      <c r="K261" s="586">
        <v>0.06</v>
      </c>
      <c r="L261" s="586">
        <v>14.09</v>
      </c>
      <c r="M261" s="588">
        <f t="shared" ref="M261:M266" si="253">SUM(I261:L261)</f>
        <v>14.15</v>
      </c>
      <c r="O261" s="575" t="str">
        <f t="shared" ref="O261:S261" si="251">IFERROR(I261/C261-1,"")</f>
        <v/>
      </c>
      <c r="P261" s="575" t="str">
        <f t="shared" si="251"/>
        <v/>
      </c>
      <c r="Q261" s="575">
        <f t="shared" si="251"/>
        <v>0</v>
      </c>
      <c r="R261" s="575">
        <f t="shared" si="251"/>
        <v>0</v>
      </c>
      <c r="S261" s="575">
        <f t="shared" si="251"/>
        <v>0</v>
      </c>
      <c r="U261" s="6">
        <v>0.0</v>
      </c>
      <c r="V261" s="6">
        <v>16.56</v>
      </c>
      <c r="W261" s="6">
        <v>16.56</v>
      </c>
      <c r="X261" s="250">
        <f t="shared" ref="X261:X266" si="255">IFERROR(W261-V261,"")</f>
        <v>0</v>
      </c>
      <c r="Y261" s="670">
        <f t="shared" si="246"/>
        <v>0</v>
      </c>
    </row>
    <row r="262" ht="15.75" customHeight="1">
      <c r="B262" s="577" t="s">
        <v>21</v>
      </c>
      <c r="C262" s="586">
        <v>0.0</v>
      </c>
      <c r="D262" s="586">
        <v>0.0</v>
      </c>
      <c r="E262" s="586">
        <v>0.05</v>
      </c>
      <c r="F262" s="586">
        <v>13.2</v>
      </c>
      <c r="G262" s="588">
        <f t="shared" si="252"/>
        <v>13.25</v>
      </c>
      <c r="I262" s="586">
        <v>0.0</v>
      </c>
      <c r="J262" s="586">
        <v>0.0</v>
      </c>
      <c r="K262" s="586">
        <v>0.05</v>
      </c>
      <c r="L262" s="586">
        <v>13.2</v>
      </c>
      <c r="M262" s="588">
        <f t="shared" si="253"/>
        <v>13.25</v>
      </c>
      <c r="O262" s="575" t="str">
        <f t="shared" ref="O262:S262" si="254">IFERROR(I262/C262-1,"")</f>
        <v/>
      </c>
      <c r="P262" s="575" t="str">
        <f t="shared" si="254"/>
        <v/>
      </c>
      <c r="Q262" s="575">
        <f t="shared" si="254"/>
        <v>0</v>
      </c>
      <c r="R262" s="575">
        <f t="shared" si="254"/>
        <v>0</v>
      </c>
      <c r="S262" s="575">
        <f t="shared" si="254"/>
        <v>0</v>
      </c>
      <c r="U262" s="6">
        <v>0.0</v>
      </c>
      <c r="V262" s="6">
        <v>18.1</v>
      </c>
      <c r="W262" s="6">
        <v>18.1</v>
      </c>
      <c r="X262" s="250">
        <f t="shared" si="255"/>
        <v>0</v>
      </c>
      <c r="Y262" s="670">
        <f t="shared" si="246"/>
        <v>0</v>
      </c>
    </row>
    <row r="263" ht="15.75" customHeight="1">
      <c r="B263" s="577" t="s">
        <v>22</v>
      </c>
      <c r="C263" s="586">
        <v>0.0</v>
      </c>
      <c r="D263" s="586">
        <v>0.0</v>
      </c>
      <c r="E263" s="586">
        <v>0.03</v>
      </c>
      <c r="F263" s="586">
        <v>16.96</v>
      </c>
      <c r="G263" s="588">
        <f t="shared" si="252"/>
        <v>16.99</v>
      </c>
      <c r="I263" s="586">
        <v>0.0</v>
      </c>
      <c r="J263" s="586">
        <v>0.0</v>
      </c>
      <c r="K263" s="586">
        <v>0.03</v>
      </c>
      <c r="L263" s="586">
        <v>16.96</v>
      </c>
      <c r="M263" s="588">
        <f t="shared" si="253"/>
        <v>16.99</v>
      </c>
      <c r="O263" s="575" t="str">
        <f t="shared" ref="O263:S263" si="256">IFERROR(I263/C263-1,"")</f>
        <v/>
      </c>
      <c r="P263" s="575" t="str">
        <f t="shared" si="256"/>
        <v/>
      </c>
      <c r="Q263" s="575">
        <f t="shared" si="256"/>
        <v>0</v>
      </c>
      <c r="R263" s="575">
        <f t="shared" si="256"/>
        <v>0</v>
      </c>
      <c r="S263" s="575">
        <f t="shared" si="256"/>
        <v>0</v>
      </c>
      <c r="U263" s="6">
        <v>0.0</v>
      </c>
      <c r="V263" s="6">
        <v>23.62</v>
      </c>
      <c r="W263" s="6">
        <v>23.62</v>
      </c>
      <c r="X263" s="250">
        <f t="shared" si="255"/>
        <v>0</v>
      </c>
      <c r="Y263" s="670">
        <f t="shared" si="246"/>
        <v>0</v>
      </c>
    </row>
    <row r="264" ht="15.75" customHeight="1">
      <c r="B264" s="577" t="s">
        <v>24</v>
      </c>
      <c r="C264" s="586">
        <v>0.0</v>
      </c>
      <c r="D264" s="586">
        <v>0.0</v>
      </c>
      <c r="E264" s="586">
        <v>0.12</v>
      </c>
      <c r="F264" s="586">
        <v>26.35</v>
      </c>
      <c r="G264" s="588">
        <f t="shared" si="252"/>
        <v>26.47</v>
      </c>
      <c r="I264" s="586">
        <v>0.0</v>
      </c>
      <c r="J264" s="586">
        <v>0.0</v>
      </c>
      <c r="K264" s="586">
        <v>0.12</v>
      </c>
      <c r="L264" s="586">
        <v>26.35</v>
      </c>
      <c r="M264" s="588">
        <f t="shared" si="253"/>
        <v>26.47</v>
      </c>
      <c r="O264" s="575" t="str">
        <f t="shared" ref="O264:S264" si="257">IFERROR(I264/C264-1,"")</f>
        <v/>
      </c>
      <c r="P264" s="575" t="str">
        <f t="shared" si="257"/>
        <v/>
      </c>
      <c r="Q264" s="575">
        <f t="shared" si="257"/>
        <v>0</v>
      </c>
      <c r="R264" s="575">
        <f t="shared" si="257"/>
        <v>0</v>
      </c>
      <c r="S264" s="575">
        <f t="shared" si="257"/>
        <v>0</v>
      </c>
      <c r="U264" s="6">
        <v>0.0</v>
      </c>
      <c r="V264" s="6">
        <v>33.43</v>
      </c>
      <c r="W264" s="6">
        <v>33.43</v>
      </c>
      <c r="X264" s="250">
        <f t="shared" si="255"/>
        <v>0</v>
      </c>
      <c r="Y264" s="670">
        <f t="shared" si="246"/>
        <v>0</v>
      </c>
    </row>
    <row r="265" ht="15.75" customHeight="1">
      <c r="B265" s="577" t="s">
        <v>26</v>
      </c>
      <c r="C265" s="586">
        <v>0.0</v>
      </c>
      <c r="D265" s="586">
        <v>0.0</v>
      </c>
      <c r="E265" s="586">
        <v>0.06</v>
      </c>
      <c r="F265" s="586">
        <v>29.31</v>
      </c>
      <c r="G265" s="588">
        <f t="shared" si="252"/>
        <v>29.37</v>
      </c>
      <c r="I265" s="586">
        <v>0.0</v>
      </c>
      <c r="J265" s="586">
        <v>0.0</v>
      </c>
      <c r="K265" s="586">
        <v>0.06</v>
      </c>
      <c r="L265" s="586">
        <v>29.31</v>
      </c>
      <c r="M265" s="588">
        <f t="shared" si="253"/>
        <v>29.37</v>
      </c>
      <c r="O265" s="575" t="str">
        <f t="shared" ref="O265:S265" si="258">IFERROR(I265/C265-1,"")</f>
        <v/>
      </c>
      <c r="P265" s="575" t="str">
        <f t="shared" si="258"/>
        <v/>
      </c>
      <c r="Q265" s="575">
        <f t="shared" si="258"/>
        <v>0</v>
      </c>
      <c r="R265" s="575">
        <f t="shared" si="258"/>
        <v>0</v>
      </c>
      <c r="S265" s="575">
        <f t="shared" si="258"/>
        <v>0</v>
      </c>
      <c r="U265" s="6">
        <v>0.0</v>
      </c>
      <c r="V265" s="6">
        <v>38.38</v>
      </c>
      <c r="W265" s="6">
        <v>38.38</v>
      </c>
      <c r="X265" s="250">
        <f t="shared" si="255"/>
        <v>0</v>
      </c>
      <c r="Y265" s="670">
        <f t="shared" si="246"/>
        <v>0</v>
      </c>
    </row>
    <row r="266" ht="15.75" customHeight="1">
      <c r="B266" s="603" t="s">
        <v>1628</v>
      </c>
      <c r="C266" s="604">
        <v>0.0</v>
      </c>
      <c r="D266" s="604">
        <v>0.0</v>
      </c>
      <c r="E266" s="604">
        <v>0.06</v>
      </c>
      <c r="F266" s="604">
        <v>16.59</v>
      </c>
      <c r="G266" s="605">
        <f t="shared" si="252"/>
        <v>16.65</v>
      </c>
      <c r="I266" s="604">
        <v>0.0</v>
      </c>
      <c r="J266" s="604">
        <v>0.0</v>
      </c>
      <c r="K266" s="604">
        <v>0.06</v>
      </c>
      <c r="L266" s="604">
        <v>16.59</v>
      </c>
      <c r="M266" s="605">
        <f t="shared" si="253"/>
        <v>16.65</v>
      </c>
      <c r="O266" s="606" t="str">
        <f t="shared" ref="O266:S266" si="259">IFERROR(I266/C266-1,"")</f>
        <v/>
      </c>
      <c r="P266" s="606" t="str">
        <f t="shared" si="259"/>
        <v/>
      </c>
      <c r="Q266" s="606">
        <f t="shared" si="259"/>
        <v>0</v>
      </c>
      <c r="R266" s="606">
        <f t="shared" si="259"/>
        <v>0</v>
      </c>
      <c r="S266" s="606">
        <f t="shared" si="259"/>
        <v>0</v>
      </c>
      <c r="U266" s="6">
        <v>0.0</v>
      </c>
      <c r="V266" s="6">
        <v>22.18</v>
      </c>
      <c r="W266" s="6">
        <v>22.18</v>
      </c>
      <c r="X266" s="250">
        <f t="shared" si="255"/>
        <v>0</v>
      </c>
      <c r="Y266" s="670">
        <f t="shared" si="246"/>
        <v>0</v>
      </c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conditionalFormatting sqref="AB6:AC18">
    <cfRule type="expression" dxfId="13" priority="1" stopIfTrue="1">
      <formula>IFERROR(VALUE(SUBSTITUTE(MID(AB6, FIND("(", AB6) + 1, FIND("%", AB6) - FIND("(", AB6) - 1), "+", "")), 0) &gt;= 4</formula>
    </cfRule>
  </conditionalFormatting>
  <conditionalFormatting sqref="AB6:AC18">
    <cfRule type="expression" dxfId="11" priority="2" stopIfTrue="1">
      <formula>IFERROR(VALUE(SUBSTITUTE(MID(AB6, FIND("(", AB6) + 1, FIND("%", AB6) - FIND("(", AB6) - 1), "+", "")), 0) &lt;= -4</formula>
    </cfRule>
  </conditionalFormatting>
  <conditionalFormatting sqref="AB6:AC18">
    <cfRule type="expression" dxfId="14" priority="3" stopIfTrue="1">
      <formula>AND(AB6&lt;&gt;"", ABS(IFERROR(VALUE(SUBSTITUTE(MID(AB6, FIND("(", AB6) + 1, FIND("%", AB6) - FIND("(", AB6) - 1), "+", "")), 999)) &lt; 4)</formula>
    </cfRule>
  </conditionalFormatting>
  <conditionalFormatting sqref="Q1:S19 Y1:Y230 AB6:AC18 Q22:S1019 X23:X24 X42:X43 X61:X62 X80:X81 X99:X100 X118:X119 X137:X138 X156:X157 X175:X176 X194:X195 X213:X214 Y248:Y249 Y267:Y1019">
    <cfRule type="cellIs" dxfId="15" priority="4" operator="greaterThan">
      <formula>0</formula>
    </cfRule>
  </conditionalFormatting>
  <conditionalFormatting sqref="Q1:S19 Y1:Y230 AB6:AC18 Q22:S1019 X23:X24 X42:X43 X61:X62 X80:X81 X99:X100 X118:X119 X137:X138 X156:X157 X175:X176 X194:X195 X213:X214 Y248:Y249 Y267:Y1019">
    <cfRule type="cellIs" dxfId="16" priority="5" operator="lessThan">
      <formula>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13" width="5.63"/>
    <col customWidth="1" min="14" max="15" width="5.5"/>
    <col customWidth="1" min="16" max="16" width="7.25"/>
    <col customWidth="1" min="17" max="17" width="4.13"/>
    <col customWidth="1" min="18" max="28" width="5.63"/>
    <col customWidth="1" min="29" max="30" width="5.75"/>
    <col customWidth="1" min="31" max="31" width="7.5"/>
  </cols>
  <sheetData>
    <row r="1"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R1" s="328"/>
      <c r="S1" s="328"/>
      <c r="T1" s="328"/>
      <c r="U1" s="328"/>
      <c r="V1" s="328"/>
      <c r="W1" s="328"/>
      <c r="X1" s="328"/>
      <c r="Y1" s="328"/>
      <c r="Z1" s="328"/>
      <c r="AA1" s="328"/>
      <c r="AB1" s="328"/>
    </row>
    <row r="2">
      <c r="B2" s="543" t="s">
        <v>1189</v>
      </c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R2" s="328"/>
      <c r="S2" s="328"/>
      <c r="T2" s="328"/>
      <c r="U2" s="328"/>
      <c r="V2" s="328"/>
      <c r="W2" s="328"/>
      <c r="X2" s="328"/>
      <c r="Y2" s="328"/>
      <c r="Z2" s="328"/>
      <c r="AA2" s="328"/>
      <c r="AB2" s="328"/>
    </row>
    <row r="3">
      <c r="B3" s="546" t="s">
        <v>179</v>
      </c>
      <c r="C3" s="224" t="s">
        <v>1192</v>
      </c>
      <c r="D3" s="547" t="s">
        <v>1193</v>
      </c>
      <c r="E3" s="328"/>
      <c r="F3" s="328"/>
      <c r="G3" s="328"/>
      <c r="H3" s="328"/>
      <c r="I3" s="328"/>
      <c r="J3" s="328"/>
      <c r="K3" s="328"/>
      <c r="L3" s="328"/>
      <c r="M3" s="328"/>
    </row>
    <row r="4">
      <c r="B4" s="328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</row>
    <row r="5">
      <c r="B5" s="328"/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R5" s="328"/>
      <c r="S5" s="328"/>
      <c r="T5" s="328"/>
      <c r="U5" s="328"/>
      <c r="V5" s="328"/>
      <c r="W5" s="328"/>
      <c r="X5" s="328"/>
      <c r="Y5" s="328"/>
      <c r="Z5" s="328"/>
      <c r="AA5" s="328"/>
      <c r="AB5" s="328"/>
    </row>
    <row r="6" ht="15.75" customHeight="1">
      <c r="B6" s="553" t="s">
        <v>19</v>
      </c>
      <c r="C6" s="555" t="s">
        <v>1198</v>
      </c>
      <c r="D6" s="555"/>
      <c r="E6" s="555"/>
      <c r="F6" s="555"/>
      <c r="G6" s="555"/>
      <c r="H6" s="555"/>
      <c r="I6" s="555"/>
      <c r="J6" s="555"/>
      <c r="K6" s="555"/>
      <c r="L6" s="555"/>
      <c r="M6" s="555"/>
      <c r="N6" s="555"/>
      <c r="O6" s="555"/>
      <c r="R6" s="557" t="s">
        <v>1200</v>
      </c>
      <c r="S6" s="557"/>
      <c r="T6" s="557"/>
      <c r="U6" s="557"/>
      <c r="V6" s="557"/>
      <c r="W6" s="557"/>
      <c r="X6" s="557"/>
      <c r="Y6" s="557"/>
      <c r="Z6" s="557"/>
      <c r="AA6" s="557"/>
      <c r="AB6" s="557"/>
      <c r="AC6" s="557"/>
      <c r="AD6" s="557"/>
      <c r="AE6" s="394"/>
    </row>
    <row r="7">
      <c r="B7" s="561" t="s">
        <v>422</v>
      </c>
      <c r="C7" s="563" t="s">
        <v>1205</v>
      </c>
      <c r="D7" s="563" t="s">
        <v>52</v>
      </c>
      <c r="E7" s="563" t="s">
        <v>53</v>
      </c>
      <c r="F7" s="563" t="s">
        <v>54</v>
      </c>
      <c r="G7" s="563" t="s">
        <v>47</v>
      </c>
      <c r="H7" s="563" t="s">
        <v>48</v>
      </c>
      <c r="I7" s="563" t="s">
        <v>50</v>
      </c>
      <c r="J7" s="563" t="s">
        <v>1209</v>
      </c>
      <c r="K7" s="563" t="s">
        <v>1210</v>
      </c>
      <c r="L7" s="563" t="s">
        <v>1211</v>
      </c>
      <c r="M7" s="563" t="s">
        <v>55</v>
      </c>
      <c r="N7" s="563" t="s">
        <v>46</v>
      </c>
      <c r="O7" s="563" t="s">
        <v>1213</v>
      </c>
      <c r="P7" s="566" t="s">
        <v>1214</v>
      </c>
      <c r="R7" s="567" t="s">
        <v>1205</v>
      </c>
      <c r="S7" s="567" t="s">
        <v>52</v>
      </c>
      <c r="T7" s="567" t="s">
        <v>53</v>
      </c>
      <c r="U7" s="567" t="s">
        <v>54</v>
      </c>
      <c r="V7" s="567" t="s">
        <v>47</v>
      </c>
      <c r="W7" s="567" t="s">
        <v>48</v>
      </c>
      <c r="X7" s="567" t="s">
        <v>50</v>
      </c>
      <c r="Y7" s="567" t="s">
        <v>1209</v>
      </c>
      <c r="Z7" s="567" t="s">
        <v>1210</v>
      </c>
      <c r="AA7" s="567" t="s">
        <v>1211</v>
      </c>
      <c r="AB7" s="567" t="s">
        <v>55</v>
      </c>
      <c r="AC7" s="567" t="s">
        <v>46</v>
      </c>
      <c r="AD7" s="567" t="s">
        <v>1213</v>
      </c>
      <c r="AE7" s="570" t="s">
        <v>1214</v>
      </c>
    </row>
    <row r="8" ht="15.75" customHeight="1">
      <c r="B8" s="571" t="s">
        <v>393</v>
      </c>
      <c r="C8" s="572" t="str">
        <f>LET(payer, $C$3, segment, $B$6, ECOGAINS_SIM(payer, segment, sim_refresh!$A$1))</f>
        <v>Loading...</v>
      </c>
      <c r="D8" s="573"/>
      <c r="E8" s="573"/>
      <c r="F8" s="573"/>
      <c r="G8" s="573"/>
      <c r="H8" s="573"/>
      <c r="I8" s="573"/>
      <c r="J8" s="573"/>
      <c r="K8" s="573"/>
      <c r="L8" s="573"/>
      <c r="M8" s="573"/>
      <c r="N8" s="572"/>
      <c r="O8" s="572"/>
      <c r="P8" s="578" t="str">
        <f t="array" ref="P8">SUMPRODUCT(C8:O8, {item_vals!$B$3, item_vals!$E$3:$N$3, item_vals!$C$3:$D$3})</f>
        <v>Loading...</v>
      </c>
      <c r="Q8" s="579"/>
      <c r="R8" s="580" t="str">
        <f>LET(payer, $C$3, segment, $B$6, ECOGAINS_DIFF(payer, segment, sim_refresh!$A$1))</f>
        <v>Loading...</v>
      </c>
      <c r="S8" s="581"/>
      <c r="T8" s="581"/>
      <c r="U8" s="581"/>
      <c r="V8" s="581"/>
      <c r="W8" s="581"/>
      <c r="X8" s="581"/>
      <c r="Y8" s="581"/>
      <c r="Z8" s="581"/>
      <c r="AA8" s="581"/>
      <c r="AB8" s="581"/>
      <c r="AC8" s="581"/>
      <c r="AD8" s="582"/>
      <c r="AE8" s="583" t="str">
        <f t="array" ref="AE8">SUMPRODUCT(R8:AD8, {item_vals!$B$3, item_vals!$E$3:$N$3, item_vals!$C$3:$D$3})</f>
        <v>Loading...</v>
      </c>
    </row>
    <row r="9" ht="15.75" customHeight="1">
      <c r="B9" s="584" t="s">
        <v>341</v>
      </c>
      <c r="C9" s="585"/>
      <c r="D9" s="585"/>
      <c r="E9" s="585"/>
      <c r="F9" s="585"/>
      <c r="G9" s="585"/>
      <c r="H9" s="585"/>
      <c r="I9" s="585"/>
      <c r="J9" s="585"/>
      <c r="K9" s="585"/>
      <c r="L9" s="585"/>
      <c r="M9" s="585"/>
      <c r="N9" s="585"/>
      <c r="O9" s="585"/>
      <c r="P9" s="578">
        <f t="array" ref="P9">SUMPRODUCT(C9:O9, {item_vals!$B$3, item_vals!$E$3:$N$3, item_vals!$C$3:$D$3})</f>
        <v>0</v>
      </c>
      <c r="Q9" s="579"/>
      <c r="R9" s="581"/>
      <c r="S9" s="581"/>
      <c r="T9" s="581"/>
      <c r="U9" s="581"/>
      <c r="V9" s="581"/>
      <c r="W9" s="581"/>
      <c r="X9" s="581"/>
      <c r="Y9" s="581"/>
      <c r="Z9" s="581"/>
      <c r="AA9" s="581"/>
      <c r="AB9" s="581"/>
      <c r="AC9" s="581"/>
      <c r="AD9" s="582"/>
      <c r="AE9" s="587">
        <f t="array" ref="AE9">SUMPRODUCT(R9:AD9, {item_vals!$B$3, item_vals!$E$3:$N$3, item_vals!$C$3:$D$3})</f>
        <v>0</v>
      </c>
    </row>
    <row r="10" ht="15.75" customHeight="1">
      <c r="B10" s="584" t="s">
        <v>206</v>
      </c>
      <c r="C10" s="585"/>
      <c r="D10" s="585"/>
      <c r="E10" s="585"/>
      <c r="F10" s="585"/>
      <c r="G10" s="585"/>
      <c r="H10" s="585"/>
      <c r="I10" s="585"/>
      <c r="J10" s="585"/>
      <c r="K10" s="585"/>
      <c r="L10" s="585"/>
      <c r="M10" s="585"/>
      <c r="N10" s="585"/>
      <c r="O10" s="585"/>
      <c r="P10" s="578">
        <f t="array" ref="P10">SUMPRODUCT(C10:O10, {item_vals!$B$3, item_vals!$E$3:$N$3, item_vals!$C$3:$D$3})</f>
        <v>0</v>
      </c>
      <c r="Q10" s="579"/>
      <c r="R10" s="581"/>
      <c r="S10" s="581"/>
      <c r="T10" s="581"/>
      <c r="U10" s="581"/>
      <c r="V10" s="581"/>
      <c r="W10" s="581"/>
      <c r="X10" s="581"/>
      <c r="Y10" s="581"/>
      <c r="Z10" s="581"/>
      <c r="AA10" s="581"/>
      <c r="AB10" s="581"/>
      <c r="AC10" s="581"/>
      <c r="AD10" s="582"/>
      <c r="AE10" s="587">
        <f t="array" ref="AE10">SUMPRODUCT(R10:AD10, {item_vals!$B$3, item_vals!$E$3:$N$3, item_vals!$C$3:$D$3})</f>
        <v>0</v>
      </c>
    </row>
    <row r="11" ht="15.75" customHeight="1">
      <c r="B11" s="584" t="s">
        <v>338</v>
      </c>
      <c r="C11" s="585"/>
      <c r="D11" s="585"/>
      <c r="E11" s="585"/>
      <c r="F11" s="585"/>
      <c r="G11" s="585"/>
      <c r="H11" s="585"/>
      <c r="I11" s="585"/>
      <c r="J11" s="585"/>
      <c r="K11" s="585"/>
      <c r="L11" s="585"/>
      <c r="M11" s="585"/>
      <c r="N11" s="585"/>
      <c r="O11" s="585"/>
      <c r="P11" s="578">
        <f t="array" ref="P11">SUMPRODUCT(C11:O11, {item_vals!$B$3, item_vals!$E$3:$N$3, item_vals!$C$3:$D$3})</f>
        <v>0</v>
      </c>
      <c r="Q11" s="579"/>
      <c r="R11" s="581"/>
      <c r="S11" s="581"/>
      <c r="T11" s="581"/>
      <c r="U11" s="581"/>
      <c r="V11" s="581"/>
      <c r="W11" s="581"/>
      <c r="X11" s="581"/>
      <c r="Y11" s="581"/>
      <c r="Z11" s="581"/>
      <c r="AA11" s="581"/>
      <c r="AB11" s="581"/>
      <c r="AC11" s="581"/>
      <c r="AD11" s="582"/>
      <c r="AE11" s="587">
        <f t="array" ref="AE11">SUMPRODUCT(R11:AD11, {item_vals!$B$3, item_vals!$E$3:$N$3, item_vals!$C$3:$D$3})</f>
        <v>0</v>
      </c>
    </row>
    <row r="12" ht="15.75" customHeight="1">
      <c r="B12" s="584" t="s">
        <v>396</v>
      </c>
      <c r="C12" s="585"/>
      <c r="D12" s="585"/>
      <c r="E12" s="585"/>
      <c r="F12" s="585"/>
      <c r="G12" s="585"/>
      <c r="H12" s="585"/>
      <c r="I12" s="585"/>
      <c r="J12" s="585"/>
      <c r="K12" s="585"/>
      <c r="L12" s="585"/>
      <c r="M12" s="585"/>
      <c r="N12" s="585"/>
      <c r="O12" s="585"/>
      <c r="P12" s="578">
        <f t="array" ref="P12">SUMPRODUCT(C12:O12, {item_vals!$B$3, item_vals!$E$3:$N$3, item_vals!$C$3:$D$3})</f>
        <v>0</v>
      </c>
      <c r="Q12" s="579"/>
      <c r="R12" s="581"/>
      <c r="S12" s="581"/>
      <c r="T12" s="581"/>
      <c r="U12" s="581"/>
      <c r="V12" s="581"/>
      <c r="W12" s="581"/>
      <c r="X12" s="581"/>
      <c r="Y12" s="581"/>
      <c r="Z12" s="581"/>
      <c r="AA12" s="581"/>
      <c r="AB12" s="581"/>
      <c r="AC12" s="581"/>
      <c r="AD12" s="582"/>
      <c r="AE12" s="587">
        <f t="array" ref="AE12">SUMPRODUCT(R12:AD12, {item_vals!$B$3, item_vals!$E$3:$N$3, item_vals!$C$3:$D$3})</f>
        <v>0</v>
      </c>
    </row>
    <row r="13" ht="15.75" customHeight="1">
      <c r="B13" s="584" t="s">
        <v>397</v>
      </c>
      <c r="C13" s="585"/>
      <c r="D13" s="585"/>
      <c r="E13" s="585"/>
      <c r="F13" s="585"/>
      <c r="G13" s="585"/>
      <c r="H13" s="585"/>
      <c r="I13" s="585"/>
      <c r="J13" s="585"/>
      <c r="K13" s="585"/>
      <c r="L13" s="585"/>
      <c r="M13" s="585"/>
      <c r="N13" s="585"/>
      <c r="O13" s="585"/>
      <c r="P13" s="578">
        <f t="array" ref="P13">SUMPRODUCT(C13:O13, {item_vals!$B$3, item_vals!$E$3:$N$3, item_vals!$C$3:$D$3})</f>
        <v>0</v>
      </c>
      <c r="Q13" s="579"/>
      <c r="R13" s="581"/>
      <c r="S13" s="581"/>
      <c r="T13" s="581"/>
      <c r="U13" s="581"/>
      <c r="V13" s="581"/>
      <c r="W13" s="581"/>
      <c r="X13" s="581"/>
      <c r="Y13" s="581"/>
      <c r="Z13" s="581"/>
      <c r="AA13" s="581"/>
      <c r="AB13" s="581"/>
      <c r="AC13" s="581"/>
      <c r="AD13" s="582"/>
      <c r="AE13" s="587">
        <f t="array" ref="AE13">SUMPRODUCT(R13:AD13, {item_vals!$B$3, item_vals!$E$3:$N$3, item_vals!$C$3:$D$3})</f>
        <v>0</v>
      </c>
    </row>
    <row r="14" ht="15.75" customHeight="1">
      <c r="B14" s="584" t="s">
        <v>398</v>
      </c>
      <c r="C14" s="585"/>
      <c r="D14" s="585"/>
      <c r="E14" s="585"/>
      <c r="F14" s="585"/>
      <c r="G14" s="585"/>
      <c r="H14" s="585"/>
      <c r="I14" s="585"/>
      <c r="J14" s="585"/>
      <c r="K14" s="585"/>
      <c r="L14" s="585"/>
      <c r="M14" s="585"/>
      <c r="N14" s="585"/>
      <c r="O14" s="585"/>
      <c r="P14" s="578">
        <f t="array" ref="P14">SUMPRODUCT(C14:O14, {item_vals!$B$3, item_vals!$E$3:$N$3, item_vals!$C$3:$D$3})</f>
        <v>0</v>
      </c>
      <c r="Q14" s="579"/>
      <c r="R14" s="581"/>
      <c r="S14" s="581"/>
      <c r="T14" s="581"/>
      <c r="U14" s="581"/>
      <c r="V14" s="581"/>
      <c r="W14" s="581"/>
      <c r="X14" s="581"/>
      <c r="Y14" s="581"/>
      <c r="Z14" s="581"/>
      <c r="AA14" s="581"/>
      <c r="AB14" s="581"/>
      <c r="AC14" s="581"/>
      <c r="AD14" s="582"/>
      <c r="AE14" s="587">
        <f t="array" ref="AE14">SUMPRODUCT(R14:AD14, {item_vals!$B$3, item_vals!$E$3:$N$3, item_vals!$C$3:$D$3})</f>
        <v>0</v>
      </c>
    </row>
    <row r="15" ht="15.75" customHeight="1">
      <c r="B15" s="584" t="s">
        <v>51</v>
      </c>
      <c r="C15" s="585"/>
      <c r="D15" s="585"/>
      <c r="E15" s="585"/>
      <c r="F15" s="585"/>
      <c r="G15" s="585"/>
      <c r="H15" s="585"/>
      <c r="I15" s="585"/>
      <c r="J15" s="585"/>
      <c r="K15" s="585"/>
      <c r="L15" s="585"/>
      <c r="M15" s="585"/>
      <c r="N15" s="585"/>
      <c r="O15" s="585"/>
      <c r="P15" s="578">
        <f t="array" ref="P15">SUMPRODUCT(C15:O15, {item_vals!$B$3, item_vals!$E$3:$N$3, item_vals!$C$3:$D$3})</f>
        <v>0</v>
      </c>
      <c r="Q15" s="579"/>
      <c r="R15" s="581"/>
      <c r="S15" s="581"/>
      <c r="T15" s="581"/>
      <c r="U15" s="581"/>
      <c r="V15" s="581"/>
      <c r="W15" s="581"/>
      <c r="X15" s="581"/>
      <c r="Y15" s="581"/>
      <c r="Z15" s="581"/>
      <c r="AA15" s="581"/>
      <c r="AB15" s="581"/>
      <c r="AC15" s="581"/>
      <c r="AD15" s="582"/>
      <c r="AE15" s="587">
        <f t="array" ref="AE15">SUMPRODUCT(R15:AD15, {item_vals!$B$3, item_vals!$E$3:$N$3, item_vals!$C$3:$D$3})</f>
        <v>0</v>
      </c>
    </row>
    <row r="16" ht="15.75" customHeight="1">
      <c r="B16" s="584" t="s">
        <v>9</v>
      </c>
      <c r="C16" s="585"/>
      <c r="D16" s="585"/>
      <c r="E16" s="585"/>
      <c r="F16" s="585"/>
      <c r="G16" s="585"/>
      <c r="H16" s="585"/>
      <c r="I16" s="585"/>
      <c r="J16" s="585"/>
      <c r="K16" s="585"/>
      <c r="L16" s="585"/>
      <c r="M16" s="585"/>
      <c r="N16" s="585"/>
      <c r="O16" s="585"/>
      <c r="P16" s="578">
        <f t="array" ref="P16">SUMPRODUCT(C16:O16, {item_vals!$B$3, item_vals!$E$3:$N$3, item_vals!$C$3:$D$3})</f>
        <v>0</v>
      </c>
      <c r="Q16" s="579"/>
      <c r="R16" s="581"/>
      <c r="S16" s="581"/>
      <c r="T16" s="581"/>
      <c r="U16" s="581"/>
      <c r="V16" s="581"/>
      <c r="W16" s="581"/>
      <c r="X16" s="581"/>
      <c r="Y16" s="581"/>
      <c r="Z16" s="581"/>
      <c r="AA16" s="581"/>
      <c r="AB16" s="581"/>
      <c r="AC16" s="581"/>
      <c r="AD16" s="582"/>
      <c r="AE16" s="587">
        <f t="array" ref="AE16">SUMPRODUCT(R16:AD16, {item_vals!$B$3, item_vals!$E$3:$N$3, item_vals!$C$3:$D$3})</f>
        <v>0</v>
      </c>
    </row>
    <row r="17" ht="15.75" customHeight="1">
      <c r="B17" s="584" t="s">
        <v>401</v>
      </c>
      <c r="C17" s="585"/>
      <c r="D17" s="585"/>
      <c r="E17" s="585"/>
      <c r="F17" s="585"/>
      <c r="G17" s="585"/>
      <c r="H17" s="585"/>
      <c r="I17" s="585"/>
      <c r="J17" s="585"/>
      <c r="K17" s="585"/>
      <c r="L17" s="585"/>
      <c r="M17" s="585"/>
      <c r="N17" s="585"/>
      <c r="O17" s="585"/>
      <c r="P17" s="578">
        <f t="array" ref="P17">SUMPRODUCT(C17:O17, {item_vals!$B$3, item_vals!$E$3:$N$3, item_vals!$C$3:$D$3})</f>
        <v>0</v>
      </c>
      <c r="Q17" s="579"/>
      <c r="R17" s="581"/>
      <c r="S17" s="581"/>
      <c r="T17" s="581"/>
      <c r="U17" s="581"/>
      <c r="V17" s="581"/>
      <c r="W17" s="581"/>
      <c r="X17" s="581"/>
      <c r="Y17" s="581"/>
      <c r="Z17" s="581"/>
      <c r="AA17" s="581"/>
      <c r="AB17" s="581"/>
      <c r="AC17" s="581"/>
      <c r="AD17" s="582"/>
      <c r="AE17" s="587">
        <f t="array" ref="AE17">SUMPRODUCT(R17:AD17, {item_vals!$B$3, item_vals!$E$3:$N$3, item_vals!$C$3:$D$3})</f>
        <v>0</v>
      </c>
    </row>
    <row r="18" ht="15.75" customHeight="1">
      <c r="B18" s="584" t="s">
        <v>7</v>
      </c>
      <c r="C18" s="585"/>
      <c r="D18" s="585"/>
      <c r="E18" s="585"/>
      <c r="F18" s="585"/>
      <c r="G18" s="585"/>
      <c r="H18" s="585"/>
      <c r="I18" s="585"/>
      <c r="J18" s="585"/>
      <c r="K18" s="585"/>
      <c r="L18" s="585"/>
      <c r="M18" s="585"/>
      <c r="N18" s="585"/>
      <c r="O18" s="585"/>
      <c r="P18" s="578">
        <f t="array" ref="P18">SUMPRODUCT(C18:O18, {item_vals!$B$3, item_vals!$E$3:$N$3, item_vals!$C$3:$D$3})</f>
        <v>0</v>
      </c>
      <c r="Q18" s="579"/>
      <c r="R18" s="581"/>
      <c r="S18" s="581"/>
      <c r="T18" s="581"/>
      <c r="U18" s="581"/>
      <c r="V18" s="581"/>
      <c r="W18" s="581"/>
      <c r="X18" s="581"/>
      <c r="Y18" s="581"/>
      <c r="Z18" s="581"/>
      <c r="AA18" s="581"/>
      <c r="AB18" s="581"/>
      <c r="AC18" s="581"/>
      <c r="AD18" s="582"/>
      <c r="AE18" s="587">
        <f t="array" ref="AE18">SUMPRODUCT(R18:AD18, {item_vals!$B$3, item_vals!$E$3:$N$3, item_vals!$C$3:$D$3})</f>
        <v>0</v>
      </c>
    </row>
    <row r="19" ht="15.75" customHeight="1">
      <c r="B19" s="584" t="s">
        <v>20</v>
      </c>
      <c r="C19" s="585"/>
      <c r="D19" s="585"/>
      <c r="E19" s="585"/>
      <c r="F19" s="585"/>
      <c r="G19" s="585"/>
      <c r="H19" s="585"/>
      <c r="I19" s="585"/>
      <c r="J19" s="585"/>
      <c r="K19" s="585"/>
      <c r="L19" s="585"/>
      <c r="M19" s="585"/>
      <c r="N19" s="585"/>
      <c r="O19" s="585"/>
      <c r="P19" s="578">
        <f t="array" ref="P19">SUMPRODUCT(C19:O19, {item_vals!$B$3, item_vals!$E$3:$N$3, item_vals!$C$3:$D$3})</f>
        <v>0</v>
      </c>
      <c r="Q19" s="579"/>
      <c r="R19" s="581"/>
      <c r="S19" s="581"/>
      <c r="T19" s="581"/>
      <c r="U19" s="581"/>
      <c r="V19" s="581"/>
      <c r="W19" s="581"/>
      <c r="X19" s="581"/>
      <c r="Y19" s="581"/>
      <c r="Z19" s="581"/>
      <c r="AA19" s="581"/>
      <c r="AB19" s="581"/>
      <c r="AC19" s="581"/>
      <c r="AD19" s="582"/>
      <c r="AE19" s="587">
        <f t="array" ref="AE19">SUMPRODUCT(R19:AD19, {item_vals!$B$3, item_vals!$E$3:$N$3, item_vals!$C$3:$D$3})</f>
        <v>0</v>
      </c>
    </row>
    <row r="20" ht="15.75" customHeight="1">
      <c r="B20" s="571" t="s">
        <v>411</v>
      </c>
      <c r="C20" s="573"/>
      <c r="D20" s="573"/>
      <c r="E20" s="573"/>
      <c r="F20" s="573"/>
      <c r="G20" s="573"/>
      <c r="H20" s="573"/>
      <c r="I20" s="573"/>
      <c r="J20" s="573"/>
      <c r="K20" s="573"/>
      <c r="L20" s="573"/>
      <c r="M20" s="573"/>
      <c r="N20" s="572"/>
      <c r="O20" s="572"/>
      <c r="P20" s="578">
        <f t="array" ref="P20">SUMPRODUCT(C20:O20, {item_vals!$B$3, item_vals!$E$3:$N$3, item_vals!$C$3:$D$3})</f>
        <v>0</v>
      </c>
      <c r="Q20" s="579"/>
      <c r="R20" s="581"/>
      <c r="S20" s="581"/>
      <c r="T20" s="581"/>
      <c r="U20" s="581"/>
      <c r="V20" s="581"/>
      <c r="W20" s="581"/>
      <c r="X20" s="581"/>
      <c r="Y20" s="581"/>
      <c r="Z20" s="581"/>
      <c r="AA20" s="581"/>
      <c r="AB20" s="581"/>
      <c r="AC20" s="581"/>
      <c r="AD20" s="582"/>
      <c r="AE20" s="587">
        <f t="array" ref="AE20">SUMPRODUCT(R20:AD20, {item_vals!$B$3, item_vals!$E$3:$N$3, item_vals!$C$3:$D$3})</f>
        <v>0</v>
      </c>
    </row>
    <row r="21" ht="15.75" customHeight="1">
      <c r="B21" s="584" t="s">
        <v>73</v>
      </c>
      <c r="C21" s="585"/>
      <c r="D21" s="585"/>
      <c r="E21" s="585"/>
      <c r="F21" s="585"/>
      <c r="G21" s="585"/>
      <c r="H21" s="585"/>
      <c r="I21" s="585"/>
      <c r="J21" s="585"/>
      <c r="K21" s="585"/>
      <c r="L21" s="585"/>
      <c r="M21" s="585"/>
      <c r="N21" s="585"/>
      <c r="O21" s="585"/>
      <c r="P21" s="578">
        <f t="array" ref="P21">SUMPRODUCT(C21:O21, {item_vals!$B$3, item_vals!$E$3:$N$3, item_vals!$C$3:$D$3})</f>
        <v>0</v>
      </c>
      <c r="Q21" s="579"/>
      <c r="R21" s="581"/>
      <c r="S21" s="581"/>
      <c r="T21" s="581"/>
      <c r="U21" s="581"/>
      <c r="V21" s="581"/>
      <c r="W21" s="581"/>
      <c r="X21" s="581"/>
      <c r="Y21" s="581"/>
      <c r="Z21" s="581"/>
      <c r="AA21" s="581"/>
      <c r="AB21" s="581"/>
      <c r="AC21" s="581"/>
      <c r="AD21" s="582"/>
      <c r="AE21" s="587">
        <f t="array" ref="AE21">SUMPRODUCT(R21:AD21, {item_vals!$B$3, item_vals!$E$3:$N$3, item_vals!$C$3:$D$3})</f>
        <v>0</v>
      </c>
    </row>
    <row r="22" ht="15.75" customHeight="1">
      <c r="B22" s="584" t="s">
        <v>329</v>
      </c>
      <c r="C22" s="585"/>
      <c r="D22" s="585"/>
      <c r="E22" s="585"/>
      <c r="F22" s="585"/>
      <c r="G22" s="585"/>
      <c r="H22" s="585"/>
      <c r="I22" s="585"/>
      <c r="J22" s="585"/>
      <c r="K22" s="585"/>
      <c r="L22" s="585"/>
      <c r="M22" s="585"/>
      <c r="N22" s="585"/>
      <c r="O22" s="585"/>
      <c r="P22" s="578">
        <f t="array" ref="P22">SUMPRODUCT(C22:O22, {item_vals!$B$3, item_vals!$E$3:$N$3, item_vals!$C$3:$D$3})</f>
        <v>0</v>
      </c>
      <c r="Q22" s="579"/>
      <c r="R22" s="581"/>
      <c r="S22" s="581"/>
      <c r="T22" s="581"/>
      <c r="U22" s="581"/>
      <c r="V22" s="581"/>
      <c r="W22" s="581"/>
      <c r="X22" s="581"/>
      <c r="Y22" s="581"/>
      <c r="Z22" s="581"/>
      <c r="AA22" s="581"/>
      <c r="AB22" s="581"/>
      <c r="AC22" s="581"/>
      <c r="AD22" s="582"/>
      <c r="AE22" s="587">
        <f t="array" ref="AE22">SUMPRODUCT(R22:AD22, {item_vals!$B$3, item_vals!$E$3:$N$3, item_vals!$C$3:$D$3})</f>
        <v>0</v>
      </c>
    </row>
    <row r="23" ht="15.75" customHeight="1">
      <c r="B23" s="584" t="s">
        <v>151</v>
      </c>
      <c r="C23" s="585"/>
      <c r="D23" s="585"/>
      <c r="E23" s="585"/>
      <c r="F23" s="585"/>
      <c r="G23" s="585"/>
      <c r="H23" s="585"/>
      <c r="I23" s="585"/>
      <c r="J23" s="585"/>
      <c r="K23" s="585"/>
      <c r="L23" s="585"/>
      <c r="M23" s="585"/>
      <c r="N23" s="585"/>
      <c r="O23" s="585"/>
      <c r="P23" s="578">
        <f t="array" ref="P23">SUMPRODUCT(C23:O23, {item_vals!$B$3, item_vals!$E$3:$N$3, item_vals!$C$3:$D$3})</f>
        <v>0</v>
      </c>
      <c r="Q23" s="579"/>
      <c r="R23" s="581"/>
      <c r="S23" s="581"/>
      <c r="T23" s="581"/>
      <c r="U23" s="581"/>
      <c r="V23" s="581"/>
      <c r="W23" s="581"/>
      <c r="X23" s="581"/>
      <c r="Y23" s="581"/>
      <c r="Z23" s="581"/>
      <c r="AA23" s="581"/>
      <c r="AB23" s="581"/>
      <c r="AC23" s="581"/>
      <c r="AD23" s="582"/>
      <c r="AE23" s="587">
        <f t="array" ref="AE23">SUMPRODUCT(R23:AD23, {item_vals!$B$3, item_vals!$E$3:$N$3, item_vals!$C$3:$D$3})</f>
        <v>0</v>
      </c>
    </row>
    <row r="24" ht="15.75" customHeight="1">
      <c r="B24" s="584" t="s">
        <v>418</v>
      </c>
      <c r="C24" s="585"/>
      <c r="D24" s="585"/>
      <c r="E24" s="585"/>
      <c r="F24" s="585"/>
      <c r="G24" s="585"/>
      <c r="H24" s="585"/>
      <c r="I24" s="585"/>
      <c r="J24" s="585"/>
      <c r="K24" s="585"/>
      <c r="L24" s="585"/>
      <c r="M24" s="585"/>
      <c r="N24" s="585"/>
      <c r="O24" s="585"/>
      <c r="P24" s="578">
        <f t="array" ref="P24">SUMPRODUCT(C24:O24, {item_vals!$B$3, item_vals!$E$3:$N$3, item_vals!$C$3:$D$3})</f>
        <v>0</v>
      </c>
      <c r="Q24" s="579"/>
      <c r="R24" s="581"/>
      <c r="S24" s="581"/>
      <c r="T24" s="581"/>
      <c r="U24" s="581"/>
      <c r="V24" s="581"/>
      <c r="W24" s="581"/>
      <c r="X24" s="581"/>
      <c r="Y24" s="581"/>
      <c r="Z24" s="581"/>
      <c r="AA24" s="581"/>
      <c r="AB24" s="581"/>
      <c r="AC24" s="581"/>
      <c r="AD24" s="582"/>
      <c r="AE24" s="587">
        <f t="array" ref="AE24">SUMPRODUCT(R24:AD24, {item_vals!$B$3, item_vals!$E$3:$N$3, item_vals!$C$3:$D$3})</f>
        <v>0</v>
      </c>
    </row>
    <row r="25" ht="15.75" customHeight="1">
      <c r="B25" s="584" t="s">
        <v>413</v>
      </c>
      <c r="C25" s="585"/>
      <c r="D25" s="585"/>
      <c r="E25" s="585"/>
      <c r="F25" s="585"/>
      <c r="G25" s="585"/>
      <c r="H25" s="585"/>
      <c r="I25" s="585"/>
      <c r="J25" s="585"/>
      <c r="K25" s="585"/>
      <c r="L25" s="585"/>
      <c r="M25" s="585"/>
      <c r="N25" s="585"/>
      <c r="O25" s="585"/>
      <c r="P25" s="578">
        <f t="array" ref="P25">SUMPRODUCT(C25:O25, {item_vals!$B$3, item_vals!$E$3:$N$3, item_vals!$C$3:$D$3})</f>
        <v>0</v>
      </c>
      <c r="Q25" s="579"/>
      <c r="R25" s="581"/>
      <c r="S25" s="581"/>
      <c r="T25" s="581"/>
      <c r="U25" s="581"/>
      <c r="V25" s="581"/>
      <c r="W25" s="581"/>
      <c r="X25" s="581"/>
      <c r="Y25" s="581"/>
      <c r="Z25" s="581"/>
      <c r="AA25" s="581"/>
      <c r="AB25" s="581"/>
      <c r="AC25" s="581"/>
      <c r="AD25" s="582"/>
      <c r="AE25" s="587">
        <f t="array" ref="AE25">SUMPRODUCT(R25:AD25, {item_vals!$B$3, item_vals!$E$3:$N$3, item_vals!$C$3:$D$3})</f>
        <v>0</v>
      </c>
    </row>
    <row r="26" ht="15.75" customHeight="1">
      <c r="B26" s="584" t="s">
        <v>63</v>
      </c>
      <c r="C26" s="585"/>
      <c r="D26" s="585"/>
      <c r="E26" s="585"/>
      <c r="F26" s="585"/>
      <c r="G26" s="585"/>
      <c r="H26" s="585"/>
      <c r="I26" s="585"/>
      <c r="J26" s="585"/>
      <c r="K26" s="585"/>
      <c r="L26" s="585"/>
      <c r="M26" s="585"/>
      <c r="N26" s="585"/>
      <c r="O26" s="585"/>
      <c r="P26" s="578">
        <f t="array" ref="P26">SUMPRODUCT(C26:O26, {item_vals!$B$3, item_vals!$E$3:$N$3, item_vals!$C$3:$D$3})</f>
        <v>0</v>
      </c>
      <c r="Q26" s="579"/>
      <c r="R26" s="581"/>
      <c r="S26" s="581"/>
      <c r="T26" s="581"/>
      <c r="U26" s="581"/>
      <c r="V26" s="581"/>
      <c r="W26" s="581"/>
      <c r="X26" s="581"/>
      <c r="Y26" s="581"/>
      <c r="Z26" s="581"/>
      <c r="AA26" s="581"/>
      <c r="AB26" s="581"/>
      <c r="AC26" s="581"/>
      <c r="AD26" s="582"/>
      <c r="AE26" s="587">
        <f t="array" ref="AE26">SUMPRODUCT(R26:AD26, {item_vals!$B$3, item_vals!$E$3:$N$3, item_vals!$C$3:$D$3})</f>
        <v>0</v>
      </c>
    </row>
    <row r="27" ht="15.75" customHeight="1">
      <c r="B27" s="571" t="s">
        <v>15</v>
      </c>
      <c r="C27" s="573"/>
      <c r="D27" s="573"/>
      <c r="E27" s="573"/>
      <c r="F27" s="573"/>
      <c r="G27" s="573"/>
      <c r="H27" s="573"/>
      <c r="I27" s="573"/>
      <c r="J27" s="573"/>
      <c r="K27" s="573"/>
      <c r="L27" s="573"/>
      <c r="M27" s="573"/>
      <c r="N27" s="572"/>
      <c r="O27" s="572"/>
      <c r="P27" s="578">
        <f t="array" ref="P27">SUMPRODUCT(C27:O27, {item_vals!$B$3, item_vals!$E$3:$N$3, item_vals!$C$3:$D$3})</f>
        <v>0</v>
      </c>
      <c r="Q27" s="579"/>
      <c r="R27" s="581"/>
      <c r="S27" s="581"/>
      <c r="T27" s="581"/>
      <c r="U27" s="581"/>
      <c r="V27" s="581"/>
      <c r="W27" s="581"/>
      <c r="X27" s="581"/>
      <c r="Y27" s="581"/>
      <c r="Z27" s="581"/>
      <c r="AA27" s="581"/>
      <c r="AB27" s="581"/>
      <c r="AC27" s="581"/>
      <c r="AD27" s="582"/>
      <c r="AE27" s="587">
        <f t="array" ref="AE27">SUMPRODUCT(R27:AD27, {item_vals!$B$3, item_vals!$E$3:$N$3, item_vals!$C$3:$D$3})</f>
        <v>0</v>
      </c>
    </row>
    <row r="28" ht="15.75" customHeight="1">
      <c r="B28" s="571" t="s">
        <v>16</v>
      </c>
      <c r="C28" s="573"/>
      <c r="D28" s="573"/>
      <c r="E28" s="573"/>
      <c r="F28" s="573"/>
      <c r="G28" s="573"/>
      <c r="H28" s="573"/>
      <c r="I28" s="573"/>
      <c r="J28" s="573"/>
      <c r="K28" s="573"/>
      <c r="L28" s="573"/>
      <c r="M28" s="573"/>
      <c r="N28" s="572"/>
      <c r="O28" s="572"/>
      <c r="P28" s="578">
        <f t="array" ref="P28">SUMPRODUCT(C28:O28, {item_vals!$B$3, item_vals!$E$3:$N$3, item_vals!$C$3:$D$3})</f>
        <v>0</v>
      </c>
      <c r="Q28" s="579"/>
      <c r="R28" s="581"/>
      <c r="S28" s="581"/>
      <c r="T28" s="581"/>
      <c r="U28" s="581"/>
      <c r="V28" s="581"/>
      <c r="W28" s="581"/>
      <c r="X28" s="581"/>
      <c r="Y28" s="581"/>
      <c r="Z28" s="581"/>
      <c r="AA28" s="581"/>
      <c r="AB28" s="581"/>
      <c r="AC28" s="581"/>
      <c r="AD28" s="582"/>
      <c r="AE28" s="587">
        <f t="array" ref="AE28">SUMPRODUCT(R28:AD28, {item_vals!$B$3, item_vals!$E$3:$N$3, item_vals!$C$3:$D$3})</f>
        <v>0</v>
      </c>
    </row>
    <row r="29" ht="15.75" customHeight="1">
      <c r="B29" s="584" t="s">
        <v>42</v>
      </c>
      <c r="C29" s="585"/>
      <c r="D29" s="585"/>
      <c r="E29" s="585"/>
      <c r="F29" s="585"/>
      <c r="G29" s="585"/>
      <c r="H29" s="585"/>
      <c r="I29" s="585"/>
      <c r="J29" s="585"/>
      <c r="K29" s="585"/>
      <c r="L29" s="585"/>
      <c r="M29" s="585"/>
      <c r="N29" s="596"/>
      <c r="O29" s="596"/>
      <c r="P29" s="578">
        <f t="array" ref="P29">SUMPRODUCT(C29:O29, {item_vals!$B$3, item_vals!$E$3:$N$3, item_vals!$C$3:$D$3})</f>
        <v>0</v>
      </c>
      <c r="Q29" s="579"/>
      <c r="R29" s="581"/>
      <c r="S29" s="581"/>
      <c r="T29" s="581"/>
      <c r="U29" s="581"/>
      <c r="V29" s="581"/>
      <c r="W29" s="581"/>
      <c r="X29" s="581"/>
      <c r="Y29" s="581"/>
      <c r="Z29" s="581"/>
      <c r="AA29" s="581"/>
      <c r="AB29" s="581"/>
      <c r="AC29" s="581"/>
      <c r="AD29" s="582"/>
      <c r="AE29" s="587">
        <f t="array" ref="AE29">SUMPRODUCT(R29:AD29, {item_vals!$B$3, item_vals!$E$3:$N$3, item_vals!$C$3:$D$3})</f>
        <v>0</v>
      </c>
    </row>
    <row r="30" ht="15.75" customHeight="1">
      <c r="B30" s="571" t="s">
        <v>414</v>
      </c>
      <c r="C30" s="573"/>
      <c r="D30" s="573"/>
      <c r="E30" s="573"/>
      <c r="F30" s="573"/>
      <c r="G30" s="573"/>
      <c r="H30" s="573"/>
      <c r="I30" s="573"/>
      <c r="J30" s="573"/>
      <c r="K30" s="573"/>
      <c r="L30" s="573"/>
      <c r="M30" s="573"/>
      <c r="N30" s="572"/>
      <c r="O30" s="572"/>
      <c r="P30" s="578">
        <f t="array" ref="P30">SUMPRODUCT(C30:O30, {item_vals!$B$3, item_vals!$E$3:$N$3, item_vals!$C$3:$D$3})</f>
        <v>0</v>
      </c>
      <c r="Q30" s="579"/>
      <c r="R30" s="581"/>
      <c r="S30" s="581"/>
      <c r="T30" s="581"/>
      <c r="U30" s="581"/>
      <c r="V30" s="581"/>
      <c r="W30" s="581"/>
      <c r="X30" s="581"/>
      <c r="Y30" s="581"/>
      <c r="Z30" s="581"/>
      <c r="AA30" s="581"/>
      <c r="AB30" s="581"/>
      <c r="AC30" s="581"/>
      <c r="AD30" s="582"/>
      <c r="AE30" s="587">
        <f t="array" ref="AE30">SUMPRODUCT(R30:AD30, {item_vals!$B$3, item_vals!$E$3:$N$3, item_vals!$C$3:$D$3})</f>
        <v>0</v>
      </c>
    </row>
    <row r="31" ht="15.75" customHeight="1">
      <c r="B31" s="584" t="s">
        <v>14</v>
      </c>
      <c r="C31" s="585"/>
      <c r="D31" s="585"/>
      <c r="E31" s="585"/>
      <c r="F31" s="585"/>
      <c r="G31" s="585"/>
      <c r="H31" s="585"/>
      <c r="I31" s="585"/>
      <c r="J31" s="585"/>
      <c r="K31" s="585"/>
      <c r="L31" s="585"/>
      <c r="M31" s="585"/>
      <c r="N31" s="596"/>
      <c r="O31" s="596"/>
      <c r="P31" s="578">
        <f t="array" ref="P31">SUMPRODUCT(C31:O31, {item_vals!$B$3, item_vals!$E$3:$N$3, item_vals!$C$3:$D$3})</f>
        <v>0</v>
      </c>
      <c r="Q31" s="579"/>
      <c r="R31" s="581"/>
      <c r="S31" s="581"/>
      <c r="T31" s="581"/>
      <c r="U31" s="581"/>
      <c r="V31" s="581"/>
      <c r="W31" s="581"/>
      <c r="X31" s="581"/>
      <c r="Y31" s="581"/>
      <c r="Z31" s="581"/>
      <c r="AA31" s="581"/>
      <c r="AB31" s="581"/>
      <c r="AC31" s="581"/>
      <c r="AD31" s="582"/>
      <c r="AE31" s="587">
        <f t="array" ref="AE31">SUMPRODUCT(R31:AD31, {item_vals!$B$3, item_vals!$E$3:$N$3, item_vals!$C$3:$D$3})</f>
        <v>0</v>
      </c>
    </row>
    <row r="32" ht="15.75" customHeight="1">
      <c r="B32" s="571" t="s">
        <v>415</v>
      </c>
      <c r="C32" s="573"/>
      <c r="D32" s="573"/>
      <c r="E32" s="573"/>
      <c r="F32" s="573"/>
      <c r="G32" s="573"/>
      <c r="H32" s="573"/>
      <c r="I32" s="573"/>
      <c r="J32" s="573"/>
      <c r="K32" s="573"/>
      <c r="L32" s="573"/>
      <c r="M32" s="573"/>
      <c r="N32" s="572"/>
      <c r="O32" s="572"/>
      <c r="P32" s="578">
        <f t="array" ref="P32">SUMPRODUCT(C32:O32, {item_vals!$B$3, item_vals!$E$3:$N$3, item_vals!$C$3:$D$3})</f>
        <v>0</v>
      </c>
      <c r="Q32" s="579"/>
      <c r="R32" s="581"/>
      <c r="S32" s="581"/>
      <c r="T32" s="581"/>
      <c r="U32" s="581"/>
      <c r="V32" s="581"/>
      <c r="W32" s="581"/>
      <c r="X32" s="581"/>
      <c r="Y32" s="581"/>
      <c r="Z32" s="581"/>
      <c r="AA32" s="581"/>
      <c r="AB32" s="581"/>
      <c r="AC32" s="581"/>
      <c r="AD32" s="582"/>
      <c r="AE32" s="587">
        <f t="array" ref="AE32">SUMPRODUCT(R32:AD32, {item_vals!$B$3, item_vals!$E$3:$N$3, item_vals!$C$3:$D$3})</f>
        <v>0</v>
      </c>
    </row>
    <row r="33" ht="15.75" customHeight="1">
      <c r="B33" s="32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R33" s="8"/>
      <c r="S33" s="328"/>
      <c r="T33" s="328"/>
      <c r="U33" s="328"/>
      <c r="V33" s="328"/>
      <c r="W33" s="328"/>
      <c r="X33" s="328"/>
      <c r="Y33" s="328"/>
      <c r="Z33" s="328"/>
      <c r="AA33" s="328"/>
      <c r="AB33" s="328"/>
    </row>
    <row r="34" ht="15.75" customHeight="1">
      <c r="B34" s="328"/>
      <c r="C34" s="8"/>
      <c r="D34" s="597"/>
      <c r="E34" s="8"/>
      <c r="F34" s="8"/>
      <c r="G34" s="8"/>
      <c r="H34" s="8"/>
      <c r="I34" s="8"/>
      <c r="J34" s="8"/>
      <c r="K34" s="8"/>
      <c r="L34" s="8"/>
      <c r="M34" s="8"/>
      <c r="R34" s="8"/>
      <c r="S34" s="328"/>
      <c r="T34" s="328"/>
      <c r="U34" s="328"/>
      <c r="V34" s="328"/>
      <c r="W34" s="328"/>
      <c r="X34" s="328"/>
      <c r="Y34" s="328"/>
      <c r="Z34" s="328"/>
      <c r="AA34" s="328"/>
      <c r="AB34" s="328"/>
    </row>
    <row r="35" ht="15.75" customHeight="1">
      <c r="B35" s="553" t="s">
        <v>21</v>
      </c>
      <c r="C35" s="598" t="s">
        <v>1539</v>
      </c>
      <c r="D35" s="599"/>
      <c r="E35" s="599"/>
      <c r="F35" s="599"/>
      <c r="G35" s="599"/>
      <c r="H35" s="599"/>
      <c r="I35" s="599"/>
      <c r="J35" s="599"/>
      <c r="K35" s="599"/>
      <c r="L35" s="599"/>
      <c r="M35" s="599"/>
      <c r="N35" s="555"/>
      <c r="O35" s="555"/>
      <c r="R35" s="600" t="s">
        <v>1542</v>
      </c>
      <c r="S35" s="557"/>
      <c r="T35" s="557"/>
      <c r="U35" s="557"/>
      <c r="V35" s="557"/>
      <c r="W35" s="557"/>
      <c r="X35" s="557"/>
      <c r="Y35" s="557"/>
      <c r="Z35" s="557"/>
      <c r="AA35" s="557"/>
      <c r="AB35" s="557"/>
      <c r="AC35" s="557"/>
      <c r="AD35" s="557"/>
      <c r="AE35" s="394"/>
    </row>
    <row r="36">
      <c r="B36" s="561" t="s">
        <v>422</v>
      </c>
      <c r="C36" s="601" t="s">
        <v>1205</v>
      </c>
      <c r="D36" s="601" t="s">
        <v>52</v>
      </c>
      <c r="E36" s="601" t="s">
        <v>53</v>
      </c>
      <c r="F36" s="601" t="s">
        <v>54</v>
      </c>
      <c r="G36" s="601" t="s">
        <v>47</v>
      </c>
      <c r="H36" s="601" t="s">
        <v>48</v>
      </c>
      <c r="I36" s="601" t="s">
        <v>50</v>
      </c>
      <c r="J36" s="601" t="s">
        <v>1209</v>
      </c>
      <c r="K36" s="601" t="s">
        <v>1210</v>
      </c>
      <c r="L36" s="601" t="s">
        <v>1211</v>
      </c>
      <c r="M36" s="601" t="s">
        <v>55</v>
      </c>
      <c r="N36" s="563" t="s">
        <v>46</v>
      </c>
      <c r="O36" s="563" t="s">
        <v>1213</v>
      </c>
      <c r="P36" s="566" t="s">
        <v>1214</v>
      </c>
      <c r="R36" s="602" t="s">
        <v>1205</v>
      </c>
      <c r="S36" s="567" t="s">
        <v>52</v>
      </c>
      <c r="T36" s="567" t="s">
        <v>53</v>
      </c>
      <c r="U36" s="567" t="s">
        <v>54</v>
      </c>
      <c r="V36" s="567" t="s">
        <v>47</v>
      </c>
      <c r="W36" s="567" t="s">
        <v>48</v>
      </c>
      <c r="X36" s="567" t="s">
        <v>50</v>
      </c>
      <c r="Y36" s="567" t="s">
        <v>1209</v>
      </c>
      <c r="Z36" s="567" t="s">
        <v>1210</v>
      </c>
      <c r="AA36" s="567" t="s">
        <v>1211</v>
      </c>
      <c r="AB36" s="567" t="s">
        <v>55</v>
      </c>
      <c r="AC36" s="567" t="s">
        <v>46</v>
      </c>
      <c r="AD36" s="567" t="s">
        <v>1213</v>
      </c>
      <c r="AE36" s="566" t="s">
        <v>1214</v>
      </c>
    </row>
    <row r="37" ht="15.75" customHeight="1">
      <c r="B37" s="571" t="s">
        <v>393</v>
      </c>
      <c r="C37" s="572" t="str">
        <f>LET(payer, $C$3, segment, $B$35, ECOGAINS_SIM(payer, segment, sim_refresh!$A$1))</f>
        <v>Loading...</v>
      </c>
      <c r="D37" s="573"/>
      <c r="E37" s="573"/>
      <c r="F37" s="573"/>
      <c r="G37" s="573"/>
      <c r="H37" s="573"/>
      <c r="I37" s="573"/>
      <c r="J37" s="573"/>
      <c r="K37" s="573"/>
      <c r="L37" s="573"/>
      <c r="M37" s="573"/>
      <c r="N37" s="572"/>
      <c r="O37" s="572"/>
      <c r="P37" s="578" t="str">
        <f t="array" ref="P37">SUMPRODUCT(C37:O37, {item_vals!$B$3, item_vals!$E$3:$N$3, item_vals!$C$3:$D$3})</f>
        <v>Loading...</v>
      </c>
      <c r="Q37" s="579"/>
      <c r="R37" s="580" t="str">
        <f>LET(payer, $C$3, segment, $B$35, ECOGAINS_DIFF(payer, segment, sim_refresh!$A$1))</f>
        <v>Loading...</v>
      </c>
      <c r="S37" s="580"/>
      <c r="T37" s="580"/>
      <c r="U37" s="580"/>
      <c r="V37" s="580"/>
      <c r="W37" s="580"/>
      <c r="X37" s="580"/>
      <c r="Y37" s="580"/>
      <c r="Z37" s="580"/>
      <c r="AA37" s="580"/>
      <c r="AB37" s="580"/>
      <c r="AC37" s="580"/>
      <c r="AD37" s="580"/>
      <c r="AE37" s="583" t="str">
        <f t="array" ref="AE37">SUMPRODUCT(R37:AD37, {item_vals!$B$3, item_vals!$E$3:$N$3, item_vals!$C$3:$D$3})</f>
        <v>Loading...</v>
      </c>
    </row>
    <row r="38" ht="15.75" customHeight="1">
      <c r="B38" s="584" t="s">
        <v>341</v>
      </c>
      <c r="C38" s="585"/>
      <c r="D38" s="585"/>
      <c r="E38" s="585"/>
      <c r="F38" s="585"/>
      <c r="G38" s="585"/>
      <c r="H38" s="585"/>
      <c r="I38" s="585"/>
      <c r="J38" s="585"/>
      <c r="K38" s="585"/>
      <c r="L38" s="585"/>
      <c r="M38" s="585"/>
      <c r="N38" s="585"/>
      <c r="O38" s="585"/>
      <c r="P38" s="578">
        <f t="array" ref="P38">SUMPRODUCT(C38:O38, {item_vals!$B$3, item_vals!$E$3:$N$3, item_vals!$C$3:$D$3})</f>
        <v>0</v>
      </c>
      <c r="Q38" s="579"/>
      <c r="R38" s="580"/>
      <c r="S38" s="580"/>
      <c r="T38" s="580"/>
      <c r="U38" s="580"/>
      <c r="V38" s="580"/>
      <c r="W38" s="580"/>
      <c r="X38" s="580"/>
      <c r="Y38" s="580"/>
      <c r="Z38" s="580"/>
      <c r="AA38" s="580"/>
      <c r="AB38" s="580"/>
      <c r="AC38" s="580"/>
      <c r="AD38" s="580"/>
      <c r="AE38" s="587">
        <f t="array" ref="AE38">SUMPRODUCT(R38:AD38, {item_vals!$B$3, item_vals!$E$3:$N$3, item_vals!$C$3:$D$3})</f>
        <v>0</v>
      </c>
    </row>
    <row r="39" ht="15.75" customHeight="1">
      <c r="B39" s="584" t="s">
        <v>206</v>
      </c>
      <c r="C39" s="585"/>
      <c r="D39" s="585"/>
      <c r="E39" s="585"/>
      <c r="F39" s="585"/>
      <c r="G39" s="585"/>
      <c r="H39" s="585"/>
      <c r="I39" s="585"/>
      <c r="J39" s="585"/>
      <c r="K39" s="585"/>
      <c r="L39" s="585"/>
      <c r="M39" s="585"/>
      <c r="N39" s="585"/>
      <c r="O39" s="585"/>
      <c r="P39" s="578">
        <f t="array" ref="P39">SUMPRODUCT(C39:O39, {item_vals!$B$3, item_vals!$E$3:$N$3, item_vals!$C$3:$D$3})</f>
        <v>0</v>
      </c>
      <c r="Q39" s="579"/>
      <c r="R39" s="580"/>
      <c r="S39" s="580"/>
      <c r="T39" s="580"/>
      <c r="U39" s="580"/>
      <c r="V39" s="580"/>
      <c r="W39" s="580"/>
      <c r="X39" s="580"/>
      <c r="Y39" s="580"/>
      <c r="Z39" s="580"/>
      <c r="AA39" s="580"/>
      <c r="AB39" s="580"/>
      <c r="AC39" s="580"/>
      <c r="AD39" s="580"/>
      <c r="AE39" s="587">
        <f t="array" ref="AE39">SUMPRODUCT(R39:AD39, {item_vals!$B$3, item_vals!$E$3:$N$3, item_vals!$C$3:$D$3})</f>
        <v>0</v>
      </c>
    </row>
    <row r="40" ht="15.75" customHeight="1">
      <c r="B40" s="584" t="s">
        <v>338</v>
      </c>
      <c r="C40" s="585"/>
      <c r="D40" s="585"/>
      <c r="E40" s="585"/>
      <c r="F40" s="585"/>
      <c r="G40" s="585"/>
      <c r="H40" s="585"/>
      <c r="I40" s="585"/>
      <c r="J40" s="585"/>
      <c r="K40" s="585"/>
      <c r="L40" s="585"/>
      <c r="M40" s="585"/>
      <c r="N40" s="585"/>
      <c r="O40" s="585"/>
      <c r="P40" s="578">
        <f t="array" ref="P40">SUMPRODUCT(C40:O40, {item_vals!$B$3, item_vals!$E$3:$N$3, item_vals!$C$3:$D$3})</f>
        <v>0</v>
      </c>
      <c r="Q40" s="579"/>
      <c r="R40" s="580"/>
      <c r="S40" s="580"/>
      <c r="T40" s="580"/>
      <c r="U40" s="580"/>
      <c r="V40" s="580"/>
      <c r="W40" s="580"/>
      <c r="X40" s="580"/>
      <c r="Y40" s="580"/>
      <c r="Z40" s="580"/>
      <c r="AA40" s="580"/>
      <c r="AB40" s="580"/>
      <c r="AC40" s="580"/>
      <c r="AD40" s="580"/>
      <c r="AE40" s="587">
        <f t="array" ref="AE40">SUMPRODUCT(R40:AD40, {item_vals!$B$3, item_vals!$E$3:$N$3, item_vals!$C$3:$D$3})</f>
        <v>0</v>
      </c>
    </row>
    <row r="41" ht="15.75" customHeight="1">
      <c r="B41" s="584" t="s">
        <v>396</v>
      </c>
      <c r="C41" s="585"/>
      <c r="D41" s="585"/>
      <c r="E41" s="585"/>
      <c r="F41" s="585"/>
      <c r="G41" s="585"/>
      <c r="H41" s="585"/>
      <c r="I41" s="585"/>
      <c r="J41" s="585"/>
      <c r="K41" s="585"/>
      <c r="L41" s="585"/>
      <c r="M41" s="585"/>
      <c r="N41" s="585"/>
      <c r="O41" s="585"/>
      <c r="P41" s="578">
        <f t="array" ref="P41">SUMPRODUCT(C41:O41, {item_vals!$B$3, item_vals!$E$3:$N$3, item_vals!$C$3:$D$3})</f>
        <v>0</v>
      </c>
      <c r="Q41" s="579"/>
      <c r="R41" s="580"/>
      <c r="S41" s="580"/>
      <c r="T41" s="580"/>
      <c r="U41" s="580"/>
      <c r="V41" s="580"/>
      <c r="W41" s="580"/>
      <c r="X41" s="580"/>
      <c r="Y41" s="580"/>
      <c r="Z41" s="580"/>
      <c r="AA41" s="580"/>
      <c r="AB41" s="580"/>
      <c r="AC41" s="580"/>
      <c r="AD41" s="580"/>
      <c r="AE41" s="587">
        <f t="array" ref="AE41">SUMPRODUCT(R41:AD41, {item_vals!$B$3, item_vals!$E$3:$N$3, item_vals!$C$3:$D$3})</f>
        <v>0</v>
      </c>
    </row>
    <row r="42" ht="15.75" customHeight="1">
      <c r="B42" s="584" t="s">
        <v>397</v>
      </c>
      <c r="C42" s="585"/>
      <c r="D42" s="585"/>
      <c r="E42" s="585"/>
      <c r="F42" s="585"/>
      <c r="G42" s="585"/>
      <c r="H42" s="585"/>
      <c r="I42" s="585"/>
      <c r="J42" s="585"/>
      <c r="K42" s="585"/>
      <c r="L42" s="585"/>
      <c r="M42" s="585"/>
      <c r="N42" s="585"/>
      <c r="O42" s="585"/>
      <c r="P42" s="578">
        <f t="array" ref="P42">SUMPRODUCT(C42:O42, {item_vals!$B$3, item_vals!$E$3:$N$3, item_vals!$C$3:$D$3})</f>
        <v>0</v>
      </c>
      <c r="Q42" s="579"/>
      <c r="R42" s="580"/>
      <c r="S42" s="580"/>
      <c r="T42" s="580"/>
      <c r="U42" s="580"/>
      <c r="V42" s="580"/>
      <c r="W42" s="580"/>
      <c r="X42" s="580"/>
      <c r="Y42" s="580"/>
      <c r="Z42" s="580"/>
      <c r="AA42" s="580"/>
      <c r="AB42" s="580"/>
      <c r="AC42" s="580"/>
      <c r="AD42" s="580"/>
      <c r="AE42" s="587">
        <f t="array" ref="AE42">SUMPRODUCT(R42:AD42, {item_vals!$B$3, item_vals!$E$3:$N$3, item_vals!$C$3:$D$3})</f>
        <v>0</v>
      </c>
    </row>
    <row r="43" ht="15.75" customHeight="1">
      <c r="B43" s="584" t="s">
        <v>398</v>
      </c>
      <c r="C43" s="585"/>
      <c r="D43" s="585"/>
      <c r="E43" s="585"/>
      <c r="F43" s="585"/>
      <c r="G43" s="585"/>
      <c r="H43" s="585"/>
      <c r="I43" s="585"/>
      <c r="J43" s="585"/>
      <c r="K43" s="585"/>
      <c r="L43" s="585"/>
      <c r="M43" s="585"/>
      <c r="N43" s="585"/>
      <c r="O43" s="585"/>
      <c r="P43" s="578">
        <f t="array" ref="P43">SUMPRODUCT(C43:O43, {item_vals!$B$3, item_vals!$E$3:$N$3, item_vals!$C$3:$D$3})</f>
        <v>0</v>
      </c>
      <c r="Q43" s="579"/>
      <c r="R43" s="580"/>
      <c r="S43" s="580"/>
      <c r="T43" s="580"/>
      <c r="U43" s="580"/>
      <c r="V43" s="580"/>
      <c r="W43" s="580"/>
      <c r="X43" s="580"/>
      <c r="Y43" s="580"/>
      <c r="Z43" s="580"/>
      <c r="AA43" s="580"/>
      <c r="AB43" s="580"/>
      <c r="AC43" s="580"/>
      <c r="AD43" s="580"/>
      <c r="AE43" s="587">
        <f t="array" ref="AE43">SUMPRODUCT(R43:AD43, {item_vals!$B$3, item_vals!$E$3:$N$3, item_vals!$C$3:$D$3})</f>
        <v>0</v>
      </c>
    </row>
    <row r="44" ht="15.75" customHeight="1">
      <c r="B44" s="584" t="s">
        <v>51</v>
      </c>
      <c r="C44" s="585"/>
      <c r="D44" s="585"/>
      <c r="E44" s="585"/>
      <c r="F44" s="585"/>
      <c r="G44" s="585"/>
      <c r="H44" s="585"/>
      <c r="I44" s="585"/>
      <c r="J44" s="585"/>
      <c r="K44" s="585"/>
      <c r="L44" s="585"/>
      <c r="M44" s="585"/>
      <c r="N44" s="585"/>
      <c r="O44" s="585"/>
      <c r="P44" s="578">
        <f t="array" ref="P44">SUMPRODUCT(C44:O44, {item_vals!$B$3, item_vals!$E$3:$N$3, item_vals!$C$3:$D$3})</f>
        <v>0</v>
      </c>
      <c r="Q44" s="579"/>
      <c r="R44" s="580"/>
      <c r="S44" s="580"/>
      <c r="T44" s="580"/>
      <c r="U44" s="580"/>
      <c r="V44" s="580"/>
      <c r="W44" s="580"/>
      <c r="X44" s="580"/>
      <c r="Y44" s="580"/>
      <c r="Z44" s="580"/>
      <c r="AA44" s="580"/>
      <c r="AB44" s="580"/>
      <c r="AC44" s="580"/>
      <c r="AD44" s="580"/>
      <c r="AE44" s="587">
        <f t="array" ref="AE44">SUMPRODUCT(R44:AD44, {item_vals!$B$3, item_vals!$E$3:$N$3, item_vals!$C$3:$D$3})</f>
        <v>0</v>
      </c>
    </row>
    <row r="45" ht="15.75" customHeight="1">
      <c r="B45" s="584" t="s">
        <v>9</v>
      </c>
      <c r="C45" s="585"/>
      <c r="D45" s="585"/>
      <c r="E45" s="585"/>
      <c r="F45" s="585"/>
      <c r="G45" s="585"/>
      <c r="H45" s="585"/>
      <c r="I45" s="585"/>
      <c r="J45" s="585"/>
      <c r="K45" s="585"/>
      <c r="L45" s="585"/>
      <c r="M45" s="585"/>
      <c r="N45" s="585"/>
      <c r="O45" s="585"/>
      <c r="P45" s="578">
        <f t="array" ref="P45">SUMPRODUCT(C45:O45, {item_vals!$B$3, item_vals!$E$3:$N$3, item_vals!$C$3:$D$3})</f>
        <v>0</v>
      </c>
      <c r="Q45" s="579"/>
      <c r="R45" s="580"/>
      <c r="S45" s="580"/>
      <c r="T45" s="580"/>
      <c r="U45" s="580"/>
      <c r="V45" s="580"/>
      <c r="W45" s="580"/>
      <c r="X45" s="580"/>
      <c r="Y45" s="580"/>
      <c r="Z45" s="580"/>
      <c r="AA45" s="580"/>
      <c r="AB45" s="580"/>
      <c r="AC45" s="580"/>
      <c r="AD45" s="580"/>
      <c r="AE45" s="587">
        <f t="array" ref="AE45">SUMPRODUCT(R45:AD45, {item_vals!$B$3, item_vals!$E$3:$N$3, item_vals!$C$3:$D$3})</f>
        <v>0</v>
      </c>
    </row>
    <row r="46" ht="15.75" customHeight="1">
      <c r="B46" s="584" t="s">
        <v>401</v>
      </c>
      <c r="C46" s="585"/>
      <c r="D46" s="585"/>
      <c r="E46" s="585"/>
      <c r="F46" s="585"/>
      <c r="G46" s="585"/>
      <c r="H46" s="585"/>
      <c r="I46" s="585"/>
      <c r="J46" s="585"/>
      <c r="K46" s="585"/>
      <c r="L46" s="585"/>
      <c r="M46" s="585"/>
      <c r="N46" s="585"/>
      <c r="O46" s="585"/>
      <c r="P46" s="578">
        <f t="array" ref="P46">SUMPRODUCT(C46:O46, {item_vals!$B$3, item_vals!$E$3:$N$3, item_vals!$C$3:$D$3})</f>
        <v>0</v>
      </c>
      <c r="Q46" s="579"/>
      <c r="R46" s="580"/>
      <c r="S46" s="580"/>
      <c r="T46" s="580"/>
      <c r="U46" s="580"/>
      <c r="V46" s="580"/>
      <c r="W46" s="580"/>
      <c r="X46" s="580"/>
      <c r="Y46" s="580"/>
      <c r="Z46" s="580"/>
      <c r="AA46" s="580"/>
      <c r="AB46" s="580"/>
      <c r="AC46" s="580"/>
      <c r="AD46" s="580"/>
      <c r="AE46" s="587">
        <f t="array" ref="AE46">SUMPRODUCT(R46:AD46, {item_vals!$B$3, item_vals!$E$3:$N$3, item_vals!$C$3:$D$3})</f>
        <v>0</v>
      </c>
    </row>
    <row r="47" ht="15.75" customHeight="1">
      <c r="B47" s="584" t="s">
        <v>7</v>
      </c>
      <c r="C47" s="585"/>
      <c r="D47" s="585"/>
      <c r="E47" s="585"/>
      <c r="F47" s="585"/>
      <c r="G47" s="585"/>
      <c r="H47" s="585"/>
      <c r="I47" s="585"/>
      <c r="J47" s="585"/>
      <c r="K47" s="585"/>
      <c r="L47" s="585"/>
      <c r="M47" s="585"/>
      <c r="N47" s="585"/>
      <c r="O47" s="585"/>
      <c r="P47" s="578">
        <f t="array" ref="P47">SUMPRODUCT(C47:O47, {item_vals!$B$3, item_vals!$E$3:$N$3, item_vals!$C$3:$D$3})</f>
        <v>0</v>
      </c>
      <c r="Q47" s="579"/>
      <c r="R47" s="580"/>
      <c r="S47" s="580"/>
      <c r="T47" s="580"/>
      <c r="U47" s="580"/>
      <c r="V47" s="580"/>
      <c r="W47" s="580"/>
      <c r="X47" s="580"/>
      <c r="Y47" s="580"/>
      <c r="Z47" s="580"/>
      <c r="AA47" s="580"/>
      <c r="AB47" s="580"/>
      <c r="AC47" s="580"/>
      <c r="AD47" s="580"/>
      <c r="AE47" s="587">
        <f t="array" ref="AE47">SUMPRODUCT(R47:AD47, {item_vals!$B$3, item_vals!$E$3:$N$3, item_vals!$C$3:$D$3})</f>
        <v>0</v>
      </c>
    </row>
    <row r="48" ht="15.75" customHeight="1">
      <c r="B48" s="584" t="s">
        <v>20</v>
      </c>
      <c r="C48" s="585"/>
      <c r="D48" s="585"/>
      <c r="E48" s="585"/>
      <c r="F48" s="585"/>
      <c r="G48" s="585"/>
      <c r="H48" s="585"/>
      <c r="I48" s="585"/>
      <c r="J48" s="585"/>
      <c r="K48" s="585"/>
      <c r="L48" s="585"/>
      <c r="M48" s="585"/>
      <c r="N48" s="585"/>
      <c r="O48" s="585"/>
      <c r="P48" s="578">
        <f t="array" ref="P48">SUMPRODUCT(C48:O48, {item_vals!$B$3, item_vals!$E$3:$N$3, item_vals!$C$3:$D$3})</f>
        <v>0</v>
      </c>
      <c r="Q48" s="579"/>
      <c r="R48" s="580"/>
      <c r="S48" s="580"/>
      <c r="T48" s="580"/>
      <c r="U48" s="580"/>
      <c r="V48" s="580"/>
      <c r="W48" s="580"/>
      <c r="X48" s="580"/>
      <c r="Y48" s="580"/>
      <c r="Z48" s="580"/>
      <c r="AA48" s="580"/>
      <c r="AB48" s="580"/>
      <c r="AC48" s="580"/>
      <c r="AD48" s="580"/>
      <c r="AE48" s="587">
        <f t="array" ref="AE48">SUMPRODUCT(R48:AD48, {item_vals!$B$3, item_vals!$E$3:$N$3, item_vals!$C$3:$D$3})</f>
        <v>0</v>
      </c>
    </row>
    <row r="49" ht="15.75" customHeight="1">
      <c r="B49" s="571" t="s">
        <v>411</v>
      </c>
      <c r="C49" s="573"/>
      <c r="D49" s="573"/>
      <c r="E49" s="573"/>
      <c r="F49" s="573"/>
      <c r="G49" s="573"/>
      <c r="H49" s="573"/>
      <c r="I49" s="573"/>
      <c r="J49" s="573"/>
      <c r="K49" s="573"/>
      <c r="L49" s="573"/>
      <c r="M49" s="573"/>
      <c r="N49" s="572"/>
      <c r="O49" s="572"/>
      <c r="P49" s="578">
        <f t="array" ref="P49">SUMPRODUCT(C49:O49, {item_vals!$B$3, item_vals!$E$3:$N$3, item_vals!$C$3:$D$3})</f>
        <v>0</v>
      </c>
      <c r="Q49" s="579"/>
      <c r="R49" s="580"/>
      <c r="S49" s="580"/>
      <c r="T49" s="580"/>
      <c r="U49" s="580"/>
      <c r="V49" s="580"/>
      <c r="W49" s="580"/>
      <c r="X49" s="580"/>
      <c r="Y49" s="580"/>
      <c r="Z49" s="580"/>
      <c r="AA49" s="580"/>
      <c r="AB49" s="580"/>
      <c r="AC49" s="580"/>
      <c r="AD49" s="580"/>
      <c r="AE49" s="587">
        <f t="array" ref="AE49">SUMPRODUCT(R49:AD49, {item_vals!$B$3, item_vals!$E$3:$N$3, item_vals!$C$3:$D$3})</f>
        <v>0</v>
      </c>
    </row>
    <row r="50" ht="15.75" customHeight="1">
      <c r="B50" s="584" t="s">
        <v>73</v>
      </c>
      <c r="C50" s="585"/>
      <c r="D50" s="585"/>
      <c r="E50" s="585"/>
      <c r="F50" s="585"/>
      <c r="G50" s="585"/>
      <c r="H50" s="585"/>
      <c r="I50" s="585"/>
      <c r="J50" s="585"/>
      <c r="K50" s="585"/>
      <c r="L50" s="585"/>
      <c r="M50" s="585"/>
      <c r="N50" s="585"/>
      <c r="O50" s="585"/>
      <c r="P50" s="578">
        <f t="array" ref="P50">SUMPRODUCT(C50:O50, {item_vals!$B$3, item_vals!$E$3:$N$3, item_vals!$C$3:$D$3})</f>
        <v>0</v>
      </c>
      <c r="Q50" s="579"/>
      <c r="R50" s="580"/>
      <c r="S50" s="580"/>
      <c r="T50" s="580"/>
      <c r="U50" s="580"/>
      <c r="V50" s="580"/>
      <c r="W50" s="580"/>
      <c r="X50" s="580"/>
      <c r="Y50" s="580"/>
      <c r="Z50" s="580"/>
      <c r="AA50" s="580"/>
      <c r="AB50" s="580"/>
      <c r="AC50" s="580"/>
      <c r="AD50" s="580"/>
      <c r="AE50" s="587">
        <f t="array" ref="AE50">SUMPRODUCT(R50:AD50, {item_vals!$B$3, item_vals!$E$3:$N$3, item_vals!$C$3:$D$3})</f>
        <v>0</v>
      </c>
    </row>
    <row r="51" ht="15.75" customHeight="1">
      <c r="B51" s="584" t="s">
        <v>329</v>
      </c>
      <c r="C51" s="585"/>
      <c r="D51" s="585"/>
      <c r="E51" s="585"/>
      <c r="F51" s="585"/>
      <c r="G51" s="585"/>
      <c r="H51" s="585"/>
      <c r="I51" s="585"/>
      <c r="J51" s="585"/>
      <c r="K51" s="585"/>
      <c r="L51" s="585"/>
      <c r="M51" s="585"/>
      <c r="N51" s="585"/>
      <c r="O51" s="585"/>
      <c r="P51" s="578">
        <f t="array" ref="P51">SUMPRODUCT(C51:O51, {item_vals!$B$3, item_vals!$E$3:$N$3, item_vals!$C$3:$D$3})</f>
        <v>0</v>
      </c>
      <c r="Q51" s="579"/>
      <c r="R51" s="580"/>
      <c r="S51" s="580"/>
      <c r="T51" s="580"/>
      <c r="U51" s="580"/>
      <c r="V51" s="580"/>
      <c r="W51" s="580"/>
      <c r="X51" s="580"/>
      <c r="Y51" s="580"/>
      <c r="Z51" s="580"/>
      <c r="AA51" s="580"/>
      <c r="AB51" s="580"/>
      <c r="AC51" s="580"/>
      <c r="AD51" s="580"/>
      <c r="AE51" s="587">
        <f t="array" ref="AE51">SUMPRODUCT(R51:AD51, {item_vals!$B$3, item_vals!$E$3:$N$3, item_vals!$C$3:$D$3})</f>
        <v>0</v>
      </c>
    </row>
    <row r="52" ht="15.75" customHeight="1">
      <c r="B52" s="584" t="s">
        <v>151</v>
      </c>
      <c r="C52" s="585"/>
      <c r="D52" s="585"/>
      <c r="E52" s="585"/>
      <c r="F52" s="585"/>
      <c r="G52" s="585"/>
      <c r="H52" s="585"/>
      <c r="I52" s="585"/>
      <c r="J52" s="585"/>
      <c r="K52" s="585"/>
      <c r="L52" s="585"/>
      <c r="M52" s="585"/>
      <c r="N52" s="585"/>
      <c r="O52" s="585"/>
      <c r="P52" s="578">
        <f t="array" ref="P52">SUMPRODUCT(C52:O52, {item_vals!$B$3, item_vals!$E$3:$N$3, item_vals!$C$3:$D$3})</f>
        <v>0</v>
      </c>
      <c r="Q52" s="579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7">
        <f t="array" ref="AE52">SUMPRODUCT(R52:AD52, {item_vals!$B$3, item_vals!$E$3:$N$3, item_vals!$C$3:$D$3})</f>
        <v>0</v>
      </c>
    </row>
    <row r="53" ht="15.75" customHeight="1">
      <c r="B53" s="584" t="s">
        <v>418</v>
      </c>
      <c r="C53" s="585"/>
      <c r="D53" s="585"/>
      <c r="E53" s="585"/>
      <c r="F53" s="585"/>
      <c r="G53" s="585"/>
      <c r="H53" s="585"/>
      <c r="I53" s="585"/>
      <c r="J53" s="585"/>
      <c r="K53" s="585"/>
      <c r="L53" s="585"/>
      <c r="M53" s="585"/>
      <c r="N53" s="585"/>
      <c r="O53" s="585"/>
      <c r="P53" s="578">
        <f t="array" ref="P53">SUMPRODUCT(C53:O53, {item_vals!$B$3, item_vals!$E$3:$N$3, item_vals!$C$3:$D$3})</f>
        <v>0</v>
      </c>
      <c r="Q53" s="579"/>
      <c r="R53" s="580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7">
        <f t="array" ref="AE53">SUMPRODUCT(R53:AD53, {item_vals!$B$3, item_vals!$E$3:$N$3, item_vals!$C$3:$D$3})</f>
        <v>0</v>
      </c>
    </row>
    <row r="54" ht="15.75" customHeight="1">
      <c r="B54" s="584" t="s">
        <v>413</v>
      </c>
      <c r="C54" s="585"/>
      <c r="D54" s="585"/>
      <c r="E54" s="585"/>
      <c r="F54" s="585"/>
      <c r="G54" s="585"/>
      <c r="H54" s="585"/>
      <c r="I54" s="585"/>
      <c r="J54" s="585"/>
      <c r="K54" s="585"/>
      <c r="L54" s="585"/>
      <c r="M54" s="585"/>
      <c r="N54" s="585"/>
      <c r="O54" s="585"/>
      <c r="P54" s="578">
        <f t="array" ref="P54">SUMPRODUCT(C54:O54, {item_vals!$B$3, item_vals!$E$3:$N$3, item_vals!$C$3:$D$3})</f>
        <v>0</v>
      </c>
      <c r="Q54" s="579"/>
      <c r="R54" s="580"/>
      <c r="S54" s="580"/>
      <c r="T54" s="580"/>
      <c r="U54" s="580"/>
      <c r="V54" s="580"/>
      <c r="W54" s="580"/>
      <c r="X54" s="580"/>
      <c r="Y54" s="580"/>
      <c r="Z54" s="580"/>
      <c r="AA54" s="580"/>
      <c r="AB54" s="580"/>
      <c r="AC54" s="580"/>
      <c r="AD54" s="580"/>
      <c r="AE54" s="587">
        <f t="array" ref="AE54">SUMPRODUCT(R54:AD54, {item_vals!$B$3, item_vals!$E$3:$N$3, item_vals!$C$3:$D$3})</f>
        <v>0</v>
      </c>
    </row>
    <row r="55" ht="15.75" customHeight="1">
      <c r="B55" s="584" t="s">
        <v>63</v>
      </c>
      <c r="C55" s="585"/>
      <c r="D55" s="585"/>
      <c r="E55" s="585"/>
      <c r="F55" s="585"/>
      <c r="G55" s="585"/>
      <c r="H55" s="585"/>
      <c r="I55" s="585"/>
      <c r="J55" s="585"/>
      <c r="K55" s="585"/>
      <c r="L55" s="585"/>
      <c r="M55" s="585"/>
      <c r="N55" s="585"/>
      <c r="O55" s="585"/>
      <c r="P55" s="578">
        <f t="array" ref="P55">SUMPRODUCT(C55:O55, {item_vals!$B$3, item_vals!$E$3:$N$3, item_vals!$C$3:$D$3})</f>
        <v>0</v>
      </c>
      <c r="Q55" s="579"/>
      <c r="R55" s="580"/>
      <c r="S55" s="580"/>
      <c r="T55" s="580"/>
      <c r="U55" s="580"/>
      <c r="V55" s="580"/>
      <c r="W55" s="580"/>
      <c r="X55" s="580"/>
      <c r="Y55" s="580"/>
      <c r="Z55" s="580"/>
      <c r="AA55" s="580"/>
      <c r="AB55" s="580"/>
      <c r="AC55" s="580"/>
      <c r="AD55" s="580"/>
      <c r="AE55" s="587">
        <f t="array" ref="AE55">SUMPRODUCT(R55:AD55, {item_vals!$B$3, item_vals!$E$3:$N$3, item_vals!$C$3:$D$3})</f>
        <v>0</v>
      </c>
    </row>
    <row r="56" ht="15.75" customHeight="1">
      <c r="B56" s="571" t="s">
        <v>15</v>
      </c>
      <c r="C56" s="573"/>
      <c r="D56" s="573"/>
      <c r="E56" s="573"/>
      <c r="F56" s="573"/>
      <c r="G56" s="573"/>
      <c r="H56" s="573"/>
      <c r="I56" s="573"/>
      <c r="J56" s="573"/>
      <c r="K56" s="573"/>
      <c r="L56" s="573"/>
      <c r="M56" s="573"/>
      <c r="N56" s="572"/>
      <c r="O56" s="572"/>
      <c r="P56" s="578">
        <f t="array" ref="P56">SUMPRODUCT(C56:O56, {item_vals!$B$3, item_vals!$E$3:$N$3, item_vals!$C$3:$D$3})</f>
        <v>0</v>
      </c>
      <c r="Q56" s="579"/>
      <c r="R56" s="580"/>
      <c r="S56" s="580"/>
      <c r="T56" s="580"/>
      <c r="U56" s="580"/>
      <c r="V56" s="580"/>
      <c r="W56" s="580"/>
      <c r="X56" s="580"/>
      <c r="Y56" s="580"/>
      <c r="Z56" s="580"/>
      <c r="AA56" s="580"/>
      <c r="AB56" s="580"/>
      <c r="AC56" s="580"/>
      <c r="AD56" s="580"/>
      <c r="AE56" s="587">
        <f t="array" ref="AE56">SUMPRODUCT(R56:AD56, {item_vals!$B$3, item_vals!$E$3:$N$3, item_vals!$C$3:$D$3})</f>
        <v>0</v>
      </c>
    </row>
    <row r="57" ht="15.75" customHeight="1">
      <c r="B57" s="571" t="s">
        <v>16</v>
      </c>
      <c r="C57" s="573"/>
      <c r="D57" s="573"/>
      <c r="E57" s="573"/>
      <c r="F57" s="573"/>
      <c r="G57" s="573"/>
      <c r="H57" s="573"/>
      <c r="I57" s="573"/>
      <c r="J57" s="573"/>
      <c r="K57" s="573"/>
      <c r="L57" s="573"/>
      <c r="M57" s="573"/>
      <c r="N57" s="572"/>
      <c r="O57" s="572"/>
      <c r="P57" s="578">
        <f t="array" ref="P57">SUMPRODUCT(C57:O57, {item_vals!$B$3, item_vals!$E$3:$N$3, item_vals!$C$3:$D$3})</f>
        <v>0</v>
      </c>
      <c r="Q57" s="579"/>
      <c r="R57" s="580"/>
      <c r="S57" s="580"/>
      <c r="T57" s="580"/>
      <c r="U57" s="580"/>
      <c r="V57" s="580"/>
      <c r="W57" s="580"/>
      <c r="X57" s="580"/>
      <c r="Y57" s="580"/>
      <c r="Z57" s="580"/>
      <c r="AA57" s="580"/>
      <c r="AB57" s="580"/>
      <c r="AC57" s="580"/>
      <c r="AD57" s="580"/>
      <c r="AE57" s="587">
        <f t="array" ref="AE57">SUMPRODUCT(R57:AD57, {item_vals!$B$3, item_vals!$E$3:$N$3, item_vals!$C$3:$D$3})</f>
        <v>0</v>
      </c>
    </row>
    <row r="58" ht="15.75" customHeight="1">
      <c r="B58" s="584" t="s">
        <v>42</v>
      </c>
      <c r="C58" s="585"/>
      <c r="D58" s="585"/>
      <c r="E58" s="585"/>
      <c r="F58" s="585"/>
      <c r="G58" s="585"/>
      <c r="H58" s="585"/>
      <c r="I58" s="585"/>
      <c r="J58" s="585"/>
      <c r="K58" s="585"/>
      <c r="L58" s="585"/>
      <c r="M58" s="585"/>
      <c r="N58" s="596"/>
      <c r="O58" s="596"/>
      <c r="P58" s="578">
        <f t="array" ref="P58">SUMPRODUCT(C58:O58, {item_vals!$B$3, item_vals!$E$3:$N$3, item_vals!$C$3:$D$3})</f>
        <v>0</v>
      </c>
      <c r="Q58" s="579"/>
      <c r="R58" s="580"/>
      <c r="S58" s="580"/>
      <c r="T58" s="580"/>
      <c r="U58" s="580"/>
      <c r="V58" s="580"/>
      <c r="W58" s="580"/>
      <c r="X58" s="580"/>
      <c r="Y58" s="580"/>
      <c r="Z58" s="580"/>
      <c r="AA58" s="580"/>
      <c r="AB58" s="580"/>
      <c r="AC58" s="580"/>
      <c r="AD58" s="580"/>
      <c r="AE58" s="587">
        <f t="array" ref="AE58">SUMPRODUCT(R58:AD58, {item_vals!$B$3, item_vals!$E$3:$N$3, item_vals!$C$3:$D$3})</f>
        <v>0</v>
      </c>
    </row>
    <row r="59" ht="15.75" customHeight="1">
      <c r="B59" s="571" t="s">
        <v>414</v>
      </c>
      <c r="C59" s="573"/>
      <c r="D59" s="573"/>
      <c r="E59" s="573"/>
      <c r="F59" s="573"/>
      <c r="G59" s="573"/>
      <c r="H59" s="573"/>
      <c r="I59" s="573"/>
      <c r="J59" s="573"/>
      <c r="K59" s="573"/>
      <c r="L59" s="573"/>
      <c r="M59" s="573"/>
      <c r="N59" s="572"/>
      <c r="O59" s="572"/>
      <c r="P59" s="578">
        <f t="array" ref="P59">SUMPRODUCT(C59:O59, {item_vals!$B$3, item_vals!$E$3:$N$3, item_vals!$C$3:$D$3})</f>
        <v>0</v>
      </c>
      <c r="Q59" s="579"/>
      <c r="R59" s="580"/>
      <c r="S59" s="580"/>
      <c r="T59" s="580"/>
      <c r="U59" s="580"/>
      <c r="V59" s="580"/>
      <c r="W59" s="580"/>
      <c r="X59" s="580"/>
      <c r="Y59" s="580"/>
      <c r="Z59" s="580"/>
      <c r="AA59" s="580"/>
      <c r="AB59" s="580"/>
      <c r="AC59" s="580"/>
      <c r="AD59" s="580"/>
      <c r="AE59" s="587">
        <f t="array" ref="AE59">SUMPRODUCT(R59:AD59, {item_vals!$B$3, item_vals!$E$3:$N$3, item_vals!$C$3:$D$3})</f>
        <v>0</v>
      </c>
    </row>
    <row r="60" ht="15.75" customHeight="1">
      <c r="B60" s="584" t="s">
        <v>14</v>
      </c>
      <c r="C60" s="585"/>
      <c r="D60" s="585"/>
      <c r="E60" s="585"/>
      <c r="F60" s="585"/>
      <c r="G60" s="585"/>
      <c r="H60" s="585"/>
      <c r="I60" s="585"/>
      <c r="J60" s="585"/>
      <c r="K60" s="585"/>
      <c r="L60" s="585"/>
      <c r="M60" s="585"/>
      <c r="N60" s="596"/>
      <c r="O60" s="596"/>
      <c r="P60" s="578">
        <f t="array" ref="P60">SUMPRODUCT(C60:O60, {item_vals!$B$3, item_vals!$E$3:$N$3, item_vals!$C$3:$D$3})</f>
        <v>0</v>
      </c>
      <c r="Q60" s="579"/>
      <c r="R60" s="580"/>
      <c r="S60" s="580"/>
      <c r="T60" s="580"/>
      <c r="U60" s="580"/>
      <c r="V60" s="580"/>
      <c r="W60" s="580"/>
      <c r="X60" s="580"/>
      <c r="Y60" s="580"/>
      <c r="Z60" s="580"/>
      <c r="AA60" s="580"/>
      <c r="AB60" s="580"/>
      <c r="AC60" s="580"/>
      <c r="AD60" s="580"/>
      <c r="AE60" s="587">
        <f t="array" ref="AE60">SUMPRODUCT(R60:AD60, {item_vals!$B$3, item_vals!$E$3:$N$3, item_vals!$C$3:$D$3})</f>
        <v>0</v>
      </c>
    </row>
    <row r="61" ht="15.75" customHeight="1">
      <c r="B61" s="571" t="s">
        <v>415</v>
      </c>
      <c r="C61" s="573"/>
      <c r="D61" s="573"/>
      <c r="E61" s="573"/>
      <c r="F61" s="573"/>
      <c r="G61" s="573"/>
      <c r="H61" s="573"/>
      <c r="I61" s="573"/>
      <c r="J61" s="573"/>
      <c r="K61" s="573"/>
      <c r="L61" s="573"/>
      <c r="M61" s="573"/>
      <c r="N61" s="572"/>
      <c r="O61" s="572"/>
      <c r="P61" s="578">
        <f t="array" ref="P61">SUMPRODUCT(C61:O61, {item_vals!$B$3, item_vals!$E$3:$N$3, item_vals!$C$3:$D$3})</f>
        <v>0</v>
      </c>
      <c r="Q61" s="579"/>
      <c r="R61" s="580"/>
      <c r="S61" s="580"/>
      <c r="T61" s="580"/>
      <c r="U61" s="580"/>
      <c r="V61" s="580"/>
      <c r="W61" s="580"/>
      <c r="X61" s="580"/>
      <c r="Y61" s="580"/>
      <c r="Z61" s="580"/>
      <c r="AA61" s="580"/>
      <c r="AB61" s="580"/>
      <c r="AC61" s="580"/>
      <c r="AD61" s="580"/>
      <c r="AE61" s="587">
        <f t="array" ref="AE61">SUMPRODUCT(R61:AD61, {item_vals!$B$3, item_vals!$E$3:$N$3, item_vals!$C$3:$D$3})</f>
        <v>0</v>
      </c>
    </row>
    <row r="62" ht="15.75" customHeight="1">
      <c r="B62" s="32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R62" s="8"/>
      <c r="S62" s="328"/>
      <c r="T62" s="328"/>
      <c r="U62" s="328"/>
      <c r="V62" s="328"/>
      <c r="W62" s="328"/>
      <c r="X62" s="328"/>
      <c r="Y62" s="328"/>
      <c r="Z62" s="328"/>
      <c r="AA62" s="328"/>
      <c r="AB62" s="328"/>
    </row>
    <row r="63" ht="15.75" customHeight="1">
      <c r="B63" s="32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R63" s="8"/>
      <c r="S63" s="328"/>
      <c r="T63" s="328"/>
      <c r="U63" s="328"/>
      <c r="V63" s="328"/>
      <c r="W63" s="328"/>
      <c r="X63" s="328"/>
      <c r="Y63" s="328"/>
      <c r="Z63" s="328"/>
      <c r="AA63" s="328"/>
      <c r="AB63" s="328"/>
    </row>
    <row r="64" ht="15.75" customHeight="1">
      <c r="B64" s="553" t="s">
        <v>22</v>
      </c>
      <c r="C64" s="598" t="s">
        <v>1816</v>
      </c>
      <c r="D64" s="599"/>
      <c r="E64" s="599"/>
      <c r="F64" s="599"/>
      <c r="G64" s="599"/>
      <c r="H64" s="599"/>
      <c r="I64" s="599"/>
      <c r="J64" s="599"/>
      <c r="K64" s="599"/>
      <c r="L64" s="599"/>
      <c r="M64" s="599"/>
      <c r="N64" s="555"/>
      <c r="O64" s="555"/>
      <c r="R64" s="600" t="s">
        <v>1818</v>
      </c>
      <c r="S64" s="557"/>
      <c r="T64" s="557"/>
      <c r="U64" s="557"/>
      <c r="V64" s="557"/>
      <c r="W64" s="557"/>
      <c r="X64" s="557"/>
      <c r="Y64" s="557"/>
      <c r="Z64" s="557"/>
      <c r="AA64" s="557"/>
      <c r="AB64" s="557"/>
      <c r="AC64" s="557"/>
      <c r="AD64" s="557"/>
      <c r="AE64" s="394"/>
    </row>
    <row r="65">
      <c r="B65" s="561" t="s">
        <v>422</v>
      </c>
      <c r="C65" s="601" t="s">
        <v>1205</v>
      </c>
      <c r="D65" s="601" t="s">
        <v>52</v>
      </c>
      <c r="E65" s="601" t="s">
        <v>53</v>
      </c>
      <c r="F65" s="601" t="s">
        <v>54</v>
      </c>
      <c r="G65" s="601" t="s">
        <v>47</v>
      </c>
      <c r="H65" s="601" t="s">
        <v>48</v>
      </c>
      <c r="I65" s="601" t="s">
        <v>50</v>
      </c>
      <c r="J65" s="601" t="s">
        <v>1209</v>
      </c>
      <c r="K65" s="601" t="s">
        <v>1210</v>
      </c>
      <c r="L65" s="601" t="s">
        <v>1211</v>
      </c>
      <c r="M65" s="601" t="s">
        <v>55</v>
      </c>
      <c r="N65" s="563" t="s">
        <v>46</v>
      </c>
      <c r="O65" s="563" t="s">
        <v>1213</v>
      </c>
      <c r="P65" s="566" t="s">
        <v>1214</v>
      </c>
      <c r="R65" s="602" t="s">
        <v>1205</v>
      </c>
      <c r="S65" s="567" t="s">
        <v>52</v>
      </c>
      <c r="T65" s="567" t="s">
        <v>53</v>
      </c>
      <c r="U65" s="567" t="s">
        <v>54</v>
      </c>
      <c r="V65" s="567" t="s">
        <v>47</v>
      </c>
      <c r="W65" s="567" t="s">
        <v>48</v>
      </c>
      <c r="X65" s="567" t="s">
        <v>50</v>
      </c>
      <c r="Y65" s="567" t="s">
        <v>1209</v>
      </c>
      <c r="Z65" s="567" t="s">
        <v>1210</v>
      </c>
      <c r="AA65" s="567" t="s">
        <v>1211</v>
      </c>
      <c r="AB65" s="567" t="s">
        <v>55</v>
      </c>
      <c r="AC65" s="567" t="s">
        <v>46</v>
      </c>
      <c r="AD65" s="567" t="s">
        <v>1213</v>
      </c>
      <c r="AE65" s="566" t="s">
        <v>1214</v>
      </c>
    </row>
    <row r="66" ht="15.75" customHeight="1">
      <c r="B66" s="571" t="s">
        <v>393</v>
      </c>
      <c r="C66" s="572" t="str">
        <f>LET(payer, $C$3, segment, $B$64, ECOGAINS_SIM(payer, segment, sim_refresh!$A$1))</f>
        <v>Loading...</v>
      </c>
      <c r="D66" s="573"/>
      <c r="E66" s="573"/>
      <c r="F66" s="573"/>
      <c r="G66" s="573"/>
      <c r="H66" s="573"/>
      <c r="I66" s="573"/>
      <c r="J66" s="573"/>
      <c r="K66" s="573"/>
      <c r="L66" s="573"/>
      <c r="M66" s="573"/>
      <c r="N66" s="572"/>
      <c r="O66" s="572"/>
      <c r="P66" s="578" t="str">
        <f t="array" ref="P66">SUMPRODUCT(C66:O66, {item_vals!$B$3, item_vals!$E$3:$N$3, item_vals!$C$3:$D$3})</f>
        <v>Loading...</v>
      </c>
      <c r="Q66" s="579"/>
      <c r="R66" s="580" t="str">
        <f>LET(payer, $C$3, segment, $B$64, ECOGAINS_DIFF(payer, segment, sim_refresh!$A$1))</f>
        <v>Loading...</v>
      </c>
      <c r="S66" s="580"/>
      <c r="T66" s="580"/>
      <c r="U66" s="580"/>
      <c r="V66" s="580"/>
      <c r="W66" s="580"/>
      <c r="X66" s="580"/>
      <c r="Y66" s="580"/>
      <c r="Z66" s="580"/>
      <c r="AA66" s="580"/>
      <c r="AB66" s="580"/>
      <c r="AC66" s="580"/>
      <c r="AD66" s="580"/>
      <c r="AE66" s="583" t="str">
        <f t="array" ref="AE66">SUMPRODUCT(R66:AD66, {item_vals!$B$3, item_vals!$E$3:$N$3, item_vals!$C$3:$D$3})</f>
        <v>Loading...</v>
      </c>
    </row>
    <row r="67" ht="15.75" customHeight="1">
      <c r="B67" s="584" t="s">
        <v>341</v>
      </c>
      <c r="C67" s="585"/>
      <c r="D67" s="585"/>
      <c r="E67" s="585"/>
      <c r="F67" s="585"/>
      <c r="G67" s="585"/>
      <c r="H67" s="585"/>
      <c r="I67" s="585"/>
      <c r="J67" s="585"/>
      <c r="K67" s="585"/>
      <c r="L67" s="585"/>
      <c r="M67" s="585"/>
      <c r="N67" s="585"/>
      <c r="O67" s="585"/>
      <c r="P67" s="578">
        <f t="array" ref="P67">SUMPRODUCT(C67:O67, {item_vals!$B$3, item_vals!$E$3:$N$3, item_vals!$C$3:$D$3})</f>
        <v>0</v>
      </c>
      <c r="Q67" s="579"/>
      <c r="R67" s="580"/>
      <c r="S67" s="580"/>
      <c r="T67" s="580"/>
      <c r="U67" s="580"/>
      <c r="V67" s="580"/>
      <c r="W67" s="580"/>
      <c r="X67" s="580"/>
      <c r="Y67" s="580"/>
      <c r="Z67" s="580"/>
      <c r="AA67" s="580"/>
      <c r="AB67" s="580"/>
      <c r="AC67" s="580"/>
      <c r="AD67" s="580"/>
      <c r="AE67" s="587">
        <f t="array" ref="AE67">SUMPRODUCT(R67:AD67, {item_vals!$B$3, item_vals!$E$3:$N$3, item_vals!$C$3:$D$3})</f>
        <v>0</v>
      </c>
    </row>
    <row r="68" ht="15.75" customHeight="1">
      <c r="B68" s="584" t="s">
        <v>206</v>
      </c>
      <c r="C68" s="585"/>
      <c r="D68" s="585"/>
      <c r="E68" s="585"/>
      <c r="F68" s="585"/>
      <c r="G68" s="585"/>
      <c r="H68" s="585"/>
      <c r="I68" s="585"/>
      <c r="J68" s="585"/>
      <c r="K68" s="585"/>
      <c r="L68" s="585"/>
      <c r="M68" s="585"/>
      <c r="N68" s="585"/>
      <c r="O68" s="585"/>
      <c r="P68" s="578">
        <f t="array" ref="P68">SUMPRODUCT(C68:O68, {item_vals!$B$3, item_vals!$E$3:$N$3, item_vals!$C$3:$D$3})</f>
        <v>0</v>
      </c>
      <c r="Q68" s="579"/>
      <c r="R68" s="580"/>
      <c r="S68" s="580"/>
      <c r="T68" s="580"/>
      <c r="U68" s="580"/>
      <c r="V68" s="580"/>
      <c r="W68" s="580"/>
      <c r="X68" s="580"/>
      <c r="Y68" s="580"/>
      <c r="Z68" s="580"/>
      <c r="AA68" s="580"/>
      <c r="AB68" s="580"/>
      <c r="AC68" s="580"/>
      <c r="AD68" s="580"/>
      <c r="AE68" s="587">
        <f t="array" ref="AE68">SUMPRODUCT(R68:AD68, {item_vals!$B$3, item_vals!$E$3:$N$3, item_vals!$C$3:$D$3})</f>
        <v>0</v>
      </c>
    </row>
    <row r="69" ht="15.75" customHeight="1">
      <c r="B69" s="584" t="s">
        <v>338</v>
      </c>
      <c r="C69" s="585"/>
      <c r="D69" s="585"/>
      <c r="E69" s="585"/>
      <c r="F69" s="585"/>
      <c r="G69" s="585"/>
      <c r="H69" s="585"/>
      <c r="I69" s="585"/>
      <c r="J69" s="585"/>
      <c r="K69" s="585"/>
      <c r="L69" s="585"/>
      <c r="M69" s="585"/>
      <c r="N69" s="585"/>
      <c r="O69" s="585"/>
      <c r="P69" s="578">
        <f t="array" ref="P69">SUMPRODUCT(C69:O69, {item_vals!$B$3, item_vals!$E$3:$N$3, item_vals!$C$3:$D$3})</f>
        <v>0</v>
      </c>
      <c r="Q69" s="579"/>
      <c r="R69" s="580"/>
      <c r="S69" s="580"/>
      <c r="T69" s="580"/>
      <c r="U69" s="580"/>
      <c r="V69" s="580"/>
      <c r="W69" s="580"/>
      <c r="X69" s="580"/>
      <c r="Y69" s="580"/>
      <c r="Z69" s="580"/>
      <c r="AA69" s="580"/>
      <c r="AB69" s="580"/>
      <c r="AC69" s="580"/>
      <c r="AD69" s="580"/>
      <c r="AE69" s="587">
        <f t="array" ref="AE69">SUMPRODUCT(R69:AD69, {item_vals!$B$3, item_vals!$E$3:$N$3, item_vals!$C$3:$D$3})</f>
        <v>0</v>
      </c>
    </row>
    <row r="70" ht="15.75" customHeight="1">
      <c r="B70" s="584" t="s">
        <v>396</v>
      </c>
      <c r="C70" s="585"/>
      <c r="D70" s="585"/>
      <c r="E70" s="585"/>
      <c r="F70" s="585"/>
      <c r="G70" s="585"/>
      <c r="H70" s="585"/>
      <c r="I70" s="585"/>
      <c r="J70" s="585"/>
      <c r="K70" s="585"/>
      <c r="L70" s="585"/>
      <c r="M70" s="585"/>
      <c r="N70" s="585"/>
      <c r="O70" s="585"/>
      <c r="P70" s="578">
        <f t="array" ref="P70">SUMPRODUCT(C70:O70, {item_vals!$B$3, item_vals!$E$3:$N$3, item_vals!$C$3:$D$3})</f>
        <v>0</v>
      </c>
      <c r="Q70" s="579"/>
      <c r="R70" s="580"/>
      <c r="S70" s="580"/>
      <c r="T70" s="580"/>
      <c r="U70" s="580"/>
      <c r="V70" s="580"/>
      <c r="W70" s="580"/>
      <c r="X70" s="580"/>
      <c r="Y70" s="580"/>
      <c r="Z70" s="580"/>
      <c r="AA70" s="580"/>
      <c r="AB70" s="580"/>
      <c r="AC70" s="580"/>
      <c r="AD70" s="580"/>
      <c r="AE70" s="587">
        <f t="array" ref="AE70">SUMPRODUCT(R70:AD70, {item_vals!$B$3, item_vals!$E$3:$N$3, item_vals!$C$3:$D$3})</f>
        <v>0</v>
      </c>
    </row>
    <row r="71" ht="15.75" customHeight="1">
      <c r="B71" s="584" t="s">
        <v>397</v>
      </c>
      <c r="C71" s="585"/>
      <c r="D71" s="585"/>
      <c r="E71" s="585"/>
      <c r="F71" s="585"/>
      <c r="G71" s="585"/>
      <c r="H71" s="585"/>
      <c r="I71" s="585"/>
      <c r="J71" s="585"/>
      <c r="K71" s="585"/>
      <c r="L71" s="585"/>
      <c r="M71" s="585"/>
      <c r="N71" s="585"/>
      <c r="O71" s="585"/>
      <c r="P71" s="578">
        <f t="array" ref="P71">SUMPRODUCT(C71:O71, {item_vals!$B$3, item_vals!$E$3:$N$3, item_vals!$C$3:$D$3})</f>
        <v>0</v>
      </c>
      <c r="Q71" s="579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7">
        <f t="array" ref="AE71">SUMPRODUCT(R71:AD71, {item_vals!$B$3, item_vals!$E$3:$N$3, item_vals!$C$3:$D$3})</f>
        <v>0</v>
      </c>
    </row>
    <row r="72" ht="15.75" customHeight="1">
      <c r="B72" s="584" t="s">
        <v>398</v>
      </c>
      <c r="C72" s="585"/>
      <c r="D72" s="585"/>
      <c r="E72" s="585"/>
      <c r="F72" s="585"/>
      <c r="G72" s="585"/>
      <c r="H72" s="585"/>
      <c r="I72" s="585"/>
      <c r="J72" s="585"/>
      <c r="K72" s="585"/>
      <c r="L72" s="585"/>
      <c r="M72" s="585"/>
      <c r="N72" s="585"/>
      <c r="O72" s="585"/>
      <c r="P72" s="578">
        <f t="array" ref="P72">SUMPRODUCT(C72:O72, {item_vals!$B$3, item_vals!$E$3:$N$3, item_vals!$C$3:$D$3})</f>
        <v>0</v>
      </c>
      <c r="Q72" s="579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7">
        <f t="array" ref="AE72">SUMPRODUCT(R72:AD72, {item_vals!$B$3, item_vals!$E$3:$N$3, item_vals!$C$3:$D$3})</f>
        <v>0</v>
      </c>
    </row>
    <row r="73" ht="15.75" customHeight="1">
      <c r="B73" s="584" t="s">
        <v>51</v>
      </c>
      <c r="C73" s="585"/>
      <c r="D73" s="585"/>
      <c r="E73" s="585"/>
      <c r="F73" s="585"/>
      <c r="G73" s="585"/>
      <c r="H73" s="585"/>
      <c r="I73" s="585"/>
      <c r="J73" s="585"/>
      <c r="K73" s="585"/>
      <c r="L73" s="585"/>
      <c r="M73" s="585"/>
      <c r="N73" s="585"/>
      <c r="O73" s="585"/>
      <c r="P73" s="578">
        <f t="array" ref="P73">SUMPRODUCT(C73:O73, {item_vals!$B$3, item_vals!$E$3:$N$3, item_vals!$C$3:$D$3})</f>
        <v>0</v>
      </c>
      <c r="Q73" s="579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7">
        <f t="array" ref="AE73">SUMPRODUCT(R73:AD73, {item_vals!$B$3, item_vals!$E$3:$N$3, item_vals!$C$3:$D$3})</f>
        <v>0</v>
      </c>
    </row>
    <row r="74" ht="15.75" customHeight="1">
      <c r="B74" s="584" t="s">
        <v>9</v>
      </c>
      <c r="C74" s="585"/>
      <c r="D74" s="585"/>
      <c r="E74" s="585"/>
      <c r="F74" s="585"/>
      <c r="G74" s="585"/>
      <c r="H74" s="585"/>
      <c r="I74" s="585"/>
      <c r="J74" s="585"/>
      <c r="K74" s="585"/>
      <c r="L74" s="585"/>
      <c r="M74" s="585"/>
      <c r="N74" s="585"/>
      <c r="O74" s="585"/>
      <c r="P74" s="578">
        <f t="array" ref="P74">SUMPRODUCT(C74:O74, {item_vals!$B$3, item_vals!$E$3:$N$3, item_vals!$C$3:$D$3})</f>
        <v>0</v>
      </c>
      <c r="Q74" s="579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0"/>
      <c r="AC74" s="580"/>
      <c r="AD74" s="580"/>
      <c r="AE74" s="587">
        <f t="array" ref="AE74">SUMPRODUCT(R74:AD74, {item_vals!$B$3, item_vals!$E$3:$N$3, item_vals!$C$3:$D$3})</f>
        <v>0</v>
      </c>
    </row>
    <row r="75" ht="15.75" customHeight="1">
      <c r="B75" s="584" t="s">
        <v>401</v>
      </c>
      <c r="C75" s="585"/>
      <c r="D75" s="585"/>
      <c r="E75" s="585"/>
      <c r="F75" s="585"/>
      <c r="G75" s="585"/>
      <c r="H75" s="585"/>
      <c r="I75" s="585"/>
      <c r="J75" s="585"/>
      <c r="K75" s="585"/>
      <c r="L75" s="585"/>
      <c r="M75" s="585"/>
      <c r="N75" s="585"/>
      <c r="O75" s="585"/>
      <c r="P75" s="578">
        <f t="array" ref="P75">SUMPRODUCT(C75:O75, {item_vals!$B$3, item_vals!$E$3:$N$3, item_vals!$C$3:$D$3})</f>
        <v>0</v>
      </c>
      <c r="Q75" s="579"/>
      <c r="R75" s="580"/>
      <c r="S75" s="580"/>
      <c r="T75" s="580"/>
      <c r="U75" s="580"/>
      <c r="V75" s="580"/>
      <c r="W75" s="580"/>
      <c r="X75" s="580"/>
      <c r="Y75" s="580"/>
      <c r="Z75" s="580"/>
      <c r="AA75" s="580"/>
      <c r="AB75" s="580"/>
      <c r="AC75" s="580"/>
      <c r="AD75" s="580"/>
      <c r="AE75" s="587">
        <f t="array" ref="AE75">SUMPRODUCT(R75:AD75, {item_vals!$B$3, item_vals!$E$3:$N$3, item_vals!$C$3:$D$3})</f>
        <v>0</v>
      </c>
    </row>
    <row r="76" ht="15.75" customHeight="1">
      <c r="B76" s="584" t="s">
        <v>7</v>
      </c>
      <c r="C76" s="585"/>
      <c r="D76" s="585"/>
      <c r="E76" s="585"/>
      <c r="F76" s="585"/>
      <c r="G76" s="585"/>
      <c r="H76" s="585"/>
      <c r="I76" s="585"/>
      <c r="J76" s="585"/>
      <c r="K76" s="585"/>
      <c r="L76" s="585"/>
      <c r="M76" s="585"/>
      <c r="N76" s="585"/>
      <c r="O76" s="585"/>
      <c r="P76" s="578">
        <f t="array" ref="P76">SUMPRODUCT(C76:O76, {item_vals!$B$3, item_vals!$E$3:$N$3, item_vals!$C$3:$D$3})</f>
        <v>0</v>
      </c>
      <c r="Q76" s="579"/>
      <c r="R76" s="580"/>
      <c r="S76" s="580"/>
      <c r="T76" s="580"/>
      <c r="U76" s="580"/>
      <c r="V76" s="580"/>
      <c r="W76" s="580"/>
      <c r="X76" s="580"/>
      <c r="Y76" s="580"/>
      <c r="Z76" s="580"/>
      <c r="AA76" s="580"/>
      <c r="AB76" s="580"/>
      <c r="AC76" s="580"/>
      <c r="AD76" s="580"/>
      <c r="AE76" s="587">
        <f t="array" ref="AE76">SUMPRODUCT(R76:AD76, {item_vals!$B$3, item_vals!$E$3:$N$3, item_vals!$C$3:$D$3})</f>
        <v>0</v>
      </c>
    </row>
    <row r="77" ht="15.75" customHeight="1">
      <c r="B77" s="584" t="s">
        <v>20</v>
      </c>
      <c r="C77" s="585"/>
      <c r="D77" s="585"/>
      <c r="E77" s="585"/>
      <c r="F77" s="585"/>
      <c r="G77" s="585"/>
      <c r="H77" s="585"/>
      <c r="I77" s="585"/>
      <c r="J77" s="585"/>
      <c r="K77" s="585"/>
      <c r="L77" s="585"/>
      <c r="M77" s="585"/>
      <c r="N77" s="585"/>
      <c r="O77" s="585"/>
      <c r="P77" s="578">
        <f t="array" ref="P77">SUMPRODUCT(C77:O77, {item_vals!$B$3, item_vals!$E$3:$N$3, item_vals!$C$3:$D$3})</f>
        <v>0</v>
      </c>
      <c r="Q77" s="579"/>
      <c r="R77" s="580"/>
      <c r="S77" s="580"/>
      <c r="T77" s="580"/>
      <c r="U77" s="580"/>
      <c r="V77" s="580"/>
      <c r="W77" s="580"/>
      <c r="X77" s="580"/>
      <c r="Y77" s="580"/>
      <c r="Z77" s="580"/>
      <c r="AA77" s="580"/>
      <c r="AB77" s="580"/>
      <c r="AC77" s="580"/>
      <c r="AD77" s="580"/>
      <c r="AE77" s="587">
        <f t="array" ref="AE77">SUMPRODUCT(R77:AD77, {item_vals!$B$3, item_vals!$E$3:$N$3, item_vals!$C$3:$D$3})</f>
        <v>0</v>
      </c>
    </row>
    <row r="78" ht="15.75" customHeight="1">
      <c r="B78" s="571" t="s">
        <v>411</v>
      </c>
      <c r="C78" s="573"/>
      <c r="D78" s="573"/>
      <c r="E78" s="573"/>
      <c r="F78" s="573"/>
      <c r="G78" s="573"/>
      <c r="H78" s="573"/>
      <c r="I78" s="573"/>
      <c r="J78" s="573"/>
      <c r="K78" s="573"/>
      <c r="L78" s="573"/>
      <c r="M78" s="573"/>
      <c r="N78" s="572"/>
      <c r="O78" s="572"/>
      <c r="P78" s="578">
        <f t="array" ref="P78">SUMPRODUCT(C78:O78, {item_vals!$B$3, item_vals!$E$3:$N$3, item_vals!$C$3:$D$3})</f>
        <v>0</v>
      </c>
      <c r="Q78" s="579"/>
      <c r="R78" s="580"/>
      <c r="S78" s="580"/>
      <c r="T78" s="580"/>
      <c r="U78" s="580"/>
      <c r="V78" s="580"/>
      <c r="W78" s="580"/>
      <c r="X78" s="580"/>
      <c r="Y78" s="580"/>
      <c r="Z78" s="580"/>
      <c r="AA78" s="580"/>
      <c r="AB78" s="580"/>
      <c r="AC78" s="580"/>
      <c r="AD78" s="580"/>
      <c r="AE78" s="587">
        <f t="array" ref="AE78">SUMPRODUCT(R78:AD78, {item_vals!$B$3, item_vals!$E$3:$N$3, item_vals!$C$3:$D$3})</f>
        <v>0</v>
      </c>
    </row>
    <row r="79" ht="15.75" customHeight="1">
      <c r="B79" s="584" t="s">
        <v>73</v>
      </c>
      <c r="C79" s="585"/>
      <c r="D79" s="585"/>
      <c r="E79" s="585"/>
      <c r="F79" s="585"/>
      <c r="G79" s="585"/>
      <c r="H79" s="585"/>
      <c r="I79" s="585"/>
      <c r="J79" s="585"/>
      <c r="K79" s="585"/>
      <c r="L79" s="585"/>
      <c r="M79" s="585"/>
      <c r="N79" s="585"/>
      <c r="O79" s="585"/>
      <c r="P79" s="578">
        <f t="array" ref="P79">SUMPRODUCT(C79:O79, {item_vals!$B$3, item_vals!$E$3:$N$3, item_vals!$C$3:$D$3})</f>
        <v>0</v>
      </c>
      <c r="Q79" s="579"/>
      <c r="R79" s="580"/>
      <c r="S79" s="580"/>
      <c r="T79" s="580"/>
      <c r="U79" s="580"/>
      <c r="V79" s="580"/>
      <c r="W79" s="580"/>
      <c r="X79" s="580"/>
      <c r="Y79" s="580"/>
      <c r="Z79" s="580"/>
      <c r="AA79" s="580"/>
      <c r="AB79" s="580"/>
      <c r="AC79" s="580"/>
      <c r="AD79" s="580"/>
      <c r="AE79" s="587">
        <f t="array" ref="AE79">SUMPRODUCT(R79:AD79, {item_vals!$B$3, item_vals!$E$3:$N$3, item_vals!$C$3:$D$3})</f>
        <v>0</v>
      </c>
    </row>
    <row r="80" ht="15.75" customHeight="1">
      <c r="B80" s="584" t="s">
        <v>329</v>
      </c>
      <c r="C80" s="585"/>
      <c r="D80" s="585"/>
      <c r="E80" s="585"/>
      <c r="F80" s="585"/>
      <c r="G80" s="585"/>
      <c r="H80" s="585"/>
      <c r="I80" s="585"/>
      <c r="J80" s="585"/>
      <c r="K80" s="585"/>
      <c r="L80" s="585"/>
      <c r="M80" s="585"/>
      <c r="N80" s="585"/>
      <c r="O80" s="585"/>
      <c r="P80" s="578">
        <f t="array" ref="P80">SUMPRODUCT(C80:O80, {item_vals!$B$3, item_vals!$E$3:$N$3, item_vals!$C$3:$D$3})</f>
        <v>0</v>
      </c>
      <c r="Q80" s="579"/>
      <c r="R80" s="580"/>
      <c r="S80" s="580"/>
      <c r="T80" s="580"/>
      <c r="U80" s="580"/>
      <c r="V80" s="580"/>
      <c r="W80" s="580"/>
      <c r="X80" s="580"/>
      <c r="Y80" s="580"/>
      <c r="Z80" s="580"/>
      <c r="AA80" s="580"/>
      <c r="AB80" s="580"/>
      <c r="AC80" s="580"/>
      <c r="AD80" s="580"/>
      <c r="AE80" s="587">
        <f t="array" ref="AE80">SUMPRODUCT(R80:AD80, {item_vals!$B$3, item_vals!$E$3:$N$3, item_vals!$C$3:$D$3})</f>
        <v>0</v>
      </c>
    </row>
    <row r="81" ht="15.75" customHeight="1">
      <c r="B81" s="584" t="s">
        <v>151</v>
      </c>
      <c r="C81" s="585"/>
      <c r="D81" s="585"/>
      <c r="E81" s="585"/>
      <c r="F81" s="585"/>
      <c r="G81" s="585"/>
      <c r="H81" s="585"/>
      <c r="I81" s="585"/>
      <c r="J81" s="585"/>
      <c r="K81" s="585"/>
      <c r="L81" s="585"/>
      <c r="M81" s="585"/>
      <c r="N81" s="585"/>
      <c r="O81" s="585"/>
      <c r="P81" s="578">
        <f t="array" ref="P81">SUMPRODUCT(C81:O81, {item_vals!$B$3, item_vals!$E$3:$N$3, item_vals!$C$3:$D$3})</f>
        <v>0</v>
      </c>
      <c r="Q81" s="579"/>
      <c r="R81" s="580"/>
      <c r="S81" s="580"/>
      <c r="T81" s="580"/>
      <c r="U81" s="580"/>
      <c r="V81" s="580"/>
      <c r="W81" s="580"/>
      <c r="X81" s="580"/>
      <c r="Y81" s="580"/>
      <c r="Z81" s="580"/>
      <c r="AA81" s="580"/>
      <c r="AB81" s="580"/>
      <c r="AC81" s="580"/>
      <c r="AD81" s="580"/>
      <c r="AE81" s="587">
        <f t="array" ref="AE81">SUMPRODUCT(R81:AD81, {item_vals!$B$3, item_vals!$E$3:$N$3, item_vals!$C$3:$D$3})</f>
        <v>0</v>
      </c>
    </row>
    <row r="82" ht="15.75" customHeight="1">
      <c r="B82" s="584" t="s">
        <v>418</v>
      </c>
      <c r="C82" s="585"/>
      <c r="D82" s="585"/>
      <c r="E82" s="585"/>
      <c r="F82" s="585"/>
      <c r="G82" s="585"/>
      <c r="H82" s="585"/>
      <c r="I82" s="585"/>
      <c r="J82" s="585"/>
      <c r="K82" s="585"/>
      <c r="L82" s="585"/>
      <c r="M82" s="585"/>
      <c r="N82" s="585"/>
      <c r="O82" s="585"/>
      <c r="P82" s="578">
        <f t="array" ref="P82">SUMPRODUCT(C82:O82, {item_vals!$B$3, item_vals!$E$3:$N$3, item_vals!$C$3:$D$3})</f>
        <v>0</v>
      </c>
      <c r="Q82" s="579"/>
      <c r="R82" s="580"/>
      <c r="S82" s="580"/>
      <c r="T82" s="580"/>
      <c r="U82" s="580"/>
      <c r="V82" s="580"/>
      <c r="W82" s="580"/>
      <c r="X82" s="580"/>
      <c r="Y82" s="580"/>
      <c r="Z82" s="580"/>
      <c r="AA82" s="580"/>
      <c r="AB82" s="580"/>
      <c r="AC82" s="580"/>
      <c r="AD82" s="580"/>
      <c r="AE82" s="587">
        <f t="array" ref="AE82">SUMPRODUCT(R82:AD82, {item_vals!$B$3, item_vals!$E$3:$N$3, item_vals!$C$3:$D$3})</f>
        <v>0</v>
      </c>
    </row>
    <row r="83" ht="15.75" customHeight="1">
      <c r="B83" s="584" t="s">
        <v>413</v>
      </c>
      <c r="C83" s="585"/>
      <c r="D83" s="585"/>
      <c r="E83" s="585"/>
      <c r="F83" s="585"/>
      <c r="G83" s="585"/>
      <c r="H83" s="585"/>
      <c r="I83" s="585"/>
      <c r="J83" s="585"/>
      <c r="K83" s="585"/>
      <c r="L83" s="585"/>
      <c r="M83" s="585"/>
      <c r="N83" s="585"/>
      <c r="O83" s="585"/>
      <c r="P83" s="578">
        <f t="array" ref="P83">SUMPRODUCT(C83:O83, {item_vals!$B$3, item_vals!$E$3:$N$3, item_vals!$C$3:$D$3})</f>
        <v>0</v>
      </c>
      <c r="Q83" s="579"/>
      <c r="R83" s="580"/>
      <c r="S83" s="580"/>
      <c r="T83" s="580"/>
      <c r="U83" s="580"/>
      <c r="V83" s="580"/>
      <c r="W83" s="580"/>
      <c r="X83" s="580"/>
      <c r="Y83" s="580"/>
      <c r="Z83" s="580"/>
      <c r="AA83" s="580"/>
      <c r="AB83" s="580"/>
      <c r="AC83" s="580"/>
      <c r="AD83" s="580"/>
      <c r="AE83" s="587">
        <f t="array" ref="AE83">SUMPRODUCT(R83:AD83, {item_vals!$B$3, item_vals!$E$3:$N$3, item_vals!$C$3:$D$3})</f>
        <v>0</v>
      </c>
    </row>
    <row r="84" ht="15.75" customHeight="1">
      <c r="B84" s="584" t="s">
        <v>63</v>
      </c>
      <c r="C84" s="585"/>
      <c r="D84" s="585"/>
      <c r="E84" s="585"/>
      <c r="F84" s="585"/>
      <c r="G84" s="585"/>
      <c r="H84" s="585"/>
      <c r="I84" s="585"/>
      <c r="J84" s="585"/>
      <c r="K84" s="585"/>
      <c r="L84" s="585"/>
      <c r="M84" s="585"/>
      <c r="N84" s="585"/>
      <c r="O84" s="585"/>
      <c r="P84" s="578">
        <f t="array" ref="P84">SUMPRODUCT(C84:O84, {item_vals!$B$3, item_vals!$E$3:$N$3, item_vals!$C$3:$D$3})</f>
        <v>0</v>
      </c>
      <c r="Q84" s="579"/>
      <c r="R84" s="580"/>
      <c r="S84" s="580"/>
      <c r="T84" s="580"/>
      <c r="U84" s="580"/>
      <c r="V84" s="580"/>
      <c r="W84" s="580"/>
      <c r="X84" s="580"/>
      <c r="Y84" s="580"/>
      <c r="Z84" s="580"/>
      <c r="AA84" s="580"/>
      <c r="AB84" s="580"/>
      <c r="AC84" s="580"/>
      <c r="AD84" s="580"/>
      <c r="AE84" s="587">
        <f t="array" ref="AE84">SUMPRODUCT(R84:AD84, {item_vals!$B$3, item_vals!$E$3:$N$3, item_vals!$C$3:$D$3})</f>
        <v>0</v>
      </c>
    </row>
    <row r="85" ht="15.75" customHeight="1">
      <c r="B85" s="571" t="s">
        <v>15</v>
      </c>
      <c r="C85" s="573"/>
      <c r="D85" s="573"/>
      <c r="E85" s="573"/>
      <c r="F85" s="573"/>
      <c r="G85" s="573"/>
      <c r="H85" s="573"/>
      <c r="I85" s="573"/>
      <c r="J85" s="573"/>
      <c r="K85" s="573"/>
      <c r="L85" s="573"/>
      <c r="M85" s="573"/>
      <c r="N85" s="572"/>
      <c r="O85" s="572"/>
      <c r="P85" s="578">
        <f t="array" ref="P85">SUMPRODUCT(C85:O85, {item_vals!$B$3, item_vals!$E$3:$N$3, item_vals!$C$3:$D$3})</f>
        <v>0</v>
      </c>
      <c r="Q85" s="579"/>
      <c r="R85" s="580"/>
      <c r="S85" s="580"/>
      <c r="T85" s="580"/>
      <c r="U85" s="580"/>
      <c r="V85" s="580"/>
      <c r="W85" s="580"/>
      <c r="X85" s="580"/>
      <c r="Y85" s="580"/>
      <c r="Z85" s="580"/>
      <c r="AA85" s="580"/>
      <c r="AB85" s="580"/>
      <c r="AC85" s="580"/>
      <c r="AD85" s="580"/>
      <c r="AE85" s="587">
        <f t="array" ref="AE85">SUMPRODUCT(R85:AD85, {item_vals!$B$3, item_vals!$E$3:$N$3, item_vals!$C$3:$D$3})</f>
        <v>0</v>
      </c>
    </row>
    <row r="86" ht="15.75" customHeight="1">
      <c r="B86" s="571" t="s">
        <v>16</v>
      </c>
      <c r="C86" s="573"/>
      <c r="D86" s="573"/>
      <c r="E86" s="573"/>
      <c r="F86" s="573"/>
      <c r="G86" s="573"/>
      <c r="H86" s="573"/>
      <c r="I86" s="573"/>
      <c r="J86" s="573"/>
      <c r="K86" s="573"/>
      <c r="L86" s="573"/>
      <c r="M86" s="573"/>
      <c r="N86" s="572"/>
      <c r="O86" s="572"/>
      <c r="P86" s="578">
        <f t="array" ref="P86">SUMPRODUCT(C86:O86, {item_vals!$B$3, item_vals!$E$3:$N$3, item_vals!$C$3:$D$3})</f>
        <v>0</v>
      </c>
      <c r="Q86" s="579"/>
      <c r="R86" s="580"/>
      <c r="S86" s="580"/>
      <c r="T86" s="580"/>
      <c r="U86" s="580"/>
      <c r="V86" s="580"/>
      <c r="W86" s="580"/>
      <c r="X86" s="580"/>
      <c r="Y86" s="580"/>
      <c r="Z86" s="580"/>
      <c r="AA86" s="580"/>
      <c r="AB86" s="580"/>
      <c r="AC86" s="580"/>
      <c r="AD86" s="580"/>
      <c r="AE86" s="587">
        <f t="array" ref="AE86">SUMPRODUCT(R86:AD86, {item_vals!$B$3, item_vals!$E$3:$N$3, item_vals!$C$3:$D$3})</f>
        <v>0</v>
      </c>
    </row>
    <row r="87" ht="15.75" customHeight="1">
      <c r="B87" s="584" t="s">
        <v>42</v>
      </c>
      <c r="C87" s="585"/>
      <c r="D87" s="585"/>
      <c r="E87" s="585"/>
      <c r="F87" s="585"/>
      <c r="G87" s="585"/>
      <c r="H87" s="585"/>
      <c r="I87" s="585"/>
      <c r="J87" s="585"/>
      <c r="K87" s="585"/>
      <c r="L87" s="585"/>
      <c r="M87" s="585"/>
      <c r="N87" s="596"/>
      <c r="O87" s="596"/>
      <c r="P87" s="578">
        <f t="array" ref="P87">SUMPRODUCT(C87:O87, {item_vals!$B$3, item_vals!$E$3:$N$3, item_vals!$C$3:$D$3})</f>
        <v>0</v>
      </c>
      <c r="Q87" s="579"/>
      <c r="R87" s="580"/>
      <c r="S87" s="580"/>
      <c r="T87" s="580"/>
      <c r="U87" s="580"/>
      <c r="V87" s="580"/>
      <c r="W87" s="580"/>
      <c r="X87" s="580"/>
      <c r="Y87" s="580"/>
      <c r="Z87" s="580"/>
      <c r="AA87" s="580"/>
      <c r="AB87" s="580"/>
      <c r="AC87" s="580"/>
      <c r="AD87" s="580"/>
      <c r="AE87" s="587">
        <f t="array" ref="AE87">SUMPRODUCT(R87:AD87, {item_vals!$B$3, item_vals!$E$3:$N$3, item_vals!$C$3:$D$3})</f>
        <v>0</v>
      </c>
    </row>
    <row r="88" ht="15.75" customHeight="1">
      <c r="B88" s="571" t="s">
        <v>414</v>
      </c>
      <c r="C88" s="573"/>
      <c r="D88" s="573"/>
      <c r="E88" s="573"/>
      <c r="F88" s="573"/>
      <c r="G88" s="573"/>
      <c r="H88" s="573"/>
      <c r="I88" s="573"/>
      <c r="J88" s="573"/>
      <c r="K88" s="573"/>
      <c r="L88" s="573"/>
      <c r="M88" s="573"/>
      <c r="N88" s="572"/>
      <c r="O88" s="572"/>
      <c r="P88" s="578">
        <f t="array" ref="P88">SUMPRODUCT(C88:O88, {item_vals!$B$3, item_vals!$E$3:$N$3, item_vals!$C$3:$D$3})</f>
        <v>0</v>
      </c>
      <c r="Q88" s="579"/>
      <c r="R88" s="580"/>
      <c r="S88" s="580"/>
      <c r="T88" s="580"/>
      <c r="U88" s="580"/>
      <c r="V88" s="580"/>
      <c r="W88" s="580"/>
      <c r="X88" s="580"/>
      <c r="Y88" s="580"/>
      <c r="Z88" s="580"/>
      <c r="AA88" s="580"/>
      <c r="AB88" s="580"/>
      <c r="AC88" s="580"/>
      <c r="AD88" s="580"/>
      <c r="AE88" s="587">
        <f t="array" ref="AE88">SUMPRODUCT(R88:AD88, {item_vals!$B$3, item_vals!$E$3:$N$3, item_vals!$C$3:$D$3})</f>
        <v>0</v>
      </c>
    </row>
    <row r="89" ht="15.75" customHeight="1">
      <c r="B89" s="584" t="s">
        <v>14</v>
      </c>
      <c r="C89" s="585"/>
      <c r="D89" s="585"/>
      <c r="E89" s="585"/>
      <c r="F89" s="585"/>
      <c r="G89" s="585"/>
      <c r="H89" s="585"/>
      <c r="I89" s="585"/>
      <c r="J89" s="585"/>
      <c r="K89" s="585"/>
      <c r="L89" s="585"/>
      <c r="M89" s="585"/>
      <c r="N89" s="596"/>
      <c r="O89" s="596"/>
      <c r="P89" s="578">
        <f t="array" ref="P89">SUMPRODUCT(C89:O89, {item_vals!$B$3, item_vals!$E$3:$N$3, item_vals!$C$3:$D$3})</f>
        <v>0</v>
      </c>
      <c r="Q89" s="579"/>
      <c r="R89" s="580"/>
      <c r="S89" s="580"/>
      <c r="T89" s="580"/>
      <c r="U89" s="580"/>
      <c r="V89" s="580"/>
      <c r="W89" s="580"/>
      <c r="X89" s="580"/>
      <c r="Y89" s="580"/>
      <c r="Z89" s="580"/>
      <c r="AA89" s="580"/>
      <c r="AB89" s="580"/>
      <c r="AC89" s="580"/>
      <c r="AD89" s="580"/>
      <c r="AE89" s="587">
        <f t="array" ref="AE89">SUMPRODUCT(R89:AD89, {item_vals!$B$3, item_vals!$E$3:$N$3, item_vals!$C$3:$D$3})</f>
        <v>0</v>
      </c>
    </row>
    <row r="90" ht="15.75" customHeight="1">
      <c r="B90" s="571" t="s">
        <v>415</v>
      </c>
      <c r="C90" s="573"/>
      <c r="D90" s="573"/>
      <c r="E90" s="573"/>
      <c r="F90" s="573"/>
      <c r="G90" s="573"/>
      <c r="H90" s="573"/>
      <c r="I90" s="573"/>
      <c r="J90" s="573"/>
      <c r="K90" s="573"/>
      <c r="L90" s="573"/>
      <c r="M90" s="573"/>
      <c r="N90" s="572"/>
      <c r="O90" s="572"/>
      <c r="P90" s="578">
        <f t="array" ref="P90">SUMPRODUCT(C90:O90, {item_vals!$B$3, item_vals!$E$3:$N$3, item_vals!$C$3:$D$3})</f>
        <v>0</v>
      </c>
      <c r="Q90" s="579"/>
      <c r="R90" s="580"/>
      <c r="S90" s="580"/>
      <c r="T90" s="580"/>
      <c r="U90" s="580"/>
      <c r="V90" s="580"/>
      <c r="W90" s="580"/>
      <c r="X90" s="580"/>
      <c r="Y90" s="580"/>
      <c r="Z90" s="580"/>
      <c r="AA90" s="580"/>
      <c r="AB90" s="580"/>
      <c r="AC90" s="580"/>
      <c r="AD90" s="580"/>
      <c r="AE90" s="587">
        <f t="array" ref="AE90">SUMPRODUCT(R90:AD90, {item_vals!$B$3, item_vals!$E$3:$N$3, item_vals!$C$3:$D$3})</f>
        <v>0</v>
      </c>
    </row>
    <row r="91" ht="15.75" customHeight="1">
      <c r="B91" s="32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R91" s="8"/>
      <c r="S91" s="328"/>
      <c r="T91" s="328"/>
      <c r="U91" s="328"/>
      <c r="V91" s="328"/>
      <c r="W91" s="328"/>
      <c r="X91" s="328"/>
      <c r="Y91" s="328"/>
      <c r="Z91" s="328"/>
      <c r="AA91" s="328"/>
      <c r="AB91" s="328"/>
    </row>
    <row r="92" ht="15.75" customHeight="1">
      <c r="B92" s="32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R92" s="8"/>
      <c r="S92" s="328"/>
      <c r="T92" s="328"/>
      <c r="U92" s="328"/>
      <c r="V92" s="328"/>
      <c r="W92" s="328"/>
      <c r="X92" s="328"/>
      <c r="Y92" s="328"/>
      <c r="Z92" s="328"/>
      <c r="AA92" s="328"/>
      <c r="AB92" s="328"/>
    </row>
    <row r="93">
      <c r="B93" s="553" t="s">
        <v>24</v>
      </c>
      <c r="C93" s="598" t="s">
        <v>2065</v>
      </c>
      <c r="D93" s="599"/>
      <c r="E93" s="599"/>
      <c r="F93" s="599"/>
      <c r="G93" s="599"/>
      <c r="H93" s="599"/>
      <c r="I93" s="599"/>
      <c r="J93" s="599"/>
      <c r="K93" s="599"/>
      <c r="L93" s="599"/>
      <c r="M93" s="599"/>
      <c r="N93" s="555"/>
      <c r="O93" s="555"/>
      <c r="R93" s="600" t="s">
        <v>2067</v>
      </c>
      <c r="S93" s="557"/>
      <c r="T93" s="557"/>
      <c r="U93" s="557"/>
      <c r="V93" s="557"/>
      <c r="W93" s="557"/>
      <c r="X93" s="557"/>
      <c r="Y93" s="557"/>
      <c r="Z93" s="557"/>
      <c r="AA93" s="557"/>
      <c r="AB93" s="557"/>
      <c r="AC93" s="557"/>
      <c r="AD93" s="557"/>
      <c r="AE93" s="394"/>
    </row>
    <row r="94">
      <c r="B94" s="561" t="s">
        <v>422</v>
      </c>
      <c r="C94" s="601" t="s">
        <v>1205</v>
      </c>
      <c r="D94" s="601" t="s">
        <v>52</v>
      </c>
      <c r="E94" s="601" t="s">
        <v>53</v>
      </c>
      <c r="F94" s="601" t="s">
        <v>54</v>
      </c>
      <c r="G94" s="601" t="s">
        <v>47</v>
      </c>
      <c r="H94" s="601" t="s">
        <v>48</v>
      </c>
      <c r="I94" s="601" t="s">
        <v>50</v>
      </c>
      <c r="J94" s="601" t="s">
        <v>1209</v>
      </c>
      <c r="K94" s="601" t="s">
        <v>1210</v>
      </c>
      <c r="L94" s="601" t="s">
        <v>1211</v>
      </c>
      <c r="M94" s="601" t="s">
        <v>55</v>
      </c>
      <c r="N94" s="563" t="s">
        <v>46</v>
      </c>
      <c r="O94" s="563" t="s">
        <v>1213</v>
      </c>
      <c r="P94" s="566" t="s">
        <v>1214</v>
      </c>
      <c r="R94" s="602" t="s">
        <v>1205</v>
      </c>
      <c r="S94" s="567" t="s">
        <v>52</v>
      </c>
      <c r="T94" s="567" t="s">
        <v>53</v>
      </c>
      <c r="U94" s="567" t="s">
        <v>54</v>
      </c>
      <c r="V94" s="567" t="s">
        <v>47</v>
      </c>
      <c r="W94" s="567" t="s">
        <v>48</v>
      </c>
      <c r="X94" s="567" t="s">
        <v>50</v>
      </c>
      <c r="Y94" s="567" t="s">
        <v>1209</v>
      </c>
      <c r="Z94" s="567" t="s">
        <v>1210</v>
      </c>
      <c r="AA94" s="567" t="s">
        <v>1211</v>
      </c>
      <c r="AB94" s="567" t="s">
        <v>55</v>
      </c>
      <c r="AC94" s="567" t="s">
        <v>46</v>
      </c>
      <c r="AD94" s="567" t="s">
        <v>1213</v>
      </c>
      <c r="AE94" s="566" t="s">
        <v>1214</v>
      </c>
    </row>
    <row r="95" ht="15.75" customHeight="1">
      <c r="B95" s="571" t="s">
        <v>393</v>
      </c>
      <c r="C95" s="572" t="str">
        <f>LET(payer, $C$3, segment, $B$93, ECOGAINS_SIM(payer, segment, sim_refresh!$A$1))</f>
        <v>Loading...</v>
      </c>
      <c r="D95" s="573"/>
      <c r="E95" s="573"/>
      <c r="F95" s="573"/>
      <c r="G95" s="573"/>
      <c r="H95" s="573"/>
      <c r="I95" s="573"/>
      <c r="J95" s="573"/>
      <c r="K95" s="573"/>
      <c r="L95" s="573"/>
      <c r="M95" s="573"/>
      <c r="N95" s="572"/>
      <c r="O95" s="572"/>
      <c r="P95" s="578" t="str">
        <f t="array" ref="P95">SUMPRODUCT(C95:O95, {item_vals!$B$3, item_vals!$E$3:$N$3, item_vals!$C$3:$D$3})</f>
        <v>Loading...</v>
      </c>
      <c r="Q95" s="579"/>
      <c r="R95" s="580" t="str">
        <f>LET(payer, $C$3, segment, $B$93, ECOGAINS_DIFF(payer, segment, sim_refresh!$A$1))</f>
        <v>Loading...</v>
      </c>
      <c r="S95" s="580"/>
      <c r="T95" s="580"/>
      <c r="U95" s="580"/>
      <c r="V95" s="580"/>
      <c r="W95" s="580"/>
      <c r="X95" s="580"/>
      <c r="Y95" s="580"/>
      <c r="Z95" s="580"/>
      <c r="AA95" s="580"/>
      <c r="AB95" s="580"/>
      <c r="AC95" s="580"/>
      <c r="AD95" s="580"/>
      <c r="AE95" s="583" t="str">
        <f t="array" ref="AE95">SUMPRODUCT(R95:AD95, {item_vals!$B$3, item_vals!$E$3:$N$3, item_vals!$C$3:$D$3})</f>
        <v>Loading...</v>
      </c>
    </row>
    <row r="96" ht="15.75" customHeight="1">
      <c r="B96" s="584" t="s">
        <v>341</v>
      </c>
      <c r="C96" s="585"/>
      <c r="D96" s="585"/>
      <c r="E96" s="585"/>
      <c r="F96" s="585"/>
      <c r="G96" s="585"/>
      <c r="H96" s="585"/>
      <c r="I96" s="585"/>
      <c r="J96" s="585"/>
      <c r="K96" s="585"/>
      <c r="L96" s="585"/>
      <c r="M96" s="585"/>
      <c r="N96" s="585"/>
      <c r="O96" s="585"/>
      <c r="P96" s="578">
        <f t="array" ref="P96">SUMPRODUCT(C96:O96, {item_vals!$B$3, item_vals!$E$3:$N$3, item_vals!$C$3:$D$3})</f>
        <v>0</v>
      </c>
      <c r="Q96" s="579"/>
      <c r="R96" s="580"/>
      <c r="S96" s="580"/>
      <c r="T96" s="580"/>
      <c r="U96" s="580"/>
      <c r="V96" s="580"/>
      <c r="W96" s="580"/>
      <c r="X96" s="580"/>
      <c r="Y96" s="580"/>
      <c r="Z96" s="580"/>
      <c r="AA96" s="580"/>
      <c r="AB96" s="580"/>
      <c r="AC96" s="580"/>
      <c r="AD96" s="580"/>
      <c r="AE96" s="587">
        <f t="array" ref="AE96">SUMPRODUCT(R96:AD96, {item_vals!$B$3, item_vals!$E$3:$N$3, item_vals!$C$3:$D$3})</f>
        <v>0</v>
      </c>
    </row>
    <row r="97" ht="15.75" customHeight="1">
      <c r="B97" s="584" t="s">
        <v>206</v>
      </c>
      <c r="C97" s="585"/>
      <c r="D97" s="585"/>
      <c r="E97" s="585"/>
      <c r="F97" s="585"/>
      <c r="G97" s="585"/>
      <c r="H97" s="585"/>
      <c r="I97" s="585"/>
      <c r="J97" s="585"/>
      <c r="K97" s="585"/>
      <c r="L97" s="585"/>
      <c r="M97" s="585"/>
      <c r="N97" s="585"/>
      <c r="O97" s="585"/>
      <c r="P97" s="578">
        <f t="array" ref="P97">SUMPRODUCT(C97:O97, {item_vals!$B$3, item_vals!$E$3:$N$3, item_vals!$C$3:$D$3})</f>
        <v>0</v>
      </c>
      <c r="Q97" s="579"/>
      <c r="R97" s="580"/>
      <c r="S97" s="580"/>
      <c r="T97" s="580"/>
      <c r="U97" s="580"/>
      <c r="V97" s="580"/>
      <c r="W97" s="580"/>
      <c r="X97" s="580"/>
      <c r="Y97" s="580"/>
      <c r="Z97" s="580"/>
      <c r="AA97" s="580"/>
      <c r="AB97" s="580"/>
      <c r="AC97" s="580"/>
      <c r="AD97" s="580"/>
      <c r="AE97" s="587">
        <f t="array" ref="AE97">SUMPRODUCT(R97:AD97, {item_vals!$B$3, item_vals!$E$3:$N$3, item_vals!$C$3:$D$3})</f>
        <v>0</v>
      </c>
    </row>
    <row r="98" ht="15.75" customHeight="1">
      <c r="B98" s="584" t="s">
        <v>338</v>
      </c>
      <c r="C98" s="585"/>
      <c r="D98" s="585"/>
      <c r="E98" s="585"/>
      <c r="F98" s="585"/>
      <c r="G98" s="585"/>
      <c r="H98" s="585"/>
      <c r="I98" s="585"/>
      <c r="J98" s="585"/>
      <c r="K98" s="585"/>
      <c r="L98" s="585"/>
      <c r="M98" s="585"/>
      <c r="N98" s="585"/>
      <c r="O98" s="585"/>
      <c r="P98" s="578">
        <f t="array" ref="P98">SUMPRODUCT(C98:O98, {item_vals!$B$3, item_vals!$E$3:$N$3, item_vals!$C$3:$D$3})</f>
        <v>0</v>
      </c>
      <c r="Q98" s="579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7">
        <f t="array" ref="AE98">SUMPRODUCT(R98:AD98, {item_vals!$B$3, item_vals!$E$3:$N$3, item_vals!$C$3:$D$3})</f>
        <v>0</v>
      </c>
    </row>
    <row r="99" ht="15.75" customHeight="1">
      <c r="B99" s="584" t="s">
        <v>396</v>
      </c>
      <c r="C99" s="585"/>
      <c r="D99" s="585"/>
      <c r="E99" s="585"/>
      <c r="F99" s="585"/>
      <c r="G99" s="585"/>
      <c r="H99" s="585"/>
      <c r="I99" s="585"/>
      <c r="J99" s="585"/>
      <c r="K99" s="585"/>
      <c r="L99" s="585"/>
      <c r="M99" s="585"/>
      <c r="N99" s="585"/>
      <c r="O99" s="585"/>
      <c r="P99" s="578">
        <f t="array" ref="P99">SUMPRODUCT(C99:O99, {item_vals!$B$3, item_vals!$E$3:$N$3, item_vals!$C$3:$D$3})</f>
        <v>0</v>
      </c>
      <c r="Q99" s="579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7">
        <f t="array" ref="AE99">SUMPRODUCT(R99:AD99, {item_vals!$B$3, item_vals!$E$3:$N$3, item_vals!$C$3:$D$3})</f>
        <v>0</v>
      </c>
    </row>
    <row r="100" ht="15.75" customHeight="1">
      <c r="B100" s="584" t="s">
        <v>397</v>
      </c>
      <c r="C100" s="585"/>
      <c r="D100" s="585"/>
      <c r="E100" s="585"/>
      <c r="F100" s="585"/>
      <c r="G100" s="585"/>
      <c r="H100" s="585"/>
      <c r="I100" s="585"/>
      <c r="J100" s="585"/>
      <c r="K100" s="585"/>
      <c r="L100" s="585"/>
      <c r="M100" s="585"/>
      <c r="N100" s="585"/>
      <c r="O100" s="585"/>
      <c r="P100" s="578">
        <f t="array" ref="P100">SUMPRODUCT(C100:O100, {item_vals!$B$3, item_vals!$E$3:$N$3, item_vals!$C$3:$D$3})</f>
        <v>0</v>
      </c>
      <c r="Q100" s="579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7">
        <f t="array" ref="AE100">SUMPRODUCT(R100:AD100, {item_vals!$B$3, item_vals!$E$3:$N$3, item_vals!$C$3:$D$3})</f>
        <v>0</v>
      </c>
    </row>
    <row r="101" ht="15.75" customHeight="1">
      <c r="B101" s="584" t="s">
        <v>398</v>
      </c>
      <c r="C101" s="585"/>
      <c r="D101" s="585"/>
      <c r="E101" s="585"/>
      <c r="F101" s="585"/>
      <c r="G101" s="585"/>
      <c r="H101" s="585"/>
      <c r="I101" s="585"/>
      <c r="J101" s="585"/>
      <c r="K101" s="585"/>
      <c r="L101" s="585"/>
      <c r="M101" s="585"/>
      <c r="N101" s="585"/>
      <c r="O101" s="585"/>
      <c r="P101" s="578">
        <f t="array" ref="P101">SUMPRODUCT(C101:O101, {item_vals!$B$3, item_vals!$E$3:$N$3, item_vals!$C$3:$D$3})</f>
        <v>0</v>
      </c>
      <c r="Q101" s="579"/>
      <c r="R101" s="580"/>
      <c r="S101" s="580"/>
      <c r="T101" s="580"/>
      <c r="U101" s="580"/>
      <c r="V101" s="580"/>
      <c r="W101" s="580"/>
      <c r="X101" s="580"/>
      <c r="Y101" s="580"/>
      <c r="Z101" s="580"/>
      <c r="AA101" s="580"/>
      <c r="AB101" s="580"/>
      <c r="AC101" s="580"/>
      <c r="AD101" s="580"/>
      <c r="AE101" s="587">
        <f t="array" ref="AE101">SUMPRODUCT(R101:AD101, {item_vals!$B$3, item_vals!$E$3:$N$3, item_vals!$C$3:$D$3})</f>
        <v>0</v>
      </c>
    </row>
    <row r="102" ht="15.75" customHeight="1">
      <c r="B102" s="584" t="s">
        <v>51</v>
      </c>
      <c r="C102" s="585"/>
      <c r="D102" s="585"/>
      <c r="E102" s="585"/>
      <c r="F102" s="585"/>
      <c r="G102" s="585"/>
      <c r="H102" s="585"/>
      <c r="I102" s="585"/>
      <c r="J102" s="585"/>
      <c r="K102" s="585"/>
      <c r="L102" s="585"/>
      <c r="M102" s="585"/>
      <c r="N102" s="585"/>
      <c r="O102" s="585"/>
      <c r="P102" s="578">
        <f t="array" ref="P102">SUMPRODUCT(C102:O102, {item_vals!$B$3, item_vals!$E$3:$N$3, item_vals!$C$3:$D$3})</f>
        <v>0</v>
      </c>
      <c r="Q102" s="579"/>
      <c r="R102" s="580"/>
      <c r="S102" s="580"/>
      <c r="T102" s="580"/>
      <c r="U102" s="580"/>
      <c r="V102" s="580"/>
      <c r="W102" s="580"/>
      <c r="X102" s="580"/>
      <c r="Y102" s="580"/>
      <c r="Z102" s="580"/>
      <c r="AA102" s="580"/>
      <c r="AB102" s="580"/>
      <c r="AC102" s="580"/>
      <c r="AD102" s="580"/>
      <c r="AE102" s="587">
        <f t="array" ref="AE102">SUMPRODUCT(R102:AD102, {item_vals!$B$3, item_vals!$E$3:$N$3, item_vals!$C$3:$D$3})</f>
        <v>0</v>
      </c>
    </row>
    <row r="103" ht="15.75" customHeight="1">
      <c r="B103" s="584" t="s">
        <v>9</v>
      </c>
      <c r="C103" s="585"/>
      <c r="D103" s="585"/>
      <c r="E103" s="585"/>
      <c r="F103" s="585"/>
      <c r="G103" s="585"/>
      <c r="H103" s="585"/>
      <c r="I103" s="585"/>
      <c r="J103" s="585"/>
      <c r="K103" s="585"/>
      <c r="L103" s="585"/>
      <c r="M103" s="585"/>
      <c r="N103" s="585"/>
      <c r="O103" s="585"/>
      <c r="P103" s="578">
        <f t="array" ref="P103">SUMPRODUCT(C103:O103, {item_vals!$B$3, item_vals!$E$3:$N$3, item_vals!$C$3:$D$3})</f>
        <v>0</v>
      </c>
      <c r="Q103" s="579"/>
      <c r="R103" s="580"/>
      <c r="S103" s="580"/>
      <c r="T103" s="580"/>
      <c r="U103" s="580"/>
      <c r="V103" s="580"/>
      <c r="W103" s="580"/>
      <c r="X103" s="580"/>
      <c r="Y103" s="580"/>
      <c r="Z103" s="580"/>
      <c r="AA103" s="580"/>
      <c r="AB103" s="580"/>
      <c r="AC103" s="580"/>
      <c r="AD103" s="580"/>
      <c r="AE103" s="587">
        <f t="array" ref="AE103">SUMPRODUCT(R103:AD103, {item_vals!$B$3, item_vals!$E$3:$N$3, item_vals!$C$3:$D$3})</f>
        <v>0</v>
      </c>
    </row>
    <row r="104" ht="15.75" customHeight="1">
      <c r="B104" s="584" t="s">
        <v>401</v>
      </c>
      <c r="C104" s="585"/>
      <c r="D104" s="585"/>
      <c r="E104" s="585"/>
      <c r="F104" s="585"/>
      <c r="G104" s="585"/>
      <c r="H104" s="585"/>
      <c r="I104" s="585"/>
      <c r="J104" s="585"/>
      <c r="K104" s="585"/>
      <c r="L104" s="585"/>
      <c r="M104" s="585"/>
      <c r="N104" s="585"/>
      <c r="O104" s="585"/>
      <c r="P104" s="578">
        <f t="array" ref="P104">SUMPRODUCT(C104:O104, {item_vals!$B$3, item_vals!$E$3:$N$3, item_vals!$C$3:$D$3})</f>
        <v>0</v>
      </c>
      <c r="Q104" s="579"/>
      <c r="R104" s="580"/>
      <c r="S104" s="580"/>
      <c r="T104" s="580"/>
      <c r="U104" s="580"/>
      <c r="V104" s="580"/>
      <c r="W104" s="580"/>
      <c r="X104" s="580"/>
      <c r="Y104" s="580"/>
      <c r="Z104" s="580"/>
      <c r="AA104" s="580"/>
      <c r="AB104" s="580"/>
      <c r="AC104" s="580"/>
      <c r="AD104" s="580"/>
      <c r="AE104" s="587">
        <f t="array" ref="AE104">SUMPRODUCT(R104:AD104, {item_vals!$B$3, item_vals!$E$3:$N$3, item_vals!$C$3:$D$3})</f>
        <v>0</v>
      </c>
    </row>
    <row r="105" ht="15.75" customHeight="1">
      <c r="B105" s="584" t="s">
        <v>7</v>
      </c>
      <c r="C105" s="585"/>
      <c r="D105" s="585"/>
      <c r="E105" s="585"/>
      <c r="F105" s="585"/>
      <c r="G105" s="585"/>
      <c r="H105" s="585"/>
      <c r="I105" s="585"/>
      <c r="J105" s="585"/>
      <c r="K105" s="585"/>
      <c r="L105" s="585"/>
      <c r="M105" s="585"/>
      <c r="N105" s="585"/>
      <c r="O105" s="585"/>
      <c r="P105" s="578">
        <f t="array" ref="P105">SUMPRODUCT(C105:O105, {item_vals!$B$3, item_vals!$E$3:$N$3, item_vals!$C$3:$D$3})</f>
        <v>0</v>
      </c>
      <c r="Q105" s="579"/>
      <c r="R105" s="580"/>
      <c r="S105" s="580"/>
      <c r="T105" s="580"/>
      <c r="U105" s="580"/>
      <c r="V105" s="580"/>
      <c r="W105" s="580"/>
      <c r="X105" s="580"/>
      <c r="Y105" s="580"/>
      <c r="Z105" s="580"/>
      <c r="AA105" s="580"/>
      <c r="AB105" s="580"/>
      <c r="AC105" s="580"/>
      <c r="AD105" s="580"/>
      <c r="AE105" s="587">
        <f t="array" ref="AE105">SUMPRODUCT(R105:AD105, {item_vals!$B$3, item_vals!$E$3:$N$3, item_vals!$C$3:$D$3})</f>
        <v>0</v>
      </c>
    </row>
    <row r="106" ht="15.75" customHeight="1">
      <c r="B106" s="584" t="s">
        <v>20</v>
      </c>
      <c r="C106" s="585"/>
      <c r="D106" s="585"/>
      <c r="E106" s="585"/>
      <c r="F106" s="585"/>
      <c r="G106" s="585"/>
      <c r="H106" s="585"/>
      <c r="I106" s="585"/>
      <c r="J106" s="585"/>
      <c r="K106" s="585"/>
      <c r="L106" s="585"/>
      <c r="M106" s="585"/>
      <c r="N106" s="585"/>
      <c r="O106" s="585"/>
      <c r="P106" s="578">
        <f t="array" ref="P106">SUMPRODUCT(C106:O106, {item_vals!$B$3, item_vals!$E$3:$N$3, item_vals!$C$3:$D$3})</f>
        <v>0</v>
      </c>
      <c r="Q106" s="579"/>
      <c r="R106" s="580"/>
      <c r="S106" s="580"/>
      <c r="T106" s="580"/>
      <c r="U106" s="580"/>
      <c r="V106" s="580"/>
      <c r="W106" s="580"/>
      <c r="X106" s="580"/>
      <c r="Y106" s="580"/>
      <c r="Z106" s="580"/>
      <c r="AA106" s="580"/>
      <c r="AB106" s="580"/>
      <c r="AC106" s="580"/>
      <c r="AD106" s="580"/>
      <c r="AE106" s="587">
        <f t="array" ref="AE106">SUMPRODUCT(R106:AD106, {item_vals!$B$3, item_vals!$E$3:$N$3, item_vals!$C$3:$D$3})</f>
        <v>0</v>
      </c>
    </row>
    <row r="107" ht="15.75" customHeight="1">
      <c r="B107" s="571" t="s">
        <v>411</v>
      </c>
      <c r="C107" s="573"/>
      <c r="D107" s="573"/>
      <c r="E107" s="573"/>
      <c r="F107" s="573"/>
      <c r="G107" s="573"/>
      <c r="H107" s="573"/>
      <c r="I107" s="573"/>
      <c r="J107" s="573"/>
      <c r="K107" s="573"/>
      <c r="L107" s="573"/>
      <c r="M107" s="573"/>
      <c r="N107" s="572"/>
      <c r="O107" s="572"/>
      <c r="P107" s="578">
        <f t="array" ref="P107">SUMPRODUCT(C107:O107, {item_vals!$B$3, item_vals!$E$3:$N$3, item_vals!$C$3:$D$3})</f>
        <v>0</v>
      </c>
      <c r="Q107" s="579"/>
      <c r="R107" s="580"/>
      <c r="S107" s="580"/>
      <c r="T107" s="580"/>
      <c r="U107" s="580"/>
      <c r="V107" s="580"/>
      <c r="W107" s="580"/>
      <c r="X107" s="580"/>
      <c r="Y107" s="580"/>
      <c r="Z107" s="580"/>
      <c r="AA107" s="580"/>
      <c r="AB107" s="580"/>
      <c r="AC107" s="580"/>
      <c r="AD107" s="580"/>
      <c r="AE107" s="587">
        <f t="array" ref="AE107">SUMPRODUCT(R107:AD107, {item_vals!$B$3, item_vals!$E$3:$N$3, item_vals!$C$3:$D$3})</f>
        <v>0</v>
      </c>
    </row>
    <row r="108" ht="15.75" customHeight="1">
      <c r="B108" s="584" t="s">
        <v>73</v>
      </c>
      <c r="C108" s="585"/>
      <c r="D108" s="585"/>
      <c r="E108" s="585"/>
      <c r="F108" s="585"/>
      <c r="G108" s="585"/>
      <c r="H108" s="585"/>
      <c r="I108" s="585"/>
      <c r="J108" s="585"/>
      <c r="K108" s="585"/>
      <c r="L108" s="585"/>
      <c r="M108" s="585"/>
      <c r="N108" s="585"/>
      <c r="O108" s="585"/>
      <c r="P108" s="578">
        <f t="array" ref="P108">SUMPRODUCT(C108:O108, {item_vals!$B$3, item_vals!$E$3:$N$3, item_vals!$C$3:$D$3})</f>
        <v>0</v>
      </c>
      <c r="Q108" s="579"/>
      <c r="R108" s="580"/>
      <c r="S108" s="580"/>
      <c r="T108" s="580"/>
      <c r="U108" s="580"/>
      <c r="V108" s="580"/>
      <c r="W108" s="580"/>
      <c r="X108" s="580"/>
      <c r="Y108" s="580"/>
      <c r="Z108" s="580"/>
      <c r="AA108" s="580"/>
      <c r="AB108" s="580"/>
      <c r="AC108" s="580"/>
      <c r="AD108" s="580"/>
      <c r="AE108" s="587">
        <f t="array" ref="AE108">SUMPRODUCT(R108:AD108, {item_vals!$B$3, item_vals!$E$3:$N$3, item_vals!$C$3:$D$3})</f>
        <v>0</v>
      </c>
    </row>
    <row r="109" ht="15.75" customHeight="1">
      <c r="B109" s="584" t="s">
        <v>329</v>
      </c>
      <c r="C109" s="585"/>
      <c r="D109" s="585"/>
      <c r="E109" s="585"/>
      <c r="F109" s="585"/>
      <c r="G109" s="585"/>
      <c r="H109" s="585"/>
      <c r="I109" s="585"/>
      <c r="J109" s="585"/>
      <c r="K109" s="585"/>
      <c r="L109" s="585"/>
      <c r="M109" s="585"/>
      <c r="N109" s="585"/>
      <c r="O109" s="585"/>
      <c r="P109" s="578">
        <f t="array" ref="P109">SUMPRODUCT(C109:O109, {item_vals!$B$3, item_vals!$E$3:$N$3, item_vals!$C$3:$D$3})</f>
        <v>0</v>
      </c>
      <c r="Q109" s="579"/>
      <c r="R109" s="580"/>
      <c r="S109" s="580"/>
      <c r="T109" s="580"/>
      <c r="U109" s="580"/>
      <c r="V109" s="580"/>
      <c r="W109" s="580"/>
      <c r="X109" s="580"/>
      <c r="Y109" s="580"/>
      <c r="Z109" s="580"/>
      <c r="AA109" s="580"/>
      <c r="AB109" s="580"/>
      <c r="AC109" s="580"/>
      <c r="AD109" s="580"/>
      <c r="AE109" s="587">
        <f t="array" ref="AE109">SUMPRODUCT(R109:AD109, {item_vals!$B$3, item_vals!$E$3:$N$3, item_vals!$C$3:$D$3})</f>
        <v>0</v>
      </c>
    </row>
    <row r="110" ht="15.75" customHeight="1">
      <c r="B110" s="584" t="s">
        <v>151</v>
      </c>
      <c r="C110" s="585"/>
      <c r="D110" s="585"/>
      <c r="E110" s="585"/>
      <c r="F110" s="585"/>
      <c r="G110" s="585"/>
      <c r="H110" s="585"/>
      <c r="I110" s="585"/>
      <c r="J110" s="585"/>
      <c r="K110" s="585"/>
      <c r="L110" s="585"/>
      <c r="M110" s="585"/>
      <c r="N110" s="585"/>
      <c r="O110" s="585"/>
      <c r="P110" s="578">
        <f t="array" ref="P110">SUMPRODUCT(C110:O110, {item_vals!$B$3, item_vals!$E$3:$N$3, item_vals!$C$3:$D$3})</f>
        <v>0</v>
      </c>
      <c r="Q110" s="579"/>
      <c r="R110" s="580"/>
      <c r="S110" s="580"/>
      <c r="T110" s="580"/>
      <c r="U110" s="580"/>
      <c r="V110" s="580"/>
      <c r="W110" s="580"/>
      <c r="X110" s="580"/>
      <c r="Y110" s="580"/>
      <c r="Z110" s="580"/>
      <c r="AA110" s="580"/>
      <c r="AB110" s="580"/>
      <c r="AC110" s="580"/>
      <c r="AD110" s="580"/>
      <c r="AE110" s="587">
        <f t="array" ref="AE110">SUMPRODUCT(R110:AD110, {item_vals!$B$3, item_vals!$E$3:$N$3, item_vals!$C$3:$D$3})</f>
        <v>0</v>
      </c>
    </row>
    <row r="111" ht="15.75" customHeight="1">
      <c r="B111" s="584" t="s">
        <v>418</v>
      </c>
      <c r="C111" s="585"/>
      <c r="D111" s="585"/>
      <c r="E111" s="585"/>
      <c r="F111" s="585"/>
      <c r="G111" s="585"/>
      <c r="H111" s="585"/>
      <c r="I111" s="585"/>
      <c r="J111" s="585"/>
      <c r="K111" s="585"/>
      <c r="L111" s="585"/>
      <c r="M111" s="585"/>
      <c r="N111" s="585"/>
      <c r="O111" s="585"/>
      <c r="P111" s="578">
        <f t="array" ref="P111">SUMPRODUCT(C111:O111, {item_vals!$B$3, item_vals!$E$3:$N$3, item_vals!$C$3:$D$3})</f>
        <v>0</v>
      </c>
      <c r="Q111" s="579"/>
      <c r="R111" s="580"/>
      <c r="S111" s="580"/>
      <c r="T111" s="580"/>
      <c r="U111" s="580"/>
      <c r="V111" s="580"/>
      <c r="W111" s="580"/>
      <c r="X111" s="580"/>
      <c r="Y111" s="580"/>
      <c r="Z111" s="580"/>
      <c r="AA111" s="580"/>
      <c r="AB111" s="580"/>
      <c r="AC111" s="580"/>
      <c r="AD111" s="580"/>
      <c r="AE111" s="587">
        <f t="array" ref="AE111">SUMPRODUCT(R111:AD111, {item_vals!$B$3, item_vals!$E$3:$N$3, item_vals!$C$3:$D$3})</f>
        <v>0</v>
      </c>
    </row>
    <row r="112" ht="15.75" customHeight="1">
      <c r="B112" s="584" t="s">
        <v>413</v>
      </c>
      <c r="C112" s="585"/>
      <c r="D112" s="585"/>
      <c r="E112" s="585"/>
      <c r="F112" s="585"/>
      <c r="G112" s="585"/>
      <c r="H112" s="585"/>
      <c r="I112" s="585"/>
      <c r="J112" s="585"/>
      <c r="K112" s="585"/>
      <c r="L112" s="585"/>
      <c r="M112" s="585"/>
      <c r="N112" s="585"/>
      <c r="O112" s="585"/>
      <c r="P112" s="578">
        <f t="array" ref="P112">SUMPRODUCT(C112:O112, {item_vals!$B$3, item_vals!$E$3:$N$3, item_vals!$C$3:$D$3})</f>
        <v>0</v>
      </c>
      <c r="Q112" s="579"/>
      <c r="R112" s="580"/>
      <c r="S112" s="580"/>
      <c r="T112" s="580"/>
      <c r="U112" s="580"/>
      <c r="V112" s="580"/>
      <c r="W112" s="580"/>
      <c r="X112" s="580"/>
      <c r="Y112" s="580"/>
      <c r="Z112" s="580"/>
      <c r="AA112" s="580"/>
      <c r="AB112" s="580"/>
      <c r="AC112" s="580"/>
      <c r="AD112" s="580"/>
      <c r="AE112" s="587">
        <f t="array" ref="AE112">SUMPRODUCT(R112:AD112, {item_vals!$B$3, item_vals!$E$3:$N$3, item_vals!$C$3:$D$3})</f>
        <v>0</v>
      </c>
    </row>
    <row r="113" ht="15.75" customHeight="1">
      <c r="B113" s="584" t="s">
        <v>63</v>
      </c>
      <c r="C113" s="585"/>
      <c r="D113" s="585"/>
      <c r="E113" s="585"/>
      <c r="F113" s="585"/>
      <c r="G113" s="585"/>
      <c r="H113" s="585"/>
      <c r="I113" s="585"/>
      <c r="J113" s="585"/>
      <c r="K113" s="585"/>
      <c r="L113" s="585"/>
      <c r="M113" s="585"/>
      <c r="N113" s="585"/>
      <c r="O113" s="585"/>
      <c r="P113" s="578">
        <f t="array" ref="P113">SUMPRODUCT(C113:O113, {item_vals!$B$3, item_vals!$E$3:$N$3, item_vals!$C$3:$D$3})</f>
        <v>0</v>
      </c>
      <c r="Q113" s="579"/>
      <c r="R113" s="580"/>
      <c r="S113" s="580"/>
      <c r="T113" s="580"/>
      <c r="U113" s="580"/>
      <c r="V113" s="580"/>
      <c r="W113" s="580"/>
      <c r="X113" s="580"/>
      <c r="Y113" s="580"/>
      <c r="Z113" s="580"/>
      <c r="AA113" s="580"/>
      <c r="AB113" s="580"/>
      <c r="AC113" s="580"/>
      <c r="AD113" s="580"/>
      <c r="AE113" s="587">
        <f t="array" ref="AE113">SUMPRODUCT(R113:AD113, {item_vals!$B$3, item_vals!$E$3:$N$3, item_vals!$C$3:$D$3})</f>
        <v>0</v>
      </c>
    </row>
    <row r="114" ht="15.75" customHeight="1">
      <c r="B114" s="571" t="s">
        <v>15</v>
      </c>
      <c r="C114" s="573"/>
      <c r="D114" s="573"/>
      <c r="E114" s="573"/>
      <c r="F114" s="573"/>
      <c r="G114" s="573"/>
      <c r="H114" s="573"/>
      <c r="I114" s="573"/>
      <c r="J114" s="573"/>
      <c r="K114" s="573"/>
      <c r="L114" s="573"/>
      <c r="M114" s="573"/>
      <c r="N114" s="572"/>
      <c r="O114" s="572"/>
      <c r="P114" s="578">
        <f t="array" ref="P114">SUMPRODUCT(C114:O114, {item_vals!$B$3, item_vals!$E$3:$N$3, item_vals!$C$3:$D$3})</f>
        <v>0</v>
      </c>
      <c r="Q114" s="579"/>
      <c r="R114" s="580"/>
      <c r="S114" s="580"/>
      <c r="T114" s="580"/>
      <c r="U114" s="580"/>
      <c r="V114" s="580"/>
      <c r="W114" s="580"/>
      <c r="X114" s="580"/>
      <c r="Y114" s="580"/>
      <c r="Z114" s="580"/>
      <c r="AA114" s="580"/>
      <c r="AB114" s="580"/>
      <c r="AC114" s="580"/>
      <c r="AD114" s="580"/>
      <c r="AE114" s="587">
        <f t="array" ref="AE114">SUMPRODUCT(R114:AD114, {item_vals!$B$3, item_vals!$E$3:$N$3, item_vals!$C$3:$D$3})</f>
        <v>0</v>
      </c>
    </row>
    <row r="115" ht="15.75" customHeight="1">
      <c r="B115" s="571" t="s">
        <v>16</v>
      </c>
      <c r="C115" s="573"/>
      <c r="D115" s="573"/>
      <c r="E115" s="573"/>
      <c r="F115" s="573"/>
      <c r="G115" s="573"/>
      <c r="H115" s="573"/>
      <c r="I115" s="573"/>
      <c r="J115" s="573"/>
      <c r="K115" s="573"/>
      <c r="L115" s="573"/>
      <c r="M115" s="573"/>
      <c r="N115" s="572"/>
      <c r="O115" s="572"/>
      <c r="P115" s="578">
        <f t="array" ref="P115">SUMPRODUCT(C115:O115, {item_vals!$B$3, item_vals!$E$3:$N$3, item_vals!$C$3:$D$3})</f>
        <v>0</v>
      </c>
      <c r="Q115" s="579"/>
      <c r="R115" s="580"/>
      <c r="S115" s="580"/>
      <c r="T115" s="580"/>
      <c r="U115" s="580"/>
      <c r="V115" s="580"/>
      <c r="W115" s="580"/>
      <c r="X115" s="580"/>
      <c r="Y115" s="580"/>
      <c r="Z115" s="580"/>
      <c r="AA115" s="580"/>
      <c r="AB115" s="580"/>
      <c r="AC115" s="580"/>
      <c r="AD115" s="580"/>
      <c r="AE115" s="587">
        <f t="array" ref="AE115">SUMPRODUCT(R115:AD115, {item_vals!$B$3, item_vals!$E$3:$N$3, item_vals!$C$3:$D$3})</f>
        <v>0</v>
      </c>
    </row>
    <row r="116" ht="15.75" customHeight="1">
      <c r="B116" s="584" t="s">
        <v>42</v>
      </c>
      <c r="C116" s="585"/>
      <c r="D116" s="585"/>
      <c r="E116" s="585"/>
      <c r="F116" s="585"/>
      <c r="G116" s="585"/>
      <c r="H116" s="585"/>
      <c r="I116" s="585"/>
      <c r="J116" s="585"/>
      <c r="K116" s="585"/>
      <c r="L116" s="585"/>
      <c r="M116" s="585"/>
      <c r="N116" s="596"/>
      <c r="O116" s="596"/>
      <c r="P116" s="578">
        <f t="array" ref="P116">SUMPRODUCT(C116:O116, {item_vals!$B$3, item_vals!$E$3:$N$3, item_vals!$C$3:$D$3})</f>
        <v>0</v>
      </c>
      <c r="Q116" s="579"/>
      <c r="R116" s="580"/>
      <c r="S116" s="580"/>
      <c r="T116" s="580"/>
      <c r="U116" s="580"/>
      <c r="V116" s="580"/>
      <c r="W116" s="580"/>
      <c r="X116" s="580"/>
      <c r="Y116" s="580"/>
      <c r="Z116" s="580"/>
      <c r="AA116" s="580"/>
      <c r="AB116" s="580"/>
      <c r="AC116" s="580"/>
      <c r="AD116" s="580"/>
      <c r="AE116" s="587">
        <f t="array" ref="AE116">SUMPRODUCT(R116:AD116, {item_vals!$B$3, item_vals!$E$3:$N$3, item_vals!$C$3:$D$3})</f>
        <v>0</v>
      </c>
    </row>
    <row r="117" ht="15.75" customHeight="1">
      <c r="B117" s="571" t="s">
        <v>414</v>
      </c>
      <c r="C117" s="573"/>
      <c r="D117" s="573"/>
      <c r="E117" s="573"/>
      <c r="F117" s="573"/>
      <c r="G117" s="573"/>
      <c r="H117" s="573"/>
      <c r="I117" s="573"/>
      <c r="J117" s="573"/>
      <c r="K117" s="573"/>
      <c r="L117" s="573"/>
      <c r="M117" s="573"/>
      <c r="N117" s="572"/>
      <c r="O117" s="572"/>
      <c r="P117" s="578">
        <f t="array" ref="P117">SUMPRODUCT(C117:O117, {item_vals!$B$3, item_vals!$E$3:$N$3, item_vals!$C$3:$D$3})</f>
        <v>0</v>
      </c>
      <c r="Q117" s="579"/>
      <c r="R117" s="580"/>
      <c r="S117" s="580"/>
      <c r="T117" s="580"/>
      <c r="U117" s="580"/>
      <c r="V117" s="580"/>
      <c r="W117" s="580"/>
      <c r="X117" s="580"/>
      <c r="Y117" s="580"/>
      <c r="Z117" s="580"/>
      <c r="AA117" s="580"/>
      <c r="AB117" s="580"/>
      <c r="AC117" s="580"/>
      <c r="AD117" s="580"/>
      <c r="AE117" s="587">
        <f t="array" ref="AE117">SUMPRODUCT(R117:AD117, {item_vals!$B$3, item_vals!$E$3:$N$3, item_vals!$C$3:$D$3})</f>
        <v>0</v>
      </c>
    </row>
    <row r="118" ht="15.75" customHeight="1">
      <c r="B118" s="584" t="s">
        <v>14</v>
      </c>
      <c r="C118" s="585"/>
      <c r="D118" s="585"/>
      <c r="E118" s="585"/>
      <c r="F118" s="585"/>
      <c r="G118" s="585"/>
      <c r="H118" s="585"/>
      <c r="I118" s="585"/>
      <c r="J118" s="585"/>
      <c r="K118" s="585"/>
      <c r="L118" s="585"/>
      <c r="M118" s="585"/>
      <c r="N118" s="596"/>
      <c r="O118" s="596"/>
      <c r="P118" s="578">
        <f t="array" ref="P118">SUMPRODUCT(C118:O118, {item_vals!$B$3, item_vals!$E$3:$N$3, item_vals!$C$3:$D$3})</f>
        <v>0</v>
      </c>
      <c r="Q118" s="579"/>
      <c r="R118" s="580"/>
      <c r="S118" s="580"/>
      <c r="T118" s="580"/>
      <c r="U118" s="580"/>
      <c r="V118" s="580"/>
      <c r="W118" s="580"/>
      <c r="X118" s="580"/>
      <c r="Y118" s="580"/>
      <c r="Z118" s="580"/>
      <c r="AA118" s="580"/>
      <c r="AB118" s="580"/>
      <c r="AC118" s="580"/>
      <c r="AD118" s="580"/>
      <c r="AE118" s="587">
        <f t="array" ref="AE118">SUMPRODUCT(R118:AD118, {item_vals!$B$3, item_vals!$E$3:$N$3, item_vals!$C$3:$D$3})</f>
        <v>0</v>
      </c>
    </row>
    <row r="119" ht="15.75" customHeight="1">
      <c r="B119" s="571" t="s">
        <v>415</v>
      </c>
      <c r="C119" s="573"/>
      <c r="D119" s="573"/>
      <c r="E119" s="573"/>
      <c r="F119" s="573"/>
      <c r="G119" s="573"/>
      <c r="H119" s="573"/>
      <c r="I119" s="573"/>
      <c r="J119" s="573"/>
      <c r="K119" s="573"/>
      <c r="L119" s="573"/>
      <c r="M119" s="573"/>
      <c r="N119" s="572"/>
      <c r="O119" s="572"/>
      <c r="P119" s="578">
        <f t="array" ref="P119">SUMPRODUCT(C119:O119, {item_vals!$B$3, item_vals!$E$3:$N$3, item_vals!$C$3:$D$3})</f>
        <v>0</v>
      </c>
      <c r="Q119" s="579"/>
      <c r="R119" s="580"/>
      <c r="S119" s="580"/>
      <c r="T119" s="580"/>
      <c r="U119" s="580"/>
      <c r="V119" s="580"/>
      <c r="W119" s="580"/>
      <c r="X119" s="580"/>
      <c r="Y119" s="580"/>
      <c r="Z119" s="580"/>
      <c r="AA119" s="580"/>
      <c r="AB119" s="580"/>
      <c r="AC119" s="580"/>
      <c r="AD119" s="580"/>
      <c r="AE119" s="587">
        <f t="array" ref="AE119">SUMPRODUCT(R119:AD119, {item_vals!$B$3, item_vals!$E$3:$N$3, item_vals!$C$3:$D$3})</f>
        <v>0</v>
      </c>
    </row>
    <row r="120" ht="15.75" customHeight="1">
      <c r="B120" s="32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R120" s="8"/>
      <c r="S120" s="328"/>
      <c r="T120" s="328"/>
      <c r="U120" s="328"/>
      <c r="V120" s="328"/>
      <c r="W120" s="328"/>
      <c r="X120" s="328"/>
      <c r="Y120" s="328"/>
      <c r="Z120" s="328"/>
      <c r="AA120" s="328"/>
      <c r="AB120" s="328"/>
    </row>
    <row r="121" ht="15.75" customHeight="1">
      <c r="B121" s="32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R121" s="8"/>
      <c r="S121" s="328"/>
      <c r="T121" s="328"/>
      <c r="U121" s="328"/>
      <c r="V121" s="328"/>
      <c r="W121" s="328"/>
      <c r="X121" s="328"/>
      <c r="Y121" s="328"/>
      <c r="Z121" s="328"/>
      <c r="AA121" s="328"/>
      <c r="AB121" s="328"/>
    </row>
    <row r="122" ht="15.75" customHeight="1">
      <c r="B122" s="553" t="s">
        <v>26</v>
      </c>
      <c r="C122" s="598" t="s">
        <v>2149</v>
      </c>
      <c r="D122" s="599"/>
      <c r="E122" s="599"/>
      <c r="F122" s="599"/>
      <c r="G122" s="599"/>
      <c r="H122" s="599"/>
      <c r="I122" s="599"/>
      <c r="J122" s="599"/>
      <c r="K122" s="599"/>
      <c r="L122" s="599"/>
      <c r="M122" s="599"/>
      <c r="N122" s="555"/>
      <c r="O122" s="555"/>
      <c r="R122" s="600" t="s">
        <v>2150</v>
      </c>
      <c r="S122" s="557"/>
      <c r="T122" s="557"/>
      <c r="U122" s="557"/>
      <c r="V122" s="557"/>
      <c r="W122" s="557"/>
      <c r="X122" s="557"/>
      <c r="Y122" s="557"/>
      <c r="Z122" s="557"/>
      <c r="AA122" s="557"/>
      <c r="AB122" s="557"/>
      <c r="AC122" s="557"/>
      <c r="AD122" s="557"/>
      <c r="AE122" s="394"/>
    </row>
    <row r="123">
      <c r="B123" s="561" t="s">
        <v>422</v>
      </c>
      <c r="C123" s="601" t="s">
        <v>1205</v>
      </c>
      <c r="D123" s="601" t="s">
        <v>52</v>
      </c>
      <c r="E123" s="601" t="s">
        <v>53</v>
      </c>
      <c r="F123" s="601" t="s">
        <v>54</v>
      </c>
      <c r="G123" s="601" t="s">
        <v>47</v>
      </c>
      <c r="H123" s="601" t="s">
        <v>48</v>
      </c>
      <c r="I123" s="601" t="s">
        <v>50</v>
      </c>
      <c r="J123" s="601" t="s">
        <v>1209</v>
      </c>
      <c r="K123" s="601" t="s">
        <v>1210</v>
      </c>
      <c r="L123" s="601" t="s">
        <v>1211</v>
      </c>
      <c r="M123" s="601" t="s">
        <v>55</v>
      </c>
      <c r="N123" s="563" t="s">
        <v>46</v>
      </c>
      <c r="O123" s="563" t="s">
        <v>1213</v>
      </c>
      <c r="P123" s="566" t="s">
        <v>1214</v>
      </c>
      <c r="R123" s="602" t="s">
        <v>1205</v>
      </c>
      <c r="S123" s="567" t="s">
        <v>52</v>
      </c>
      <c r="T123" s="567" t="s">
        <v>53</v>
      </c>
      <c r="U123" s="567" t="s">
        <v>54</v>
      </c>
      <c r="V123" s="567" t="s">
        <v>47</v>
      </c>
      <c r="W123" s="567" t="s">
        <v>48</v>
      </c>
      <c r="X123" s="567" t="s">
        <v>50</v>
      </c>
      <c r="Y123" s="567" t="s">
        <v>1209</v>
      </c>
      <c r="Z123" s="567" t="s">
        <v>1210</v>
      </c>
      <c r="AA123" s="567" t="s">
        <v>1211</v>
      </c>
      <c r="AB123" s="567" t="s">
        <v>55</v>
      </c>
      <c r="AC123" s="567" t="s">
        <v>46</v>
      </c>
      <c r="AD123" s="567" t="s">
        <v>1213</v>
      </c>
      <c r="AE123" s="566" t="s">
        <v>1214</v>
      </c>
    </row>
    <row r="124" ht="15.75" customHeight="1">
      <c r="B124" s="571" t="s">
        <v>393</v>
      </c>
      <c r="C124" s="572" t="str">
        <f>LET(payer, $C$3, segment, $B$122, ECOGAINS_SIM(payer, segment, sim_refresh!$A$1))</f>
        <v>Loading...</v>
      </c>
      <c r="D124" s="573"/>
      <c r="E124" s="573"/>
      <c r="F124" s="573"/>
      <c r="G124" s="573"/>
      <c r="H124" s="573"/>
      <c r="I124" s="573"/>
      <c r="J124" s="573"/>
      <c r="K124" s="573"/>
      <c r="L124" s="573"/>
      <c r="M124" s="573"/>
      <c r="N124" s="572"/>
      <c r="O124" s="572"/>
      <c r="P124" s="578" t="str">
        <f t="array" ref="P124">SUMPRODUCT(C124:O124, {item_vals!$B$3, item_vals!$E$3:$N$3, item_vals!$C$3:$D$3})</f>
        <v>Loading...</v>
      </c>
      <c r="Q124" s="579"/>
      <c r="R124" s="580" t="str">
        <f>LET(payer, $C$3, segment, $B$122, ECOGAINS_DIFF(payer, segment, sim_refresh!$A$1))</f>
        <v>Loading...</v>
      </c>
      <c r="S124" s="580"/>
      <c r="T124" s="580"/>
      <c r="U124" s="580"/>
      <c r="V124" s="580"/>
      <c r="W124" s="580"/>
      <c r="X124" s="580"/>
      <c r="Y124" s="580"/>
      <c r="Z124" s="580"/>
      <c r="AA124" s="580"/>
      <c r="AB124" s="580"/>
      <c r="AC124" s="580"/>
      <c r="AD124" s="580"/>
      <c r="AE124" s="583" t="str">
        <f t="array" ref="AE124">SUMPRODUCT(R124:AD124, {item_vals!$B$3, item_vals!$E$3:$N$3, item_vals!$C$3:$D$3})</f>
        <v>Loading...</v>
      </c>
    </row>
    <row r="125" ht="15.75" customHeight="1">
      <c r="B125" s="584" t="s">
        <v>341</v>
      </c>
      <c r="C125" s="585"/>
      <c r="D125" s="585"/>
      <c r="E125" s="585"/>
      <c r="F125" s="585"/>
      <c r="G125" s="585"/>
      <c r="H125" s="585"/>
      <c r="I125" s="585"/>
      <c r="J125" s="585"/>
      <c r="K125" s="585"/>
      <c r="L125" s="585"/>
      <c r="M125" s="585"/>
      <c r="N125" s="585"/>
      <c r="O125" s="585"/>
      <c r="P125" s="578">
        <f t="array" ref="P125">SUMPRODUCT(C125:O125, {item_vals!$B$3, item_vals!$E$3:$N$3, item_vals!$C$3:$D$3})</f>
        <v>0</v>
      </c>
      <c r="Q125" s="579"/>
      <c r="R125" s="580"/>
      <c r="S125" s="580"/>
      <c r="T125" s="580"/>
      <c r="U125" s="580"/>
      <c r="V125" s="580"/>
      <c r="W125" s="580"/>
      <c r="X125" s="580"/>
      <c r="Y125" s="580"/>
      <c r="Z125" s="580"/>
      <c r="AA125" s="580"/>
      <c r="AB125" s="580"/>
      <c r="AC125" s="580"/>
      <c r="AD125" s="580"/>
      <c r="AE125" s="587">
        <f t="array" ref="AE125">SUMPRODUCT(R125:AD125, {item_vals!$B$3, item_vals!$E$3:$N$3, item_vals!$C$3:$D$3})</f>
        <v>0</v>
      </c>
    </row>
    <row r="126" ht="15.75" customHeight="1">
      <c r="B126" s="584" t="s">
        <v>206</v>
      </c>
      <c r="C126" s="585"/>
      <c r="D126" s="585"/>
      <c r="E126" s="585"/>
      <c r="F126" s="585"/>
      <c r="G126" s="585"/>
      <c r="H126" s="585"/>
      <c r="I126" s="585"/>
      <c r="J126" s="585"/>
      <c r="K126" s="585"/>
      <c r="L126" s="585"/>
      <c r="M126" s="585"/>
      <c r="N126" s="585"/>
      <c r="O126" s="585"/>
      <c r="P126" s="578">
        <f t="array" ref="P126">SUMPRODUCT(C126:O126, {item_vals!$B$3, item_vals!$E$3:$N$3, item_vals!$C$3:$D$3})</f>
        <v>0</v>
      </c>
      <c r="Q126" s="579"/>
      <c r="R126" s="580"/>
      <c r="S126" s="580"/>
      <c r="T126" s="580"/>
      <c r="U126" s="580"/>
      <c r="V126" s="580"/>
      <c r="W126" s="580"/>
      <c r="X126" s="580"/>
      <c r="Y126" s="580"/>
      <c r="Z126" s="580"/>
      <c r="AA126" s="580"/>
      <c r="AB126" s="580"/>
      <c r="AC126" s="580"/>
      <c r="AD126" s="580"/>
      <c r="AE126" s="587">
        <f t="array" ref="AE126">SUMPRODUCT(R126:AD126, {item_vals!$B$3, item_vals!$E$3:$N$3, item_vals!$C$3:$D$3})</f>
        <v>0</v>
      </c>
    </row>
    <row r="127" ht="15.75" customHeight="1">
      <c r="B127" s="584" t="s">
        <v>338</v>
      </c>
      <c r="C127" s="585"/>
      <c r="D127" s="585"/>
      <c r="E127" s="585"/>
      <c r="F127" s="585"/>
      <c r="G127" s="585"/>
      <c r="H127" s="585"/>
      <c r="I127" s="585"/>
      <c r="J127" s="585"/>
      <c r="K127" s="585"/>
      <c r="L127" s="585"/>
      <c r="M127" s="585"/>
      <c r="N127" s="585"/>
      <c r="O127" s="585"/>
      <c r="P127" s="578">
        <f t="array" ref="P127">SUMPRODUCT(C127:O127, {item_vals!$B$3, item_vals!$E$3:$N$3, item_vals!$C$3:$D$3})</f>
        <v>0</v>
      </c>
      <c r="Q127" s="579"/>
      <c r="R127" s="580"/>
      <c r="S127" s="580"/>
      <c r="T127" s="580"/>
      <c r="U127" s="580"/>
      <c r="V127" s="580"/>
      <c r="W127" s="580"/>
      <c r="X127" s="580"/>
      <c r="Y127" s="580"/>
      <c r="Z127" s="580"/>
      <c r="AA127" s="580"/>
      <c r="AB127" s="580"/>
      <c r="AC127" s="580"/>
      <c r="AD127" s="580"/>
      <c r="AE127" s="587">
        <f t="array" ref="AE127">SUMPRODUCT(R127:AD127, {item_vals!$B$3, item_vals!$E$3:$N$3, item_vals!$C$3:$D$3})</f>
        <v>0</v>
      </c>
    </row>
    <row r="128" ht="15.75" customHeight="1">
      <c r="B128" s="584" t="s">
        <v>396</v>
      </c>
      <c r="C128" s="585"/>
      <c r="D128" s="585"/>
      <c r="E128" s="585"/>
      <c r="F128" s="585"/>
      <c r="G128" s="585"/>
      <c r="H128" s="585"/>
      <c r="I128" s="585"/>
      <c r="J128" s="585"/>
      <c r="K128" s="585"/>
      <c r="L128" s="585"/>
      <c r="M128" s="585"/>
      <c r="N128" s="585"/>
      <c r="O128" s="585"/>
      <c r="P128" s="578">
        <f t="array" ref="P128">SUMPRODUCT(C128:O128, {item_vals!$B$3, item_vals!$E$3:$N$3, item_vals!$C$3:$D$3})</f>
        <v>0</v>
      </c>
      <c r="Q128" s="579"/>
      <c r="R128" s="580"/>
      <c r="S128" s="580"/>
      <c r="T128" s="580"/>
      <c r="U128" s="580"/>
      <c r="V128" s="580"/>
      <c r="W128" s="580"/>
      <c r="X128" s="580"/>
      <c r="Y128" s="580"/>
      <c r="Z128" s="580"/>
      <c r="AA128" s="580"/>
      <c r="AB128" s="580"/>
      <c r="AC128" s="580"/>
      <c r="AD128" s="580"/>
      <c r="AE128" s="587">
        <f t="array" ref="AE128">SUMPRODUCT(R128:AD128, {item_vals!$B$3, item_vals!$E$3:$N$3, item_vals!$C$3:$D$3})</f>
        <v>0</v>
      </c>
    </row>
    <row r="129" ht="15.75" customHeight="1">
      <c r="B129" s="584" t="s">
        <v>397</v>
      </c>
      <c r="C129" s="585"/>
      <c r="D129" s="585"/>
      <c r="E129" s="585"/>
      <c r="F129" s="585"/>
      <c r="G129" s="585"/>
      <c r="H129" s="585"/>
      <c r="I129" s="585"/>
      <c r="J129" s="585"/>
      <c r="K129" s="585"/>
      <c r="L129" s="585"/>
      <c r="M129" s="585"/>
      <c r="N129" s="585"/>
      <c r="O129" s="585"/>
      <c r="P129" s="578">
        <f t="array" ref="P129">SUMPRODUCT(C129:O129, {item_vals!$B$3, item_vals!$E$3:$N$3, item_vals!$C$3:$D$3})</f>
        <v>0</v>
      </c>
      <c r="Q129" s="579"/>
      <c r="R129" s="580"/>
      <c r="S129" s="580"/>
      <c r="T129" s="580"/>
      <c r="U129" s="580"/>
      <c r="V129" s="580"/>
      <c r="W129" s="580"/>
      <c r="X129" s="580"/>
      <c r="Y129" s="580"/>
      <c r="Z129" s="580"/>
      <c r="AA129" s="580"/>
      <c r="AB129" s="580"/>
      <c r="AC129" s="580"/>
      <c r="AD129" s="580"/>
      <c r="AE129" s="587">
        <f t="array" ref="AE129">SUMPRODUCT(R129:AD129, {item_vals!$B$3, item_vals!$E$3:$N$3, item_vals!$C$3:$D$3})</f>
        <v>0</v>
      </c>
    </row>
    <row r="130" ht="15.75" customHeight="1">
      <c r="B130" s="584" t="s">
        <v>398</v>
      </c>
      <c r="C130" s="585"/>
      <c r="D130" s="585"/>
      <c r="E130" s="585"/>
      <c r="F130" s="585"/>
      <c r="G130" s="585"/>
      <c r="H130" s="585"/>
      <c r="I130" s="585"/>
      <c r="J130" s="585"/>
      <c r="K130" s="585"/>
      <c r="L130" s="585"/>
      <c r="M130" s="585"/>
      <c r="N130" s="585"/>
      <c r="O130" s="585"/>
      <c r="P130" s="578">
        <f t="array" ref="P130">SUMPRODUCT(C130:O130, {item_vals!$B$3, item_vals!$E$3:$N$3, item_vals!$C$3:$D$3})</f>
        <v>0</v>
      </c>
      <c r="Q130" s="579"/>
      <c r="R130" s="580"/>
      <c r="S130" s="580"/>
      <c r="T130" s="580"/>
      <c r="U130" s="580"/>
      <c r="V130" s="580"/>
      <c r="W130" s="580"/>
      <c r="X130" s="580"/>
      <c r="Y130" s="580"/>
      <c r="Z130" s="580"/>
      <c r="AA130" s="580"/>
      <c r="AB130" s="580"/>
      <c r="AC130" s="580"/>
      <c r="AD130" s="580"/>
      <c r="AE130" s="587">
        <f t="array" ref="AE130">SUMPRODUCT(R130:AD130, {item_vals!$B$3, item_vals!$E$3:$N$3, item_vals!$C$3:$D$3})</f>
        <v>0</v>
      </c>
    </row>
    <row r="131" ht="15.75" customHeight="1">
      <c r="B131" s="584" t="s">
        <v>51</v>
      </c>
      <c r="C131" s="585"/>
      <c r="D131" s="585"/>
      <c r="E131" s="585"/>
      <c r="F131" s="585"/>
      <c r="G131" s="585"/>
      <c r="H131" s="585"/>
      <c r="I131" s="585"/>
      <c r="J131" s="585"/>
      <c r="K131" s="585"/>
      <c r="L131" s="585"/>
      <c r="M131" s="585"/>
      <c r="N131" s="585"/>
      <c r="O131" s="585"/>
      <c r="P131" s="578">
        <f t="array" ref="P131">SUMPRODUCT(C131:O131, {item_vals!$B$3, item_vals!$E$3:$N$3, item_vals!$C$3:$D$3})</f>
        <v>0</v>
      </c>
      <c r="Q131" s="579"/>
      <c r="R131" s="580"/>
      <c r="S131" s="580"/>
      <c r="T131" s="580"/>
      <c r="U131" s="580"/>
      <c r="V131" s="580"/>
      <c r="W131" s="580"/>
      <c r="X131" s="580"/>
      <c r="Y131" s="580"/>
      <c r="Z131" s="580"/>
      <c r="AA131" s="580"/>
      <c r="AB131" s="580"/>
      <c r="AC131" s="580"/>
      <c r="AD131" s="580"/>
      <c r="AE131" s="587">
        <f t="array" ref="AE131">SUMPRODUCT(R131:AD131, {item_vals!$B$3, item_vals!$E$3:$N$3, item_vals!$C$3:$D$3})</f>
        <v>0</v>
      </c>
    </row>
    <row r="132" ht="15.75" customHeight="1">
      <c r="B132" s="584" t="s">
        <v>9</v>
      </c>
      <c r="C132" s="585"/>
      <c r="D132" s="585"/>
      <c r="E132" s="585"/>
      <c r="F132" s="585"/>
      <c r="G132" s="585"/>
      <c r="H132" s="585"/>
      <c r="I132" s="585"/>
      <c r="J132" s="585"/>
      <c r="K132" s="585"/>
      <c r="L132" s="585"/>
      <c r="M132" s="585"/>
      <c r="N132" s="585"/>
      <c r="O132" s="585"/>
      <c r="P132" s="578">
        <f t="array" ref="P132">SUMPRODUCT(C132:O132, {item_vals!$B$3, item_vals!$E$3:$N$3, item_vals!$C$3:$D$3})</f>
        <v>0</v>
      </c>
      <c r="Q132" s="579"/>
      <c r="R132" s="580"/>
      <c r="S132" s="580"/>
      <c r="T132" s="580"/>
      <c r="U132" s="580"/>
      <c r="V132" s="580"/>
      <c r="W132" s="580"/>
      <c r="X132" s="580"/>
      <c r="Y132" s="580"/>
      <c r="Z132" s="580"/>
      <c r="AA132" s="580"/>
      <c r="AB132" s="580"/>
      <c r="AC132" s="580"/>
      <c r="AD132" s="580"/>
      <c r="AE132" s="587">
        <f t="array" ref="AE132">SUMPRODUCT(R132:AD132, {item_vals!$B$3, item_vals!$E$3:$N$3, item_vals!$C$3:$D$3})</f>
        <v>0</v>
      </c>
    </row>
    <row r="133" ht="15.75" customHeight="1">
      <c r="B133" s="584" t="s">
        <v>401</v>
      </c>
      <c r="C133" s="585"/>
      <c r="D133" s="585"/>
      <c r="E133" s="585"/>
      <c r="F133" s="585"/>
      <c r="G133" s="585"/>
      <c r="H133" s="585"/>
      <c r="I133" s="585"/>
      <c r="J133" s="585"/>
      <c r="K133" s="585"/>
      <c r="L133" s="585"/>
      <c r="M133" s="585"/>
      <c r="N133" s="585"/>
      <c r="O133" s="585"/>
      <c r="P133" s="578">
        <f t="array" ref="P133">SUMPRODUCT(C133:O133, {item_vals!$B$3, item_vals!$E$3:$N$3, item_vals!$C$3:$D$3})</f>
        <v>0</v>
      </c>
      <c r="Q133" s="579"/>
      <c r="R133" s="580"/>
      <c r="S133" s="580"/>
      <c r="T133" s="580"/>
      <c r="U133" s="580"/>
      <c r="V133" s="580"/>
      <c r="W133" s="580"/>
      <c r="X133" s="580"/>
      <c r="Y133" s="580"/>
      <c r="Z133" s="580"/>
      <c r="AA133" s="580"/>
      <c r="AB133" s="580"/>
      <c r="AC133" s="580"/>
      <c r="AD133" s="580"/>
      <c r="AE133" s="587">
        <f t="array" ref="AE133">SUMPRODUCT(R133:AD133, {item_vals!$B$3, item_vals!$E$3:$N$3, item_vals!$C$3:$D$3})</f>
        <v>0</v>
      </c>
    </row>
    <row r="134" ht="15.75" customHeight="1">
      <c r="B134" s="584" t="s">
        <v>7</v>
      </c>
      <c r="C134" s="585"/>
      <c r="D134" s="585"/>
      <c r="E134" s="585"/>
      <c r="F134" s="585"/>
      <c r="G134" s="585"/>
      <c r="H134" s="585"/>
      <c r="I134" s="585"/>
      <c r="J134" s="585"/>
      <c r="K134" s="585"/>
      <c r="L134" s="585"/>
      <c r="M134" s="585"/>
      <c r="N134" s="585"/>
      <c r="O134" s="585"/>
      <c r="P134" s="578">
        <f t="array" ref="P134">SUMPRODUCT(C134:O134, {item_vals!$B$3, item_vals!$E$3:$N$3, item_vals!$C$3:$D$3})</f>
        <v>0</v>
      </c>
      <c r="Q134" s="579"/>
      <c r="R134" s="580"/>
      <c r="S134" s="580"/>
      <c r="T134" s="580"/>
      <c r="U134" s="580"/>
      <c r="V134" s="580"/>
      <c r="W134" s="580"/>
      <c r="X134" s="580"/>
      <c r="Y134" s="580"/>
      <c r="Z134" s="580"/>
      <c r="AA134" s="580"/>
      <c r="AB134" s="580"/>
      <c r="AC134" s="580"/>
      <c r="AD134" s="580"/>
      <c r="AE134" s="587">
        <f t="array" ref="AE134">SUMPRODUCT(R134:AD134, {item_vals!$B$3, item_vals!$E$3:$N$3, item_vals!$C$3:$D$3})</f>
        <v>0</v>
      </c>
    </row>
    <row r="135" ht="15.75" customHeight="1">
      <c r="B135" s="584" t="s">
        <v>20</v>
      </c>
      <c r="C135" s="585"/>
      <c r="D135" s="585"/>
      <c r="E135" s="585"/>
      <c r="F135" s="585"/>
      <c r="G135" s="585"/>
      <c r="H135" s="585"/>
      <c r="I135" s="585"/>
      <c r="J135" s="585"/>
      <c r="K135" s="585"/>
      <c r="L135" s="585"/>
      <c r="M135" s="585"/>
      <c r="N135" s="585"/>
      <c r="O135" s="585"/>
      <c r="P135" s="578">
        <f t="array" ref="P135">SUMPRODUCT(C135:O135, {item_vals!$B$3, item_vals!$E$3:$N$3, item_vals!$C$3:$D$3})</f>
        <v>0</v>
      </c>
      <c r="Q135" s="579"/>
      <c r="R135" s="580"/>
      <c r="S135" s="580"/>
      <c r="T135" s="580"/>
      <c r="U135" s="580"/>
      <c r="V135" s="580"/>
      <c r="W135" s="580"/>
      <c r="X135" s="580"/>
      <c r="Y135" s="580"/>
      <c r="Z135" s="580"/>
      <c r="AA135" s="580"/>
      <c r="AB135" s="580"/>
      <c r="AC135" s="580"/>
      <c r="AD135" s="580"/>
      <c r="AE135" s="587">
        <f t="array" ref="AE135">SUMPRODUCT(R135:AD135, {item_vals!$B$3, item_vals!$E$3:$N$3, item_vals!$C$3:$D$3})</f>
        <v>0</v>
      </c>
    </row>
    <row r="136" ht="15.75" customHeight="1">
      <c r="B136" s="571" t="s">
        <v>411</v>
      </c>
      <c r="C136" s="573"/>
      <c r="D136" s="573"/>
      <c r="E136" s="573"/>
      <c r="F136" s="573"/>
      <c r="G136" s="573"/>
      <c r="H136" s="573"/>
      <c r="I136" s="573"/>
      <c r="J136" s="573"/>
      <c r="K136" s="573"/>
      <c r="L136" s="573"/>
      <c r="M136" s="573"/>
      <c r="N136" s="572"/>
      <c r="O136" s="572"/>
      <c r="P136" s="578">
        <f t="array" ref="P136">SUMPRODUCT(C136:O136, {item_vals!$B$3, item_vals!$E$3:$N$3, item_vals!$C$3:$D$3})</f>
        <v>0</v>
      </c>
      <c r="Q136" s="579"/>
      <c r="R136" s="580"/>
      <c r="S136" s="580"/>
      <c r="T136" s="580"/>
      <c r="U136" s="580"/>
      <c r="V136" s="580"/>
      <c r="W136" s="580"/>
      <c r="X136" s="580"/>
      <c r="Y136" s="580"/>
      <c r="Z136" s="580"/>
      <c r="AA136" s="580"/>
      <c r="AB136" s="580"/>
      <c r="AC136" s="580"/>
      <c r="AD136" s="580"/>
      <c r="AE136" s="587">
        <f t="array" ref="AE136">SUMPRODUCT(R136:AD136, {item_vals!$B$3, item_vals!$E$3:$N$3, item_vals!$C$3:$D$3})</f>
        <v>0</v>
      </c>
    </row>
    <row r="137" ht="15.75" customHeight="1">
      <c r="B137" s="584" t="s">
        <v>73</v>
      </c>
      <c r="C137" s="585"/>
      <c r="D137" s="585"/>
      <c r="E137" s="585"/>
      <c r="F137" s="585"/>
      <c r="G137" s="585"/>
      <c r="H137" s="585"/>
      <c r="I137" s="585"/>
      <c r="J137" s="585"/>
      <c r="K137" s="585"/>
      <c r="L137" s="585"/>
      <c r="M137" s="585"/>
      <c r="N137" s="585"/>
      <c r="O137" s="585"/>
      <c r="P137" s="578">
        <f t="array" ref="P137">SUMPRODUCT(C137:O137, {item_vals!$B$3, item_vals!$E$3:$N$3, item_vals!$C$3:$D$3})</f>
        <v>0</v>
      </c>
      <c r="Q137" s="579"/>
      <c r="R137" s="580"/>
      <c r="S137" s="580"/>
      <c r="T137" s="580"/>
      <c r="U137" s="580"/>
      <c r="V137" s="580"/>
      <c r="W137" s="580"/>
      <c r="X137" s="580"/>
      <c r="Y137" s="580"/>
      <c r="Z137" s="580"/>
      <c r="AA137" s="580"/>
      <c r="AB137" s="580"/>
      <c r="AC137" s="580"/>
      <c r="AD137" s="580"/>
      <c r="AE137" s="587">
        <f t="array" ref="AE137">SUMPRODUCT(R137:AD137, {item_vals!$B$3, item_vals!$E$3:$N$3, item_vals!$C$3:$D$3})</f>
        <v>0</v>
      </c>
    </row>
    <row r="138" ht="15.75" customHeight="1">
      <c r="B138" s="584" t="s">
        <v>329</v>
      </c>
      <c r="C138" s="585"/>
      <c r="D138" s="585"/>
      <c r="E138" s="585"/>
      <c r="F138" s="585"/>
      <c r="G138" s="585"/>
      <c r="H138" s="585"/>
      <c r="I138" s="585"/>
      <c r="J138" s="585"/>
      <c r="K138" s="585"/>
      <c r="L138" s="585"/>
      <c r="M138" s="585"/>
      <c r="N138" s="585"/>
      <c r="O138" s="585"/>
      <c r="P138" s="578">
        <f t="array" ref="P138">SUMPRODUCT(C138:O138, {item_vals!$B$3, item_vals!$E$3:$N$3, item_vals!$C$3:$D$3})</f>
        <v>0</v>
      </c>
      <c r="Q138" s="579"/>
      <c r="R138" s="580"/>
      <c r="S138" s="580"/>
      <c r="T138" s="580"/>
      <c r="U138" s="580"/>
      <c r="V138" s="580"/>
      <c r="W138" s="580"/>
      <c r="X138" s="580"/>
      <c r="Y138" s="580"/>
      <c r="Z138" s="580"/>
      <c r="AA138" s="580"/>
      <c r="AB138" s="580"/>
      <c r="AC138" s="580"/>
      <c r="AD138" s="580"/>
      <c r="AE138" s="587">
        <f t="array" ref="AE138">SUMPRODUCT(R138:AD138, {item_vals!$B$3, item_vals!$E$3:$N$3, item_vals!$C$3:$D$3})</f>
        <v>0</v>
      </c>
    </row>
    <row r="139" ht="15.75" customHeight="1">
      <c r="B139" s="584" t="s">
        <v>151</v>
      </c>
      <c r="C139" s="585"/>
      <c r="D139" s="585"/>
      <c r="E139" s="585"/>
      <c r="F139" s="585"/>
      <c r="G139" s="585"/>
      <c r="H139" s="585"/>
      <c r="I139" s="585"/>
      <c r="J139" s="585"/>
      <c r="K139" s="585"/>
      <c r="L139" s="585"/>
      <c r="M139" s="585"/>
      <c r="N139" s="585"/>
      <c r="O139" s="585"/>
      <c r="P139" s="578">
        <f t="array" ref="P139">SUMPRODUCT(C139:O139, {item_vals!$B$3, item_vals!$E$3:$N$3, item_vals!$C$3:$D$3})</f>
        <v>0</v>
      </c>
      <c r="Q139" s="579"/>
      <c r="R139" s="580"/>
      <c r="S139" s="580"/>
      <c r="T139" s="580"/>
      <c r="U139" s="580"/>
      <c r="V139" s="580"/>
      <c r="W139" s="580"/>
      <c r="X139" s="580"/>
      <c r="Y139" s="580"/>
      <c r="Z139" s="580"/>
      <c r="AA139" s="580"/>
      <c r="AB139" s="580"/>
      <c r="AC139" s="580"/>
      <c r="AD139" s="580"/>
      <c r="AE139" s="587">
        <f t="array" ref="AE139">SUMPRODUCT(R139:AD139, {item_vals!$B$3, item_vals!$E$3:$N$3, item_vals!$C$3:$D$3})</f>
        <v>0</v>
      </c>
    </row>
    <row r="140" ht="15.75" customHeight="1">
      <c r="B140" s="584" t="s">
        <v>418</v>
      </c>
      <c r="C140" s="585"/>
      <c r="D140" s="585"/>
      <c r="E140" s="585"/>
      <c r="F140" s="585"/>
      <c r="G140" s="585"/>
      <c r="H140" s="585"/>
      <c r="I140" s="585"/>
      <c r="J140" s="585"/>
      <c r="K140" s="585"/>
      <c r="L140" s="585"/>
      <c r="M140" s="585"/>
      <c r="N140" s="585"/>
      <c r="O140" s="585"/>
      <c r="P140" s="578">
        <f t="array" ref="P140">SUMPRODUCT(C140:O140, {item_vals!$B$3, item_vals!$E$3:$N$3, item_vals!$C$3:$D$3})</f>
        <v>0</v>
      </c>
      <c r="Q140" s="579"/>
      <c r="R140" s="580"/>
      <c r="S140" s="580"/>
      <c r="T140" s="580"/>
      <c r="U140" s="580"/>
      <c r="V140" s="580"/>
      <c r="W140" s="580"/>
      <c r="X140" s="580"/>
      <c r="Y140" s="580"/>
      <c r="Z140" s="580"/>
      <c r="AA140" s="580"/>
      <c r="AB140" s="580"/>
      <c r="AC140" s="580"/>
      <c r="AD140" s="580"/>
      <c r="AE140" s="587">
        <f t="array" ref="AE140">SUMPRODUCT(R140:AD140, {item_vals!$B$3, item_vals!$E$3:$N$3, item_vals!$C$3:$D$3})</f>
        <v>0</v>
      </c>
    </row>
    <row r="141" ht="15.75" customHeight="1">
      <c r="B141" s="584" t="s">
        <v>413</v>
      </c>
      <c r="C141" s="585"/>
      <c r="D141" s="585"/>
      <c r="E141" s="585"/>
      <c r="F141" s="585"/>
      <c r="G141" s="585"/>
      <c r="H141" s="585"/>
      <c r="I141" s="585"/>
      <c r="J141" s="585"/>
      <c r="K141" s="585"/>
      <c r="L141" s="585"/>
      <c r="M141" s="585"/>
      <c r="N141" s="585"/>
      <c r="O141" s="585"/>
      <c r="P141" s="578">
        <f t="array" ref="P141">SUMPRODUCT(C141:O141, {item_vals!$B$3, item_vals!$E$3:$N$3, item_vals!$C$3:$D$3})</f>
        <v>0</v>
      </c>
      <c r="Q141" s="579"/>
      <c r="R141" s="580"/>
      <c r="S141" s="580"/>
      <c r="T141" s="580"/>
      <c r="U141" s="580"/>
      <c r="V141" s="580"/>
      <c r="W141" s="580"/>
      <c r="X141" s="580"/>
      <c r="Y141" s="580"/>
      <c r="Z141" s="580"/>
      <c r="AA141" s="580"/>
      <c r="AB141" s="580"/>
      <c r="AC141" s="580"/>
      <c r="AD141" s="580"/>
      <c r="AE141" s="587">
        <f t="array" ref="AE141">SUMPRODUCT(R141:AD141, {item_vals!$B$3, item_vals!$E$3:$N$3, item_vals!$C$3:$D$3})</f>
        <v>0</v>
      </c>
    </row>
    <row r="142" ht="15.75" customHeight="1">
      <c r="B142" s="584" t="s">
        <v>63</v>
      </c>
      <c r="C142" s="585"/>
      <c r="D142" s="585"/>
      <c r="E142" s="585"/>
      <c r="F142" s="585"/>
      <c r="G142" s="585"/>
      <c r="H142" s="585"/>
      <c r="I142" s="585"/>
      <c r="J142" s="585"/>
      <c r="K142" s="585"/>
      <c r="L142" s="585"/>
      <c r="M142" s="585"/>
      <c r="N142" s="585"/>
      <c r="O142" s="585"/>
      <c r="P142" s="578">
        <f t="array" ref="P142">SUMPRODUCT(C142:O142, {item_vals!$B$3, item_vals!$E$3:$N$3, item_vals!$C$3:$D$3})</f>
        <v>0</v>
      </c>
      <c r="Q142" s="579"/>
      <c r="R142" s="580"/>
      <c r="S142" s="580"/>
      <c r="T142" s="580"/>
      <c r="U142" s="580"/>
      <c r="V142" s="580"/>
      <c r="W142" s="580"/>
      <c r="X142" s="580"/>
      <c r="Y142" s="580"/>
      <c r="Z142" s="580"/>
      <c r="AA142" s="580"/>
      <c r="AB142" s="580"/>
      <c r="AC142" s="580"/>
      <c r="AD142" s="580"/>
      <c r="AE142" s="587">
        <f t="array" ref="AE142">SUMPRODUCT(R142:AD142, {item_vals!$B$3, item_vals!$E$3:$N$3, item_vals!$C$3:$D$3})</f>
        <v>0</v>
      </c>
    </row>
    <row r="143" ht="15.75" customHeight="1">
      <c r="B143" s="571" t="s">
        <v>15</v>
      </c>
      <c r="C143" s="573"/>
      <c r="D143" s="573"/>
      <c r="E143" s="573"/>
      <c r="F143" s="573"/>
      <c r="G143" s="573"/>
      <c r="H143" s="573"/>
      <c r="I143" s="573"/>
      <c r="J143" s="573"/>
      <c r="K143" s="573"/>
      <c r="L143" s="573"/>
      <c r="M143" s="573"/>
      <c r="N143" s="572"/>
      <c r="O143" s="572"/>
      <c r="P143" s="578">
        <f t="array" ref="P143">SUMPRODUCT(C143:O143, {item_vals!$B$3, item_vals!$E$3:$N$3, item_vals!$C$3:$D$3})</f>
        <v>0</v>
      </c>
      <c r="Q143" s="579"/>
      <c r="R143" s="580"/>
      <c r="S143" s="580"/>
      <c r="T143" s="580"/>
      <c r="U143" s="580"/>
      <c r="V143" s="580"/>
      <c r="W143" s="580"/>
      <c r="X143" s="580"/>
      <c r="Y143" s="580"/>
      <c r="Z143" s="580"/>
      <c r="AA143" s="580"/>
      <c r="AB143" s="580"/>
      <c r="AC143" s="580"/>
      <c r="AD143" s="580"/>
      <c r="AE143" s="587">
        <f t="array" ref="AE143">SUMPRODUCT(R143:AD143, {item_vals!$B$3, item_vals!$E$3:$N$3, item_vals!$C$3:$D$3})</f>
        <v>0</v>
      </c>
    </row>
    <row r="144" ht="15.75" customHeight="1">
      <c r="B144" s="571" t="s">
        <v>16</v>
      </c>
      <c r="C144" s="573"/>
      <c r="D144" s="573"/>
      <c r="E144" s="573"/>
      <c r="F144" s="573"/>
      <c r="G144" s="573"/>
      <c r="H144" s="573"/>
      <c r="I144" s="573"/>
      <c r="J144" s="573"/>
      <c r="K144" s="573"/>
      <c r="L144" s="573"/>
      <c r="M144" s="573"/>
      <c r="N144" s="572"/>
      <c r="O144" s="572"/>
      <c r="P144" s="578">
        <f t="array" ref="P144">SUMPRODUCT(C144:O144, {item_vals!$B$3, item_vals!$E$3:$N$3, item_vals!$C$3:$D$3})</f>
        <v>0</v>
      </c>
      <c r="Q144" s="579"/>
      <c r="R144" s="580"/>
      <c r="S144" s="580"/>
      <c r="T144" s="580"/>
      <c r="U144" s="580"/>
      <c r="V144" s="580"/>
      <c r="W144" s="580"/>
      <c r="X144" s="580"/>
      <c r="Y144" s="580"/>
      <c r="Z144" s="580"/>
      <c r="AA144" s="580"/>
      <c r="AB144" s="580"/>
      <c r="AC144" s="580"/>
      <c r="AD144" s="580"/>
      <c r="AE144" s="587">
        <f t="array" ref="AE144">SUMPRODUCT(R144:AD144, {item_vals!$B$3, item_vals!$E$3:$N$3, item_vals!$C$3:$D$3})</f>
        <v>0</v>
      </c>
    </row>
    <row r="145" ht="15.75" customHeight="1">
      <c r="B145" s="584" t="s">
        <v>42</v>
      </c>
      <c r="C145" s="585"/>
      <c r="D145" s="585"/>
      <c r="E145" s="585"/>
      <c r="F145" s="585"/>
      <c r="G145" s="585"/>
      <c r="H145" s="585"/>
      <c r="I145" s="585"/>
      <c r="J145" s="585"/>
      <c r="K145" s="585"/>
      <c r="L145" s="585"/>
      <c r="M145" s="585"/>
      <c r="N145" s="596"/>
      <c r="O145" s="596"/>
      <c r="P145" s="578">
        <f t="array" ref="P145">SUMPRODUCT(C145:O145, {item_vals!$B$3, item_vals!$E$3:$N$3, item_vals!$C$3:$D$3})</f>
        <v>0</v>
      </c>
      <c r="Q145" s="579"/>
      <c r="R145" s="580"/>
      <c r="S145" s="580"/>
      <c r="T145" s="580"/>
      <c r="U145" s="580"/>
      <c r="V145" s="580"/>
      <c r="W145" s="580"/>
      <c r="X145" s="580"/>
      <c r="Y145" s="580"/>
      <c r="Z145" s="580"/>
      <c r="AA145" s="580"/>
      <c r="AB145" s="580"/>
      <c r="AC145" s="580"/>
      <c r="AD145" s="580"/>
      <c r="AE145" s="587">
        <f t="array" ref="AE145">SUMPRODUCT(R145:AD145, {item_vals!$B$3, item_vals!$E$3:$N$3, item_vals!$C$3:$D$3})</f>
        <v>0</v>
      </c>
    </row>
    <row r="146" ht="15.75" customHeight="1">
      <c r="B146" s="571" t="s">
        <v>414</v>
      </c>
      <c r="C146" s="573"/>
      <c r="D146" s="573"/>
      <c r="E146" s="573"/>
      <c r="F146" s="573"/>
      <c r="G146" s="573"/>
      <c r="H146" s="573"/>
      <c r="I146" s="573"/>
      <c r="J146" s="573"/>
      <c r="K146" s="573"/>
      <c r="L146" s="573"/>
      <c r="M146" s="573"/>
      <c r="N146" s="572"/>
      <c r="O146" s="572"/>
      <c r="P146" s="578">
        <f t="array" ref="P146">SUMPRODUCT(C146:O146, {item_vals!$B$3, item_vals!$E$3:$N$3, item_vals!$C$3:$D$3})</f>
        <v>0</v>
      </c>
      <c r="Q146" s="579"/>
      <c r="R146" s="580"/>
      <c r="S146" s="580"/>
      <c r="T146" s="580"/>
      <c r="U146" s="580"/>
      <c r="V146" s="580"/>
      <c r="W146" s="580"/>
      <c r="X146" s="580"/>
      <c r="Y146" s="580"/>
      <c r="Z146" s="580"/>
      <c r="AA146" s="580"/>
      <c r="AB146" s="580"/>
      <c r="AC146" s="580"/>
      <c r="AD146" s="580"/>
      <c r="AE146" s="587">
        <f t="array" ref="AE146">SUMPRODUCT(R146:AD146, {item_vals!$B$3, item_vals!$E$3:$N$3, item_vals!$C$3:$D$3})</f>
        <v>0</v>
      </c>
    </row>
    <row r="147" ht="15.75" customHeight="1">
      <c r="B147" s="584" t="s">
        <v>14</v>
      </c>
      <c r="C147" s="585"/>
      <c r="D147" s="585"/>
      <c r="E147" s="585"/>
      <c r="F147" s="585"/>
      <c r="G147" s="585"/>
      <c r="H147" s="585"/>
      <c r="I147" s="585"/>
      <c r="J147" s="585"/>
      <c r="K147" s="585"/>
      <c r="L147" s="585"/>
      <c r="M147" s="585"/>
      <c r="N147" s="596"/>
      <c r="O147" s="596"/>
      <c r="P147" s="578">
        <f t="array" ref="P147">SUMPRODUCT(C147:O147, {item_vals!$B$3, item_vals!$E$3:$N$3, item_vals!$C$3:$D$3})</f>
        <v>0</v>
      </c>
      <c r="Q147" s="579"/>
      <c r="R147" s="580"/>
      <c r="S147" s="580"/>
      <c r="T147" s="580"/>
      <c r="U147" s="580"/>
      <c r="V147" s="580"/>
      <c r="W147" s="580"/>
      <c r="X147" s="580"/>
      <c r="Y147" s="580"/>
      <c r="Z147" s="580"/>
      <c r="AA147" s="580"/>
      <c r="AB147" s="580"/>
      <c r="AC147" s="580"/>
      <c r="AD147" s="580"/>
      <c r="AE147" s="587">
        <f t="array" ref="AE147">SUMPRODUCT(R147:AD147, {item_vals!$B$3, item_vals!$E$3:$N$3, item_vals!$C$3:$D$3})</f>
        <v>0</v>
      </c>
    </row>
    <row r="148" ht="15.75" customHeight="1">
      <c r="B148" s="571" t="s">
        <v>415</v>
      </c>
      <c r="C148" s="573"/>
      <c r="D148" s="573"/>
      <c r="E148" s="573"/>
      <c r="F148" s="573"/>
      <c r="G148" s="573"/>
      <c r="H148" s="573"/>
      <c r="I148" s="573"/>
      <c r="J148" s="573"/>
      <c r="K148" s="573"/>
      <c r="L148" s="573"/>
      <c r="M148" s="573"/>
      <c r="N148" s="572"/>
      <c r="O148" s="572"/>
      <c r="P148" s="578">
        <f t="array" ref="P148">SUMPRODUCT(C148:O148, {item_vals!$B$3, item_vals!$E$3:$N$3, item_vals!$C$3:$D$3})</f>
        <v>0</v>
      </c>
      <c r="Q148" s="579"/>
      <c r="R148" s="580"/>
      <c r="S148" s="580"/>
      <c r="T148" s="580"/>
      <c r="U148" s="580"/>
      <c r="V148" s="580"/>
      <c r="W148" s="580"/>
      <c r="X148" s="580"/>
      <c r="Y148" s="580"/>
      <c r="Z148" s="580"/>
      <c r="AA148" s="580"/>
      <c r="AB148" s="580"/>
      <c r="AC148" s="580"/>
      <c r="AD148" s="580"/>
      <c r="AE148" s="587">
        <f t="array" ref="AE148">SUMPRODUCT(R148:AD148, {item_vals!$B$3, item_vals!$E$3:$N$3, item_vals!$C$3:$D$3})</f>
        <v>0</v>
      </c>
    </row>
    <row r="149" ht="15.75" customHeight="1">
      <c r="B149" s="32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R149" s="8"/>
      <c r="S149" s="328"/>
      <c r="T149" s="328"/>
      <c r="U149" s="328"/>
      <c r="V149" s="328"/>
      <c r="W149" s="328"/>
      <c r="X149" s="328"/>
      <c r="Y149" s="328"/>
      <c r="Z149" s="328"/>
      <c r="AA149" s="328"/>
      <c r="AB149" s="328"/>
    </row>
    <row r="150" ht="15.75" customHeight="1">
      <c r="B150" s="32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R150" s="8"/>
      <c r="S150" s="328"/>
      <c r="T150" s="328"/>
      <c r="U150" s="328"/>
      <c r="V150" s="328"/>
      <c r="W150" s="328"/>
      <c r="X150" s="328"/>
      <c r="Y150" s="328"/>
      <c r="Z150" s="328"/>
      <c r="AA150" s="328"/>
      <c r="AB150" s="328"/>
    </row>
    <row r="151" ht="15.75" customHeight="1">
      <c r="B151" s="553" t="s">
        <v>2173</v>
      </c>
      <c r="C151" s="598" t="s">
        <v>2174</v>
      </c>
      <c r="D151" s="599"/>
      <c r="E151" s="599"/>
      <c r="F151" s="599"/>
      <c r="G151" s="599"/>
      <c r="H151" s="599"/>
      <c r="I151" s="599"/>
      <c r="J151" s="599"/>
      <c r="K151" s="599"/>
      <c r="L151" s="599"/>
      <c r="M151" s="599"/>
      <c r="N151" s="555"/>
      <c r="O151" s="555"/>
      <c r="R151" s="600" t="s">
        <v>2175</v>
      </c>
      <c r="S151" s="557"/>
      <c r="T151" s="557"/>
      <c r="U151" s="557"/>
      <c r="V151" s="557"/>
      <c r="W151" s="557"/>
      <c r="X151" s="557"/>
      <c r="Y151" s="557"/>
      <c r="Z151" s="557"/>
      <c r="AA151" s="557"/>
      <c r="AB151" s="557"/>
      <c r="AC151" s="557"/>
      <c r="AD151" s="557"/>
      <c r="AE151" s="394"/>
    </row>
    <row r="152">
      <c r="B152" s="561" t="s">
        <v>422</v>
      </c>
      <c r="C152" s="601" t="s">
        <v>1205</v>
      </c>
      <c r="D152" s="601" t="s">
        <v>52</v>
      </c>
      <c r="E152" s="601" t="s">
        <v>53</v>
      </c>
      <c r="F152" s="601" t="s">
        <v>54</v>
      </c>
      <c r="G152" s="601" t="s">
        <v>47</v>
      </c>
      <c r="H152" s="601" t="s">
        <v>48</v>
      </c>
      <c r="I152" s="601" t="s">
        <v>50</v>
      </c>
      <c r="J152" s="601" t="s">
        <v>1209</v>
      </c>
      <c r="K152" s="601" t="s">
        <v>1210</v>
      </c>
      <c r="L152" s="601" t="s">
        <v>1211</v>
      </c>
      <c r="M152" s="601" t="s">
        <v>55</v>
      </c>
      <c r="N152" s="563" t="s">
        <v>46</v>
      </c>
      <c r="O152" s="563" t="s">
        <v>1213</v>
      </c>
      <c r="P152" s="566" t="s">
        <v>1214</v>
      </c>
      <c r="R152" s="602" t="s">
        <v>1205</v>
      </c>
      <c r="S152" s="567" t="s">
        <v>52</v>
      </c>
      <c r="T152" s="567" t="s">
        <v>53</v>
      </c>
      <c r="U152" s="567" t="s">
        <v>54</v>
      </c>
      <c r="V152" s="567" t="s">
        <v>47</v>
      </c>
      <c r="W152" s="567" t="s">
        <v>48</v>
      </c>
      <c r="X152" s="567" t="s">
        <v>50</v>
      </c>
      <c r="Y152" s="567" t="s">
        <v>1209</v>
      </c>
      <c r="Z152" s="567" t="s">
        <v>1210</v>
      </c>
      <c r="AA152" s="567" t="s">
        <v>1211</v>
      </c>
      <c r="AB152" s="567" t="s">
        <v>55</v>
      </c>
      <c r="AC152" s="567" t="s">
        <v>46</v>
      </c>
      <c r="AD152" s="567" t="s">
        <v>1213</v>
      </c>
      <c r="AE152" s="566" t="s">
        <v>1214</v>
      </c>
    </row>
    <row r="153" ht="15.75" customHeight="1">
      <c r="B153" s="657" t="s">
        <v>393</v>
      </c>
      <c r="C153" s="572" t="str">
        <f>LET(payer, $C$3, segment, $B$151, ECOGAINS_SIM(payer, segment, sim_refresh!$A$1))</f>
        <v>Loading...</v>
      </c>
      <c r="D153" s="573"/>
      <c r="E153" s="573"/>
      <c r="F153" s="573"/>
      <c r="G153" s="573"/>
      <c r="H153" s="573"/>
      <c r="I153" s="573"/>
      <c r="J153" s="573"/>
      <c r="K153" s="573"/>
      <c r="L153" s="573"/>
      <c r="M153" s="573"/>
      <c r="N153" s="658"/>
      <c r="O153" s="658"/>
      <c r="P153" s="578" t="str">
        <f t="array" ref="P153">SUMPRODUCT(C153:O153, {item_vals!$B$3, item_vals!$E$3:$N$3, item_vals!$C$3:$D$3})</f>
        <v>Loading...</v>
      </c>
      <c r="Q153" s="579"/>
      <c r="R153" s="580">
        <f>LET(payer, $C$3, segment, $B$151, ECOGAINS_DIFF(payer, segment, sim_refresh!$A$1))</f>
        <v>0</v>
      </c>
      <c r="S153" s="581">
        <v>0.0</v>
      </c>
      <c r="T153" s="581">
        <v>0.0</v>
      </c>
      <c r="U153" s="581">
        <v>0.0</v>
      </c>
      <c r="V153" s="581">
        <v>0.0</v>
      </c>
      <c r="W153" s="581">
        <v>0.0</v>
      </c>
      <c r="X153" s="581">
        <v>0.0</v>
      </c>
      <c r="Y153" s="581">
        <v>0.0</v>
      </c>
      <c r="Z153" s="581">
        <v>0.0</v>
      </c>
      <c r="AA153" s="581">
        <v>0.0</v>
      </c>
      <c r="AB153" s="581">
        <v>0.0</v>
      </c>
      <c r="AC153" s="581">
        <v>0.0</v>
      </c>
      <c r="AD153" s="581">
        <v>0.0</v>
      </c>
      <c r="AE153" s="583">
        <f t="array" ref="AE153">SUMPRODUCT(R153:AD153, {item_vals!$B$3, item_vals!$E$3:$N$3, item_vals!$C$3:$D$3})</f>
        <v>0</v>
      </c>
    </row>
    <row r="154" ht="15.75" customHeight="1">
      <c r="B154" s="657" t="s">
        <v>341</v>
      </c>
      <c r="C154" s="658"/>
      <c r="D154" s="658"/>
      <c r="E154" s="658"/>
      <c r="F154" s="658"/>
      <c r="G154" s="658"/>
      <c r="H154" s="658"/>
      <c r="I154" s="658"/>
      <c r="J154" s="658"/>
      <c r="K154" s="658"/>
      <c r="L154" s="658"/>
      <c r="M154" s="658"/>
      <c r="N154" s="658"/>
      <c r="O154" s="658"/>
      <c r="P154" s="578">
        <f t="array" ref="P154">SUMPRODUCT(C154:O154, {item_vals!$B$3, item_vals!$E$3:$N$3, item_vals!$C$3:$D$3})</f>
        <v>0</v>
      </c>
      <c r="Q154" s="579"/>
      <c r="R154" s="581">
        <v>0.0</v>
      </c>
      <c r="S154" s="581">
        <v>0.0</v>
      </c>
      <c r="T154" s="581">
        <v>0.0</v>
      </c>
      <c r="U154" s="581">
        <v>0.0</v>
      </c>
      <c r="V154" s="581">
        <v>0.0</v>
      </c>
      <c r="W154" s="581">
        <v>0.0</v>
      </c>
      <c r="X154" s="581">
        <v>0.0</v>
      </c>
      <c r="Y154" s="581">
        <v>0.0</v>
      </c>
      <c r="Z154" s="581">
        <v>0.0</v>
      </c>
      <c r="AA154" s="581">
        <v>0.0</v>
      </c>
      <c r="AB154" s="581">
        <v>0.0</v>
      </c>
      <c r="AC154" s="581">
        <v>0.0</v>
      </c>
      <c r="AD154" s="581">
        <v>0.0</v>
      </c>
      <c r="AE154" s="587">
        <f t="array" ref="AE154">SUMPRODUCT(R154:AD154, {item_vals!$B$3, item_vals!$E$3:$N$3, item_vals!$C$3:$D$3})</f>
        <v>0</v>
      </c>
    </row>
    <row r="155" ht="15.75" customHeight="1">
      <c r="B155" s="657" t="s">
        <v>206</v>
      </c>
      <c r="C155" s="658"/>
      <c r="D155" s="658"/>
      <c r="E155" s="658"/>
      <c r="F155" s="658"/>
      <c r="G155" s="658"/>
      <c r="H155" s="658"/>
      <c r="I155" s="658"/>
      <c r="J155" s="658"/>
      <c r="K155" s="658"/>
      <c r="L155" s="658"/>
      <c r="M155" s="658"/>
      <c r="N155" s="658"/>
      <c r="O155" s="658"/>
      <c r="P155" s="578">
        <f t="array" ref="P155">SUMPRODUCT(C155:O155, {item_vals!$B$3, item_vals!$E$3:$N$3, item_vals!$C$3:$D$3})</f>
        <v>0</v>
      </c>
      <c r="Q155" s="579"/>
      <c r="R155" s="581">
        <v>0.0</v>
      </c>
      <c r="S155" s="581">
        <v>0.0</v>
      </c>
      <c r="T155" s="581">
        <v>0.0</v>
      </c>
      <c r="U155" s="581">
        <v>0.0</v>
      </c>
      <c r="V155" s="581">
        <v>0.0</v>
      </c>
      <c r="W155" s="581">
        <v>0.0</v>
      </c>
      <c r="X155" s="581">
        <v>0.0</v>
      </c>
      <c r="Y155" s="581">
        <v>0.0</v>
      </c>
      <c r="Z155" s="581">
        <v>0.0</v>
      </c>
      <c r="AA155" s="581">
        <v>0.0</v>
      </c>
      <c r="AB155" s="581">
        <v>0.0</v>
      </c>
      <c r="AC155" s="581">
        <v>0.0</v>
      </c>
      <c r="AD155" s="581">
        <v>0.0</v>
      </c>
      <c r="AE155" s="587">
        <f t="array" ref="AE155">SUMPRODUCT(R155:AD155, {item_vals!$B$3, item_vals!$E$3:$N$3, item_vals!$C$3:$D$3})</f>
        <v>0</v>
      </c>
    </row>
    <row r="156" ht="15.75" customHeight="1">
      <c r="B156" s="657" t="s">
        <v>338</v>
      </c>
      <c r="C156" s="658"/>
      <c r="D156" s="658"/>
      <c r="E156" s="658"/>
      <c r="F156" s="658"/>
      <c r="G156" s="658"/>
      <c r="H156" s="658"/>
      <c r="I156" s="658"/>
      <c r="J156" s="658"/>
      <c r="K156" s="658"/>
      <c r="L156" s="658"/>
      <c r="M156" s="658"/>
      <c r="N156" s="658"/>
      <c r="O156" s="658"/>
      <c r="P156" s="578">
        <f t="array" ref="P156">SUMPRODUCT(C156:O156, {item_vals!$B$3, item_vals!$E$3:$N$3, item_vals!$C$3:$D$3})</f>
        <v>0</v>
      </c>
      <c r="Q156" s="579"/>
      <c r="R156" s="581">
        <v>0.0</v>
      </c>
      <c r="S156" s="581">
        <v>0.0</v>
      </c>
      <c r="T156" s="581">
        <v>0.0</v>
      </c>
      <c r="U156" s="581">
        <v>0.0</v>
      </c>
      <c r="V156" s="581">
        <v>0.0</v>
      </c>
      <c r="W156" s="581">
        <v>0.0</v>
      </c>
      <c r="X156" s="581">
        <v>0.0</v>
      </c>
      <c r="Y156" s="581">
        <v>0.0</v>
      </c>
      <c r="Z156" s="581">
        <v>0.0</v>
      </c>
      <c r="AA156" s="581">
        <v>0.0</v>
      </c>
      <c r="AB156" s="581">
        <v>0.0</v>
      </c>
      <c r="AC156" s="581">
        <v>0.0</v>
      </c>
      <c r="AD156" s="581">
        <v>0.0</v>
      </c>
      <c r="AE156" s="587">
        <f t="array" ref="AE156">SUMPRODUCT(R156:AD156, {item_vals!$B$3, item_vals!$E$3:$N$3, item_vals!$C$3:$D$3})</f>
        <v>0</v>
      </c>
    </row>
    <row r="157" ht="15.75" customHeight="1">
      <c r="B157" s="657" t="s">
        <v>396</v>
      </c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8"/>
      <c r="P157" s="578">
        <f t="array" ref="P157">SUMPRODUCT(C157:O157, {item_vals!$B$3, item_vals!$E$3:$N$3, item_vals!$C$3:$D$3})</f>
        <v>0</v>
      </c>
      <c r="Q157" s="579"/>
      <c r="R157" s="581">
        <v>0.0</v>
      </c>
      <c r="S157" s="581">
        <v>0.0</v>
      </c>
      <c r="T157" s="581">
        <v>0.0</v>
      </c>
      <c r="U157" s="581">
        <v>0.0</v>
      </c>
      <c r="V157" s="581">
        <v>0.0</v>
      </c>
      <c r="W157" s="581">
        <v>0.0</v>
      </c>
      <c r="X157" s="581">
        <v>0.0</v>
      </c>
      <c r="Y157" s="581">
        <v>0.0</v>
      </c>
      <c r="Z157" s="581">
        <v>0.0</v>
      </c>
      <c r="AA157" s="581">
        <v>0.0</v>
      </c>
      <c r="AB157" s="581">
        <v>0.0</v>
      </c>
      <c r="AC157" s="581">
        <v>0.0</v>
      </c>
      <c r="AD157" s="581">
        <v>0.0</v>
      </c>
      <c r="AE157" s="587">
        <f t="array" ref="AE157">SUMPRODUCT(R157:AD157, {item_vals!$B$3, item_vals!$E$3:$N$3, item_vals!$C$3:$D$3})</f>
        <v>0</v>
      </c>
    </row>
    <row r="158" ht="15.75" customHeight="1">
      <c r="B158" s="666" t="s">
        <v>397</v>
      </c>
      <c r="C158" s="667"/>
      <c r="D158" s="667"/>
      <c r="E158" s="667"/>
      <c r="F158" s="667"/>
      <c r="G158" s="667"/>
      <c r="H158" s="667"/>
      <c r="I158" s="667"/>
      <c r="J158" s="667"/>
      <c r="K158" s="667"/>
      <c r="L158" s="667"/>
      <c r="M158" s="667"/>
      <c r="N158" s="667"/>
      <c r="O158" s="667"/>
      <c r="P158" s="578">
        <f t="array" ref="P158">SUMPRODUCT(C158:O158, {item_vals!$B$3, item_vals!$E$3:$N$3, item_vals!$C$3:$D$3})</f>
        <v>0</v>
      </c>
      <c r="Q158" s="579"/>
      <c r="R158" s="581">
        <v>0.0</v>
      </c>
      <c r="S158" s="581">
        <v>0.0</v>
      </c>
      <c r="T158" s="581">
        <v>0.0</v>
      </c>
      <c r="U158" s="581">
        <v>0.0</v>
      </c>
      <c r="V158" s="581">
        <v>0.0</v>
      </c>
      <c r="W158" s="581">
        <v>0.0</v>
      </c>
      <c r="X158" s="581">
        <v>0.0</v>
      </c>
      <c r="Y158" s="581">
        <v>0.0</v>
      </c>
      <c r="Z158" s="581">
        <v>0.0</v>
      </c>
      <c r="AA158" s="581">
        <v>0.0</v>
      </c>
      <c r="AB158" s="581">
        <v>0.0</v>
      </c>
      <c r="AC158" s="581">
        <v>0.0</v>
      </c>
      <c r="AD158" s="581">
        <v>0.0</v>
      </c>
      <c r="AE158" s="587">
        <f t="array" ref="AE158">SUMPRODUCT(R158:AD158, {item_vals!$B$3, item_vals!$E$3:$N$3, item_vals!$C$3:$D$3})</f>
        <v>0</v>
      </c>
    </row>
    <row r="159" ht="15.75" customHeight="1">
      <c r="B159" s="657" t="s">
        <v>398</v>
      </c>
      <c r="C159" s="658"/>
      <c r="D159" s="658"/>
      <c r="E159" s="658"/>
      <c r="F159" s="658"/>
      <c r="G159" s="658"/>
      <c r="H159" s="658"/>
      <c r="I159" s="658"/>
      <c r="J159" s="658"/>
      <c r="K159" s="658"/>
      <c r="L159" s="658"/>
      <c r="M159" s="658"/>
      <c r="N159" s="658"/>
      <c r="O159" s="658"/>
      <c r="P159" s="578">
        <f t="array" ref="P159">SUMPRODUCT(C159:O159, {item_vals!$B$3, item_vals!$E$3:$N$3, item_vals!$C$3:$D$3})</f>
        <v>0</v>
      </c>
      <c r="Q159" s="579"/>
      <c r="R159" s="581">
        <v>0.0</v>
      </c>
      <c r="S159" s="581">
        <v>0.0</v>
      </c>
      <c r="T159" s="581">
        <v>0.0</v>
      </c>
      <c r="U159" s="581">
        <v>0.0</v>
      </c>
      <c r="V159" s="581">
        <v>0.0</v>
      </c>
      <c r="W159" s="581">
        <v>0.0</v>
      </c>
      <c r="X159" s="581">
        <v>0.0</v>
      </c>
      <c r="Y159" s="581">
        <v>0.0</v>
      </c>
      <c r="Z159" s="581">
        <v>0.0</v>
      </c>
      <c r="AA159" s="581">
        <v>0.0</v>
      </c>
      <c r="AB159" s="581">
        <v>0.0</v>
      </c>
      <c r="AC159" s="581">
        <v>0.0</v>
      </c>
      <c r="AD159" s="581">
        <v>0.0</v>
      </c>
      <c r="AE159" s="587">
        <f t="array" ref="AE159">SUMPRODUCT(R159:AD159, {item_vals!$B$3, item_vals!$E$3:$N$3, item_vals!$C$3:$D$3})</f>
        <v>0</v>
      </c>
    </row>
    <row r="160" ht="15.75" customHeight="1">
      <c r="B160" s="657" t="s">
        <v>51</v>
      </c>
      <c r="C160" s="658"/>
      <c r="D160" s="658"/>
      <c r="E160" s="658"/>
      <c r="F160" s="658"/>
      <c r="G160" s="658"/>
      <c r="H160" s="658"/>
      <c r="I160" s="658"/>
      <c r="J160" s="658"/>
      <c r="K160" s="658"/>
      <c r="L160" s="658"/>
      <c r="M160" s="658"/>
      <c r="N160" s="658"/>
      <c r="O160" s="658"/>
      <c r="P160" s="578">
        <f t="array" ref="P160">SUMPRODUCT(C160:O160, {item_vals!$B$3, item_vals!$E$3:$N$3, item_vals!$C$3:$D$3})</f>
        <v>0</v>
      </c>
      <c r="Q160" s="579"/>
      <c r="R160" s="581">
        <v>0.0</v>
      </c>
      <c r="S160" s="581">
        <v>0.0</v>
      </c>
      <c r="T160" s="581">
        <v>0.0</v>
      </c>
      <c r="U160" s="581">
        <v>0.0</v>
      </c>
      <c r="V160" s="581">
        <v>0.0</v>
      </c>
      <c r="W160" s="581">
        <v>0.0</v>
      </c>
      <c r="X160" s="581">
        <v>0.0</v>
      </c>
      <c r="Y160" s="581">
        <v>0.0</v>
      </c>
      <c r="Z160" s="581">
        <v>0.0</v>
      </c>
      <c r="AA160" s="581">
        <v>0.0</v>
      </c>
      <c r="AB160" s="581">
        <v>0.0</v>
      </c>
      <c r="AC160" s="581">
        <v>0.0</v>
      </c>
      <c r="AD160" s="581">
        <v>0.0</v>
      </c>
      <c r="AE160" s="587">
        <f t="array" ref="AE160">SUMPRODUCT(R160:AD160, {item_vals!$B$3, item_vals!$E$3:$N$3, item_vals!$C$3:$D$3})</f>
        <v>0</v>
      </c>
    </row>
    <row r="161" ht="15.75" customHeight="1">
      <c r="B161" s="657" t="s">
        <v>9</v>
      </c>
      <c r="C161" s="658"/>
      <c r="D161" s="658"/>
      <c r="E161" s="658"/>
      <c r="F161" s="658"/>
      <c r="G161" s="658"/>
      <c r="H161" s="658"/>
      <c r="I161" s="658"/>
      <c r="J161" s="658"/>
      <c r="K161" s="658"/>
      <c r="L161" s="658"/>
      <c r="M161" s="658"/>
      <c r="N161" s="658"/>
      <c r="O161" s="658"/>
      <c r="P161" s="578">
        <f t="array" ref="P161">SUMPRODUCT(C161:O161, {item_vals!$B$3, item_vals!$E$3:$N$3, item_vals!$C$3:$D$3})</f>
        <v>0</v>
      </c>
      <c r="Q161" s="579"/>
      <c r="R161" s="581">
        <v>0.0</v>
      </c>
      <c r="S161" s="581">
        <v>0.0</v>
      </c>
      <c r="T161" s="581">
        <v>0.0</v>
      </c>
      <c r="U161" s="581">
        <v>0.0</v>
      </c>
      <c r="V161" s="581">
        <v>0.0</v>
      </c>
      <c r="W161" s="581">
        <v>0.0</v>
      </c>
      <c r="X161" s="581">
        <v>0.0</v>
      </c>
      <c r="Y161" s="581">
        <v>0.0</v>
      </c>
      <c r="Z161" s="581">
        <v>0.0</v>
      </c>
      <c r="AA161" s="581">
        <v>0.0</v>
      </c>
      <c r="AB161" s="581">
        <v>0.0</v>
      </c>
      <c r="AC161" s="581">
        <v>0.0</v>
      </c>
      <c r="AD161" s="581">
        <v>0.0</v>
      </c>
      <c r="AE161" s="587">
        <f t="array" ref="AE161">SUMPRODUCT(R161:AD161, {item_vals!$B$3, item_vals!$E$3:$N$3, item_vals!$C$3:$D$3})</f>
        <v>0</v>
      </c>
    </row>
    <row r="162" ht="15.75" customHeight="1">
      <c r="B162" s="657" t="s">
        <v>401</v>
      </c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578">
        <f t="array" ref="P162">SUMPRODUCT(C162:O162, {item_vals!$B$3, item_vals!$E$3:$N$3, item_vals!$C$3:$D$3})</f>
        <v>0</v>
      </c>
      <c r="Q162" s="579"/>
      <c r="R162" s="581">
        <v>0.0</v>
      </c>
      <c r="S162" s="581">
        <v>0.0</v>
      </c>
      <c r="T162" s="581">
        <v>0.0</v>
      </c>
      <c r="U162" s="581">
        <v>0.0</v>
      </c>
      <c r="V162" s="581">
        <v>0.0</v>
      </c>
      <c r="W162" s="581">
        <v>0.0</v>
      </c>
      <c r="X162" s="581">
        <v>0.0</v>
      </c>
      <c r="Y162" s="581">
        <v>0.0</v>
      </c>
      <c r="Z162" s="581">
        <v>0.0</v>
      </c>
      <c r="AA162" s="581">
        <v>0.0</v>
      </c>
      <c r="AB162" s="581">
        <v>0.0</v>
      </c>
      <c r="AC162" s="581">
        <v>0.0</v>
      </c>
      <c r="AD162" s="581">
        <v>0.0</v>
      </c>
      <c r="AE162" s="587">
        <f t="array" ref="AE162">SUMPRODUCT(R162:AD162, {item_vals!$B$3, item_vals!$E$3:$N$3, item_vals!$C$3:$D$3})</f>
        <v>0</v>
      </c>
    </row>
    <row r="163" ht="15.75" customHeight="1">
      <c r="B163" s="657" t="s">
        <v>7</v>
      </c>
      <c r="C163" s="658"/>
      <c r="D163" s="658"/>
      <c r="E163" s="658"/>
      <c r="F163" s="658"/>
      <c r="G163" s="658"/>
      <c r="H163" s="658"/>
      <c r="I163" s="658"/>
      <c r="J163" s="658"/>
      <c r="K163" s="658"/>
      <c r="L163" s="658"/>
      <c r="M163" s="658"/>
      <c r="N163" s="658"/>
      <c r="O163" s="658"/>
      <c r="P163" s="578">
        <f t="array" ref="P163">SUMPRODUCT(C163:O163, {item_vals!$B$3, item_vals!$E$3:$N$3, item_vals!$C$3:$D$3})</f>
        <v>0</v>
      </c>
      <c r="Q163" s="579"/>
      <c r="R163" s="581">
        <v>0.0</v>
      </c>
      <c r="S163" s="581">
        <v>0.0</v>
      </c>
      <c r="T163" s="581">
        <v>0.0</v>
      </c>
      <c r="U163" s="581">
        <v>0.0</v>
      </c>
      <c r="V163" s="581">
        <v>0.0</v>
      </c>
      <c r="W163" s="581">
        <v>0.0</v>
      </c>
      <c r="X163" s="581">
        <v>0.0</v>
      </c>
      <c r="Y163" s="581">
        <v>0.0</v>
      </c>
      <c r="Z163" s="581">
        <v>0.0</v>
      </c>
      <c r="AA163" s="581">
        <v>0.0</v>
      </c>
      <c r="AB163" s="581">
        <v>0.0</v>
      </c>
      <c r="AC163" s="581">
        <v>0.0</v>
      </c>
      <c r="AD163" s="581">
        <v>0.0</v>
      </c>
      <c r="AE163" s="587">
        <f t="array" ref="AE163">SUMPRODUCT(R163:AD163, {item_vals!$B$3, item_vals!$E$3:$N$3, item_vals!$C$3:$D$3})</f>
        <v>0</v>
      </c>
    </row>
    <row r="164" ht="15.75" customHeight="1">
      <c r="B164" s="657" t="s">
        <v>20</v>
      </c>
      <c r="C164" s="658"/>
      <c r="D164" s="658"/>
      <c r="E164" s="658"/>
      <c r="F164" s="658"/>
      <c r="G164" s="658"/>
      <c r="H164" s="658"/>
      <c r="I164" s="658"/>
      <c r="J164" s="658"/>
      <c r="K164" s="658"/>
      <c r="L164" s="658"/>
      <c r="M164" s="658"/>
      <c r="N164" s="658"/>
      <c r="O164" s="658"/>
      <c r="P164" s="578">
        <f t="array" ref="P164">SUMPRODUCT(C164:O164, {item_vals!$B$3, item_vals!$E$3:$N$3, item_vals!$C$3:$D$3})</f>
        <v>0</v>
      </c>
      <c r="Q164" s="579"/>
      <c r="R164" s="581">
        <v>0.0</v>
      </c>
      <c r="S164" s="581">
        <v>0.0</v>
      </c>
      <c r="T164" s="581">
        <v>0.0</v>
      </c>
      <c r="U164" s="581">
        <v>0.0</v>
      </c>
      <c r="V164" s="581">
        <v>0.0</v>
      </c>
      <c r="W164" s="581">
        <v>0.0</v>
      </c>
      <c r="X164" s="581">
        <v>0.0</v>
      </c>
      <c r="Y164" s="581">
        <v>0.0</v>
      </c>
      <c r="Z164" s="581">
        <v>0.0</v>
      </c>
      <c r="AA164" s="581">
        <v>0.0</v>
      </c>
      <c r="AB164" s="581">
        <v>0.0</v>
      </c>
      <c r="AC164" s="581">
        <v>0.0</v>
      </c>
      <c r="AD164" s="581">
        <v>0.0</v>
      </c>
      <c r="AE164" s="587">
        <f t="array" ref="AE164">SUMPRODUCT(R164:AD164, {item_vals!$B$3, item_vals!$E$3:$N$3, item_vals!$C$3:$D$3})</f>
        <v>0</v>
      </c>
    </row>
    <row r="165" ht="15.75" customHeight="1">
      <c r="B165" s="657" t="s">
        <v>411</v>
      </c>
      <c r="C165" s="658"/>
      <c r="D165" s="658"/>
      <c r="E165" s="658"/>
      <c r="F165" s="658"/>
      <c r="G165" s="658"/>
      <c r="H165" s="658"/>
      <c r="I165" s="658"/>
      <c r="J165" s="658"/>
      <c r="K165" s="658"/>
      <c r="L165" s="658"/>
      <c r="M165" s="658"/>
      <c r="N165" s="658"/>
      <c r="O165" s="658"/>
      <c r="P165" s="578">
        <f t="array" ref="P165">SUMPRODUCT(C165:O165, {item_vals!$B$3, item_vals!$E$3:$N$3, item_vals!$C$3:$D$3})</f>
        <v>0</v>
      </c>
      <c r="Q165" s="579"/>
      <c r="R165" s="581">
        <v>0.0</v>
      </c>
      <c r="S165" s="581">
        <v>0.0</v>
      </c>
      <c r="T165" s="581">
        <v>0.0</v>
      </c>
      <c r="U165" s="581">
        <v>0.0</v>
      </c>
      <c r="V165" s="581">
        <v>0.0</v>
      </c>
      <c r="W165" s="581">
        <v>0.0</v>
      </c>
      <c r="X165" s="581">
        <v>0.0</v>
      </c>
      <c r="Y165" s="581">
        <v>0.0</v>
      </c>
      <c r="Z165" s="581">
        <v>0.0</v>
      </c>
      <c r="AA165" s="581">
        <v>0.0</v>
      </c>
      <c r="AB165" s="581">
        <v>0.0</v>
      </c>
      <c r="AC165" s="581">
        <v>0.0</v>
      </c>
      <c r="AD165" s="581">
        <v>0.0</v>
      </c>
      <c r="AE165" s="587">
        <f t="array" ref="AE165">SUMPRODUCT(R165:AD165, {item_vals!$B$3, item_vals!$E$3:$N$3, item_vals!$C$3:$D$3})</f>
        <v>0</v>
      </c>
    </row>
    <row r="166" ht="15.75" customHeight="1">
      <c r="B166" s="657" t="s">
        <v>73</v>
      </c>
      <c r="C166" s="658"/>
      <c r="D166" s="658"/>
      <c r="E166" s="658"/>
      <c r="F166" s="658"/>
      <c r="G166" s="658"/>
      <c r="H166" s="658"/>
      <c r="I166" s="658"/>
      <c r="J166" s="658"/>
      <c r="K166" s="658"/>
      <c r="L166" s="658"/>
      <c r="M166" s="658"/>
      <c r="N166" s="658"/>
      <c r="O166" s="658"/>
      <c r="P166" s="578">
        <f t="array" ref="P166">SUMPRODUCT(C166:O166, {item_vals!$B$3, item_vals!$E$3:$N$3, item_vals!$C$3:$D$3})</f>
        <v>0</v>
      </c>
      <c r="Q166" s="579"/>
      <c r="R166" s="581">
        <v>0.0</v>
      </c>
      <c r="S166" s="581">
        <v>0.0</v>
      </c>
      <c r="T166" s="581">
        <v>0.0</v>
      </c>
      <c r="U166" s="581">
        <v>0.0</v>
      </c>
      <c r="V166" s="581">
        <v>0.0</v>
      </c>
      <c r="W166" s="581">
        <v>0.0</v>
      </c>
      <c r="X166" s="581">
        <v>0.0</v>
      </c>
      <c r="Y166" s="581">
        <v>0.0</v>
      </c>
      <c r="Z166" s="581">
        <v>0.0</v>
      </c>
      <c r="AA166" s="581">
        <v>0.0</v>
      </c>
      <c r="AB166" s="581">
        <v>0.0</v>
      </c>
      <c r="AC166" s="581">
        <v>0.0</v>
      </c>
      <c r="AD166" s="581">
        <v>0.0</v>
      </c>
      <c r="AE166" s="587">
        <f t="array" ref="AE166">SUMPRODUCT(R166:AD166, {item_vals!$B$3, item_vals!$E$3:$N$3, item_vals!$C$3:$D$3})</f>
        <v>0</v>
      </c>
    </row>
    <row r="167" ht="15.75" customHeight="1">
      <c r="B167" s="657" t="s">
        <v>329</v>
      </c>
      <c r="C167" s="658"/>
      <c r="D167" s="658"/>
      <c r="E167" s="658"/>
      <c r="F167" s="658"/>
      <c r="G167" s="658"/>
      <c r="H167" s="658"/>
      <c r="I167" s="658"/>
      <c r="J167" s="658"/>
      <c r="K167" s="658"/>
      <c r="L167" s="658"/>
      <c r="M167" s="658"/>
      <c r="N167" s="658"/>
      <c r="O167" s="658"/>
      <c r="P167" s="578">
        <f t="array" ref="P167">SUMPRODUCT(C167:O167, {item_vals!$B$3, item_vals!$E$3:$N$3, item_vals!$C$3:$D$3})</f>
        <v>0</v>
      </c>
      <c r="Q167" s="579"/>
      <c r="R167" s="581">
        <v>0.0</v>
      </c>
      <c r="S167" s="581">
        <v>0.0</v>
      </c>
      <c r="T167" s="581">
        <v>0.0</v>
      </c>
      <c r="U167" s="581">
        <v>0.0</v>
      </c>
      <c r="V167" s="581">
        <v>0.0</v>
      </c>
      <c r="W167" s="581">
        <v>0.0</v>
      </c>
      <c r="X167" s="581">
        <v>0.0</v>
      </c>
      <c r="Y167" s="581">
        <v>0.0</v>
      </c>
      <c r="Z167" s="581">
        <v>0.0</v>
      </c>
      <c r="AA167" s="581">
        <v>0.0</v>
      </c>
      <c r="AB167" s="581">
        <v>0.0</v>
      </c>
      <c r="AC167" s="581">
        <v>0.0</v>
      </c>
      <c r="AD167" s="581">
        <v>0.0</v>
      </c>
      <c r="AE167" s="587">
        <f t="array" ref="AE167">SUMPRODUCT(R167:AD167, {item_vals!$B$3, item_vals!$E$3:$N$3, item_vals!$C$3:$D$3})</f>
        <v>0</v>
      </c>
    </row>
    <row r="168" ht="15.75" customHeight="1">
      <c r="B168" s="668" t="s">
        <v>151</v>
      </c>
      <c r="C168" s="667"/>
      <c r="D168" s="667"/>
      <c r="E168" s="667"/>
      <c r="F168" s="667"/>
      <c r="G168" s="667"/>
      <c r="H168" s="667"/>
      <c r="I168" s="667"/>
      <c r="J168" s="667"/>
      <c r="K168" s="667"/>
      <c r="L168" s="667"/>
      <c r="M168" s="667"/>
      <c r="N168" s="667"/>
      <c r="O168" s="667"/>
      <c r="P168" s="578">
        <f t="array" ref="P168">SUMPRODUCT(C168:O168, {item_vals!$B$3, item_vals!$E$3:$N$3, item_vals!$C$3:$D$3})</f>
        <v>0</v>
      </c>
      <c r="Q168" s="579"/>
      <c r="R168" s="581">
        <v>0.0</v>
      </c>
      <c r="S168" s="581">
        <v>0.0</v>
      </c>
      <c r="T168" s="581">
        <v>0.0</v>
      </c>
      <c r="U168" s="581">
        <v>0.0</v>
      </c>
      <c r="V168" s="581">
        <v>0.0</v>
      </c>
      <c r="W168" s="581">
        <v>0.0</v>
      </c>
      <c r="X168" s="581">
        <v>0.0</v>
      </c>
      <c r="Y168" s="581">
        <v>0.0</v>
      </c>
      <c r="Z168" s="581">
        <v>0.0</v>
      </c>
      <c r="AA168" s="581">
        <v>0.0</v>
      </c>
      <c r="AB168" s="581">
        <v>0.0</v>
      </c>
      <c r="AC168" s="581">
        <v>0.0</v>
      </c>
      <c r="AD168" s="581">
        <v>0.0</v>
      </c>
      <c r="AE168" s="587">
        <f t="array" ref="AE168">SUMPRODUCT(R168:AD168, {item_vals!$B$3, item_vals!$E$3:$N$3, item_vals!$C$3:$D$3})</f>
        <v>0</v>
      </c>
    </row>
    <row r="169" ht="15.75" customHeight="1">
      <c r="B169" s="666" t="s">
        <v>418</v>
      </c>
      <c r="C169" s="667"/>
      <c r="D169" s="667"/>
      <c r="E169" s="667"/>
      <c r="F169" s="667"/>
      <c r="G169" s="667"/>
      <c r="H169" s="667"/>
      <c r="I169" s="667"/>
      <c r="J169" s="667"/>
      <c r="K169" s="667"/>
      <c r="L169" s="667"/>
      <c r="M169" s="667"/>
      <c r="N169" s="667"/>
      <c r="O169" s="667"/>
      <c r="P169" s="578">
        <f t="array" ref="P169">SUMPRODUCT(C169:O169, {item_vals!$B$3, item_vals!$E$3:$N$3, item_vals!$C$3:$D$3})</f>
        <v>0</v>
      </c>
      <c r="Q169" s="579"/>
      <c r="R169" s="581">
        <v>0.0</v>
      </c>
      <c r="S169" s="581">
        <v>0.0</v>
      </c>
      <c r="T169" s="581">
        <v>0.0</v>
      </c>
      <c r="U169" s="581">
        <v>0.0</v>
      </c>
      <c r="V169" s="581">
        <v>0.0</v>
      </c>
      <c r="W169" s="581">
        <v>0.0</v>
      </c>
      <c r="X169" s="581">
        <v>0.0</v>
      </c>
      <c r="Y169" s="581">
        <v>0.0</v>
      </c>
      <c r="Z169" s="581">
        <v>0.0</v>
      </c>
      <c r="AA169" s="581">
        <v>0.0</v>
      </c>
      <c r="AB169" s="581">
        <v>0.0</v>
      </c>
      <c r="AC169" s="581">
        <v>0.0</v>
      </c>
      <c r="AD169" s="581">
        <v>0.0</v>
      </c>
      <c r="AE169" s="587">
        <f t="array" ref="AE169">SUMPRODUCT(R169:AD169, {item_vals!$B$3, item_vals!$E$3:$N$3, item_vals!$C$3:$D$3})</f>
        <v>0</v>
      </c>
    </row>
    <row r="170" ht="15.75" customHeight="1">
      <c r="B170" s="657" t="s">
        <v>413</v>
      </c>
      <c r="C170" s="658"/>
      <c r="D170" s="658"/>
      <c r="E170" s="658"/>
      <c r="F170" s="658"/>
      <c r="G170" s="658"/>
      <c r="H170" s="658"/>
      <c r="I170" s="658"/>
      <c r="J170" s="658"/>
      <c r="K170" s="658"/>
      <c r="L170" s="658"/>
      <c r="M170" s="658"/>
      <c r="N170" s="658"/>
      <c r="O170" s="658"/>
      <c r="P170" s="578">
        <f t="array" ref="P170">SUMPRODUCT(C170:O170, {item_vals!$B$3, item_vals!$E$3:$N$3, item_vals!$C$3:$D$3})</f>
        <v>0</v>
      </c>
      <c r="Q170" s="579"/>
      <c r="R170" s="581">
        <v>0.0</v>
      </c>
      <c r="S170" s="581">
        <v>0.0</v>
      </c>
      <c r="T170" s="581">
        <v>0.0</v>
      </c>
      <c r="U170" s="581">
        <v>0.0</v>
      </c>
      <c r="V170" s="581">
        <v>0.0</v>
      </c>
      <c r="W170" s="581">
        <v>0.0</v>
      </c>
      <c r="X170" s="581">
        <v>0.0</v>
      </c>
      <c r="Y170" s="581">
        <v>0.0</v>
      </c>
      <c r="Z170" s="581">
        <v>0.0</v>
      </c>
      <c r="AA170" s="581">
        <v>0.0</v>
      </c>
      <c r="AB170" s="581">
        <v>0.0</v>
      </c>
      <c r="AC170" s="581">
        <v>0.0</v>
      </c>
      <c r="AD170" s="581">
        <v>0.0</v>
      </c>
      <c r="AE170" s="587">
        <f t="array" ref="AE170">SUMPRODUCT(R170:AD170, {item_vals!$B$3, item_vals!$E$3:$N$3, item_vals!$C$3:$D$3})</f>
        <v>0</v>
      </c>
    </row>
    <row r="171" ht="15.75" customHeight="1">
      <c r="B171" s="657" t="s">
        <v>63</v>
      </c>
      <c r="C171" s="658"/>
      <c r="D171" s="658"/>
      <c r="E171" s="658"/>
      <c r="F171" s="658"/>
      <c r="G171" s="658"/>
      <c r="H171" s="658"/>
      <c r="I171" s="658"/>
      <c r="J171" s="658"/>
      <c r="K171" s="658"/>
      <c r="L171" s="658"/>
      <c r="M171" s="658"/>
      <c r="N171" s="658"/>
      <c r="O171" s="658"/>
      <c r="P171" s="578">
        <f t="array" ref="P171">SUMPRODUCT(C171:O171, {item_vals!$B$3, item_vals!$E$3:$N$3, item_vals!$C$3:$D$3})</f>
        <v>0</v>
      </c>
      <c r="Q171" s="579"/>
      <c r="R171" s="581">
        <v>0.0</v>
      </c>
      <c r="S171" s="581">
        <v>0.0</v>
      </c>
      <c r="T171" s="581">
        <v>0.0</v>
      </c>
      <c r="U171" s="581">
        <v>0.0</v>
      </c>
      <c r="V171" s="581">
        <v>0.0</v>
      </c>
      <c r="W171" s="581">
        <v>0.0</v>
      </c>
      <c r="X171" s="581">
        <v>0.0</v>
      </c>
      <c r="Y171" s="581">
        <v>0.0</v>
      </c>
      <c r="Z171" s="581">
        <v>0.0</v>
      </c>
      <c r="AA171" s="581">
        <v>0.0</v>
      </c>
      <c r="AB171" s="581">
        <v>0.0</v>
      </c>
      <c r="AC171" s="581">
        <v>0.0</v>
      </c>
      <c r="AD171" s="581">
        <v>0.0</v>
      </c>
      <c r="AE171" s="587">
        <f t="array" ref="AE171">SUMPRODUCT(R171:AD171, {item_vals!$B$3, item_vals!$E$3:$N$3, item_vals!$C$3:$D$3})</f>
        <v>0</v>
      </c>
    </row>
    <row r="172" ht="15.75" customHeight="1">
      <c r="B172" s="657" t="s">
        <v>15</v>
      </c>
      <c r="C172" s="658"/>
      <c r="D172" s="658"/>
      <c r="E172" s="658"/>
      <c r="F172" s="658"/>
      <c r="G172" s="658"/>
      <c r="H172" s="658"/>
      <c r="I172" s="658"/>
      <c r="J172" s="658"/>
      <c r="K172" s="658"/>
      <c r="L172" s="658"/>
      <c r="M172" s="658"/>
      <c r="N172" s="658"/>
      <c r="O172" s="658"/>
      <c r="P172" s="578">
        <f t="array" ref="P172">SUMPRODUCT(C172:O172, {item_vals!$B$3, item_vals!$E$3:$N$3, item_vals!$C$3:$D$3})</f>
        <v>0</v>
      </c>
      <c r="Q172" s="579"/>
      <c r="R172" s="581">
        <v>0.0</v>
      </c>
      <c r="S172" s="581">
        <v>0.0</v>
      </c>
      <c r="T172" s="581">
        <v>0.0</v>
      </c>
      <c r="U172" s="581">
        <v>0.0</v>
      </c>
      <c r="V172" s="581">
        <v>0.0</v>
      </c>
      <c r="W172" s="581">
        <v>0.0</v>
      </c>
      <c r="X172" s="581">
        <v>0.0</v>
      </c>
      <c r="Y172" s="581">
        <v>0.0</v>
      </c>
      <c r="Z172" s="581">
        <v>0.0</v>
      </c>
      <c r="AA172" s="581">
        <v>0.0</v>
      </c>
      <c r="AB172" s="581">
        <v>0.0</v>
      </c>
      <c r="AC172" s="581">
        <v>0.0</v>
      </c>
      <c r="AD172" s="581">
        <v>0.0</v>
      </c>
      <c r="AE172" s="587">
        <f t="array" ref="AE172">SUMPRODUCT(R172:AD172, {item_vals!$B$3, item_vals!$E$3:$N$3, item_vals!$C$3:$D$3})</f>
        <v>0</v>
      </c>
    </row>
    <row r="173" ht="15.75" customHeight="1">
      <c r="B173" s="657" t="s">
        <v>16</v>
      </c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8"/>
      <c r="P173" s="578">
        <f t="array" ref="P173">SUMPRODUCT(C173:O173, {item_vals!$B$3, item_vals!$E$3:$N$3, item_vals!$C$3:$D$3})</f>
        <v>0</v>
      </c>
      <c r="Q173" s="579"/>
      <c r="R173" s="581">
        <v>0.0</v>
      </c>
      <c r="S173" s="581">
        <v>0.0</v>
      </c>
      <c r="T173" s="581">
        <v>0.0</v>
      </c>
      <c r="U173" s="581">
        <v>0.0</v>
      </c>
      <c r="V173" s="581">
        <v>0.0</v>
      </c>
      <c r="W173" s="581">
        <v>0.0</v>
      </c>
      <c r="X173" s="581">
        <v>0.0</v>
      </c>
      <c r="Y173" s="581">
        <v>0.0</v>
      </c>
      <c r="Z173" s="581">
        <v>0.0</v>
      </c>
      <c r="AA173" s="581">
        <v>0.0</v>
      </c>
      <c r="AB173" s="581">
        <v>0.0</v>
      </c>
      <c r="AC173" s="581">
        <v>0.0</v>
      </c>
      <c r="AD173" s="581">
        <v>0.0</v>
      </c>
      <c r="AE173" s="587">
        <f t="array" ref="AE173">SUMPRODUCT(R173:AD173, {item_vals!$B$3, item_vals!$E$3:$N$3, item_vals!$C$3:$D$3})</f>
        <v>0</v>
      </c>
    </row>
    <row r="174" ht="15.75" customHeight="1">
      <c r="B174" s="657" t="s">
        <v>42</v>
      </c>
      <c r="C174" s="658"/>
      <c r="D174" s="658"/>
      <c r="E174" s="658"/>
      <c r="F174" s="658"/>
      <c r="G174" s="658"/>
      <c r="H174" s="658"/>
      <c r="I174" s="658"/>
      <c r="J174" s="658"/>
      <c r="K174" s="658"/>
      <c r="L174" s="658"/>
      <c r="M174" s="658"/>
      <c r="N174" s="658"/>
      <c r="O174" s="658"/>
      <c r="P174" s="578">
        <f t="array" ref="P174">SUMPRODUCT(C174:O174, {item_vals!$B$3, item_vals!$E$3:$N$3, item_vals!$C$3:$D$3})</f>
        <v>0</v>
      </c>
      <c r="Q174" s="579"/>
      <c r="R174" s="581">
        <v>0.0</v>
      </c>
      <c r="S174" s="581">
        <v>0.0</v>
      </c>
      <c r="T174" s="581">
        <v>0.0</v>
      </c>
      <c r="U174" s="581">
        <v>0.0</v>
      </c>
      <c r="V174" s="581">
        <v>0.0</v>
      </c>
      <c r="W174" s="581">
        <v>0.0</v>
      </c>
      <c r="X174" s="581">
        <v>0.0</v>
      </c>
      <c r="Y174" s="581">
        <v>0.0</v>
      </c>
      <c r="Z174" s="581">
        <v>0.0</v>
      </c>
      <c r="AA174" s="581">
        <v>0.0</v>
      </c>
      <c r="AB174" s="581">
        <v>0.0</v>
      </c>
      <c r="AC174" s="581">
        <v>0.0</v>
      </c>
      <c r="AD174" s="581">
        <v>0.0</v>
      </c>
      <c r="AE174" s="587">
        <f t="array" ref="AE174">SUMPRODUCT(R174:AD174, {item_vals!$B$3, item_vals!$E$3:$N$3, item_vals!$C$3:$D$3})</f>
        <v>0</v>
      </c>
    </row>
    <row r="175" ht="15.75" customHeight="1">
      <c r="B175" s="657" t="s">
        <v>414</v>
      </c>
      <c r="C175" s="658"/>
      <c r="D175" s="658"/>
      <c r="E175" s="658"/>
      <c r="F175" s="658"/>
      <c r="G175" s="658"/>
      <c r="H175" s="658"/>
      <c r="I175" s="658"/>
      <c r="J175" s="658"/>
      <c r="K175" s="658"/>
      <c r="L175" s="658"/>
      <c r="M175" s="658"/>
      <c r="N175" s="658"/>
      <c r="O175" s="658"/>
      <c r="P175" s="578">
        <f t="array" ref="P175">SUMPRODUCT(C175:O175, {item_vals!$B$3, item_vals!$E$3:$N$3, item_vals!$C$3:$D$3})</f>
        <v>0</v>
      </c>
      <c r="Q175" s="579"/>
      <c r="R175" s="581">
        <v>0.0</v>
      </c>
      <c r="S175" s="581">
        <v>0.0</v>
      </c>
      <c r="T175" s="581">
        <v>0.0</v>
      </c>
      <c r="U175" s="581">
        <v>0.0</v>
      </c>
      <c r="V175" s="581">
        <v>0.0</v>
      </c>
      <c r="W175" s="581">
        <v>0.0</v>
      </c>
      <c r="X175" s="581">
        <v>0.0</v>
      </c>
      <c r="Y175" s="581">
        <v>0.0</v>
      </c>
      <c r="Z175" s="581">
        <v>0.0</v>
      </c>
      <c r="AA175" s="581">
        <v>0.0</v>
      </c>
      <c r="AB175" s="581">
        <v>0.0</v>
      </c>
      <c r="AC175" s="581">
        <v>0.0</v>
      </c>
      <c r="AD175" s="581">
        <v>0.0</v>
      </c>
      <c r="AE175" s="587">
        <f t="array" ref="AE175">SUMPRODUCT(R175:AD175, {item_vals!$B$3, item_vals!$E$3:$N$3, item_vals!$C$3:$D$3})</f>
        <v>0</v>
      </c>
    </row>
    <row r="176" ht="15.75" customHeight="1">
      <c r="B176" s="657" t="s">
        <v>14</v>
      </c>
      <c r="C176" s="658"/>
      <c r="D176" s="658"/>
      <c r="E176" s="658"/>
      <c r="F176" s="658"/>
      <c r="G176" s="658"/>
      <c r="H176" s="658"/>
      <c r="I176" s="658"/>
      <c r="J176" s="658"/>
      <c r="K176" s="658"/>
      <c r="L176" s="658"/>
      <c r="M176" s="658"/>
      <c r="N176" s="658"/>
      <c r="O176" s="658"/>
      <c r="P176" s="578">
        <f t="array" ref="P176">SUMPRODUCT(C176:O176, {item_vals!$B$3, item_vals!$E$3:$N$3, item_vals!$C$3:$D$3})</f>
        <v>0</v>
      </c>
      <c r="Q176" s="579"/>
      <c r="R176" s="581">
        <v>0.0</v>
      </c>
      <c r="S176" s="581">
        <v>0.0</v>
      </c>
      <c r="T176" s="581">
        <v>0.0</v>
      </c>
      <c r="U176" s="581">
        <v>0.0</v>
      </c>
      <c r="V176" s="581">
        <v>0.0</v>
      </c>
      <c r="W176" s="581">
        <v>0.0</v>
      </c>
      <c r="X176" s="581">
        <v>0.0</v>
      </c>
      <c r="Y176" s="581">
        <v>0.0</v>
      </c>
      <c r="Z176" s="581">
        <v>0.0</v>
      </c>
      <c r="AA176" s="581">
        <v>0.0</v>
      </c>
      <c r="AB176" s="581">
        <v>0.0</v>
      </c>
      <c r="AC176" s="581">
        <v>0.0</v>
      </c>
      <c r="AD176" s="581">
        <v>0.0</v>
      </c>
      <c r="AE176" s="587">
        <f t="array" ref="AE176">SUMPRODUCT(R176:AD176, {item_vals!$B$3, item_vals!$E$3:$N$3, item_vals!$C$3:$D$3})</f>
        <v>0</v>
      </c>
    </row>
    <row r="177" ht="15.75" customHeight="1">
      <c r="B177" s="657" t="s">
        <v>415</v>
      </c>
      <c r="C177" s="658"/>
      <c r="D177" s="658"/>
      <c r="E177" s="658"/>
      <c r="F177" s="658"/>
      <c r="G177" s="658"/>
      <c r="H177" s="658"/>
      <c r="I177" s="658"/>
      <c r="J177" s="658"/>
      <c r="K177" s="658"/>
      <c r="L177" s="658"/>
      <c r="M177" s="658"/>
      <c r="N177" s="658"/>
      <c r="O177" s="658"/>
      <c r="P177" s="578">
        <f t="array" ref="P177">SUMPRODUCT(C177:O177, {item_vals!$B$3, item_vals!$E$3:$N$3, item_vals!$C$3:$D$3})</f>
        <v>0</v>
      </c>
      <c r="Q177" s="579"/>
      <c r="R177" s="581">
        <v>0.0</v>
      </c>
      <c r="S177" s="581">
        <v>0.0</v>
      </c>
      <c r="T177" s="581">
        <v>0.0</v>
      </c>
      <c r="U177" s="581">
        <v>0.0</v>
      </c>
      <c r="V177" s="581">
        <v>0.0</v>
      </c>
      <c r="W177" s="581">
        <v>0.0</v>
      </c>
      <c r="X177" s="581">
        <v>0.0</v>
      </c>
      <c r="Y177" s="581">
        <v>0.0</v>
      </c>
      <c r="Z177" s="581">
        <v>0.0</v>
      </c>
      <c r="AA177" s="581">
        <v>0.0</v>
      </c>
      <c r="AB177" s="581">
        <v>0.0</v>
      </c>
      <c r="AC177" s="581">
        <v>0.0</v>
      </c>
      <c r="AD177" s="581">
        <v>0.0</v>
      </c>
      <c r="AE177" s="587">
        <f t="array" ref="AE177">SUMPRODUCT(R177:AD177, {item_vals!$B$3, item_vals!$E$3:$N$3, item_vals!$C$3:$D$3})</f>
        <v>0</v>
      </c>
    </row>
    <row r="178" ht="15.75" customHeight="1">
      <c r="B178" s="328"/>
      <c r="C178" s="328"/>
      <c r="D178" s="328"/>
      <c r="E178" s="328"/>
      <c r="F178" s="328"/>
      <c r="G178" s="328"/>
      <c r="H178" s="328"/>
      <c r="I178" s="328"/>
      <c r="J178" s="328"/>
      <c r="K178" s="328"/>
      <c r="L178" s="328"/>
      <c r="M178" s="328"/>
      <c r="R178" s="328"/>
      <c r="S178" s="328"/>
      <c r="T178" s="328"/>
      <c r="U178" s="328"/>
      <c r="V178" s="328"/>
      <c r="W178" s="328"/>
      <c r="X178" s="328"/>
      <c r="Y178" s="328"/>
      <c r="Z178" s="328"/>
      <c r="AA178" s="328"/>
      <c r="AB178" s="328"/>
    </row>
    <row r="179" ht="15.75" customHeight="1">
      <c r="B179" s="328"/>
      <c r="C179" s="328"/>
      <c r="D179" s="328"/>
      <c r="E179" s="328"/>
      <c r="F179" s="328"/>
      <c r="G179" s="328"/>
      <c r="H179" s="328"/>
      <c r="I179" s="328"/>
      <c r="J179" s="328"/>
      <c r="K179" s="328"/>
      <c r="L179" s="328"/>
      <c r="M179" s="328"/>
      <c r="R179" s="328"/>
      <c r="S179" s="328"/>
      <c r="T179" s="328"/>
      <c r="U179" s="328"/>
      <c r="V179" s="328"/>
      <c r="W179" s="328"/>
      <c r="X179" s="328"/>
      <c r="Y179" s="328"/>
      <c r="Z179" s="328"/>
      <c r="AA179" s="328"/>
      <c r="AB179" s="328"/>
    </row>
    <row r="180" ht="15.75" customHeight="1">
      <c r="B180" s="328"/>
      <c r="C180" s="328"/>
      <c r="D180" s="328"/>
      <c r="E180" s="328"/>
      <c r="F180" s="328"/>
      <c r="G180" s="328"/>
      <c r="H180" s="328"/>
      <c r="I180" s="328"/>
      <c r="J180" s="328"/>
      <c r="K180" s="328"/>
      <c r="L180" s="328"/>
      <c r="M180" s="328"/>
      <c r="R180" s="328"/>
      <c r="S180" s="328"/>
      <c r="T180" s="328"/>
      <c r="U180" s="328"/>
      <c r="V180" s="328"/>
      <c r="W180" s="328"/>
      <c r="X180" s="328"/>
      <c r="Y180" s="328"/>
      <c r="Z180" s="328"/>
      <c r="AA180" s="328"/>
      <c r="AB180" s="328"/>
    </row>
    <row r="181" ht="15.75" hidden="1" customHeight="1">
      <c r="B181" s="383" t="s">
        <v>2255</v>
      </c>
      <c r="C181" s="328"/>
      <c r="D181" s="328"/>
      <c r="E181" s="328"/>
      <c r="F181" s="328"/>
      <c r="G181" s="328"/>
      <c r="H181" s="328"/>
      <c r="I181" s="328"/>
      <c r="J181" s="328"/>
      <c r="K181" s="328"/>
      <c r="L181" s="328"/>
      <c r="M181" s="328"/>
      <c r="R181" s="328"/>
      <c r="S181" s="328"/>
      <c r="T181" s="328"/>
      <c r="U181" s="328"/>
      <c r="V181" s="328"/>
      <c r="W181" s="328"/>
      <c r="X181" s="328"/>
      <c r="Y181" s="328"/>
      <c r="Z181" s="328"/>
      <c r="AA181" s="328"/>
      <c r="AB181" s="328"/>
    </row>
    <row r="182" ht="15.75" hidden="1" customHeight="1">
      <c r="B182" s="547" t="s">
        <v>2256</v>
      </c>
      <c r="C182" s="328"/>
      <c r="D182" s="328"/>
      <c r="E182" s="328"/>
      <c r="F182" s="328"/>
      <c r="G182" s="328"/>
      <c r="H182" s="328"/>
      <c r="I182" s="328"/>
      <c r="J182" s="328"/>
      <c r="K182" s="328"/>
      <c r="L182" s="328"/>
      <c r="M182" s="328"/>
      <c r="R182" s="328"/>
      <c r="S182" s="328"/>
      <c r="T182" s="328"/>
      <c r="U182" s="328"/>
      <c r="V182" s="328"/>
      <c r="W182" s="328"/>
      <c r="X182" s="328"/>
      <c r="Y182" s="328"/>
      <c r="Z182" s="328"/>
      <c r="AA182" s="328"/>
      <c r="AB182" s="328"/>
    </row>
    <row r="183" ht="15.75" hidden="1" customHeight="1">
      <c r="B183" s="547" t="s">
        <v>2257</v>
      </c>
      <c r="C183" s="328"/>
      <c r="D183" s="328"/>
      <c r="E183" s="328"/>
      <c r="F183" s="328"/>
      <c r="G183" s="328"/>
      <c r="H183" s="328"/>
      <c r="I183" s="328"/>
      <c r="J183" s="328"/>
      <c r="K183" s="328"/>
      <c r="L183" s="328"/>
      <c r="M183" s="328"/>
      <c r="R183" s="328"/>
      <c r="S183" s="328"/>
      <c r="T183" s="328"/>
      <c r="U183" s="328"/>
      <c r="V183" s="328"/>
      <c r="W183" s="328"/>
      <c r="X183" s="328"/>
      <c r="Y183" s="328"/>
      <c r="Z183" s="328"/>
      <c r="AA183" s="328"/>
      <c r="AB183" s="328"/>
    </row>
    <row r="184" ht="15.75" hidden="1" customHeight="1">
      <c r="B184" s="547" t="s">
        <v>2258</v>
      </c>
      <c r="C184" s="328"/>
      <c r="D184" s="328"/>
      <c r="E184" s="328"/>
      <c r="F184" s="328"/>
      <c r="G184" s="328"/>
      <c r="H184" s="328"/>
      <c r="I184" s="328"/>
      <c r="J184" s="328"/>
      <c r="K184" s="328"/>
      <c r="L184" s="328"/>
      <c r="M184" s="328"/>
      <c r="R184" s="328"/>
      <c r="S184" s="328"/>
      <c r="T184" s="328"/>
      <c r="U184" s="328"/>
      <c r="V184" s="328"/>
      <c r="W184" s="328"/>
      <c r="X184" s="328"/>
      <c r="Y184" s="328"/>
      <c r="Z184" s="328"/>
      <c r="AA184" s="328"/>
      <c r="AB184" s="328"/>
    </row>
    <row r="185" ht="15.75" hidden="1" customHeight="1">
      <c r="B185" s="610" t="s">
        <v>2259</v>
      </c>
      <c r="C185" s="328"/>
      <c r="D185" s="328"/>
      <c r="E185" s="328"/>
      <c r="F185" s="328"/>
      <c r="G185" s="328"/>
      <c r="H185" s="328"/>
      <c r="I185" s="328"/>
      <c r="J185" s="328"/>
      <c r="K185" s="328"/>
      <c r="L185" s="328"/>
      <c r="M185" s="328"/>
      <c r="R185" s="328"/>
      <c r="S185" s="328"/>
      <c r="T185" s="328"/>
      <c r="U185" s="328"/>
      <c r="V185" s="328"/>
      <c r="W185" s="328"/>
      <c r="X185" s="328"/>
      <c r="Y185" s="328"/>
      <c r="Z185" s="328"/>
      <c r="AA185" s="328"/>
      <c r="AB185" s="328"/>
    </row>
    <row r="186" ht="15.75" hidden="1" customHeight="1">
      <c r="B186" s="610" t="s">
        <v>2260</v>
      </c>
      <c r="C186" s="328"/>
      <c r="D186" s="328"/>
      <c r="E186" s="328"/>
      <c r="F186" s="328"/>
      <c r="G186" s="328"/>
      <c r="H186" s="328"/>
      <c r="I186" s="328"/>
      <c r="J186" s="328"/>
      <c r="K186" s="328"/>
      <c r="L186" s="328"/>
      <c r="M186" s="328"/>
      <c r="R186" s="328"/>
      <c r="S186" s="328"/>
      <c r="T186" s="328"/>
      <c r="U186" s="328"/>
      <c r="V186" s="328"/>
      <c r="W186" s="328"/>
      <c r="X186" s="328"/>
      <c r="Y186" s="328"/>
      <c r="Z186" s="328"/>
      <c r="AA186" s="328"/>
      <c r="AB186" s="328"/>
    </row>
    <row r="187" ht="15.75" hidden="1" customHeight="1">
      <c r="B187" s="610" t="s">
        <v>2261</v>
      </c>
      <c r="C187" s="328"/>
      <c r="D187" s="328"/>
      <c r="E187" s="328"/>
      <c r="F187" s="328"/>
      <c r="G187" s="328"/>
      <c r="H187" s="328"/>
      <c r="I187" s="328"/>
      <c r="J187" s="328"/>
      <c r="K187" s="328"/>
      <c r="L187" s="328"/>
      <c r="M187" s="328"/>
      <c r="R187" s="328"/>
      <c r="S187" s="328"/>
      <c r="T187" s="328"/>
      <c r="U187" s="328"/>
      <c r="V187" s="328"/>
      <c r="W187" s="328"/>
      <c r="X187" s="328"/>
      <c r="Y187" s="328"/>
      <c r="Z187" s="328"/>
      <c r="AA187" s="328"/>
      <c r="AB187" s="328"/>
    </row>
    <row r="188" ht="15.75" hidden="1" customHeight="1">
      <c r="B188" s="547" t="s">
        <v>2262</v>
      </c>
      <c r="C188" s="328"/>
      <c r="D188" s="328"/>
      <c r="E188" s="328"/>
      <c r="F188" s="328"/>
      <c r="G188" s="328"/>
      <c r="H188" s="328"/>
      <c r="I188" s="328"/>
      <c r="J188" s="328"/>
      <c r="K188" s="328"/>
      <c r="L188" s="328"/>
      <c r="M188" s="328"/>
      <c r="R188" s="328"/>
      <c r="S188" s="328"/>
      <c r="T188" s="328"/>
      <c r="U188" s="328"/>
      <c r="V188" s="328"/>
      <c r="W188" s="328"/>
      <c r="X188" s="328"/>
      <c r="Y188" s="328"/>
      <c r="Z188" s="328"/>
      <c r="AA188" s="328"/>
      <c r="AB188" s="328"/>
    </row>
    <row r="189" ht="15.75" hidden="1" customHeight="1">
      <c r="B189" s="547" t="s">
        <v>2263</v>
      </c>
      <c r="C189" s="328"/>
      <c r="D189" s="328"/>
      <c r="E189" s="328"/>
      <c r="F189" s="328"/>
      <c r="G189" s="328"/>
      <c r="H189" s="328"/>
      <c r="I189" s="328"/>
      <c r="J189" s="328"/>
      <c r="K189" s="328"/>
      <c r="L189" s="328"/>
      <c r="M189" s="328"/>
      <c r="R189" s="328"/>
      <c r="S189" s="328"/>
      <c r="T189" s="328"/>
      <c r="U189" s="328"/>
      <c r="V189" s="328"/>
      <c r="W189" s="328"/>
      <c r="X189" s="328"/>
      <c r="Y189" s="328"/>
      <c r="Z189" s="328"/>
      <c r="AA189" s="328"/>
      <c r="AB189" s="328"/>
    </row>
    <row r="190" ht="15.75" hidden="1" customHeight="1">
      <c r="B190" s="547" t="s">
        <v>2264</v>
      </c>
      <c r="C190" s="328"/>
      <c r="D190" s="328"/>
      <c r="E190" s="328"/>
      <c r="F190" s="328"/>
      <c r="G190" s="328"/>
      <c r="H190" s="328"/>
      <c r="I190" s="328"/>
      <c r="J190" s="328"/>
      <c r="K190" s="328"/>
      <c r="L190" s="328"/>
      <c r="M190" s="328"/>
      <c r="R190" s="328"/>
      <c r="S190" s="328"/>
      <c r="T190" s="328"/>
      <c r="U190" s="328"/>
      <c r="V190" s="328"/>
      <c r="W190" s="328"/>
      <c r="X190" s="328"/>
      <c r="Y190" s="328"/>
      <c r="Z190" s="328"/>
      <c r="AA190" s="328"/>
      <c r="AB190" s="328"/>
    </row>
    <row r="191" ht="15.75" hidden="1" customHeight="1">
      <c r="B191" s="328" t="s">
        <v>2265</v>
      </c>
      <c r="C191" s="328"/>
      <c r="D191" s="328"/>
      <c r="E191" s="328"/>
      <c r="F191" s="328"/>
      <c r="G191" s="328"/>
      <c r="H191" s="328"/>
      <c r="I191" s="328"/>
      <c r="J191" s="328"/>
      <c r="K191" s="328"/>
      <c r="L191" s="328"/>
      <c r="M191" s="328"/>
      <c r="R191" s="328"/>
      <c r="S191" s="328"/>
      <c r="T191" s="328"/>
      <c r="U191" s="328"/>
      <c r="V191" s="328"/>
      <c r="W191" s="328"/>
      <c r="X191" s="328"/>
      <c r="Y191" s="328"/>
      <c r="Z191" s="328"/>
      <c r="AA191" s="328"/>
      <c r="AB191" s="328"/>
    </row>
    <row r="192" ht="15.75" hidden="1" customHeight="1">
      <c r="B192" s="328" t="s">
        <v>2266</v>
      </c>
      <c r="C192" s="328"/>
      <c r="D192" s="328"/>
      <c r="E192" s="328"/>
      <c r="F192" s="328"/>
      <c r="G192" s="328"/>
      <c r="H192" s="328"/>
      <c r="I192" s="328"/>
      <c r="J192" s="328"/>
      <c r="K192" s="328"/>
      <c r="L192" s="328"/>
      <c r="M192" s="328"/>
      <c r="R192" s="328"/>
      <c r="S192" s="328"/>
      <c r="T192" s="328"/>
      <c r="U192" s="328"/>
      <c r="V192" s="328"/>
      <c r="W192" s="328"/>
      <c r="X192" s="328"/>
      <c r="Y192" s="328"/>
      <c r="Z192" s="328"/>
      <c r="AA192" s="328"/>
      <c r="AB192" s="328"/>
    </row>
    <row r="193" ht="15.75" customHeight="1">
      <c r="B193" s="328"/>
      <c r="C193" s="328"/>
      <c r="D193" s="328"/>
      <c r="E193" s="328"/>
      <c r="F193" s="328"/>
      <c r="G193" s="328"/>
      <c r="H193" s="328"/>
      <c r="I193" s="328"/>
      <c r="J193" s="328"/>
      <c r="K193" s="328"/>
      <c r="L193" s="328"/>
      <c r="M193" s="328"/>
      <c r="R193" s="328"/>
      <c r="S193" s="328"/>
      <c r="T193" s="328"/>
      <c r="U193" s="328"/>
      <c r="V193" s="328"/>
      <c r="W193" s="328"/>
      <c r="X193" s="328"/>
      <c r="Y193" s="328"/>
      <c r="Z193" s="328"/>
      <c r="AA193" s="328"/>
      <c r="AB193" s="328"/>
    </row>
    <row r="194" ht="15.75" customHeight="1">
      <c r="B194" s="328"/>
      <c r="C194" s="328"/>
      <c r="D194" s="328"/>
      <c r="E194" s="328"/>
      <c r="F194" s="328"/>
      <c r="G194" s="328"/>
      <c r="H194" s="328"/>
      <c r="I194" s="328"/>
      <c r="J194" s="328"/>
      <c r="K194" s="328"/>
      <c r="L194" s="328"/>
      <c r="M194" s="328"/>
      <c r="R194" s="328"/>
      <c r="S194" s="328"/>
      <c r="T194" s="328"/>
      <c r="U194" s="328"/>
      <c r="V194" s="328"/>
      <c r="W194" s="328"/>
      <c r="X194" s="328"/>
      <c r="Y194" s="328"/>
      <c r="Z194" s="328"/>
      <c r="AA194" s="328"/>
      <c r="AB194" s="328"/>
    </row>
    <row r="195" ht="15.75" customHeight="1">
      <c r="B195" s="328"/>
      <c r="C195" s="328"/>
      <c r="D195" s="328"/>
      <c r="E195" s="328"/>
      <c r="F195" s="328"/>
      <c r="G195" s="328"/>
      <c r="H195" s="328"/>
      <c r="I195" s="328"/>
      <c r="J195" s="328"/>
      <c r="K195" s="328"/>
      <c r="L195" s="328"/>
      <c r="M195" s="328"/>
      <c r="R195" s="328"/>
      <c r="S195" s="328"/>
      <c r="T195" s="328"/>
      <c r="U195" s="328"/>
      <c r="V195" s="328"/>
      <c r="W195" s="328"/>
      <c r="X195" s="328"/>
      <c r="Y195" s="328"/>
      <c r="Z195" s="328"/>
      <c r="AA195" s="328"/>
      <c r="AB195" s="328"/>
    </row>
    <row r="196" ht="15.75" customHeight="1">
      <c r="B196" s="328"/>
      <c r="C196" s="328"/>
      <c r="D196" s="328"/>
      <c r="E196" s="328"/>
      <c r="F196" s="328"/>
      <c r="G196" s="328"/>
      <c r="H196" s="328"/>
      <c r="I196" s="328"/>
      <c r="J196" s="328"/>
      <c r="K196" s="328"/>
      <c r="L196" s="328"/>
      <c r="M196" s="328"/>
      <c r="R196" s="328"/>
      <c r="S196" s="328"/>
      <c r="T196" s="328"/>
      <c r="U196" s="328"/>
      <c r="V196" s="328"/>
      <c r="W196" s="328"/>
      <c r="X196" s="328"/>
      <c r="Y196" s="328"/>
      <c r="Z196" s="328"/>
      <c r="AA196" s="328"/>
      <c r="AB196" s="328"/>
    </row>
    <row r="197" ht="15.75" customHeight="1">
      <c r="B197" s="328"/>
      <c r="C197" s="328"/>
      <c r="D197" s="328"/>
      <c r="E197" s="328"/>
      <c r="F197" s="328"/>
      <c r="G197" s="328"/>
      <c r="H197" s="328"/>
      <c r="I197" s="328"/>
      <c r="J197" s="328"/>
      <c r="K197" s="328"/>
      <c r="L197" s="328"/>
      <c r="M197" s="328"/>
      <c r="R197" s="328"/>
      <c r="S197" s="328"/>
      <c r="T197" s="328"/>
      <c r="U197" s="328"/>
      <c r="V197" s="328"/>
      <c r="W197" s="328"/>
      <c r="X197" s="328"/>
      <c r="Y197" s="328"/>
      <c r="Z197" s="328"/>
      <c r="AA197" s="328"/>
      <c r="AB197" s="328"/>
    </row>
    <row r="198" ht="15.75" customHeight="1">
      <c r="B198" s="328"/>
      <c r="C198" s="328"/>
      <c r="D198" s="328"/>
      <c r="E198" s="328"/>
      <c r="F198" s="328"/>
      <c r="G198" s="328"/>
      <c r="H198" s="328"/>
      <c r="I198" s="328"/>
      <c r="J198" s="328"/>
      <c r="K198" s="328"/>
      <c r="L198" s="328"/>
      <c r="M198" s="328"/>
      <c r="R198" s="328"/>
      <c r="S198" s="328"/>
      <c r="T198" s="328"/>
      <c r="U198" s="328"/>
      <c r="V198" s="328"/>
      <c r="W198" s="328"/>
      <c r="X198" s="328"/>
      <c r="Y198" s="328"/>
      <c r="Z198" s="328"/>
      <c r="AA198" s="328"/>
      <c r="AB198" s="328"/>
    </row>
    <row r="199" ht="15.75" customHeight="1">
      <c r="B199" s="328"/>
      <c r="C199" s="328"/>
      <c r="D199" s="328"/>
      <c r="E199" s="328"/>
      <c r="F199" s="328"/>
      <c r="G199" s="328"/>
      <c r="H199" s="328"/>
      <c r="I199" s="328"/>
      <c r="J199" s="328"/>
      <c r="K199" s="328"/>
      <c r="L199" s="328"/>
      <c r="M199" s="328"/>
      <c r="R199" s="328"/>
      <c r="S199" s="328"/>
      <c r="T199" s="328"/>
      <c r="U199" s="328"/>
      <c r="V199" s="328"/>
      <c r="W199" s="328"/>
      <c r="X199" s="328"/>
      <c r="Y199" s="328"/>
      <c r="Z199" s="328"/>
      <c r="AA199" s="328"/>
      <c r="AB199" s="328"/>
    </row>
    <row r="200" ht="15.75" customHeight="1">
      <c r="B200" s="328"/>
      <c r="C200" s="328"/>
      <c r="D200" s="328"/>
      <c r="E200" s="328"/>
      <c r="F200" s="328"/>
      <c r="G200" s="328"/>
      <c r="H200" s="328"/>
      <c r="I200" s="328"/>
      <c r="J200" s="328"/>
      <c r="K200" s="328"/>
      <c r="L200" s="328"/>
      <c r="M200" s="328"/>
      <c r="R200" s="328"/>
      <c r="S200" s="328"/>
      <c r="T200" s="328"/>
      <c r="U200" s="328"/>
      <c r="V200" s="328"/>
      <c r="W200" s="328"/>
      <c r="X200" s="328"/>
      <c r="Y200" s="328"/>
      <c r="Z200" s="328"/>
      <c r="AA200" s="328"/>
      <c r="AB200" s="328"/>
    </row>
    <row r="201" ht="15.75" customHeight="1">
      <c r="B201" s="328"/>
      <c r="C201" s="328"/>
      <c r="D201" s="328"/>
      <c r="E201" s="328"/>
      <c r="F201" s="328"/>
      <c r="G201" s="328"/>
      <c r="H201" s="328"/>
      <c r="I201" s="328"/>
      <c r="J201" s="328"/>
      <c r="K201" s="328"/>
      <c r="L201" s="328"/>
      <c r="M201" s="328"/>
      <c r="R201" s="328"/>
      <c r="S201" s="328"/>
      <c r="T201" s="328"/>
      <c r="U201" s="328"/>
      <c r="V201" s="328"/>
      <c r="W201" s="328"/>
      <c r="X201" s="328"/>
      <c r="Y201" s="328"/>
      <c r="Z201" s="328"/>
      <c r="AA201" s="328"/>
      <c r="AB201" s="328"/>
    </row>
    <row r="202" ht="15.75" customHeight="1">
      <c r="B202" s="328"/>
      <c r="C202" s="328"/>
      <c r="D202" s="328"/>
      <c r="E202" s="328"/>
      <c r="F202" s="328"/>
      <c r="G202" s="328"/>
      <c r="H202" s="328"/>
      <c r="I202" s="328"/>
      <c r="J202" s="328"/>
      <c r="K202" s="328"/>
      <c r="L202" s="328"/>
      <c r="M202" s="328"/>
      <c r="R202" s="328"/>
      <c r="S202" s="328"/>
      <c r="T202" s="328"/>
      <c r="U202" s="328"/>
      <c r="V202" s="328"/>
      <c r="W202" s="328"/>
      <c r="X202" s="328"/>
      <c r="Y202" s="328"/>
      <c r="Z202" s="328"/>
      <c r="AA202" s="328"/>
      <c r="AB202" s="328"/>
    </row>
    <row r="203" ht="15.75" customHeight="1">
      <c r="B203" s="328"/>
      <c r="C203" s="328"/>
      <c r="D203" s="328"/>
      <c r="E203" s="328"/>
      <c r="F203" s="328"/>
      <c r="G203" s="328"/>
      <c r="H203" s="328"/>
      <c r="I203" s="328"/>
      <c r="J203" s="328"/>
      <c r="K203" s="328"/>
      <c r="L203" s="328"/>
      <c r="M203" s="328"/>
      <c r="R203" s="328"/>
      <c r="S203" s="328"/>
      <c r="T203" s="328"/>
      <c r="U203" s="328"/>
      <c r="V203" s="328"/>
      <c r="W203" s="328"/>
      <c r="X203" s="328"/>
      <c r="Y203" s="328"/>
      <c r="Z203" s="328"/>
      <c r="AA203" s="328"/>
      <c r="AB203" s="328"/>
    </row>
    <row r="204" ht="15.75" customHeight="1">
      <c r="B204" s="328"/>
      <c r="C204" s="328"/>
      <c r="D204" s="328"/>
      <c r="E204" s="328"/>
      <c r="F204" s="328"/>
      <c r="G204" s="328"/>
      <c r="H204" s="328"/>
      <c r="I204" s="328"/>
      <c r="J204" s="328"/>
      <c r="K204" s="328"/>
      <c r="L204" s="328"/>
      <c r="M204" s="328"/>
      <c r="R204" s="328"/>
      <c r="S204" s="328"/>
      <c r="T204" s="328"/>
      <c r="U204" s="328"/>
      <c r="V204" s="328"/>
      <c r="W204" s="328"/>
      <c r="X204" s="328"/>
      <c r="Y204" s="328"/>
      <c r="Z204" s="328"/>
      <c r="AA204" s="328"/>
      <c r="AB204" s="328"/>
    </row>
    <row r="205" ht="15.75" customHeight="1">
      <c r="B205" s="328"/>
      <c r="C205" s="328"/>
      <c r="D205" s="328"/>
      <c r="E205" s="328"/>
      <c r="F205" s="328"/>
      <c r="G205" s="328"/>
      <c r="H205" s="328"/>
      <c r="I205" s="328"/>
      <c r="J205" s="328"/>
      <c r="K205" s="328"/>
      <c r="L205" s="328"/>
      <c r="M205" s="328"/>
      <c r="R205" s="328"/>
      <c r="S205" s="328"/>
      <c r="T205" s="328"/>
      <c r="U205" s="328"/>
      <c r="V205" s="328"/>
      <c r="W205" s="328"/>
      <c r="X205" s="328"/>
      <c r="Y205" s="328"/>
      <c r="Z205" s="328"/>
      <c r="AA205" s="328"/>
      <c r="AB205" s="328"/>
    </row>
    <row r="206" ht="15.75" customHeight="1">
      <c r="B206" s="328"/>
      <c r="C206" s="328"/>
      <c r="D206" s="328"/>
      <c r="E206" s="328"/>
      <c r="F206" s="328"/>
      <c r="G206" s="328"/>
      <c r="H206" s="328"/>
      <c r="I206" s="328"/>
      <c r="J206" s="328"/>
      <c r="K206" s="328"/>
      <c r="L206" s="328"/>
      <c r="M206" s="328"/>
      <c r="R206" s="328"/>
      <c r="S206" s="328"/>
      <c r="T206" s="328"/>
      <c r="U206" s="328"/>
      <c r="V206" s="328"/>
      <c r="W206" s="328"/>
      <c r="X206" s="328"/>
      <c r="Y206" s="328"/>
      <c r="Z206" s="328"/>
      <c r="AA206" s="328"/>
      <c r="AB206" s="328"/>
    </row>
    <row r="207" ht="15.75" customHeight="1">
      <c r="B207" s="328"/>
      <c r="C207" s="328"/>
      <c r="D207" s="328"/>
      <c r="E207" s="328"/>
      <c r="F207" s="328"/>
      <c r="G207" s="328"/>
      <c r="H207" s="328"/>
      <c r="I207" s="328"/>
      <c r="J207" s="328"/>
      <c r="K207" s="328"/>
      <c r="L207" s="328"/>
      <c r="M207" s="328"/>
      <c r="R207" s="328"/>
      <c r="S207" s="328"/>
      <c r="T207" s="328"/>
      <c r="U207" s="328"/>
      <c r="V207" s="328"/>
      <c r="W207" s="328"/>
      <c r="X207" s="328"/>
      <c r="Y207" s="328"/>
      <c r="Z207" s="328"/>
      <c r="AA207" s="328"/>
      <c r="AB207" s="328"/>
    </row>
    <row r="208" ht="15.75" customHeight="1">
      <c r="B208" s="328"/>
      <c r="C208" s="328"/>
      <c r="D208" s="328"/>
      <c r="E208" s="328"/>
      <c r="F208" s="328"/>
      <c r="G208" s="328"/>
      <c r="H208" s="328"/>
      <c r="I208" s="328"/>
      <c r="J208" s="328"/>
      <c r="K208" s="328"/>
      <c r="L208" s="328"/>
      <c r="M208" s="328"/>
      <c r="R208" s="328"/>
      <c r="S208" s="328"/>
      <c r="T208" s="328"/>
      <c r="U208" s="328"/>
      <c r="V208" s="328"/>
      <c r="W208" s="328"/>
      <c r="X208" s="328"/>
      <c r="Y208" s="328"/>
      <c r="Z208" s="328"/>
      <c r="AA208" s="328"/>
      <c r="AB208" s="328"/>
    </row>
    <row r="209" ht="15.75" customHeight="1">
      <c r="B209" s="328"/>
      <c r="C209" s="328"/>
      <c r="D209" s="328"/>
      <c r="E209" s="328"/>
      <c r="F209" s="328"/>
      <c r="G209" s="328"/>
      <c r="H209" s="328"/>
      <c r="I209" s="328"/>
      <c r="J209" s="328"/>
      <c r="K209" s="328"/>
      <c r="L209" s="328"/>
      <c r="M209" s="328"/>
      <c r="R209" s="328"/>
      <c r="S209" s="328"/>
      <c r="T209" s="328"/>
      <c r="U209" s="328"/>
      <c r="V209" s="328"/>
      <c r="W209" s="328"/>
      <c r="X209" s="328"/>
      <c r="Y209" s="328"/>
      <c r="Z209" s="328"/>
      <c r="AA209" s="328"/>
      <c r="AB209" s="328"/>
    </row>
    <row r="210" ht="15.75" customHeight="1">
      <c r="B210" s="328"/>
      <c r="C210" s="328"/>
      <c r="D210" s="328"/>
      <c r="E210" s="328"/>
      <c r="F210" s="328"/>
      <c r="G210" s="328"/>
      <c r="H210" s="328"/>
      <c r="I210" s="328"/>
      <c r="J210" s="328"/>
      <c r="K210" s="328"/>
      <c r="L210" s="328"/>
      <c r="M210" s="328"/>
      <c r="R210" s="328"/>
      <c r="S210" s="328"/>
      <c r="T210" s="328"/>
      <c r="U210" s="328"/>
      <c r="V210" s="328"/>
      <c r="W210" s="328"/>
      <c r="X210" s="328"/>
      <c r="Y210" s="328"/>
      <c r="Z210" s="328"/>
      <c r="AA210" s="328"/>
      <c r="AB210" s="328"/>
    </row>
    <row r="211" ht="15.75" customHeight="1">
      <c r="B211" s="328"/>
      <c r="C211" s="328"/>
      <c r="D211" s="328"/>
      <c r="E211" s="328"/>
      <c r="F211" s="328"/>
      <c r="G211" s="328"/>
      <c r="H211" s="328"/>
      <c r="I211" s="328"/>
      <c r="J211" s="328"/>
      <c r="K211" s="328"/>
      <c r="L211" s="328"/>
      <c r="M211" s="328"/>
      <c r="R211" s="328"/>
      <c r="S211" s="328"/>
      <c r="T211" s="328"/>
      <c r="U211" s="328"/>
      <c r="V211" s="328"/>
      <c r="W211" s="328"/>
      <c r="X211" s="328"/>
      <c r="Y211" s="328"/>
      <c r="Z211" s="328"/>
      <c r="AA211" s="328"/>
      <c r="AB211" s="328"/>
    </row>
    <row r="212" ht="15.75" customHeight="1">
      <c r="B212" s="328"/>
      <c r="C212" s="328"/>
      <c r="D212" s="328"/>
      <c r="E212" s="328"/>
      <c r="F212" s="328"/>
      <c r="G212" s="328"/>
      <c r="H212" s="328"/>
      <c r="I212" s="328"/>
      <c r="J212" s="328"/>
      <c r="K212" s="328"/>
      <c r="L212" s="328"/>
      <c r="M212" s="328"/>
      <c r="R212" s="328"/>
      <c r="S212" s="328"/>
      <c r="T212" s="328"/>
      <c r="U212" s="328"/>
      <c r="V212" s="328"/>
      <c r="W212" s="328"/>
      <c r="X212" s="328"/>
      <c r="Y212" s="328"/>
      <c r="Z212" s="328"/>
      <c r="AA212" s="328"/>
      <c r="AB212" s="328"/>
    </row>
    <row r="213" ht="15.75" customHeight="1">
      <c r="B213" s="328"/>
      <c r="C213" s="328"/>
      <c r="D213" s="328"/>
      <c r="E213" s="328"/>
      <c r="F213" s="328"/>
      <c r="G213" s="328"/>
      <c r="H213" s="328"/>
      <c r="I213" s="328"/>
      <c r="J213" s="328"/>
      <c r="K213" s="328"/>
      <c r="L213" s="328"/>
      <c r="M213" s="328"/>
      <c r="R213" s="328"/>
      <c r="S213" s="328"/>
      <c r="T213" s="328"/>
      <c r="U213" s="328"/>
      <c r="V213" s="328"/>
      <c r="W213" s="328"/>
      <c r="X213" s="328"/>
      <c r="Y213" s="328"/>
      <c r="Z213" s="328"/>
      <c r="AA213" s="328"/>
      <c r="AB213" s="328"/>
    </row>
    <row r="214" ht="15.75" customHeight="1">
      <c r="B214" s="328"/>
      <c r="C214" s="328"/>
      <c r="D214" s="328"/>
      <c r="E214" s="328"/>
      <c r="F214" s="328"/>
      <c r="G214" s="328"/>
      <c r="H214" s="328"/>
      <c r="I214" s="328"/>
      <c r="J214" s="328"/>
      <c r="K214" s="328"/>
      <c r="L214" s="328"/>
      <c r="M214" s="328"/>
      <c r="R214" s="328"/>
      <c r="S214" s="328"/>
      <c r="T214" s="328"/>
      <c r="U214" s="328"/>
      <c r="V214" s="328"/>
      <c r="W214" s="328"/>
      <c r="X214" s="328"/>
      <c r="Y214" s="328"/>
      <c r="Z214" s="328"/>
      <c r="AA214" s="328"/>
      <c r="AB214" s="328"/>
    </row>
    <row r="215" ht="15.75" customHeight="1">
      <c r="B215" s="328"/>
      <c r="C215" s="328"/>
      <c r="D215" s="328"/>
      <c r="E215" s="328"/>
      <c r="F215" s="328"/>
      <c r="G215" s="328"/>
      <c r="H215" s="328"/>
      <c r="I215" s="328"/>
      <c r="J215" s="328"/>
      <c r="K215" s="328"/>
      <c r="L215" s="328"/>
      <c r="M215" s="328"/>
      <c r="R215" s="328"/>
      <c r="S215" s="328"/>
      <c r="T215" s="328"/>
      <c r="U215" s="328"/>
      <c r="V215" s="328"/>
      <c r="W215" s="328"/>
      <c r="X215" s="328"/>
      <c r="Y215" s="328"/>
      <c r="Z215" s="328"/>
      <c r="AA215" s="328"/>
      <c r="AB215" s="328"/>
    </row>
    <row r="216" ht="15.75" customHeight="1">
      <c r="B216" s="328"/>
      <c r="C216" s="328"/>
      <c r="D216" s="328"/>
      <c r="E216" s="328"/>
      <c r="F216" s="328"/>
      <c r="G216" s="328"/>
      <c r="H216" s="328"/>
      <c r="I216" s="328"/>
      <c r="J216" s="328"/>
      <c r="K216" s="328"/>
      <c r="L216" s="328"/>
      <c r="M216" s="328"/>
      <c r="R216" s="328"/>
      <c r="S216" s="328"/>
      <c r="T216" s="328"/>
      <c r="U216" s="328"/>
      <c r="V216" s="328"/>
      <c r="W216" s="328"/>
      <c r="X216" s="328"/>
      <c r="Y216" s="328"/>
      <c r="Z216" s="328"/>
      <c r="AA216" s="328"/>
      <c r="AB216" s="328"/>
    </row>
    <row r="217" ht="15.75" customHeight="1">
      <c r="B217" s="328"/>
      <c r="C217" s="328"/>
      <c r="D217" s="328"/>
      <c r="E217" s="328"/>
      <c r="F217" s="328"/>
      <c r="G217" s="328"/>
      <c r="H217" s="328"/>
      <c r="I217" s="328"/>
      <c r="J217" s="328"/>
      <c r="K217" s="328"/>
      <c r="L217" s="328"/>
      <c r="M217" s="328"/>
      <c r="R217" s="328"/>
      <c r="S217" s="328"/>
      <c r="T217" s="328"/>
      <c r="U217" s="328"/>
      <c r="V217" s="328"/>
      <c r="W217" s="328"/>
      <c r="X217" s="328"/>
      <c r="Y217" s="328"/>
      <c r="Z217" s="328"/>
      <c r="AA217" s="328"/>
      <c r="AB217" s="328"/>
    </row>
    <row r="218" ht="15.75" customHeight="1">
      <c r="B218" s="328"/>
      <c r="C218" s="328"/>
      <c r="D218" s="328"/>
      <c r="E218" s="328"/>
      <c r="F218" s="328"/>
      <c r="G218" s="328"/>
      <c r="H218" s="328"/>
      <c r="I218" s="328"/>
      <c r="J218" s="328"/>
      <c r="K218" s="328"/>
      <c r="L218" s="328"/>
      <c r="M218" s="328"/>
      <c r="R218" s="328"/>
      <c r="S218" s="328"/>
      <c r="T218" s="328"/>
      <c r="U218" s="328"/>
      <c r="V218" s="328"/>
      <c r="W218" s="328"/>
      <c r="X218" s="328"/>
      <c r="Y218" s="328"/>
      <c r="Z218" s="328"/>
      <c r="AA218" s="328"/>
      <c r="AB218" s="328"/>
    </row>
    <row r="219" ht="15.75" customHeight="1">
      <c r="B219" s="328"/>
      <c r="C219" s="328"/>
      <c r="D219" s="328"/>
      <c r="E219" s="328"/>
      <c r="F219" s="328"/>
      <c r="G219" s="328"/>
      <c r="H219" s="328"/>
      <c r="I219" s="328"/>
      <c r="J219" s="328"/>
      <c r="K219" s="328"/>
      <c r="L219" s="328"/>
      <c r="M219" s="328"/>
      <c r="R219" s="328"/>
      <c r="S219" s="328"/>
      <c r="T219" s="328"/>
      <c r="U219" s="328"/>
      <c r="V219" s="328"/>
      <c r="W219" s="328"/>
      <c r="X219" s="328"/>
      <c r="Y219" s="328"/>
      <c r="Z219" s="328"/>
      <c r="AA219" s="328"/>
      <c r="AB219" s="328"/>
    </row>
    <row r="220" ht="15.75" customHeight="1">
      <c r="B220" s="328"/>
      <c r="C220" s="328"/>
      <c r="D220" s="328"/>
      <c r="E220" s="328"/>
      <c r="F220" s="328"/>
      <c r="G220" s="328"/>
      <c r="H220" s="328"/>
      <c r="I220" s="328"/>
      <c r="J220" s="328"/>
      <c r="K220" s="328"/>
      <c r="L220" s="328"/>
      <c r="M220" s="328"/>
      <c r="R220" s="328"/>
      <c r="S220" s="328"/>
      <c r="T220" s="328"/>
      <c r="U220" s="328"/>
      <c r="V220" s="328"/>
      <c r="W220" s="328"/>
      <c r="X220" s="328"/>
      <c r="Y220" s="328"/>
      <c r="Z220" s="328"/>
      <c r="AA220" s="328"/>
      <c r="AB220" s="328"/>
    </row>
    <row r="221" ht="15.75" customHeight="1">
      <c r="B221" s="328"/>
      <c r="C221" s="328"/>
      <c r="D221" s="328"/>
      <c r="E221" s="328"/>
      <c r="F221" s="328"/>
      <c r="G221" s="328"/>
      <c r="H221" s="328"/>
      <c r="I221" s="328"/>
      <c r="J221" s="328"/>
      <c r="K221" s="328"/>
      <c r="L221" s="328"/>
      <c r="M221" s="328"/>
      <c r="R221" s="328"/>
      <c r="S221" s="328"/>
      <c r="T221" s="328"/>
      <c r="U221" s="328"/>
      <c r="V221" s="328"/>
      <c r="W221" s="328"/>
      <c r="X221" s="328"/>
      <c r="Y221" s="328"/>
      <c r="Z221" s="328"/>
      <c r="AA221" s="328"/>
      <c r="AB221" s="328"/>
    </row>
    <row r="222" ht="15.75" customHeight="1">
      <c r="B222" s="328"/>
      <c r="C222" s="328"/>
      <c r="D222" s="328"/>
      <c r="E222" s="328"/>
      <c r="F222" s="328"/>
      <c r="G222" s="328"/>
      <c r="H222" s="328"/>
      <c r="I222" s="328"/>
      <c r="J222" s="328"/>
      <c r="K222" s="328"/>
      <c r="L222" s="328"/>
      <c r="M222" s="328"/>
      <c r="R222" s="328"/>
      <c r="S222" s="328"/>
      <c r="T222" s="328"/>
      <c r="U222" s="328"/>
      <c r="V222" s="328"/>
      <c r="W222" s="328"/>
      <c r="X222" s="328"/>
      <c r="Y222" s="328"/>
      <c r="Z222" s="328"/>
      <c r="AA222" s="328"/>
      <c r="AB222" s="328"/>
    </row>
    <row r="223" ht="15.75" customHeight="1">
      <c r="B223" s="328"/>
      <c r="C223" s="328"/>
      <c r="D223" s="328"/>
      <c r="E223" s="328"/>
      <c r="F223" s="328"/>
      <c r="G223" s="328"/>
      <c r="H223" s="328"/>
      <c r="I223" s="328"/>
      <c r="J223" s="328"/>
      <c r="K223" s="328"/>
      <c r="L223" s="328"/>
      <c r="M223" s="328"/>
      <c r="R223" s="328"/>
      <c r="S223" s="328"/>
      <c r="T223" s="328"/>
      <c r="U223" s="328"/>
      <c r="V223" s="328"/>
      <c r="W223" s="328"/>
      <c r="X223" s="328"/>
      <c r="Y223" s="328"/>
      <c r="Z223" s="328"/>
      <c r="AA223" s="328"/>
      <c r="AB223" s="328"/>
    </row>
    <row r="224" ht="15.75" customHeight="1">
      <c r="B224" s="328"/>
      <c r="C224" s="328"/>
      <c r="D224" s="328"/>
      <c r="E224" s="328"/>
      <c r="F224" s="328"/>
      <c r="G224" s="328"/>
      <c r="H224" s="328"/>
      <c r="I224" s="328"/>
      <c r="J224" s="328"/>
      <c r="K224" s="328"/>
      <c r="L224" s="328"/>
      <c r="M224" s="328"/>
      <c r="R224" s="328"/>
      <c r="S224" s="328"/>
      <c r="T224" s="328"/>
      <c r="U224" s="328"/>
      <c r="V224" s="328"/>
      <c r="W224" s="328"/>
      <c r="X224" s="328"/>
      <c r="Y224" s="328"/>
      <c r="Z224" s="328"/>
      <c r="AA224" s="328"/>
      <c r="AB224" s="328"/>
    </row>
    <row r="225" ht="15.75" customHeight="1">
      <c r="B225" s="328"/>
      <c r="C225" s="328"/>
      <c r="D225" s="328"/>
      <c r="E225" s="328"/>
      <c r="F225" s="328"/>
      <c r="G225" s="328"/>
      <c r="H225" s="328"/>
      <c r="I225" s="328"/>
      <c r="J225" s="328"/>
      <c r="K225" s="328"/>
      <c r="L225" s="328"/>
      <c r="M225" s="328"/>
      <c r="R225" s="328"/>
      <c r="S225" s="328"/>
      <c r="T225" s="328"/>
      <c r="U225" s="328"/>
      <c r="V225" s="328"/>
      <c r="W225" s="328"/>
      <c r="X225" s="328"/>
      <c r="Y225" s="328"/>
      <c r="Z225" s="328"/>
      <c r="AA225" s="328"/>
      <c r="AB225" s="328"/>
    </row>
    <row r="226" ht="15.75" customHeight="1">
      <c r="B226" s="328"/>
      <c r="C226" s="328"/>
      <c r="D226" s="328"/>
      <c r="E226" s="328"/>
      <c r="F226" s="328"/>
      <c r="G226" s="328"/>
      <c r="H226" s="328"/>
      <c r="I226" s="328"/>
      <c r="J226" s="328"/>
      <c r="K226" s="328"/>
      <c r="L226" s="328"/>
      <c r="M226" s="328"/>
      <c r="R226" s="328"/>
      <c r="S226" s="328"/>
      <c r="T226" s="328"/>
      <c r="U226" s="328"/>
      <c r="V226" s="328"/>
      <c r="W226" s="328"/>
      <c r="X226" s="328"/>
      <c r="Y226" s="328"/>
      <c r="Z226" s="328"/>
      <c r="AA226" s="328"/>
      <c r="AB226" s="328"/>
    </row>
    <row r="227" ht="15.75" customHeight="1">
      <c r="B227" s="328"/>
      <c r="C227" s="328"/>
      <c r="D227" s="328"/>
      <c r="E227" s="328"/>
      <c r="F227" s="328"/>
      <c r="G227" s="328"/>
      <c r="H227" s="328"/>
      <c r="I227" s="328"/>
      <c r="J227" s="328"/>
      <c r="K227" s="328"/>
      <c r="L227" s="328"/>
      <c r="M227" s="328"/>
      <c r="R227" s="328"/>
      <c r="S227" s="328"/>
      <c r="T227" s="328"/>
      <c r="U227" s="328"/>
      <c r="V227" s="328"/>
      <c r="W227" s="328"/>
      <c r="X227" s="328"/>
      <c r="Y227" s="328"/>
      <c r="Z227" s="328"/>
      <c r="AA227" s="328"/>
      <c r="AB227" s="328"/>
    </row>
    <row r="228" ht="15.75" customHeight="1">
      <c r="B228" s="328"/>
      <c r="C228" s="328"/>
      <c r="D228" s="328"/>
      <c r="E228" s="328"/>
      <c r="F228" s="328"/>
      <c r="G228" s="328"/>
      <c r="H228" s="328"/>
      <c r="I228" s="328"/>
      <c r="J228" s="328"/>
      <c r="K228" s="328"/>
      <c r="L228" s="328"/>
      <c r="M228" s="328"/>
      <c r="R228" s="328"/>
      <c r="S228" s="328"/>
      <c r="T228" s="328"/>
      <c r="U228" s="328"/>
      <c r="V228" s="328"/>
      <c r="W228" s="328"/>
      <c r="X228" s="328"/>
      <c r="Y228" s="328"/>
      <c r="Z228" s="328"/>
      <c r="AA228" s="328"/>
      <c r="AB228" s="328"/>
    </row>
    <row r="229" ht="15.75" customHeight="1">
      <c r="B229" s="328"/>
      <c r="C229" s="328"/>
      <c r="D229" s="328"/>
      <c r="E229" s="328"/>
      <c r="F229" s="328"/>
      <c r="G229" s="328"/>
      <c r="H229" s="328"/>
      <c r="I229" s="328"/>
      <c r="J229" s="328"/>
      <c r="K229" s="328"/>
      <c r="L229" s="328"/>
      <c r="M229" s="328"/>
      <c r="R229" s="328"/>
      <c r="S229" s="328"/>
      <c r="T229" s="328"/>
      <c r="U229" s="328"/>
      <c r="V229" s="328"/>
      <c r="W229" s="328"/>
      <c r="X229" s="328"/>
      <c r="Y229" s="328"/>
      <c r="Z229" s="328"/>
      <c r="AA229" s="328"/>
      <c r="AB229" s="328"/>
    </row>
    <row r="230" ht="15.75" customHeight="1">
      <c r="B230" s="328"/>
      <c r="C230" s="328"/>
      <c r="D230" s="328"/>
      <c r="E230" s="328"/>
      <c r="F230" s="328"/>
      <c r="G230" s="328"/>
      <c r="H230" s="328"/>
      <c r="I230" s="328"/>
      <c r="J230" s="328"/>
      <c r="K230" s="328"/>
      <c r="L230" s="328"/>
      <c r="M230" s="328"/>
      <c r="R230" s="328"/>
      <c r="S230" s="328"/>
      <c r="T230" s="328"/>
      <c r="U230" s="328"/>
      <c r="V230" s="328"/>
      <c r="W230" s="328"/>
      <c r="X230" s="328"/>
      <c r="Y230" s="328"/>
      <c r="Z230" s="328"/>
      <c r="AA230" s="328"/>
      <c r="AB230" s="328"/>
    </row>
    <row r="231" ht="15.75" customHeight="1">
      <c r="B231" s="328"/>
      <c r="C231" s="328"/>
      <c r="D231" s="328"/>
      <c r="E231" s="328"/>
      <c r="F231" s="328"/>
      <c r="G231" s="328"/>
      <c r="H231" s="328"/>
      <c r="I231" s="328"/>
      <c r="J231" s="328"/>
      <c r="K231" s="328"/>
      <c r="L231" s="328"/>
      <c r="M231" s="328"/>
      <c r="R231" s="328"/>
      <c r="S231" s="328"/>
      <c r="T231" s="328"/>
      <c r="U231" s="328"/>
      <c r="V231" s="328"/>
      <c r="W231" s="328"/>
      <c r="X231" s="328"/>
      <c r="Y231" s="328"/>
      <c r="Z231" s="328"/>
      <c r="AA231" s="328"/>
      <c r="AB231" s="328"/>
    </row>
    <row r="232" ht="15.75" customHeight="1">
      <c r="B232" s="328"/>
      <c r="C232" s="328"/>
      <c r="D232" s="328"/>
      <c r="E232" s="328"/>
      <c r="F232" s="328"/>
      <c r="G232" s="328"/>
      <c r="H232" s="328"/>
      <c r="I232" s="328"/>
      <c r="J232" s="328"/>
      <c r="K232" s="328"/>
      <c r="L232" s="328"/>
      <c r="M232" s="328"/>
      <c r="R232" s="328"/>
      <c r="S232" s="328"/>
      <c r="T232" s="328"/>
      <c r="U232" s="328"/>
      <c r="V232" s="328"/>
      <c r="W232" s="328"/>
      <c r="X232" s="328"/>
      <c r="Y232" s="328"/>
      <c r="Z232" s="328"/>
      <c r="AA232" s="328"/>
      <c r="AB232" s="328"/>
    </row>
    <row r="233" ht="15.75" customHeight="1">
      <c r="B233" s="328"/>
      <c r="C233" s="328"/>
      <c r="D233" s="328"/>
      <c r="E233" s="328"/>
      <c r="F233" s="328"/>
      <c r="G233" s="328"/>
      <c r="H233" s="328"/>
      <c r="I233" s="328"/>
      <c r="J233" s="328"/>
      <c r="K233" s="328"/>
      <c r="L233" s="328"/>
      <c r="M233" s="328"/>
      <c r="R233" s="328"/>
      <c r="S233" s="328"/>
      <c r="T233" s="328"/>
      <c r="U233" s="328"/>
      <c r="V233" s="328"/>
      <c r="W233" s="328"/>
      <c r="X233" s="328"/>
      <c r="Y233" s="328"/>
      <c r="Z233" s="328"/>
      <c r="AA233" s="328"/>
      <c r="AB233" s="328"/>
    </row>
    <row r="234" ht="15.75" customHeight="1">
      <c r="B234" s="328"/>
      <c r="C234" s="328"/>
      <c r="D234" s="328"/>
      <c r="E234" s="328"/>
      <c r="F234" s="328"/>
      <c r="G234" s="328"/>
      <c r="H234" s="328"/>
      <c r="I234" s="328"/>
      <c r="J234" s="328"/>
      <c r="K234" s="328"/>
      <c r="L234" s="328"/>
      <c r="M234" s="328"/>
      <c r="R234" s="328"/>
      <c r="S234" s="328"/>
      <c r="T234" s="328"/>
      <c r="U234" s="328"/>
      <c r="V234" s="328"/>
      <c r="W234" s="328"/>
      <c r="X234" s="328"/>
      <c r="Y234" s="328"/>
      <c r="Z234" s="328"/>
      <c r="AA234" s="328"/>
      <c r="AB234" s="328"/>
    </row>
    <row r="235" ht="15.75" customHeight="1">
      <c r="B235" s="328"/>
      <c r="C235" s="328"/>
      <c r="D235" s="328"/>
      <c r="E235" s="328"/>
      <c r="F235" s="328"/>
      <c r="G235" s="328"/>
      <c r="H235" s="328"/>
      <c r="I235" s="328"/>
      <c r="J235" s="328"/>
      <c r="K235" s="328"/>
      <c r="L235" s="328"/>
      <c r="M235" s="328"/>
      <c r="R235" s="328"/>
      <c r="S235" s="328"/>
      <c r="T235" s="328"/>
      <c r="U235" s="328"/>
      <c r="V235" s="328"/>
      <c r="W235" s="328"/>
      <c r="X235" s="328"/>
      <c r="Y235" s="328"/>
      <c r="Z235" s="328"/>
      <c r="AA235" s="328"/>
      <c r="AB235" s="328"/>
    </row>
    <row r="236" ht="15.75" customHeight="1">
      <c r="B236" s="328"/>
      <c r="C236" s="328"/>
      <c r="D236" s="328"/>
      <c r="E236" s="328"/>
      <c r="F236" s="328"/>
      <c r="G236" s="328"/>
      <c r="H236" s="328"/>
      <c r="I236" s="328"/>
      <c r="J236" s="328"/>
      <c r="K236" s="328"/>
      <c r="L236" s="328"/>
      <c r="M236" s="328"/>
      <c r="R236" s="328"/>
      <c r="S236" s="328"/>
      <c r="T236" s="328"/>
      <c r="U236" s="328"/>
      <c r="V236" s="328"/>
      <c r="W236" s="328"/>
      <c r="X236" s="328"/>
      <c r="Y236" s="328"/>
      <c r="Z236" s="328"/>
      <c r="AA236" s="328"/>
      <c r="AB236" s="328"/>
    </row>
    <row r="237" ht="15.75" customHeight="1">
      <c r="B237" s="328"/>
      <c r="C237" s="328"/>
      <c r="D237" s="328"/>
      <c r="E237" s="328"/>
      <c r="F237" s="328"/>
      <c r="G237" s="328"/>
      <c r="H237" s="328"/>
      <c r="I237" s="328"/>
      <c r="J237" s="328"/>
      <c r="K237" s="328"/>
      <c r="L237" s="328"/>
      <c r="M237" s="328"/>
      <c r="R237" s="328"/>
      <c r="S237" s="328"/>
      <c r="T237" s="328"/>
      <c r="U237" s="328"/>
      <c r="V237" s="328"/>
      <c r="W237" s="328"/>
      <c r="X237" s="328"/>
      <c r="Y237" s="328"/>
      <c r="Z237" s="328"/>
      <c r="AA237" s="328"/>
      <c r="AB237" s="328"/>
    </row>
    <row r="238" ht="15.75" customHeight="1">
      <c r="B238" s="328"/>
      <c r="C238" s="328"/>
      <c r="D238" s="328"/>
      <c r="E238" s="328"/>
      <c r="F238" s="328"/>
      <c r="G238" s="328"/>
      <c r="H238" s="328"/>
      <c r="I238" s="328"/>
      <c r="J238" s="328"/>
      <c r="K238" s="328"/>
      <c r="L238" s="328"/>
      <c r="M238" s="328"/>
      <c r="R238" s="328"/>
      <c r="S238" s="328"/>
      <c r="T238" s="328"/>
      <c r="U238" s="328"/>
      <c r="V238" s="328"/>
      <c r="W238" s="328"/>
      <c r="X238" s="328"/>
      <c r="Y238" s="328"/>
      <c r="Z238" s="328"/>
      <c r="AA238" s="328"/>
      <c r="AB238" s="328"/>
    </row>
    <row r="239" ht="15.75" customHeight="1">
      <c r="B239" s="328"/>
      <c r="C239" s="328"/>
      <c r="D239" s="328"/>
      <c r="E239" s="328"/>
      <c r="F239" s="328"/>
      <c r="G239" s="328"/>
      <c r="H239" s="328"/>
      <c r="I239" s="328"/>
      <c r="J239" s="328"/>
      <c r="K239" s="328"/>
      <c r="L239" s="328"/>
      <c r="M239" s="328"/>
      <c r="R239" s="328"/>
      <c r="S239" s="328"/>
      <c r="T239" s="328"/>
      <c r="U239" s="328"/>
      <c r="V239" s="328"/>
      <c r="W239" s="328"/>
      <c r="X239" s="328"/>
      <c r="Y239" s="328"/>
      <c r="Z239" s="328"/>
      <c r="AA239" s="328"/>
      <c r="AB239" s="328"/>
    </row>
    <row r="240" ht="15.75" customHeight="1">
      <c r="B240" s="328"/>
      <c r="C240" s="328"/>
      <c r="D240" s="328"/>
      <c r="E240" s="328"/>
      <c r="F240" s="328"/>
      <c r="G240" s="328"/>
      <c r="H240" s="328"/>
      <c r="I240" s="328"/>
      <c r="J240" s="328"/>
      <c r="K240" s="328"/>
      <c r="L240" s="328"/>
      <c r="M240" s="328"/>
      <c r="R240" s="328"/>
      <c r="S240" s="328"/>
      <c r="T240" s="328"/>
      <c r="U240" s="328"/>
      <c r="V240" s="328"/>
      <c r="W240" s="328"/>
      <c r="X240" s="328"/>
      <c r="Y240" s="328"/>
      <c r="Z240" s="328"/>
      <c r="AA240" s="328"/>
      <c r="AB240" s="328"/>
    </row>
    <row r="241" ht="15.75" customHeight="1">
      <c r="B241" s="328"/>
      <c r="C241" s="328"/>
      <c r="D241" s="328"/>
      <c r="E241" s="328"/>
      <c r="F241" s="328"/>
      <c r="G241" s="328"/>
      <c r="H241" s="328"/>
      <c r="I241" s="328"/>
      <c r="J241" s="328"/>
      <c r="K241" s="328"/>
      <c r="L241" s="328"/>
      <c r="M241" s="328"/>
      <c r="R241" s="328"/>
      <c r="S241" s="328"/>
      <c r="T241" s="328"/>
      <c r="U241" s="328"/>
      <c r="V241" s="328"/>
      <c r="W241" s="328"/>
      <c r="X241" s="328"/>
      <c r="Y241" s="328"/>
      <c r="Z241" s="328"/>
      <c r="AA241" s="328"/>
      <c r="AB241" s="328"/>
    </row>
    <row r="242" ht="15.75" customHeight="1">
      <c r="B242" s="328"/>
      <c r="C242" s="328"/>
      <c r="D242" s="328"/>
      <c r="E242" s="328"/>
      <c r="F242" s="328"/>
      <c r="G242" s="328"/>
      <c r="H242" s="328"/>
      <c r="I242" s="328"/>
      <c r="J242" s="328"/>
      <c r="K242" s="328"/>
      <c r="L242" s="328"/>
      <c r="M242" s="328"/>
      <c r="R242" s="328"/>
      <c r="S242" s="328"/>
      <c r="T242" s="328"/>
      <c r="U242" s="328"/>
      <c r="V242" s="328"/>
      <c r="W242" s="328"/>
      <c r="X242" s="328"/>
      <c r="Y242" s="328"/>
      <c r="Z242" s="328"/>
      <c r="AA242" s="328"/>
      <c r="AB242" s="328"/>
    </row>
    <row r="243" ht="15.75" customHeight="1">
      <c r="B243" s="328"/>
      <c r="C243" s="328"/>
      <c r="D243" s="328"/>
      <c r="E243" s="328"/>
      <c r="F243" s="328"/>
      <c r="G243" s="328"/>
      <c r="H243" s="328"/>
      <c r="I243" s="328"/>
      <c r="J243" s="328"/>
      <c r="K243" s="328"/>
      <c r="L243" s="328"/>
      <c r="M243" s="328"/>
      <c r="R243" s="328"/>
      <c r="S243" s="328"/>
      <c r="T243" s="328"/>
      <c r="U243" s="328"/>
      <c r="V243" s="328"/>
      <c r="W243" s="328"/>
      <c r="X243" s="328"/>
      <c r="Y243" s="328"/>
      <c r="Z243" s="328"/>
      <c r="AA243" s="328"/>
      <c r="AB243" s="328"/>
    </row>
    <row r="244" ht="15.75" customHeight="1">
      <c r="B244" s="328"/>
      <c r="C244" s="328"/>
      <c r="D244" s="328"/>
      <c r="E244" s="328"/>
      <c r="F244" s="328"/>
      <c r="G244" s="328"/>
      <c r="H244" s="328"/>
      <c r="I244" s="328"/>
      <c r="J244" s="328"/>
      <c r="K244" s="328"/>
      <c r="L244" s="328"/>
      <c r="M244" s="328"/>
      <c r="R244" s="328"/>
      <c r="S244" s="328"/>
      <c r="T244" s="328"/>
      <c r="U244" s="328"/>
      <c r="V244" s="328"/>
      <c r="W244" s="328"/>
      <c r="X244" s="328"/>
      <c r="Y244" s="328"/>
      <c r="Z244" s="328"/>
      <c r="AA244" s="328"/>
      <c r="AB244" s="328"/>
    </row>
    <row r="245" ht="15.75" customHeight="1">
      <c r="B245" s="328"/>
      <c r="C245" s="328"/>
      <c r="D245" s="328"/>
      <c r="E245" s="328"/>
      <c r="F245" s="328"/>
      <c r="G245" s="328"/>
      <c r="H245" s="328"/>
      <c r="I245" s="328"/>
      <c r="J245" s="328"/>
      <c r="K245" s="328"/>
      <c r="L245" s="328"/>
      <c r="M245" s="328"/>
      <c r="R245" s="328"/>
      <c r="S245" s="328"/>
      <c r="T245" s="328"/>
      <c r="U245" s="328"/>
      <c r="V245" s="328"/>
      <c r="W245" s="328"/>
      <c r="X245" s="328"/>
      <c r="Y245" s="328"/>
      <c r="Z245" s="328"/>
      <c r="AA245" s="328"/>
      <c r="AB245" s="328"/>
    </row>
    <row r="246" ht="15.75" customHeight="1">
      <c r="B246" s="328"/>
      <c r="C246" s="328"/>
      <c r="D246" s="328"/>
      <c r="E246" s="328"/>
      <c r="F246" s="328"/>
      <c r="G246" s="328"/>
      <c r="H246" s="328"/>
      <c r="I246" s="328"/>
      <c r="J246" s="328"/>
      <c r="K246" s="328"/>
      <c r="L246" s="328"/>
      <c r="M246" s="328"/>
      <c r="R246" s="328"/>
      <c r="S246" s="328"/>
      <c r="T246" s="328"/>
      <c r="U246" s="328"/>
      <c r="V246" s="328"/>
      <c r="W246" s="328"/>
      <c r="X246" s="328"/>
      <c r="Y246" s="328"/>
      <c r="Z246" s="328"/>
      <c r="AA246" s="328"/>
      <c r="AB246" s="328"/>
    </row>
    <row r="247" ht="15.75" customHeight="1">
      <c r="B247" s="328"/>
      <c r="C247" s="328"/>
      <c r="D247" s="328"/>
      <c r="E247" s="328"/>
      <c r="F247" s="328"/>
      <c r="G247" s="328"/>
      <c r="H247" s="328"/>
      <c r="I247" s="328"/>
      <c r="J247" s="328"/>
      <c r="K247" s="328"/>
      <c r="L247" s="328"/>
      <c r="M247" s="328"/>
      <c r="R247" s="328"/>
      <c r="S247" s="328"/>
      <c r="T247" s="328"/>
      <c r="U247" s="328"/>
      <c r="V247" s="328"/>
      <c r="W247" s="328"/>
      <c r="X247" s="328"/>
      <c r="Y247" s="328"/>
      <c r="Z247" s="328"/>
      <c r="AA247" s="328"/>
      <c r="AB247" s="328"/>
    </row>
    <row r="248" ht="15.75" customHeight="1">
      <c r="B248" s="328"/>
      <c r="C248" s="328"/>
      <c r="D248" s="328"/>
      <c r="E248" s="328"/>
      <c r="F248" s="328"/>
      <c r="G248" s="328"/>
      <c r="H248" s="328"/>
      <c r="I248" s="328"/>
      <c r="J248" s="328"/>
      <c r="K248" s="328"/>
      <c r="L248" s="328"/>
      <c r="M248" s="328"/>
      <c r="R248" s="328"/>
      <c r="S248" s="328"/>
      <c r="T248" s="328"/>
      <c r="U248" s="328"/>
      <c r="V248" s="328"/>
      <c r="W248" s="328"/>
      <c r="X248" s="328"/>
      <c r="Y248" s="328"/>
      <c r="Z248" s="328"/>
      <c r="AA248" s="328"/>
      <c r="AB248" s="328"/>
    </row>
    <row r="249" ht="15.75" customHeight="1">
      <c r="B249" s="328"/>
      <c r="C249" s="328"/>
      <c r="D249" s="328"/>
      <c r="E249" s="328"/>
      <c r="F249" s="328"/>
      <c r="G249" s="328"/>
      <c r="H249" s="328"/>
      <c r="I249" s="328"/>
      <c r="J249" s="328"/>
      <c r="K249" s="328"/>
      <c r="L249" s="328"/>
      <c r="M249" s="328"/>
      <c r="R249" s="328"/>
      <c r="S249" s="328"/>
      <c r="T249" s="328"/>
      <c r="U249" s="328"/>
      <c r="V249" s="328"/>
      <c r="W249" s="328"/>
      <c r="X249" s="328"/>
      <c r="Y249" s="328"/>
      <c r="Z249" s="328"/>
      <c r="AA249" s="328"/>
      <c r="AB249" s="328"/>
    </row>
    <row r="250" ht="15.75" customHeight="1">
      <c r="B250" s="328"/>
      <c r="C250" s="328"/>
      <c r="D250" s="328"/>
      <c r="E250" s="328"/>
      <c r="F250" s="328"/>
      <c r="G250" s="328"/>
      <c r="H250" s="328"/>
      <c r="I250" s="328"/>
      <c r="J250" s="328"/>
      <c r="K250" s="328"/>
      <c r="L250" s="328"/>
      <c r="M250" s="328"/>
      <c r="R250" s="328"/>
      <c r="S250" s="328"/>
      <c r="T250" s="328"/>
      <c r="U250" s="328"/>
      <c r="V250" s="328"/>
      <c r="W250" s="328"/>
      <c r="X250" s="328"/>
      <c r="Y250" s="328"/>
      <c r="Z250" s="328"/>
      <c r="AA250" s="328"/>
      <c r="AB250" s="328"/>
    </row>
    <row r="251" ht="15.75" customHeight="1">
      <c r="B251" s="328"/>
      <c r="C251" s="328"/>
      <c r="D251" s="328"/>
      <c r="E251" s="328"/>
      <c r="F251" s="328"/>
      <c r="G251" s="328"/>
      <c r="H251" s="328"/>
      <c r="I251" s="328"/>
      <c r="J251" s="328"/>
      <c r="K251" s="328"/>
      <c r="L251" s="328"/>
      <c r="M251" s="328"/>
      <c r="R251" s="328"/>
      <c r="S251" s="328"/>
      <c r="T251" s="328"/>
      <c r="U251" s="328"/>
      <c r="V251" s="328"/>
      <c r="W251" s="328"/>
      <c r="X251" s="328"/>
      <c r="Y251" s="328"/>
      <c r="Z251" s="328"/>
      <c r="AA251" s="328"/>
      <c r="AB251" s="328"/>
    </row>
    <row r="252" ht="15.75" customHeight="1">
      <c r="B252" s="328"/>
      <c r="C252" s="328"/>
      <c r="D252" s="328"/>
      <c r="E252" s="328"/>
      <c r="F252" s="328"/>
      <c r="G252" s="328"/>
      <c r="H252" s="328"/>
      <c r="I252" s="328"/>
      <c r="J252" s="328"/>
      <c r="K252" s="328"/>
      <c r="L252" s="328"/>
      <c r="M252" s="328"/>
      <c r="R252" s="328"/>
      <c r="S252" s="328"/>
      <c r="T252" s="328"/>
      <c r="U252" s="328"/>
      <c r="V252" s="328"/>
      <c r="W252" s="328"/>
      <c r="X252" s="328"/>
      <c r="Y252" s="328"/>
      <c r="Z252" s="328"/>
      <c r="AA252" s="328"/>
      <c r="AB252" s="328"/>
    </row>
    <row r="253" ht="15.75" customHeight="1">
      <c r="B253" s="328"/>
      <c r="C253" s="328"/>
      <c r="D253" s="328"/>
      <c r="E253" s="328"/>
      <c r="F253" s="328"/>
      <c r="G253" s="328"/>
      <c r="H253" s="328"/>
      <c r="I253" s="328"/>
      <c r="J253" s="328"/>
      <c r="K253" s="328"/>
      <c r="L253" s="328"/>
      <c r="M253" s="328"/>
      <c r="R253" s="328"/>
      <c r="S253" s="328"/>
      <c r="T253" s="328"/>
      <c r="U253" s="328"/>
      <c r="V253" s="328"/>
      <c r="W253" s="328"/>
      <c r="X253" s="328"/>
      <c r="Y253" s="328"/>
      <c r="Z253" s="328"/>
      <c r="AA253" s="328"/>
      <c r="AB253" s="328"/>
    </row>
    <row r="254" ht="15.75" customHeight="1">
      <c r="B254" s="328"/>
      <c r="C254" s="328"/>
      <c r="D254" s="328"/>
      <c r="E254" s="328"/>
      <c r="F254" s="328"/>
      <c r="G254" s="328"/>
      <c r="H254" s="328"/>
      <c r="I254" s="328"/>
      <c r="J254" s="328"/>
      <c r="K254" s="328"/>
      <c r="L254" s="328"/>
      <c r="M254" s="328"/>
      <c r="R254" s="328"/>
      <c r="S254" s="328"/>
      <c r="T254" s="328"/>
      <c r="U254" s="328"/>
      <c r="V254" s="328"/>
      <c r="W254" s="328"/>
      <c r="X254" s="328"/>
      <c r="Y254" s="328"/>
      <c r="Z254" s="328"/>
      <c r="AA254" s="328"/>
      <c r="AB254" s="328"/>
    </row>
    <row r="255" ht="15.75" customHeight="1">
      <c r="B255" s="328"/>
      <c r="C255" s="328"/>
      <c r="D255" s="328"/>
      <c r="E255" s="328"/>
      <c r="F255" s="328"/>
      <c r="G255" s="328"/>
      <c r="H255" s="328"/>
      <c r="I255" s="328"/>
      <c r="J255" s="328"/>
      <c r="K255" s="328"/>
      <c r="L255" s="328"/>
      <c r="M255" s="328"/>
      <c r="R255" s="328"/>
      <c r="S255" s="328"/>
      <c r="T255" s="328"/>
      <c r="U255" s="328"/>
      <c r="V255" s="328"/>
      <c r="W255" s="328"/>
      <c r="X255" s="328"/>
      <c r="Y255" s="328"/>
      <c r="Z255" s="328"/>
      <c r="AA255" s="328"/>
      <c r="AB255" s="328"/>
    </row>
    <row r="256" ht="15.75" customHeight="1">
      <c r="B256" s="328"/>
      <c r="C256" s="328"/>
      <c r="D256" s="328"/>
      <c r="E256" s="328"/>
      <c r="F256" s="328"/>
      <c r="G256" s="328"/>
      <c r="H256" s="328"/>
      <c r="I256" s="328"/>
      <c r="J256" s="328"/>
      <c r="K256" s="328"/>
      <c r="L256" s="328"/>
      <c r="M256" s="328"/>
      <c r="R256" s="328"/>
      <c r="S256" s="328"/>
      <c r="T256" s="328"/>
      <c r="U256" s="328"/>
      <c r="V256" s="328"/>
      <c r="W256" s="328"/>
      <c r="X256" s="328"/>
      <c r="Y256" s="328"/>
      <c r="Z256" s="328"/>
      <c r="AA256" s="328"/>
      <c r="AB256" s="328"/>
    </row>
    <row r="257" ht="15.75" customHeight="1">
      <c r="B257" s="328"/>
      <c r="C257" s="328"/>
      <c r="D257" s="328"/>
      <c r="E257" s="328"/>
      <c r="F257" s="328"/>
      <c r="G257" s="328"/>
      <c r="H257" s="328"/>
      <c r="I257" s="328"/>
      <c r="J257" s="328"/>
      <c r="K257" s="328"/>
      <c r="L257" s="328"/>
      <c r="M257" s="328"/>
      <c r="R257" s="328"/>
      <c r="S257" s="328"/>
      <c r="T257" s="328"/>
      <c r="U257" s="328"/>
      <c r="V257" s="328"/>
      <c r="W257" s="328"/>
      <c r="X257" s="328"/>
      <c r="Y257" s="328"/>
      <c r="Z257" s="328"/>
      <c r="AA257" s="328"/>
      <c r="AB257" s="328"/>
    </row>
    <row r="258" ht="15.75" customHeight="1">
      <c r="B258" s="328"/>
      <c r="C258" s="328"/>
      <c r="D258" s="328"/>
      <c r="E258" s="328"/>
      <c r="F258" s="328"/>
      <c r="G258" s="328"/>
      <c r="H258" s="328"/>
      <c r="I258" s="328"/>
      <c r="J258" s="328"/>
      <c r="K258" s="328"/>
      <c r="L258" s="328"/>
      <c r="M258" s="328"/>
      <c r="R258" s="328"/>
      <c r="S258" s="328"/>
      <c r="T258" s="328"/>
      <c r="U258" s="328"/>
      <c r="V258" s="328"/>
      <c r="W258" s="328"/>
      <c r="X258" s="328"/>
      <c r="Y258" s="328"/>
      <c r="Z258" s="328"/>
      <c r="AA258" s="328"/>
      <c r="AB258" s="328"/>
    </row>
    <row r="259" ht="15.75" customHeight="1">
      <c r="B259" s="328"/>
      <c r="C259" s="328"/>
      <c r="D259" s="328"/>
      <c r="E259" s="328"/>
      <c r="F259" s="328"/>
      <c r="G259" s="328"/>
      <c r="H259" s="328"/>
      <c r="I259" s="328"/>
      <c r="J259" s="328"/>
      <c r="K259" s="328"/>
      <c r="L259" s="328"/>
      <c r="M259" s="328"/>
      <c r="R259" s="328"/>
      <c r="S259" s="328"/>
      <c r="T259" s="328"/>
      <c r="U259" s="328"/>
      <c r="V259" s="328"/>
      <c r="W259" s="328"/>
      <c r="X259" s="328"/>
      <c r="Y259" s="328"/>
      <c r="Z259" s="328"/>
      <c r="AA259" s="328"/>
      <c r="AB259" s="328"/>
    </row>
    <row r="260" ht="15.75" customHeight="1">
      <c r="B260" s="328"/>
      <c r="C260" s="328"/>
      <c r="D260" s="328"/>
      <c r="E260" s="328"/>
      <c r="F260" s="328"/>
      <c r="G260" s="328"/>
      <c r="H260" s="328"/>
      <c r="I260" s="328"/>
      <c r="J260" s="328"/>
      <c r="K260" s="328"/>
      <c r="L260" s="328"/>
      <c r="M260" s="328"/>
      <c r="R260" s="328"/>
      <c r="S260" s="328"/>
      <c r="T260" s="328"/>
      <c r="U260" s="328"/>
      <c r="V260" s="328"/>
      <c r="W260" s="328"/>
      <c r="X260" s="328"/>
      <c r="Y260" s="328"/>
      <c r="Z260" s="328"/>
      <c r="AA260" s="328"/>
      <c r="AB260" s="328"/>
    </row>
    <row r="261" ht="15.75" customHeight="1">
      <c r="B261" s="328"/>
      <c r="C261" s="328"/>
      <c r="D261" s="328"/>
      <c r="E261" s="328"/>
      <c r="F261" s="328"/>
      <c r="G261" s="328"/>
      <c r="H261" s="328"/>
      <c r="I261" s="328"/>
      <c r="J261" s="328"/>
      <c r="K261" s="328"/>
      <c r="L261" s="328"/>
      <c r="M261" s="328"/>
      <c r="R261" s="328"/>
      <c r="S261" s="328"/>
      <c r="T261" s="328"/>
      <c r="U261" s="328"/>
      <c r="V261" s="328"/>
      <c r="W261" s="328"/>
      <c r="X261" s="328"/>
      <c r="Y261" s="328"/>
      <c r="Z261" s="328"/>
      <c r="AA261" s="328"/>
      <c r="AB261" s="328"/>
    </row>
    <row r="262" ht="15.75" customHeight="1">
      <c r="B262" s="328"/>
      <c r="C262" s="328"/>
      <c r="D262" s="328"/>
      <c r="E262" s="328"/>
      <c r="F262" s="328"/>
      <c r="G262" s="328"/>
      <c r="H262" s="328"/>
      <c r="I262" s="328"/>
      <c r="J262" s="328"/>
      <c r="K262" s="328"/>
      <c r="L262" s="328"/>
      <c r="M262" s="328"/>
      <c r="R262" s="328"/>
      <c r="S262" s="328"/>
      <c r="T262" s="328"/>
      <c r="U262" s="328"/>
      <c r="V262" s="328"/>
      <c r="W262" s="328"/>
      <c r="X262" s="328"/>
      <c r="Y262" s="328"/>
      <c r="Z262" s="328"/>
      <c r="AA262" s="328"/>
      <c r="AB262" s="328"/>
    </row>
    <row r="263" ht="15.75" customHeight="1">
      <c r="B263" s="328"/>
      <c r="C263" s="328"/>
      <c r="D263" s="328"/>
      <c r="E263" s="328"/>
      <c r="F263" s="328"/>
      <c r="G263" s="328"/>
      <c r="H263" s="328"/>
      <c r="I263" s="328"/>
      <c r="J263" s="328"/>
      <c r="K263" s="328"/>
      <c r="L263" s="328"/>
      <c r="M263" s="328"/>
      <c r="R263" s="328"/>
      <c r="S263" s="328"/>
      <c r="T263" s="328"/>
      <c r="U263" s="328"/>
      <c r="V263" s="328"/>
      <c r="W263" s="328"/>
      <c r="X263" s="328"/>
      <c r="Y263" s="328"/>
      <c r="Z263" s="328"/>
      <c r="AA263" s="328"/>
      <c r="AB263" s="328"/>
    </row>
    <row r="264" ht="15.75" customHeight="1">
      <c r="B264" s="328"/>
      <c r="C264" s="328"/>
      <c r="D264" s="328"/>
      <c r="E264" s="328"/>
      <c r="F264" s="328"/>
      <c r="G264" s="328"/>
      <c r="H264" s="328"/>
      <c r="I264" s="328"/>
      <c r="J264" s="328"/>
      <c r="K264" s="328"/>
      <c r="L264" s="328"/>
      <c r="M264" s="328"/>
      <c r="R264" s="328"/>
      <c r="S264" s="328"/>
      <c r="T264" s="328"/>
      <c r="U264" s="328"/>
      <c r="V264" s="328"/>
      <c r="W264" s="328"/>
      <c r="X264" s="328"/>
      <c r="Y264" s="328"/>
      <c r="Z264" s="328"/>
      <c r="AA264" s="328"/>
      <c r="AB264" s="328"/>
    </row>
    <row r="265" ht="15.75" customHeight="1">
      <c r="B265" s="328"/>
      <c r="C265" s="328"/>
      <c r="D265" s="328"/>
      <c r="E265" s="328"/>
      <c r="F265" s="328"/>
      <c r="G265" s="328"/>
      <c r="H265" s="328"/>
      <c r="I265" s="328"/>
      <c r="J265" s="328"/>
      <c r="K265" s="328"/>
      <c r="L265" s="328"/>
      <c r="M265" s="328"/>
      <c r="R265" s="328"/>
      <c r="S265" s="328"/>
      <c r="T265" s="328"/>
      <c r="U265" s="328"/>
      <c r="V265" s="328"/>
      <c r="W265" s="328"/>
      <c r="X265" s="328"/>
      <c r="Y265" s="328"/>
      <c r="Z265" s="328"/>
      <c r="AA265" s="328"/>
      <c r="AB265" s="328"/>
    </row>
    <row r="266" ht="15.75" customHeight="1">
      <c r="B266" s="328"/>
      <c r="C266" s="328"/>
      <c r="D266" s="328"/>
      <c r="E266" s="328"/>
      <c r="F266" s="328"/>
      <c r="G266" s="328"/>
      <c r="H266" s="328"/>
      <c r="I266" s="328"/>
      <c r="J266" s="328"/>
      <c r="K266" s="328"/>
      <c r="L266" s="328"/>
      <c r="M266" s="328"/>
      <c r="R266" s="328"/>
      <c r="S266" s="328"/>
      <c r="T266" s="328"/>
      <c r="U266" s="328"/>
      <c r="V266" s="328"/>
      <c r="W266" s="328"/>
      <c r="X266" s="328"/>
      <c r="Y266" s="328"/>
      <c r="Z266" s="328"/>
      <c r="AA266" s="328"/>
      <c r="AB266" s="328"/>
    </row>
    <row r="267" ht="15.75" customHeight="1">
      <c r="B267" s="328"/>
      <c r="C267" s="328"/>
      <c r="D267" s="328"/>
      <c r="E267" s="328"/>
      <c r="F267" s="328"/>
      <c r="G267" s="328"/>
      <c r="H267" s="328"/>
      <c r="I267" s="328"/>
      <c r="J267" s="328"/>
      <c r="K267" s="328"/>
      <c r="L267" s="328"/>
      <c r="M267" s="328"/>
      <c r="R267" s="328"/>
      <c r="S267" s="328"/>
      <c r="T267" s="328"/>
      <c r="U267" s="328"/>
      <c r="V267" s="328"/>
      <c r="W267" s="328"/>
      <c r="X267" s="328"/>
      <c r="Y267" s="328"/>
      <c r="Z267" s="328"/>
      <c r="AA267" s="328"/>
      <c r="AB267" s="328"/>
    </row>
    <row r="268" ht="15.75" customHeight="1">
      <c r="B268" s="328"/>
      <c r="C268" s="328"/>
      <c r="D268" s="328"/>
      <c r="E268" s="328"/>
      <c r="F268" s="328"/>
      <c r="G268" s="328"/>
      <c r="H268" s="328"/>
      <c r="I268" s="328"/>
      <c r="J268" s="328"/>
      <c r="K268" s="328"/>
      <c r="L268" s="328"/>
      <c r="M268" s="328"/>
      <c r="R268" s="328"/>
      <c r="S268" s="328"/>
      <c r="T268" s="328"/>
      <c r="U268" s="328"/>
      <c r="V268" s="328"/>
      <c r="W268" s="328"/>
      <c r="X268" s="328"/>
      <c r="Y268" s="328"/>
      <c r="Z268" s="328"/>
      <c r="AA268" s="328"/>
      <c r="AB268" s="328"/>
    </row>
    <row r="269" ht="15.75" customHeight="1">
      <c r="B269" s="328"/>
      <c r="C269" s="328"/>
      <c r="D269" s="328"/>
      <c r="E269" s="328"/>
      <c r="F269" s="328"/>
      <c r="G269" s="328"/>
      <c r="H269" s="328"/>
      <c r="I269" s="328"/>
      <c r="J269" s="328"/>
      <c r="K269" s="328"/>
      <c r="L269" s="328"/>
      <c r="M269" s="328"/>
      <c r="R269" s="328"/>
      <c r="S269" s="328"/>
      <c r="T269" s="328"/>
      <c r="U269" s="328"/>
      <c r="V269" s="328"/>
      <c r="W269" s="328"/>
      <c r="X269" s="328"/>
      <c r="Y269" s="328"/>
      <c r="Z269" s="328"/>
      <c r="AA269" s="328"/>
      <c r="AB269" s="328"/>
    </row>
    <row r="270" ht="15.75" customHeight="1">
      <c r="B270" s="328"/>
      <c r="C270" s="328"/>
      <c r="D270" s="328"/>
      <c r="E270" s="328"/>
      <c r="F270" s="328"/>
      <c r="G270" s="328"/>
      <c r="H270" s="328"/>
      <c r="I270" s="328"/>
      <c r="J270" s="328"/>
      <c r="K270" s="328"/>
      <c r="L270" s="328"/>
      <c r="M270" s="328"/>
      <c r="R270" s="328"/>
      <c r="S270" s="328"/>
      <c r="T270" s="328"/>
      <c r="U270" s="328"/>
      <c r="V270" s="328"/>
      <c r="W270" s="328"/>
      <c r="X270" s="328"/>
      <c r="Y270" s="328"/>
      <c r="Z270" s="328"/>
      <c r="AA270" s="328"/>
      <c r="AB270" s="328"/>
    </row>
    <row r="271" ht="15.75" customHeight="1">
      <c r="B271" s="328"/>
      <c r="C271" s="328"/>
      <c r="D271" s="328"/>
      <c r="E271" s="328"/>
      <c r="F271" s="328"/>
      <c r="G271" s="328"/>
      <c r="H271" s="328"/>
      <c r="I271" s="328"/>
      <c r="J271" s="328"/>
      <c r="K271" s="328"/>
      <c r="L271" s="328"/>
      <c r="M271" s="328"/>
      <c r="R271" s="328"/>
      <c r="S271" s="328"/>
      <c r="T271" s="328"/>
      <c r="U271" s="328"/>
      <c r="V271" s="328"/>
      <c r="W271" s="328"/>
      <c r="X271" s="328"/>
      <c r="Y271" s="328"/>
      <c r="Z271" s="328"/>
      <c r="AA271" s="328"/>
      <c r="AB271" s="328"/>
    </row>
    <row r="272" ht="15.75" customHeight="1">
      <c r="B272" s="328"/>
      <c r="C272" s="328"/>
      <c r="D272" s="328"/>
      <c r="E272" s="328"/>
      <c r="F272" s="328"/>
      <c r="G272" s="328"/>
      <c r="H272" s="328"/>
      <c r="I272" s="328"/>
      <c r="J272" s="328"/>
      <c r="K272" s="328"/>
      <c r="L272" s="328"/>
      <c r="M272" s="328"/>
      <c r="R272" s="328"/>
      <c r="S272" s="328"/>
      <c r="T272" s="328"/>
      <c r="U272" s="328"/>
      <c r="V272" s="328"/>
      <c r="W272" s="328"/>
      <c r="X272" s="328"/>
      <c r="Y272" s="328"/>
      <c r="Z272" s="328"/>
      <c r="AA272" s="328"/>
      <c r="AB272" s="328"/>
    </row>
    <row r="273" ht="15.75" customHeight="1">
      <c r="B273" s="328"/>
      <c r="C273" s="328"/>
      <c r="D273" s="328"/>
      <c r="E273" s="328"/>
      <c r="F273" s="328"/>
      <c r="G273" s="328"/>
      <c r="H273" s="328"/>
      <c r="I273" s="328"/>
      <c r="J273" s="328"/>
      <c r="K273" s="328"/>
      <c r="L273" s="328"/>
      <c r="M273" s="328"/>
      <c r="R273" s="328"/>
      <c r="S273" s="328"/>
      <c r="T273" s="328"/>
      <c r="U273" s="328"/>
      <c r="V273" s="328"/>
      <c r="W273" s="328"/>
      <c r="X273" s="328"/>
      <c r="Y273" s="328"/>
      <c r="Z273" s="328"/>
      <c r="AA273" s="328"/>
      <c r="AB273" s="328"/>
    </row>
    <row r="274" ht="15.75" customHeight="1">
      <c r="B274" s="328"/>
      <c r="C274" s="328"/>
      <c r="D274" s="328"/>
      <c r="E274" s="328"/>
      <c r="F274" s="328"/>
      <c r="G274" s="328"/>
      <c r="H274" s="328"/>
      <c r="I274" s="328"/>
      <c r="J274" s="328"/>
      <c r="K274" s="328"/>
      <c r="L274" s="328"/>
      <c r="M274" s="328"/>
      <c r="R274" s="328"/>
      <c r="S274" s="328"/>
      <c r="T274" s="328"/>
      <c r="U274" s="328"/>
      <c r="V274" s="328"/>
      <c r="W274" s="328"/>
      <c r="X274" s="328"/>
      <c r="Y274" s="328"/>
      <c r="Z274" s="328"/>
      <c r="AA274" s="328"/>
      <c r="AB274" s="328"/>
    </row>
    <row r="275" ht="15.75" customHeight="1">
      <c r="B275" s="328"/>
      <c r="C275" s="328"/>
      <c r="D275" s="328"/>
      <c r="E275" s="328"/>
      <c r="F275" s="328"/>
      <c r="G275" s="328"/>
      <c r="H275" s="328"/>
      <c r="I275" s="328"/>
      <c r="J275" s="328"/>
      <c r="K275" s="328"/>
      <c r="L275" s="328"/>
      <c r="M275" s="328"/>
      <c r="R275" s="328"/>
      <c r="S275" s="328"/>
      <c r="T275" s="328"/>
      <c r="U275" s="328"/>
      <c r="V275" s="328"/>
      <c r="W275" s="328"/>
      <c r="X275" s="328"/>
      <c r="Y275" s="328"/>
      <c r="Z275" s="328"/>
      <c r="AA275" s="328"/>
      <c r="AB275" s="328"/>
    </row>
    <row r="276" ht="15.75" customHeight="1">
      <c r="B276" s="328"/>
      <c r="C276" s="328"/>
      <c r="D276" s="328"/>
      <c r="E276" s="328"/>
      <c r="F276" s="328"/>
      <c r="G276" s="328"/>
      <c r="H276" s="328"/>
      <c r="I276" s="328"/>
      <c r="J276" s="328"/>
      <c r="K276" s="328"/>
      <c r="L276" s="328"/>
      <c r="M276" s="328"/>
      <c r="R276" s="328"/>
      <c r="S276" s="328"/>
      <c r="T276" s="328"/>
      <c r="U276" s="328"/>
      <c r="V276" s="328"/>
      <c r="W276" s="328"/>
      <c r="X276" s="328"/>
      <c r="Y276" s="328"/>
      <c r="Z276" s="328"/>
      <c r="AA276" s="328"/>
      <c r="AB276" s="328"/>
    </row>
    <row r="277" ht="15.75" customHeight="1">
      <c r="B277" s="328"/>
      <c r="C277" s="328"/>
      <c r="D277" s="328"/>
      <c r="E277" s="328"/>
      <c r="F277" s="328"/>
      <c r="G277" s="328"/>
      <c r="H277" s="328"/>
      <c r="I277" s="328"/>
      <c r="J277" s="328"/>
      <c r="K277" s="328"/>
      <c r="L277" s="328"/>
      <c r="M277" s="328"/>
      <c r="R277" s="328"/>
      <c r="S277" s="328"/>
      <c r="T277" s="328"/>
      <c r="U277" s="328"/>
      <c r="V277" s="328"/>
      <c r="W277" s="328"/>
      <c r="X277" s="328"/>
      <c r="Y277" s="328"/>
      <c r="Z277" s="328"/>
      <c r="AA277" s="328"/>
      <c r="AB277" s="328"/>
    </row>
    <row r="278" ht="15.75" customHeight="1">
      <c r="B278" s="328"/>
      <c r="C278" s="328"/>
      <c r="D278" s="328"/>
      <c r="E278" s="328"/>
      <c r="F278" s="328"/>
      <c r="G278" s="328"/>
      <c r="H278" s="328"/>
      <c r="I278" s="328"/>
      <c r="J278" s="328"/>
      <c r="K278" s="328"/>
      <c r="L278" s="328"/>
      <c r="M278" s="328"/>
      <c r="R278" s="328"/>
      <c r="S278" s="328"/>
      <c r="T278" s="328"/>
      <c r="U278" s="328"/>
      <c r="V278" s="328"/>
      <c r="W278" s="328"/>
      <c r="X278" s="328"/>
      <c r="Y278" s="328"/>
      <c r="Z278" s="328"/>
      <c r="AA278" s="328"/>
      <c r="AB278" s="328"/>
    </row>
    <row r="279" ht="15.75" customHeight="1">
      <c r="B279" s="328"/>
      <c r="C279" s="328"/>
      <c r="D279" s="328"/>
      <c r="E279" s="328"/>
      <c r="F279" s="328"/>
      <c r="G279" s="328"/>
      <c r="H279" s="328"/>
      <c r="I279" s="328"/>
      <c r="J279" s="328"/>
      <c r="K279" s="328"/>
      <c r="L279" s="328"/>
      <c r="M279" s="328"/>
      <c r="R279" s="328"/>
      <c r="S279" s="328"/>
      <c r="T279" s="328"/>
      <c r="U279" s="328"/>
      <c r="V279" s="328"/>
      <c r="W279" s="328"/>
      <c r="X279" s="328"/>
      <c r="Y279" s="328"/>
      <c r="Z279" s="328"/>
      <c r="AA279" s="328"/>
      <c r="AB279" s="328"/>
    </row>
    <row r="280" ht="15.75" customHeight="1">
      <c r="B280" s="328"/>
      <c r="C280" s="328"/>
      <c r="D280" s="328"/>
      <c r="E280" s="328"/>
      <c r="F280" s="328"/>
      <c r="G280" s="328"/>
      <c r="H280" s="328"/>
      <c r="I280" s="328"/>
      <c r="J280" s="328"/>
      <c r="K280" s="328"/>
      <c r="L280" s="328"/>
      <c r="M280" s="328"/>
      <c r="R280" s="328"/>
      <c r="S280" s="328"/>
      <c r="T280" s="328"/>
      <c r="U280" s="328"/>
      <c r="V280" s="328"/>
      <c r="W280" s="328"/>
      <c r="X280" s="328"/>
      <c r="Y280" s="328"/>
      <c r="Z280" s="328"/>
      <c r="AA280" s="328"/>
      <c r="AB280" s="328"/>
    </row>
    <row r="281" ht="15.75" customHeight="1">
      <c r="B281" s="328"/>
      <c r="C281" s="328"/>
      <c r="D281" s="328"/>
      <c r="E281" s="328"/>
      <c r="F281" s="328"/>
      <c r="G281" s="328"/>
      <c r="H281" s="328"/>
      <c r="I281" s="328"/>
      <c r="J281" s="328"/>
      <c r="K281" s="328"/>
      <c r="L281" s="328"/>
      <c r="M281" s="328"/>
      <c r="R281" s="328"/>
      <c r="S281" s="328"/>
      <c r="T281" s="328"/>
      <c r="U281" s="328"/>
      <c r="V281" s="328"/>
      <c r="W281" s="328"/>
      <c r="X281" s="328"/>
      <c r="Y281" s="328"/>
      <c r="Z281" s="328"/>
      <c r="AA281" s="328"/>
      <c r="AB281" s="328"/>
    </row>
    <row r="282" ht="15.75" customHeight="1">
      <c r="B282" s="328"/>
      <c r="C282" s="328"/>
      <c r="D282" s="328"/>
      <c r="E282" s="328"/>
      <c r="F282" s="328"/>
      <c r="G282" s="328"/>
      <c r="H282" s="328"/>
      <c r="I282" s="328"/>
      <c r="J282" s="328"/>
      <c r="K282" s="328"/>
      <c r="L282" s="328"/>
      <c r="M282" s="328"/>
      <c r="R282" s="328"/>
      <c r="S282" s="328"/>
      <c r="T282" s="328"/>
      <c r="U282" s="328"/>
      <c r="V282" s="328"/>
      <c r="W282" s="328"/>
      <c r="X282" s="328"/>
      <c r="Y282" s="328"/>
      <c r="Z282" s="328"/>
      <c r="AA282" s="328"/>
      <c r="AB282" s="328"/>
    </row>
    <row r="283" ht="15.75" customHeight="1">
      <c r="B283" s="328"/>
      <c r="C283" s="328"/>
      <c r="D283" s="328"/>
      <c r="E283" s="328"/>
      <c r="F283" s="328"/>
      <c r="G283" s="328"/>
      <c r="H283" s="328"/>
      <c r="I283" s="328"/>
      <c r="J283" s="328"/>
      <c r="K283" s="328"/>
      <c r="L283" s="328"/>
      <c r="M283" s="328"/>
      <c r="R283" s="328"/>
      <c r="S283" s="328"/>
      <c r="T283" s="328"/>
      <c r="U283" s="328"/>
      <c r="V283" s="328"/>
      <c r="W283" s="328"/>
      <c r="X283" s="328"/>
      <c r="Y283" s="328"/>
      <c r="Z283" s="328"/>
      <c r="AA283" s="328"/>
      <c r="AB283" s="328"/>
    </row>
    <row r="284" ht="15.75" customHeight="1">
      <c r="B284" s="328"/>
      <c r="C284" s="328"/>
      <c r="D284" s="328"/>
      <c r="E284" s="328"/>
      <c r="F284" s="328"/>
      <c r="G284" s="328"/>
      <c r="H284" s="328"/>
      <c r="I284" s="328"/>
      <c r="J284" s="328"/>
      <c r="K284" s="328"/>
      <c r="L284" s="328"/>
      <c r="M284" s="328"/>
      <c r="R284" s="328"/>
      <c r="S284" s="328"/>
      <c r="T284" s="328"/>
      <c r="U284" s="328"/>
      <c r="V284" s="328"/>
      <c r="W284" s="328"/>
      <c r="X284" s="328"/>
      <c r="Y284" s="328"/>
      <c r="Z284" s="328"/>
      <c r="AA284" s="328"/>
      <c r="AB284" s="328"/>
    </row>
    <row r="285" ht="15.75" customHeight="1">
      <c r="B285" s="328"/>
      <c r="C285" s="328"/>
      <c r="D285" s="328"/>
      <c r="E285" s="328"/>
      <c r="F285" s="328"/>
      <c r="G285" s="328"/>
      <c r="H285" s="328"/>
      <c r="I285" s="328"/>
      <c r="J285" s="328"/>
      <c r="K285" s="328"/>
      <c r="L285" s="328"/>
      <c r="M285" s="328"/>
      <c r="R285" s="328"/>
      <c r="S285" s="328"/>
      <c r="T285" s="328"/>
      <c r="U285" s="328"/>
      <c r="V285" s="328"/>
      <c r="W285" s="328"/>
      <c r="X285" s="328"/>
      <c r="Y285" s="328"/>
      <c r="Z285" s="328"/>
      <c r="AA285" s="328"/>
      <c r="AB285" s="328"/>
    </row>
    <row r="286" ht="15.75" customHeight="1">
      <c r="B286" s="328"/>
      <c r="C286" s="328"/>
      <c r="D286" s="328"/>
      <c r="E286" s="328"/>
      <c r="F286" s="328"/>
      <c r="G286" s="328"/>
      <c r="H286" s="328"/>
      <c r="I286" s="328"/>
      <c r="J286" s="328"/>
      <c r="K286" s="328"/>
      <c r="L286" s="328"/>
      <c r="M286" s="328"/>
      <c r="R286" s="328"/>
      <c r="S286" s="328"/>
      <c r="T286" s="328"/>
      <c r="U286" s="328"/>
      <c r="V286" s="328"/>
      <c r="W286" s="328"/>
      <c r="X286" s="328"/>
      <c r="Y286" s="328"/>
      <c r="Z286" s="328"/>
      <c r="AA286" s="328"/>
      <c r="AB286" s="328"/>
    </row>
    <row r="287" ht="15.75" customHeight="1">
      <c r="B287" s="328"/>
      <c r="C287" s="328"/>
      <c r="D287" s="328"/>
      <c r="E287" s="328"/>
      <c r="F287" s="328"/>
      <c r="G287" s="328"/>
      <c r="H287" s="328"/>
      <c r="I287" s="328"/>
      <c r="J287" s="328"/>
      <c r="K287" s="328"/>
      <c r="L287" s="328"/>
      <c r="M287" s="328"/>
      <c r="R287" s="328"/>
      <c r="S287" s="328"/>
      <c r="T287" s="328"/>
      <c r="U287" s="328"/>
      <c r="V287" s="328"/>
      <c r="W287" s="328"/>
      <c r="X287" s="328"/>
      <c r="Y287" s="328"/>
      <c r="Z287" s="328"/>
      <c r="AA287" s="328"/>
      <c r="AB287" s="328"/>
    </row>
    <row r="288" ht="15.75" customHeight="1">
      <c r="B288" s="328"/>
      <c r="C288" s="328"/>
      <c r="D288" s="328"/>
      <c r="E288" s="328"/>
      <c r="F288" s="328"/>
      <c r="G288" s="328"/>
      <c r="H288" s="328"/>
      <c r="I288" s="328"/>
      <c r="J288" s="328"/>
      <c r="K288" s="328"/>
      <c r="L288" s="328"/>
      <c r="M288" s="328"/>
      <c r="R288" s="328"/>
      <c r="S288" s="328"/>
      <c r="T288" s="328"/>
      <c r="U288" s="328"/>
      <c r="V288" s="328"/>
      <c r="W288" s="328"/>
      <c r="X288" s="328"/>
      <c r="Y288" s="328"/>
      <c r="Z288" s="328"/>
      <c r="AA288" s="328"/>
      <c r="AB288" s="328"/>
    </row>
    <row r="289" ht="15.75" customHeight="1">
      <c r="B289" s="328"/>
      <c r="C289" s="328"/>
      <c r="D289" s="328"/>
      <c r="E289" s="328"/>
      <c r="F289" s="328"/>
      <c r="G289" s="328"/>
      <c r="H289" s="328"/>
      <c r="I289" s="328"/>
      <c r="J289" s="328"/>
      <c r="K289" s="328"/>
      <c r="L289" s="328"/>
      <c r="M289" s="328"/>
      <c r="R289" s="328"/>
      <c r="S289" s="328"/>
      <c r="T289" s="328"/>
      <c r="U289" s="328"/>
      <c r="V289" s="328"/>
      <c r="W289" s="328"/>
      <c r="X289" s="328"/>
      <c r="Y289" s="328"/>
      <c r="Z289" s="328"/>
      <c r="AA289" s="328"/>
      <c r="AB289" s="328"/>
    </row>
    <row r="290" ht="15.75" customHeight="1">
      <c r="B290" s="328"/>
      <c r="C290" s="328"/>
      <c r="D290" s="328"/>
      <c r="E290" s="328"/>
      <c r="F290" s="328"/>
      <c r="G290" s="328"/>
      <c r="H290" s="328"/>
      <c r="I290" s="328"/>
      <c r="J290" s="328"/>
      <c r="K290" s="328"/>
      <c r="L290" s="328"/>
      <c r="M290" s="328"/>
      <c r="R290" s="328"/>
      <c r="S290" s="328"/>
      <c r="T290" s="328"/>
      <c r="U290" s="328"/>
      <c r="V290" s="328"/>
      <c r="W290" s="328"/>
      <c r="X290" s="328"/>
      <c r="Y290" s="328"/>
      <c r="Z290" s="328"/>
      <c r="AA290" s="328"/>
      <c r="AB290" s="328"/>
    </row>
    <row r="291" ht="15.75" customHeight="1">
      <c r="B291" s="328"/>
      <c r="C291" s="328"/>
      <c r="D291" s="328"/>
      <c r="E291" s="328"/>
      <c r="F291" s="328"/>
      <c r="G291" s="328"/>
      <c r="H291" s="328"/>
      <c r="I291" s="328"/>
      <c r="J291" s="328"/>
      <c r="K291" s="328"/>
      <c r="L291" s="328"/>
      <c r="M291" s="328"/>
      <c r="R291" s="328"/>
      <c r="S291" s="328"/>
      <c r="T291" s="328"/>
      <c r="U291" s="328"/>
      <c r="V291" s="328"/>
      <c r="W291" s="328"/>
      <c r="X291" s="328"/>
      <c r="Y291" s="328"/>
      <c r="Z291" s="328"/>
      <c r="AA291" s="328"/>
      <c r="AB291" s="328"/>
    </row>
    <row r="292" ht="15.75" customHeight="1">
      <c r="B292" s="328"/>
      <c r="C292" s="328"/>
      <c r="D292" s="328"/>
      <c r="E292" s="328"/>
      <c r="F292" s="328"/>
      <c r="G292" s="328"/>
      <c r="H292" s="328"/>
      <c r="I292" s="328"/>
      <c r="J292" s="328"/>
      <c r="K292" s="328"/>
      <c r="L292" s="328"/>
      <c r="M292" s="328"/>
      <c r="R292" s="328"/>
      <c r="S292" s="328"/>
      <c r="T292" s="328"/>
      <c r="U292" s="328"/>
      <c r="V292" s="328"/>
      <c r="W292" s="328"/>
      <c r="X292" s="328"/>
      <c r="Y292" s="328"/>
      <c r="Z292" s="328"/>
      <c r="AA292" s="328"/>
      <c r="AB292" s="328"/>
    </row>
    <row r="293" ht="15.75" customHeight="1">
      <c r="B293" s="328"/>
      <c r="C293" s="328"/>
      <c r="D293" s="328"/>
      <c r="E293" s="328"/>
      <c r="F293" s="328"/>
      <c r="G293" s="328"/>
      <c r="H293" s="328"/>
      <c r="I293" s="328"/>
      <c r="J293" s="328"/>
      <c r="K293" s="328"/>
      <c r="L293" s="328"/>
      <c r="M293" s="328"/>
      <c r="R293" s="328"/>
      <c r="S293" s="328"/>
      <c r="T293" s="328"/>
      <c r="U293" s="328"/>
      <c r="V293" s="328"/>
      <c r="W293" s="328"/>
      <c r="X293" s="328"/>
      <c r="Y293" s="328"/>
      <c r="Z293" s="328"/>
      <c r="AA293" s="328"/>
      <c r="AB293" s="328"/>
    </row>
    <row r="294" ht="15.75" customHeight="1">
      <c r="B294" s="328"/>
      <c r="C294" s="328"/>
      <c r="D294" s="328"/>
      <c r="E294" s="328"/>
      <c r="F294" s="328"/>
      <c r="G294" s="328"/>
      <c r="H294" s="328"/>
      <c r="I294" s="328"/>
      <c r="J294" s="328"/>
      <c r="K294" s="328"/>
      <c r="L294" s="328"/>
      <c r="M294" s="328"/>
      <c r="R294" s="328"/>
      <c r="S294" s="328"/>
      <c r="T294" s="328"/>
      <c r="U294" s="328"/>
      <c r="V294" s="328"/>
      <c r="W294" s="328"/>
      <c r="X294" s="328"/>
      <c r="Y294" s="328"/>
      <c r="Z294" s="328"/>
      <c r="AA294" s="328"/>
      <c r="AB294" s="328"/>
    </row>
    <row r="295" ht="15.75" customHeight="1">
      <c r="B295" s="328"/>
      <c r="C295" s="328"/>
      <c r="D295" s="328"/>
      <c r="E295" s="328"/>
      <c r="F295" s="328"/>
      <c r="G295" s="328"/>
      <c r="H295" s="328"/>
      <c r="I295" s="328"/>
      <c r="J295" s="328"/>
      <c r="K295" s="328"/>
      <c r="L295" s="328"/>
      <c r="M295" s="328"/>
      <c r="R295" s="328"/>
      <c r="S295" s="328"/>
      <c r="T295" s="328"/>
      <c r="U295" s="328"/>
      <c r="V295" s="328"/>
      <c r="W295" s="328"/>
      <c r="X295" s="328"/>
      <c r="Y295" s="328"/>
      <c r="Z295" s="328"/>
      <c r="AA295" s="328"/>
      <c r="AB295" s="328"/>
    </row>
    <row r="296" ht="15.75" customHeight="1">
      <c r="B296" s="328"/>
      <c r="C296" s="328"/>
      <c r="D296" s="328"/>
      <c r="E296" s="328"/>
      <c r="F296" s="328"/>
      <c r="G296" s="328"/>
      <c r="H296" s="328"/>
      <c r="I296" s="328"/>
      <c r="J296" s="328"/>
      <c r="K296" s="328"/>
      <c r="L296" s="328"/>
      <c r="M296" s="328"/>
      <c r="R296" s="328"/>
      <c r="S296" s="328"/>
      <c r="T296" s="328"/>
      <c r="U296" s="328"/>
      <c r="V296" s="328"/>
      <c r="W296" s="328"/>
      <c r="X296" s="328"/>
      <c r="Y296" s="328"/>
      <c r="Z296" s="328"/>
      <c r="AA296" s="328"/>
      <c r="AB296" s="328"/>
    </row>
    <row r="297" ht="15.75" customHeight="1">
      <c r="B297" s="328"/>
      <c r="C297" s="328"/>
      <c r="D297" s="328"/>
      <c r="E297" s="328"/>
      <c r="F297" s="328"/>
      <c r="G297" s="328"/>
      <c r="H297" s="328"/>
      <c r="I297" s="328"/>
      <c r="J297" s="328"/>
      <c r="K297" s="328"/>
      <c r="L297" s="328"/>
      <c r="M297" s="328"/>
      <c r="R297" s="328"/>
      <c r="S297" s="328"/>
      <c r="T297" s="328"/>
      <c r="U297" s="328"/>
      <c r="V297" s="328"/>
      <c r="W297" s="328"/>
      <c r="X297" s="328"/>
      <c r="Y297" s="328"/>
      <c r="Z297" s="328"/>
      <c r="AA297" s="328"/>
      <c r="AB297" s="328"/>
    </row>
    <row r="298" ht="15.75" customHeight="1">
      <c r="B298" s="328"/>
      <c r="C298" s="328"/>
      <c r="D298" s="328"/>
      <c r="E298" s="328"/>
      <c r="F298" s="328"/>
      <c r="G298" s="328"/>
      <c r="H298" s="328"/>
      <c r="I298" s="328"/>
      <c r="J298" s="328"/>
      <c r="K298" s="328"/>
      <c r="L298" s="328"/>
      <c r="M298" s="328"/>
      <c r="R298" s="328"/>
      <c r="S298" s="328"/>
      <c r="T298" s="328"/>
      <c r="U298" s="328"/>
      <c r="V298" s="328"/>
      <c r="W298" s="328"/>
      <c r="X298" s="328"/>
      <c r="Y298" s="328"/>
      <c r="Z298" s="328"/>
      <c r="AA298" s="328"/>
      <c r="AB298" s="328"/>
    </row>
    <row r="299" ht="15.75" customHeight="1">
      <c r="B299" s="328"/>
      <c r="C299" s="328"/>
      <c r="D299" s="328"/>
      <c r="E299" s="328"/>
      <c r="F299" s="328"/>
      <c r="G299" s="328"/>
      <c r="H299" s="328"/>
      <c r="I299" s="328"/>
      <c r="J299" s="328"/>
      <c r="K299" s="328"/>
      <c r="L299" s="328"/>
      <c r="M299" s="328"/>
      <c r="R299" s="328"/>
      <c r="S299" s="328"/>
      <c r="T299" s="328"/>
      <c r="U299" s="328"/>
      <c r="V299" s="328"/>
      <c r="W299" s="328"/>
      <c r="X299" s="328"/>
      <c r="Y299" s="328"/>
      <c r="Z299" s="328"/>
      <c r="AA299" s="328"/>
      <c r="AB299" s="328"/>
    </row>
    <row r="300" ht="15.75" customHeight="1">
      <c r="B300" s="328"/>
      <c r="C300" s="328"/>
      <c r="D300" s="328"/>
      <c r="E300" s="328"/>
      <c r="F300" s="328"/>
      <c r="G300" s="328"/>
      <c r="H300" s="328"/>
      <c r="I300" s="328"/>
      <c r="J300" s="328"/>
      <c r="K300" s="328"/>
      <c r="L300" s="328"/>
      <c r="M300" s="328"/>
      <c r="R300" s="328"/>
      <c r="S300" s="328"/>
      <c r="T300" s="328"/>
      <c r="U300" s="328"/>
      <c r="V300" s="328"/>
      <c r="W300" s="328"/>
      <c r="X300" s="328"/>
      <c r="Y300" s="328"/>
      <c r="Z300" s="328"/>
      <c r="AA300" s="328"/>
      <c r="AB300" s="328"/>
    </row>
    <row r="301" ht="15.75" customHeight="1">
      <c r="B301" s="328"/>
      <c r="C301" s="328"/>
      <c r="D301" s="328"/>
      <c r="E301" s="328"/>
      <c r="F301" s="328"/>
      <c r="G301" s="328"/>
      <c r="H301" s="328"/>
      <c r="I301" s="328"/>
      <c r="J301" s="328"/>
      <c r="K301" s="328"/>
      <c r="L301" s="328"/>
      <c r="M301" s="328"/>
      <c r="R301" s="328"/>
      <c r="S301" s="328"/>
      <c r="T301" s="328"/>
      <c r="U301" s="328"/>
      <c r="V301" s="328"/>
      <c r="W301" s="328"/>
      <c r="X301" s="328"/>
      <c r="Y301" s="328"/>
      <c r="Z301" s="328"/>
      <c r="AA301" s="328"/>
      <c r="AB301" s="328"/>
    </row>
    <row r="302" ht="15.75" customHeight="1">
      <c r="B302" s="328"/>
      <c r="C302" s="328"/>
      <c r="D302" s="328"/>
      <c r="E302" s="328"/>
      <c r="F302" s="328"/>
      <c r="G302" s="328"/>
      <c r="H302" s="328"/>
      <c r="I302" s="328"/>
      <c r="J302" s="328"/>
      <c r="K302" s="328"/>
      <c r="L302" s="328"/>
      <c r="M302" s="328"/>
      <c r="R302" s="328"/>
      <c r="S302" s="328"/>
      <c r="T302" s="328"/>
      <c r="U302" s="328"/>
      <c r="V302" s="328"/>
      <c r="W302" s="328"/>
      <c r="X302" s="328"/>
      <c r="Y302" s="328"/>
      <c r="Z302" s="328"/>
      <c r="AA302" s="328"/>
      <c r="AB302" s="328"/>
    </row>
    <row r="303" ht="15.75" customHeight="1">
      <c r="B303" s="328"/>
      <c r="C303" s="328"/>
      <c r="D303" s="328"/>
      <c r="E303" s="328"/>
      <c r="F303" s="328"/>
      <c r="G303" s="328"/>
      <c r="H303" s="328"/>
      <c r="I303" s="328"/>
      <c r="J303" s="328"/>
      <c r="K303" s="328"/>
      <c r="L303" s="328"/>
      <c r="M303" s="328"/>
      <c r="R303" s="328"/>
      <c r="S303" s="328"/>
      <c r="T303" s="328"/>
      <c r="U303" s="328"/>
      <c r="V303" s="328"/>
      <c r="W303" s="328"/>
      <c r="X303" s="328"/>
      <c r="Y303" s="328"/>
      <c r="Z303" s="328"/>
      <c r="AA303" s="328"/>
      <c r="AB303" s="328"/>
    </row>
    <row r="304" ht="15.75" customHeight="1">
      <c r="B304" s="328"/>
      <c r="C304" s="328"/>
      <c r="D304" s="328"/>
      <c r="E304" s="328"/>
      <c r="F304" s="328"/>
      <c r="G304" s="328"/>
      <c r="H304" s="328"/>
      <c r="I304" s="328"/>
      <c r="J304" s="328"/>
      <c r="K304" s="328"/>
      <c r="L304" s="328"/>
      <c r="M304" s="328"/>
      <c r="R304" s="328"/>
      <c r="S304" s="328"/>
      <c r="T304" s="328"/>
      <c r="U304" s="328"/>
      <c r="V304" s="328"/>
      <c r="W304" s="328"/>
      <c r="X304" s="328"/>
      <c r="Y304" s="328"/>
      <c r="Z304" s="328"/>
      <c r="AA304" s="328"/>
      <c r="AB304" s="328"/>
    </row>
    <row r="305" ht="15.75" customHeight="1">
      <c r="B305" s="328"/>
      <c r="C305" s="328"/>
      <c r="D305" s="328"/>
      <c r="E305" s="328"/>
      <c r="F305" s="328"/>
      <c r="G305" s="328"/>
      <c r="H305" s="328"/>
      <c r="I305" s="328"/>
      <c r="J305" s="328"/>
      <c r="K305" s="328"/>
      <c r="L305" s="328"/>
      <c r="M305" s="328"/>
      <c r="R305" s="328"/>
      <c r="S305" s="328"/>
      <c r="T305" s="328"/>
      <c r="U305" s="328"/>
      <c r="V305" s="328"/>
      <c r="W305" s="328"/>
      <c r="X305" s="328"/>
      <c r="Y305" s="328"/>
      <c r="Z305" s="328"/>
      <c r="AA305" s="328"/>
      <c r="AB305" s="328"/>
    </row>
    <row r="306" ht="15.75" customHeight="1">
      <c r="B306" s="328"/>
      <c r="C306" s="328"/>
      <c r="D306" s="328"/>
      <c r="E306" s="328"/>
      <c r="F306" s="328"/>
      <c r="G306" s="328"/>
      <c r="H306" s="328"/>
      <c r="I306" s="328"/>
      <c r="J306" s="328"/>
      <c r="K306" s="328"/>
      <c r="L306" s="328"/>
      <c r="M306" s="328"/>
      <c r="R306" s="328"/>
      <c r="S306" s="328"/>
      <c r="T306" s="328"/>
      <c r="U306" s="328"/>
      <c r="V306" s="328"/>
      <c r="W306" s="328"/>
      <c r="X306" s="328"/>
      <c r="Y306" s="328"/>
      <c r="Z306" s="328"/>
      <c r="AA306" s="328"/>
      <c r="AB306" s="328"/>
    </row>
    <row r="307" ht="15.75" customHeight="1">
      <c r="B307" s="328"/>
      <c r="C307" s="328"/>
      <c r="D307" s="328"/>
      <c r="E307" s="328"/>
      <c r="F307" s="328"/>
      <c r="G307" s="328"/>
      <c r="H307" s="328"/>
      <c r="I307" s="328"/>
      <c r="J307" s="328"/>
      <c r="K307" s="328"/>
      <c r="L307" s="328"/>
      <c r="M307" s="328"/>
      <c r="R307" s="328"/>
      <c r="S307" s="328"/>
      <c r="T307" s="328"/>
      <c r="U307" s="328"/>
      <c r="V307" s="328"/>
      <c r="W307" s="328"/>
      <c r="X307" s="328"/>
      <c r="Y307" s="328"/>
      <c r="Z307" s="328"/>
      <c r="AA307" s="328"/>
      <c r="AB307" s="328"/>
    </row>
    <row r="308" ht="15.75" customHeight="1">
      <c r="B308" s="328"/>
      <c r="C308" s="328"/>
      <c r="D308" s="328"/>
      <c r="E308" s="328"/>
      <c r="F308" s="328"/>
      <c r="G308" s="328"/>
      <c r="H308" s="328"/>
      <c r="I308" s="328"/>
      <c r="J308" s="328"/>
      <c r="K308" s="328"/>
      <c r="L308" s="328"/>
      <c r="M308" s="328"/>
      <c r="R308" s="328"/>
      <c r="S308" s="328"/>
      <c r="T308" s="328"/>
      <c r="U308" s="328"/>
      <c r="V308" s="328"/>
      <c r="W308" s="328"/>
      <c r="X308" s="328"/>
      <c r="Y308" s="328"/>
      <c r="Z308" s="328"/>
      <c r="AA308" s="328"/>
      <c r="AB308" s="328"/>
    </row>
    <row r="309" ht="15.75" customHeight="1">
      <c r="B309" s="328"/>
      <c r="C309" s="328"/>
      <c r="D309" s="328"/>
      <c r="E309" s="328"/>
      <c r="F309" s="328"/>
      <c r="G309" s="328"/>
      <c r="H309" s="328"/>
      <c r="I309" s="328"/>
      <c r="J309" s="328"/>
      <c r="K309" s="328"/>
      <c r="L309" s="328"/>
      <c r="M309" s="328"/>
      <c r="R309" s="328"/>
      <c r="S309" s="328"/>
      <c r="T309" s="328"/>
      <c r="U309" s="328"/>
      <c r="V309" s="328"/>
      <c r="W309" s="328"/>
      <c r="X309" s="328"/>
      <c r="Y309" s="328"/>
      <c r="Z309" s="328"/>
      <c r="AA309" s="328"/>
      <c r="AB309" s="328"/>
    </row>
    <row r="310" ht="15.75" customHeight="1">
      <c r="B310" s="328"/>
      <c r="C310" s="328"/>
      <c r="D310" s="328"/>
      <c r="E310" s="328"/>
      <c r="F310" s="328"/>
      <c r="G310" s="328"/>
      <c r="H310" s="328"/>
      <c r="I310" s="328"/>
      <c r="J310" s="328"/>
      <c r="K310" s="328"/>
      <c r="L310" s="328"/>
      <c r="M310" s="328"/>
      <c r="R310" s="328"/>
      <c r="S310" s="328"/>
      <c r="T310" s="328"/>
      <c r="U310" s="328"/>
      <c r="V310" s="328"/>
      <c r="W310" s="328"/>
      <c r="X310" s="328"/>
      <c r="Y310" s="328"/>
      <c r="Z310" s="328"/>
      <c r="AA310" s="328"/>
      <c r="AB310" s="328"/>
    </row>
    <row r="311" ht="15.75" customHeight="1">
      <c r="B311" s="328"/>
      <c r="C311" s="328"/>
      <c r="D311" s="328"/>
      <c r="E311" s="328"/>
      <c r="F311" s="328"/>
      <c r="G311" s="328"/>
      <c r="H311" s="328"/>
      <c r="I311" s="328"/>
      <c r="J311" s="328"/>
      <c r="K311" s="328"/>
      <c r="L311" s="328"/>
      <c r="M311" s="328"/>
      <c r="R311" s="328"/>
      <c r="S311" s="328"/>
      <c r="T311" s="328"/>
      <c r="U311" s="328"/>
      <c r="V311" s="328"/>
      <c r="W311" s="328"/>
      <c r="X311" s="328"/>
      <c r="Y311" s="328"/>
      <c r="Z311" s="328"/>
      <c r="AA311" s="328"/>
      <c r="AB311" s="328"/>
    </row>
    <row r="312" ht="15.75" customHeight="1">
      <c r="B312" s="328"/>
      <c r="C312" s="328"/>
      <c r="D312" s="328"/>
      <c r="E312" s="328"/>
      <c r="F312" s="328"/>
      <c r="G312" s="328"/>
      <c r="H312" s="328"/>
      <c r="I312" s="328"/>
      <c r="J312" s="328"/>
      <c r="K312" s="328"/>
      <c r="L312" s="328"/>
      <c r="M312" s="328"/>
      <c r="R312" s="328"/>
      <c r="S312" s="328"/>
      <c r="T312" s="328"/>
      <c r="U312" s="328"/>
      <c r="V312" s="328"/>
      <c r="W312" s="328"/>
      <c r="X312" s="328"/>
      <c r="Y312" s="328"/>
      <c r="Z312" s="328"/>
      <c r="AA312" s="328"/>
      <c r="AB312" s="328"/>
    </row>
    <row r="313" ht="15.75" customHeight="1">
      <c r="B313" s="328"/>
      <c r="C313" s="328"/>
      <c r="D313" s="328"/>
      <c r="E313" s="328"/>
      <c r="F313" s="328"/>
      <c r="G313" s="328"/>
      <c r="H313" s="328"/>
      <c r="I313" s="328"/>
      <c r="J313" s="328"/>
      <c r="K313" s="328"/>
      <c r="L313" s="328"/>
      <c r="M313" s="328"/>
      <c r="R313" s="328"/>
      <c r="S313" s="328"/>
      <c r="T313" s="328"/>
      <c r="U313" s="328"/>
      <c r="V313" s="328"/>
      <c r="W313" s="328"/>
      <c r="X313" s="328"/>
      <c r="Y313" s="328"/>
      <c r="Z313" s="328"/>
      <c r="AA313" s="328"/>
      <c r="AB313" s="328"/>
    </row>
    <row r="314" ht="15.75" customHeight="1">
      <c r="B314" s="328"/>
      <c r="C314" s="328"/>
      <c r="D314" s="328"/>
      <c r="E314" s="328"/>
      <c r="F314" s="328"/>
      <c r="G314" s="328"/>
      <c r="H314" s="328"/>
      <c r="I314" s="328"/>
      <c r="J314" s="328"/>
      <c r="K314" s="328"/>
      <c r="L314" s="328"/>
      <c r="M314" s="328"/>
      <c r="R314" s="328"/>
      <c r="S314" s="328"/>
      <c r="T314" s="328"/>
      <c r="U314" s="328"/>
      <c r="V314" s="328"/>
      <c r="W314" s="328"/>
      <c r="X314" s="328"/>
      <c r="Y314" s="328"/>
      <c r="Z314" s="328"/>
      <c r="AA314" s="328"/>
      <c r="AB314" s="328"/>
    </row>
    <row r="315" ht="15.75" customHeight="1">
      <c r="B315" s="328"/>
      <c r="C315" s="328"/>
      <c r="D315" s="328"/>
      <c r="E315" s="328"/>
      <c r="F315" s="328"/>
      <c r="G315" s="328"/>
      <c r="H315" s="328"/>
      <c r="I315" s="328"/>
      <c r="J315" s="328"/>
      <c r="K315" s="328"/>
      <c r="L315" s="328"/>
      <c r="M315" s="328"/>
      <c r="R315" s="328"/>
      <c r="S315" s="328"/>
      <c r="T315" s="328"/>
      <c r="U315" s="328"/>
      <c r="V315" s="328"/>
      <c r="W315" s="328"/>
      <c r="X315" s="328"/>
      <c r="Y315" s="328"/>
      <c r="Z315" s="328"/>
      <c r="AA315" s="328"/>
      <c r="AB315" s="328"/>
    </row>
    <row r="316" ht="15.75" customHeight="1">
      <c r="B316" s="328"/>
      <c r="C316" s="328"/>
      <c r="D316" s="328"/>
      <c r="E316" s="328"/>
      <c r="F316" s="328"/>
      <c r="G316" s="328"/>
      <c r="H316" s="328"/>
      <c r="I316" s="328"/>
      <c r="J316" s="328"/>
      <c r="K316" s="328"/>
      <c r="L316" s="328"/>
      <c r="M316" s="328"/>
      <c r="R316" s="328"/>
      <c r="S316" s="328"/>
      <c r="T316" s="328"/>
      <c r="U316" s="328"/>
      <c r="V316" s="328"/>
      <c r="W316" s="328"/>
      <c r="X316" s="328"/>
      <c r="Y316" s="328"/>
      <c r="Z316" s="328"/>
      <c r="AA316" s="328"/>
      <c r="AB316" s="328"/>
    </row>
    <row r="317" ht="15.75" customHeight="1">
      <c r="B317" s="328"/>
      <c r="C317" s="328"/>
      <c r="D317" s="328"/>
      <c r="E317" s="328"/>
      <c r="F317" s="328"/>
      <c r="G317" s="328"/>
      <c r="H317" s="328"/>
      <c r="I317" s="328"/>
      <c r="J317" s="328"/>
      <c r="K317" s="328"/>
      <c r="L317" s="328"/>
      <c r="M317" s="328"/>
      <c r="R317" s="328"/>
      <c r="S317" s="328"/>
      <c r="T317" s="328"/>
      <c r="U317" s="328"/>
      <c r="V317" s="328"/>
      <c r="W317" s="328"/>
      <c r="X317" s="328"/>
      <c r="Y317" s="328"/>
      <c r="Z317" s="328"/>
      <c r="AA317" s="328"/>
      <c r="AB317" s="328"/>
    </row>
    <row r="318" ht="15.75" customHeight="1">
      <c r="B318" s="328"/>
      <c r="C318" s="328"/>
      <c r="D318" s="328"/>
      <c r="E318" s="328"/>
      <c r="F318" s="328"/>
      <c r="G318" s="328"/>
      <c r="H318" s="328"/>
      <c r="I318" s="328"/>
      <c r="J318" s="328"/>
      <c r="K318" s="328"/>
      <c r="L318" s="328"/>
      <c r="M318" s="328"/>
      <c r="R318" s="328"/>
      <c r="S318" s="328"/>
      <c r="T318" s="328"/>
      <c r="U318" s="328"/>
      <c r="V318" s="328"/>
      <c r="W318" s="328"/>
      <c r="X318" s="328"/>
      <c r="Y318" s="328"/>
      <c r="Z318" s="328"/>
      <c r="AA318" s="328"/>
      <c r="AB318" s="328"/>
    </row>
    <row r="319" ht="15.75" customHeight="1">
      <c r="B319" s="328"/>
      <c r="C319" s="328"/>
      <c r="D319" s="328"/>
      <c r="E319" s="328"/>
      <c r="F319" s="328"/>
      <c r="G319" s="328"/>
      <c r="H319" s="328"/>
      <c r="I319" s="328"/>
      <c r="J319" s="328"/>
      <c r="K319" s="328"/>
      <c r="L319" s="328"/>
      <c r="M319" s="328"/>
      <c r="R319" s="328"/>
      <c r="S319" s="328"/>
      <c r="T319" s="328"/>
      <c r="U319" s="328"/>
      <c r="V319" s="328"/>
      <c r="W319" s="328"/>
      <c r="X319" s="328"/>
      <c r="Y319" s="328"/>
      <c r="Z319" s="328"/>
      <c r="AA319" s="328"/>
      <c r="AB319" s="328"/>
    </row>
    <row r="320" ht="15.75" customHeight="1">
      <c r="B320" s="328"/>
      <c r="C320" s="328"/>
      <c r="D320" s="328"/>
      <c r="E320" s="328"/>
      <c r="F320" s="328"/>
      <c r="G320" s="328"/>
      <c r="H320" s="328"/>
      <c r="I320" s="328"/>
      <c r="J320" s="328"/>
      <c r="K320" s="328"/>
      <c r="L320" s="328"/>
      <c r="M320" s="328"/>
      <c r="R320" s="328"/>
      <c r="S320" s="328"/>
      <c r="T320" s="328"/>
      <c r="U320" s="328"/>
      <c r="V320" s="328"/>
      <c r="W320" s="328"/>
      <c r="X320" s="328"/>
      <c r="Y320" s="328"/>
      <c r="Z320" s="328"/>
      <c r="AA320" s="328"/>
      <c r="AB320" s="328"/>
    </row>
    <row r="321" ht="15.75" customHeight="1">
      <c r="B321" s="328"/>
      <c r="C321" s="328"/>
      <c r="D321" s="328"/>
      <c r="E321" s="328"/>
      <c r="F321" s="328"/>
      <c r="G321" s="328"/>
      <c r="H321" s="328"/>
      <c r="I321" s="328"/>
      <c r="J321" s="328"/>
      <c r="K321" s="328"/>
      <c r="L321" s="328"/>
      <c r="M321" s="328"/>
      <c r="R321" s="328"/>
      <c r="S321" s="328"/>
      <c r="T321" s="328"/>
      <c r="U321" s="328"/>
      <c r="V321" s="328"/>
      <c r="W321" s="328"/>
      <c r="X321" s="328"/>
      <c r="Y321" s="328"/>
      <c r="Z321" s="328"/>
      <c r="AA321" s="328"/>
      <c r="AB321" s="328"/>
    </row>
    <row r="322" ht="15.75" customHeight="1">
      <c r="B322" s="328"/>
      <c r="C322" s="328"/>
      <c r="D322" s="328"/>
      <c r="E322" s="328"/>
      <c r="F322" s="328"/>
      <c r="G322" s="328"/>
      <c r="H322" s="328"/>
      <c r="I322" s="328"/>
      <c r="J322" s="328"/>
      <c r="K322" s="328"/>
      <c r="L322" s="328"/>
      <c r="M322" s="328"/>
      <c r="R322" s="328"/>
      <c r="S322" s="328"/>
      <c r="T322" s="328"/>
      <c r="U322" s="328"/>
      <c r="V322" s="328"/>
      <c r="W322" s="328"/>
      <c r="X322" s="328"/>
      <c r="Y322" s="328"/>
      <c r="Z322" s="328"/>
      <c r="AA322" s="328"/>
      <c r="AB322" s="328"/>
    </row>
    <row r="323" ht="15.75" customHeight="1">
      <c r="B323" s="328"/>
      <c r="C323" s="328"/>
      <c r="D323" s="328"/>
      <c r="E323" s="328"/>
      <c r="F323" s="328"/>
      <c r="G323" s="328"/>
      <c r="H323" s="328"/>
      <c r="I323" s="328"/>
      <c r="J323" s="328"/>
      <c r="K323" s="328"/>
      <c r="L323" s="328"/>
      <c r="M323" s="328"/>
      <c r="R323" s="328"/>
      <c r="S323" s="328"/>
      <c r="T323" s="328"/>
      <c r="U323" s="328"/>
      <c r="V323" s="328"/>
      <c r="W323" s="328"/>
      <c r="X323" s="328"/>
      <c r="Y323" s="328"/>
      <c r="Z323" s="328"/>
      <c r="AA323" s="328"/>
      <c r="AB323" s="328"/>
    </row>
    <row r="324" ht="15.75" customHeight="1">
      <c r="B324" s="328"/>
      <c r="C324" s="328"/>
      <c r="D324" s="328"/>
      <c r="E324" s="328"/>
      <c r="F324" s="328"/>
      <c r="G324" s="328"/>
      <c r="H324" s="328"/>
      <c r="I324" s="328"/>
      <c r="J324" s="328"/>
      <c r="K324" s="328"/>
      <c r="L324" s="328"/>
      <c r="M324" s="328"/>
      <c r="R324" s="328"/>
      <c r="S324" s="328"/>
      <c r="T324" s="328"/>
      <c r="U324" s="328"/>
      <c r="V324" s="328"/>
      <c r="W324" s="328"/>
      <c r="X324" s="328"/>
      <c r="Y324" s="328"/>
      <c r="Z324" s="328"/>
      <c r="AA324" s="328"/>
      <c r="AB324" s="328"/>
    </row>
    <row r="325" ht="15.75" customHeight="1">
      <c r="B325" s="328"/>
      <c r="C325" s="328"/>
      <c r="D325" s="328"/>
      <c r="E325" s="328"/>
      <c r="F325" s="328"/>
      <c r="G325" s="328"/>
      <c r="H325" s="328"/>
      <c r="I325" s="328"/>
      <c r="J325" s="328"/>
      <c r="K325" s="328"/>
      <c r="L325" s="328"/>
      <c r="M325" s="328"/>
      <c r="R325" s="328"/>
      <c r="S325" s="328"/>
      <c r="T325" s="328"/>
      <c r="U325" s="328"/>
      <c r="V325" s="328"/>
      <c r="W325" s="328"/>
      <c r="X325" s="328"/>
      <c r="Y325" s="328"/>
      <c r="Z325" s="328"/>
      <c r="AA325" s="328"/>
      <c r="AB325" s="328"/>
    </row>
    <row r="326" ht="15.75" customHeight="1">
      <c r="B326" s="328"/>
      <c r="C326" s="328"/>
      <c r="D326" s="328"/>
      <c r="E326" s="328"/>
      <c r="F326" s="328"/>
      <c r="G326" s="328"/>
      <c r="H326" s="328"/>
      <c r="I326" s="328"/>
      <c r="J326" s="328"/>
      <c r="K326" s="328"/>
      <c r="L326" s="328"/>
      <c r="M326" s="328"/>
      <c r="R326" s="328"/>
      <c r="S326" s="328"/>
      <c r="T326" s="328"/>
      <c r="U326" s="328"/>
      <c r="V326" s="328"/>
      <c r="W326" s="328"/>
      <c r="X326" s="328"/>
      <c r="Y326" s="328"/>
      <c r="Z326" s="328"/>
      <c r="AA326" s="328"/>
      <c r="AB326" s="328"/>
    </row>
    <row r="327" ht="15.75" customHeight="1">
      <c r="B327" s="328"/>
      <c r="C327" s="328"/>
      <c r="D327" s="328"/>
      <c r="E327" s="328"/>
      <c r="F327" s="328"/>
      <c r="G327" s="328"/>
      <c r="H327" s="328"/>
      <c r="I327" s="328"/>
      <c r="J327" s="328"/>
      <c r="K327" s="328"/>
      <c r="L327" s="328"/>
      <c r="M327" s="328"/>
      <c r="R327" s="328"/>
      <c r="S327" s="328"/>
      <c r="T327" s="328"/>
      <c r="U327" s="328"/>
      <c r="V327" s="328"/>
      <c r="W327" s="328"/>
      <c r="X327" s="328"/>
      <c r="Y327" s="328"/>
      <c r="Z327" s="328"/>
      <c r="AA327" s="328"/>
      <c r="AB327" s="328"/>
    </row>
    <row r="328" ht="15.75" customHeight="1">
      <c r="B328" s="328"/>
      <c r="C328" s="328"/>
      <c r="D328" s="328"/>
      <c r="E328" s="328"/>
      <c r="F328" s="328"/>
      <c r="G328" s="328"/>
      <c r="H328" s="328"/>
      <c r="I328" s="328"/>
      <c r="J328" s="328"/>
      <c r="K328" s="328"/>
      <c r="L328" s="328"/>
      <c r="M328" s="328"/>
      <c r="R328" s="328"/>
      <c r="S328" s="328"/>
      <c r="T328" s="328"/>
      <c r="U328" s="328"/>
      <c r="V328" s="328"/>
      <c r="W328" s="328"/>
      <c r="X328" s="328"/>
      <c r="Y328" s="328"/>
      <c r="Z328" s="328"/>
      <c r="AA328" s="328"/>
      <c r="AB328" s="328"/>
    </row>
    <row r="329" ht="15.75" customHeight="1">
      <c r="B329" s="328"/>
      <c r="C329" s="328"/>
      <c r="D329" s="328"/>
      <c r="E329" s="328"/>
      <c r="F329" s="328"/>
      <c r="G329" s="328"/>
      <c r="H329" s="328"/>
      <c r="I329" s="328"/>
      <c r="J329" s="328"/>
      <c r="K329" s="328"/>
      <c r="L329" s="328"/>
      <c r="M329" s="328"/>
      <c r="R329" s="328"/>
      <c r="S329" s="328"/>
      <c r="T329" s="328"/>
      <c r="U329" s="328"/>
      <c r="V329" s="328"/>
      <c r="W329" s="328"/>
      <c r="X329" s="328"/>
      <c r="Y329" s="328"/>
      <c r="Z329" s="328"/>
      <c r="AA329" s="328"/>
      <c r="AB329" s="328"/>
    </row>
    <row r="330" ht="15.75" customHeight="1">
      <c r="B330" s="328"/>
      <c r="C330" s="328"/>
      <c r="D330" s="328"/>
      <c r="E330" s="328"/>
      <c r="F330" s="328"/>
      <c r="G330" s="328"/>
      <c r="H330" s="328"/>
      <c r="I330" s="328"/>
      <c r="J330" s="328"/>
      <c r="K330" s="328"/>
      <c r="L330" s="328"/>
      <c r="M330" s="328"/>
      <c r="R330" s="328"/>
      <c r="S330" s="328"/>
      <c r="T330" s="328"/>
      <c r="U330" s="328"/>
      <c r="V330" s="328"/>
      <c r="W330" s="328"/>
      <c r="X330" s="328"/>
      <c r="Y330" s="328"/>
      <c r="Z330" s="328"/>
      <c r="AA330" s="328"/>
      <c r="AB330" s="328"/>
    </row>
    <row r="331" ht="15.75" customHeight="1">
      <c r="B331" s="328"/>
      <c r="C331" s="328"/>
      <c r="D331" s="328"/>
      <c r="E331" s="328"/>
      <c r="F331" s="328"/>
      <c r="G331" s="328"/>
      <c r="H331" s="328"/>
      <c r="I331" s="328"/>
      <c r="J331" s="328"/>
      <c r="K331" s="328"/>
      <c r="L331" s="328"/>
      <c r="M331" s="328"/>
      <c r="R331" s="328"/>
      <c r="S331" s="328"/>
      <c r="T331" s="328"/>
      <c r="U331" s="328"/>
      <c r="V331" s="328"/>
      <c r="W331" s="328"/>
      <c r="X331" s="328"/>
      <c r="Y331" s="328"/>
      <c r="Z331" s="328"/>
      <c r="AA331" s="328"/>
      <c r="AB331" s="328"/>
    </row>
    <row r="332" ht="15.75" customHeight="1">
      <c r="B332" s="328"/>
      <c r="C332" s="328"/>
      <c r="D332" s="328"/>
      <c r="E332" s="328"/>
      <c r="F332" s="328"/>
      <c r="G332" s="328"/>
      <c r="H332" s="328"/>
      <c r="I332" s="328"/>
      <c r="J332" s="328"/>
      <c r="K332" s="328"/>
      <c r="L332" s="328"/>
      <c r="M332" s="328"/>
      <c r="R332" s="328"/>
      <c r="S332" s="328"/>
      <c r="T332" s="328"/>
      <c r="U332" s="328"/>
      <c r="V332" s="328"/>
      <c r="W332" s="328"/>
      <c r="X332" s="328"/>
      <c r="Y332" s="328"/>
      <c r="Z332" s="328"/>
      <c r="AA332" s="328"/>
      <c r="AB332" s="328"/>
    </row>
    <row r="333" ht="15.75" customHeight="1">
      <c r="B333" s="328"/>
      <c r="C333" s="328"/>
      <c r="D333" s="328"/>
      <c r="E333" s="328"/>
      <c r="F333" s="328"/>
      <c r="G333" s="328"/>
      <c r="H333" s="328"/>
      <c r="I333" s="328"/>
      <c r="J333" s="328"/>
      <c r="K333" s="328"/>
      <c r="L333" s="328"/>
      <c r="M333" s="328"/>
      <c r="R333" s="328"/>
      <c r="S333" s="328"/>
      <c r="T333" s="328"/>
      <c r="U333" s="328"/>
      <c r="V333" s="328"/>
      <c r="W333" s="328"/>
      <c r="X333" s="328"/>
      <c r="Y333" s="328"/>
      <c r="Z333" s="328"/>
      <c r="AA333" s="328"/>
      <c r="AB333" s="328"/>
    </row>
    <row r="334" ht="15.75" customHeight="1">
      <c r="B334" s="328"/>
      <c r="C334" s="328"/>
      <c r="D334" s="328"/>
      <c r="E334" s="328"/>
      <c r="F334" s="328"/>
      <c r="G334" s="328"/>
      <c r="H334" s="328"/>
      <c r="I334" s="328"/>
      <c r="J334" s="328"/>
      <c r="K334" s="328"/>
      <c r="L334" s="328"/>
      <c r="M334" s="328"/>
      <c r="R334" s="328"/>
      <c r="S334" s="328"/>
      <c r="T334" s="328"/>
      <c r="U334" s="328"/>
      <c r="V334" s="328"/>
      <c r="W334" s="328"/>
      <c r="X334" s="328"/>
      <c r="Y334" s="328"/>
      <c r="Z334" s="328"/>
      <c r="AA334" s="328"/>
      <c r="AB334" s="328"/>
    </row>
    <row r="335" ht="15.75" customHeight="1">
      <c r="B335" s="328"/>
      <c r="C335" s="328"/>
      <c r="D335" s="328"/>
      <c r="E335" s="328"/>
      <c r="F335" s="328"/>
      <c r="G335" s="328"/>
      <c r="H335" s="328"/>
      <c r="I335" s="328"/>
      <c r="J335" s="328"/>
      <c r="K335" s="328"/>
      <c r="L335" s="328"/>
      <c r="M335" s="328"/>
      <c r="R335" s="328"/>
      <c r="S335" s="328"/>
      <c r="T335" s="328"/>
      <c r="U335" s="328"/>
      <c r="V335" s="328"/>
      <c r="W335" s="328"/>
      <c r="X335" s="328"/>
      <c r="Y335" s="328"/>
      <c r="Z335" s="328"/>
      <c r="AA335" s="328"/>
      <c r="AB335" s="328"/>
    </row>
    <row r="336" ht="15.75" customHeight="1">
      <c r="B336" s="328"/>
      <c r="C336" s="328"/>
      <c r="D336" s="328"/>
      <c r="E336" s="328"/>
      <c r="F336" s="328"/>
      <c r="G336" s="328"/>
      <c r="H336" s="328"/>
      <c r="I336" s="328"/>
      <c r="J336" s="328"/>
      <c r="K336" s="328"/>
      <c r="L336" s="328"/>
      <c r="M336" s="328"/>
      <c r="R336" s="328"/>
      <c r="S336" s="328"/>
      <c r="T336" s="328"/>
      <c r="U336" s="328"/>
      <c r="V336" s="328"/>
      <c r="W336" s="328"/>
      <c r="X336" s="328"/>
      <c r="Y336" s="328"/>
      <c r="Z336" s="328"/>
      <c r="AA336" s="328"/>
      <c r="AB336" s="328"/>
    </row>
    <row r="337" ht="15.75" customHeight="1">
      <c r="B337" s="328"/>
      <c r="C337" s="328"/>
      <c r="D337" s="328"/>
      <c r="E337" s="328"/>
      <c r="F337" s="328"/>
      <c r="G337" s="328"/>
      <c r="H337" s="328"/>
      <c r="I337" s="328"/>
      <c r="J337" s="328"/>
      <c r="K337" s="328"/>
      <c r="L337" s="328"/>
      <c r="M337" s="328"/>
      <c r="R337" s="328"/>
      <c r="S337" s="328"/>
      <c r="T337" s="328"/>
      <c r="U337" s="328"/>
      <c r="V337" s="328"/>
      <c r="W337" s="328"/>
      <c r="X337" s="328"/>
      <c r="Y337" s="328"/>
      <c r="Z337" s="328"/>
      <c r="AA337" s="328"/>
      <c r="AB337" s="328"/>
    </row>
    <row r="338" ht="15.75" customHeight="1">
      <c r="B338" s="328"/>
      <c r="C338" s="328"/>
      <c r="D338" s="328"/>
      <c r="E338" s="328"/>
      <c r="F338" s="328"/>
      <c r="G338" s="328"/>
      <c r="H338" s="328"/>
      <c r="I338" s="328"/>
      <c r="J338" s="328"/>
      <c r="K338" s="328"/>
      <c r="L338" s="328"/>
      <c r="M338" s="328"/>
      <c r="R338" s="328"/>
      <c r="S338" s="328"/>
      <c r="T338" s="328"/>
      <c r="U338" s="328"/>
      <c r="V338" s="328"/>
      <c r="W338" s="328"/>
      <c r="X338" s="328"/>
      <c r="Y338" s="328"/>
      <c r="Z338" s="328"/>
      <c r="AA338" s="328"/>
      <c r="AB338" s="328"/>
    </row>
    <row r="339" ht="15.75" customHeight="1">
      <c r="B339" s="328"/>
      <c r="C339" s="328"/>
      <c r="D339" s="328"/>
      <c r="E339" s="328"/>
      <c r="F339" s="328"/>
      <c r="G339" s="328"/>
      <c r="H339" s="328"/>
      <c r="I339" s="328"/>
      <c r="J339" s="328"/>
      <c r="K339" s="328"/>
      <c r="L339" s="328"/>
      <c r="M339" s="328"/>
      <c r="R339" s="328"/>
      <c r="S339" s="328"/>
      <c r="T339" s="328"/>
      <c r="U339" s="328"/>
      <c r="V339" s="328"/>
      <c r="W339" s="328"/>
      <c r="X339" s="328"/>
      <c r="Y339" s="328"/>
      <c r="Z339" s="328"/>
      <c r="AA339" s="328"/>
      <c r="AB339" s="328"/>
    </row>
    <row r="340" ht="15.75" customHeight="1">
      <c r="B340" s="328"/>
      <c r="C340" s="328"/>
      <c r="D340" s="328"/>
      <c r="E340" s="328"/>
      <c r="F340" s="328"/>
      <c r="G340" s="328"/>
      <c r="H340" s="328"/>
      <c r="I340" s="328"/>
      <c r="J340" s="328"/>
      <c r="K340" s="328"/>
      <c r="L340" s="328"/>
      <c r="M340" s="328"/>
      <c r="R340" s="328"/>
      <c r="S340" s="328"/>
      <c r="T340" s="328"/>
      <c r="U340" s="328"/>
      <c r="V340" s="328"/>
      <c r="W340" s="328"/>
      <c r="X340" s="328"/>
      <c r="Y340" s="328"/>
      <c r="Z340" s="328"/>
      <c r="AA340" s="328"/>
      <c r="AB340" s="328"/>
    </row>
    <row r="341" ht="15.75" customHeight="1">
      <c r="B341" s="328"/>
      <c r="C341" s="328"/>
      <c r="D341" s="328"/>
      <c r="E341" s="328"/>
      <c r="F341" s="328"/>
      <c r="G341" s="328"/>
      <c r="H341" s="328"/>
      <c r="I341" s="328"/>
      <c r="J341" s="328"/>
      <c r="K341" s="328"/>
      <c r="L341" s="328"/>
      <c r="M341" s="328"/>
      <c r="R341" s="328"/>
      <c r="S341" s="328"/>
      <c r="T341" s="328"/>
      <c r="U341" s="328"/>
      <c r="V341" s="328"/>
      <c r="W341" s="328"/>
      <c r="X341" s="328"/>
      <c r="Y341" s="328"/>
      <c r="Z341" s="328"/>
      <c r="AA341" s="328"/>
      <c r="AB341" s="328"/>
    </row>
    <row r="342" ht="15.75" customHeight="1">
      <c r="B342" s="328"/>
      <c r="C342" s="328"/>
      <c r="D342" s="328"/>
      <c r="E342" s="328"/>
      <c r="F342" s="328"/>
      <c r="G342" s="328"/>
      <c r="H342" s="328"/>
      <c r="I342" s="328"/>
      <c r="J342" s="328"/>
      <c r="K342" s="328"/>
      <c r="L342" s="328"/>
      <c r="M342" s="328"/>
      <c r="R342" s="328"/>
      <c r="S342" s="328"/>
      <c r="T342" s="328"/>
      <c r="U342" s="328"/>
      <c r="V342" s="328"/>
      <c r="W342" s="328"/>
      <c r="X342" s="328"/>
      <c r="Y342" s="328"/>
      <c r="Z342" s="328"/>
      <c r="AA342" s="328"/>
      <c r="AB342" s="328"/>
    </row>
    <row r="343" ht="15.75" customHeight="1">
      <c r="B343" s="328"/>
      <c r="C343" s="328"/>
      <c r="D343" s="328"/>
      <c r="E343" s="328"/>
      <c r="F343" s="328"/>
      <c r="G343" s="328"/>
      <c r="H343" s="328"/>
      <c r="I343" s="328"/>
      <c r="J343" s="328"/>
      <c r="K343" s="328"/>
      <c r="L343" s="328"/>
      <c r="M343" s="328"/>
      <c r="R343" s="328"/>
      <c r="S343" s="328"/>
      <c r="T343" s="328"/>
      <c r="U343" s="328"/>
      <c r="V343" s="328"/>
      <c r="W343" s="328"/>
      <c r="X343" s="328"/>
      <c r="Y343" s="328"/>
      <c r="Z343" s="328"/>
      <c r="AA343" s="328"/>
      <c r="AB343" s="328"/>
    </row>
    <row r="344" ht="15.75" customHeight="1">
      <c r="B344" s="328"/>
      <c r="C344" s="328"/>
      <c r="D344" s="328"/>
      <c r="E344" s="328"/>
      <c r="F344" s="328"/>
      <c r="G344" s="328"/>
      <c r="H344" s="328"/>
      <c r="I344" s="328"/>
      <c r="J344" s="328"/>
      <c r="K344" s="328"/>
      <c r="L344" s="328"/>
      <c r="M344" s="328"/>
      <c r="R344" s="328"/>
      <c r="S344" s="328"/>
      <c r="T344" s="328"/>
      <c r="U344" s="328"/>
      <c r="V344" s="328"/>
      <c r="W344" s="328"/>
      <c r="X344" s="328"/>
      <c r="Y344" s="328"/>
      <c r="Z344" s="328"/>
      <c r="AA344" s="328"/>
      <c r="AB344" s="328"/>
    </row>
    <row r="345" ht="15.75" customHeight="1">
      <c r="B345" s="328"/>
      <c r="C345" s="328"/>
      <c r="D345" s="328"/>
      <c r="E345" s="328"/>
      <c r="F345" s="328"/>
      <c r="G345" s="328"/>
      <c r="H345" s="328"/>
      <c r="I345" s="328"/>
      <c r="J345" s="328"/>
      <c r="K345" s="328"/>
      <c r="L345" s="328"/>
      <c r="M345" s="328"/>
      <c r="R345" s="328"/>
      <c r="S345" s="328"/>
      <c r="T345" s="328"/>
      <c r="U345" s="328"/>
      <c r="V345" s="328"/>
      <c r="W345" s="328"/>
      <c r="X345" s="328"/>
      <c r="Y345" s="328"/>
      <c r="Z345" s="328"/>
      <c r="AA345" s="328"/>
      <c r="AB345" s="328"/>
    </row>
    <row r="346" ht="15.75" customHeight="1">
      <c r="B346" s="328"/>
      <c r="C346" s="328"/>
      <c r="D346" s="328"/>
      <c r="E346" s="328"/>
      <c r="F346" s="328"/>
      <c r="G346" s="328"/>
      <c r="H346" s="328"/>
      <c r="I346" s="328"/>
      <c r="J346" s="328"/>
      <c r="K346" s="328"/>
      <c r="L346" s="328"/>
      <c r="M346" s="328"/>
      <c r="R346" s="328"/>
      <c r="S346" s="328"/>
      <c r="T346" s="328"/>
      <c r="U346" s="328"/>
      <c r="V346" s="328"/>
      <c r="W346" s="328"/>
      <c r="X346" s="328"/>
      <c r="Y346" s="328"/>
      <c r="Z346" s="328"/>
      <c r="AA346" s="328"/>
      <c r="AB346" s="328"/>
    </row>
    <row r="347" ht="15.75" customHeight="1">
      <c r="B347" s="328"/>
      <c r="C347" s="328"/>
      <c r="D347" s="328"/>
      <c r="E347" s="328"/>
      <c r="F347" s="328"/>
      <c r="G347" s="328"/>
      <c r="H347" s="328"/>
      <c r="I347" s="328"/>
      <c r="J347" s="328"/>
      <c r="K347" s="328"/>
      <c r="L347" s="328"/>
      <c r="M347" s="328"/>
      <c r="R347" s="328"/>
      <c r="S347" s="328"/>
      <c r="T347" s="328"/>
      <c r="U347" s="328"/>
      <c r="V347" s="328"/>
      <c r="W347" s="328"/>
      <c r="X347" s="328"/>
      <c r="Y347" s="328"/>
      <c r="Z347" s="328"/>
      <c r="AA347" s="328"/>
      <c r="AB347" s="328"/>
    </row>
    <row r="348" ht="15.75" customHeight="1">
      <c r="B348" s="328"/>
      <c r="C348" s="328"/>
      <c r="D348" s="328"/>
      <c r="E348" s="328"/>
      <c r="F348" s="328"/>
      <c r="G348" s="328"/>
      <c r="H348" s="328"/>
      <c r="I348" s="328"/>
      <c r="J348" s="328"/>
      <c r="K348" s="328"/>
      <c r="L348" s="328"/>
      <c r="M348" s="328"/>
      <c r="R348" s="328"/>
      <c r="S348" s="328"/>
      <c r="T348" s="328"/>
      <c r="U348" s="328"/>
      <c r="V348" s="328"/>
      <c r="W348" s="328"/>
      <c r="X348" s="328"/>
      <c r="Y348" s="328"/>
      <c r="Z348" s="328"/>
      <c r="AA348" s="328"/>
      <c r="AB348" s="328"/>
    </row>
    <row r="349" ht="15.75" customHeight="1">
      <c r="B349" s="328"/>
      <c r="C349" s="328"/>
      <c r="D349" s="328"/>
      <c r="E349" s="328"/>
      <c r="F349" s="328"/>
      <c r="G349" s="328"/>
      <c r="H349" s="328"/>
      <c r="I349" s="328"/>
      <c r="J349" s="328"/>
      <c r="K349" s="328"/>
      <c r="L349" s="328"/>
      <c r="M349" s="328"/>
      <c r="R349" s="328"/>
      <c r="S349" s="328"/>
      <c r="T349" s="328"/>
      <c r="U349" s="328"/>
      <c r="V349" s="328"/>
      <c r="W349" s="328"/>
      <c r="X349" s="328"/>
      <c r="Y349" s="328"/>
      <c r="Z349" s="328"/>
      <c r="AA349" s="328"/>
      <c r="AB349" s="328"/>
    </row>
    <row r="350" ht="15.75" customHeight="1">
      <c r="B350" s="328"/>
      <c r="C350" s="328"/>
      <c r="D350" s="328"/>
      <c r="E350" s="328"/>
      <c r="F350" s="328"/>
      <c r="G350" s="328"/>
      <c r="H350" s="328"/>
      <c r="I350" s="328"/>
      <c r="J350" s="328"/>
      <c r="K350" s="328"/>
      <c r="L350" s="328"/>
      <c r="M350" s="328"/>
      <c r="R350" s="328"/>
      <c r="S350" s="328"/>
      <c r="T350" s="328"/>
      <c r="U350" s="328"/>
      <c r="V350" s="328"/>
      <c r="W350" s="328"/>
      <c r="X350" s="328"/>
      <c r="Y350" s="328"/>
      <c r="Z350" s="328"/>
      <c r="AA350" s="328"/>
      <c r="AB350" s="328"/>
    </row>
    <row r="351" ht="15.75" customHeight="1">
      <c r="B351" s="328"/>
      <c r="C351" s="328"/>
      <c r="D351" s="328"/>
      <c r="E351" s="328"/>
      <c r="F351" s="328"/>
      <c r="G351" s="328"/>
      <c r="H351" s="328"/>
      <c r="I351" s="328"/>
      <c r="J351" s="328"/>
      <c r="K351" s="328"/>
      <c r="L351" s="328"/>
      <c r="M351" s="328"/>
      <c r="R351" s="328"/>
      <c r="S351" s="328"/>
      <c r="T351" s="328"/>
      <c r="U351" s="328"/>
      <c r="V351" s="328"/>
      <c r="W351" s="328"/>
      <c r="X351" s="328"/>
      <c r="Y351" s="328"/>
      <c r="Z351" s="328"/>
      <c r="AA351" s="328"/>
      <c r="AB351" s="328"/>
    </row>
    <row r="352" ht="15.75" customHeight="1">
      <c r="B352" s="328"/>
      <c r="C352" s="328"/>
      <c r="D352" s="328"/>
      <c r="E352" s="328"/>
      <c r="F352" s="328"/>
      <c r="G352" s="328"/>
      <c r="H352" s="328"/>
      <c r="I352" s="328"/>
      <c r="J352" s="328"/>
      <c r="K352" s="328"/>
      <c r="L352" s="328"/>
      <c r="M352" s="328"/>
      <c r="R352" s="328"/>
      <c r="S352" s="328"/>
      <c r="T352" s="328"/>
      <c r="U352" s="328"/>
      <c r="V352" s="328"/>
      <c r="W352" s="328"/>
      <c r="X352" s="328"/>
      <c r="Y352" s="328"/>
      <c r="Z352" s="328"/>
      <c r="AA352" s="328"/>
      <c r="AB352" s="328"/>
    </row>
    <row r="353" ht="15.75" customHeight="1">
      <c r="B353" s="328"/>
      <c r="C353" s="328"/>
      <c r="D353" s="328"/>
      <c r="E353" s="328"/>
      <c r="F353" s="328"/>
      <c r="G353" s="328"/>
      <c r="H353" s="328"/>
      <c r="I353" s="328"/>
      <c r="J353" s="328"/>
      <c r="K353" s="328"/>
      <c r="L353" s="328"/>
      <c r="M353" s="328"/>
      <c r="R353" s="328"/>
      <c r="S353" s="328"/>
      <c r="T353" s="328"/>
      <c r="U353" s="328"/>
      <c r="V353" s="328"/>
      <c r="W353" s="328"/>
      <c r="X353" s="328"/>
      <c r="Y353" s="328"/>
      <c r="Z353" s="328"/>
      <c r="AA353" s="328"/>
      <c r="AB353" s="328"/>
    </row>
    <row r="354" ht="15.75" customHeight="1">
      <c r="B354" s="328"/>
      <c r="C354" s="328"/>
      <c r="D354" s="328"/>
      <c r="E354" s="328"/>
      <c r="F354" s="328"/>
      <c r="G354" s="328"/>
      <c r="H354" s="328"/>
      <c r="I354" s="328"/>
      <c r="J354" s="328"/>
      <c r="K354" s="328"/>
      <c r="L354" s="328"/>
      <c r="M354" s="328"/>
      <c r="R354" s="328"/>
      <c r="S354" s="328"/>
      <c r="T354" s="328"/>
      <c r="U354" s="328"/>
      <c r="V354" s="328"/>
      <c r="W354" s="328"/>
      <c r="X354" s="328"/>
      <c r="Y354" s="328"/>
      <c r="Z354" s="328"/>
      <c r="AA354" s="328"/>
      <c r="AB354" s="328"/>
    </row>
    <row r="355" ht="15.75" customHeight="1">
      <c r="B355" s="328"/>
      <c r="C355" s="328"/>
      <c r="D355" s="328"/>
      <c r="E355" s="328"/>
      <c r="F355" s="328"/>
      <c r="G355" s="328"/>
      <c r="H355" s="328"/>
      <c r="I355" s="328"/>
      <c r="J355" s="328"/>
      <c r="K355" s="328"/>
      <c r="L355" s="328"/>
      <c r="M355" s="328"/>
      <c r="R355" s="328"/>
      <c r="S355" s="328"/>
      <c r="T355" s="328"/>
      <c r="U355" s="328"/>
      <c r="V355" s="328"/>
      <c r="W355" s="328"/>
      <c r="X355" s="328"/>
      <c r="Y355" s="328"/>
      <c r="Z355" s="328"/>
      <c r="AA355" s="328"/>
      <c r="AB355" s="328"/>
    </row>
    <row r="356" ht="15.75" customHeight="1">
      <c r="B356" s="328"/>
      <c r="C356" s="328"/>
      <c r="D356" s="328"/>
      <c r="E356" s="328"/>
      <c r="F356" s="328"/>
      <c r="G356" s="328"/>
      <c r="H356" s="328"/>
      <c r="I356" s="328"/>
      <c r="J356" s="328"/>
      <c r="K356" s="328"/>
      <c r="L356" s="328"/>
      <c r="M356" s="328"/>
      <c r="R356" s="328"/>
      <c r="S356" s="328"/>
      <c r="T356" s="328"/>
      <c r="U356" s="328"/>
      <c r="V356" s="328"/>
      <c r="W356" s="328"/>
      <c r="X356" s="328"/>
      <c r="Y356" s="328"/>
      <c r="Z356" s="328"/>
      <c r="AA356" s="328"/>
      <c r="AB356" s="328"/>
    </row>
    <row r="357" ht="15.75" customHeight="1">
      <c r="B357" s="328"/>
      <c r="C357" s="328"/>
      <c r="D357" s="328"/>
      <c r="E357" s="328"/>
      <c r="F357" s="328"/>
      <c r="G357" s="328"/>
      <c r="H357" s="328"/>
      <c r="I357" s="328"/>
      <c r="J357" s="328"/>
      <c r="K357" s="328"/>
      <c r="L357" s="328"/>
      <c r="M357" s="328"/>
      <c r="R357" s="328"/>
      <c r="S357" s="328"/>
      <c r="T357" s="328"/>
      <c r="U357" s="328"/>
      <c r="V357" s="328"/>
      <c r="W357" s="328"/>
      <c r="X357" s="328"/>
      <c r="Y357" s="328"/>
      <c r="Z357" s="328"/>
      <c r="AA357" s="328"/>
      <c r="AB357" s="328"/>
    </row>
    <row r="358" ht="15.75" customHeight="1">
      <c r="B358" s="328"/>
      <c r="C358" s="328"/>
      <c r="D358" s="328"/>
      <c r="E358" s="328"/>
      <c r="F358" s="328"/>
      <c r="G358" s="328"/>
      <c r="H358" s="328"/>
      <c r="I358" s="328"/>
      <c r="J358" s="328"/>
      <c r="K358" s="328"/>
      <c r="L358" s="328"/>
      <c r="M358" s="328"/>
      <c r="R358" s="328"/>
      <c r="S358" s="328"/>
      <c r="T358" s="328"/>
      <c r="U358" s="328"/>
      <c r="V358" s="328"/>
      <c r="W358" s="328"/>
      <c r="X358" s="328"/>
      <c r="Y358" s="328"/>
      <c r="Z358" s="328"/>
      <c r="AA358" s="328"/>
      <c r="AB358" s="328"/>
    </row>
    <row r="359" ht="15.75" customHeight="1">
      <c r="B359" s="328"/>
      <c r="C359" s="328"/>
      <c r="D359" s="328"/>
      <c r="E359" s="328"/>
      <c r="F359" s="328"/>
      <c r="G359" s="328"/>
      <c r="H359" s="328"/>
      <c r="I359" s="328"/>
      <c r="J359" s="328"/>
      <c r="K359" s="328"/>
      <c r="L359" s="328"/>
      <c r="M359" s="328"/>
      <c r="R359" s="328"/>
      <c r="S359" s="328"/>
      <c r="T359" s="328"/>
      <c r="U359" s="328"/>
      <c r="V359" s="328"/>
      <c r="W359" s="328"/>
      <c r="X359" s="328"/>
      <c r="Y359" s="328"/>
      <c r="Z359" s="328"/>
      <c r="AA359" s="328"/>
      <c r="AB359" s="328"/>
    </row>
    <row r="360" ht="15.75" customHeight="1">
      <c r="B360" s="328"/>
      <c r="C360" s="328"/>
      <c r="D360" s="328"/>
      <c r="E360" s="328"/>
      <c r="F360" s="328"/>
      <c r="G360" s="328"/>
      <c r="H360" s="328"/>
      <c r="I360" s="328"/>
      <c r="J360" s="328"/>
      <c r="K360" s="328"/>
      <c r="L360" s="328"/>
      <c r="M360" s="328"/>
      <c r="R360" s="328"/>
      <c r="S360" s="328"/>
      <c r="T360" s="328"/>
      <c r="U360" s="328"/>
      <c r="V360" s="328"/>
      <c r="W360" s="328"/>
      <c r="X360" s="328"/>
      <c r="Y360" s="328"/>
      <c r="Z360" s="328"/>
      <c r="AA360" s="328"/>
      <c r="AB360" s="328"/>
    </row>
    <row r="361" ht="15.75" customHeight="1">
      <c r="B361" s="328"/>
      <c r="C361" s="328"/>
      <c r="D361" s="328"/>
      <c r="E361" s="328"/>
      <c r="F361" s="328"/>
      <c r="G361" s="328"/>
      <c r="H361" s="328"/>
      <c r="I361" s="328"/>
      <c r="J361" s="328"/>
      <c r="K361" s="328"/>
      <c r="L361" s="328"/>
      <c r="M361" s="328"/>
      <c r="R361" s="328"/>
      <c r="S361" s="328"/>
      <c r="T361" s="328"/>
      <c r="U361" s="328"/>
      <c r="V361" s="328"/>
      <c r="W361" s="328"/>
      <c r="X361" s="328"/>
      <c r="Y361" s="328"/>
      <c r="Z361" s="328"/>
      <c r="AA361" s="328"/>
      <c r="AB361" s="328"/>
    </row>
    <row r="362" ht="15.75" customHeight="1">
      <c r="B362" s="328"/>
      <c r="C362" s="328"/>
      <c r="D362" s="328"/>
      <c r="E362" s="328"/>
      <c r="F362" s="328"/>
      <c r="G362" s="328"/>
      <c r="H362" s="328"/>
      <c r="I362" s="328"/>
      <c r="J362" s="328"/>
      <c r="K362" s="328"/>
      <c r="L362" s="328"/>
      <c r="M362" s="328"/>
      <c r="R362" s="328"/>
      <c r="S362" s="328"/>
      <c r="T362" s="328"/>
      <c r="U362" s="328"/>
      <c r="V362" s="328"/>
      <c r="W362" s="328"/>
      <c r="X362" s="328"/>
      <c r="Y362" s="328"/>
      <c r="Z362" s="328"/>
      <c r="AA362" s="328"/>
      <c r="AB362" s="328"/>
    </row>
    <row r="363" ht="15.75" customHeight="1">
      <c r="B363" s="328"/>
      <c r="C363" s="328"/>
      <c r="D363" s="328"/>
      <c r="E363" s="328"/>
      <c r="F363" s="328"/>
      <c r="G363" s="328"/>
      <c r="H363" s="328"/>
      <c r="I363" s="328"/>
      <c r="J363" s="328"/>
      <c r="K363" s="328"/>
      <c r="L363" s="328"/>
      <c r="M363" s="328"/>
      <c r="R363" s="328"/>
      <c r="S363" s="328"/>
      <c r="T363" s="328"/>
      <c r="U363" s="328"/>
      <c r="V363" s="328"/>
      <c r="W363" s="328"/>
      <c r="X363" s="328"/>
      <c r="Y363" s="328"/>
      <c r="Z363" s="328"/>
      <c r="AA363" s="328"/>
      <c r="AB363" s="328"/>
    </row>
    <row r="364" ht="15.75" customHeight="1">
      <c r="B364" s="328"/>
      <c r="C364" s="328"/>
      <c r="D364" s="328"/>
      <c r="E364" s="328"/>
      <c r="F364" s="328"/>
      <c r="G364" s="328"/>
      <c r="H364" s="328"/>
      <c r="I364" s="328"/>
      <c r="J364" s="328"/>
      <c r="K364" s="328"/>
      <c r="L364" s="328"/>
      <c r="M364" s="328"/>
      <c r="R364" s="328"/>
      <c r="S364" s="328"/>
      <c r="T364" s="328"/>
      <c r="U364" s="328"/>
      <c r="V364" s="328"/>
      <c r="W364" s="328"/>
      <c r="X364" s="328"/>
      <c r="Y364" s="328"/>
      <c r="Z364" s="328"/>
      <c r="AA364" s="328"/>
      <c r="AB364" s="328"/>
    </row>
    <row r="365" ht="15.75" customHeight="1">
      <c r="B365" s="328"/>
      <c r="C365" s="328"/>
      <c r="D365" s="328"/>
      <c r="E365" s="328"/>
      <c r="F365" s="328"/>
      <c r="G365" s="328"/>
      <c r="H365" s="328"/>
      <c r="I365" s="328"/>
      <c r="J365" s="328"/>
      <c r="K365" s="328"/>
      <c r="L365" s="328"/>
      <c r="M365" s="328"/>
      <c r="R365" s="328"/>
      <c r="S365" s="328"/>
      <c r="T365" s="328"/>
      <c r="U365" s="328"/>
      <c r="V365" s="328"/>
      <c r="W365" s="328"/>
      <c r="X365" s="328"/>
      <c r="Y365" s="328"/>
      <c r="Z365" s="328"/>
      <c r="AA365" s="328"/>
      <c r="AB365" s="328"/>
    </row>
    <row r="366" ht="15.75" customHeight="1">
      <c r="B366" s="328"/>
      <c r="C366" s="328"/>
      <c r="D366" s="328"/>
      <c r="E366" s="328"/>
      <c r="F366" s="328"/>
      <c r="G366" s="328"/>
      <c r="H366" s="328"/>
      <c r="I366" s="328"/>
      <c r="J366" s="328"/>
      <c r="K366" s="328"/>
      <c r="L366" s="328"/>
      <c r="M366" s="328"/>
      <c r="R366" s="328"/>
      <c r="S366" s="328"/>
      <c r="T366" s="328"/>
      <c r="U366" s="328"/>
      <c r="V366" s="328"/>
      <c r="W366" s="328"/>
      <c r="X366" s="328"/>
      <c r="Y366" s="328"/>
      <c r="Z366" s="328"/>
      <c r="AA366" s="328"/>
      <c r="AB366" s="328"/>
    </row>
    <row r="367" ht="15.75" customHeight="1">
      <c r="B367" s="328"/>
      <c r="C367" s="328"/>
      <c r="D367" s="328"/>
      <c r="E367" s="328"/>
      <c r="F367" s="328"/>
      <c r="G367" s="328"/>
      <c r="H367" s="328"/>
      <c r="I367" s="328"/>
      <c r="J367" s="328"/>
      <c r="K367" s="328"/>
      <c r="L367" s="328"/>
      <c r="M367" s="328"/>
      <c r="R367" s="328"/>
      <c r="S367" s="328"/>
      <c r="T367" s="328"/>
      <c r="U367" s="328"/>
      <c r="V367" s="328"/>
      <c r="W367" s="328"/>
      <c r="X367" s="328"/>
      <c r="Y367" s="328"/>
      <c r="Z367" s="328"/>
      <c r="AA367" s="328"/>
      <c r="AB367" s="328"/>
    </row>
    <row r="368" ht="15.75" customHeight="1">
      <c r="B368" s="328"/>
      <c r="C368" s="328"/>
      <c r="D368" s="328"/>
      <c r="E368" s="328"/>
      <c r="F368" s="328"/>
      <c r="G368" s="328"/>
      <c r="H368" s="328"/>
      <c r="I368" s="328"/>
      <c r="J368" s="328"/>
      <c r="K368" s="328"/>
      <c r="L368" s="328"/>
      <c r="M368" s="328"/>
      <c r="R368" s="328"/>
      <c r="S368" s="328"/>
      <c r="T368" s="328"/>
      <c r="U368" s="328"/>
      <c r="V368" s="328"/>
      <c r="W368" s="328"/>
      <c r="X368" s="328"/>
      <c r="Y368" s="328"/>
      <c r="Z368" s="328"/>
      <c r="AA368" s="328"/>
      <c r="AB368" s="328"/>
    </row>
    <row r="369" ht="15.75" customHeight="1">
      <c r="B369" s="328"/>
      <c r="C369" s="328"/>
      <c r="D369" s="328"/>
      <c r="E369" s="328"/>
      <c r="F369" s="328"/>
      <c r="G369" s="328"/>
      <c r="H369" s="328"/>
      <c r="I369" s="328"/>
      <c r="J369" s="328"/>
      <c r="K369" s="328"/>
      <c r="L369" s="328"/>
      <c r="M369" s="328"/>
      <c r="R369" s="328"/>
      <c r="S369" s="328"/>
      <c r="T369" s="328"/>
      <c r="U369" s="328"/>
      <c r="V369" s="328"/>
      <c r="W369" s="328"/>
      <c r="X369" s="328"/>
      <c r="Y369" s="328"/>
      <c r="Z369" s="328"/>
      <c r="AA369" s="328"/>
      <c r="AB369" s="328"/>
    </row>
    <row r="370" ht="15.75" customHeight="1">
      <c r="B370" s="328"/>
      <c r="C370" s="328"/>
      <c r="D370" s="328"/>
      <c r="E370" s="328"/>
      <c r="F370" s="328"/>
      <c r="G370" s="328"/>
      <c r="H370" s="328"/>
      <c r="I370" s="328"/>
      <c r="J370" s="328"/>
      <c r="K370" s="328"/>
      <c r="L370" s="328"/>
      <c r="M370" s="328"/>
      <c r="R370" s="328"/>
      <c r="S370" s="328"/>
      <c r="T370" s="328"/>
      <c r="U370" s="328"/>
      <c r="V370" s="328"/>
      <c r="W370" s="328"/>
      <c r="X370" s="328"/>
      <c r="Y370" s="328"/>
      <c r="Z370" s="328"/>
      <c r="AA370" s="328"/>
      <c r="AB370" s="328"/>
    </row>
    <row r="371" ht="15.75" customHeight="1">
      <c r="B371" s="328"/>
      <c r="C371" s="328"/>
      <c r="D371" s="328"/>
      <c r="E371" s="328"/>
      <c r="F371" s="328"/>
      <c r="G371" s="328"/>
      <c r="H371" s="328"/>
      <c r="I371" s="328"/>
      <c r="J371" s="328"/>
      <c r="K371" s="328"/>
      <c r="L371" s="328"/>
      <c r="M371" s="328"/>
      <c r="R371" s="328"/>
      <c r="S371" s="328"/>
      <c r="T371" s="328"/>
      <c r="U371" s="328"/>
      <c r="V371" s="328"/>
      <c r="W371" s="328"/>
      <c r="X371" s="328"/>
      <c r="Y371" s="328"/>
      <c r="Z371" s="328"/>
      <c r="AA371" s="328"/>
      <c r="AB371" s="328"/>
    </row>
    <row r="372" ht="15.75" customHeight="1">
      <c r="B372" s="328"/>
      <c r="C372" s="328"/>
      <c r="D372" s="328"/>
      <c r="E372" s="328"/>
      <c r="F372" s="328"/>
      <c r="G372" s="328"/>
      <c r="H372" s="328"/>
      <c r="I372" s="328"/>
      <c r="J372" s="328"/>
      <c r="K372" s="328"/>
      <c r="L372" s="328"/>
      <c r="M372" s="328"/>
      <c r="R372" s="328"/>
      <c r="S372" s="328"/>
      <c r="T372" s="328"/>
      <c r="U372" s="328"/>
      <c r="V372" s="328"/>
      <c r="W372" s="328"/>
      <c r="X372" s="328"/>
      <c r="Y372" s="328"/>
      <c r="Z372" s="328"/>
      <c r="AA372" s="328"/>
      <c r="AB372" s="328"/>
    </row>
    <row r="373" ht="15.75" customHeight="1">
      <c r="B373" s="328"/>
      <c r="C373" s="328"/>
      <c r="D373" s="328"/>
      <c r="E373" s="328"/>
      <c r="F373" s="328"/>
      <c r="G373" s="328"/>
      <c r="H373" s="328"/>
      <c r="I373" s="328"/>
      <c r="J373" s="328"/>
      <c r="K373" s="328"/>
      <c r="L373" s="328"/>
      <c r="M373" s="328"/>
      <c r="R373" s="328"/>
      <c r="S373" s="328"/>
      <c r="T373" s="328"/>
      <c r="U373" s="328"/>
      <c r="V373" s="328"/>
      <c r="W373" s="328"/>
      <c r="X373" s="328"/>
      <c r="Y373" s="328"/>
      <c r="Z373" s="328"/>
      <c r="AA373" s="328"/>
      <c r="AB373" s="328"/>
    </row>
    <row r="374" ht="15.75" customHeight="1">
      <c r="B374" s="328"/>
      <c r="C374" s="328"/>
      <c r="D374" s="328"/>
      <c r="E374" s="328"/>
      <c r="F374" s="328"/>
      <c r="G374" s="328"/>
      <c r="H374" s="328"/>
      <c r="I374" s="328"/>
      <c r="J374" s="328"/>
      <c r="K374" s="328"/>
      <c r="L374" s="328"/>
      <c r="M374" s="328"/>
      <c r="R374" s="328"/>
      <c r="S374" s="328"/>
      <c r="T374" s="328"/>
      <c r="U374" s="328"/>
      <c r="V374" s="328"/>
      <c r="W374" s="328"/>
      <c r="X374" s="328"/>
      <c r="Y374" s="328"/>
      <c r="Z374" s="328"/>
      <c r="AA374" s="328"/>
      <c r="AB374" s="328"/>
    </row>
    <row r="375" ht="15.75" customHeight="1">
      <c r="B375" s="328"/>
      <c r="C375" s="328"/>
      <c r="D375" s="328"/>
      <c r="E375" s="328"/>
      <c r="F375" s="328"/>
      <c r="G375" s="328"/>
      <c r="H375" s="328"/>
      <c r="I375" s="328"/>
      <c r="J375" s="328"/>
      <c r="K375" s="328"/>
      <c r="L375" s="328"/>
      <c r="M375" s="328"/>
      <c r="R375" s="328"/>
      <c r="S375" s="328"/>
      <c r="T375" s="328"/>
      <c r="U375" s="328"/>
      <c r="V375" s="328"/>
      <c r="W375" s="328"/>
      <c r="X375" s="328"/>
      <c r="Y375" s="328"/>
      <c r="Z375" s="328"/>
      <c r="AA375" s="328"/>
      <c r="AB375" s="328"/>
    </row>
    <row r="376" ht="15.75" customHeight="1">
      <c r="B376" s="328"/>
      <c r="C376" s="328"/>
      <c r="D376" s="328"/>
      <c r="E376" s="328"/>
      <c r="F376" s="328"/>
      <c r="G376" s="328"/>
      <c r="H376" s="328"/>
      <c r="I376" s="328"/>
      <c r="J376" s="328"/>
      <c r="K376" s="328"/>
      <c r="L376" s="328"/>
      <c r="M376" s="328"/>
      <c r="R376" s="328"/>
      <c r="S376" s="328"/>
      <c r="T376" s="328"/>
      <c r="U376" s="328"/>
      <c r="V376" s="328"/>
      <c r="W376" s="328"/>
      <c r="X376" s="328"/>
      <c r="Y376" s="328"/>
      <c r="Z376" s="328"/>
      <c r="AA376" s="328"/>
      <c r="AB376" s="328"/>
    </row>
    <row r="377" ht="15.75" customHeight="1">
      <c r="B377" s="328"/>
      <c r="C377" s="328"/>
      <c r="D377" s="328"/>
      <c r="E377" s="328"/>
      <c r="F377" s="328"/>
      <c r="G377" s="328"/>
      <c r="H377" s="328"/>
      <c r="I377" s="328"/>
      <c r="J377" s="328"/>
      <c r="K377" s="328"/>
      <c r="L377" s="328"/>
      <c r="M377" s="328"/>
      <c r="R377" s="328"/>
      <c r="S377" s="328"/>
      <c r="T377" s="328"/>
      <c r="U377" s="328"/>
      <c r="V377" s="328"/>
      <c r="W377" s="328"/>
      <c r="X377" s="328"/>
      <c r="Y377" s="328"/>
      <c r="Z377" s="328"/>
      <c r="AA377" s="328"/>
      <c r="AB377" s="328"/>
    </row>
    <row r="378" ht="15.75" customHeight="1">
      <c r="B378" s="328"/>
      <c r="C378" s="328"/>
      <c r="D378" s="328"/>
      <c r="E378" s="328"/>
      <c r="F378" s="328"/>
      <c r="G378" s="328"/>
      <c r="H378" s="328"/>
      <c r="I378" s="328"/>
      <c r="J378" s="328"/>
      <c r="K378" s="328"/>
      <c r="L378" s="328"/>
      <c r="M378" s="328"/>
      <c r="R378" s="328"/>
      <c r="S378" s="328"/>
      <c r="T378" s="328"/>
      <c r="U378" s="328"/>
      <c r="V378" s="328"/>
      <c r="W378" s="328"/>
      <c r="X378" s="328"/>
      <c r="Y378" s="328"/>
      <c r="Z378" s="328"/>
      <c r="AA378" s="328"/>
      <c r="AB378" s="328"/>
    </row>
    <row r="379" ht="15.75" customHeight="1">
      <c r="B379" s="328"/>
      <c r="C379" s="328"/>
      <c r="D379" s="328"/>
      <c r="E379" s="328"/>
      <c r="F379" s="328"/>
      <c r="G379" s="328"/>
      <c r="H379" s="328"/>
      <c r="I379" s="328"/>
      <c r="J379" s="328"/>
      <c r="K379" s="328"/>
      <c r="L379" s="328"/>
      <c r="M379" s="328"/>
      <c r="R379" s="328"/>
      <c r="S379" s="328"/>
      <c r="T379" s="328"/>
      <c r="U379" s="328"/>
      <c r="V379" s="328"/>
      <c r="W379" s="328"/>
      <c r="X379" s="328"/>
      <c r="Y379" s="328"/>
      <c r="Z379" s="328"/>
      <c r="AA379" s="328"/>
      <c r="AB379" s="328"/>
    </row>
    <row r="380" ht="15.75" customHeight="1">
      <c r="B380" s="328"/>
      <c r="C380" s="328"/>
      <c r="D380" s="328"/>
      <c r="E380" s="328"/>
      <c r="F380" s="328"/>
      <c r="G380" s="328"/>
      <c r="H380" s="328"/>
      <c r="I380" s="328"/>
      <c r="J380" s="328"/>
      <c r="K380" s="328"/>
      <c r="L380" s="328"/>
      <c r="M380" s="328"/>
      <c r="R380" s="328"/>
      <c r="S380" s="328"/>
      <c r="T380" s="328"/>
      <c r="U380" s="328"/>
      <c r="V380" s="328"/>
      <c r="W380" s="328"/>
      <c r="X380" s="328"/>
      <c r="Y380" s="328"/>
      <c r="Z380" s="328"/>
      <c r="AA380" s="328"/>
      <c r="AB380" s="328"/>
    </row>
    <row r="381" ht="15.75" customHeight="1">
      <c r="B381" s="328"/>
      <c r="C381" s="328"/>
      <c r="D381" s="328"/>
      <c r="E381" s="328"/>
      <c r="F381" s="328"/>
      <c r="G381" s="328"/>
      <c r="H381" s="328"/>
      <c r="I381" s="328"/>
      <c r="J381" s="328"/>
      <c r="K381" s="328"/>
      <c r="L381" s="328"/>
      <c r="M381" s="328"/>
      <c r="R381" s="328"/>
      <c r="S381" s="328"/>
      <c r="T381" s="328"/>
      <c r="U381" s="328"/>
      <c r="V381" s="328"/>
      <c r="W381" s="328"/>
      <c r="X381" s="328"/>
      <c r="Y381" s="328"/>
      <c r="Z381" s="328"/>
      <c r="AA381" s="328"/>
      <c r="AB381" s="328"/>
    </row>
    <row r="382" ht="15.75" customHeight="1">
      <c r="B382" s="328"/>
      <c r="C382" s="328"/>
      <c r="D382" s="328"/>
      <c r="E382" s="328"/>
      <c r="F382" s="328"/>
      <c r="G382" s="328"/>
      <c r="H382" s="328"/>
      <c r="I382" s="328"/>
      <c r="J382" s="328"/>
      <c r="K382" s="328"/>
      <c r="L382" s="328"/>
      <c r="M382" s="328"/>
      <c r="R382" s="328"/>
      <c r="S382" s="328"/>
      <c r="T382" s="328"/>
      <c r="U382" s="328"/>
      <c r="V382" s="328"/>
      <c r="W382" s="328"/>
      <c r="X382" s="328"/>
      <c r="Y382" s="328"/>
      <c r="Z382" s="328"/>
      <c r="AA382" s="328"/>
      <c r="AB382" s="328"/>
    </row>
    <row r="383" ht="15.75" customHeight="1">
      <c r="B383" s="328"/>
      <c r="C383" s="328"/>
      <c r="D383" s="328"/>
      <c r="E383" s="328"/>
      <c r="F383" s="328"/>
      <c r="G383" s="328"/>
      <c r="H383" s="328"/>
      <c r="I383" s="328"/>
      <c r="J383" s="328"/>
      <c r="K383" s="328"/>
      <c r="L383" s="328"/>
      <c r="M383" s="328"/>
      <c r="R383" s="328"/>
      <c r="S383" s="328"/>
      <c r="T383" s="328"/>
      <c r="U383" s="328"/>
      <c r="V383" s="328"/>
      <c r="W383" s="328"/>
      <c r="X383" s="328"/>
      <c r="Y383" s="328"/>
      <c r="Z383" s="328"/>
      <c r="AA383" s="328"/>
      <c r="AB383" s="328"/>
    </row>
    <row r="384" ht="15.75" customHeight="1">
      <c r="B384" s="328"/>
      <c r="C384" s="328"/>
      <c r="D384" s="328"/>
      <c r="E384" s="328"/>
      <c r="F384" s="328"/>
      <c r="G384" s="328"/>
      <c r="H384" s="328"/>
      <c r="I384" s="328"/>
      <c r="J384" s="328"/>
      <c r="K384" s="328"/>
      <c r="L384" s="328"/>
      <c r="M384" s="328"/>
      <c r="R384" s="328"/>
      <c r="S384" s="328"/>
      <c r="T384" s="328"/>
      <c r="U384" s="328"/>
      <c r="V384" s="328"/>
      <c r="W384" s="328"/>
      <c r="X384" s="328"/>
      <c r="Y384" s="328"/>
      <c r="Z384" s="328"/>
      <c r="AA384" s="328"/>
      <c r="AB384" s="328"/>
    </row>
    <row r="385" ht="15.75" customHeight="1">
      <c r="B385" s="328"/>
      <c r="C385" s="328"/>
      <c r="D385" s="328"/>
      <c r="E385" s="328"/>
      <c r="F385" s="328"/>
      <c r="G385" s="328"/>
      <c r="H385" s="328"/>
      <c r="I385" s="328"/>
      <c r="J385" s="328"/>
      <c r="K385" s="328"/>
      <c r="L385" s="328"/>
      <c r="M385" s="328"/>
      <c r="R385" s="328"/>
      <c r="S385" s="328"/>
      <c r="T385" s="328"/>
      <c r="U385" s="328"/>
      <c r="V385" s="328"/>
      <c r="W385" s="328"/>
      <c r="X385" s="328"/>
      <c r="Y385" s="328"/>
      <c r="Z385" s="328"/>
      <c r="AA385" s="328"/>
      <c r="AB385" s="328"/>
    </row>
    <row r="386" ht="15.75" customHeight="1">
      <c r="B386" s="328"/>
      <c r="C386" s="328"/>
      <c r="D386" s="328"/>
      <c r="E386" s="328"/>
      <c r="F386" s="328"/>
      <c r="G386" s="328"/>
      <c r="H386" s="328"/>
      <c r="I386" s="328"/>
      <c r="J386" s="328"/>
      <c r="K386" s="328"/>
      <c r="L386" s="328"/>
      <c r="M386" s="328"/>
      <c r="R386" s="328"/>
      <c r="S386" s="328"/>
      <c r="T386" s="328"/>
      <c r="U386" s="328"/>
      <c r="V386" s="328"/>
      <c r="W386" s="328"/>
      <c r="X386" s="328"/>
      <c r="Y386" s="328"/>
      <c r="Z386" s="328"/>
      <c r="AA386" s="328"/>
      <c r="AB386" s="328"/>
    </row>
    <row r="387" ht="15.75" customHeight="1">
      <c r="B387" s="328"/>
      <c r="C387" s="328"/>
      <c r="D387" s="328"/>
      <c r="E387" s="328"/>
      <c r="F387" s="328"/>
      <c r="G387" s="328"/>
      <c r="H387" s="328"/>
      <c r="I387" s="328"/>
      <c r="J387" s="328"/>
      <c r="K387" s="328"/>
      <c r="L387" s="328"/>
      <c r="M387" s="328"/>
      <c r="R387" s="328"/>
      <c r="S387" s="328"/>
      <c r="T387" s="328"/>
      <c r="U387" s="328"/>
      <c r="V387" s="328"/>
      <c r="W387" s="328"/>
      <c r="X387" s="328"/>
      <c r="Y387" s="328"/>
      <c r="Z387" s="328"/>
      <c r="AA387" s="328"/>
      <c r="AB387" s="328"/>
    </row>
    <row r="388" ht="15.75" customHeight="1">
      <c r="B388" s="328"/>
      <c r="C388" s="328"/>
      <c r="D388" s="328"/>
      <c r="E388" s="328"/>
      <c r="F388" s="328"/>
      <c r="G388" s="328"/>
      <c r="H388" s="328"/>
      <c r="I388" s="328"/>
      <c r="J388" s="328"/>
      <c r="K388" s="328"/>
      <c r="L388" s="328"/>
      <c r="M388" s="328"/>
      <c r="R388" s="328"/>
      <c r="S388" s="328"/>
      <c r="T388" s="328"/>
      <c r="U388" s="328"/>
      <c r="V388" s="328"/>
      <c r="W388" s="328"/>
      <c r="X388" s="328"/>
      <c r="Y388" s="328"/>
      <c r="Z388" s="328"/>
      <c r="AA388" s="328"/>
      <c r="AB388" s="328"/>
    </row>
    <row r="389" ht="15.75" customHeight="1">
      <c r="B389" s="328"/>
      <c r="C389" s="328"/>
      <c r="D389" s="328"/>
      <c r="E389" s="328"/>
      <c r="F389" s="328"/>
      <c r="G389" s="328"/>
      <c r="H389" s="328"/>
      <c r="I389" s="328"/>
      <c r="J389" s="328"/>
      <c r="K389" s="328"/>
      <c r="L389" s="328"/>
      <c r="M389" s="328"/>
      <c r="R389" s="328"/>
      <c r="S389" s="328"/>
      <c r="T389" s="328"/>
      <c r="U389" s="328"/>
      <c r="V389" s="328"/>
      <c r="W389" s="328"/>
      <c r="X389" s="328"/>
      <c r="Y389" s="328"/>
      <c r="Z389" s="328"/>
      <c r="AA389" s="328"/>
      <c r="AB389" s="328"/>
    </row>
    <row r="390" ht="15.75" customHeight="1">
      <c r="B390" s="328"/>
      <c r="C390" s="328"/>
      <c r="D390" s="328"/>
      <c r="E390" s="328"/>
      <c r="F390" s="328"/>
      <c r="G390" s="328"/>
      <c r="H390" s="328"/>
      <c r="I390" s="328"/>
      <c r="J390" s="328"/>
      <c r="K390" s="328"/>
      <c r="L390" s="328"/>
      <c r="M390" s="328"/>
      <c r="R390" s="328"/>
      <c r="S390" s="328"/>
      <c r="T390" s="328"/>
      <c r="U390" s="328"/>
      <c r="V390" s="328"/>
      <c r="W390" s="328"/>
      <c r="X390" s="328"/>
      <c r="Y390" s="328"/>
      <c r="Z390" s="328"/>
      <c r="AA390" s="328"/>
      <c r="AB390" s="328"/>
    </row>
    <row r="391" ht="15.75" customHeight="1">
      <c r="B391" s="328"/>
      <c r="C391" s="328"/>
      <c r="D391" s="328"/>
      <c r="E391" s="328"/>
      <c r="F391" s="328"/>
      <c r="G391" s="328"/>
      <c r="H391" s="328"/>
      <c r="I391" s="328"/>
      <c r="J391" s="328"/>
      <c r="K391" s="328"/>
      <c r="L391" s="328"/>
      <c r="M391" s="328"/>
      <c r="R391" s="328"/>
      <c r="S391" s="328"/>
      <c r="T391" s="328"/>
      <c r="U391" s="328"/>
      <c r="V391" s="328"/>
      <c r="W391" s="328"/>
      <c r="X391" s="328"/>
      <c r="Y391" s="328"/>
      <c r="Z391" s="328"/>
      <c r="AA391" s="328"/>
      <c r="AB391" s="328"/>
    </row>
    <row r="392" ht="15.75" customHeight="1">
      <c r="B392" s="328"/>
      <c r="C392" s="328"/>
      <c r="D392" s="328"/>
      <c r="E392" s="328"/>
      <c r="F392" s="328"/>
      <c r="G392" s="328"/>
      <c r="H392" s="328"/>
      <c r="I392" s="328"/>
      <c r="J392" s="328"/>
      <c r="K392" s="328"/>
      <c r="L392" s="328"/>
      <c r="M392" s="328"/>
      <c r="R392" s="328"/>
      <c r="S392" s="328"/>
      <c r="T392" s="328"/>
      <c r="U392" s="328"/>
      <c r="V392" s="328"/>
      <c r="W392" s="328"/>
      <c r="X392" s="328"/>
      <c r="Y392" s="328"/>
      <c r="Z392" s="328"/>
      <c r="AA392" s="328"/>
      <c r="AB392" s="328"/>
    </row>
    <row r="393" ht="15.75" customHeight="1">
      <c r="B393" s="328"/>
      <c r="C393" s="328"/>
      <c r="D393" s="328"/>
      <c r="E393" s="328"/>
      <c r="F393" s="328"/>
      <c r="G393" s="328"/>
      <c r="H393" s="328"/>
      <c r="I393" s="328"/>
      <c r="J393" s="328"/>
      <c r="K393" s="328"/>
      <c r="L393" s="328"/>
      <c r="M393" s="328"/>
      <c r="R393" s="328"/>
      <c r="S393" s="328"/>
      <c r="T393" s="328"/>
      <c r="U393" s="328"/>
      <c r="V393" s="328"/>
      <c r="W393" s="328"/>
      <c r="X393" s="328"/>
      <c r="Y393" s="328"/>
      <c r="Z393" s="328"/>
      <c r="AA393" s="328"/>
      <c r="AB393" s="328"/>
    </row>
    <row r="394" ht="15.75" customHeight="1">
      <c r="B394" s="328"/>
      <c r="C394" s="328"/>
      <c r="D394" s="328"/>
      <c r="E394" s="328"/>
      <c r="F394" s="328"/>
      <c r="G394" s="328"/>
      <c r="H394" s="328"/>
      <c r="I394" s="328"/>
      <c r="J394" s="328"/>
      <c r="K394" s="328"/>
      <c r="L394" s="328"/>
      <c r="M394" s="328"/>
      <c r="R394" s="328"/>
      <c r="S394" s="328"/>
      <c r="T394" s="328"/>
      <c r="U394" s="328"/>
      <c r="V394" s="328"/>
      <c r="W394" s="328"/>
      <c r="X394" s="328"/>
      <c r="Y394" s="328"/>
      <c r="Z394" s="328"/>
      <c r="AA394" s="328"/>
      <c r="AB394" s="328"/>
    </row>
    <row r="395" ht="15.75" customHeight="1">
      <c r="B395" s="328"/>
      <c r="C395" s="328"/>
      <c r="D395" s="328"/>
      <c r="E395" s="328"/>
      <c r="F395" s="328"/>
      <c r="G395" s="328"/>
      <c r="H395" s="328"/>
      <c r="I395" s="328"/>
      <c r="J395" s="328"/>
      <c r="K395" s="328"/>
      <c r="L395" s="328"/>
      <c r="M395" s="328"/>
      <c r="R395" s="328"/>
      <c r="S395" s="328"/>
      <c r="T395" s="328"/>
      <c r="U395" s="328"/>
      <c r="V395" s="328"/>
      <c r="W395" s="328"/>
      <c r="X395" s="328"/>
      <c r="Y395" s="328"/>
      <c r="Z395" s="328"/>
      <c r="AA395" s="328"/>
      <c r="AB395" s="328"/>
    </row>
    <row r="396" ht="15.75" customHeight="1">
      <c r="B396" s="328"/>
      <c r="C396" s="328"/>
      <c r="D396" s="328"/>
      <c r="E396" s="328"/>
      <c r="F396" s="328"/>
      <c r="G396" s="328"/>
      <c r="H396" s="328"/>
      <c r="I396" s="328"/>
      <c r="J396" s="328"/>
      <c r="K396" s="328"/>
      <c r="L396" s="328"/>
      <c r="M396" s="328"/>
      <c r="R396" s="328"/>
      <c r="S396" s="328"/>
      <c r="T396" s="328"/>
      <c r="U396" s="328"/>
      <c r="V396" s="328"/>
      <c r="W396" s="328"/>
      <c r="X396" s="328"/>
      <c r="Y396" s="328"/>
      <c r="Z396" s="328"/>
      <c r="AA396" s="328"/>
      <c r="AB396" s="328"/>
    </row>
    <row r="397" ht="15.75" customHeight="1">
      <c r="B397" s="328"/>
      <c r="C397" s="328"/>
      <c r="D397" s="328"/>
      <c r="E397" s="328"/>
      <c r="F397" s="328"/>
      <c r="G397" s="328"/>
      <c r="H397" s="328"/>
      <c r="I397" s="328"/>
      <c r="J397" s="328"/>
      <c r="K397" s="328"/>
      <c r="L397" s="328"/>
      <c r="M397" s="328"/>
      <c r="R397" s="328"/>
      <c r="S397" s="328"/>
      <c r="T397" s="328"/>
      <c r="U397" s="328"/>
      <c r="V397" s="328"/>
      <c r="W397" s="328"/>
      <c r="X397" s="328"/>
      <c r="Y397" s="328"/>
      <c r="Z397" s="328"/>
      <c r="AA397" s="328"/>
      <c r="AB397" s="328"/>
    </row>
    <row r="398" ht="15.75" customHeight="1">
      <c r="B398" s="328"/>
      <c r="C398" s="328"/>
      <c r="D398" s="328"/>
      <c r="E398" s="328"/>
      <c r="F398" s="328"/>
      <c r="G398" s="328"/>
      <c r="H398" s="328"/>
      <c r="I398" s="328"/>
      <c r="J398" s="328"/>
      <c r="K398" s="328"/>
      <c r="L398" s="328"/>
      <c r="M398" s="328"/>
      <c r="R398" s="328"/>
      <c r="S398" s="328"/>
      <c r="T398" s="328"/>
      <c r="U398" s="328"/>
      <c r="V398" s="328"/>
      <c r="W398" s="328"/>
      <c r="X398" s="328"/>
      <c r="Y398" s="328"/>
      <c r="Z398" s="328"/>
      <c r="AA398" s="328"/>
      <c r="AB398" s="328"/>
    </row>
    <row r="399" ht="15.75" customHeight="1">
      <c r="B399" s="328"/>
      <c r="C399" s="328"/>
      <c r="D399" s="328"/>
      <c r="E399" s="328"/>
      <c r="F399" s="328"/>
      <c r="G399" s="328"/>
      <c r="H399" s="328"/>
      <c r="I399" s="328"/>
      <c r="J399" s="328"/>
      <c r="K399" s="328"/>
      <c r="L399" s="328"/>
      <c r="M399" s="328"/>
      <c r="R399" s="328"/>
      <c r="S399" s="328"/>
      <c r="T399" s="328"/>
      <c r="U399" s="328"/>
      <c r="V399" s="328"/>
      <c r="W399" s="328"/>
      <c r="X399" s="328"/>
      <c r="Y399" s="328"/>
      <c r="Z399" s="328"/>
      <c r="AA399" s="328"/>
      <c r="AB399" s="328"/>
    </row>
    <row r="400" ht="15.75" customHeight="1">
      <c r="B400" s="328"/>
      <c r="C400" s="328"/>
      <c r="D400" s="328"/>
      <c r="E400" s="328"/>
      <c r="F400" s="328"/>
      <c r="G400" s="328"/>
      <c r="H400" s="328"/>
      <c r="I400" s="328"/>
      <c r="J400" s="328"/>
      <c r="K400" s="328"/>
      <c r="L400" s="328"/>
      <c r="M400" s="328"/>
      <c r="R400" s="328"/>
      <c r="S400" s="328"/>
      <c r="T400" s="328"/>
      <c r="U400" s="328"/>
      <c r="V400" s="328"/>
      <c r="W400" s="328"/>
      <c r="X400" s="328"/>
      <c r="Y400" s="328"/>
      <c r="Z400" s="328"/>
      <c r="AA400" s="328"/>
      <c r="AB400" s="328"/>
    </row>
    <row r="401" ht="15.75" customHeight="1">
      <c r="B401" s="328"/>
      <c r="C401" s="328"/>
      <c r="D401" s="328"/>
      <c r="E401" s="328"/>
      <c r="F401" s="328"/>
      <c r="G401" s="328"/>
      <c r="H401" s="328"/>
      <c r="I401" s="328"/>
      <c r="J401" s="328"/>
      <c r="K401" s="328"/>
      <c r="L401" s="328"/>
      <c r="M401" s="328"/>
      <c r="R401" s="328"/>
      <c r="S401" s="328"/>
      <c r="T401" s="328"/>
      <c r="U401" s="328"/>
      <c r="V401" s="328"/>
      <c r="W401" s="328"/>
      <c r="X401" s="328"/>
      <c r="Y401" s="328"/>
      <c r="Z401" s="328"/>
      <c r="AA401" s="328"/>
      <c r="AB401" s="328"/>
    </row>
    <row r="402" ht="15.75" customHeight="1">
      <c r="B402" s="328"/>
      <c r="C402" s="328"/>
      <c r="D402" s="328"/>
      <c r="E402" s="328"/>
      <c r="F402" s="328"/>
      <c r="G402" s="328"/>
      <c r="H402" s="328"/>
      <c r="I402" s="328"/>
      <c r="J402" s="328"/>
      <c r="K402" s="328"/>
      <c r="L402" s="328"/>
      <c r="M402" s="328"/>
      <c r="R402" s="328"/>
      <c r="S402" s="328"/>
      <c r="T402" s="328"/>
      <c r="U402" s="328"/>
      <c r="V402" s="328"/>
      <c r="W402" s="328"/>
      <c r="X402" s="328"/>
      <c r="Y402" s="328"/>
      <c r="Z402" s="328"/>
      <c r="AA402" s="328"/>
      <c r="AB402" s="328"/>
    </row>
    <row r="403" ht="15.75" customHeight="1">
      <c r="B403" s="328"/>
      <c r="C403" s="328"/>
      <c r="D403" s="328"/>
      <c r="E403" s="328"/>
      <c r="F403" s="328"/>
      <c r="G403" s="328"/>
      <c r="H403" s="328"/>
      <c r="I403" s="328"/>
      <c r="J403" s="328"/>
      <c r="K403" s="328"/>
      <c r="L403" s="328"/>
      <c r="M403" s="328"/>
      <c r="R403" s="328"/>
      <c r="S403" s="328"/>
      <c r="T403" s="328"/>
      <c r="U403" s="328"/>
      <c r="V403" s="328"/>
      <c r="W403" s="328"/>
      <c r="X403" s="328"/>
      <c r="Y403" s="328"/>
      <c r="Z403" s="328"/>
      <c r="AA403" s="328"/>
      <c r="AB403" s="328"/>
    </row>
    <row r="404" ht="15.75" customHeight="1">
      <c r="B404" s="328"/>
      <c r="C404" s="328"/>
      <c r="D404" s="328"/>
      <c r="E404" s="328"/>
      <c r="F404" s="328"/>
      <c r="G404" s="328"/>
      <c r="H404" s="328"/>
      <c r="I404" s="328"/>
      <c r="J404" s="328"/>
      <c r="K404" s="328"/>
      <c r="L404" s="328"/>
      <c r="M404" s="328"/>
      <c r="R404" s="328"/>
      <c r="S404" s="328"/>
      <c r="T404" s="328"/>
      <c r="U404" s="328"/>
      <c r="V404" s="328"/>
      <c r="W404" s="328"/>
      <c r="X404" s="328"/>
      <c r="Y404" s="328"/>
      <c r="Z404" s="328"/>
      <c r="AA404" s="328"/>
      <c r="AB404" s="328"/>
    </row>
    <row r="405" ht="15.75" customHeight="1">
      <c r="B405" s="328"/>
      <c r="C405" s="328"/>
      <c r="D405" s="328"/>
      <c r="E405" s="328"/>
      <c r="F405" s="328"/>
      <c r="G405" s="328"/>
      <c r="H405" s="328"/>
      <c r="I405" s="328"/>
      <c r="J405" s="328"/>
      <c r="K405" s="328"/>
      <c r="L405" s="328"/>
      <c r="M405" s="328"/>
      <c r="R405" s="328"/>
      <c r="S405" s="328"/>
      <c r="T405" s="328"/>
      <c r="U405" s="328"/>
      <c r="V405" s="328"/>
      <c r="W405" s="328"/>
      <c r="X405" s="328"/>
      <c r="Y405" s="328"/>
      <c r="Z405" s="328"/>
      <c r="AA405" s="328"/>
      <c r="AB405" s="328"/>
    </row>
    <row r="406" ht="15.75" customHeight="1">
      <c r="B406" s="328"/>
      <c r="C406" s="328"/>
      <c r="D406" s="328"/>
      <c r="E406" s="328"/>
      <c r="F406" s="328"/>
      <c r="G406" s="328"/>
      <c r="H406" s="328"/>
      <c r="I406" s="328"/>
      <c r="J406" s="328"/>
      <c r="K406" s="328"/>
      <c r="L406" s="328"/>
      <c r="M406" s="328"/>
      <c r="R406" s="328"/>
      <c r="S406" s="328"/>
      <c r="T406" s="328"/>
      <c r="U406" s="328"/>
      <c r="V406" s="328"/>
      <c r="W406" s="328"/>
      <c r="X406" s="328"/>
      <c r="Y406" s="328"/>
      <c r="Z406" s="328"/>
      <c r="AA406" s="328"/>
      <c r="AB406" s="328"/>
    </row>
    <row r="407" ht="15.75" customHeight="1">
      <c r="B407" s="328"/>
      <c r="C407" s="328"/>
      <c r="D407" s="328"/>
      <c r="E407" s="328"/>
      <c r="F407" s="328"/>
      <c r="G407" s="328"/>
      <c r="H407" s="328"/>
      <c r="I407" s="328"/>
      <c r="J407" s="328"/>
      <c r="K407" s="328"/>
      <c r="L407" s="328"/>
      <c r="M407" s="328"/>
      <c r="R407" s="328"/>
      <c r="S407" s="328"/>
      <c r="T407" s="328"/>
      <c r="U407" s="328"/>
      <c r="V407" s="328"/>
      <c r="W407" s="328"/>
      <c r="X407" s="328"/>
      <c r="Y407" s="328"/>
      <c r="Z407" s="328"/>
      <c r="AA407" s="328"/>
      <c r="AB407" s="328"/>
    </row>
    <row r="408" ht="15.75" customHeight="1">
      <c r="B408" s="328"/>
      <c r="C408" s="328"/>
      <c r="D408" s="328"/>
      <c r="E408" s="328"/>
      <c r="F408" s="328"/>
      <c r="G408" s="328"/>
      <c r="H408" s="328"/>
      <c r="I408" s="328"/>
      <c r="J408" s="328"/>
      <c r="K408" s="328"/>
      <c r="L408" s="328"/>
      <c r="M408" s="328"/>
      <c r="R408" s="328"/>
      <c r="S408" s="328"/>
      <c r="T408" s="328"/>
      <c r="U408" s="328"/>
      <c r="V408" s="328"/>
      <c r="W408" s="328"/>
      <c r="X408" s="328"/>
      <c r="Y408" s="328"/>
      <c r="Z408" s="328"/>
      <c r="AA408" s="328"/>
      <c r="AB408" s="328"/>
    </row>
    <row r="409" ht="15.75" customHeight="1">
      <c r="B409" s="328"/>
      <c r="C409" s="328"/>
      <c r="D409" s="328"/>
      <c r="E409" s="328"/>
      <c r="F409" s="328"/>
      <c r="G409" s="328"/>
      <c r="H409" s="328"/>
      <c r="I409" s="328"/>
      <c r="J409" s="328"/>
      <c r="K409" s="328"/>
      <c r="L409" s="328"/>
      <c r="M409" s="328"/>
      <c r="R409" s="328"/>
      <c r="S409" s="328"/>
      <c r="T409" s="328"/>
      <c r="U409" s="328"/>
      <c r="V409" s="328"/>
      <c r="W409" s="328"/>
      <c r="X409" s="328"/>
      <c r="Y409" s="328"/>
      <c r="Z409" s="328"/>
      <c r="AA409" s="328"/>
      <c r="AB409" s="328"/>
    </row>
    <row r="410" ht="15.75" customHeight="1">
      <c r="B410" s="328"/>
      <c r="C410" s="328"/>
      <c r="D410" s="328"/>
      <c r="E410" s="328"/>
      <c r="F410" s="328"/>
      <c r="G410" s="328"/>
      <c r="H410" s="328"/>
      <c r="I410" s="328"/>
      <c r="J410" s="328"/>
      <c r="K410" s="328"/>
      <c r="L410" s="328"/>
      <c r="M410" s="328"/>
      <c r="R410" s="328"/>
      <c r="S410" s="328"/>
      <c r="T410" s="328"/>
      <c r="U410" s="328"/>
      <c r="V410" s="328"/>
      <c r="W410" s="328"/>
      <c r="X410" s="328"/>
      <c r="Y410" s="328"/>
      <c r="Z410" s="328"/>
      <c r="AA410" s="328"/>
      <c r="AB410" s="328"/>
    </row>
    <row r="411" ht="15.75" customHeight="1">
      <c r="B411" s="328"/>
      <c r="C411" s="328"/>
      <c r="D411" s="328"/>
      <c r="E411" s="328"/>
      <c r="F411" s="328"/>
      <c r="G411" s="328"/>
      <c r="H411" s="328"/>
      <c r="I411" s="328"/>
      <c r="J411" s="328"/>
      <c r="K411" s="328"/>
      <c r="L411" s="328"/>
      <c r="M411" s="328"/>
      <c r="R411" s="328"/>
      <c r="S411" s="328"/>
      <c r="T411" s="328"/>
      <c r="U411" s="328"/>
      <c r="V411" s="328"/>
      <c r="W411" s="328"/>
      <c r="X411" s="328"/>
      <c r="Y411" s="328"/>
      <c r="Z411" s="328"/>
      <c r="AA411" s="328"/>
      <c r="AB411" s="328"/>
    </row>
    <row r="412" ht="15.75" customHeight="1">
      <c r="B412" s="328"/>
      <c r="C412" s="328"/>
      <c r="D412" s="328"/>
      <c r="E412" s="328"/>
      <c r="F412" s="328"/>
      <c r="G412" s="328"/>
      <c r="H412" s="328"/>
      <c r="I412" s="328"/>
      <c r="J412" s="328"/>
      <c r="K412" s="328"/>
      <c r="L412" s="328"/>
      <c r="M412" s="328"/>
      <c r="R412" s="328"/>
      <c r="S412" s="328"/>
      <c r="T412" s="328"/>
      <c r="U412" s="328"/>
      <c r="V412" s="328"/>
      <c r="W412" s="328"/>
      <c r="X412" s="328"/>
      <c r="Y412" s="328"/>
      <c r="Z412" s="328"/>
      <c r="AA412" s="328"/>
      <c r="AB412" s="328"/>
    </row>
    <row r="413" ht="15.75" customHeight="1">
      <c r="B413" s="328"/>
      <c r="C413" s="328"/>
      <c r="D413" s="328"/>
      <c r="E413" s="328"/>
      <c r="F413" s="328"/>
      <c r="G413" s="328"/>
      <c r="H413" s="328"/>
      <c r="I413" s="328"/>
      <c r="J413" s="328"/>
      <c r="K413" s="328"/>
      <c r="L413" s="328"/>
      <c r="M413" s="328"/>
      <c r="R413" s="328"/>
      <c r="S413" s="328"/>
      <c r="T413" s="328"/>
      <c r="U413" s="328"/>
      <c r="V413" s="328"/>
      <c r="W413" s="328"/>
      <c r="X413" s="328"/>
      <c r="Y413" s="328"/>
      <c r="Z413" s="328"/>
      <c r="AA413" s="328"/>
      <c r="AB413" s="328"/>
    </row>
    <row r="414" ht="15.75" customHeight="1">
      <c r="B414" s="328"/>
      <c r="C414" s="328"/>
      <c r="D414" s="328"/>
      <c r="E414" s="328"/>
      <c r="F414" s="328"/>
      <c r="G414" s="328"/>
      <c r="H414" s="328"/>
      <c r="I414" s="328"/>
      <c r="J414" s="328"/>
      <c r="K414" s="328"/>
      <c r="L414" s="328"/>
      <c r="M414" s="328"/>
      <c r="R414" s="328"/>
      <c r="S414" s="328"/>
      <c r="T414" s="328"/>
      <c r="U414" s="328"/>
      <c r="V414" s="328"/>
      <c r="W414" s="328"/>
      <c r="X414" s="328"/>
      <c r="Y414" s="328"/>
      <c r="Z414" s="328"/>
      <c r="AA414" s="328"/>
      <c r="AB414" s="328"/>
    </row>
    <row r="415" ht="15.75" customHeight="1">
      <c r="B415" s="328"/>
      <c r="C415" s="328"/>
      <c r="D415" s="328"/>
      <c r="E415" s="328"/>
      <c r="F415" s="328"/>
      <c r="G415" s="328"/>
      <c r="H415" s="328"/>
      <c r="I415" s="328"/>
      <c r="J415" s="328"/>
      <c r="K415" s="328"/>
      <c r="L415" s="328"/>
      <c r="M415" s="328"/>
      <c r="R415" s="328"/>
      <c r="S415" s="328"/>
      <c r="T415" s="328"/>
      <c r="U415" s="328"/>
      <c r="V415" s="328"/>
      <c r="W415" s="328"/>
      <c r="X415" s="328"/>
      <c r="Y415" s="328"/>
      <c r="Z415" s="328"/>
      <c r="AA415" s="328"/>
      <c r="AB415" s="328"/>
    </row>
    <row r="416" ht="15.75" customHeight="1">
      <c r="B416" s="328"/>
      <c r="C416" s="328"/>
      <c r="D416" s="328"/>
      <c r="E416" s="328"/>
      <c r="F416" s="328"/>
      <c r="G416" s="328"/>
      <c r="H416" s="328"/>
      <c r="I416" s="328"/>
      <c r="J416" s="328"/>
      <c r="K416" s="328"/>
      <c r="L416" s="328"/>
      <c r="M416" s="328"/>
      <c r="R416" s="328"/>
      <c r="S416" s="328"/>
      <c r="T416" s="328"/>
      <c r="U416" s="328"/>
      <c r="V416" s="328"/>
      <c r="W416" s="328"/>
      <c r="X416" s="328"/>
      <c r="Y416" s="328"/>
      <c r="Z416" s="328"/>
      <c r="AA416" s="328"/>
      <c r="AB416" s="328"/>
    </row>
    <row r="417" ht="15.75" customHeight="1">
      <c r="B417" s="328"/>
      <c r="C417" s="328"/>
      <c r="D417" s="328"/>
      <c r="E417" s="328"/>
      <c r="F417" s="328"/>
      <c r="G417" s="328"/>
      <c r="H417" s="328"/>
      <c r="I417" s="328"/>
      <c r="J417" s="328"/>
      <c r="K417" s="328"/>
      <c r="L417" s="328"/>
      <c r="M417" s="328"/>
      <c r="R417" s="328"/>
      <c r="S417" s="328"/>
      <c r="T417" s="328"/>
      <c r="U417" s="328"/>
      <c r="V417" s="328"/>
      <c r="W417" s="328"/>
      <c r="X417" s="328"/>
      <c r="Y417" s="328"/>
      <c r="Z417" s="328"/>
      <c r="AA417" s="328"/>
      <c r="AB417" s="328"/>
    </row>
    <row r="418" ht="15.75" customHeight="1">
      <c r="B418" s="328"/>
      <c r="C418" s="328"/>
      <c r="D418" s="328"/>
      <c r="E418" s="328"/>
      <c r="F418" s="328"/>
      <c r="G418" s="328"/>
      <c r="H418" s="328"/>
      <c r="I418" s="328"/>
      <c r="J418" s="328"/>
      <c r="K418" s="328"/>
      <c r="L418" s="328"/>
      <c r="M418" s="328"/>
      <c r="R418" s="328"/>
      <c r="S418" s="328"/>
      <c r="T418" s="328"/>
      <c r="U418" s="328"/>
      <c r="V418" s="328"/>
      <c r="W418" s="328"/>
      <c r="X418" s="328"/>
      <c r="Y418" s="328"/>
      <c r="Z418" s="328"/>
      <c r="AA418" s="328"/>
      <c r="AB418" s="328"/>
    </row>
    <row r="419" ht="15.75" customHeight="1">
      <c r="B419" s="328"/>
      <c r="C419" s="328"/>
      <c r="D419" s="328"/>
      <c r="E419" s="328"/>
      <c r="F419" s="328"/>
      <c r="G419" s="328"/>
      <c r="H419" s="328"/>
      <c r="I419" s="328"/>
      <c r="J419" s="328"/>
      <c r="K419" s="328"/>
      <c r="L419" s="328"/>
      <c r="M419" s="328"/>
      <c r="R419" s="328"/>
      <c r="S419" s="328"/>
      <c r="T419" s="328"/>
      <c r="U419" s="328"/>
      <c r="V419" s="328"/>
      <c r="W419" s="328"/>
      <c r="X419" s="328"/>
      <c r="Y419" s="328"/>
      <c r="Z419" s="328"/>
      <c r="AA419" s="328"/>
      <c r="AB419" s="328"/>
    </row>
    <row r="420" ht="15.75" customHeight="1">
      <c r="B420" s="328"/>
      <c r="C420" s="328"/>
      <c r="D420" s="328"/>
      <c r="E420" s="328"/>
      <c r="F420" s="328"/>
      <c r="G420" s="328"/>
      <c r="H420" s="328"/>
      <c r="I420" s="328"/>
      <c r="J420" s="328"/>
      <c r="K420" s="328"/>
      <c r="L420" s="328"/>
      <c r="M420" s="328"/>
      <c r="R420" s="328"/>
      <c r="S420" s="328"/>
      <c r="T420" s="328"/>
      <c r="U420" s="328"/>
      <c r="V420" s="328"/>
      <c r="W420" s="328"/>
      <c r="X420" s="328"/>
      <c r="Y420" s="328"/>
      <c r="Z420" s="328"/>
      <c r="AA420" s="328"/>
      <c r="AB420" s="328"/>
    </row>
    <row r="421" ht="15.75" customHeight="1">
      <c r="B421" s="328"/>
      <c r="C421" s="328"/>
      <c r="D421" s="328"/>
      <c r="E421" s="328"/>
      <c r="F421" s="328"/>
      <c r="G421" s="328"/>
      <c r="H421" s="328"/>
      <c r="I421" s="328"/>
      <c r="J421" s="328"/>
      <c r="K421" s="328"/>
      <c r="L421" s="328"/>
      <c r="M421" s="328"/>
      <c r="R421" s="328"/>
      <c r="S421" s="328"/>
      <c r="T421" s="328"/>
      <c r="U421" s="328"/>
      <c r="V421" s="328"/>
      <c r="W421" s="328"/>
      <c r="X421" s="328"/>
      <c r="Y421" s="328"/>
      <c r="Z421" s="328"/>
      <c r="AA421" s="328"/>
      <c r="AB421" s="328"/>
    </row>
    <row r="422" ht="15.75" customHeight="1">
      <c r="B422" s="328"/>
      <c r="C422" s="328"/>
      <c r="D422" s="328"/>
      <c r="E422" s="328"/>
      <c r="F422" s="328"/>
      <c r="G422" s="328"/>
      <c r="H422" s="328"/>
      <c r="I422" s="328"/>
      <c r="J422" s="328"/>
      <c r="K422" s="328"/>
      <c r="L422" s="328"/>
      <c r="M422" s="328"/>
      <c r="R422" s="328"/>
      <c r="S422" s="328"/>
      <c r="T422" s="328"/>
      <c r="U422" s="328"/>
      <c r="V422" s="328"/>
      <c r="W422" s="328"/>
      <c r="X422" s="328"/>
      <c r="Y422" s="328"/>
      <c r="Z422" s="328"/>
      <c r="AA422" s="328"/>
      <c r="AB422" s="328"/>
    </row>
    <row r="423" ht="15.75" customHeight="1">
      <c r="B423" s="328"/>
      <c r="C423" s="328"/>
      <c r="D423" s="328"/>
      <c r="E423" s="328"/>
      <c r="F423" s="328"/>
      <c r="G423" s="328"/>
      <c r="H423" s="328"/>
      <c r="I423" s="328"/>
      <c r="J423" s="328"/>
      <c r="K423" s="328"/>
      <c r="L423" s="328"/>
      <c r="M423" s="328"/>
      <c r="R423" s="328"/>
      <c r="S423" s="328"/>
      <c r="T423" s="328"/>
      <c r="U423" s="328"/>
      <c r="V423" s="328"/>
      <c r="W423" s="328"/>
      <c r="X423" s="328"/>
      <c r="Y423" s="328"/>
      <c r="Z423" s="328"/>
      <c r="AA423" s="328"/>
      <c r="AB423" s="328"/>
    </row>
    <row r="424" ht="15.75" customHeight="1">
      <c r="B424" s="328"/>
      <c r="C424" s="328"/>
      <c r="D424" s="328"/>
      <c r="E424" s="328"/>
      <c r="F424" s="328"/>
      <c r="G424" s="328"/>
      <c r="H424" s="328"/>
      <c r="I424" s="328"/>
      <c r="J424" s="328"/>
      <c r="K424" s="328"/>
      <c r="L424" s="328"/>
      <c r="M424" s="328"/>
      <c r="R424" s="328"/>
      <c r="S424" s="328"/>
      <c r="T424" s="328"/>
      <c r="U424" s="328"/>
      <c r="V424" s="328"/>
      <c r="W424" s="328"/>
      <c r="X424" s="328"/>
      <c r="Y424" s="328"/>
      <c r="Z424" s="328"/>
      <c r="AA424" s="328"/>
      <c r="AB424" s="328"/>
    </row>
    <row r="425" ht="15.75" customHeight="1">
      <c r="B425" s="328"/>
      <c r="C425" s="328"/>
      <c r="D425" s="328"/>
      <c r="E425" s="328"/>
      <c r="F425" s="328"/>
      <c r="G425" s="328"/>
      <c r="H425" s="328"/>
      <c r="I425" s="328"/>
      <c r="J425" s="328"/>
      <c r="K425" s="328"/>
      <c r="L425" s="328"/>
      <c r="M425" s="328"/>
      <c r="R425" s="328"/>
      <c r="S425" s="328"/>
      <c r="T425" s="328"/>
      <c r="U425" s="328"/>
      <c r="V425" s="328"/>
      <c r="W425" s="328"/>
      <c r="X425" s="328"/>
      <c r="Y425" s="328"/>
      <c r="Z425" s="328"/>
      <c r="AA425" s="328"/>
      <c r="AB425" s="328"/>
    </row>
    <row r="426" ht="15.75" customHeight="1">
      <c r="B426" s="328"/>
      <c r="C426" s="328"/>
      <c r="D426" s="328"/>
      <c r="E426" s="328"/>
      <c r="F426" s="328"/>
      <c r="G426" s="328"/>
      <c r="H426" s="328"/>
      <c r="I426" s="328"/>
      <c r="J426" s="328"/>
      <c r="K426" s="328"/>
      <c r="L426" s="328"/>
      <c r="M426" s="328"/>
      <c r="R426" s="328"/>
      <c r="S426" s="328"/>
      <c r="T426" s="328"/>
      <c r="U426" s="328"/>
      <c r="V426" s="328"/>
      <c r="W426" s="328"/>
      <c r="X426" s="328"/>
      <c r="Y426" s="328"/>
      <c r="Z426" s="328"/>
      <c r="AA426" s="328"/>
      <c r="AB426" s="328"/>
    </row>
    <row r="427" ht="15.75" customHeight="1">
      <c r="B427" s="328"/>
      <c r="C427" s="328"/>
      <c r="D427" s="328"/>
      <c r="E427" s="328"/>
      <c r="F427" s="328"/>
      <c r="G427" s="328"/>
      <c r="H427" s="328"/>
      <c r="I427" s="328"/>
      <c r="J427" s="328"/>
      <c r="K427" s="328"/>
      <c r="L427" s="328"/>
      <c r="M427" s="328"/>
      <c r="R427" s="328"/>
      <c r="S427" s="328"/>
      <c r="T427" s="328"/>
      <c r="U427" s="328"/>
      <c r="V427" s="328"/>
      <c r="W427" s="328"/>
      <c r="X427" s="328"/>
      <c r="Y427" s="328"/>
      <c r="Z427" s="328"/>
      <c r="AA427" s="328"/>
      <c r="AB427" s="328"/>
    </row>
    <row r="428" ht="15.75" customHeight="1">
      <c r="B428" s="328"/>
      <c r="C428" s="328"/>
      <c r="D428" s="328"/>
      <c r="E428" s="328"/>
      <c r="F428" s="328"/>
      <c r="G428" s="328"/>
      <c r="H428" s="328"/>
      <c r="I428" s="328"/>
      <c r="J428" s="328"/>
      <c r="K428" s="328"/>
      <c r="L428" s="328"/>
      <c r="M428" s="328"/>
      <c r="R428" s="328"/>
      <c r="S428" s="328"/>
      <c r="T428" s="328"/>
      <c r="U428" s="328"/>
      <c r="V428" s="328"/>
      <c r="W428" s="328"/>
      <c r="X428" s="328"/>
      <c r="Y428" s="328"/>
      <c r="Z428" s="328"/>
      <c r="AA428" s="328"/>
      <c r="AB428" s="328"/>
    </row>
    <row r="429" ht="15.75" customHeight="1">
      <c r="B429" s="328"/>
      <c r="C429" s="328"/>
      <c r="D429" s="328"/>
      <c r="E429" s="328"/>
      <c r="F429" s="328"/>
      <c r="G429" s="328"/>
      <c r="H429" s="328"/>
      <c r="I429" s="328"/>
      <c r="J429" s="328"/>
      <c r="K429" s="328"/>
      <c r="L429" s="328"/>
      <c r="M429" s="328"/>
      <c r="R429" s="328"/>
      <c r="S429" s="328"/>
      <c r="T429" s="328"/>
      <c r="U429" s="328"/>
      <c r="V429" s="328"/>
      <c r="W429" s="328"/>
      <c r="X429" s="328"/>
      <c r="Y429" s="328"/>
      <c r="Z429" s="328"/>
      <c r="AA429" s="328"/>
      <c r="AB429" s="328"/>
    </row>
    <row r="430" ht="15.75" customHeight="1">
      <c r="B430" s="328"/>
      <c r="C430" s="328"/>
      <c r="D430" s="328"/>
      <c r="E430" s="328"/>
      <c r="F430" s="328"/>
      <c r="G430" s="328"/>
      <c r="H430" s="328"/>
      <c r="I430" s="328"/>
      <c r="J430" s="328"/>
      <c r="K430" s="328"/>
      <c r="L430" s="328"/>
      <c r="M430" s="328"/>
      <c r="R430" s="328"/>
      <c r="S430" s="328"/>
      <c r="T430" s="328"/>
      <c r="U430" s="328"/>
      <c r="V430" s="328"/>
      <c r="W430" s="328"/>
      <c r="X430" s="328"/>
      <c r="Y430" s="328"/>
      <c r="Z430" s="328"/>
      <c r="AA430" s="328"/>
      <c r="AB430" s="328"/>
    </row>
    <row r="431" ht="15.75" customHeight="1">
      <c r="B431" s="328"/>
      <c r="C431" s="328"/>
      <c r="D431" s="328"/>
      <c r="E431" s="328"/>
      <c r="F431" s="328"/>
      <c r="G431" s="328"/>
      <c r="H431" s="328"/>
      <c r="I431" s="328"/>
      <c r="J431" s="328"/>
      <c r="K431" s="328"/>
      <c r="L431" s="328"/>
      <c r="M431" s="328"/>
      <c r="R431" s="328"/>
      <c r="S431" s="328"/>
      <c r="T431" s="328"/>
      <c r="U431" s="328"/>
      <c r="V431" s="328"/>
      <c r="W431" s="328"/>
      <c r="X431" s="328"/>
      <c r="Y431" s="328"/>
      <c r="Z431" s="328"/>
      <c r="AA431" s="328"/>
      <c r="AB431" s="328"/>
    </row>
    <row r="432" ht="15.75" customHeight="1">
      <c r="B432" s="328"/>
      <c r="C432" s="328"/>
      <c r="D432" s="328"/>
      <c r="E432" s="328"/>
      <c r="F432" s="328"/>
      <c r="G432" s="328"/>
      <c r="H432" s="328"/>
      <c r="I432" s="328"/>
      <c r="J432" s="328"/>
      <c r="K432" s="328"/>
      <c r="L432" s="328"/>
      <c r="M432" s="328"/>
      <c r="R432" s="328"/>
      <c r="S432" s="328"/>
      <c r="T432" s="328"/>
      <c r="U432" s="328"/>
      <c r="V432" s="328"/>
      <c r="W432" s="328"/>
      <c r="X432" s="328"/>
      <c r="Y432" s="328"/>
      <c r="Z432" s="328"/>
      <c r="AA432" s="328"/>
      <c r="AB432" s="328"/>
    </row>
    <row r="433" ht="15.75" customHeight="1">
      <c r="B433" s="328"/>
      <c r="C433" s="328"/>
      <c r="D433" s="328"/>
      <c r="E433" s="328"/>
      <c r="F433" s="328"/>
      <c r="G433" s="328"/>
      <c r="H433" s="328"/>
      <c r="I433" s="328"/>
      <c r="J433" s="328"/>
      <c r="K433" s="328"/>
      <c r="L433" s="328"/>
      <c r="M433" s="328"/>
      <c r="R433" s="328"/>
      <c r="S433" s="328"/>
      <c r="T433" s="328"/>
      <c r="U433" s="328"/>
      <c r="V433" s="328"/>
      <c r="W433" s="328"/>
      <c r="X433" s="328"/>
      <c r="Y433" s="328"/>
      <c r="Z433" s="328"/>
      <c r="AA433" s="328"/>
      <c r="AB433" s="328"/>
    </row>
    <row r="434" ht="15.75" customHeight="1">
      <c r="B434" s="328"/>
      <c r="C434" s="328"/>
      <c r="D434" s="328"/>
      <c r="E434" s="328"/>
      <c r="F434" s="328"/>
      <c r="G434" s="328"/>
      <c r="H434" s="328"/>
      <c r="I434" s="328"/>
      <c r="J434" s="328"/>
      <c r="K434" s="328"/>
      <c r="L434" s="328"/>
      <c r="M434" s="328"/>
      <c r="R434" s="328"/>
      <c r="S434" s="328"/>
      <c r="T434" s="328"/>
      <c r="U434" s="328"/>
      <c r="V434" s="328"/>
      <c r="W434" s="328"/>
      <c r="X434" s="328"/>
      <c r="Y434" s="328"/>
      <c r="Z434" s="328"/>
      <c r="AA434" s="328"/>
      <c r="AB434" s="328"/>
    </row>
    <row r="435" ht="15.75" customHeight="1">
      <c r="B435" s="328"/>
      <c r="C435" s="328"/>
      <c r="D435" s="328"/>
      <c r="E435" s="328"/>
      <c r="F435" s="328"/>
      <c r="G435" s="328"/>
      <c r="H435" s="328"/>
      <c r="I435" s="328"/>
      <c r="J435" s="328"/>
      <c r="K435" s="328"/>
      <c r="L435" s="328"/>
      <c r="M435" s="328"/>
      <c r="R435" s="328"/>
      <c r="S435" s="328"/>
      <c r="T435" s="328"/>
      <c r="U435" s="328"/>
      <c r="V435" s="328"/>
      <c r="W435" s="328"/>
      <c r="X435" s="328"/>
      <c r="Y435" s="328"/>
      <c r="Z435" s="328"/>
      <c r="AA435" s="328"/>
      <c r="AB435" s="328"/>
    </row>
    <row r="436" ht="15.75" customHeight="1">
      <c r="B436" s="328"/>
      <c r="C436" s="328"/>
      <c r="D436" s="328"/>
      <c r="E436" s="328"/>
      <c r="F436" s="328"/>
      <c r="G436" s="328"/>
      <c r="H436" s="328"/>
      <c r="I436" s="328"/>
      <c r="J436" s="328"/>
      <c r="K436" s="328"/>
      <c r="L436" s="328"/>
      <c r="M436" s="328"/>
      <c r="R436" s="328"/>
      <c r="S436" s="328"/>
      <c r="T436" s="328"/>
      <c r="U436" s="328"/>
      <c r="V436" s="328"/>
      <c r="W436" s="328"/>
      <c r="X436" s="328"/>
      <c r="Y436" s="328"/>
      <c r="Z436" s="328"/>
      <c r="AA436" s="328"/>
      <c r="AB436" s="328"/>
    </row>
    <row r="437" ht="15.75" customHeight="1">
      <c r="B437" s="328"/>
      <c r="C437" s="328"/>
      <c r="D437" s="328"/>
      <c r="E437" s="328"/>
      <c r="F437" s="328"/>
      <c r="G437" s="328"/>
      <c r="H437" s="328"/>
      <c r="I437" s="328"/>
      <c r="J437" s="328"/>
      <c r="K437" s="328"/>
      <c r="L437" s="328"/>
      <c r="M437" s="328"/>
      <c r="R437" s="328"/>
      <c r="S437" s="328"/>
      <c r="T437" s="328"/>
      <c r="U437" s="328"/>
      <c r="V437" s="328"/>
      <c r="W437" s="328"/>
      <c r="X437" s="328"/>
      <c r="Y437" s="328"/>
      <c r="Z437" s="328"/>
      <c r="AA437" s="328"/>
      <c r="AB437" s="328"/>
    </row>
    <row r="438" ht="15.75" customHeight="1">
      <c r="B438" s="328"/>
      <c r="C438" s="328"/>
      <c r="D438" s="328"/>
      <c r="E438" s="328"/>
      <c r="F438" s="328"/>
      <c r="G438" s="328"/>
      <c r="H438" s="328"/>
      <c r="I438" s="328"/>
      <c r="J438" s="328"/>
      <c r="K438" s="328"/>
      <c r="L438" s="328"/>
      <c r="M438" s="328"/>
      <c r="R438" s="328"/>
      <c r="S438" s="328"/>
      <c r="T438" s="328"/>
      <c r="U438" s="328"/>
      <c r="V438" s="328"/>
      <c r="W438" s="328"/>
      <c r="X438" s="328"/>
      <c r="Y438" s="328"/>
      <c r="Z438" s="328"/>
      <c r="AA438" s="328"/>
      <c r="AB438" s="328"/>
    </row>
    <row r="439" ht="15.75" customHeight="1">
      <c r="B439" s="328"/>
      <c r="C439" s="328"/>
      <c r="D439" s="328"/>
      <c r="E439" s="328"/>
      <c r="F439" s="328"/>
      <c r="G439" s="328"/>
      <c r="H439" s="328"/>
      <c r="I439" s="328"/>
      <c r="J439" s="328"/>
      <c r="K439" s="328"/>
      <c r="L439" s="328"/>
      <c r="M439" s="328"/>
      <c r="R439" s="328"/>
      <c r="S439" s="328"/>
      <c r="T439" s="328"/>
      <c r="U439" s="328"/>
      <c r="V439" s="328"/>
      <c r="W439" s="328"/>
      <c r="X439" s="328"/>
      <c r="Y439" s="328"/>
      <c r="Z439" s="328"/>
      <c r="AA439" s="328"/>
      <c r="AB439" s="328"/>
    </row>
    <row r="440" ht="15.75" customHeight="1">
      <c r="B440" s="328"/>
      <c r="C440" s="328"/>
      <c r="D440" s="328"/>
      <c r="E440" s="328"/>
      <c r="F440" s="328"/>
      <c r="G440" s="328"/>
      <c r="H440" s="328"/>
      <c r="I440" s="328"/>
      <c r="J440" s="328"/>
      <c r="K440" s="328"/>
      <c r="L440" s="328"/>
      <c r="M440" s="328"/>
      <c r="R440" s="328"/>
      <c r="S440" s="328"/>
      <c r="T440" s="328"/>
      <c r="U440" s="328"/>
      <c r="V440" s="328"/>
      <c r="W440" s="328"/>
      <c r="X440" s="328"/>
      <c r="Y440" s="328"/>
      <c r="Z440" s="328"/>
      <c r="AA440" s="328"/>
      <c r="AB440" s="328"/>
    </row>
    <row r="441" ht="15.75" customHeight="1">
      <c r="B441" s="328"/>
      <c r="C441" s="328"/>
      <c r="D441" s="328"/>
      <c r="E441" s="328"/>
      <c r="F441" s="328"/>
      <c r="G441" s="328"/>
      <c r="H441" s="328"/>
      <c r="I441" s="328"/>
      <c r="J441" s="328"/>
      <c r="K441" s="328"/>
      <c r="L441" s="328"/>
      <c r="M441" s="328"/>
      <c r="R441" s="328"/>
      <c r="S441" s="328"/>
      <c r="T441" s="328"/>
      <c r="U441" s="328"/>
      <c r="V441" s="328"/>
      <c r="W441" s="328"/>
      <c r="X441" s="328"/>
      <c r="Y441" s="328"/>
      <c r="Z441" s="328"/>
      <c r="AA441" s="328"/>
      <c r="AB441" s="328"/>
    </row>
    <row r="442" ht="15.75" customHeight="1">
      <c r="B442" s="328"/>
      <c r="C442" s="328"/>
      <c r="D442" s="328"/>
      <c r="E442" s="328"/>
      <c r="F442" s="328"/>
      <c r="G442" s="328"/>
      <c r="H442" s="328"/>
      <c r="I442" s="328"/>
      <c r="J442" s="328"/>
      <c r="K442" s="328"/>
      <c r="L442" s="328"/>
      <c r="M442" s="328"/>
      <c r="R442" s="328"/>
      <c r="S442" s="328"/>
      <c r="T442" s="328"/>
      <c r="U442" s="328"/>
      <c r="V442" s="328"/>
      <c r="W442" s="328"/>
      <c r="X442" s="328"/>
      <c r="Y442" s="328"/>
      <c r="Z442" s="328"/>
      <c r="AA442" s="328"/>
      <c r="AB442" s="328"/>
    </row>
    <row r="443" ht="15.75" customHeight="1">
      <c r="B443" s="328"/>
      <c r="C443" s="328"/>
      <c r="D443" s="328"/>
      <c r="E443" s="328"/>
      <c r="F443" s="328"/>
      <c r="G443" s="328"/>
      <c r="H443" s="328"/>
      <c r="I443" s="328"/>
      <c r="J443" s="328"/>
      <c r="K443" s="328"/>
      <c r="L443" s="328"/>
      <c r="M443" s="328"/>
      <c r="R443" s="328"/>
      <c r="S443" s="328"/>
      <c r="T443" s="328"/>
      <c r="U443" s="328"/>
      <c r="V443" s="328"/>
      <c r="W443" s="328"/>
      <c r="X443" s="328"/>
      <c r="Y443" s="328"/>
      <c r="Z443" s="328"/>
      <c r="AA443" s="328"/>
      <c r="AB443" s="328"/>
    </row>
    <row r="444" ht="15.75" customHeight="1">
      <c r="B444" s="328"/>
      <c r="C444" s="328"/>
      <c r="D444" s="328"/>
      <c r="E444" s="328"/>
      <c r="F444" s="328"/>
      <c r="G444" s="328"/>
      <c r="H444" s="328"/>
      <c r="I444" s="328"/>
      <c r="J444" s="328"/>
      <c r="K444" s="328"/>
      <c r="L444" s="328"/>
      <c r="M444" s="328"/>
      <c r="R444" s="328"/>
      <c r="S444" s="328"/>
      <c r="T444" s="328"/>
      <c r="U444" s="328"/>
      <c r="V444" s="328"/>
      <c r="W444" s="328"/>
      <c r="X444" s="328"/>
      <c r="Y444" s="328"/>
      <c r="Z444" s="328"/>
      <c r="AA444" s="328"/>
      <c r="AB444" s="328"/>
    </row>
    <row r="445" ht="15.75" customHeight="1">
      <c r="B445" s="328"/>
      <c r="C445" s="328"/>
      <c r="D445" s="328"/>
      <c r="E445" s="328"/>
      <c r="F445" s="328"/>
      <c r="G445" s="328"/>
      <c r="H445" s="328"/>
      <c r="I445" s="328"/>
      <c r="J445" s="328"/>
      <c r="K445" s="328"/>
      <c r="L445" s="328"/>
      <c r="M445" s="328"/>
      <c r="R445" s="328"/>
      <c r="S445" s="328"/>
      <c r="T445" s="328"/>
      <c r="U445" s="328"/>
      <c r="V445" s="328"/>
      <c r="W445" s="328"/>
      <c r="X445" s="328"/>
      <c r="Y445" s="328"/>
      <c r="Z445" s="328"/>
      <c r="AA445" s="328"/>
      <c r="AB445" s="328"/>
    </row>
    <row r="446" ht="15.75" customHeight="1">
      <c r="B446" s="328"/>
      <c r="C446" s="328"/>
      <c r="D446" s="328"/>
      <c r="E446" s="328"/>
      <c r="F446" s="328"/>
      <c r="G446" s="328"/>
      <c r="H446" s="328"/>
      <c r="I446" s="328"/>
      <c r="J446" s="328"/>
      <c r="K446" s="328"/>
      <c r="L446" s="328"/>
      <c r="M446" s="328"/>
      <c r="R446" s="328"/>
      <c r="S446" s="328"/>
      <c r="T446" s="328"/>
      <c r="U446" s="328"/>
      <c r="V446" s="328"/>
      <c r="W446" s="328"/>
      <c r="X446" s="328"/>
      <c r="Y446" s="328"/>
      <c r="Z446" s="328"/>
      <c r="AA446" s="328"/>
      <c r="AB446" s="328"/>
    </row>
    <row r="447" ht="15.75" customHeight="1">
      <c r="B447" s="328"/>
      <c r="C447" s="328"/>
      <c r="D447" s="328"/>
      <c r="E447" s="328"/>
      <c r="F447" s="328"/>
      <c r="G447" s="328"/>
      <c r="H447" s="328"/>
      <c r="I447" s="328"/>
      <c r="J447" s="328"/>
      <c r="K447" s="328"/>
      <c r="L447" s="328"/>
      <c r="M447" s="328"/>
      <c r="R447" s="328"/>
      <c r="S447" s="328"/>
      <c r="T447" s="328"/>
      <c r="U447" s="328"/>
      <c r="V447" s="328"/>
      <c r="W447" s="328"/>
      <c r="X447" s="328"/>
      <c r="Y447" s="328"/>
      <c r="Z447" s="328"/>
      <c r="AA447" s="328"/>
      <c r="AB447" s="328"/>
    </row>
    <row r="448" ht="15.75" customHeight="1">
      <c r="B448" s="328"/>
      <c r="C448" s="328"/>
      <c r="D448" s="328"/>
      <c r="E448" s="328"/>
      <c r="F448" s="328"/>
      <c r="G448" s="328"/>
      <c r="H448" s="328"/>
      <c r="I448" s="328"/>
      <c r="J448" s="328"/>
      <c r="K448" s="328"/>
      <c r="L448" s="328"/>
      <c r="M448" s="328"/>
      <c r="R448" s="328"/>
      <c r="S448" s="328"/>
      <c r="T448" s="328"/>
      <c r="U448" s="328"/>
      <c r="V448" s="328"/>
      <c r="W448" s="328"/>
      <c r="X448" s="328"/>
      <c r="Y448" s="328"/>
      <c r="Z448" s="328"/>
      <c r="AA448" s="328"/>
      <c r="AB448" s="328"/>
    </row>
    <row r="449" ht="15.75" customHeight="1">
      <c r="B449" s="328"/>
      <c r="C449" s="328"/>
      <c r="D449" s="328"/>
      <c r="E449" s="328"/>
      <c r="F449" s="328"/>
      <c r="G449" s="328"/>
      <c r="H449" s="328"/>
      <c r="I449" s="328"/>
      <c r="J449" s="328"/>
      <c r="K449" s="328"/>
      <c r="L449" s="328"/>
      <c r="M449" s="328"/>
      <c r="R449" s="328"/>
      <c r="S449" s="328"/>
      <c r="T449" s="328"/>
      <c r="U449" s="328"/>
      <c r="V449" s="328"/>
      <c r="W449" s="328"/>
      <c r="X449" s="328"/>
      <c r="Y449" s="328"/>
      <c r="Z449" s="328"/>
      <c r="AA449" s="328"/>
      <c r="AB449" s="328"/>
    </row>
    <row r="450" ht="15.75" customHeight="1">
      <c r="B450" s="328"/>
      <c r="C450" s="328"/>
      <c r="D450" s="328"/>
      <c r="E450" s="328"/>
      <c r="F450" s="328"/>
      <c r="G450" s="328"/>
      <c r="H450" s="328"/>
      <c r="I450" s="328"/>
      <c r="J450" s="328"/>
      <c r="K450" s="328"/>
      <c r="L450" s="328"/>
      <c r="M450" s="328"/>
      <c r="R450" s="328"/>
      <c r="S450" s="328"/>
      <c r="T450" s="328"/>
      <c r="U450" s="328"/>
      <c r="V450" s="328"/>
      <c r="W450" s="328"/>
      <c r="X450" s="328"/>
      <c r="Y450" s="328"/>
      <c r="Z450" s="328"/>
      <c r="AA450" s="328"/>
      <c r="AB450" s="328"/>
    </row>
    <row r="451" ht="15.75" customHeight="1">
      <c r="B451" s="328"/>
      <c r="C451" s="328"/>
      <c r="D451" s="328"/>
      <c r="E451" s="328"/>
      <c r="F451" s="328"/>
      <c r="G451" s="328"/>
      <c r="H451" s="328"/>
      <c r="I451" s="328"/>
      <c r="J451" s="328"/>
      <c r="K451" s="328"/>
      <c r="L451" s="328"/>
      <c r="M451" s="328"/>
      <c r="R451" s="328"/>
      <c r="S451" s="328"/>
      <c r="T451" s="328"/>
      <c r="U451" s="328"/>
      <c r="V451" s="328"/>
      <c r="W451" s="328"/>
      <c r="X451" s="328"/>
      <c r="Y451" s="328"/>
      <c r="Z451" s="328"/>
      <c r="AA451" s="328"/>
      <c r="AB451" s="328"/>
    </row>
    <row r="452" ht="15.75" customHeight="1">
      <c r="B452" s="328"/>
      <c r="C452" s="328"/>
      <c r="D452" s="328"/>
      <c r="E452" s="328"/>
      <c r="F452" s="328"/>
      <c r="G452" s="328"/>
      <c r="H452" s="328"/>
      <c r="I452" s="328"/>
      <c r="J452" s="328"/>
      <c r="K452" s="328"/>
      <c r="L452" s="328"/>
      <c r="M452" s="328"/>
      <c r="R452" s="328"/>
      <c r="S452" s="328"/>
      <c r="T452" s="328"/>
      <c r="U452" s="328"/>
      <c r="V452" s="328"/>
      <c r="W452" s="328"/>
      <c r="X452" s="328"/>
      <c r="Y452" s="328"/>
      <c r="Z452" s="328"/>
      <c r="AA452" s="328"/>
      <c r="AB452" s="328"/>
    </row>
    <row r="453" ht="15.75" customHeight="1">
      <c r="B453" s="328"/>
      <c r="C453" s="328"/>
      <c r="D453" s="328"/>
      <c r="E453" s="328"/>
      <c r="F453" s="328"/>
      <c r="G453" s="328"/>
      <c r="H453" s="328"/>
      <c r="I453" s="328"/>
      <c r="J453" s="328"/>
      <c r="K453" s="328"/>
      <c r="L453" s="328"/>
      <c r="M453" s="328"/>
      <c r="R453" s="328"/>
      <c r="S453" s="328"/>
      <c r="T453" s="328"/>
      <c r="U453" s="328"/>
      <c r="V453" s="328"/>
      <c r="W453" s="328"/>
      <c r="X453" s="328"/>
      <c r="Y453" s="328"/>
      <c r="Z453" s="328"/>
      <c r="AA453" s="328"/>
      <c r="AB453" s="328"/>
    </row>
    <row r="454" ht="15.75" customHeight="1">
      <c r="B454" s="328"/>
      <c r="C454" s="328"/>
      <c r="D454" s="328"/>
      <c r="E454" s="328"/>
      <c r="F454" s="328"/>
      <c r="G454" s="328"/>
      <c r="H454" s="328"/>
      <c r="I454" s="328"/>
      <c r="J454" s="328"/>
      <c r="K454" s="328"/>
      <c r="L454" s="328"/>
      <c r="M454" s="328"/>
      <c r="R454" s="328"/>
      <c r="S454" s="328"/>
      <c r="T454" s="328"/>
      <c r="U454" s="328"/>
      <c r="V454" s="328"/>
      <c r="W454" s="328"/>
      <c r="X454" s="328"/>
      <c r="Y454" s="328"/>
      <c r="Z454" s="328"/>
      <c r="AA454" s="328"/>
      <c r="AB454" s="328"/>
    </row>
    <row r="455" ht="15.75" customHeight="1">
      <c r="B455" s="328"/>
      <c r="C455" s="328"/>
      <c r="D455" s="328"/>
      <c r="E455" s="328"/>
      <c r="F455" s="328"/>
      <c r="G455" s="328"/>
      <c r="H455" s="328"/>
      <c r="I455" s="328"/>
      <c r="J455" s="328"/>
      <c r="K455" s="328"/>
      <c r="L455" s="328"/>
      <c r="M455" s="328"/>
      <c r="R455" s="328"/>
      <c r="S455" s="328"/>
      <c r="T455" s="328"/>
      <c r="U455" s="328"/>
      <c r="V455" s="328"/>
      <c r="W455" s="328"/>
      <c r="X455" s="328"/>
      <c r="Y455" s="328"/>
      <c r="Z455" s="328"/>
      <c r="AA455" s="328"/>
      <c r="AB455" s="328"/>
    </row>
    <row r="456" ht="15.75" customHeight="1">
      <c r="B456" s="328"/>
      <c r="C456" s="328"/>
      <c r="D456" s="328"/>
      <c r="E456" s="328"/>
      <c r="F456" s="328"/>
      <c r="G456" s="328"/>
      <c r="H456" s="328"/>
      <c r="I456" s="328"/>
      <c r="J456" s="328"/>
      <c r="K456" s="328"/>
      <c r="L456" s="328"/>
      <c r="M456" s="328"/>
      <c r="R456" s="328"/>
      <c r="S456" s="328"/>
      <c r="T456" s="328"/>
      <c r="U456" s="328"/>
      <c r="V456" s="328"/>
      <c r="W456" s="328"/>
      <c r="X456" s="328"/>
      <c r="Y456" s="328"/>
      <c r="Z456" s="328"/>
      <c r="AA456" s="328"/>
      <c r="AB456" s="328"/>
    </row>
    <row r="457" ht="15.75" customHeight="1">
      <c r="B457" s="328"/>
      <c r="C457" s="328"/>
      <c r="D457" s="328"/>
      <c r="E457" s="328"/>
      <c r="F457" s="328"/>
      <c r="G457" s="328"/>
      <c r="H457" s="328"/>
      <c r="I457" s="328"/>
      <c r="J457" s="328"/>
      <c r="K457" s="328"/>
      <c r="L457" s="328"/>
      <c r="M457" s="328"/>
      <c r="R457" s="328"/>
      <c r="S457" s="328"/>
      <c r="T457" s="328"/>
      <c r="U457" s="328"/>
      <c r="V457" s="328"/>
      <c r="W457" s="328"/>
      <c r="X457" s="328"/>
      <c r="Y457" s="328"/>
      <c r="Z457" s="328"/>
      <c r="AA457" s="328"/>
      <c r="AB457" s="328"/>
    </row>
    <row r="458" ht="15.75" customHeight="1">
      <c r="B458" s="328"/>
      <c r="C458" s="328"/>
      <c r="D458" s="328"/>
      <c r="E458" s="328"/>
      <c r="F458" s="328"/>
      <c r="G458" s="328"/>
      <c r="H458" s="328"/>
      <c r="I458" s="328"/>
      <c r="J458" s="328"/>
      <c r="K458" s="328"/>
      <c r="L458" s="328"/>
      <c r="M458" s="328"/>
      <c r="R458" s="328"/>
      <c r="S458" s="328"/>
      <c r="T458" s="328"/>
      <c r="U458" s="328"/>
      <c r="V458" s="328"/>
      <c r="W458" s="328"/>
      <c r="X458" s="328"/>
      <c r="Y458" s="328"/>
      <c r="Z458" s="328"/>
      <c r="AA458" s="328"/>
      <c r="AB458" s="328"/>
    </row>
    <row r="459" ht="15.75" customHeight="1">
      <c r="B459" s="328"/>
      <c r="C459" s="328"/>
      <c r="D459" s="328"/>
      <c r="E459" s="328"/>
      <c r="F459" s="328"/>
      <c r="G459" s="328"/>
      <c r="H459" s="328"/>
      <c r="I459" s="328"/>
      <c r="J459" s="328"/>
      <c r="K459" s="328"/>
      <c r="L459" s="328"/>
      <c r="M459" s="328"/>
      <c r="R459" s="328"/>
      <c r="S459" s="328"/>
      <c r="T459" s="328"/>
      <c r="U459" s="328"/>
      <c r="V459" s="328"/>
      <c r="W459" s="328"/>
      <c r="X459" s="328"/>
      <c r="Y459" s="328"/>
      <c r="Z459" s="328"/>
      <c r="AA459" s="328"/>
      <c r="AB459" s="328"/>
    </row>
    <row r="460" ht="15.75" customHeight="1">
      <c r="B460" s="328"/>
      <c r="C460" s="328"/>
      <c r="D460" s="328"/>
      <c r="E460" s="328"/>
      <c r="F460" s="328"/>
      <c r="G460" s="328"/>
      <c r="H460" s="328"/>
      <c r="I460" s="328"/>
      <c r="J460" s="328"/>
      <c r="K460" s="328"/>
      <c r="L460" s="328"/>
      <c r="M460" s="328"/>
      <c r="R460" s="328"/>
      <c r="S460" s="328"/>
      <c r="T460" s="328"/>
      <c r="U460" s="328"/>
      <c r="V460" s="328"/>
      <c r="W460" s="328"/>
      <c r="X460" s="328"/>
      <c r="Y460" s="328"/>
      <c r="Z460" s="328"/>
      <c r="AA460" s="328"/>
      <c r="AB460" s="328"/>
    </row>
    <row r="461" ht="15.75" customHeight="1">
      <c r="B461" s="328"/>
      <c r="C461" s="328"/>
      <c r="D461" s="328"/>
      <c r="E461" s="328"/>
      <c r="F461" s="328"/>
      <c r="G461" s="328"/>
      <c r="H461" s="328"/>
      <c r="I461" s="328"/>
      <c r="J461" s="328"/>
      <c r="K461" s="328"/>
      <c r="L461" s="328"/>
      <c r="M461" s="328"/>
      <c r="R461" s="328"/>
      <c r="S461" s="328"/>
      <c r="T461" s="328"/>
      <c r="U461" s="328"/>
      <c r="V461" s="328"/>
      <c r="W461" s="328"/>
      <c r="X461" s="328"/>
      <c r="Y461" s="328"/>
      <c r="Z461" s="328"/>
      <c r="AA461" s="328"/>
      <c r="AB461" s="328"/>
    </row>
    <row r="462" ht="15.75" customHeight="1">
      <c r="B462" s="328"/>
      <c r="C462" s="328"/>
      <c r="D462" s="328"/>
      <c r="E462" s="328"/>
      <c r="F462" s="328"/>
      <c r="G462" s="328"/>
      <c r="H462" s="328"/>
      <c r="I462" s="328"/>
      <c r="J462" s="328"/>
      <c r="K462" s="328"/>
      <c r="L462" s="328"/>
      <c r="M462" s="328"/>
      <c r="R462" s="328"/>
      <c r="S462" s="328"/>
      <c r="T462" s="328"/>
      <c r="U462" s="328"/>
      <c r="V462" s="328"/>
      <c r="W462" s="328"/>
      <c r="X462" s="328"/>
      <c r="Y462" s="328"/>
      <c r="Z462" s="328"/>
      <c r="AA462" s="328"/>
      <c r="AB462" s="328"/>
    </row>
    <row r="463" ht="15.75" customHeight="1">
      <c r="B463" s="328"/>
      <c r="C463" s="328"/>
      <c r="D463" s="328"/>
      <c r="E463" s="328"/>
      <c r="F463" s="328"/>
      <c r="G463" s="328"/>
      <c r="H463" s="328"/>
      <c r="I463" s="328"/>
      <c r="J463" s="328"/>
      <c r="K463" s="328"/>
      <c r="L463" s="328"/>
      <c r="M463" s="328"/>
      <c r="R463" s="328"/>
      <c r="S463" s="328"/>
      <c r="T463" s="328"/>
      <c r="U463" s="328"/>
      <c r="V463" s="328"/>
      <c r="W463" s="328"/>
      <c r="X463" s="328"/>
      <c r="Y463" s="328"/>
      <c r="Z463" s="328"/>
      <c r="AA463" s="328"/>
      <c r="AB463" s="328"/>
    </row>
    <row r="464" ht="15.75" customHeight="1">
      <c r="B464" s="328"/>
      <c r="C464" s="328"/>
      <c r="D464" s="328"/>
      <c r="E464" s="328"/>
      <c r="F464" s="328"/>
      <c r="G464" s="328"/>
      <c r="H464" s="328"/>
      <c r="I464" s="328"/>
      <c r="J464" s="328"/>
      <c r="K464" s="328"/>
      <c r="L464" s="328"/>
      <c r="M464" s="328"/>
      <c r="R464" s="328"/>
      <c r="S464" s="328"/>
      <c r="T464" s="328"/>
      <c r="U464" s="328"/>
      <c r="V464" s="328"/>
      <c r="W464" s="328"/>
      <c r="X464" s="328"/>
      <c r="Y464" s="328"/>
      <c r="Z464" s="328"/>
      <c r="AA464" s="328"/>
      <c r="AB464" s="328"/>
    </row>
    <row r="465" ht="15.75" customHeight="1">
      <c r="B465" s="328"/>
      <c r="C465" s="328"/>
      <c r="D465" s="328"/>
      <c r="E465" s="328"/>
      <c r="F465" s="328"/>
      <c r="G465" s="328"/>
      <c r="H465" s="328"/>
      <c r="I465" s="328"/>
      <c r="J465" s="328"/>
      <c r="K465" s="328"/>
      <c r="L465" s="328"/>
      <c r="M465" s="328"/>
      <c r="R465" s="328"/>
      <c r="S465" s="328"/>
      <c r="T465" s="328"/>
      <c r="U465" s="328"/>
      <c r="V465" s="328"/>
      <c r="W465" s="328"/>
      <c r="X465" s="328"/>
      <c r="Y465" s="328"/>
      <c r="Z465" s="328"/>
      <c r="AA465" s="328"/>
      <c r="AB465" s="328"/>
    </row>
    <row r="466" ht="15.75" customHeight="1">
      <c r="B466" s="328"/>
      <c r="C466" s="328"/>
      <c r="D466" s="328"/>
      <c r="E466" s="328"/>
      <c r="F466" s="328"/>
      <c r="G466" s="328"/>
      <c r="H466" s="328"/>
      <c r="I466" s="328"/>
      <c r="J466" s="328"/>
      <c r="K466" s="328"/>
      <c r="L466" s="328"/>
      <c r="M466" s="328"/>
      <c r="R466" s="328"/>
      <c r="S466" s="328"/>
      <c r="T466" s="328"/>
      <c r="U466" s="328"/>
      <c r="V466" s="328"/>
      <c r="W466" s="328"/>
      <c r="X466" s="328"/>
      <c r="Y466" s="328"/>
      <c r="Z466" s="328"/>
      <c r="AA466" s="328"/>
      <c r="AB466" s="328"/>
    </row>
    <row r="467" ht="15.75" customHeight="1">
      <c r="B467" s="328"/>
      <c r="C467" s="328"/>
      <c r="D467" s="328"/>
      <c r="E467" s="328"/>
      <c r="F467" s="328"/>
      <c r="G467" s="328"/>
      <c r="H467" s="328"/>
      <c r="I467" s="328"/>
      <c r="J467" s="328"/>
      <c r="K467" s="328"/>
      <c r="L467" s="328"/>
      <c r="M467" s="328"/>
      <c r="R467" s="328"/>
      <c r="S467" s="328"/>
      <c r="T467" s="328"/>
      <c r="U467" s="328"/>
      <c r="V467" s="328"/>
      <c r="W467" s="328"/>
      <c r="X467" s="328"/>
      <c r="Y467" s="328"/>
      <c r="Z467" s="328"/>
      <c r="AA467" s="328"/>
      <c r="AB467" s="328"/>
    </row>
    <row r="468" ht="15.75" customHeight="1">
      <c r="B468" s="328"/>
      <c r="C468" s="328"/>
      <c r="D468" s="328"/>
      <c r="E468" s="328"/>
      <c r="F468" s="328"/>
      <c r="G468" s="328"/>
      <c r="H468" s="328"/>
      <c r="I468" s="328"/>
      <c r="J468" s="328"/>
      <c r="K468" s="328"/>
      <c r="L468" s="328"/>
      <c r="M468" s="328"/>
      <c r="R468" s="328"/>
      <c r="S468" s="328"/>
      <c r="T468" s="328"/>
      <c r="U468" s="328"/>
      <c r="V468" s="328"/>
      <c r="W468" s="328"/>
      <c r="X468" s="328"/>
      <c r="Y468" s="328"/>
      <c r="Z468" s="328"/>
      <c r="AA468" s="328"/>
      <c r="AB468" s="328"/>
    </row>
    <row r="469" ht="15.75" customHeight="1">
      <c r="B469" s="328"/>
      <c r="C469" s="328"/>
      <c r="D469" s="328"/>
      <c r="E469" s="328"/>
      <c r="F469" s="328"/>
      <c r="G469" s="328"/>
      <c r="H469" s="328"/>
      <c r="I469" s="328"/>
      <c r="J469" s="328"/>
      <c r="K469" s="328"/>
      <c r="L469" s="328"/>
      <c r="M469" s="328"/>
      <c r="R469" s="328"/>
      <c r="S469" s="328"/>
      <c r="T469" s="328"/>
      <c r="U469" s="328"/>
      <c r="V469" s="328"/>
      <c r="W469" s="328"/>
      <c r="X469" s="328"/>
      <c r="Y469" s="328"/>
      <c r="Z469" s="328"/>
      <c r="AA469" s="328"/>
      <c r="AB469" s="328"/>
    </row>
    <row r="470" ht="15.75" customHeight="1">
      <c r="B470" s="328"/>
      <c r="C470" s="328"/>
      <c r="D470" s="328"/>
      <c r="E470" s="328"/>
      <c r="F470" s="328"/>
      <c r="G470" s="328"/>
      <c r="H470" s="328"/>
      <c r="I470" s="328"/>
      <c r="J470" s="328"/>
      <c r="K470" s="328"/>
      <c r="L470" s="328"/>
      <c r="M470" s="328"/>
      <c r="R470" s="328"/>
      <c r="S470" s="328"/>
      <c r="T470" s="328"/>
      <c r="U470" s="328"/>
      <c r="V470" s="328"/>
      <c r="W470" s="328"/>
      <c r="X470" s="328"/>
      <c r="Y470" s="328"/>
      <c r="Z470" s="328"/>
      <c r="AA470" s="328"/>
      <c r="AB470" s="328"/>
    </row>
    <row r="471" ht="15.75" customHeight="1">
      <c r="B471" s="328"/>
      <c r="C471" s="328"/>
      <c r="D471" s="328"/>
      <c r="E471" s="328"/>
      <c r="F471" s="328"/>
      <c r="G471" s="328"/>
      <c r="H471" s="328"/>
      <c r="I471" s="328"/>
      <c r="J471" s="328"/>
      <c r="K471" s="328"/>
      <c r="L471" s="328"/>
      <c r="M471" s="328"/>
      <c r="R471" s="328"/>
      <c r="S471" s="328"/>
      <c r="T471" s="328"/>
      <c r="U471" s="328"/>
      <c r="V471" s="328"/>
      <c r="W471" s="328"/>
      <c r="X471" s="328"/>
      <c r="Y471" s="328"/>
      <c r="Z471" s="328"/>
      <c r="AA471" s="328"/>
      <c r="AB471" s="328"/>
    </row>
    <row r="472" ht="15.75" customHeight="1">
      <c r="B472" s="328"/>
      <c r="C472" s="328"/>
      <c r="D472" s="328"/>
      <c r="E472" s="328"/>
      <c r="F472" s="328"/>
      <c r="G472" s="328"/>
      <c r="H472" s="328"/>
      <c r="I472" s="328"/>
      <c r="J472" s="328"/>
      <c r="K472" s="328"/>
      <c r="L472" s="328"/>
      <c r="M472" s="328"/>
      <c r="R472" s="328"/>
      <c r="S472" s="328"/>
      <c r="T472" s="328"/>
      <c r="U472" s="328"/>
      <c r="V472" s="328"/>
      <c r="W472" s="328"/>
      <c r="X472" s="328"/>
      <c r="Y472" s="328"/>
      <c r="Z472" s="328"/>
      <c r="AA472" s="328"/>
      <c r="AB472" s="328"/>
    </row>
    <row r="473" ht="15.75" customHeight="1">
      <c r="B473" s="328"/>
      <c r="C473" s="328"/>
      <c r="D473" s="328"/>
      <c r="E473" s="328"/>
      <c r="F473" s="328"/>
      <c r="G473" s="328"/>
      <c r="H473" s="328"/>
      <c r="I473" s="328"/>
      <c r="J473" s="328"/>
      <c r="K473" s="328"/>
      <c r="L473" s="328"/>
      <c r="M473" s="328"/>
      <c r="R473" s="328"/>
      <c r="S473" s="328"/>
      <c r="T473" s="328"/>
      <c r="U473" s="328"/>
      <c r="V473" s="328"/>
      <c r="W473" s="328"/>
      <c r="X473" s="328"/>
      <c r="Y473" s="328"/>
      <c r="Z473" s="328"/>
      <c r="AA473" s="328"/>
      <c r="AB473" s="328"/>
    </row>
    <row r="474" ht="15.75" customHeight="1">
      <c r="B474" s="328"/>
      <c r="C474" s="328"/>
      <c r="D474" s="328"/>
      <c r="E474" s="328"/>
      <c r="F474" s="328"/>
      <c r="G474" s="328"/>
      <c r="H474" s="328"/>
      <c r="I474" s="328"/>
      <c r="J474" s="328"/>
      <c r="K474" s="328"/>
      <c r="L474" s="328"/>
      <c r="M474" s="328"/>
      <c r="R474" s="328"/>
      <c r="S474" s="328"/>
      <c r="T474" s="328"/>
      <c r="U474" s="328"/>
      <c r="V474" s="328"/>
      <c r="W474" s="328"/>
      <c r="X474" s="328"/>
      <c r="Y474" s="328"/>
      <c r="Z474" s="328"/>
      <c r="AA474" s="328"/>
      <c r="AB474" s="328"/>
    </row>
    <row r="475" ht="15.75" customHeight="1">
      <c r="B475" s="328"/>
      <c r="C475" s="328"/>
      <c r="D475" s="328"/>
      <c r="E475" s="328"/>
      <c r="F475" s="328"/>
      <c r="G475" s="328"/>
      <c r="H475" s="328"/>
      <c r="I475" s="328"/>
      <c r="J475" s="328"/>
      <c r="K475" s="328"/>
      <c r="L475" s="328"/>
      <c r="M475" s="328"/>
      <c r="R475" s="328"/>
      <c r="S475" s="328"/>
      <c r="T475" s="328"/>
      <c r="U475" s="328"/>
      <c r="V475" s="328"/>
      <c r="W475" s="328"/>
      <c r="X475" s="328"/>
      <c r="Y475" s="328"/>
      <c r="Z475" s="328"/>
      <c r="AA475" s="328"/>
      <c r="AB475" s="328"/>
    </row>
    <row r="476" ht="15.75" customHeight="1">
      <c r="B476" s="328"/>
      <c r="C476" s="328"/>
      <c r="D476" s="328"/>
      <c r="E476" s="328"/>
      <c r="F476" s="328"/>
      <c r="G476" s="328"/>
      <c r="H476" s="328"/>
      <c r="I476" s="328"/>
      <c r="J476" s="328"/>
      <c r="K476" s="328"/>
      <c r="L476" s="328"/>
      <c r="M476" s="328"/>
      <c r="R476" s="328"/>
      <c r="S476" s="328"/>
      <c r="T476" s="328"/>
      <c r="U476" s="328"/>
      <c r="V476" s="328"/>
      <c r="W476" s="328"/>
      <c r="X476" s="328"/>
      <c r="Y476" s="328"/>
      <c r="Z476" s="328"/>
      <c r="AA476" s="328"/>
      <c r="AB476" s="328"/>
    </row>
    <row r="477" ht="15.75" customHeight="1">
      <c r="B477" s="328"/>
      <c r="C477" s="328"/>
      <c r="D477" s="328"/>
      <c r="E477" s="328"/>
      <c r="F477" s="328"/>
      <c r="G477" s="328"/>
      <c r="H477" s="328"/>
      <c r="I477" s="328"/>
      <c r="J477" s="328"/>
      <c r="K477" s="328"/>
      <c r="L477" s="328"/>
      <c r="M477" s="328"/>
      <c r="R477" s="328"/>
      <c r="S477" s="328"/>
      <c r="T477" s="328"/>
      <c r="U477" s="328"/>
      <c r="V477" s="328"/>
      <c r="W477" s="328"/>
      <c r="X477" s="328"/>
      <c r="Y477" s="328"/>
      <c r="Z477" s="328"/>
      <c r="AA477" s="328"/>
      <c r="AB477" s="328"/>
    </row>
    <row r="478" ht="15.75" customHeight="1">
      <c r="B478" s="328"/>
      <c r="C478" s="328"/>
      <c r="D478" s="328"/>
      <c r="E478" s="328"/>
      <c r="F478" s="328"/>
      <c r="G478" s="328"/>
      <c r="H478" s="328"/>
      <c r="I478" s="328"/>
      <c r="J478" s="328"/>
      <c r="K478" s="328"/>
      <c r="L478" s="328"/>
      <c r="M478" s="328"/>
      <c r="R478" s="328"/>
      <c r="S478" s="328"/>
      <c r="T478" s="328"/>
      <c r="U478" s="328"/>
      <c r="V478" s="328"/>
      <c r="W478" s="328"/>
      <c r="X478" s="328"/>
      <c r="Y478" s="328"/>
      <c r="Z478" s="328"/>
      <c r="AA478" s="328"/>
      <c r="AB478" s="328"/>
    </row>
    <row r="479" ht="15.75" customHeight="1">
      <c r="B479" s="328"/>
      <c r="C479" s="328"/>
      <c r="D479" s="328"/>
      <c r="E479" s="328"/>
      <c r="F479" s="328"/>
      <c r="G479" s="328"/>
      <c r="H479" s="328"/>
      <c r="I479" s="328"/>
      <c r="J479" s="328"/>
      <c r="K479" s="328"/>
      <c r="L479" s="328"/>
      <c r="M479" s="328"/>
      <c r="R479" s="328"/>
      <c r="S479" s="328"/>
      <c r="T479" s="328"/>
      <c r="U479" s="328"/>
      <c r="V479" s="328"/>
      <c r="W479" s="328"/>
      <c r="X479" s="328"/>
      <c r="Y479" s="328"/>
      <c r="Z479" s="328"/>
      <c r="AA479" s="328"/>
      <c r="AB479" s="328"/>
    </row>
    <row r="480" ht="15.75" customHeight="1">
      <c r="B480" s="328"/>
      <c r="C480" s="328"/>
      <c r="D480" s="328"/>
      <c r="E480" s="328"/>
      <c r="F480" s="328"/>
      <c r="G480" s="328"/>
      <c r="H480" s="328"/>
      <c r="I480" s="328"/>
      <c r="J480" s="328"/>
      <c r="K480" s="328"/>
      <c r="L480" s="328"/>
      <c r="M480" s="328"/>
      <c r="R480" s="328"/>
      <c r="S480" s="328"/>
      <c r="T480" s="328"/>
      <c r="U480" s="328"/>
      <c r="V480" s="328"/>
      <c r="W480" s="328"/>
      <c r="X480" s="328"/>
      <c r="Y480" s="328"/>
      <c r="Z480" s="328"/>
      <c r="AA480" s="328"/>
      <c r="AB480" s="328"/>
    </row>
    <row r="481" ht="15.75" customHeight="1">
      <c r="B481" s="328"/>
      <c r="C481" s="328"/>
      <c r="D481" s="328"/>
      <c r="E481" s="328"/>
      <c r="F481" s="328"/>
      <c r="G481" s="328"/>
      <c r="H481" s="328"/>
      <c r="I481" s="328"/>
      <c r="J481" s="328"/>
      <c r="K481" s="328"/>
      <c r="L481" s="328"/>
      <c r="M481" s="328"/>
      <c r="R481" s="328"/>
      <c r="S481" s="328"/>
      <c r="T481" s="328"/>
      <c r="U481" s="328"/>
      <c r="V481" s="328"/>
      <c r="W481" s="328"/>
      <c r="X481" s="328"/>
      <c r="Y481" s="328"/>
      <c r="Z481" s="328"/>
      <c r="AA481" s="328"/>
      <c r="AB481" s="328"/>
    </row>
    <row r="482" ht="15.75" customHeight="1">
      <c r="B482" s="328"/>
      <c r="C482" s="328"/>
      <c r="D482" s="328"/>
      <c r="E482" s="328"/>
      <c r="F482" s="328"/>
      <c r="G482" s="328"/>
      <c r="H482" s="328"/>
      <c r="I482" s="328"/>
      <c r="J482" s="328"/>
      <c r="K482" s="328"/>
      <c r="L482" s="328"/>
      <c r="M482" s="328"/>
      <c r="R482" s="328"/>
      <c r="S482" s="328"/>
      <c r="T482" s="328"/>
      <c r="U482" s="328"/>
      <c r="V482" s="328"/>
      <c r="W482" s="328"/>
      <c r="X482" s="328"/>
      <c r="Y482" s="328"/>
      <c r="Z482" s="328"/>
      <c r="AA482" s="328"/>
      <c r="AB482" s="328"/>
    </row>
    <row r="483" ht="15.75" customHeight="1">
      <c r="B483" s="328"/>
      <c r="C483" s="328"/>
      <c r="D483" s="328"/>
      <c r="E483" s="328"/>
      <c r="F483" s="328"/>
      <c r="G483" s="328"/>
      <c r="H483" s="328"/>
      <c r="I483" s="328"/>
      <c r="J483" s="328"/>
      <c r="K483" s="328"/>
      <c r="L483" s="328"/>
      <c r="M483" s="328"/>
      <c r="R483" s="328"/>
      <c r="S483" s="328"/>
      <c r="T483" s="328"/>
      <c r="U483" s="328"/>
      <c r="V483" s="328"/>
      <c r="W483" s="328"/>
      <c r="X483" s="328"/>
      <c r="Y483" s="328"/>
      <c r="Z483" s="328"/>
      <c r="AA483" s="328"/>
      <c r="AB483" s="328"/>
    </row>
    <row r="484" ht="15.75" customHeight="1">
      <c r="B484" s="328"/>
      <c r="C484" s="328"/>
      <c r="D484" s="328"/>
      <c r="E484" s="328"/>
      <c r="F484" s="328"/>
      <c r="G484" s="328"/>
      <c r="H484" s="328"/>
      <c r="I484" s="328"/>
      <c r="J484" s="328"/>
      <c r="K484" s="328"/>
      <c r="L484" s="328"/>
      <c r="M484" s="328"/>
      <c r="R484" s="328"/>
      <c r="S484" s="328"/>
      <c r="T484" s="328"/>
      <c r="U484" s="328"/>
      <c r="V484" s="328"/>
      <c r="W484" s="328"/>
      <c r="X484" s="328"/>
      <c r="Y484" s="328"/>
      <c r="Z484" s="328"/>
      <c r="AA484" s="328"/>
      <c r="AB484" s="328"/>
    </row>
    <row r="485" ht="15.75" customHeight="1">
      <c r="B485" s="328"/>
      <c r="C485" s="328"/>
      <c r="D485" s="328"/>
      <c r="E485" s="328"/>
      <c r="F485" s="328"/>
      <c r="G485" s="328"/>
      <c r="H485" s="328"/>
      <c r="I485" s="328"/>
      <c r="J485" s="328"/>
      <c r="K485" s="328"/>
      <c r="L485" s="328"/>
      <c r="M485" s="328"/>
      <c r="R485" s="328"/>
      <c r="S485" s="328"/>
      <c r="T485" s="328"/>
      <c r="U485" s="328"/>
      <c r="V485" s="328"/>
      <c r="W485" s="328"/>
      <c r="X485" s="328"/>
      <c r="Y485" s="328"/>
      <c r="Z485" s="328"/>
      <c r="AA485" s="328"/>
      <c r="AB485" s="328"/>
    </row>
    <row r="486" ht="15.75" customHeight="1">
      <c r="B486" s="328"/>
      <c r="C486" s="328"/>
      <c r="D486" s="328"/>
      <c r="E486" s="328"/>
      <c r="F486" s="328"/>
      <c r="G486" s="328"/>
      <c r="H486" s="328"/>
      <c r="I486" s="328"/>
      <c r="J486" s="328"/>
      <c r="K486" s="328"/>
      <c r="L486" s="328"/>
      <c r="M486" s="328"/>
      <c r="R486" s="328"/>
      <c r="S486" s="328"/>
      <c r="T486" s="328"/>
      <c r="U486" s="328"/>
      <c r="V486" s="328"/>
      <c r="W486" s="328"/>
      <c r="X486" s="328"/>
      <c r="Y486" s="328"/>
      <c r="Z486" s="328"/>
      <c r="AA486" s="328"/>
      <c r="AB486" s="328"/>
    </row>
    <row r="487" ht="15.75" customHeight="1">
      <c r="B487" s="328"/>
      <c r="C487" s="328"/>
      <c r="D487" s="328"/>
      <c r="E487" s="328"/>
      <c r="F487" s="328"/>
      <c r="G487" s="328"/>
      <c r="H487" s="328"/>
      <c r="I487" s="328"/>
      <c r="J487" s="328"/>
      <c r="K487" s="328"/>
      <c r="L487" s="328"/>
      <c r="M487" s="328"/>
      <c r="R487" s="328"/>
      <c r="S487" s="328"/>
      <c r="T487" s="328"/>
      <c r="U487" s="328"/>
      <c r="V487" s="328"/>
      <c r="W487" s="328"/>
      <c r="X487" s="328"/>
      <c r="Y487" s="328"/>
      <c r="Z487" s="328"/>
      <c r="AA487" s="328"/>
      <c r="AB487" s="328"/>
    </row>
    <row r="488" ht="15.75" customHeight="1">
      <c r="B488" s="328"/>
      <c r="C488" s="328"/>
      <c r="D488" s="328"/>
      <c r="E488" s="328"/>
      <c r="F488" s="328"/>
      <c r="G488" s="328"/>
      <c r="H488" s="328"/>
      <c r="I488" s="328"/>
      <c r="J488" s="328"/>
      <c r="K488" s="328"/>
      <c r="L488" s="328"/>
      <c r="M488" s="328"/>
      <c r="R488" s="328"/>
      <c r="S488" s="328"/>
      <c r="T488" s="328"/>
      <c r="U488" s="328"/>
      <c r="V488" s="328"/>
      <c r="W488" s="328"/>
      <c r="X488" s="328"/>
      <c r="Y488" s="328"/>
      <c r="Z488" s="328"/>
      <c r="AA488" s="328"/>
      <c r="AB488" s="328"/>
    </row>
    <row r="489" ht="15.75" customHeight="1">
      <c r="B489" s="328"/>
      <c r="C489" s="328"/>
      <c r="D489" s="328"/>
      <c r="E489" s="328"/>
      <c r="F489" s="328"/>
      <c r="G489" s="328"/>
      <c r="H489" s="328"/>
      <c r="I489" s="328"/>
      <c r="J489" s="328"/>
      <c r="K489" s="328"/>
      <c r="L489" s="328"/>
      <c r="M489" s="328"/>
      <c r="R489" s="328"/>
      <c r="S489" s="328"/>
      <c r="T489" s="328"/>
      <c r="U489" s="328"/>
      <c r="V489" s="328"/>
      <c r="W489" s="328"/>
      <c r="X489" s="328"/>
      <c r="Y489" s="328"/>
      <c r="Z489" s="328"/>
      <c r="AA489" s="328"/>
      <c r="AB489" s="328"/>
    </row>
    <row r="490" ht="15.75" customHeight="1">
      <c r="B490" s="328"/>
      <c r="C490" s="328"/>
      <c r="D490" s="328"/>
      <c r="E490" s="328"/>
      <c r="F490" s="328"/>
      <c r="G490" s="328"/>
      <c r="H490" s="328"/>
      <c r="I490" s="328"/>
      <c r="J490" s="328"/>
      <c r="K490" s="328"/>
      <c r="L490" s="328"/>
      <c r="M490" s="328"/>
      <c r="R490" s="328"/>
      <c r="S490" s="328"/>
      <c r="T490" s="328"/>
      <c r="U490" s="328"/>
      <c r="V490" s="328"/>
      <c r="W490" s="328"/>
      <c r="X490" s="328"/>
      <c r="Y490" s="328"/>
      <c r="Z490" s="328"/>
      <c r="AA490" s="328"/>
      <c r="AB490" s="328"/>
    </row>
    <row r="491" ht="15.75" customHeight="1">
      <c r="B491" s="328"/>
      <c r="C491" s="328"/>
      <c r="D491" s="328"/>
      <c r="E491" s="328"/>
      <c r="F491" s="328"/>
      <c r="G491" s="328"/>
      <c r="H491" s="328"/>
      <c r="I491" s="328"/>
      <c r="J491" s="328"/>
      <c r="K491" s="328"/>
      <c r="L491" s="328"/>
      <c r="M491" s="328"/>
      <c r="R491" s="328"/>
      <c r="S491" s="328"/>
      <c r="T491" s="328"/>
      <c r="U491" s="328"/>
      <c r="V491" s="328"/>
      <c r="W491" s="328"/>
      <c r="X491" s="328"/>
      <c r="Y491" s="328"/>
      <c r="Z491" s="328"/>
      <c r="AA491" s="328"/>
      <c r="AB491" s="328"/>
    </row>
    <row r="492" ht="15.75" customHeight="1">
      <c r="B492" s="328"/>
      <c r="C492" s="328"/>
      <c r="D492" s="328"/>
      <c r="E492" s="328"/>
      <c r="F492" s="328"/>
      <c r="G492" s="328"/>
      <c r="H492" s="328"/>
      <c r="I492" s="328"/>
      <c r="J492" s="328"/>
      <c r="K492" s="328"/>
      <c r="L492" s="328"/>
      <c r="M492" s="328"/>
      <c r="R492" s="328"/>
      <c r="S492" s="328"/>
      <c r="T492" s="328"/>
      <c r="U492" s="328"/>
      <c r="V492" s="328"/>
      <c r="W492" s="328"/>
      <c r="X492" s="328"/>
      <c r="Y492" s="328"/>
      <c r="Z492" s="328"/>
      <c r="AA492" s="328"/>
      <c r="AB492" s="328"/>
    </row>
    <row r="493" ht="15.75" customHeight="1">
      <c r="B493" s="328"/>
      <c r="C493" s="328"/>
      <c r="D493" s="328"/>
      <c r="E493" s="328"/>
      <c r="F493" s="328"/>
      <c r="G493" s="328"/>
      <c r="H493" s="328"/>
      <c r="I493" s="328"/>
      <c r="J493" s="328"/>
      <c r="K493" s="328"/>
      <c r="L493" s="328"/>
      <c r="M493" s="328"/>
      <c r="R493" s="328"/>
      <c r="S493" s="328"/>
      <c r="T493" s="328"/>
      <c r="U493" s="328"/>
      <c r="V493" s="328"/>
      <c r="W493" s="328"/>
      <c r="X493" s="328"/>
      <c r="Y493" s="328"/>
      <c r="Z493" s="328"/>
      <c r="AA493" s="328"/>
      <c r="AB493" s="328"/>
    </row>
    <row r="494" ht="15.75" customHeight="1">
      <c r="B494" s="328"/>
      <c r="C494" s="328"/>
      <c r="D494" s="328"/>
      <c r="E494" s="328"/>
      <c r="F494" s="328"/>
      <c r="G494" s="328"/>
      <c r="H494" s="328"/>
      <c r="I494" s="328"/>
      <c r="J494" s="328"/>
      <c r="K494" s="328"/>
      <c r="L494" s="328"/>
      <c r="M494" s="328"/>
      <c r="R494" s="328"/>
      <c r="S494" s="328"/>
      <c r="T494" s="328"/>
      <c r="U494" s="328"/>
      <c r="V494" s="328"/>
      <c r="W494" s="328"/>
      <c r="X494" s="328"/>
      <c r="Y494" s="328"/>
      <c r="Z494" s="328"/>
      <c r="AA494" s="328"/>
      <c r="AB494" s="328"/>
    </row>
    <row r="495" ht="15.75" customHeight="1">
      <c r="B495" s="328"/>
      <c r="C495" s="328"/>
      <c r="D495" s="328"/>
      <c r="E495" s="328"/>
      <c r="F495" s="328"/>
      <c r="G495" s="328"/>
      <c r="H495" s="328"/>
      <c r="I495" s="328"/>
      <c r="J495" s="328"/>
      <c r="K495" s="328"/>
      <c r="L495" s="328"/>
      <c r="M495" s="328"/>
      <c r="R495" s="328"/>
      <c r="S495" s="328"/>
      <c r="T495" s="328"/>
      <c r="U495" s="328"/>
      <c r="V495" s="328"/>
      <c r="W495" s="328"/>
      <c r="X495" s="328"/>
      <c r="Y495" s="328"/>
      <c r="Z495" s="328"/>
      <c r="AA495" s="328"/>
      <c r="AB495" s="328"/>
    </row>
    <row r="496" ht="15.75" customHeight="1">
      <c r="B496" s="328"/>
      <c r="C496" s="328"/>
      <c r="D496" s="328"/>
      <c r="E496" s="328"/>
      <c r="F496" s="328"/>
      <c r="G496" s="328"/>
      <c r="H496" s="328"/>
      <c r="I496" s="328"/>
      <c r="J496" s="328"/>
      <c r="K496" s="328"/>
      <c r="L496" s="328"/>
      <c r="M496" s="328"/>
      <c r="R496" s="328"/>
      <c r="S496" s="328"/>
      <c r="T496" s="328"/>
      <c r="U496" s="328"/>
      <c r="V496" s="328"/>
      <c r="W496" s="328"/>
      <c r="X496" s="328"/>
      <c r="Y496" s="328"/>
      <c r="Z496" s="328"/>
      <c r="AA496" s="328"/>
      <c r="AB496" s="328"/>
    </row>
    <row r="497" ht="15.75" customHeight="1">
      <c r="B497" s="328"/>
      <c r="C497" s="328"/>
      <c r="D497" s="328"/>
      <c r="E497" s="328"/>
      <c r="F497" s="328"/>
      <c r="G497" s="328"/>
      <c r="H497" s="328"/>
      <c r="I497" s="328"/>
      <c r="J497" s="328"/>
      <c r="K497" s="328"/>
      <c r="L497" s="328"/>
      <c r="M497" s="328"/>
      <c r="R497" s="328"/>
      <c r="S497" s="328"/>
      <c r="T497" s="328"/>
      <c r="U497" s="328"/>
      <c r="V497" s="328"/>
      <c r="W497" s="328"/>
      <c r="X497" s="328"/>
      <c r="Y497" s="328"/>
      <c r="Z497" s="328"/>
      <c r="AA497" s="328"/>
      <c r="AB497" s="328"/>
    </row>
    <row r="498" ht="15.75" customHeight="1">
      <c r="B498" s="328"/>
      <c r="C498" s="328"/>
      <c r="D498" s="328"/>
      <c r="E498" s="328"/>
      <c r="F498" s="328"/>
      <c r="G498" s="328"/>
      <c r="H498" s="328"/>
      <c r="I498" s="328"/>
      <c r="J498" s="328"/>
      <c r="K498" s="328"/>
      <c r="L498" s="328"/>
      <c r="M498" s="328"/>
      <c r="R498" s="328"/>
      <c r="S498" s="328"/>
      <c r="T498" s="328"/>
      <c r="U498" s="328"/>
      <c r="V498" s="328"/>
      <c r="W498" s="328"/>
      <c r="X498" s="328"/>
      <c r="Y498" s="328"/>
      <c r="Z498" s="328"/>
      <c r="AA498" s="328"/>
      <c r="AB498" s="328"/>
    </row>
    <row r="499" ht="15.75" customHeight="1">
      <c r="B499" s="328"/>
      <c r="C499" s="328"/>
      <c r="D499" s="328"/>
      <c r="E499" s="328"/>
      <c r="F499" s="328"/>
      <c r="G499" s="328"/>
      <c r="H499" s="328"/>
      <c r="I499" s="328"/>
      <c r="J499" s="328"/>
      <c r="K499" s="328"/>
      <c r="L499" s="328"/>
      <c r="M499" s="328"/>
      <c r="R499" s="328"/>
      <c r="S499" s="328"/>
      <c r="T499" s="328"/>
      <c r="U499" s="328"/>
      <c r="V499" s="328"/>
      <c r="W499" s="328"/>
      <c r="X499" s="328"/>
      <c r="Y499" s="328"/>
      <c r="Z499" s="328"/>
      <c r="AA499" s="328"/>
      <c r="AB499" s="328"/>
    </row>
    <row r="500" ht="15.75" customHeight="1">
      <c r="B500" s="328"/>
      <c r="C500" s="328"/>
      <c r="D500" s="328"/>
      <c r="E500" s="328"/>
      <c r="F500" s="328"/>
      <c r="G500" s="328"/>
      <c r="H500" s="328"/>
      <c r="I500" s="328"/>
      <c r="J500" s="328"/>
      <c r="K500" s="328"/>
      <c r="L500" s="328"/>
      <c r="M500" s="328"/>
      <c r="R500" s="328"/>
      <c r="S500" s="328"/>
      <c r="T500" s="328"/>
      <c r="U500" s="328"/>
      <c r="V500" s="328"/>
      <c r="W500" s="328"/>
      <c r="X500" s="328"/>
      <c r="Y500" s="328"/>
      <c r="Z500" s="328"/>
      <c r="AA500" s="328"/>
      <c r="AB500" s="328"/>
    </row>
    <row r="501" ht="15.75" customHeight="1">
      <c r="B501" s="328"/>
      <c r="C501" s="328"/>
      <c r="D501" s="328"/>
      <c r="E501" s="328"/>
      <c r="F501" s="328"/>
      <c r="G501" s="328"/>
      <c r="H501" s="328"/>
      <c r="I501" s="328"/>
      <c r="J501" s="328"/>
      <c r="K501" s="328"/>
      <c r="L501" s="328"/>
      <c r="M501" s="328"/>
      <c r="R501" s="328"/>
      <c r="S501" s="328"/>
      <c r="T501" s="328"/>
      <c r="U501" s="328"/>
      <c r="V501" s="328"/>
      <c r="W501" s="328"/>
      <c r="X501" s="328"/>
      <c r="Y501" s="328"/>
      <c r="Z501" s="328"/>
      <c r="AA501" s="328"/>
      <c r="AB501" s="328"/>
    </row>
    <row r="502" ht="15.75" customHeight="1">
      <c r="B502" s="328"/>
      <c r="C502" s="328"/>
      <c r="D502" s="328"/>
      <c r="E502" s="328"/>
      <c r="F502" s="328"/>
      <c r="G502" s="328"/>
      <c r="H502" s="328"/>
      <c r="I502" s="328"/>
      <c r="J502" s="328"/>
      <c r="K502" s="328"/>
      <c r="L502" s="328"/>
      <c r="M502" s="328"/>
      <c r="R502" s="328"/>
      <c r="S502" s="328"/>
      <c r="T502" s="328"/>
      <c r="U502" s="328"/>
      <c r="V502" s="328"/>
      <c r="W502" s="328"/>
      <c r="X502" s="328"/>
      <c r="Y502" s="328"/>
      <c r="Z502" s="328"/>
      <c r="AA502" s="328"/>
      <c r="AB502" s="328"/>
    </row>
    <row r="503" ht="15.75" customHeight="1">
      <c r="B503" s="328"/>
      <c r="C503" s="328"/>
      <c r="D503" s="328"/>
      <c r="E503" s="328"/>
      <c r="F503" s="328"/>
      <c r="G503" s="328"/>
      <c r="H503" s="328"/>
      <c r="I503" s="328"/>
      <c r="J503" s="328"/>
      <c r="K503" s="328"/>
      <c r="L503" s="328"/>
      <c r="M503" s="328"/>
      <c r="R503" s="328"/>
      <c r="S503" s="328"/>
      <c r="T503" s="328"/>
      <c r="U503" s="328"/>
      <c r="V503" s="328"/>
      <c r="W503" s="328"/>
      <c r="X503" s="328"/>
      <c r="Y503" s="328"/>
      <c r="Z503" s="328"/>
      <c r="AA503" s="328"/>
      <c r="AB503" s="328"/>
    </row>
    <row r="504" ht="15.75" customHeight="1">
      <c r="B504" s="328"/>
      <c r="C504" s="328"/>
      <c r="D504" s="328"/>
      <c r="E504" s="328"/>
      <c r="F504" s="328"/>
      <c r="G504" s="328"/>
      <c r="H504" s="328"/>
      <c r="I504" s="328"/>
      <c r="J504" s="328"/>
      <c r="K504" s="328"/>
      <c r="L504" s="328"/>
      <c r="M504" s="328"/>
      <c r="R504" s="328"/>
      <c r="S504" s="328"/>
      <c r="T504" s="328"/>
      <c r="U504" s="328"/>
      <c r="V504" s="328"/>
      <c r="W504" s="328"/>
      <c r="X504" s="328"/>
      <c r="Y504" s="328"/>
      <c r="Z504" s="328"/>
      <c r="AA504" s="328"/>
      <c r="AB504" s="328"/>
    </row>
    <row r="505" ht="15.75" customHeight="1">
      <c r="B505" s="328"/>
      <c r="C505" s="328"/>
      <c r="D505" s="328"/>
      <c r="E505" s="328"/>
      <c r="F505" s="328"/>
      <c r="G505" s="328"/>
      <c r="H505" s="328"/>
      <c r="I505" s="328"/>
      <c r="J505" s="328"/>
      <c r="K505" s="328"/>
      <c r="L505" s="328"/>
      <c r="M505" s="328"/>
      <c r="R505" s="328"/>
      <c r="S505" s="328"/>
      <c r="T505" s="328"/>
      <c r="U505" s="328"/>
      <c r="V505" s="328"/>
      <c r="W505" s="328"/>
      <c r="X505" s="328"/>
      <c r="Y505" s="328"/>
      <c r="Z505" s="328"/>
      <c r="AA505" s="328"/>
      <c r="AB505" s="328"/>
    </row>
    <row r="506" ht="15.75" customHeight="1">
      <c r="B506" s="328"/>
      <c r="C506" s="328"/>
      <c r="D506" s="328"/>
      <c r="E506" s="328"/>
      <c r="F506" s="328"/>
      <c r="G506" s="328"/>
      <c r="H506" s="328"/>
      <c r="I506" s="328"/>
      <c r="J506" s="328"/>
      <c r="K506" s="328"/>
      <c r="L506" s="328"/>
      <c r="M506" s="328"/>
      <c r="R506" s="328"/>
      <c r="S506" s="328"/>
      <c r="T506" s="328"/>
      <c r="U506" s="328"/>
      <c r="V506" s="328"/>
      <c r="W506" s="328"/>
      <c r="X506" s="328"/>
      <c r="Y506" s="328"/>
      <c r="Z506" s="328"/>
      <c r="AA506" s="328"/>
      <c r="AB506" s="328"/>
    </row>
    <row r="507" ht="15.75" customHeight="1">
      <c r="B507" s="328"/>
      <c r="C507" s="328"/>
      <c r="D507" s="328"/>
      <c r="E507" s="328"/>
      <c r="F507" s="328"/>
      <c r="G507" s="328"/>
      <c r="H507" s="328"/>
      <c r="I507" s="328"/>
      <c r="J507" s="328"/>
      <c r="K507" s="328"/>
      <c r="L507" s="328"/>
      <c r="M507" s="328"/>
      <c r="R507" s="328"/>
      <c r="S507" s="328"/>
      <c r="T507" s="328"/>
      <c r="U507" s="328"/>
      <c r="V507" s="328"/>
      <c r="W507" s="328"/>
      <c r="X507" s="328"/>
      <c r="Y507" s="328"/>
      <c r="Z507" s="328"/>
      <c r="AA507" s="328"/>
      <c r="AB507" s="328"/>
    </row>
    <row r="508" ht="15.75" customHeight="1">
      <c r="B508" s="328"/>
      <c r="C508" s="328"/>
      <c r="D508" s="328"/>
      <c r="E508" s="328"/>
      <c r="F508" s="328"/>
      <c r="G508" s="328"/>
      <c r="H508" s="328"/>
      <c r="I508" s="328"/>
      <c r="J508" s="328"/>
      <c r="K508" s="328"/>
      <c r="L508" s="328"/>
      <c r="M508" s="328"/>
      <c r="R508" s="328"/>
      <c r="S508" s="328"/>
      <c r="T508" s="328"/>
      <c r="U508" s="328"/>
      <c r="V508" s="328"/>
      <c r="W508" s="328"/>
      <c r="X508" s="328"/>
      <c r="Y508" s="328"/>
      <c r="Z508" s="328"/>
      <c r="AA508" s="328"/>
      <c r="AB508" s="328"/>
    </row>
    <row r="509" ht="15.75" customHeight="1">
      <c r="B509" s="328"/>
      <c r="C509" s="328"/>
      <c r="D509" s="328"/>
      <c r="E509" s="328"/>
      <c r="F509" s="328"/>
      <c r="G509" s="328"/>
      <c r="H509" s="328"/>
      <c r="I509" s="328"/>
      <c r="J509" s="328"/>
      <c r="K509" s="328"/>
      <c r="L509" s="328"/>
      <c r="M509" s="328"/>
      <c r="R509" s="328"/>
      <c r="S509" s="328"/>
      <c r="T509" s="328"/>
      <c r="U509" s="328"/>
      <c r="V509" s="328"/>
      <c r="W509" s="328"/>
      <c r="X509" s="328"/>
      <c r="Y509" s="328"/>
      <c r="Z509" s="328"/>
      <c r="AA509" s="328"/>
      <c r="AB509" s="328"/>
    </row>
    <row r="510" ht="15.75" customHeight="1">
      <c r="B510" s="328"/>
      <c r="C510" s="328"/>
      <c r="D510" s="328"/>
      <c r="E510" s="328"/>
      <c r="F510" s="328"/>
      <c r="G510" s="328"/>
      <c r="H510" s="328"/>
      <c r="I510" s="328"/>
      <c r="J510" s="328"/>
      <c r="K510" s="328"/>
      <c r="L510" s="328"/>
      <c r="M510" s="328"/>
      <c r="R510" s="328"/>
      <c r="S510" s="328"/>
      <c r="T510" s="328"/>
      <c r="U510" s="328"/>
      <c r="V510" s="328"/>
      <c r="W510" s="328"/>
      <c r="X510" s="328"/>
      <c r="Y510" s="328"/>
      <c r="Z510" s="328"/>
      <c r="AA510" s="328"/>
      <c r="AB510" s="328"/>
    </row>
    <row r="511" ht="15.75" customHeight="1">
      <c r="B511" s="328"/>
      <c r="C511" s="328"/>
      <c r="D511" s="328"/>
      <c r="E511" s="328"/>
      <c r="F511" s="328"/>
      <c r="G511" s="328"/>
      <c r="H511" s="328"/>
      <c r="I511" s="328"/>
      <c r="J511" s="328"/>
      <c r="K511" s="328"/>
      <c r="L511" s="328"/>
      <c r="M511" s="328"/>
      <c r="R511" s="328"/>
      <c r="S511" s="328"/>
      <c r="T511" s="328"/>
      <c r="U511" s="328"/>
      <c r="V511" s="328"/>
      <c r="W511" s="328"/>
      <c r="X511" s="328"/>
      <c r="Y511" s="328"/>
      <c r="Z511" s="328"/>
      <c r="AA511" s="328"/>
      <c r="AB511" s="328"/>
    </row>
    <row r="512" ht="15.75" customHeight="1">
      <c r="B512" s="328"/>
      <c r="C512" s="328"/>
      <c r="D512" s="328"/>
      <c r="E512" s="328"/>
      <c r="F512" s="328"/>
      <c r="G512" s="328"/>
      <c r="H512" s="328"/>
      <c r="I512" s="328"/>
      <c r="J512" s="328"/>
      <c r="K512" s="328"/>
      <c r="L512" s="328"/>
      <c r="M512" s="328"/>
      <c r="R512" s="328"/>
      <c r="S512" s="328"/>
      <c r="T512" s="328"/>
      <c r="U512" s="328"/>
      <c r="V512" s="328"/>
      <c r="W512" s="328"/>
      <c r="X512" s="328"/>
      <c r="Y512" s="328"/>
      <c r="Z512" s="328"/>
      <c r="AA512" s="328"/>
      <c r="AB512" s="328"/>
    </row>
    <row r="513" ht="15.75" customHeight="1">
      <c r="B513" s="328"/>
      <c r="C513" s="328"/>
      <c r="D513" s="328"/>
      <c r="E513" s="328"/>
      <c r="F513" s="328"/>
      <c r="G513" s="328"/>
      <c r="H513" s="328"/>
      <c r="I513" s="328"/>
      <c r="J513" s="328"/>
      <c r="K513" s="328"/>
      <c r="L513" s="328"/>
      <c r="M513" s="328"/>
      <c r="R513" s="328"/>
      <c r="S513" s="328"/>
      <c r="T513" s="328"/>
      <c r="U513" s="328"/>
      <c r="V513" s="328"/>
      <c r="W513" s="328"/>
      <c r="X513" s="328"/>
      <c r="Y513" s="328"/>
      <c r="Z513" s="328"/>
      <c r="AA513" s="328"/>
      <c r="AB513" s="328"/>
    </row>
    <row r="514" ht="15.75" customHeight="1">
      <c r="B514" s="328"/>
      <c r="C514" s="328"/>
      <c r="D514" s="328"/>
      <c r="E514" s="328"/>
      <c r="F514" s="328"/>
      <c r="G514" s="328"/>
      <c r="H514" s="328"/>
      <c r="I514" s="328"/>
      <c r="J514" s="328"/>
      <c r="K514" s="328"/>
      <c r="L514" s="328"/>
      <c r="M514" s="328"/>
      <c r="R514" s="328"/>
      <c r="S514" s="328"/>
      <c r="T514" s="328"/>
      <c r="U514" s="328"/>
      <c r="V514" s="328"/>
      <c r="W514" s="328"/>
      <c r="X514" s="328"/>
      <c r="Y514" s="328"/>
      <c r="Z514" s="328"/>
      <c r="AA514" s="328"/>
      <c r="AB514" s="328"/>
    </row>
    <row r="515" ht="15.75" customHeight="1">
      <c r="B515" s="328"/>
      <c r="C515" s="328"/>
      <c r="D515" s="328"/>
      <c r="E515" s="328"/>
      <c r="F515" s="328"/>
      <c r="G515" s="328"/>
      <c r="H515" s="328"/>
      <c r="I515" s="328"/>
      <c r="J515" s="328"/>
      <c r="K515" s="328"/>
      <c r="L515" s="328"/>
      <c r="M515" s="328"/>
      <c r="R515" s="328"/>
      <c r="S515" s="328"/>
      <c r="T515" s="328"/>
      <c r="U515" s="328"/>
      <c r="V515" s="328"/>
      <c r="W515" s="328"/>
      <c r="X515" s="328"/>
      <c r="Y515" s="328"/>
      <c r="Z515" s="328"/>
      <c r="AA515" s="328"/>
      <c r="AB515" s="328"/>
    </row>
    <row r="516" ht="15.75" customHeight="1">
      <c r="B516" s="328"/>
      <c r="C516" s="328"/>
      <c r="D516" s="328"/>
      <c r="E516" s="328"/>
      <c r="F516" s="328"/>
      <c r="G516" s="328"/>
      <c r="H516" s="328"/>
      <c r="I516" s="328"/>
      <c r="J516" s="328"/>
      <c r="K516" s="328"/>
      <c r="L516" s="328"/>
      <c r="M516" s="328"/>
      <c r="R516" s="328"/>
      <c r="S516" s="328"/>
      <c r="T516" s="328"/>
      <c r="U516" s="328"/>
      <c r="V516" s="328"/>
      <c r="W516" s="328"/>
      <c r="X516" s="328"/>
      <c r="Y516" s="328"/>
      <c r="Z516" s="328"/>
      <c r="AA516" s="328"/>
      <c r="AB516" s="328"/>
    </row>
    <row r="517" ht="15.75" customHeight="1">
      <c r="B517" s="328"/>
      <c r="C517" s="328"/>
      <c r="D517" s="328"/>
      <c r="E517" s="328"/>
      <c r="F517" s="328"/>
      <c r="G517" s="328"/>
      <c r="H517" s="328"/>
      <c r="I517" s="328"/>
      <c r="J517" s="328"/>
      <c r="K517" s="328"/>
      <c r="L517" s="328"/>
      <c r="M517" s="328"/>
      <c r="R517" s="328"/>
      <c r="S517" s="328"/>
      <c r="T517" s="328"/>
      <c r="U517" s="328"/>
      <c r="V517" s="328"/>
      <c r="W517" s="328"/>
      <c r="X517" s="328"/>
      <c r="Y517" s="328"/>
      <c r="Z517" s="328"/>
      <c r="AA517" s="328"/>
      <c r="AB517" s="328"/>
    </row>
    <row r="518" ht="15.75" customHeight="1">
      <c r="B518" s="328"/>
      <c r="C518" s="328"/>
      <c r="D518" s="328"/>
      <c r="E518" s="328"/>
      <c r="F518" s="328"/>
      <c r="G518" s="328"/>
      <c r="H518" s="328"/>
      <c r="I518" s="328"/>
      <c r="J518" s="328"/>
      <c r="K518" s="328"/>
      <c r="L518" s="328"/>
      <c r="M518" s="328"/>
      <c r="R518" s="328"/>
      <c r="S518" s="328"/>
      <c r="T518" s="328"/>
      <c r="U518" s="328"/>
      <c r="V518" s="328"/>
      <c r="W518" s="328"/>
      <c r="X518" s="328"/>
      <c r="Y518" s="328"/>
      <c r="Z518" s="328"/>
      <c r="AA518" s="328"/>
      <c r="AB518" s="328"/>
    </row>
    <row r="519" ht="15.75" customHeight="1">
      <c r="B519" s="328"/>
      <c r="C519" s="328"/>
      <c r="D519" s="328"/>
      <c r="E519" s="328"/>
      <c r="F519" s="328"/>
      <c r="G519" s="328"/>
      <c r="H519" s="328"/>
      <c r="I519" s="328"/>
      <c r="J519" s="328"/>
      <c r="K519" s="328"/>
      <c r="L519" s="328"/>
      <c r="M519" s="328"/>
      <c r="R519" s="328"/>
      <c r="S519" s="328"/>
      <c r="T519" s="328"/>
      <c r="U519" s="328"/>
      <c r="V519" s="328"/>
      <c r="W519" s="328"/>
      <c r="X519" s="328"/>
      <c r="Y519" s="328"/>
      <c r="Z519" s="328"/>
      <c r="AA519" s="328"/>
      <c r="AB519" s="328"/>
    </row>
    <row r="520" ht="15.75" customHeight="1">
      <c r="B520" s="328"/>
      <c r="C520" s="328"/>
      <c r="D520" s="328"/>
      <c r="E520" s="328"/>
      <c r="F520" s="328"/>
      <c r="G520" s="328"/>
      <c r="H520" s="328"/>
      <c r="I520" s="328"/>
      <c r="J520" s="328"/>
      <c r="K520" s="328"/>
      <c r="L520" s="328"/>
      <c r="M520" s="328"/>
      <c r="R520" s="328"/>
      <c r="S520" s="328"/>
      <c r="T520" s="328"/>
      <c r="U520" s="328"/>
      <c r="V520" s="328"/>
      <c r="W520" s="328"/>
      <c r="X520" s="328"/>
      <c r="Y520" s="328"/>
      <c r="Z520" s="328"/>
      <c r="AA520" s="328"/>
      <c r="AB520" s="328"/>
    </row>
    <row r="521" ht="15.75" customHeight="1">
      <c r="B521" s="328"/>
      <c r="C521" s="328"/>
      <c r="D521" s="328"/>
      <c r="E521" s="328"/>
      <c r="F521" s="328"/>
      <c r="G521" s="328"/>
      <c r="H521" s="328"/>
      <c r="I521" s="328"/>
      <c r="J521" s="328"/>
      <c r="K521" s="328"/>
      <c r="L521" s="328"/>
      <c r="M521" s="328"/>
      <c r="R521" s="328"/>
      <c r="S521" s="328"/>
      <c r="T521" s="328"/>
      <c r="U521" s="328"/>
      <c r="V521" s="328"/>
      <c r="W521" s="328"/>
      <c r="X521" s="328"/>
      <c r="Y521" s="328"/>
      <c r="Z521" s="328"/>
      <c r="AA521" s="328"/>
      <c r="AB521" s="328"/>
    </row>
    <row r="522" ht="15.75" customHeight="1">
      <c r="B522" s="328"/>
      <c r="C522" s="328"/>
      <c r="D522" s="328"/>
      <c r="E522" s="328"/>
      <c r="F522" s="328"/>
      <c r="G522" s="328"/>
      <c r="H522" s="328"/>
      <c r="I522" s="328"/>
      <c r="J522" s="328"/>
      <c r="K522" s="328"/>
      <c r="L522" s="328"/>
      <c r="M522" s="328"/>
      <c r="R522" s="328"/>
      <c r="S522" s="328"/>
      <c r="T522" s="328"/>
      <c r="U522" s="328"/>
      <c r="V522" s="328"/>
      <c r="W522" s="328"/>
      <c r="X522" s="328"/>
      <c r="Y522" s="328"/>
      <c r="Z522" s="328"/>
      <c r="AA522" s="328"/>
      <c r="AB522" s="328"/>
    </row>
    <row r="523" ht="15.75" customHeight="1">
      <c r="B523" s="328"/>
      <c r="C523" s="328"/>
      <c r="D523" s="328"/>
      <c r="E523" s="328"/>
      <c r="F523" s="328"/>
      <c r="G523" s="328"/>
      <c r="H523" s="328"/>
      <c r="I523" s="328"/>
      <c r="J523" s="328"/>
      <c r="K523" s="328"/>
      <c r="L523" s="328"/>
      <c r="M523" s="328"/>
      <c r="R523" s="328"/>
      <c r="S523" s="328"/>
      <c r="T523" s="328"/>
      <c r="U523" s="328"/>
      <c r="V523" s="328"/>
      <c r="W523" s="328"/>
      <c r="X523" s="328"/>
      <c r="Y523" s="328"/>
      <c r="Z523" s="328"/>
      <c r="AA523" s="328"/>
      <c r="AB523" s="328"/>
    </row>
    <row r="524" ht="15.75" customHeight="1">
      <c r="B524" s="328"/>
      <c r="C524" s="328"/>
      <c r="D524" s="328"/>
      <c r="E524" s="328"/>
      <c r="F524" s="328"/>
      <c r="G524" s="328"/>
      <c r="H524" s="328"/>
      <c r="I524" s="328"/>
      <c r="J524" s="328"/>
      <c r="K524" s="328"/>
      <c r="L524" s="328"/>
      <c r="M524" s="328"/>
      <c r="R524" s="328"/>
      <c r="S524" s="328"/>
      <c r="T524" s="328"/>
      <c r="U524" s="328"/>
      <c r="V524" s="328"/>
      <c r="W524" s="328"/>
      <c r="X524" s="328"/>
      <c r="Y524" s="328"/>
      <c r="Z524" s="328"/>
      <c r="AA524" s="328"/>
      <c r="AB524" s="328"/>
    </row>
    <row r="525" ht="15.75" customHeight="1">
      <c r="B525" s="328"/>
      <c r="C525" s="328"/>
      <c r="D525" s="328"/>
      <c r="E525" s="328"/>
      <c r="F525" s="328"/>
      <c r="G525" s="328"/>
      <c r="H525" s="328"/>
      <c r="I525" s="328"/>
      <c r="J525" s="328"/>
      <c r="K525" s="328"/>
      <c r="L525" s="328"/>
      <c r="M525" s="328"/>
      <c r="R525" s="328"/>
      <c r="S525" s="328"/>
      <c r="T525" s="328"/>
      <c r="U525" s="328"/>
      <c r="V525" s="328"/>
      <c r="W525" s="328"/>
      <c r="X525" s="328"/>
      <c r="Y525" s="328"/>
      <c r="Z525" s="328"/>
      <c r="AA525" s="328"/>
      <c r="AB525" s="328"/>
    </row>
    <row r="526" ht="15.75" customHeight="1">
      <c r="B526" s="328"/>
      <c r="C526" s="328"/>
      <c r="D526" s="328"/>
      <c r="E526" s="328"/>
      <c r="F526" s="328"/>
      <c r="G526" s="328"/>
      <c r="H526" s="328"/>
      <c r="I526" s="328"/>
      <c r="J526" s="328"/>
      <c r="K526" s="328"/>
      <c r="L526" s="328"/>
      <c r="M526" s="328"/>
      <c r="R526" s="328"/>
      <c r="S526" s="328"/>
      <c r="T526" s="328"/>
      <c r="U526" s="328"/>
      <c r="V526" s="328"/>
      <c r="W526" s="328"/>
      <c r="X526" s="328"/>
      <c r="Y526" s="328"/>
      <c r="Z526" s="328"/>
      <c r="AA526" s="328"/>
      <c r="AB526" s="328"/>
    </row>
    <row r="527" ht="15.75" customHeight="1">
      <c r="B527" s="328"/>
      <c r="C527" s="328"/>
      <c r="D527" s="328"/>
      <c r="E527" s="328"/>
      <c r="F527" s="328"/>
      <c r="G527" s="328"/>
      <c r="H527" s="328"/>
      <c r="I527" s="328"/>
      <c r="J527" s="328"/>
      <c r="K527" s="328"/>
      <c r="L527" s="328"/>
      <c r="M527" s="328"/>
      <c r="R527" s="328"/>
      <c r="S527" s="328"/>
      <c r="T527" s="328"/>
      <c r="U527" s="328"/>
      <c r="V527" s="328"/>
      <c r="W527" s="328"/>
      <c r="X527" s="328"/>
      <c r="Y527" s="328"/>
      <c r="Z527" s="328"/>
      <c r="AA527" s="328"/>
      <c r="AB527" s="328"/>
    </row>
    <row r="528" ht="15.75" customHeight="1">
      <c r="B528" s="328"/>
      <c r="C528" s="328"/>
      <c r="D528" s="328"/>
      <c r="E528" s="328"/>
      <c r="F528" s="328"/>
      <c r="G528" s="328"/>
      <c r="H528" s="328"/>
      <c r="I528" s="328"/>
      <c r="J528" s="328"/>
      <c r="K528" s="328"/>
      <c r="L528" s="328"/>
      <c r="M528" s="328"/>
      <c r="R528" s="328"/>
      <c r="S528" s="328"/>
      <c r="T528" s="328"/>
      <c r="U528" s="328"/>
      <c r="V528" s="328"/>
      <c r="W528" s="328"/>
      <c r="X528" s="328"/>
      <c r="Y528" s="328"/>
      <c r="Z528" s="328"/>
      <c r="AA528" s="328"/>
      <c r="AB528" s="328"/>
    </row>
    <row r="529" ht="15.75" customHeight="1">
      <c r="B529" s="328"/>
      <c r="C529" s="328"/>
      <c r="D529" s="328"/>
      <c r="E529" s="328"/>
      <c r="F529" s="328"/>
      <c r="G529" s="328"/>
      <c r="H529" s="328"/>
      <c r="I529" s="328"/>
      <c r="J529" s="328"/>
      <c r="K529" s="328"/>
      <c r="L529" s="328"/>
      <c r="M529" s="328"/>
      <c r="R529" s="328"/>
      <c r="S529" s="328"/>
      <c r="T529" s="328"/>
      <c r="U529" s="328"/>
      <c r="V529" s="328"/>
      <c r="W529" s="328"/>
      <c r="X529" s="328"/>
      <c r="Y529" s="328"/>
      <c r="Z529" s="328"/>
      <c r="AA529" s="328"/>
      <c r="AB529" s="328"/>
    </row>
    <row r="530" ht="15.75" customHeight="1">
      <c r="B530" s="328"/>
      <c r="C530" s="328"/>
      <c r="D530" s="328"/>
      <c r="E530" s="328"/>
      <c r="F530" s="328"/>
      <c r="G530" s="328"/>
      <c r="H530" s="328"/>
      <c r="I530" s="328"/>
      <c r="J530" s="328"/>
      <c r="K530" s="328"/>
      <c r="L530" s="328"/>
      <c r="M530" s="328"/>
      <c r="R530" s="328"/>
      <c r="S530" s="328"/>
      <c r="T530" s="328"/>
      <c r="U530" s="328"/>
      <c r="V530" s="328"/>
      <c r="W530" s="328"/>
      <c r="X530" s="328"/>
      <c r="Y530" s="328"/>
      <c r="Z530" s="328"/>
      <c r="AA530" s="328"/>
      <c r="AB530" s="328"/>
    </row>
    <row r="531" ht="15.75" customHeight="1">
      <c r="B531" s="328"/>
      <c r="C531" s="328"/>
      <c r="D531" s="328"/>
      <c r="E531" s="328"/>
      <c r="F531" s="328"/>
      <c r="G531" s="328"/>
      <c r="H531" s="328"/>
      <c r="I531" s="328"/>
      <c r="J531" s="328"/>
      <c r="K531" s="328"/>
      <c r="L531" s="328"/>
      <c r="M531" s="328"/>
      <c r="R531" s="328"/>
      <c r="S531" s="328"/>
      <c r="T531" s="328"/>
      <c r="U531" s="328"/>
      <c r="V531" s="328"/>
      <c r="W531" s="328"/>
      <c r="X531" s="328"/>
      <c r="Y531" s="328"/>
      <c r="Z531" s="328"/>
      <c r="AA531" s="328"/>
      <c r="AB531" s="328"/>
    </row>
    <row r="532" ht="15.75" customHeight="1">
      <c r="B532" s="328"/>
      <c r="C532" s="328"/>
      <c r="D532" s="328"/>
      <c r="E532" s="328"/>
      <c r="F532" s="328"/>
      <c r="G532" s="328"/>
      <c r="H532" s="328"/>
      <c r="I532" s="328"/>
      <c r="J532" s="328"/>
      <c r="K532" s="328"/>
      <c r="L532" s="328"/>
      <c r="M532" s="328"/>
      <c r="R532" s="328"/>
      <c r="S532" s="328"/>
      <c r="T532" s="328"/>
      <c r="U532" s="328"/>
      <c r="V532" s="328"/>
      <c r="W532" s="328"/>
      <c r="X532" s="328"/>
      <c r="Y532" s="328"/>
      <c r="Z532" s="328"/>
      <c r="AA532" s="328"/>
      <c r="AB532" s="328"/>
    </row>
    <row r="533" ht="15.75" customHeight="1">
      <c r="B533" s="328"/>
      <c r="C533" s="328"/>
      <c r="D533" s="328"/>
      <c r="E533" s="328"/>
      <c r="F533" s="328"/>
      <c r="G533" s="328"/>
      <c r="H533" s="328"/>
      <c r="I533" s="328"/>
      <c r="J533" s="328"/>
      <c r="K533" s="328"/>
      <c r="L533" s="328"/>
      <c r="M533" s="328"/>
      <c r="R533" s="328"/>
      <c r="S533" s="328"/>
      <c r="T533" s="328"/>
      <c r="U533" s="328"/>
      <c r="V533" s="328"/>
      <c r="W533" s="328"/>
      <c r="X533" s="328"/>
      <c r="Y533" s="328"/>
      <c r="Z533" s="328"/>
      <c r="AA533" s="328"/>
      <c r="AB533" s="328"/>
    </row>
    <row r="534" ht="15.75" customHeight="1">
      <c r="B534" s="328"/>
      <c r="C534" s="328"/>
      <c r="D534" s="328"/>
      <c r="E534" s="328"/>
      <c r="F534" s="328"/>
      <c r="G534" s="328"/>
      <c r="H534" s="328"/>
      <c r="I534" s="328"/>
      <c r="J534" s="328"/>
      <c r="K534" s="328"/>
      <c r="L534" s="328"/>
      <c r="M534" s="328"/>
      <c r="R534" s="328"/>
      <c r="S534" s="328"/>
      <c r="T534" s="328"/>
      <c r="U534" s="328"/>
      <c r="V534" s="328"/>
      <c r="W534" s="328"/>
      <c r="X534" s="328"/>
      <c r="Y534" s="328"/>
      <c r="Z534" s="328"/>
      <c r="AA534" s="328"/>
      <c r="AB534" s="328"/>
    </row>
    <row r="535" ht="15.75" customHeight="1">
      <c r="B535" s="328"/>
      <c r="C535" s="328"/>
      <c r="D535" s="328"/>
      <c r="E535" s="328"/>
      <c r="F535" s="328"/>
      <c r="G535" s="328"/>
      <c r="H535" s="328"/>
      <c r="I535" s="328"/>
      <c r="J535" s="328"/>
      <c r="K535" s="328"/>
      <c r="L535" s="328"/>
      <c r="M535" s="328"/>
      <c r="R535" s="328"/>
      <c r="S535" s="328"/>
      <c r="T535" s="328"/>
      <c r="U535" s="328"/>
      <c r="V535" s="328"/>
      <c r="W535" s="328"/>
      <c r="X535" s="328"/>
      <c r="Y535" s="328"/>
      <c r="Z535" s="328"/>
      <c r="AA535" s="328"/>
      <c r="AB535" s="328"/>
    </row>
    <row r="536" ht="15.75" customHeight="1">
      <c r="B536" s="328"/>
      <c r="C536" s="328"/>
      <c r="D536" s="328"/>
      <c r="E536" s="328"/>
      <c r="F536" s="328"/>
      <c r="G536" s="328"/>
      <c r="H536" s="328"/>
      <c r="I536" s="328"/>
      <c r="J536" s="328"/>
      <c r="K536" s="328"/>
      <c r="L536" s="328"/>
      <c r="M536" s="328"/>
      <c r="R536" s="328"/>
      <c r="S536" s="328"/>
      <c r="T536" s="328"/>
      <c r="U536" s="328"/>
      <c r="V536" s="328"/>
      <c r="W536" s="328"/>
      <c r="X536" s="328"/>
      <c r="Y536" s="328"/>
      <c r="Z536" s="328"/>
      <c r="AA536" s="328"/>
      <c r="AB536" s="328"/>
    </row>
    <row r="537" ht="15.75" customHeight="1">
      <c r="B537" s="328"/>
      <c r="C537" s="328"/>
      <c r="D537" s="328"/>
      <c r="E537" s="328"/>
      <c r="F537" s="328"/>
      <c r="G537" s="328"/>
      <c r="H537" s="328"/>
      <c r="I537" s="328"/>
      <c r="J537" s="328"/>
      <c r="K537" s="328"/>
      <c r="L537" s="328"/>
      <c r="M537" s="328"/>
      <c r="R537" s="328"/>
      <c r="S537" s="328"/>
      <c r="T537" s="328"/>
      <c r="U537" s="328"/>
      <c r="V537" s="328"/>
      <c r="W537" s="328"/>
      <c r="X537" s="328"/>
      <c r="Y537" s="328"/>
      <c r="Z537" s="328"/>
      <c r="AA537" s="328"/>
      <c r="AB537" s="328"/>
    </row>
    <row r="538" ht="15.75" customHeight="1">
      <c r="B538" s="328"/>
      <c r="C538" s="328"/>
      <c r="D538" s="328"/>
      <c r="E538" s="328"/>
      <c r="F538" s="328"/>
      <c r="G538" s="328"/>
      <c r="H538" s="328"/>
      <c r="I538" s="328"/>
      <c r="J538" s="328"/>
      <c r="K538" s="328"/>
      <c r="L538" s="328"/>
      <c r="M538" s="328"/>
      <c r="R538" s="328"/>
      <c r="S538" s="328"/>
      <c r="T538" s="328"/>
      <c r="U538" s="328"/>
      <c r="V538" s="328"/>
      <c r="W538" s="328"/>
      <c r="X538" s="328"/>
      <c r="Y538" s="328"/>
      <c r="Z538" s="328"/>
      <c r="AA538" s="328"/>
      <c r="AB538" s="328"/>
    </row>
    <row r="539" ht="15.75" customHeight="1">
      <c r="B539" s="328"/>
      <c r="C539" s="328"/>
      <c r="D539" s="328"/>
      <c r="E539" s="328"/>
      <c r="F539" s="328"/>
      <c r="G539" s="328"/>
      <c r="H539" s="328"/>
      <c r="I539" s="328"/>
      <c r="J539" s="328"/>
      <c r="K539" s="328"/>
      <c r="L539" s="328"/>
      <c r="M539" s="328"/>
      <c r="R539" s="328"/>
      <c r="S539" s="328"/>
      <c r="T539" s="328"/>
      <c r="U539" s="328"/>
      <c r="V539" s="328"/>
      <c r="W539" s="328"/>
      <c r="X539" s="328"/>
      <c r="Y539" s="328"/>
      <c r="Z539" s="328"/>
      <c r="AA539" s="328"/>
      <c r="AB539" s="328"/>
    </row>
    <row r="540" ht="15.75" customHeight="1">
      <c r="B540" s="328"/>
      <c r="C540" s="328"/>
      <c r="D540" s="328"/>
      <c r="E540" s="328"/>
      <c r="F540" s="328"/>
      <c r="G540" s="328"/>
      <c r="H540" s="328"/>
      <c r="I540" s="328"/>
      <c r="J540" s="328"/>
      <c r="K540" s="328"/>
      <c r="L540" s="328"/>
      <c r="M540" s="328"/>
      <c r="R540" s="328"/>
      <c r="S540" s="328"/>
      <c r="T540" s="328"/>
      <c r="U540" s="328"/>
      <c r="V540" s="328"/>
      <c r="W540" s="328"/>
      <c r="X540" s="328"/>
      <c r="Y540" s="328"/>
      <c r="Z540" s="328"/>
      <c r="AA540" s="328"/>
      <c r="AB540" s="328"/>
    </row>
    <row r="541" ht="15.75" customHeight="1">
      <c r="B541" s="328"/>
      <c r="C541" s="328"/>
      <c r="D541" s="328"/>
      <c r="E541" s="328"/>
      <c r="F541" s="328"/>
      <c r="G541" s="328"/>
      <c r="H541" s="328"/>
      <c r="I541" s="328"/>
      <c r="J541" s="328"/>
      <c r="K541" s="328"/>
      <c r="L541" s="328"/>
      <c r="M541" s="328"/>
      <c r="R541" s="328"/>
      <c r="S541" s="328"/>
      <c r="T541" s="328"/>
      <c r="U541" s="328"/>
      <c r="V541" s="328"/>
      <c r="W541" s="328"/>
      <c r="X541" s="328"/>
      <c r="Y541" s="328"/>
      <c r="Z541" s="328"/>
      <c r="AA541" s="328"/>
      <c r="AB541" s="328"/>
    </row>
    <row r="542" ht="15.75" customHeight="1">
      <c r="B542" s="328"/>
      <c r="C542" s="328"/>
      <c r="D542" s="328"/>
      <c r="E542" s="328"/>
      <c r="F542" s="328"/>
      <c r="G542" s="328"/>
      <c r="H542" s="328"/>
      <c r="I542" s="328"/>
      <c r="J542" s="328"/>
      <c r="K542" s="328"/>
      <c r="L542" s="328"/>
      <c r="M542" s="328"/>
      <c r="R542" s="328"/>
      <c r="S542" s="328"/>
      <c r="T542" s="328"/>
      <c r="U542" s="328"/>
      <c r="V542" s="328"/>
      <c r="W542" s="328"/>
      <c r="X542" s="328"/>
      <c r="Y542" s="328"/>
      <c r="Z542" s="328"/>
      <c r="AA542" s="328"/>
      <c r="AB542" s="328"/>
    </row>
    <row r="543" ht="15.75" customHeight="1">
      <c r="B543" s="328"/>
      <c r="C543" s="328"/>
      <c r="D543" s="328"/>
      <c r="E543" s="328"/>
      <c r="F543" s="328"/>
      <c r="G543" s="328"/>
      <c r="H543" s="328"/>
      <c r="I543" s="328"/>
      <c r="J543" s="328"/>
      <c r="K543" s="328"/>
      <c r="L543" s="328"/>
      <c r="M543" s="328"/>
      <c r="R543" s="328"/>
      <c r="S543" s="328"/>
      <c r="T543" s="328"/>
      <c r="U543" s="328"/>
      <c r="V543" s="328"/>
      <c r="W543" s="328"/>
      <c r="X543" s="328"/>
      <c r="Y543" s="328"/>
      <c r="Z543" s="328"/>
      <c r="AA543" s="328"/>
      <c r="AB543" s="328"/>
    </row>
    <row r="544" ht="15.75" customHeight="1">
      <c r="B544" s="328"/>
      <c r="C544" s="328"/>
      <c r="D544" s="328"/>
      <c r="E544" s="328"/>
      <c r="F544" s="328"/>
      <c r="G544" s="328"/>
      <c r="H544" s="328"/>
      <c r="I544" s="328"/>
      <c r="J544" s="328"/>
      <c r="K544" s="328"/>
      <c r="L544" s="328"/>
      <c r="M544" s="328"/>
      <c r="R544" s="328"/>
      <c r="S544" s="328"/>
      <c r="T544" s="328"/>
      <c r="U544" s="328"/>
      <c r="V544" s="328"/>
      <c r="W544" s="328"/>
      <c r="X544" s="328"/>
      <c r="Y544" s="328"/>
      <c r="Z544" s="328"/>
      <c r="AA544" s="328"/>
      <c r="AB544" s="328"/>
    </row>
    <row r="545" ht="15.75" customHeight="1">
      <c r="B545" s="328"/>
      <c r="C545" s="328"/>
      <c r="D545" s="328"/>
      <c r="E545" s="328"/>
      <c r="F545" s="328"/>
      <c r="G545" s="328"/>
      <c r="H545" s="328"/>
      <c r="I545" s="328"/>
      <c r="J545" s="328"/>
      <c r="K545" s="328"/>
      <c r="L545" s="328"/>
      <c r="M545" s="328"/>
      <c r="R545" s="328"/>
      <c r="S545" s="328"/>
      <c r="T545" s="328"/>
      <c r="U545" s="328"/>
      <c r="V545" s="328"/>
      <c r="W545" s="328"/>
      <c r="X545" s="328"/>
      <c r="Y545" s="328"/>
      <c r="Z545" s="328"/>
      <c r="AA545" s="328"/>
      <c r="AB545" s="328"/>
    </row>
    <row r="546" ht="15.75" customHeight="1">
      <c r="B546" s="328"/>
      <c r="C546" s="328"/>
      <c r="D546" s="328"/>
      <c r="E546" s="328"/>
      <c r="F546" s="328"/>
      <c r="G546" s="328"/>
      <c r="H546" s="328"/>
      <c r="I546" s="328"/>
      <c r="J546" s="328"/>
      <c r="K546" s="328"/>
      <c r="L546" s="328"/>
      <c r="M546" s="328"/>
      <c r="R546" s="328"/>
      <c r="S546" s="328"/>
      <c r="T546" s="328"/>
      <c r="U546" s="328"/>
      <c r="V546" s="328"/>
      <c r="W546" s="328"/>
      <c r="X546" s="328"/>
      <c r="Y546" s="328"/>
      <c r="Z546" s="328"/>
      <c r="AA546" s="328"/>
      <c r="AB546" s="328"/>
    </row>
    <row r="547" ht="15.75" customHeight="1">
      <c r="B547" s="328"/>
      <c r="C547" s="328"/>
      <c r="D547" s="328"/>
      <c r="E547" s="328"/>
      <c r="F547" s="328"/>
      <c r="G547" s="328"/>
      <c r="H547" s="328"/>
      <c r="I547" s="328"/>
      <c r="J547" s="328"/>
      <c r="K547" s="328"/>
      <c r="L547" s="328"/>
      <c r="M547" s="328"/>
      <c r="R547" s="328"/>
      <c r="S547" s="328"/>
      <c r="T547" s="328"/>
      <c r="U547" s="328"/>
      <c r="V547" s="328"/>
      <c r="W547" s="328"/>
      <c r="X547" s="328"/>
      <c r="Y547" s="328"/>
      <c r="Z547" s="328"/>
      <c r="AA547" s="328"/>
      <c r="AB547" s="328"/>
    </row>
    <row r="548" ht="15.75" customHeight="1">
      <c r="B548" s="328"/>
      <c r="C548" s="328"/>
      <c r="D548" s="328"/>
      <c r="E548" s="328"/>
      <c r="F548" s="328"/>
      <c r="G548" s="328"/>
      <c r="H548" s="328"/>
      <c r="I548" s="328"/>
      <c r="J548" s="328"/>
      <c r="K548" s="328"/>
      <c r="L548" s="328"/>
      <c r="M548" s="328"/>
      <c r="R548" s="328"/>
      <c r="S548" s="328"/>
      <c r="T548" s="328"/>
      <c r="U548" s="328"/>
      <c r="V548" s="328"/>
      <c r="W548" s="328"/>
      <c r="X548" s="328"/>
      <c r="Y548" s="328"/>
      <c r="Z548" s="328"/>
      <c r="AA548" s="328"/>
      <c r="AB548" s="328"/>
    </row>
    <row r="549" ht="15.75" customHeight="1">
      <c r="B549" s="328"/>
      <c r="C549" s="328"/>
      <c r="D549" s="328"/>
      <c r="E549" s="328"/>
      <c r="F549" s="328"/>
      <c r="G549" s="328"/>
      <c r="H549" s="328"/>
      <c r="I549" s="328"/>
      <c r="J549" s="328"/>
      <c r="K549" s="328"/>
      <c r="L549" s="328"/>
      <c r="M549" s="328"/>
      <c r="R549" s="328"/>
      <c r="S549" s="328"/>
      <c r="T549" s="328"/>
      <c r="U549" s="328"/>
      <c r="V549" s="328"/>
      <c r="W549" s="328"/>
      <c r="X549" s="328"/>
      <c r="Y549" s="328"/>
      <c r="Z549" s="328"/>
      <c r="AA549" s="328"/>
      <c r="AB549" s="328"/>
    </row>
    <row r="550" ht="15.75" customHeight="1">
      <c r="B550" s="328"/>
      <c r="C550" s="328"/>
      <c r="D550" s="328"/>
      <c r="E550" s="328"/>
      <c r="F550" s="328"/>
      <c r="G550" s="328"/>
      <c r="H550" s="328"/>
      <c r="I550" s="328"/>
      <c r="J550" s="328"/>
      <c r="K550" s="328"/>
      <c r="L550" s="328"/>
      <c r="M550" s="328"/>
      <c r="R550" s="328"/>
      <c r="S550" s="328"/>
      <c r="T550" s="328"/>
      <c r="U550" s="328"/>
      <c r="V550" s="328"/>
      <c r="W550" s="328"/>
      <c r="X550" s="328"/>
      <c r="Y550" s="328"/>
      <c r="Z550" s="328"/>
      <c r="AA550" s="328"/>
      <c r="AB550" s="328"/>
    </row>
    <row r="551" ht="15.75" customHeight="1">
      <c r="B551" s="328"/>
      <c r="C551" s="328"/>
      <c r="D551" s="328"/>
      <c r="E551" s="328"/>
      <c r="F551" s="328"/>
      <c r="G551" s="328"/>
      <c r="H551" s="328"/>
      <c r="I551" s="328"/>
      <c r="J551" s="328"/>
      <c r="K551" s="328"/>
      <c r="L551" s="328"/>
      <c r="M551" s="328"/>
      <c r="R551" s="328"/>
      <c r="S551" s="328"/>
      <c r="T551" s="328"/>
      <c r="U551" s="328"/>
      <c r="V551" s="328"/>
      <c r="W551" s="328"/>
      <c r="X551" s="328"/>
      <c r="Y551" s="328"/>
      <c r="Z551" s="328"/>
      <c r="AA551" s="328"/>
      <c r="AB551" s="328"/>
    </row>
    <row r="552" ht="15.75" customHeight="1">
      <c r="B552" s="328"/>
      <c r="C552" s="328"/>
      <c r="D552" s="328"/>
      <c r="E552" s="328"/>
      <c r="F552" s="328"/>
      <c r="G552" s="328"/>
      <c r="H552" s="328"/>
      <c r="I552" s="328"/>
      <c r="J552" s="328"/>
      <c r="K552" s="328"/>
      <c r="L552" s="328"/>
      <c r="M552" s="328"/>
      <c r="R552" s="328"/>
      <c r="S552" s="328"/>
      <c r="T552" s="328"/>
      <c r="U552" s="328"/>
      <c r="V552" s="328"/>
      <c r="W552" s="328"/>
      <c r="X552" s="328"/>
      <c r="Y552" s="328"/>
      <c r="Z552" s="328"/>
      <c r="AA552" s="328"/>
      <c r="AB552" s="328"/>
    </row>
    <row r="553" ht="15.75" customHeight="1">
      <c r="B553" s="328"/>
      <c r="C553" s="328"/>
      <c r="D553" s="328"/>
      <c r="E553" s="328"/>
      <c r="F553" s="328"/>
      <c r="G553" s="328"/>
      <c r="H553" s="328"/>
      <c r="I553" s="328"/>
      <c r="J553" s="328"/>
      <c r="K553" s="328"/>
      <c r="L553" s="328"/>
      <c r="M553" s="328"/>
      <c r="R553" s="328"/>
      <c r="S553" s="328"/>
      <c r="T553" s="328"/>
      <c r="U553" s="328"/>
      <c r="V553" s="328"/>
      <c r="W553" s="328"/>
      <c r="X553" s="328"/>
      <c r="Y553" s="328"/>
      <c r="Z553" s="328"/>
      <c r="AA553" s="328"/>
      <c r="AB553" s="328"/>
    </row>
    <row r="554" ht="15.75" customHeight="1">
      <c r="B554" s="328"/>
      <c r="C554" s="328"/>
      <c r="D554" s="328"/>
      <c r="E554" s="328"/>
      <c r="F554" s="328"/>
      <c r="G554" s="328"/>
      <c r="H554" s="328"/>
      <c r="I554" s="328"/>
      <c r="J554" s="328"/>
      <c r="K554" s="328"/>
      <c r="L554" s="328"/>
      <c r="M554" s="328"/>
      <c r="R554" s="328"/>
      <c r="S554" s="328"/>
      <c r="T554" s="328"/>
      <c r="U554" s="328"/>
      <c r="V554" s="328"/>
      <c r="W554" s="328"/>
      <c r="X554" s="328"/>
      <c r="Y554" s="328"/>
      <c r="Z554" s="328"/>
      <c r="AA554" s="328"/>
      <c r="AB554" s="328"/>
    </row>
    <row r="555" ht="15.75" customHeight="1">
      <c r="B555" s="328"/>
      <c r="C555" s="328"/>
      <c r="D555" s="328"/>
      <c r="E555" s="328"/>
      <c r="F555" s="328"/>
      <c r="G555" s="328"/>
      <c r="H555" s="328"/>
      <c r="I555" s="328"/>
      <c r="J555" s="328"/>
      <c r="K555" s="328"/>
      <c r="L555" s="328"/>
      <c r="M555" s="328"/>
      <c r="R555" s="328"/>
      <c r="S555" s="328"/>
      <c r="T555" s="328"/>
      <c r="U555" s="328"/>
      <c r="V555" s="328"/>
      <c r="W555" s="328"/>
      <c r="X555" s="328"/>
      <c r="Y555" s="328"/>
      <c r="Z555" s="328"/>
      <c r="AA555" s="328"/>
      <c r="AB555" s="328"/>
    </row>
    <row r="556" ht="15.75" customHeight="1">
      <c r="B556" s="328"/>
      <c r="C556" s="328"/>
      <c r="D556" s="328"/>
      <c r="E556" s="328"/>
      <c r="F556" s="328"/>
      <c r="G556" s="328"/>
      <c r="H556" s="328"/>
      <c r="I556" s="328"/>
      <c r="J556" s="328"/>
      <c r="K556" s="328"/>
      <c r="L556" s="328"/>
      <c r="M556" s="328"/>
      <c r="R556" s="328"/>
      <c r="S556" s="328"/>
      <c r="T556" s="328"/>
      <c r="U556" s="328"/>
      <c r="V556" s="328"/>
      <c r="W556" s="328"/>
      <c r="X556" s="328"/>
      <c r="Y556" s="328"/>
      <c r="Z556" s="328"/>
      <c r="AA556" s="328"/>
      <c r="AB556" s="328"/>
    </row>
    <row r="557" ht="15.75" customHeight="1">
      <c r="B557" s="328"/>
      <c r="C557" s="328"/>
      <c r="D557" s="328"/>
      <c r="E557" s="328"/>
      <c r="F557" s="328"/>
      <c r="G557" s="328"/>
      <c r="H557" s="328"/>
      <c r="I557" s="328"/>
      <c r="J557" s="328"/>
      <c r="K557" s="328"/>
      <c r="L557" s="328"/>
      <c r="M557" s="328"/>
      <c r="R557" s="328"/>
      <c r="S557" s="328"/>
      <c r="T557" s="328"/>
      <c r="U557" s="328"/>
      <c r="V557" s="328"/>
      <c r="W557" s="328"/>
      <c r="X557" s="328"/>
      <c r="Y557" s="328"/>
      <c r="Z557" s="328"/>
      <c r="AA557" s="328"/>
      <c r="AB557" s="328"/>
    </row>
    <row r="558" ht="15.75" customHeight="1">
      <c r="B558" s="328"/>
      <c r="C558" s="328"/>
      <c r="D558" s="328"/>
      <c r="E558" s="328"/>
      <c r="F558" s="328"/>
      <c r="G558" s="328"/>
      <c r="H558" s="328"/>
      <c r="I558" s="328"/>
      <c r="J558" s="328"/>
      <c r="K558" s="328"/>
      <c r="L558" s="328"/>
      <c r="M558" s="328"/>
      <c r="R558" s="328"/>
      <c r="S558" s="328"/>
      <c r="T558" s="328"/>
      <c r="U558" s="328"/>
      <c r="V558" s="328"/>
      <c r="W558" s="328"/>
      <c r="X558" s="328"/>
      <c r="Y558" s="328"/>
      <c r="Z558" s="328"/>
      <c r="AA558" s="328"/>
      <c r="AB558" s="328"/>
    </row>
    <row r="559" ht="15.75" customHeight="1">
      <c r="B559" s="328"/>
      <c r="C559" s="328"/>
      <c r="D559" s="328"/>
      <c r="E559" s="328"/>
      <c r="F559" s="328"/>
      <c r="G559" s="328"/>
      <c r="H559" s="328"/>
      <c r="I559" s="328"/>
      <c r="J559" s="328"/>
      <c r="K559" s="328"/>
      <c r="L559" s="328"/>
      <c r="M559" s="328"/>
      <c r="R559" s="328"/>
      <c r="S559" s="328"/>
      <c r="T559" s="328"/>
      <c r="U559" s="328"/>
      <c r="V559" s="328"/>
      <c r="W559" s="328"/>
      <c r="X559" s="328"/>
      <c r="Y559" s="328"/>
      <c r="Z559" s="328"/>
      <c r="AA559" s="328"/>
      <c r="AB559" s="328"/>
    </row>
    <row r="560" ht="15.75" customHeight="1">
      <c r="B560" s="328"/>
      <c r="C560" s="328"/>
      <c r="D560" s="328"/>
      <c r="E560" s="328"/>
      <c r="F560" s="328"/>
      <c r="G560" s="328"/>
      <c r="H560" s="328"/>
      <c r="I560" s="328"/>
      <c r="J560" s="328"/>
      <c r="K560" s="328"/>
      <c r="L560" s="328"/>
      <c r="M560" s="328"/>
      <c r="R560" s="328"/>
      <c r="S560" s="328"/>
      <c r="T560" s="328"/>
      <c r="U560" s="328"/>
      <c r="V560" s="328"/>
      <c r="W560" s="328"/>
      <c r="X560" s="328"/>
      <c r="Y560" s="328"/>
      <c r="Z560" s="328"/>
      <c r="AA560" s="328"/>
      <c r="AB560" s="328"/>
    </row>
    <row r="561" ht="15.75" customHeight="1">
      <c r="B561" s="328"/>
      <c r="C561" s="328"/>
      <c r="D561" s="328"/>
      <c r="E561" s="328"/>
      <c r="F561" s="328"/>
      <c r="G561" s="328"/>
      <c r="H561" s="328"/>
      <c r="I561" s="328"/>
      <c r="J561" s="328"/>
      <c r="K561" s="328"/>
      <c r="L561" s="328"/>
      <c r="M561" s="328"/>
      <c r="R561" s="328"/>
      <c r="S561" s="328"/>
      <c r="T561" s="328"/>
      <c r="U561" s="328"/>
      <c r="V561" s="328"/>
      <c r="W561" s="328"/>
      <c r="X561" s="328"/>
      <c r="Y561" s="328"/>
      <c r="Z561" s="328"/>
      <c r="AA561" s="328"/>
      <c r="AB561" s="328"/>
    </row>
    <row r="562" ht="15.75" customHeight="1">
      <c r="B562" s="328"/>
      <c r="C562" s="328"/>
      <c r="D562" s="328"/>
      <c r="E562" s="328"/>
      <c r="F562" s="328"/>
      <c r="G562" s="328"/>
      <c r="H562" s="328"/>
      <c r="I562" s="328"/>
      <c r="J562" s="328"/>
      <c r="K562" s="328"/>
      <c r="L562" s="328"/>
      <c r="M562" s="328"/>
      <c r="R562" s="328"/>
      <c r="S562" s="328"/>
      <c r="T562" s="328"/>
      <c r="U562" s="328"/>
      <c r="V562" s="328"/>
      <c r="W562" s="328"/>
      <c r="X562" s="328"/>
      <c r="Y562" s="328"/>
      <c r="Z562" s="328"/>
      <c r="AA562" s="328"/>
      <c r="AB562" s="328"/>
    </row>
    <row r="563" ht="15.75" customHeight="1">
      <c r="B563" s="328"/>
      <c r="C563" s="328"/>
      <c r="D563" s="328"/>
      <c r="E563" s="328"/>
      <c r="F563" s="328"/>
      <c r="G563" s="328"/>
      <c r="H563" s="328"/>
      <c r="I563" s="328"/>
      <c r="J563" s="328"/>
      <c r="K563" s="328"/>
      <c r="L563" s="328"/>
      <c r="M563" s="328"/>
      <c r="R563" s="328"/>
      <c r="S563" s="328"/>
      <c r="T563" s="328"/>
      <c r="U563" s="328"/>
      <c r="V563" s="328"/>
      <c r="W563" s="328"/>
      <c r="X563" s="328"/>
      <c r="Y563" s="328"/>
      <c r="Z563" s="328"/>
      <c r="AA563" s="328"/>
      <c r="AB563" s="328"/>
    </row>
    <row r="564" ht="15.75" customHeight="1">
      <c r="B564" s="328"/>
      <c r="C564" s="328"/>
      <c r="D564" s="328"/>
      <c r="E564" s="328"/>
      <c r="F564" s="328"/>
      <c r="G564" s="328"/>
      <c r="H564" s="328"/>
      <c r="I564" s="328"/>
      <c r="J564" s="328"/>
      <c r="K564" s="328"/>
      <c r="L564" s="328"/>
      <c r="M564" s="328"/>
      <c r="R564" s="328"/>
      <c r="S564" s="328"/>
      <c r="T564" s="328"/>
      <c r="U564" s="328"/>
      <c r="V564" s="328"/>
      <c r="W564" s="328"/>
      <c r="X564" s="328"/>
      <c r="Y564" s="328"/>
      <c r="Z564" s="328"/>
      <c r="AA564" s="328"/>
      <c r="AB564" s="328"/>
    </row>
    <row r="565" ht="15.75" customHeight="1">
      <c r="B565" s="328"/>
      <c r="C565" s="328"/>
      <c r="D565" s="328"/>
      <c r="E565" s="328"/>
      <c r="F565" s="328"/>
      <c r="G565" s="328"/>
      <c r="H565" s="328"/>
      <c r="I565" s="328"/>
      <c r="J565" s="328"/>
      <c r="K565" s="328"/>
      <c r="L565" s="328"/>
      <c r="M565" s="328"/>
      <c r="R565" s="328"/>
      <c r="S565" s="328"/>
      <c r="T565" s="328"/>
      <c r="U565" s="328"/>
      <c r="V565" s="328"/>
      <c r="W565" s="328"/>
      <c r="X565" s="328"/>
      <c r="Y565" s="328"/>
      <c r="Z565" s="328"/>
      <c r="AA565" s="328"/>
      <c r="AB565" s="328"/>
    </row>
    <row r="566" ht="15.75" customHeight="1">
      <c r="B566" s="328"/>
      <c r="C566" s="328"/>
      <c r="D566" s="328"/>
      <c r="E566" s="328"/>
      <c r="F566" s="328"/>
      <c r="G566" s="328"/>
      <c r="H566" s="328"/>
      <c r="I566" s="328"/>
      <c r="J566" s="328"/>
      <c r="K566" s="328"/>
      <c r="L566" s="328"/>
      <c r="M566" s="328"/>
      <c r="R566" s="328"/>
      <c r="S566" s="328"/>
      <c r="T566" s="328"/>
      <c r="U566" s="328"/>
      <c r="V566" s="328"/>
      <c r="W566" s="328"/>
      <c r="X566" s="328"/>
      <c r="Y566" s="328"/>
      <c r="Z566" s="328"/>
      <c r="AA566" s="328"/>
      <c r="AB566" s="328"/>
    </row>
    <row r="567" ht="15.75" customHeight="1">
      <c r="B567" s="328"/>
      <c r="C567" s="328"/>
      <c r="D567" s="328"/>
      <c r="E567" s="328"/>
      <c r="F567" s="328"/>
      <c r="G567" s="328"/>
      <c r="H567" s="328"/>
      <c r="I567" s="328"/>
      <c r="J567" s="328"/>
      <c r="K567" s="328"/>
      <c r="L567" s="328"/>
      <c r="M567" s="328"/>
      <c r="R567" s="328"/>
      <c r="S567" s="328"/>
      <c r="T567" s="328"/>
      <c r="U567" s="328"/>
      <c r="V567" s="328"/>
      <c r="W567" s="328"/>
      <c r="X567" s="328"/>
      <c r="Y567" s="328"/>
      <c r="Z567" s="328"/>
      <c r="AA567" s="328"/>
      <c r="AB567" s="328"/>
    </row>
    <row r="568" ht="15.75" customHeight="1">
      <c r="B568" s="328"/>
      <c r="C568" s="328"/>
      <c r="D568" s="328"/>
      <c r="E568" s="328"/>
      <c r="F568" s="328"/>
      <c r="G568" s="328"/>
      <c r="H568" s="328"/>
      <c r="I568" s="328"/>
      <c r="J568" s="328"/>
      <c r="K568" s="328"/>
      <c r="L568" s="328"/>
      <c r="M568" s="328"/>
      <c r="R568" s="328"/>
      <c r="S568" s="328"/>
      <c r="T568" s="328"/>
      <c r="U568" s="328"/>
      <c r="V568" s="328"/>
      <c r="W568" s="328"/>
      <c r="X568" s="328"/>
      <c r="Y568" s="328"/>
      <c r="Z568" s="328"/>
      <c r="AA568" s="328"/>
      <c r="AB568" s="328"/>
    </row>
    <row r="569" ht="15.75" customHeight="1">
      <c r="B569" s="328"/>
      <c r="C569" s="328"/>
      <c r="D569" s="328"/>
      <c r="E569" s="328"/>
      <c r="F569" s="328"/>
      <c r="G569" s="328"/>
      <c r="H569" s="328"/>
      <c r="I569" s="328"/>
      <c r="J569" s="328"/>
      <c r="K569" s="328"/>
      <c r="L569" s="328"/>
      <c r="M569" s="328"/>
      <c r="R569" s="328"/>
      <c r="S569" s="328"/>
      <c r="T569" s="328"/>
      <c r="U569" s="328"/>
      <c r="V569" s="328"/>
      <c r="W569" s="328"/>
      <c r="X569" s="328"/>
      <c r="Y569" s="328"/>
      <c r="Z569" s="328"/>
      <c r="AA569" s="328"/>
      <c r="AB569" s="328"/>
    </row>
    <row r="570" ht="15.75" customHeight="1">
      <c r="B570" s="328"/>
      <c r="C570" s="328"/>
      <c r="D570" s="328"/>
      <c r="E570" s="328"/>
      <c r="F570" s="328"/>
      <c r="G570" s="328"/>
      <c r="H570" s="328"/>
      <c r="I570" s="328"/>
      <c r="J570" s="328"/>
      <c r="K570" s="328"/>
      <c r="L570" s="328"/>
      <c r="M570" s="328"/>
      <c r="R570" s="328"/>
      <c r="S570" s="328"/>
      <c r="T570" s="328"/>
      <c r="U570" s="328"/>
      <c r="V570" s="328"/>
      <c r="W570" s="328"/>
      <c r="X570" s="328"/>
      <c r="Y570" s="328"/>
      <c r="Z570" s="328"/>
      <c r="AA570" s="328"/>
      <c r="AB570" s="328"/>
    </row>
    <row r="571" ht="15.75" customHeight="1">
      <c r="B571" s="328"/>
      <c r="C571" s="328"/>
      <c r="D571" s="328"/>
      <c r="E571" s="328"/>
      <c r="F571" s="328"/>
      <c r="G571" s="328"/>
      <c r="H571" s="328"/>
      <c r="I571" s="328"/>
      <c r="J571" s="328"/>
      <c r="K571" s="328"/>
      <c r="L571" s="328"/>
      <c r="M571" s="328"/>
      <c r="R571" s="328"/>
      <c r="S571" s="328"/>
      <c r="T571" s="328"/>
      <c r="U571" s="328"/>
      <c r="V571" s="328"/>
      <c r="W571" s="328"/>
      <c r="X571" s="328"/>
      <c r="Y571" s="328"/>
      <c r="Z571" s="328"/>
      <c r="AA571" s="328"/>
      <c r="AB571" s="328"/>
    </row>
    <row r="572" ht="15.75" customHeight="1">
      <c r="B572" s="328"/>
      <c r="C572" s="328"/>
      <c r="D572" s="328"/>
      <c r="E572" s="328"/>
      <c r="F572" s="328"/>
      <c r="G572" s="328"/>
      <c r="H572" s="328"/>
      <c r="I572" s="328"/>
      <c r="J572" s="328"/>
      <c r="K572" s="328"/>
      <c r="L572" s="328"/>
      <c r="M572" s="328"/>
      <c r="R572" s="328"/>
      <c r="S572" s="328"/>
      <c r="T572" s="328"/>
      <c r="U572" s="328"/>
      <c r="V572" s="328"/>
      <c r="W572" s="328"/>
      <c r="X572" s="328"/>
      <c r="Y572" s="328"/>
      <c r="Z572" s="328"/>
      <c r="AA572" s="328"/>
      <c r="AB572" s="328"/>
    </row>
    <row r="573" ht="15.75" customHeight="1">
      <c r="B573" s="328"/>
      <c r="C573" s="328"/>
      <c r="D573" s="328"/>
      <c r="E573" s="328"/>
      <c r="F573" s="328"/>
      <c r="G573" s="328"/>
      <c r="H573" s="328"/>
      <c r="I573" s="328"/>
      <c r="J573" s="328"/>
      <c r="K573" s="328"/>
      <c r="L573" s="328"/>
      <c r="M573" s="328"/>
      <c r="R573" s="328"/>
      <c r="S573" s="328"/>
      <c r="T573" s="328"/>
      <c r="U573" s="328"/>
      <c r="V573" s="328"/>
      <c r="W573" s="328"/>
      <c r="X573" s="328"/>
      <c r="Y573" s="328"/>
      <c r="Z573" s="328"/>
      <c r="AA573" s="328"/>
      <c r="AB573" s="328"/>
    </row>
    <row r="574" ht="15.75" customHeight="1">
      <c r="B574" s="328"/>
      <c r="C574" s="328"/>
      <c r="D574" s="328"/>
      <c r="E574" s="328"/>
      <c r="F574" s="328"/>
      <c r="G574" s="328"/>
      <c r="H574" s="328"/>
      <c r="I574" s="328"/>
      <c r="J574" s="328"/>
      <c r="K574" s="328"/>
      <c r="L574" s="328"/>
      <c r="M574" s="328"/>
      <c r="R574" s="328"/>
      <c r="S574" s="328"/>
      <c r="T574" s="328"/>
      <c r="U574" s="328"/>
      <c r="V574" s="328"/>
      <c r="W574" s="328"/>
      <c r="X574" s="328"/>
      <c r="Y574" s="328"/>
      <c r="Z574" s="328"/>
      <c r="AA574" s="328"/>
      <c r="AB574" s="328"/>
    </row>
    <row r="575" ht="15.75" customHeight="1">
      <c r="B575" s="328"/>
      <c r="C575" s="328"/>
      <c r="D575" s="328"/>
      <c r="E575" s="328"/>
      <c r="F575" s="328"/>
      <c r="G575" s="328"/>
      <c r="H575" s="328"/>
      <c r="I575" s="328"/>
      <c r="J575" s="328"/>
      <c r="K575" s="328"/>
      <c r="L575" s="328"/>
      <c r="M575" s="328"/>
      <c r="R575" s="328"/>
      <c r="S575" s="328"/>
      <c r="T575" s="328"/>
      <c r="U575" s="328"/>
      <c r="V575" s="328"/>
      <c r="W575" s="328"/>
      <c r="X575" s="328"/>
      <c r="Y575" s="328"/>
      <c r="Z575" s="328"/>
      <c r="AA575" s="328"/>
      <c r="AB575" s="328"/>
    </row>
    <row r="576" ht="15.75" customHeight="1">
      <c r="B576" s="328"/>
      <c r="C576" s="328"/>
      <c r="D576" s="328"/>
      <c r="E576" s="328"/>
      <c r="F576" s="328"/>
      <c r="G576" s="328"/>
      <c r="H576" s="328"/>
      <c r="I576" s="328"/>
      <c r="J576" s="328"/>
      <c r="K576" s="328"/>
      <c r="L576" s="328"/>
      <c r="M576" s="328"/>
      <c r="R576" s="328"/>
      <c r="S576" s="328"/>
      <c r="T576" s="328"/>
      <c r="U576" s="328"/>
      <c r="V576" s="328"/>
      <c r="W576" s="328"/>
      <c r="X576" s="328"/>
      <c r="Y576" s="328"/>
      <c r="Z576" s="328"/>
      <c r="AA576" s="328"/>
      <c r="AB576" s="328"/>
    </row>
    <row r="577" ht="15.75" customHeight="1">
      <c r="B577" s="328"/>
      <c r="C577" s="328"/>
      <c r="D577" s="328"/>
      <c r="E577" s="328"/>
      <c r="F577" s="328"/>
      <c r="G577" s="328"/>
      <c r="H577" s="328"/>
      <c r="I577" s="328"/>
      <c r="J577" s="328"/>
      <c r="K577" s="328"/>
      <c r="L577" s="328"/>
      <c r="M577" s="328"/>
      <c r="R577" s="328"/>
      <c r="S577" s="328"/>
      <c r="T577" s="328"/>
      <c r="U577" s="328"/>
      <c r="V577" s="328"/>
      <c r="W577" s="328"/>
      <c r="X577" s="328"/>
      <c r="Y577" s="328"/>
      <c r="Z577" s="328"/>
      <c r="AA577" s="328"/>
      <c r="AB577" s="328"/>
    </row>
    <row r="578" ht="15.75" customHeight="1">
      <c r="B578" s="328"/>
      <c r="C578" s="328"/>
      <c r="D578" s="328"/>
      <c r="E578" s="328"/>
      <c r="F578" s="328"/>
      <c r="G578" s="328"/>
      <c r="H578" s="328"/>
      <c r="I578" s="328"/>
      <c r="J578" s="328"/>
      <c r="K578" s="328"/>
      <c r="L578" s="328"/>
      <c r="M578" s="328"/>
      <c r="R578" s="328"/>
      <c r="S578" s="328"/>
      <c r="T578" s="328"/>
      <c r="U578" s="328"/>
      <c r="V578" s="328"/>
      <c r="W578" s="328"/>
      <c r="X578" s="328"/>
      <c r="Y578" s="328"/>
      <c r="Z578" s="328"/>
      <c r="AA578" s="328"/>
      <c r="AB578" s="328"/>
    </row>
    <row r="579" ht="15.75" customHeight="1">
      <c r="B579" s="328"/>
      <c r="C579" s="328"/>
      <c r="D579" s="328"/>
      <c r="E579" s="328"/>
      <c r="F579" s="328"/>
      <c r="G579" s="328"/>
      <c r="H579" s="328"/>
      <c r="I579" s="328"/>
      <c r="J579" s="328"/>
      <c r="K579" s="328"/>
      <c r="L579" s="328"/>
      <c r="M579" s="328"/>
      <c r="R579" s="328"/>
      <c r="S579" s="328"/>
      <c r="T579" s="328"/>
      <c r="U579" s="328"/>
      <c r="V579" s="328"/>
      <c r="W579" s="328"/>
      <c r="X579" s="328"/>
      <c r="Y579" s="328"/>
      <c r="Z579" s="328"/>
      <c r="AA579" s="328"/>
      <c r="AB579" s="328"/>
    </row>
    <row r="580" ht="15.75" customHeight="1">
      <c r="B580" s="328"/>
      <c r="C580" s="328"/>
      <c r="D580" s="328"/>
      <c r="E580" s="328"/>
      <c r="F580" s="328"/>
      <c r="G580" s="328"/>
      <c r="H580" s="328"/>
      <c r="I580" s="328"/>
      <c r="J580" s="328"/>
      <c r="K580" s="328"/>
      <c r="L580" s="328"/>
      <c r="M580" s="328"/>
      <c r="R580" s="328"/>
      <c r="S580" s="328"/>
      <c r="T580" s="328"/>
      <c r="U580" s="328"/>
      <c r="V580" s="328"/>
      <c r="W580" s="328"/>
      <c r="X580" s="328"/>
      <c r="Y580" s="328"/>
      <c r="Z580" s="328"/>
      <c r="AA580" s="328"/>
      <c r="AB580" s="328"/>
    </row>
    <row r="581" ht="15.75" customHeight="1">
      <c r="B581" s="328"/>
      <c r="C581" s="328"/>
      <c r="D581" s="328"/>
      <c r="E581" s="328"/>
      <c r="F581" s="328"/>
      <c r="G581" s="328"/>
      <c r="H581" s="328"/>
      <c r="I581" s="328"/>
      <c r="J581" s="328"/>
      <c r="K581" s="328"/>
      <c r="L581" s="328"/>
      <c r="M581" s="328"/>
      <c r="R581" s="328"/>
      <c r="S581" s="328"/>
      <c r="T581" s="328"/>
      <c r="U581" s="328"/>
      <c r="V581" s="328"/>
      <c r="W581" s="328"/>
      <c r="X581" s="328"/>
      <c r="Y581" s="328"/>
      <c r="Z581" s="328"/>
      <c r="AA581" s="328"/>
      <c r="AB581" s="328"/>
    </row>
    <row r="582" ht="15.75" customHeight="1">
      <c r="B582" s="328"/>
      <c r="C582" s="328"/>
      <c r="D582" s="328"/>
      <c r="E582" s="328"/>
      <c r="F582" s="328"/>
      <c r="G582" s="328"/>
      <c r="H582" s="328"/>
      <c r="I582" s="328"/>
      <c r="J582" s="328"/>
      <c r="K582" s="328"/>
      <c r="L582" s="328"/>
      <c r="M582" s="328"/>
      <c r="R582" s="328"/>
      <c r="S582" s="328"/>
      <c r="T582" s="328"/>
      <c r="U582" s="328"/>
      <c r="V582" s="328"/>
      <c r="W582" s="328"/>
      <c r="X582" s="328"/>
      <c r="Y582" s="328"/>
      <c r="Z582" s="328"/>
      <c r="AA582" s="328"/>
      <c r="AB582" s="328"/>
    </row>
    <row r="583" ht="15.75" customHeight="1">
      <c r="B583" s="328"/>
      <c r="C583" s="328"/>
      <c r="D583" s="328"/>
      <c r="E583" s="328"/>
      <c r="F583" s="328"/>
      <c r="G583" s="328"/>
      <c r="H583" s="328"/>
      <c r="I583" s="328"/>
      <c r="J583" s="328"/>
      <c r="K583" s="328"/>
      <c r="L583" s="328"/>
      <c r="M583" s="328"/>
      <c r="R583" s="328"/>
      <c r="S583" s="328"/>
      <c r="T583" s="328"/>
      <c r="U583" s="328"/>
      <c r="V583" s="328"/>
      <c r="W583" s="328"/>
      <c r="X583" s="328"/>
      <c r="Y583" s="328"/>
      <c r="Z583" s="328"/>
      <c r="AA583" s="328"/>
      <c r="AB583" s="328"/>
    </row>
    <row r="584" ht="15.75" customHeight="1">
      <c r="B584" s="328"/>
      <c r="C584" s="328"/>
      <c r="D584" s="328"/>
      <c r="E584" s="328"/>
      <c r="F584" s="328"/>
      <c r="G584" s="328"/>
      <c r="H584" s="328"/>
      <c r="I584" s="328"/>
      <c r="J584" s="328"/>
      <c r="K584" s="328"/>
      <c r="L584" s="328"/>
      <c r="M584" s="328"/>
      <c r="R584" s="328"/>
      <c r="S584" s="328"/>
      <c r="T584" s="328"/>
      <c r="U584" s="328"/>
      <c r="V584" s="328"/>
      <c r="W584" s="328"/>
      <c r="X584" s="328"/>
      <c r="Y584" s="328"/>
      <c r="Z584" s="328"/>
      <c r="AA584" s="328"/>
      <c r="AB584" s="328"/>
    </row>
    <row r="585" ht="15.75" customHeight="1">
      <c r="B585" s="328"/>
      <c r="C585" s="328"/>
      <c r="D585" s="328"/>
      <c r="E585" s="328"/>
      <c r="F585" s="328"/>
      <c r="G585" s="328"/>
      <c r="H585" s="328"/>
      <c r="I585" s="328"/>
      <c r="J585" s="328"/>
      <c r="K585" s="328"/>
      <c r="L585" s="328"/>
      <c r="M585" s="328"/>
      <c r="R585" s="328"/>
      <c r="S585" s="328"/>
      <c r="T585" s="328"/>
      <c r="U585" s="328"/>
      <c r="V585" s="328"/>
      <c r="W585" s="328"/>
      <c r="X585" s="328"/>
      <c r="Y585" s="328"/>
      <c r="Z585" s="328"/>
      <c r="AA585" s="328"/>
      <c r="AB585" s="328"/>
    </row>
    <row r="586" ht="15.75" customHeight="1">
      <c r="B586" s="328"/>
      <c r="C586" s="328"/>
      <c r="D586" s="328"/>
      <c r="E586" s="328"/>
      <c r="F586" s="328"/>
      <c r="G586" s="328"/>
      <c r="H586" s="328"/>
      <c r="I586" s="328"/>
      <c r="J586" s="328"/>
      <c r="K586" s="328"/>
      <c r="L586" s="328"/>
      <c r="M586" s="328"/>
      <c r="R586" s="328"/>
      <c r="S586" s="328"/>
      <c r="T586" s="328"/>
      <c r="U586" s="328"/>
      <c r="V586" s="328"/>
      <c r="W586" s="328"/>
      <c r="X586" s="328"/>
      <c r="Y586" s="328"/>
      <c r="Z586" s="328"/>
      <c r="AA586" s="328"/>
      <c r="AB586" s="328"/>
    </row>
    <row r="587" ht="15.75" customHeight="1">
      <c r="B587" s="328"/>
      <c r="C587" s="328"/>
      <c r="D587" s="328"/>
      <c r="E587" s="328"/>
      <c r="F587" s="328"/>
      <c r="G587" s="328"/>
      <c r="H587" s="328"/>
      <c r="I587" s="328"/>
      <c r="J587" s="328"/>
      <c r="K587" s="328"/>
      <c r="L587" s="328"/>
      <c r="M587" s="328"/>
      <c r="R587" s="328"/>
      <c r="S587" s="328"/>
      <c r="T587" s="328"/>
      <c r="U587" s="328"/>
      <c r="V587" s="328"/>
      <c r="W587" s="328"/>
      <c r="X587" s="328"/>
      <c r="Y587" s="328"/>
      <c r="Z587" s="328"/>
      <c r="AA587" s="328"/>
      <c r="AB587" s="328"/>
    </row>
    <row r="588" ht="15.75" customHeight="1">
      <c r="B588" s="328"/>
      <c r="C588" s="328"/>
      <c r="D588" s="328"/>
      <c r="E588" s="328"/>
      <c r="F588" s="328"/>
      <c r="G588" s="328"/>
      <c r="H588" s="328"/>
      <c r="I588" s="328"/>
      <c r="J588" s="328"/>
      <c r="K588" s="328"/>
      <c r="L588" s="328"/>
      <c r="M588" s="328"/>
      <c r="R588" s="328"/>
      <c r="S588" s="328"/>
      <c r="T588" s="328"/>
      <c r="U588" s="328"/>
      <c r="V588" s="328"/>
      <c r="W588" s="328"/>
      <c r="X588" s="328"/>
      <c r="Y588" s="328"/>
      <c r="Z588" s="328"/>
      <c r="AA588" s="328"/>
      <c r="AB588" s="328"/>
    </row>
    <row r="589" ht="15.75" customHeight="1">
      <c r="B589" s="328"/>
      <c r="C589" s="328"/>
      <c r="D589" s="328"/>
      <c r="E589" s="328"/>
      <c r="F589" s="328"/>
      <c r="G589" s="328"/>
      <c r="H589" s="328"/>
      <c r="I589" s="328"/>
      <c r="J589" s="328"/>
      <c r="K589" s="328"/>
      <c r="L589" s="328"/>
      <c r="M589" s="328"/>
      <c r="R589" s="328"/>
      <c r="S589" s="328"/>
      <c r="T589" s="328"/>
      <c r="U589" s="328"/>
      <c r="V589" s="328"/>
      <c r="W589" s="328"/>
      <c r="X589" s="328"/>
      <c r="Y589" s="328"/>
      <c r="Z589" s="328"/>
      <c r="AA589" s="328"/>
      <c r="AB589" s="328"/>
    </row>
    <row r="590" ht="15.75" customHeight="1">
      <c r="B590" s="328"/>
      <c r="C590" s="328"/>
      <c r="D590" s="328"/>
      <c r="E590" s="328"/>
      <c r="F590" s="328"/>
      <c r="G590" s="328"/>
      <c r="H590" s="328"/>
      <c r="I590" s="328"/>
      <c r="J590" s="328"/>
      <c r="K590" s="328"/>
      <c r="L590" s="328"/>
      <c r="M590" s="328"/>
      <c r="R590" s="328"/>
      <c r="S590" s="328"/>
      <c r="T590" s="328"/>
      <c r="U590" s="328"/>
      <c r="V590" s="328"/>
      <c r="W590" s="328"/>
      <c r="X590" s="328"/>
      <c r="Y590" s="328"/>
      <c r="Z590" s="328"/>
      <c r="AA590" s="328"/>
      <c r="AB590" s="328"/>
    </row>
    <row r="591" ht="15.75" customHeight="1">
      <c r="B591" s="328"/>
      <c r="C591" s="328"/>
      <c r="D591" s="328"/>
      <c r="E591" s="328"/>
      <c r="F591" s="328"/>
      <c r="G591" s="328"/>
      <c r="H591" s="328"/>
      <c r="I591" s="328"/>
      <c r="J591" s="328"/>
      <c r="K591" s="328"/>
      <c r="L591" s="328"/>
      <c r="M591" s="328"/>
      <c r="R591" s="328"/>
      <c r="S591" s="328"/>
      <c r="T591" s="328"/>
      <c r="U591" s="328"/>
      <c r="V591" s="328"/>
      <c r="W591" s="328"/>
      <c r="X591" s="328"/>
      <c r="Y591" s="328"/>
      <c r="Z591" s="328"/>
      <c r="AA591" s="328"/>
      <c r="AB591" s="328"/>
    </row>
    <row r="592" ht="15.75" customHeight="1">
      <c r="B592" s="328"/>
      <c r="C592" s="328"/>
      <c r="D592" s="328"/>
      <c r="E592" s="328"/>
      <c r="F592" s="328"/>
      <c r="G592" s="328"/>
      <c r="H592" s="328"/>
      <c r="I592" s="328"/>
      <c r="J592" s="328"/>
      <c r="K592" s="328"/>
      <c r="L592" s="328"/>
      <c r="M592" s="328"/>
      <c r="R592" s="328"/>
      <c r="S592" s="328"/>
      <c r="T592" s="328"/>
      <c r="U592" s="328"/>
      <c r="V592" s="328"/>
      <c r="W592" s="328"/>
      <c r="X592" s="328"/>
      <c r="Y592" s="328"/>
      <c r="Z592" s="328"/>
      <c r="AA592" s="328"/>
      <c r="AB592" s="328"/>
    </row>
    <row r="593" ht="15.75" customHeight="1">
      <c r="B593" s="328"/>
      <c r="C593" s="328"/>
      <c r="D593" s="328"/>
      <c r="E593" s="328"/>
      <c r="F593" s="328"/>
      <c r="G593" s="328"/>
      <c r="H593" s="328"/>
      <c r="I593" s="328"/>
      <c r="J593" s="328"/>
      <c r="K593" s="328"/>
      <c r="L593" s="328"/>
      <c r="M593" s="328"/>
      <c r="R593" s="328"/>
      <c r="S593" s="328"/>
      <c r="T593" s="328"/>
      <c r="U593" s="328"/>
      <c r="V593" s="328"/>
      <c r="W593" s="328"/>
      <c r="X593" s="328"/>
      <c r="Y593" s="328"/>
      <c r="Z593" s="328"/>
      <c r="AA593" s="328"/>
      <c r="AB593" s="328"/>
    </row>
    <row r="594" ht="15.75" customHeight="1">
      <c r="B594" s="328"/>
      <c r="C594" s="328"/>
      <c r="D594" s="328"/>
      <c r="E594" s="328"/>
      <c r="F594" s="328"/>
      <c r="G594" s="328"/>
      <c r="H594" s="328"/>
      <c r="I594" s="328"/>
      <c r="J594" s="328"/>
      <c r="K594" s="328"/>
      <c r="L594" s="328"/>
      <c r="M594" s="328"/>
      <c r="R594" s="328"/>
      <c r="S594" s="328"/>
      <c r="T594" s="328"/>
      <c r="U594" s="328"/>
      <c r="V594" s="328"/>
      <c r="W594" s="328"/>
      <c r="X594" s="328"/>
      <c r="Y594" s="328"/>
      <c r="Z594" s="328"/>
      <c r="AA594" s="328"/>
      <c r="AB594" s="328"/>
    </row>
    <row r="595" ht="15.75" customHeight="1">
      <c r="B595" s="328"/>
      <c r="C595" s="328"/>
      <c r="D595" s="328"/>
      <c r="E595" s="328"/>
      <c r="F595" s="328"/>
      <c r="G595" s="328"/>
      <c r="H595" s="328"/>
      <c r="I595" s="328"/>
      <c r="J595" s="328"/>
      <c r="K595" s="328"/>
      <c r="L595" s="328"/>
      <c r="M595" s="328"/>
      <c r="R595" s="328"/>
      <c r="S595" s="328"/>
      <c r="T595" s="328"/>
      <c r="U595" s="328"/>
      <c r="V595" s="328"/>
      <c r="W595" s="328"/>
      <c r="X595" s="328"/>
      <c r="Y595" s="328"/>
      <c r="Z595" s="328"/>
      <c r="AA595" s="328"/>
      <c r="AB595" s="328"/>
    </row>
    <row r="596" ht="15.75" customHeight="1">
      <c r="B596" s="328"/>
      <c r="C596" s="328"/>
      <c r="D596" s="328"/>
      <c r="E596" s="328"/>
      <c r="F596" s="328"/>
      <c r="G596" s="328"/>
      <c r="H596" s="328"/>
      <c r="I596" s="328"/>
      <c r="J596" s="328"/>
      <c r="K596" s="328"/>
      <c r="L596" s="328"/>
      <c r="M596" s="328"/>
      <c r="R596" s="328"/>
      <c r="S596" s="328"/>
      <c r="T596" s="328"/>
      <c r="U596" s="328"/>
      <c r="V596" s="328"/>
      <c r="W596" s="328"/>
      <c r="X596" s="328"/>
      <c r="Y596" s="328"/>
      <c r="Z596" s="328"/>
      <c r="AA596" s="328"/>
      <c r="AB596" s="328"/>
    </row>
    <row r="597" ht="15.75" customHeight="1">
      <c r="B597" s="328"/>
      <c r="C597" s="328"/>
      <c r="D597" s="328"/>
      <c r="E597" s="328"/>
      <c r="F597" s="328"/>
      <c r="G597" s="328"/>
      <c r="H597" s="328"/>
      <c r="I597" s="328"/>
      <c r="J597" s="328"/>
      <c r="K597" s="328"/>
      <c r="L597" s="328"/>
      <c r="M597" s="328"/>
      <c r="R597" s="328"/>
      <c r="S597" s="328"/>
      <c r="T597" s="328"/>
      <c r="U597" s="328"/>
      <c r="V597" s="328"/>
      <c r="W597" s="328"/>
      <c r="X597" s="328"/>
      <c r="Y597" s="328"/>
      <c r="Z597" s="328"/>
      <c r="AA597" s="328"/>
      <c r="AB597" s="328"/>
    </row>
    <row r="598" ht="15.75" customHeight="1">
      <c r="B598" s="328"/>
      <c r="C598" s="328"/>
      <c r="D598" s="328"/>
      <c r="E598" s="328"/>
      <c r="F598" s="328"/>
      <c r="G598" s="328"/>
      <c r="H598" s="328"/>
      <c r="I598" s="328"/>
      <c r="J598" s="328"/>
      <c r="K598" s="328"/>
      <c r="L598" s="328"/>
      <c r="M598" s="328"/>
      <c r="R598" s="328"/>
      <c r="S598" s="328"/>
      <c r="T598" s="328"/>
      <c r="U598" s="328"/>
      <c r="V598" s="328"/>
      <c r="W598" s="328"/>
      <c r="X598" s="328"/>
      <c r="Y598" s="328"/>
      <c r="Z598" s="328"/>
      <c r="AA598" s="328"/>
      <c r="AB598" s="328"/>
    </row>
    <row r="599" ht="15.75" customHeight="1">
      <c r="B599" s="328"/>
      <c r="C599" s="328"/>
      <c r="D599" s="328"/>
      <c r="E599" s="328"/>
      <c r="F599" s="328"/>
      <c r="G599" s="328"/>
      <c r="H599" s="328"/>
      <c r="I599" s="328"/>
      <c r="J599" s="328"/>
      <c r="K599" s="328"/>
      <c r="L599" s="328"/>
      <c r="M599" s="328"/>
      <c r="R599" s="328"/>
      <c r="S599" s="328"/>
      <c r="T599" s="328"/>
      <c r="U599" s="328"/>
      <c r="V599" s="328"/>
      <c r="W599" s="328"/>
      <c r="X599" s="328"/>
      <c r="Y599" s="328"/>
      <c r="Z599" s="328"/>
      <c r="AA599" s="328"/>
      <c r="AB599" s="328"/>
    </row>
    <row r="600" ht="15.75" customHeight="1">
      <c r="B600" s="328"/>
      <c r="C600" s="328"/>
      <c r="D600" s="328"/>
      <c r="E600" s="328"/>
      <c r="F600" s="328"/>
      <c r="G600" s="328"/>
      <c r="H600" s="328"/>
      <c r="I600" s="328"/>
      <c r="J600" s="328"/>
      <c r="K600" s="328"/>
      <c r="L600" s="328"/>
      <c r="M600" s="328"/>
      <c r="R600" s="328"/>
      <c r="S600" s="328"/>
      <c r="T600" s="328"/>
      <c r="U600" s="328"/>
      <c r="V600" s="328"/>
      <c r="W600" s="328"/>
      <c r="X600" s="328"/>
      <c r="Y600" s="328"/>
      <c r="Z600" s="328"/>
      <c r="AA600" s="328"/>
      <c r="AB600" s="328"/>
    </row>
    <row r="601" ht="15.75" customHeight="1">
      <c r="B601" s="328"/>
      <c r="C601" s="328"/>
      <c r="D601" s="328"/>
      <c r="E601" s="328"/>
      <c r="F601" s="328"/>
      <c r="G601" s="328"/>
      <c r="H601" s="328"/>
      <c r="I601" s="328"/>
      <c r="J601" s="328"/>
      <c r="K601" s="328"/>
      <c r="L601" s="328"/>
      <c r="M601" s="328"/>
      <c r="R601" s="328"/>
      <c r="S601" s="328"/>
      <c r="T601" s="328"/>
      <c r="U601" s="328"/>
      <c r="V601" s="328"/>
      <c r="W601" s="328"/>
      <c r="X601" s="328"/>
      <c r="Y601" s="328"/>
      <c r="Z601" s="328"/>
      <c r="AA601" s="328"/>
      <c r="AB601" s="328"/>
    </row>
    <row r="602" ht="15.75" customHeight="1">
      <c r="B602" s="328"/>
      <c r="C602" s="328"/>
      <c r="D602" s="328"/>
      <c r="E602" s="328"/>
      <c r="F602" s="328"/>
      <c r="G602" s="328"/>
      <c r="H602" s="328"/>
      <c r="I602" s="328"/>
      <c r="J602" s="328"/>
      <c r="K602" s="328"/>
      <c r="L602" s="328"/>
      <c r="M602" s="328"/>
      <c r="R602" s="328"/>
      <c r="S602" s="328"/>
      <c r="T602" s="328"/>
      <c r="U602" s="328"/>
      <c r="V602" s="328"/>
      <c r="W602" s="328"/>
      <c r="X602" s="328"/>
      <c r="Y602" s="328"/>
      <c r="Z602" s="328"/>
      <c r="AA602" s="328"/>
      <c r="AB602" s="328"/>
    </row>
    <row r="603" ht="15.75" customHeight="1">
      <c r="B603" s="328"/>
      <c r="C603" s="328"/>
      <c r="D603" s="328"/>
      <c r="E603" s="328"/>
      <c r="F603" s="328"/>
      <c r="G603" s="328"/>
      <c r="H603" s="328"/>
      <c r="I603" s="328"/>
      <c r="J603" s="328"/>
      <c r="K603" s="328"/>
      <c r="L603" s="328"/>
      <c r="M603" s="328"/>
      <c r="R603" s="328"/>
      <c r="S603" s="328"/>
      <c r="T603" s="328"/>
      <c r="U603" s="328"/>
      <c r="V603" s="328"/>
      <c r="W603" s="328"/>
      <c r="X603" s="328"/>
      <c r="Y603" s="328"/>
      <c r="Z603" s="328"/>
      <c r="AA603" s="328"/>
      <c r="AB603" s="328"/>
    </row>
    <row r="604" ht="15.75" customHeight="1">
      <c r="B604" s="328"/>
      <c r="C604" s="328"/>
      <c r="D604" s="328"/>
      <c r="E604" s="328"/>
      <c r="F604" s="328"/>
      <c r="G604" s="328"/>
      <c r="H604" s="328"/>
      <c r="I604" s="328"/>
      <c r="J604" s="328"/>
      <c r="K604" s="328"/>
      <c r="L604" s="328"/>
      <c r="M604" s="328"/>
      <c r="R604" s="328"/>
      <c r="S604" s="328"/>
      <c r="T604" s="328"/>
      <c r="U604" s="328"/>
      <c r="V604" s="328"/>
      <c r="W604" s="328"/>
      <c r="X604" s="328"/>
      <c r="Y604" s="328"/>
      <c r="Z604" s="328"/>
      <c r="AA604" s="328"/>
      <c r="AB604" s="328"/>
    </row>
    <row r="605" ht="15.75" customHeight="1">
      <c r="B605" s="328"/>
      <c r="C605" s="328"/>
      <c r="D605" s="328"/>
      <c r="E605" s="328"/>
      <c r="F605" s="328"/>
      <c r="G605" s="328"/>
      <c r="H605" s="328"/>
      <c r="I605" s="328"/>
      <c r="J605" s="328"/>
      <c r="K605" s="328"/>
      <c r="L605" s="328"/>
      <c r="M605" s="328"/>
      <c r="R605" s="328"/>
      <c r="S605" s="328"/>
      <c r="T605" s="328"/>
      <c r="U605" s="328"/>
      <c r="V605" s="328"/>
      <c r="W605" s="328"/>
      <c r="X605" s="328"/>
      <c r="Y605" s="328"/>
      <c r="Z605" s="328"/>
      <c r="AA605" s="328"/>
      <c r="AB605" s="328"/>
    </row>
    <row r="606" ht="15.75" customHeight="1">
      <c r="B606" s="328"/>
      <c r="C606" s="328"/>
      <c r="D606" s="328"/>
      <c r="E606" s="328"/>
      <c r="F606" s="328"/>
      <c r="G606" s="328"/>
      <c r="H606" s="328"/>
      <c r="I606" s="328"/>
      <c r="J606" s="328"/>
      <c r="K606" s="328"/>
      <c r="L606" s="328"/>
      <c r="M606" s="328"/>
      <c r="R606" s="328"/>
      <c r="S606" s="328"/>
      <c r="T606" s="328"/>
      <c r="U606" s="328"/>
      <c r="V606" s="328"/>
      <c r="W606" s="328"/>
      <c r="X606" s="328"/>
      <c r="Y606" s="328"/>
      <c r="Z606" s="328"/>
      <c r="AA606" s="328"/>
      <c r="AB606" s="328"/>
    </row>
    <row r="607" ht="15.75" customHeight="1">
      <c r="B607" s="328"/>
      <c r="C607" s="328"/>
      <c r="D607" s="328"/>
      <c r="E607" s="328"/>
      <c r="F607" s="328"/>
      <c r="G607" s="328"/>
      <c r="H607" s="328"/>
      <c r="I607" s="328"/>
      <c r="J607" s="328"/>
      <c r="K607" s="328"/>
      <c r="L607" s="328"/>
      <c r="M607" s="328"/>
      <c r="R607" s="328"/>
      <c r="S607" s="328"/>
      <c r="T607" s="328"/>
      <c r="U607" s="328"/>
      <c r="V607" s="328"/>
      <c r="W607" s="328"/>
      <c r="X607" s="328"/>
      <c r="Y607" s="328"/>
      <c r="Z607" s="328"/>
      <c r="AA607" s="328"/>
      <c r="AB607" s="328"/>
    </row>
    <row r="608" ht="15.75" customHeight="1">
      <c r="B608" s="328"/>
      <c r="C608" s="328"/>
      <c r="D608" s="328"/>
      <c r="E608" s="328"/>
      <c r="F608" s="328"/>
      <c r="G608" s="328"/>
      <c r="H608" s="328"/>
      <c r="I608" s="328"/>
      <c r="J608" s="328"/>
      <c r="K608" s="328"/>
      <c r="L608" s="328"/>
      <c r="M608" s="328"/>
      <c r="R608" s="328"/>
      <c r="S608" s="328"/>
      <c r="T608" s="328"/>
      <c r="U608" s="328"/>
      <c r="V608" s="328"/>
      <c r="W608" s="328"/>
      <c r="X608" s="328"/>
      <c r="Y608" s="328"/>
      <c r="Z608" s="328"/>
      <c r="AA608" s="328"/>
      <c r="AB608" s="328"/>
    </row>
    <row r="609" ht="15.75" customHeight="1">
      <c r="B609" s="328"/>
      <c r="C609" s="328"/>
      <c r="D609" s="328"/>
      <c r="E609" s="328"/>
      <c r="F609" s="328"/>
      <c r="G609" s="328"/>
      <c r="H609" s="328"/>
      <c r="I609" s="328"/>
      <c r="J609" s="328"/>
      <c r="K609" s="328"/>
      <c r="L609" s="328"/>
      <c r="M609" s="328"/>
      <c r="R609" s="328"/>
      <c r="S609" s="328"/>
      <c r="T609" s="328"/>
      <c r="U609" s="328"/>
      <c r="V609" s="328"/>
      <c r="W609" s="328"/>
      <c r="X609" s="328"/>
      <c r="Y609" s="328"/>
      <c r="Z609" s="328"/>
      <c r="AA609" s="328"/>
      <c r="AB609" s="328"/>
    </row>
    <row r="610" ht="15.75" customHeight="1">
      <c r="B610" s="328"/>
      <c r="C610" s="328"/>
      <c r="D610" s="328"/>
      <c r="E610" s="328"/>
      <c r="F610" s="328"/>
      <c r="G610" s="328"/>
      <c r="H610" s="328"/>
      <c r="I610" s="328"/>
      <c r="J610" s="328"/>
      <c r="K610" s="328"/>
      <c r="L610" s="328"/>
      <c r="M610" s="328"/>
      <c r="R610" s="328"/>
      <c r="S610" s="328"/>
      <c r="T610" s="328"/>
      <c r="U610" s="328"/>
      <c r="V610" s="328"/>
      <c r="W610" s="328"/>
      <c r="X610" s="328"/>
      <c r="Y610" s="328"/>
      <c r="Z610" s="328"/>
      <c r="AA610" s="328"/>
      <c r="AB610" s="328"/>
    </row>
    <row r="611" ht="15.75" customHeight="1">
      <c r="B611" s="328"/>
      <c r="C611" s="328"/>
      <c r="D611" s="328"/>
      <c r="E611" s="328"/>
      <c r="F611" s="328"/>
      <c r="G611" s="328"/>
      <c r="H611" s="328"/>
      <c r="I611" s="328"/>
      <c r="J611" s="328"/>
      <c r="K611" s="328"/>
      <c r="L611" s="328"/>
      <c r="M611" s="328"/>
      <c r="R611" s="328"/>
      <c r="S611" s="328"/>
      <c r="T611" s="328"/>
      <c r="U611" s="328"/>
      <c r="V611" s="328"/>
      <c r="W611" s="328"/>
      <c r="X611" s="328"/>
      <c r="Y611" s="328"/>
      <c r="Z611" s="328"/>
      <c r="AA611" s="328"/>
      <c r="AB611" s="328"/>
    </row>
    <row r="612" ht="15.75" customHeight="1">
      <c r="B612" s="328"/>
      <c r="C612" s="328"/>
      <c r="D612" s="328"/>
      <c r="E612" s="328"/>
      <c r="F612" s="328"/>
      <c r="G612" s="328"/>
      <c r="H612" s="328"/>
      <c r="I612" s="328"/>
      <c r="J612" s="328"/>
      <c r="K612" s="328"/>
      <c r="L612" s="328"/>
      <c r="M612" s="328"/>
      <c r="R612" s="328"/>
      <c r="S612" s="328"/>
      <c r="T612" s="328"/>
      <c r="U612" s="328"/>
      <c r="V612" s="328"/>
      <c r="W612" s="328"/>
      <c r="X612" s="328"/>
      <c r="Y612" s="328"/>
      <c r="Z612" s="328"/>
      <c r="AA612" s="328"/>
      <c r="AB612" s="328"/>
    </row>
    <row r="613" ht="15.75" customHeight="1">
      <c r="B613" s="328"/>
      <c r="C613" s="328"/>
      <c r="D613" s="328"/>
      <c r="E613" s="328"/>
      <c r="F613" s="328"/>
      <c r="G613" s="328"/>
      <c r="H613" s="328"/>
      <c r="I613" s="328"/>
      <c r="J613" s="328"/>
      <c r="K613" s="328"/>
      <c r="L613" s="328"/>
      <c r="M613" s="328"/>
      <c r="R613" s="328"/>
      <c r="S613" s="328"/>
      <c r="T613" s="328"/>
      <c r="U613" s="328"/>
      <c r="V613" s="328"/>
      <c r="W613" s="328"/>
      <c r="X613" s="328"/>
      <c r="Y613" s="328"/>
      <c r="Z613" s="328"/>
      <c r="AA613" s="328"/>
      <c r="AB613" s="328"/>
    </row>
    <row r="614" ht="15.75" customHeight="1">
      <c r="B614" s="328"/>
      <c r="C614" s="328"/>
      <c r="D614" s="328"/>
      <c r="E614" s="328"/>
      <c r="F614" s="328"/>
      <c r="G614" s="328"/>
      <c r="H614" s="328"/>
      <c r="I614" s="328"/>
      <c r="J614" s="328"/>
      <c r="K614" s="328"/>
      <c r="L614" s="328"/>
      <c r="M614" s="328"/>
      <c r="R614" s="328"/>
      <c r="S614" s="328"/>
      <c r="T614" s="328"/>
      <c r="U614" s="328"/>
      <c r="V614" s="328"/>
      <c r="W614" s="328"/>
      <c r="X614" s="328"/>
      <c r="Y614" s="328"/>
      <c r="Z614" s="328"/>
      <c r="AA614" s="328"/>
      <c r="AB614" s="328"/>
    </row>
    <row r="615" ht="15.75" customHeight="1">
      <c r="B615" s="328"/>
      <c r="C615" s="328"/>
      <c r="D615" s="328"/>
      <c r="E615" s="328"/>
      <c r="F615" s="328"/>
      <c r="G615" s="328"/>
      <c r="H615" s="328"/>
      <c r="I615" s="328"/>
      <c r="J615" s="328"/>
      <c r="K615" s="328"/>
      <c r="L615" s="328"/>
      <c r="M615" s="328"/>
      <c r="R615" s="328"/>
      <c r="S615" s="328"/>
      <c r="T615" s="328"/>
      <c r="U615" s="328"/>
      <c r="V615" s="328"/>
      <c r="W615" s="328"/>
      <c r="X615" s="328"/>
      <c r="Y615" s="328"/>
      <c r="Z615" s="328"/>
      <c r="AA615" s="328"/>
      <c r="AB615" s="328"/>
    </row>
    <row r="616" ht="15.75" customHeight="1">
      <c r="B616" s="328"/>
      <c r="C616" s="328"/>
      <c r="D616" s="328"/>
      <c r="E616" s="328"/>
      <c r="F616" s="328"/>
      <c r="G616" s="328"/>
      <c r="H616" s="328"/>
      <c r="I616" s="328"/>
      <c r="J616" s="328"/>
      <c r="K616" s="328"/>
      <c r="L616" s="328"/>
      <c r="M616" s="328"/>
      <c r="R616" s="328"/>
      <c r="S616" s="328"/>
      <c r="T616" s="328"/>
      <c r="U616" s="328"/>
      <c r="V616" s="328"/>
      <c r="W616" s="328"/>
      <c r="X616" s="328"/>
      <c r="Y616" s="328"/>
      <c r="Z616" s="328"/>
      <c r="AA616" s="328"/>
      <c r="AB616" s="328"/>
    </row>
    <row r="617" ht="15.75" customHeight="1">
      <c r="B617" s="328"/>
      <c r="C617" s="328"/>
      <c r="D617" s="328"/>
      <c r="E617" s="328"/>
      <c r="F617" s="328"/>
      <c r="G617" s="328"/>
      <c r="H617" s="328"/>
      <c r="I617" s="328"/>
      <c r="J617" s="328"/>
      <c r="K617" s="328"/>
      <c r="L617" s="328"/>
      <c r="M617" s="328"/>
      <c r="R617" s="328"/>
      <c r="S617" s="328"/>
      <c r="T617" s="328"/>
      <c r="U617" s="328"/>
      <c r="V617" s="328"/>
      <c r="W617" s="328"/>
      <c r="X617" s="328"/>
      <c r="Y617" s="328"/>
      <c r="Z617" s="328"/>
      <c r="AA617" s="328"/>
      <c r="AB617" s="328"/>
    </row>
    <row r="618" ht="15.75" customHeight="1">
      <c r="B618" s="328"/>
      <c r="C618" s="328"/>
      <c r="D618" s="328"/>
      <c r="E618" s="328"/>
      <c r="F618" s="328"/>
      <c r="G618" s="328"/>
      <c r="H618" s="328"/>
      <c r="I618" s="328"/>
      <c r="J618" s="328"/>
      <c r="K618" s="328"/>
      <c r="L618" s="328"/>
      <c r="M618" s="328"/>
      <c r="R618" s="328"/>
      <c r="S618" s="328"/>
      <c r="T618" s="328"/>
      <c r="U618" s="328"/>
      <c r="V618" s="328"/>
      <c r="W618" s="328"/>
      <c r="X618" s="328"/>
      <c r="Y618" s="328"/>
      <c r="Z618" s="328"/>
      <c r="AA618" s="328"/>
      <c r="AB618" s="328"/>
    </row>
    <row r="619" ht="15.75" customHeight="1">
      <c r="B619" s="328"/>
      <c r="C619" s="328"/>
      <c r="D619" s="328"/>
      <c r="E619" s="328"/>
      <c r="F619" s="328"/>
      <c r="G619" s="328"/>
      <c r="H619" s="328"/>
      <c r="I619" s="328"/>
      <c r="J619" s="328"/>
      <c r="K619" s="328"/>
      <c r="L619" s="328"/>
      <c r="M619" s="328"/>
      <c r="R619" s="328"/>
      <c r="S619" s="328"/>
      <c r="T619" s="328"/>
      <c r="U619" s="328"/>
      <c r="V619" s="328"/>
      <c r="W619" s="328"/>
      <c r="X619" s="328"/>
      <c r="Y619" s="328"/>
      <c r="Z619" s="328"/>
      <c r="AA619" s="328"/>
      <c r="AB619" s="328"/>
    </row>
    <row r="620" ht="15.75" customHeight="1">
      <c r="B620" s="328"/>
      <c r="C620" s="328"/>
      <c r="D620" s="328"/>
      <c r="E620" s="328"/>
      <c r="F620" s="328"/>
      <c r="G620" s="328"/>
      <c r="H620" s="328"/>
      <c r="I620" s="328"/>
      <c r="J620" s="328"/>
      <c r="K620" s="328"/>
      <c r="L620" s="328"/>
      <c r="M620" s="328"/>
      <c r="R620" s="328"/>
      <c r="S620" s="328"/>
      <c r="T620" s="328"/>
      <c r="U620" s="328"/>
      <c r="V620" s="328"/>
      <c r="W620" s="328"/>
      <c r="X620" s="328"/>
      <c r="Y620" s="328"/>
      <c r="Z620" s="328"/>
      <c r="AA620" s="328"/>
      <c r="AB620" s="328"/>
    </row>
    <row r="621" ht="15.75" customHeight="1">
      <c r="B621" s="328"/>
      <c r="C621" s="328"/>
      <c r="D621" s="328"/>
      <c r="E621" s="328"/>
      <c r="F621" s="328"/>
      <c r="G621" s="328"/>
      <c r="H621" s="328"/>
      <c r="I621" s="328"/>
      <c r="J621" s="328"/>
      <c r="K621" s="328"/>
      <c r="L621" s="328"/>
      <c r="M621" s="328"/>
      <c r="R621" s="328"/>
      <c r="S621" s="328"/>
      <c r="T621" s="328"/>
      <c r="U621" s="328"/>
      <c r="V621" s="328"/>
      <c r="W621" s="328"/>
      <c r="X621" s="328"/>
      <c r="Y621" s="328"/>
      <c r="Z621" s="328"/>
      <c r="AA621" s="328"/>
      <c r="AB621" s="328"/>
    </row>
    <row r="622" ht="15.75" customHeight="1">
      <c r="B622" s="328"/>
      <c r="C622" s="328"/>
      <c r="D622" s="328"/>
      <c r="E622" s="328"/>
      <c r="F622" s="328"/>
      <c r="G622" s="328"/>
      <c r="H622" s="328"/>
      <c r="I622" s="328"/>
      <c r="J622" s="328"/>
      <c r="K622" s="328"/>
      <c r="L622" s="328"/>
      <c r="M622" s="328"/>
      <c r="R622" s="328"/>
      <c r="S622" s="328"/>
      <c r="T622" s="328"/>
      <c r="U622" s="328"/>
      <c r="V622" s="328"/>
      <c r="W622" s="328"/>
      <c r="X622" s="328"/>
      <c r="Y622" s="328"/>
      <c r="Z622" s="328"/>
      <c r="AA622" s="328"/>
      <c r="AB622" s="328"/>
    </row>
    <row r="623" ht="15.75" customHeight="1">
      <c r="B623" s="328"/>
      <c r="C623" s="328"/>
      <c r="D623" s="328"/>
      <c r="E623" s="328"/>
      <c r="F623" s="328"/>
      <c r="G623" s="328"/>
      <c r="H623" s="328"/>
      <c r="I623" s="328"/>
      <c r="J623" s="328"/>
      <c r="K623" s="328"/>
      <c r="L623" s="328"/>
      <c r="M623" s="328"/>
      <c r="R623" s="328"/>
      <c r="S623" s="328"/>
      <c r="T623" s="328"/>
      <c r="U623" s="328"/>
      <c r="V623" s="328"/>
      <c r="W623" s="328"/>
      <c r="X623" s="328"/>
      <c r="Y623" s="328"/>
      <c r="Z623" s="328"/>
      <c r="AA623" s="328"/>
      <c r="AB623" s="328"/>
    </row>
    <row r="624" ht="15.75" customHeight="1">
      <c r="B624" s="328"/>
      <c r="C624" s="328"/>
      <c r="D624" s="328"/>
      <c r="E624" s="328"/>
      <c r="F624" s="328"/>
      <c r="G624" s="328"/>
      <c r="H624" s="328"/>
      <c r="I624" s="328"/>
      <c r="J624" s="328"/>
      <c r="K624" s="328"/>
      <c r="L624" s="328"/>
      <c r="M624" s="328"/>
      <c r="R624" s="328"/>
      <c r="S624" s="328"/>
      <c r="T624" s="328"/>
      <c r="U624" s="328"/>
      <c r="V624" s="328"/>
      <c r="W624" s="328"/>
      <c r="X624" s="328"/>
      <c r="Y624" s="328"/>
      <c r="Z624" s="328"/>
      <c r="AA624" s="328"/>
      <c r="AB624" s="328"/>
    </row>
    <row r="625" ht="15.75" customHeight="1">
      <c r="B625" s="328"/>
      <c r="C625" s="328"/>
      <c r="D625" s="328"/>
      <c r="E625" s="328"/>
      <c r="F625" s="328"/>
      <c r="G625" s="328"/>
      <c r="H625" s="328"/>
      <c r="I625" s="328"/>
      <c r="J625" s="328"/>
      <c r="K625" s="328"/>
      <c r="L625" s="328"/>
      <c r="M625" s="328"/>
      <c r="R625" s="328"/>
      <c r="S625" s="328"/>
      <c r="T625" s="328"/>
      <c r="U625" s="328"/>
      <c r="V625" s="328"/>
      <c r="W625" s="328"/>
      <c r="X625" s="328"/>
      <c r="Y625" s="328"/>
      <c r="Z625" s="328"/>
      <c r="AA625" s="328"/>
      <c r="AB625" s="328"/>
    </row>
    <row r="626" ht="15.75" customHeight="1">
      <c r="B626" s="328"/>
      <c r="C626" s="328"/>
      <c r="D626" s="328"/>
      <c r="E626" s="328"/>
      <c r="F626" s="328"/>
      <c r="G626" s="328"/>
      <c r="H626" s="328"/>
      <c r="I626" s="328"/>
      <c r="J626" s="328"/>
      <c r="K626" s="328"/>
      <c r="L626" s="328"/>
      <c r="M626" s="328"/>
      <c r="R626" s="328"/>
      <c r="S626" s="328"/>
      <c r="T626" s="328"/>
      <c r="U626" s="328"/>
      <c r="V626" s="328"/>
      <c r="W626" s="328"/>
      <c r="X626" s="328"/>
      <c r="Y626" s="328"/>
      <c r="Z626" s="328"/>
      <c r="AA626" s="328"/>
      <c r="AB626" s="328"/>
    </row>
    <row r="627" ht="15.75" customHeight="1">
      <c r="B627" s="328"/>
      <c r="C627" s="328"/>
      <c r="D627" s="328"/>
      <c r="E627" s="328"/>
      <c r="F627" s="328"/>
      <c r="G627" s="328"/>
      <c r="H627" s="328"/>
      <c r="I627" s="328"/>
      <c r="J627" s="328"/>
      <c r="K627" s="328"/>
      <c r="L627" s="328"/>
      <c r="M627" s="328"/>
      <c r="R627" s="328"/>
      <c r="S627" s="328"/>
      <c r="T627" s="328"/>
      <c r="U627" s="328"/>
      <c r="V627" s="328"/>
      <c r="W627" s="328"/>
      <c r="X627" s="328"/>
      <c r="Y627" s="328"/>
      <c r="Z627" s="328"/>
      <c r="AA627" s="328"/>
      <c r="AB627" s="328"/>
    </row>
    <row r="628" ht="15.75" customHeight="1">
      <c r="B628" s="328"/>
      <c r="C628" s="328"/>
      <c r="D628" s="328"/>
      <c r="E628" s="328"/>
      <c r="F628" s="328"/>
      <c r="G628" s="328"/>
      <c r="H628" s="328"/>
      <c r="I628" s="328"/>
      <c r="J628" s="328"/>
      <c r="K628" s="328"/>
      <c r="L628" s="328"/>
      <c r="M628" s="328"/>
      <c r="R628" s="328"/>
      <c r="S628" s="328"/>
      <c r="T628" s="328"/>
      <c r="U628" s="328"/>
      <c r="V628" s="328"/>
      <c r="W628" s="328"/>
      <c r="X628" s="328"/>
      <c r="Y628" s="328"/>
      <c r="Z628" s="328"/>
      <c r="AA628" s="328"/>
      <c r="AB628" s="328"/>
    </row>
    <row r="629" ht="15.75" customHeight="1">
      <c r="B629" s="328"/>
      <c r="C629" s="328"/>
      <c r="D629" s="328"/>
      <c r="E629" s="328"/>
      <c r="F629" s="328"/>
      <c r="G629" s="328"/>
      <c r="H629" s="328"/>
      <c r="I629" s="328"/>
      <c r="J629" s="328"/>
      <c r="K629" s="328"/>
      <c r="L629" s="328"/>
      <c r="M629" s="328"/>
      <c r="R629" s="328"/>
      <c r="S629" s="328"/>
      <c r="T629" s="328"/>
      <c r="U629" s="328"/>
      <c r="V629" s="328"/>
      <c r="W629" s="328"/>
      <c r="X629" s="328"/>
      <c r="Y629" s="328"/>
      <c r="Z629" s="328"/>
      <c r="AA629" s="328"/>
      <c r="AB629" s="328"/>
    </row>
    <row r="630" ht="15.75" customHeight="1">
      <c r="B630" s="328"/>
      <c r="C630" s="328"/>
      <c r="D630" s="328"/>
      <c r="E630" s="328"/>
      <c r="F630" s="328"/>
      <c r="G630" s="328"/>
      <c r="H630" s="328"/>
      <c r="I630" s="328"/>
      <c r="J630" s="328"/>
      <c r="K630" s="328"/>
      <c r="L630" s="328"/>
      <c r="M630" s="328"/>
      <c r="R630" s="328"/>
      <c r="S630" s="328"/>
      <c r="T630" s="328"/>
      <c r="U630" s="328"/>
      <c r="V630" s="328"/>
      <c r="W630" s="328"/>
      <c r="X630" s="328"/>
      <c r="Y630" s="328"/>
      <c r="Z630" s="328"/>
      <c r="AA630" s="328"/>
      <c r="AB630" s="328"/>
    </row>
    <row r="631" ht="15.75" customHeight="1">
      <c r="B631" s="328"/>
      <c r="C631" s="328"/>
      <c r="D631" s="328"/>
      <c r="E631" s="328"/>
      <c r="F631" s="328"/>
      <c r="G631" s="328"/>
      <c r="H631" s="328"/>
      <c r="I631" s="328"/>
      <c r="J631" s="328"/>
      <c r="K631" s="328"/>
      <c r="L631" s="328"/>
      <c r="M631" s="328"/>
      <c r="R631" s="328"/>
      <c r="S631" s="328"/>
      <c r="T631" s="328"/>
      <c r="U631" s="328"/>
      <c r="V631" s="328"/>
      <c r="W631" s="328"/>
      <c r="X631" s="328"/>
      <c r="Y631" s="328"/>
      <c r="Z631" s="328"/>
      <c r="AA631" s="328"/>
      <c r="AB631" s="328"/>
    </row>
    <row r="632" ht="15.75" customHeight="1">
      <c r="B632" s="328"/>
      <c r="C632" s="328"/>
      <c r="D632" s="328"/>
      <c r="E632" s="328"/>
      <c r="F632" s="328"/>
      <c r="G632" s="328"/>
      <c r="H632" s="328"/>
      <c r="I632" s="328"/>
      <c r="J632" s="328"/>
      <c r="K632" s="328"/>
      <c r="L632" s="328"/>
      <c r="M632" s="328"/>
      <c r="R632" s="328"/>
      <c r="S632" s="328"/>
      <c r="T632" s="328"/>
      <c r="U632" s="328"/>
      <c r="V632" s="328"/>
      <c r="W632" s="328"/>
      <c r="X632" s="328"/>
      <c r="Y632" s="328"/>
      <c r="Z632" s="328"/>
      <c r="AA632" s="328"/>
      <c r="AB632" s="328"/>
    </row>
    <row r="633" ht="15.75" customHeight="1">
      <c r="B633" s="328"/>
      <c r="C633" s="328"/>
      <c r="D633" s="328"/>
      <c r="E633" s="328"/>
      <c r="F633" s="328"/>
      <c r="G633" s="328"/>
      <c r="H633" s="328"/>
      <c r="I633" s="328"/>
      <c r="J633" s="328"/>
      <c r="K633" s="328"/>
      <c r="L633" s="328"/>
      <c r="M633" s="328"/>
      <c r="R633" s="328"/>
      <c r="S633" s="328"/>
      <c r="T633" s="328"/>
      <c r="U633" s="328"/>
      <c r="V633" s="328"/>
      <c r="W633" s="328"/>
      <c r="X633" s="328"/>
      <c r="Y633" s="328"/>
      <c r="Z633" s="328"/>
      <c r="AA633" s="328"/>
      <c r="AB633" s="328"/>
    </row>
    <row r="634" ht="15.75" customHeight="1">
      <c r="B634" s="328"/>
      <c r="C634" s="328"/>
      <c r="D634" s="328"/>
      <c r="E634" s="328"/>
      <c r="F634" s="328"/>
      <c r="G634" s="328"/>
      <c r="H634" s="328"/>
      <c r="I634" s="328"/>
      <c r="J634" s="328"/>
      <c r="K634" s="328"/>
      <c r="L634" s="328"/>
      <c r="M634" s="328"/>
      <c r="R634" s="328"/>
      <c r="S634" s="328"/>
      <c r="T634" s="328"/>
      <c r="U634" s="328"/>
      <c r="V634" s="328"/>
      <c r="W634" s="328"/>
      <c r="X634" s="328"/>
      <c r="Y634" s="328"/>
      <c r="Z634" s="328"/>
      <c r="AA634" s="328"/>
      <c r="AB634" s="328"/>
    </row>
    <row r="635" ht="15.75" customHeight="1">
      <c r="B635" s="328"/>
      <c r="C635" s="328"/>
      <c r="D635" s="328"/>
      <c r="E635" s="328"/>
      <c r="F635" s="328"/>
      <c r="G635" s="328"/>
      <c r="H635" s="328"/>
      <c r="I635" s="328"/>
      <c r="J635" s="328"/>
      <c r="K635" s="328"/>
      <c r="L635" s="328"/>
      <c r="M635" s="328"/>
      <c r="R635" s="328"/>
      <c r="S635" s="328"/>
      <c r="T635" s="328"/>
      <c r="U635" s="328"/>
      <c r="V635" s="328"/>
      <c r="W635" s="328"/>
      <c r="X635" s="328"/>
      <c r="Y635" s="328"/>
      <c r="Z635" s="328"/>
      <c r="AA635" s="328"/>
      <c r="AB635" s="328"/>
    </row>
    <row r="636" ht="15.75" customHeight="1">
      <c r="B636" s="328"/>
      <c r="C636" s="328"/>
      <c r="D636" s="328"/>
      <c r="E636" s="328"/>
      <c r="F636" s="328"/>
      <c r="G636" s="328"/>
      <c r="H636" s="328"/>
      <c r="I636" s="328"/>
      <c r="J636" s="328"/>
      <c r="K636" s="328"/>
      <c r="L636" s="328"/>
      <c r="M636" s="328"/>
      <c r="R636" s="328"/>
      <c r="S636" s="328"/>
      <c r="T636" s="328"/>
      <c r="U636" s="328"/>
      <c r="V636" s="328"/>
      <c r="W636" s="328"/>
      <c r="X636" s="328"/>
      <c r="Y636" s="328"/>
      <c r="Z636" s="328"/>
      <c r="AA636" s="328"/>
      <c r="AB636" s="328"/>
    </row>
    <row r="637" ht="15.75" customHeight="1">
      <c r="B637" s="328"/>
      <c r="C637" s="328"/>
      <c r="D637" s="328"/>
      <c r="E637" s="328"/>
      <c r="F637" s="328"/>
      <c r="G637" s="328"/>
      <c r="H637" s="328"/>
      <c r="I637" s="328"/>
      <c r="J637" s="328"/>
      <c r="K637" s="328"/>
      <c r="L637" s="328"/>
      <c r="M637" s="328"/>
      <c r="R637" s="328"/>
      <c r="S637" s="328"/>
      <c r="T637" s="328"/>
      <c r="U637" s="328"/>
      <c r="V637" s="328"/>
      <c r="W637" s="328"/>
      <c r="X637" s="328"/>
      <c r="Y637" s="328"/>
      <c r="Z637" s="328"/>
      <c r="AA637" s="328"/>
      <c r="AB637" s="328"/>
    </row>
    <row r="638" ht="15.75" customHeight="1">
      <c r="B638" s="328"/>
      <c r="C638" s="328"/>
      <c r="D638" s="328"/>
      <c r="E638" s="328"/>
      <c r="F638" s="328"/>
      <c r="G638" s="328"/>
      <c r="H638" s="328"/>
      <c r="I638" s="328"/>
      <c r="J638" s="328"/>
      <c r="K638" s="328"/>
      <c r="L638" s="328"/>
      <c r="M638" s="328"/>
      <c r="R638" s="328"/>
      <c r="S638" s="328"/>
      <c r="T638" s="328"/>
      <c r="U638" s="328"/>
      <c r="V638" s="328"/>
      <c r="W638" s="328"/>
      <c r="X638" s="328"/>
      <c r="Y638" s="328"/>
      <c r="Z638" s="328"/>
      <c r="AA638" s="328"/>
      <c r="AB638" s="328"/>
    </row>
    <row r="639" ht="15.75" customHeight="1">
      <c r="B639" s="328"/>
      <c r="C639" s="328"/>
      <c r="D639" s="328"/>
      <c r="E639" s="328"/>
      <c r="F639" s="328"/>
      <c r="G639" s="328"/>
      <c r="H639" s="328"/>
      <c r="I639" s="328"/>
      <c r="J639" s="328"/>
      <c r="K639" s="328"/>
      <c r="L639" s="328"/>
      <c r="M639" s="328"/>
      <c r="R639" s="328"/>
      <c r="S639" s="328"/>
      <c r="T639" s="328"/>
      <c r="U639" s="328"/>
      <c r="V639" s="328"/>
      <c r="W639" s="328"/>
      <c r="X639" s="328"/>
      <c r="Y639" s="328"/>
      <c r="Z639" s="328"/>
      <c r="AA639" s="328"/>
      <c r="AB639" s="328"/>
    </row>
    <row r="640" ht="15.75" customHeight="1">
      <c r="B640" s="328"/>
      <c r="C640" s="328"/>
      <c r="D640" s="328"/>
      <c r="E640" s="328"/>
      <c r="F640" s="328"/>
      <c r="G640" s="328"/>
      <c r="H640" s="328"/>
      <c r="I640" s="328"/>
      <c r="J640" s="328"/>
      <c r="K640" s="328"/>
      <c r="L640" s="328"/>
      <c r="M640" s="328"/>
      <c r="R640" s="328"/>
      <c r="S640" s="328"/>
      <c r="T640" s="328"/>
      <c r="U640" s="328"/>
      <c r="V640" s="328"/>
      <c r="W640" s="328"/>
      <c r="X640" s="328"/>
      <c r="Y640" s="328"/>
      <c r="Z640" s="328"/>
      <c r="AA640" s="328"/>
      <c r="AB640" s="328"/>
    </row>
    <row r="641" ht="15.75" customHeight="1">
      <c r="B641" s="328"/>
      <c r="C641" s="328"/>
      <c r="D641" s="328"/>
      <c r="E641" s="328"/>
      <c r="F641" s="328"/>
      <c r="G641" s="328"/>
      <c r="H641" s="328"/>
      <c r="I641" s="328"/>
      <c r="J641" s="328"/>
      <c r="K641" s="328"/>
      <c r="L641" s="328"/>
      <c r="M641" s="328"/>
      <c r="R641" s="328"/>
      <c r="S641" s="328"/>
      <c r="T641" s="328"/>
      <c r="U641" s="328"/>
      <c r="V641" s="328"/>
      <c r="W641" s="328"/>
      <c r="X641" s="328"/>
      <c r="Y641" s="328"/>
      <c r="Z641" s="328"/>
      <c r="AA641" s="328"/>
      <c r="AB641" s="328"/>
    </row>
    <row r="642" ht="15.75" customHeight="1">
      <c r="B642" s="328"/>
      <c r="C642" s="328"/>
      <c r="D642" s="328"/>
      <c r="E642" s="328"/>
      <c r="F642" s="328"/>
      <c r="G642" s="328"/>
      <c r="H642" s="328"/>
      <c r="I642" s="328"/>
      <c r="J642" s="328"/>
      <c r="K642" s="328"/>
      <c r="L642" s="328"/>
      <c r="M642" s="328"/>
      <c r="R642" s="328"/>
      <c r="S642" s="328"/>
      <c r="T642" s="328"/>
      <c r="U642" s="328"/>
      <c r="V642" s="328"/>
      <c r="W642" s="328"/>
      <c r="X642" s="328"/>
      <c r="Y642" s="328"/>
      <c r="Z642" s="328"/>
      <c r="AA642" s="328"/>
      <c r="AB642" s="328"/>
    </row>
    <row r="643" ht="15.75" customHeight="1">
      <c r="B643" s="328"/>
      <c r="C643" s="328"/>
      <c r="D643" s="328"/>
      <c r="E643" s="328"/>
      <c r="F643" s="328"/>
      <c r="G643" s="328"/>
      <c r="H643" s="328"/>
      <c r="I643" s="328"/>
      <c r="J643" s="328"/>
      <c r="K643" s="328"/>
      <c r="L643" s="328"/>
      <c r="M643" s="328"/>
      <c r="R643" s="328"/>
      <c r="S643" s="328"/>
      <c r="T643" s="328"/>
      <c r="U643" s="328"/>
      <c r="V643" s="328"/>
      <c r="W643" s="328"/>
      <c r="X643" s="328"/>
      <c r="Y643" s="328"/>
      <c r="Z643" s="328"/>
      <c r="AA643" s="328"/>
      <c r="AB643" s="328"/>
    </row>
    <row r="644" ht="15.75" customHeight="1">
      <c r="B644" s="328"/>
      <c r="C644" s="328"/>
      <c r="D644" s="328"/>
      <c r="E644" s="328"/>
      <c r="F644" s="328"/>
      <c r="G644" s="328"/>
      <c r="H644" s="328"/>
      <c r="I644" s="328"/>
      <c r="J644" s="328"/>
      <c r="K644" s="328"/>
      <c r="L644" s="328"/>
      <c r="M644" s="328"/>
      <c r="R644" s="328"/>
      <c r="S644" s="328"/>
      <c r="T644" s="328"/>
      <c r="U644" s="328"/>
      <c r="V644" s="328"/>
      <c r="W644" s="328"/>
      <c r="X644" s="328"/>
      <c r="Y644" s="328"/>
      <c r="Z644" s="328"/>
      <c r="AA644" s="328"/>
      <c r="AB644" s="328"/>
    </row>
    <row r="645" ht="15.75" customHeight="1">
      <c r="B645" s="328"/>
      <c r="C645" s="328"/>
      <c r="D645" s="328"/>
      <c r="E645" s="328"/>
      <c r="F645" s="328"/>
      <c r="G645" s="328"/>
      <c r="H645" s="328"/>
      <c r="I645" s="328"/>
      <c r="J645" s="328"/>
      <c r="K645" s="328"/>
      <c r="L645" s="328"/>
      <c r="M645" s="328"/>
      <c r="R645" s="328"/>
      <c r="S645" s="328"/>
      <c r="T645" s="328"/>
      <c r="U645" s="328"/>
      <c r="V645" s="328"/>
      <c r="W645" s="328"/>
      <c r="X645" s="328"/>
      <c r="Y645" s="328"/>
      <c r="Z645" s="328"/>
      <c r="AA645" s="328"/>
      <c r="AB645" s="328"/>
    </row>
    <row r="646" ht="15.75" customHeight="1">
      <c r="B646" s="328"/>
      <c r="C646" s="328"/>
      <c r="D646" s="328"/>
      <c r="E646" s="328"/>
      <c r="F646" s="328"/>
      <c r="G646" s="328"/>
      <c r="H646" s="328"/>
      <c r="I646" s="328"/>
      <c r="J646" s="328"/>
      <c r="K646" s="328"/>
      <c r="L646" s="328"/>
      <c r="M646" s="328"/>
      <c r="R646" s="328"/>
      <c r="S646" s="328"/>
      <c r="T646" s="328"/>
      <c r="U646" s="328"/>
      <c r="V646" s="328"/>
      <c r="W646" s="328"/>
      <c r="X646" s="328"/>
      <c r="Y646" s="328"/>
      <c r="Z646" s="328"/>
      <c r="AA646" s="328"/>
      <c r="AB646" s="328"/>
    </row>
    <row r="647" ht="15.75" customHeight="1">
      <c r="B647" s="328"/>
      <c r="C647" s="328"/>
      <c r="D647" s="328"/>
      <c r="E647" s="328"/>
      <c r="F647" s="328"/>
      <c r="G647" s="328"/>
      <c r="H647" s="328"/>
      <c r="I647" s="328"/>
      <c r="J647" s="328"/>
      <c r="K647" s="328"/>
      <c r="L647" s="328"/>
      <c r="M647" s="328"/>
      <c r="R647" s="328"/>
      <c r="S647" s="328"/>
      <c r="T647" s="328"/>
      <c r="U647" s="328"/>
      <c r="V647" s="328"/>
      <c r="W647" s="328"/>
      <c r="X647" s="328"/>
      <c r="Y647" s="328"/>
      <c r="Z647" s="328"/>
      <c r="AA647" s="328"/>
      <c r="AB647" s="328"/>
    </row>
    <row r="648" ht="15.75" customHeight="1">
      <c r="B648" s="328"/>
      <c r="C648" s="328"/>
      <c r="D648" s="328"/>
      <c r="E648" s="328"/>
      <c r="F648" s="328"/>
      <c r="G648" s="328"/>
      <c r="H648" s="328"/>
      <c r="I648" s="328"/>
      <c r="J648" s="328"/>
      <c r="K648" s="328"/>
      <c r="L648" s="328"/>
      <c r="M648" s="328"/>
      <c r="R648" s="328"/>
      <c r="S648" s="328"/>
      <c r="T648" s="328"/>
      <c r="U648" s="328"/>
      <c r="V648" s="328"/>
      <c r="W648" s="328"/>
      <c r="X648" s="328"/>
      <c r="Y648" s="328"/>
      <c r="Z648" s="328"/>
      <c r="AA648" s="328"/>
      <c r="AB648" s="328"/>
    </row>
    <row r="649" ht="15.75" customHeight="1">
      <c r="B649" s="328"/>
      <c r="C649" s="328"/>
      <c r="D649" s="328"/>
      <c r="E649" s="328"/>
      <c r="F649" s="328"/>
      <c r="G649" s="328"/>
      <c r="H649" s="328"/>
      <c r="I649" s="328"/>
      <c r="J649" s="328"/>
      <c r="K649" s="328"/>
      <c r="L649" s="328"/>
      <c r="M649" s="328"/>
      <c r="R649" s="328"/>
      <c r="S649" s="328"/>
      <c r="T649" s="328"/>
      <c r="U649" s="328"/>
      <c r="V649" s="328"/>
      <c r="W649" s="328"/>
      <c r="X649" s="328"/>
      <c r="Y649" s="328"/>
      <c r="Z649" s="328"/>
      <c r="AA649" s="328"/>
      <c r="AB649" s="328"/>
    </row>
    <row r="650" ht="15.75" customHeight="1">
      <c r="B650" s="328"/>
      <c r="C650" s="328"/>
      <c r="D650" s="328"/>
      <c r="E650" s="328"/>
      <c r="F650" s="328"/>
      <c r="G650" s="328"/>
      <c r="H650" s="328"/>
      <c r="I650" s="328"/>
      <c r="J650" s="328"/>
      <c r="K650" s="328"/>
      <c r="L650" s="328"/>
      <c r="M650" s="328"/>
      <c r="R650" s="328"/>
      <c r="S650" s="328"/>
      <c r="T650" s="328"/>
      <c r="U650" s="328"/>
      <c r="V650" s="328"/>
      <c r="W650" s="328"/>
      <c r="X650" s="328"/>
      <c r="Y650" s="328"/>
      <c r="Z650" s="328"/>
      <c r="AA650" s="328"/>
      <c r="AB650" s="328"/>
    </row>
    <row r="651" ht="15.75" customHeight="1">
      <c r="B651" s="328"/>
      <c r="C651" s="328"/>
      <c r="D651" s="328"/>
      <c r="E651" s="328"/>
      <c r="F651" s="328"/>
      <c r="G651" s="328"/>
      <c r="H651" s="328"/>
      <c r="I651" s="328"/>
      <c r="J651" s="328"/>
      <c r="K651" s="328"/>
      <c r="L651" s="328"/>
      <c r="M651" s="328"/>
      <c r="R651" s="328"/>
      <c r="S651" s="328"/>
      <c r="T651" s="328"/>
      <c r="U651" s="328"/>
      <c r="V651" s="328"/>
      <c r="W651" s="328"/>
      <c r="X651" s="328"/>
      <c r="Y651" s="328"/>
      <c r="Z651" s="328"/>
      <c r="AA651" s="328"/>
      <c r="AB651" s="328"/>
    </row>
    <row r="652" ht="15.75" customHeight="1">
      <c r="B652" s="328"/>
      <c r="C652" s="328"/>
      <c r="D652" s="328"/>
      <c r="E652" s="328"/>
      <c r="F652" s="328"/>
      <c r="G652" s="328"/>
      <c r="H652" s="328"/>
      <c r="I652" s="328"/>
      <c r="J652" s="328"/>
      <c r="K652" s="328"/>
      <c r="L652" s="328"/>
      <c r="M652" s="328"/>
      <c r="R652" s="328"/>
      <c r="S652" s="328"/>
      <c r="T652" s="328"/>
      <c r="U652" s="328"/>
      <c r="V652" s="328"/>
      <c r="W652" s="328"/>
      <c r="X652" s="328"/>
      <c r="Y652" s="328"/>
      <c r="Z652" s="328"/>
      <c r="AA652" s="328"/>
      <c r="AB652" s="328"/>
    </row>
    <row r="653" ht="15.75" customHeight="1">
      <c r="B653" s="328"/>
      <c r="C653" s="328"/>
      <c r="D653" s="328"/>
      <c r="E653" s="328"/>
      <c r="F653" s="328"/>
      <c r="G653" s="328"/>
      <c r="H653" s="328"/>
      <c r="I653" s="328"/>
      <c r="J653" s="328"/>
      <c r="K653" s="328"/>
      <c r="L653" s="328"/>
      <c r="M653" s="328"/>
      <c r="R653" s="328"/>
      <c r="S653" s="328"/>
      <c r="T653" s="328"/>
      <c r="U653" s="328"/>
      <c r="V653" s="328"/>
      <c r="W653" s="328"/>
      <c r="X653" s="328"/>
      <c r="Y653" s="328"/>
      <c r="Z653" s="328"/>
      <c r="AA653" s="328"/>
      <c r="AB653" s="328"/>
    </row>
    <row r="654" ht="15.75" customHeight="1">
      <c r="B654" s="328"/>
      <c r="C654" s="328"/>
      <c r="D654" s="328"/>
      <c r="E654" s="328"/>
      <c r="F654" s="328"/>
      <c r="G654" s="328"/>
      <c r="H654" s="328"/>
      <c r="I654" s="328"/>
      <c r="J654" s="328"/>
      <c r="K654" s="328"/>
      <c r="L654" s="328"/>
      <c r="M654" s="328"/>
      <c r="R654" s="328"/>
      <c r="S654" s="328"/>
      <c r="T654" s="328"/>
      <c r="U654" s="328"/>
      <c r="V654" s="328"/>
      <c r="W654" s="328"/>
      <c r="X654" s="328"/>
      <c r="Y654" s="328"/>
      <c r="Z654" s="328"/>
      <c r="AA654" s="328"/>
      <c r="AB654" s="328"/>
    </row>
    <row r="655" ht="15.75" customHeight="1">
      <c r="B655" s="328"/>
      <c r="C655" s="328"/>
      <c r="D655" s="328"/>
      <c r="E655" s="328"/>
      <c r="F655" s="328"/>
      <c r="G655" s="328"/>
      <c r="H655" s="328"/>
      <c r="I655" s="328"/>
      <c r="J655" s="328"/>
      <c r="K655" s="328"/>
      <c r="L655" s="328"/>
      <c r="M655" s="328"/>
      <c r="R655" s="328"/>
      <c r="S655" s="328"/>
      <c r="T655" s="328"/>
      <c r="U655" s="328"/>
      <c r="V655" s="328"/>
      <c r="W655" s="328"/>
      <c r="X655" s="328"/>
      <c r="Y655" s="328"/>
      <c r="Z655" s="328"/>
      <c r="AA655" s="328"/>
      <c r="AB655" s="328"/>
    </row>
    <row r="656" ht="15.75" customHeight="1">
      <c r="B656" s="328"/>
      <c r="C656" s="328"/>
      <c r="D656" s="328"/>
      <c r="E656" s="328"/>
      <c r="F656" s="328"/>
      <c r="G656" s="328"/>
      <c r="H656" s="328"/>
      <c r="I656" s="328"/>
      <c r="J656" s="328"/>
      <c r="K656" s="328"/>
      <c r="L656" s="328"/>
      <c r="M656" s="328"/>
      <c r="R656" s="328"/>
      <c r="S656" s="328"/>
      <c r="T656" s="328"/>
      <c r="U656" s="328"/>
      <c r="V656" s="328"/>
      <c r="W656" s="328"/>
      <c r="X656" s="328"/>
      <c r="Y656" s="328"/>
      <c r="Z656" s="328"/>
      <c r="AA656" s="328"/>
      <c r="AB656" s="328"/>
    </row>
    <row r="657" ht="15.75" customHeight="1">
      <c r="B657" s="328"/>
      <c r="C657" s="328"/>
      <c r="D657" s="328"/>
      <c r="E657" s="328"/>
      <c r="F657" s="328"/>
      <c r="G657" s="328"/>
      <c r="H657" s="328"/>
      <c r="I657" s="328"/>
      <c r="J657" s="328"/>
      <c r="K657" s="328"/>
      <c r="L657" s="328"/>
      <c r="M657" s="328"/>
      <c r="R657" s="328"/>
      <c r="S657" s="328"/>
      <c r="T657" s="328"/>
      <c r="U657" s="328"/>
      <c r="V657" s="328"/>
      <c r="W657" s="328"/>
      <c r="X657" s="328"/>
      <c r="Y657" s="328"/>
      <c r="Z657" s="328"/>
      <c r="AA657" s="328"/>
      <c r="AB657" s="328"/>
    </row>
    <row r="658" ht="15.75" customHeight="1">
      <c r="B658" s="328"/>
      <c r="C658" s="328"/>
      <c r="D658" s="328"/>
      <c r="E658" s="328"/>
      <c r="F658" s="328"/>
      <c r="G658" s="328"/>
      <c r="H658" s="328"/>
      <c r="I658" s="328"/>
      <c r="J658" s="328"/>
      <c r="K658" s="328"/>
      <c r="L658" s="328"/>
      <c r="M658" s="328"/>
      <c r="R658" s="328"/>
      <c r="S658" s="328"/>
      <c r="T658" s="328"/>
      <c r="U658" s="328"/>
      <c r="V658" s="328"/>
      <c r="W658" s="328"/>
      <c r="X658" s="328"/>
      <c r="Y658" s="328"/>
      <c r="Z658" s="328"/>
      <c r="AA658" s="328"/>
      <c r="AB658" s="328"/>
    </row>
    <row r="659" ht="15.75" customHeight="1">
      <c r="B659" s="328"/>
      <c r="C659" s="328"/>
      <c r="D659" s="328"/>
      <c r="E659" s="328"/>
      <c r="F659" s="328"/>
      <c r="G659" s="328"/>
      <c r="H659" s="328"/>
      <c r="I659" s="328"/>
      <c r="J659" s="328"/>
      <c r="K659" s="328"/>
      <c r="L659" s="328"/>
      <c r="M659" s="328"/>
      <c r="R659" s="328"/>
      <c r="S659" s="328"/>
      <c r="T659" s="328"/>
      <c r="U659" s="328"/>
      <c r="V659" s="328"/>
      <c r="W659" s="328"/>
      <c r="X659" s="328"/>
      <c r="Y659" s="328"/>
      <c r="Z659" s="328"/>
      <c r="AA659" s="328"/>
      <c r="AB659" s="328"/>
    </row>
    <row r="660" ht="15.75" customHeight="1">
      <c r="B660" s="328"/>
      <c r="C660" s="328"/>
      <c r="D660" s="328"/>
      <c r="E660" s="328"/>
      <c r="F660" s="328"/>
      <c r="G660" s="328"/>
      <c r="H660" s="328"/>
      <c r="I660" s="328"/>
      <c r="J660" s="328"/>
      <c r="K660" s="328"/>
      <c r="L660" s="328"/>
      <c r="M660" s="328"/>
      <c r="R660" s="328"/>
      <c r="S660" s="328"/>
      <c r="T660" s="328"/>
      <c r="U660" s="328"/>
      <c r="V660" s="328"/>
      <c r="W660" s="328"/>
      <c r="X660" s="328"/>
      <c r="Y660" s="328"/>
      <c r="Z660" s="328"/>
      <c r="AA660" s="328"/>
      <c r="AB660" s="328"/>
    </row>
    <row r="661" ht="15.75" customHeight="1">
      <c r="B661" s="328"/>
      <c r="C661" s="328"/>
      <c r="D661" s="328"/>
      <c r="E661" s="328"/>
      <c r="F661" s="328"/>
      <c r="G661" s="328"/>
      <c r="H661" s="328"/>
      <c r="I661" s="328"/>
      <c r="J661" s="328"/>
      <c r="K661" s="328"/>
      <c r="L661" s="328"/>
      <c r="M661" s="328"/>
      <c r="R661" s="328"/>
      <c r="S661" s="328"/>
      <c r="T661" s="328"/>
      <c r="U661" s="328"/>
      <c r="V661" s="328"/>
      <c r="W661" s="328"/>
      <c r="X661" s="328"/>
      <c r="Y661" s="328"/>
      <c r="Z661" s="328"/>
      <c r="AA661" s="328"/>
      <c r="AB661" s="328"/>
    </row>
    <row r="662" ht="15.75" customHeight="1">
      <c r="B662" s="328"/>
      <c r="C662" s="328"/>
      <c r="D662" s="328"/>
      <c r="E662" s="328"/>
      <c r="F662" s="328"/>
      <c r="G662" s="328"/>
      <c r="H662" s="328"/>
      <c r="I662" s="328"/>
      <c r="J662" s="328"/>
      <c r="K662" s="328"/>
      <c r="L662" s="328"/>
      <c r="M662" s="328"/>
      <c r="R662" s="328"/>
      <c r="S662" s="328"/>
      <c r="T662" s="328"/>
      <c r="U662" s="328"/>
      <c r="V662" s="328"/>
      <c r="W662" s="328"/>
      <c r="X662" s="328"/>
      <c r="Y662" s="328"/>
      <c r="Z662" s="328"/>
      <c r="AA662" s="328"/>
      <c r="AB662" s="328"/>
    </row>
    <row r="663" ht="15.75" customHeight="1">
      <c r="B663" s="328"/>
      <c r="C663" s="328"/>
      <c r="D663" s="328"/>
      <c r="E663" s="328"/>
      <c r="F663" s="328"/>
      <c r="G663" s="328"/>
      <c r="H663" s="328"/>
      <c r="I663" s="328"/>
      <c r="J663" s="328"/>
      <c r="K663" s="328"/>
      <c r="L663" s="328"/>
      <c r="M663" s="328"/>
      <c r="R663" s="328"/>
      <c r="S663" s="328"/>
      <c r="T663" s="328"/>
      <c r="U663" s="328"/>
      <c r="V663" s="328"/>
      <c r="W663" s="328"/>
      <c r="X663" s="328"/>
      <c r="Y663" s="328"/>
      <c r="Z663" s="328"/>
      <c r="AA663" s="328"/>
      <c r="AB663" s="328"/>
    </row>
    <row r="664" ht="15.75" customHeight="1">
      <c r="B664" s="328"/>
      <c r="C664" s="328"/>
      <c r="D664" s="328"/>
      <c r="E664" s="328"/>
      <c r="F664" s="328"/>
      <c r="G664" s="328"/>
      <c r="H664" s="328"/>
      <c r="I664" s="328"/>
      <c r="J664" s="328"/>
      <c r="K664" s="328"/>
      <c r="L664" s="328"/>
      <c r="M664" s="328"/>
      <c r="R664" s="328"/>
      <c r="S664" s="328"/>
      <c r="T664" s="328"/>
      <c r="U664" s="328"/>
      <c r="V664" s="328"/>
      <c r="W664" s="328"/>
      <c r="X664" s="328"/>
      <c r="Y664" s="328"/>
      <c r="Z664" s="328"/>
      <c r="AA664" s="328"/>
      <c r="AB664" s="328"/>
    </row>
    <row r="665" ht="15.75" customHeight="1">
      <c r="B665" s="328"/>
      <c r="C665" s="328"/>
      <c r="D665" s="328"/>
      <c r="E665" s="328"/>
      <c r="F665" s="328"/>
      <c r="G665" s="328"/>
      <c r="H665" s="328"/>
      <c r="I665" s="328"/>
      <c r="J665" s="328"/>
      <c r="K665" s="328"/>
      <c r="L665" s="328"/>
      <c r="M665" s="328"/>
      <c r="R665" s="328"/>
      <c r="S665" s="328"/>
      <c r="T665" s="328"/>
      <c r="U665" s="328"/>
      <c r="V665" s="328"/>
      <c r="W665" s="328"/>
      <c r="X665" s="328"/>
      <c r="Y665" s="328"/>
      <c r="Z665" s="328"/>
      <c r="AA665" s="328"/>
      <c r="AB665" s="328"/>
    </row>
    <row r="666" ht="15.75" customHeight="1">
      <c r="B666" s="328"/>
      <c r="C666" s="328"/>
      <c r="D666" s="328"/>
      <c r="E666" s="328"/>
      <c r="F666" s="328"/>
      <c r="G666" s="328"/>
      <c r="H666" s="328"/>
      <c r="I666" s="328"/>
      <c r="J666" s="328"/>
      <c r="K666" s="328"/>
      <c r="L666" s="328"/>
      <c r="M666" s="328"/>
      <c r="R666" s="328"/>
      <c r="S666" s="328"/>
      <c r="T666" s="328"/>
      <c r="U666" s="328"/>
      <c r="V666" s="328"/>
      <c r="W666" s="328"/>
      <c r="X666" s="328"/>
      <c r="Y666" s="328"/>
      <c r="Z666" s="328"/>
      <c r="AA666" s="328"/>
      <c r="AB666" s="328"/>
    </row>
    <row r="667" ht="15.75" customHeight="1">
      <c r="B667" s="328"/>
      <c r="C667" s="328"/>
      <c r="D667" s="328"/>
      <c r="E667" s="328"/>
      <c r="F667" s="328"/>
      <c r="G667" s="328"/>
      <c r="H667" s="328"/>
      <c r="I667" s="328"/>
      <c r="J667" s="328"/>
      <c r="K667" s="328"/>
      <c r="L667" s="328"/>
      <c r="M667" s="328"/>
      <c r="R667" s="328"/>
      <c r="S667" s="328"/>
      <c r="T667" s="328"/>
      <c r="U667" s="328"/>
      <c r="V667" s="328"/>
      <c r="W667" s="328"/>
      <c r="X667" s="328"/>
      <c r="Y667" s="328"/>
      <c r="Z667" s="328"/>
      <c r="AA667" s="328"/>
      <c r="AB667" s="328"/>
    </row>
    <row r="668" ht="15.75" customHeight="1">
      <c r="B668" s="328"/>
      <c r="C668" s="328"/>
      <c r="D668" s="328"/>
      <c r="E668" s="328"/>
      <c r="F668" s="328"/>
      <c r="G668" s="328"/>
      <c r="H668" s="328"/>
      <c r="I668" s="328"/>
      <c r="J668" s="328"/>
      <c r="K668" s="328"/>
      <c r="L668" s="328"/>
      <c r="M668" s="328"/>
      <c r="R668" s="328"/>
      <c r="S668" s="328"/>
      <c r="T668" s="328"/>
      <c r="U668" s="328"/>
      <c r="V668" s="328"/>
      <c r="W668" s="328"/>
      <c r="X668" s="328"/>
      <c r="Y668" s="328"/>
      <c r="Z668" s="328"/>
      <c r="AA668" s="328"/>
      <c r="AB668" s="328"/>
    </row>
    <row r="669" ht="15.75" customHeight="1">
      <c r="B669" s="328"/>
      <c r="C669" s="328"/>
      <c r="D669" s="328"/>
      <c r="E669" s="328"/>
      <c r="F669" s="328"/>
      <c r="G669" s="328"/>
      <c r="H669" s="328"/>
      <c r="I669" s="328"/>
      <c r="J669" s="328"/>
      <c r="K669" s="328"/>
      <c r="L669" s="328"/>
      <c r="M669" s="328"/>
      <c r="R669" s="328"/>
      <c r="S669" s="328"/>
      <c r="T669" s="328"/>
      <c r="U669" s="328"/>
      <c r="V669" s="328"/>
      <c r="W669" s="328"/>
      <c r="X669" s="328"/>
      <c r="Y669" s="328"/>
      <c r="Z669" s="328"/>
      <c r="AA669" s="328"/>
      <c r="AB669" s="328"/>
    </row>
    <row r="670" ht="15.75" customHeight="1">
      <c r="B670" s="328"/>
      <c r="C670" s="328"/>
      <c r="D670" s="328"/>
      <c r="E670" s="328"/>
      <c r="F670" s="328"/>
      <c r="G670" s="328"/>
      <c r="H670" s="328"/>
      <c r="I670" s="328"/>
      <c r="J670" s="328"/>
      <c r="K670" s="328"/>
      <c r="L670" s="328"/>
      <c r="M670" s="328"/>
      <c r="R670" s="328"/>
      <c r="S670" s="328"/>
      <c r="T670" s="328"/>
      <c r="U670" s="328"/>
      <c r="V670" s="328"/>
      <c r="W670" s="328"/>
      <c r="X670" s="328"/>
      <c r="Y670" s="328"/>
      <c r="Z670" s="328"/>
      <c r="AA670" s="328"/>
      <c r="AB670" s="328"/>
    </row>
    <row r="671" ht="15.75" customHeight="1">
      <c r="B671" s="328"/>
      <c r="C671" s="328"/>
      <c r="D671" s="328"/>
      <c r="E671" s="328"/>
      <c r="F671" s="328"/>
      <c r="G671" s="328"/>
      <c r="H671" s="328"/>
      <c r="I671" s="328"/>
      <c r="J671" s="328"/>
      <c r="K671" s="328"/>
      <c r="L671" s="328"/>
      <c r="M671" s="328"/>
      <c r="R671" s="328"/>
      <c r="S671" s="328"/>
      <c r="T671" s="328"/>
      <c r="U671" s="328"/>
      <c r="V671" s="328"/>
      <c r="W671" s="328"/>
      <c r="X671" s="328"/>
      <c r="Y671" s="328"/>
      <c r="Z671" s="328"/>
      <c r="AA671" s="328"/>
      <c r="AB671" s="328"/>
    </row>
    <row r="672" ht="15.75" customHeight="1">
      <c r="B672" s="328"/>
      <c r="C672" s="328"/>
      <c r="D672" s="328"/>
      <c r="E672" s="328"/>
      <c r="F672" s="328"/>
      <c r="G672" s="328"/>
      <c r="H672" s="328"/>
      <c r="I672" s="328"/>
      <c r="J672" s="328"/>
      <c r="K672" s="328"/>
      <c r="L672" s="328"/>
      <c r="M672" s="328"/>
      <c r="R672" s="328"/>
      <c r="S672" s="328"/>
      <c r="T672" s="328"/>
      <c r="U672" s="328"/>
      <c r="V672" s="328"/>
      <c r="W672" s="328"/>
      <c r="X672" s="328"/>
      <c r="Y672" s="328"/>
      <c r="Z672" s="328"/>
      <c r="AA672" s="328"/>
      <c r="AB672" s="328"/>
    </row>
    <row r="673" ht="15.75" customHeight="1">
      <c r="B673" s="328"/>
      <c r="C673" s="328"/>
      <c r="D673" s="328"/>
      <c r="E673" s="328"/>
      <c r="F673" s="328"/>
      <c r="G673" s="328"/>
      <c r="H673" s="328"/>
      <c r="I673" s="328"/>
      <c r="J673" s="328"/>
      <c r="K673" s="328"/>
      <c r="L673" s="328"/>
      <c r="M673" s="328"/>
      <c r="R673" s="328"/>
      <c r="S673" s="328"/>
      <c r="T673" s="328"/>
      <c r="U673" s="328"/>
      <c r="V673" s="328"/>
      <c r="W673" s="328"/>
      <c r="X673" s="328"/>
      <c r="Y673" s="328"/>
      <c r="Z673" s="328"/>
      <c r="AA673" s="328"/>
      <c r="AB673" s="328"/>
    </row>
    <row r="674" ht="15.75" customHeight="1">
      <c r="B674" s="328"/>
      <c r="C674" s="328"/>
      <c r="D674" s="328"/>
      <c r="E674" s="328"/>
      <c r="F674" s="328"/>
      <c r="G674" s="328"/>
      <c r="H674" s="328"/>
      <c r="I674" s="328"/>
      <c r="J674" s="328"/>
      <c r="K674" s="328"/>
      <c r="L674" s="328"/>
      <c r="M674" s="328"/>
      <c r="R674" s="328"/>
      <c r="S674" s="328"/>
      <c r="T674" s="328"/>
      <c r="U674" s="328"/>
      <c r="V674" s="328"/>
      <c r="W674" s="328"/>
      <c r="X674" s="328"/>
      <c r="Y674" s="328"/>
      <c r="Z674" s="328"/>
      <c r="AA674" s="328"/>
      <c r="AB674" s="328"/>
    </row>
    <row r="675" ht="15.75" customHeight="1">
      <c r="B675" s="328"/>
      <c r="C675" s="328"/>
      <c r="D675" s="328"/>
      <c r="E675" s="328"/>
      <c r="F675" s="328"/>
      <c r="G675" s="328"/>
      <c r="H675" s="328"/>
      <c r="I675" s="328"/>
      <c r="J675" s="328"/>
      <c r="K675" s="328"/>
      <c r="L675" s="328"/>
      <c r="M675" s="328"/>
      <c r="R675" s="328"/>
      <c r="S675" s="328"/>
      <c r="T675" s="328"/>
      <c r="U675" s="328"/>
      <c r="V675" s="328"/>
      <c r="W675" s="328"/>
      <c r="X675" s="328"/>
      <c r="Y675" s="328"/>
      <c r="Z675" s="328"/>
      <c r="AA675" s="328"/>
      <c r="AB675" s="328"/>
    </row>
    <row r="676" ht="15.75" customHeight="1">
      <c r="B676" s="328"/>
      <c r="C676" s="328"/>
      <c r="D676" s="328"/>
      <c r="E676" s="328"/>
      <c r="F676" s="328"/>
      <c r="G676" s="328"/>
      <c r="H676" s="328"/>
      <c r="I676" s="328"/>
      <c r="J676" s="328"/>
      <c r="K676" s="328"/>
      <c r="L676" s="328"/>
      <c r="M676" s="328"/>
      <c r="R676" s="328"/>
      <c r="S676" s="328"/>
      <c r="T676" s="328"/>
      <c r="U676" s="328"/>
      <c r="V676" s="328"/>
      <c r="W676" s="328"/>
      <c r="X676" s="328"/>
      <c r="Y676" s="328"/>
      <c r="Z676" s="328"/>
      <c r="AA676" s="328"/>
      <c r="AB676" s="328"/>
    </row>
    <row r="677" ht="15.75" customHeight="1">
      <c r="B677" s="328"/>
      <c r="C677" s="328"/>
      <c r="D677" s="328"/>
      <c r="E677" s="328"/>
      <c r="F677" s="328"/>
      <c r="G677" s="328"/>
      <c r="H677" s="328"/>
      <c r="I677" s="328"/>
      <c r="J677" s="328"/>
      <c r="K677" s="328"/>
      <c r="L677" s="328"/>
      <c r="M677" s="328"/>
      <c r="R677" s="328"/>
      <c r="S677" s="328"/>
      <c r="T677" s="328"/>
      <c r="U677" s="328"/>
      <c r="V677" s="328"/>
      <c r="W677" s="328"/>
      <c r="X677" s="328"/>
      <c r="Y677" s="328"/>
      <c r="Z677" s="328"/>
      <c r="AA677" s="328"/>
      <c r="AB677" s="328"/>
    </row>
    <row r="678" ht="15.75" customHeight="1">
      <c r="B678" s="328"/>
      <c r="C678" s="328"/>
      <c r="D678" s="328"/>
      <c r="E678" s="328"/>
      <c r="F678" s="328"/>
      <c r="G678" s="328"/>
      <c r="H678" s="328"/>
      <c r="I678" s="328"/>
      <c r="J678" s="328"/>
      <c r="K678" s="328"/>
      <c r="L678" s="328"/>
      <c r="M678" s="328"/>
      <c r="R678" s="328"/>
      <c r="S678" s="328"/>
      <c r="T678" s="328"/>
      <c r="U678" s="328"/>
      <c r="V678" s="328"/>
      <c r="W678" s="328"/>
      <c r="X678" s="328"/>
      <c r="Y678" s="328"/>
      <c r="Z678" s="328"/>
      <c r="AA678" s="328"/>
      <c r="AB678" s="328"/>
    </row>
    <row r="679" ht="15.75" customHeight="1">
      <c r="B679" s="328"/>
      <c r="C679" s="328"/>
      <c r="D679" s="328"/>
      <c r="E679" s="328"/>
      <c r="F679" s="328"/>
      <c r="G679" s="328"/>
      <c r="H679" s="328"/>
      <c r="I679" s="328"/>
      <c r="J679" s="328"/>
      <c r="K679" s="328"/>
      <c r="L679" s="328"/>
      <c r="M679" s="328"/>
      <c r="R679" s="328"/>
      <c r="S679" s="328"/>
      <c r="T679" s="328"/>
      <c r="U679" s="328"/>
      <c r="V679" s="328"/>
      <c r="W679" s="328"/>
      <c r="X679" s="328"/>
      <c r="Y679" s="328"/>
      <c r="Z679" s="328"/>
      <c r="AA679" s="328"/>
      <c r="AB679" s="328"/>
    </row>
    <row r="680" ht="15.75" customHeight="1">
      <c r="B680" s="328"/>
      <c r="C680" s="328"/>
      <c r="D680" s="328"/>
      <c r="E680" s="328"/>
      <c r="F680" s="328"/>
      <c r="G680" s="328"/>
      <c r="H680" s="328"/>
      <c r="I680" s="328"/>
      <c r="J680" s="328"/>
      <c r="K680" s="328"/>
      <c r="L680" s="328"/>
      <c r="M680" s="328"/>
      <c r="R680" s="328"/>
      <c r="S680" s="328"/>
      <c r="T680" s="328"/>
      <c r="U680" s="328"/>
      <c r="V680" s="328"/>
      <c r="W680" s="328"/>
      <c r="X680" s="328"/>
      <c r="Y680" s="328"/>
      <c r="Z680" s="328"/>
      <c r="AA680" s="328"/>
      <c r="AB680" s="328"/>
    </row>
    <row r="681" ht="15.75" customHeight="1">
      <c r="B681" s="328"/>
      <c r="C681" s="328"/>
      <c r="D681" s="328"/>
      <c r="E681" s="328"/>
      <c r="F681" s="328"/>
      <c r="G681" s="328"/>
      <c r="H681" s="328"/>
      <c r="I681" s="328"/>
      <c r="J681" s="328"/>
      <c r="K681" s="328"/>
      <c r="L681" s="328"/>
      <c r="M681" s="328"/>
      <c r="R681" s="328"/>
      <c r="S681" s="328"/>
      <c r="T681" s="328"/>
      <c r="U681" s="328"/>
      <c r="V681" s="328"/>
      <c r="W681" s="328"/>
      <c r="X681" s="328"/>
      <c r="Y681" s="328"/>
      <c r="Z681" s="328"/>
      <c r="AA681" s="328"/>
      <c r="AB681" s="328"/>
    </row>
    <row r="682" ht="15.75" customHeight="1">
      <c r="B682" s="328"/>
      <c r="C682" s="328"/>
      <c r="D682" s="328"/>
      <c r="E682" s="328"/>
      <c r="F682" s="328"/>
      <c r="G682" s="328"/>
      <c r="H682" s="328"/>
      <c r="I682" s="328"/>
      <c r="J682" s="328"/>
      <c r="K682" s="328"/>
      <c r="L682" s="328"/>
      <c r="M682" s="328"/>
      <c r="R682" s="328"/>
      <c r="S682" s="328"/>
      <c r="T682" s="328"/>
      <c r="U682" s="328"/>
      <c r="V682" s="328"/>
      <c r="W682" s="328"/>
      <c r="X682" s="328"/>
      <c r="Y682" s="328"/>
      <c r="Z682" s="328"/>
      <c r="AA682" s="328"/>
      <c r="AB682" s="328"/>
    </row>
    <row r="683" ht="15.75" customHeight="1">
      <c r="B683" s="328"/>
      <c r="C683" s="328"/>
      <c r="D683" s="328"/>
      <c r="E683" s="328"/>
      <c r="F683" s="328"/>
      <c r="G683" s="328"/>
      <c r="H683" s="328"/>
      <c r="I683" s="328"/>
      <c r="J683" s="328"/>
      <c r="K683" s="328"/>
      <c r="L683" s="328"/>
      <c r="M683" s="328"/>
      <c r="R683" s="328"/>
      <c r="S683" s="328"/>
      <c r="T683" s="328"/>
      <c r="U683" s="328"/>
      <c r="V683" s="328"/>
      <c r="W683" s="328"/>
      <c r="X683" s="328"/>
      <c r="Y683" s="328"/>
      <c r="Z683" s="328"/>
      <c r="AA683" s="328"/>
      <c r="AB683" s="328"/>
    </row>
    <row r="684" ht="15.75" customHeight="1">
      <c r="B684" s="328"/>
      <c r="C684" s="328"/>
      <c r="D684" s="328"/>
      <c r="E684" s="328"/>
      <c r="F684" s="328"/>
      <c r="G684" s="328"/>
      <c r="H684" s="328"/>
      <c r="I684" s="328"/>
      <c r="J684" s="328"/>
      <c r="K684" s="328"/>
      <c r="L684" s="328"/>
      <c r="M684" s="328"/>
      <c r="R684" s="328"/>
      <c r="S684" s="328"/>
      <c r="T684" s="328"/>
      <c r="U684" s="328"/>
      <c r="V684" s="328"/>
      <c r="W684" s="328"/>
      <c r="X684" s="328"/>
      <c r="Y684" s="328"/>
      <c r="Z684" s="328"/>
      <c r="AA684" s="328"/>
      <c r="AB684" s="328"/>
    </row>
    <row r="685" ht="15.75" customHeight="1">
      <c r="B685" s="328"/>
      <c r="C685" s="328"/>
      <c r="D685" s="328"/>
      <c r="E685" s="328"/>
      <c r="F685" s="328"/>
      <c r="G685" s="328"/>
      <c r="H685" s="328"/>
      <c r="I685" s="328"/>
      <c r="J685" s="328"/>
      <c r="K685" s="328"/>
      <c r="L685" s="328"/>
      <c r="M685" s="328"/>
      <c r="R685" s="328"/>
      <c r="S685" s="328"/>
      <c r="T685" s="328"/>
      <c r="U685" s="328"/>
      <c r="V685" s="328"/>
      <c r="W685" s="328"/>
      <c r="X685" s="328"/>
      <c r="Y685" s="328"/>
      <c r="Z685" s="328"/>
      <c r="AA685" s="328"/>
      <c r="AB685" s="328"/>
    </row>
    <row r="686" ht="15.75" customHeight="1">
      <c r="B686" s="328"/>
      <c r="C686" s="328"/>
      <c r="D686" s="328"/>
      <c r="E686" s="328"/>
      <c r="F686" s="328"/>
      <c r="G686" s="328"/>
      <c r="H686" s="328"/>
      <c r="I686" s="328"/>
      <c r="J686" s="328"/>
      <c r="K686" s="328"/>
      <c r="L686" s="328"/>
      <c r="M686" s="328"/>
      <c r="R686" s="328"/>
      <c r="S686" s="328"/>
      <c r="T686" s="328"/>
      <c r="U686" s="328"/>
      <c r="V686" s="328"/>
      <c r="W686" s="328"/>
      <c r="X686" s="328"/>
      <c r="Y686" s="328"/>
      <c r="Z686" s="328"/>
      <c r="AA686" s="328"/>
      <c r="AB686" s="328"/>
    </row>
    <row r="687" ht="15.75" customHeight="1">
      <c r="B687" s="328"/>
      <c r="C687" s="328"/>
      <c r="D687" s="328"/>
      <c r="E687" s="328"/>
      <c r="F687" s="328"/>
      <c r="G687" s="328"/>
      <c r="H687" s="328"/>
      <c r="I687" s="328"/>
      <c r="J687" s="328"/>
      <c r="K687" s="328"/>
      <c r="L687" s="328"/>
      <c r="M687" s="328"/>
      <c r="R687" s="328"/>
      <c r="S687" s="328"/>
      <c r="T687" s="328"/>
      <c r="U687" s="328"/>
      <c r="V687" s="328"/>
      <c r="W687" s="328"/>
      <c r="X687" s="328"/>
      <c r="Y687" s="328"/>
      <c r="Z687" s="328"/>
      <c r="AA687" s="328"/>
      <c r="AB687" s="328"/>
    </row>
    <row r="688" ht="15.75" customHeight="1">
      <c r="B688" s="328"/>
      <c r="C688" s="328"/>
      <c r="D688" s="328"/>
      <c r="E688" s="328"/>
      <c r="F688" s="328"/>
      <c r="G688" s="328"/>
      <c r="H688" s="328"/>
      <c r="I688" s="328"/>
      <c r="J688" s="328"/>
      <c r="K688" s="328"/>
      <c r="L688" s="328"/>
      <c r="M688" s="328"/>
      <c r="R688" s="328"/>
      <c r="S688" s="328"/>
      <c r="T688" s="328"/>
      <c r="U688" s="328"/>
      <c r="V688" s="328"/>
      <c r="W688" s="328"/>
      <c r="X688" s="328"/>
      <c r="Y688" s="328"/>
      <c r="Z688" s="328"/>
      <c r="AA688" s="328"/>
      <c r="AB688" s="328"/>
    </row>
    <row r="689" ht="15.75" customHeight="1">
      <c r="B689" s="328"/>
      <c r="C689" s="328"/>
      <c r="D689" s="328"/>
      <c r="E689" s="328"/>
      <c r="F689" s="328"/>
      <c r="G689" s="328"/>
      <c r="H689" s="328"/>
      <c r="I689" s="328"/>
      <c r="J689" s="328"/>
      <c r="K689" s="328"/>
      <c r="L689" s="328"/>
      <c r="M689" s="328"/>
      <c r="R689" s="328"/>
      <c r="S689" s="328"/>
      <c r="T689" s="328"/>
      <c r="U689" s="328"/>
      <c r="V689" s="328"/>
      <c r="W689" s="328"/>
      <c r="X689" s="328"/>
      <c r="Y689" s="328"/>
      <c r="Z689" s="328"/>
      <c r="AA689" s="328"/>
      <c r="AB689" s="328"/>
    </row>
    <row r="690" ht="15.75" customHeight="1">
      <c r="B690" s="328"/>
      <c r="C690" s="328"/>
      <c r="D690" s="328"/>
      <c r="E690" s="328"/>
      <c r="F690" s="328"/>
      <c r="G690" s="328"/>
      <c r="H690" s="328"/>
      <c r="I690" s="328"/>
      <c r="J690" s="328"/>
      <c r="K690" s="328"/>
      <c r="L690" s="328"/>
      <c r="M690" s="328"/>
      <c r="R690" s="328"/>
      <c r="S690" s="328"/>
      <c r="T690" s="328"/>
      <c r="U690" s="328"/>
      <c r="V690" s="328"/>
      <c r="W690" s="328"/>
      <c r="X690" s="328"/>
      <c r="Y690" s="328"/>
      <c r="Z690" s="328"/>
      <c r="AA690" s="328"/>
      <c r="AB690" s="328"/>
    </row>
    <row r="691" ht="15.75" customHeight="1">
      <c r="B691" s="328"/>
      <c r="C691" s="328"/>
      <c r="D691" s="328"/>
      <c r="E691" s="328"/>
      <c r="F691" s="328"/>
      <c r="G691" s="328"/>
      <c r="H691" s="328"/>
      <c r="I691" s="328"/>
      <c r="J691" s="328"/>
      <c r="K691" s="328"/>
      <c r="L691" s="328"/>
      <c r="M691" s="328"/>
      <c r="R691" s="328"/>
      <c r="S691" s="328"/>
      <c r="T691" s="328"/>
      <c r="U691" s="328"/>
      <c r="V691" s="328"/>
      <c r="W691" s="328"/>
      <c r="X691" s="328"/>
      <c r="Y691" s="328"/>
      <c r="Z691" s="328"/>
      <c r="AA691" s="328"/>
      <c r="AB691" s="328"/>
    </row>
    <row r="692" ht="15.75" customHeight="1">
      <c r="B692" s="328"/>
      <c r="C692" s="328"/>
      <c r="D692" s="328"/>
      <c r="E692" s="328"/>
      <c r="F692" s="328"/>
      <c r="G692" s="328"/>
      <c r="H692" s="328"/>
      <c r="I692" s="328"/>
      <c r="J692" s="328"/>
      <c r="K692" s="328"/>
      <c r="L692" s="328"/>
      <c r="M692" s="328"/>
      <c r="R692" s="328"/>
      <c r="S692" s="328"/>
      <c r="T692" s="328"/>
      <c r="U692" s="328"/>
      <c r="V692" s="328"/>
      <c r="W692" s="328"/>
      <c r="X692" s="328"/>
      <c r="Y692" s="328"/>
      <c r="Z692" s="328"/>
      <c r="AA692" s="328"/>
      <c r="AB692" s="328"/>
    </row>
    <row r="693" ht="15.75" customHeight="1">
      <c r="B693" s="328"/>
      <c r="C693" s="328"/>
      <c r="D693" s="328"/>
      <c r="E693" s="328"/>
      <c r="F693" s="328"/>
      <c r="G693" s="328"/>
      <c r="H693" s="328"/>
      <c r="I693" s="328"/>
      <c r="J693" s="328"/>
      <c r="K693" s="328"/>
      <c r="L693" s="328"/>
      <c r="M693" s="328"/>
      <c r="R693" s="328"/>
      <c r="S693" s="328"/>
      <c r="T693" s="328"/>
      <c r="U693" s="328"/>
      <c r="V693" s="328"/>
      <c r="W693" s="328"/>
      <c r="X693" s="328"/>
      <c r="Y693" s="328"/>
      <c r="Z693" s="328"/>
      <c r="AA693" s="328"/>
      <c r="AB693" s="328"/>
    </row>
    <row r="694" ht="15.75" customHeight="1">
      <c r="B694" s="328"/>
      <c r="C694" s="328"/>
      <c r="D694" s="328"/>
      <c r="E694" s="328"/>
      <c r="F694" s="328"/>
      <c r="G694" s="328"/>
      <c r="H694" s="328"/>
      <c r="I694" s="328"/>
      <c r="J694" s="328"/>
      <c r="K694" s="328"/>
      <c r="L694" s="328"/>
      <c r="M694" s="328"/>
      <c r="R694" s="328"/>
      <c r="S694" s="328"/>
      <c r="T694" s="328"/>
      <c r="U694" s="328"/>
      <c r="V694" s="328"/>
      <c r="W694" s="328"/>
      <c r="X694" s="328"/>
      <c r="Y694" s="328"/>
      <c r="Z694" s="328"/>
      <c r="AA694" s="328"/>
      <c r="AB694" s="328"/>
    </row>
    <row r="695" ht="15.75" customHeight="1">
      <c r="B695" s="328"/>
      <c r="C695" s="328"/>
      <c r="D695" s="328"/>
      <c r="E695" s="328"/>
      <c r="F695" s="328"/>
      <c r="G695" s="328"/>
      <c r="H695" s="328"/>
      <c r="I695" s="328"/>
      <c r="J695" s="328"/>
      <c r="K695" s="328"/>
      <c r="L695" s="328"/>
      <c r="M695" s="328"/>
      <c r="R695" s="328"/>
      <c r="S695" s="328"/>
      <c r="T695" s="328"/>
      <c r="U695" s="328"/>
      <c r="V695" s="328"/>
      <c r="W695" s="328"/>
      <c r="X695" s="328"/>
      <c r="Y695" s="328"/>
      <c r="Z695" s="328"/>
      <c r="AA695" s="328"/>
      <c r="AB695" s="328"/>
    </row>
    <row r="696" ht="15.75" customHeight="1">
      <c r="B696" s="328"/>
      <c r="C696" s="328"/>
      <c r="D696" s="328"/>
      <c r="E696" s="328"/>
      <c r="F696" s="328"/>
      <c r="G696" s="328"/>
      <c r="H696" s="328"/>
      <c r="I696" s="328"/>
      <c r="J696" s="328"/>
      <c r="K696" s="328"/>
      <c r="L696" s="328"/>
      <c r="M696" s="328"/>
      <c r="R696" s="328"/>
      <c r="S696" s="328"/>
      <c r="T696" s="328"/>
      <c r="U696" s="328"/>
      <c r="V696" s="328"/>
      <c r="W696" s="328"/>
      <c r="X696" s="328"/>
      <c r="Y696" s="328"/>
      <c r="Z696" s="328"/>
      <c r="AA696" s="328"/>
      <c r="AB696" s="328"/>
    </row>
    <row r="697" ht="15.75" customHeight="1">
      <c r="B697" s="328"/>
      <c r="C697" s="328"/>
      <c r="D697" s="328"/>
      <c r="E697" s="328"/>
      <c r="F697" s="328"/>
      <c r="G697" s="328"/>
      <c r="H697" s="328"/>
      <c r="I697" s="328"/>
      <c r="J697" s="328"/>
      <c r="K697" s="328"/>
      <c r="L697" s="328"/>
      <c r="M697" s="328"/>
      <c r="R697" s="328"/>
      <c r="S697" s="328"/>
      <c r="T697" s="328"/>
      <c r="U697" s="328"/>
      <c r="V697" s="328"/>
      <c r="W697" s="328"/>
      <c r="X697" s="328"/>
      <c r="Y697" s="328"/>
      <c r="Z697" s="328"/>
      <c r="AA697" s="328"/>
      <c r="AB697" s="328"/>
    </row>
    <row r="698" ht="15.75" customHeight="1">
      <c r="B698" s="328"/>
      <c r="C698" s="328"/>
      <c r="D698" s="328"/>
      <c r="E698" s="328"/>
      <c r="F698" s="328"/>
      <c r="G698" s="328"/>
      <c r="H698" s="328"/>
      <c r="I698" s="328"/>
      <c r="J698" s="328"/>
      <c r="K698" s="328"/>
      <c r="L698" s="328"/>
      <c r="M698" s="328"/>
      <c r="R698" s="328"/>
      <c r="S698" s="328"/>
      <c r="T698" s="328"/>
      <c r="U698" s="328"/>
      <c r="V698" s="328"/>
      <c r="W698" s="328"/>
      <c r="X698" s="328"/>
      <c r="Y698" s="328"/>
      <c r="Z698" s="328"/>
      <c r="AA698" s="328"/>
      <c r="AB698" s="328"/>
    </row>
    <row r="699" ht="15.75" customHeight="1">
      <c r="B699" s="328"/>
      <c r="C699" s="328"/>
      <c r="D699" s="328"/>
      <c r="E699" s="328"/>
      <c r="F699" s="328"/>
      <c r="G699" s="328"/>
      <c r="H699" s="328"/>
      <c r="I699" s="328"/>
      <c r="J699" s="328"/>
      <c r="K699" s="328"/>
      <c r="L699" s="328"/>
      <c r="M699" s="328"/>
      <c r="R699" s="328"/>
      <c r="S699" s="328"/>
      <c r="T699" s="328"/>
      <c r="U699" s="328"/>
      <c r="V699" s="328"/>
      <c r="W699" s="328"/>
      <c r="X699" s="328"/>
      <c r="Y699" s="328"/>
      <c r="Z699" s="328"/>
      <c r="AA699" s="328"/>
      <c r="AB699" s="328"/>
    </row>
    <row r="700" ht="15.75" customHeight="1">
      <c r="B700" s="328"/>
      <c r="C700" s="328"/>
      <c r="D700" s="328"/>
      <c r="E700" s="328"/>
      <c r="F700" s="328"/>
      <c r="G700" s="328"/>
      <c r="H700" s="328"/>
      <c r="I700" s="328"/>
      <c r="J700" s="328"/>
      <c r="K700" s="328"/>
      <c r="L700" s="328"/>
      <c r="M700" s="328"/>
      <c r="R700" s="328"/>
      <c r="S700" s="328"/>
      <c r="T700" s="328"/>
      <c r="U700" s="328"/>
      <c r="V700" s="328"/>
      <c r="W700" s="328"/>
      <c r="X700" s="328"/>
      <c r="Y700" s="328"/>
      <c r="Z700" s="328"/>
      <c r="AA700" s="328"/>
      <c r="AB700" s="328"/>
    </row>
    <row r="701" ht="15.75" customHeight="1">
      <c r="B701" s="328"/>
      <c r="C701" s="328"/>
      <c r="D701" s="328"/>
      <c r="E701" s="328"/>
      <c r="F701" s="328"/>
      <c r="G701" s="328"/>
      <c r="H701" s="328"/>
      <c r="I701" s="328"/>
      <c r="J701" s="328"/>
      <c r="K701" s="328"/>
      <c r="L701" s="328"/>
      <c r="M701" s="328"/>
      <c r="R701" s="328"/>
      <c r="S701" s="328"/>
      <c r="T701" s="328"/>
      <c r="U701" s="328"/>
      <c r="V701" s="328"/>
      <c r="W701" s="328"/>
      <c r="X701" s="328"/>
      <c r="Y701" s="328"/>
      <c r="Z701" s="328"/>
      <c r="AA701" s="328"/>
      <c r="AB701" s="328"/>
    </row>
    <row r="702" ht="15.75" customHeight="1">
      <c r="B702" s="328"/>
      <c r="C702" s="328"/>
      <c r="D702" s="328"/>
      <c r="E702" s="328"/>
      <c r="F702" s="328"/>
      <c r="G702" s="328"/>
      <c r="H702" s="328"/>
      <c r="I702" s="328"/>
      <c r="J702" s="328"/>
      <c r="K702" s="328"/>
      <c r="L702" s="328"/>
      <c r="M702" s="328"/>
      <c r="R702" s="328"/>
      <c r="S702" s="328"/>
      <c r="T702" s="328"/>
      <c r="U702" s="328"/>
      <c r="V702" s="328"/>
      <c r="W702" s="328"/>
      <c r="X702" s="328"/>
      <c r="Y702" s="328"/>
      <c r="Z702" s="328"/>
      <c r="AA702" s="328"/>
      <c r="AB702" s="328"/>
    </row>
    <row r="703" ht="15.75" customHeight="1">
      <c r="B703" s="328"/>
      <c r="C703" s="328"/>
      <c r="D703" s="328"/>
      <c r="E703" s="328"/>
      <c r="F703" s="328"/>
      <c r="G703" s="328"/>
      <c r="H703" s="328"/>
      <c r="I703" s="328"/>
      <c r="J703" s="328"/>
      <c r="K703" s="328"/>
      <c r="L703" s="328"/>
      <c r="M703" s="328"/>
      <c r="R703" s="328"/>
      <c r="S703" s="328"/>
      <c r="T703" s="328"/>
      <c r="U703" s="328"/>
      <c r="V703" s="328"/>
      <c r="W703" s="328"/>
      <c r="X703" s="328"/>
      <c r="Y703" s="328"/>
      <c r="Z703" s="328"/>
      <c r="AA703" s="328"/>
      <c r="AB703" s="328"/>
    </row>
    <row r="704" ht="15.75" customHeight="1">
      <c r="B704" s="328"/>
      <c r="C704" s="328"/>
      <c r="D704" s="328"/>
      <c r="E704" s="328"/>
      <c r="F704" s="328"/>
      <c r="G704" s="328"/>
      <c r="H704" s="328"/>
      <c r="I704" s="328"/>
      <c r="J704" s="328"/>
      <c r="K704" s="328"/>
      <c r="L704" s="328"/>
      <c r="M704" s="328"/>
      <c r="R704" s="328"/>
      <c r="S704" s="328"/>
      <c r="T704" s="328"/>
      <c r="U704" s="328"/>
      <c r="V704" s="328"/>
      <c r="W704" s="328"/>
      <c r="X704" s="328"/>
      <c r="Y704" s="328"/>
      <c r="Z704" s="328"/>
      <c r="AA704" s="328"/>
      <c r="AB704" s="328"/>
    </row>
    <row r="705" ht="15.75" customHeight="1">
      <c r="B705" s="328"/>
      <c r="C705" s="328"/>
      <c r="D705" s="328"/>
      <c r="E705" s="328"/>
      <c r="F705" s="328"/>
      <c r="G705" s="328"/>
      <c r="H705" s="328"/>
      <c r="I705" s="328"/>
      <c r="J705" s="328"/>
      <c r="K705" s="328"/>
      <c r="L705" s="328"/>
      <c r="M705" s="328"/>
      <c r="R705" s="328"/>
      <c r="S705" s="328"/>
      <c r="T705" s="328"/>
      <c r="U705" s="328"/>
      <c r="V705" s="328"/>
      <c r="W705" s="328"/>
      <c r="X705" s="328"/>
      <c r="Y705" s="328"/>
      <c r="Z705" s="328"/>
      <c r="AA705" s="328"/>
      <c r="AB705" s="328"/>
    </row>
    <row r="706" ht="15.75" customHeight="1">
      <c r="B706" s="328"/>
      <c r="C706" s="328"/>
      <c r="D706" s="328"/>
      <c r="E706" s="328"/>
      <c r="F706" s="328"/>
      <c r="G706" s="328"/>
      <c r="H706" s="328"/>
      <c r="I706" s="328"/>
      <c r="J706" s="328"/>
      <c r="K706" s="328"/>
      <c r="L706" s="328"/>
      <c r="M706" s="328"/>
      <c r="R706" s="328"/>
      <c r="S706" s="328"/>
      <c r="T706" s="328"/>
      <c r="U706" s="328"/>
      <c r="V706" s="328"/>
      <c r="W706" s="328"/>
      <c r="X706" s="328"/>
      <c r="Y706" s="328"/>
      <c r="Z706" s="328"/>
      <c r="AA706" s="328"/>
      <c r="AB706" s="328"/>
    </row>
    <row r="707" ht="15.75" customHeight="1">
      <c r="B707" s="328"/>
      <c r="C707" s="328"/>
      <c r="D707" s="328"/>
      <c r="E707" s="328"/>
      <c r="F707" s="328"/>
      <c r="G707" s="328"/>
      <c r="H707" s="328"/>
      <c r="I707" s="328"/>
      <c r="J707" s="328"/>
      <c r="K707" s="328"/>
      <c r="L707" s="328"/>
      <c r="M707" s="328"/>
      <c r="R707" s="328"/>
      <c r="S707" s="328"/>
      <c r="T707" s="328"/>
      <c r="U707" s="328"/>
      <c r="V707" s="328"/>
      <c r="W707" s="328"/>
      <c r="X707" s="328"/>
      <c r="Y707" s="328"/>
      <c r="Z707" s="328"/>
      <c r="AA707" s="328"/>
      <c r="AB707" s="328"/>
    </row>
    <row r="708" ht="15.75" customHeight="1">
      <c r="B708" s="328"/>
      <c r="C708" s="328"/>
      <c r="D708" s="328"/>
      <c r="E708" s="328"/>
      <c r="F708" s="328"/>
      <c r="G708" s="328"/>
      <c r="H708" s="328"/>
      <c r="I708" s="328"/>
      <c r="J708" s="328"/>
      <c r="K708" s="328"/>
      <c r="L708" s="328"/>
      <c r="M708" s="328"/>
      <c r="R708" s="328"/>
      <c r="S708" s="328"/>
      <c r="T708" s="328"/>
      <c r="U708" s="328"/>
      <c r="V708" s="328"/>
      <c r="W708" s="328"/>
      <c r="X708" s="328"/>
      <c r="Y708" s="328"/>
      <c r="Z708" s="328"/>
      <c r="AA708" s="328"/>
      <c r="AB708" s="328"/>
    </row>
    <row r="709" ht="15.75" customHeight="1">
      <c r="B709" s="328"/>
      <c r="C709" s="328"/>
      <c r="D709" s="328"/>
      <c r="E709" s="328"/>
      <c r="F709" s="328"/>
      <c r="G709" s="328"/>
      <c r="H709" s="328"/>
      <c r="I709" s="328"/>
      <c r="J709" s="328"/>
      <c r="K709" s="328"/>
      <c r="L709" s="328"/>
      <c r="M709" s="328"/>
      <c r="R709" s="328"/>
      <c r="S709" s="328"/>
      <c r="T709" s="328"/>
      <c r="U709" s="328"/>
      <c r="V709" s="328"/>
      <c r="W709" s="328"/>
      <c r="X709" s="328"/>
      <c r="Y709" s="328"/>
      <c r="Z709" s="328"/>
      <c r="AA709" s="328"/>
      <c r="AB709" s="328"/>
    </row>
    <row r="710" ht="15.75" customHeight="1">
      <c r="B710" s="328"/>
      <c r="C710" s="328"/>
      <c r="D710" s="328"/>
      <c r="E710" s="328"/>
      <c r="F710" s="328"/>
      <c r="G710" s="328"/>
      <c r="H710" s="328"/>
      <c r="I710" s="328"/>
      <c r="J710" s="328"/>
      <c r="K710" s="328"/>
      <c r="L710" s="328"/>
      <c r="M710" s="328"/>
      <c r="R710" s="328"/>
      <c r="S710" s="328"/>
      <c r="T710" s="328"/>
      <c r="U710" s="328"/>
      <c r="V710" s="328"/>
      <c r="W710" s="328"/>
      <c r="X710" s="328"/>
      <c r="Y710" s="328"/>
      <c r="Z710" s="328"/>
      <c r="AA710" s="328"/>
      <c r="AB710" s="328"/>
    </row>
    <row r="711" ht="15.75" customHeight="1">
      <c r="B711" s="328"/>
      <c r="C711" s="328"/>
      <c r="D711" s="328"/>
      <c r="E711" s="328"/>
      <c r="F711" s="328"/>
      <c r="G711" s="328"/>
      <c r="H711" s="328"/>
      <c r="I711" s="328"/>
      <c r="J711" s="328"/>
      <c r="K711" s="328"/>
      <c r="L711" s="328"/>
      <c r="M711" s="328"/>
      <c r="R711" s="328"/>
      <c r="S711" s="328"/>
      <c r="T711" s="328"/>
      <c r="U711" s="328"/>
      <c r="V711" s="328"/>
      <c r="W711" s="328"/>
      <c r="X711" s="328"/>
      <c r="Y711" s="328"/>
      <c r="Z711" s="328"/>
      <c r="AA711" s="328"/>
      <c r="AB711" s="328"/>
    </row>
    <row r="712" ht="15.75" customHeight="1">
      <c r="B712" s="328"/>
      <c r="C712" s="328"/>
      <c r="D712" s="328"/>
      <c r="E712" s="328"/>
      <c r="F712" s="328"/>
      <c r="G712" s="328"/>
      <c r="H712" s="328"/>
      <c r="I712" s="328"/>
      <c r="J712" s="328"/>
      <c r="K712" s="328"/>
      <c r="L712" s="328"/>
      <c r="M712" s="328"/>
      <c r="R712" s="328"/>
      <c r="S712" s="328"/>
      <c r="T712" s="328"/>
      <c r="U712" s="328"/>
      <c r="V712" s="328"/>
      <c r="W712" s="328"/>
      <c r="X712" s="328"/>
      <c r="Y712" s="328"/>
      <c r="Z712" s="328"/>
      <c r="AA712" s="328"/>
      <c r="AB712" s="328"/>
    </row>
    <row r="713" ht="15.75" customHeight="1">
      <c r="B713" s="328"/>
      <c r="C713" s="328"/>
      <c r="D713" s="328"/>
      <c r="E713" s="328"/>
      <c r="F713" s="328"/>
      <c r="G713" s="328"/>
      <c r="H713" s="328"/>
      <c r="I713" s="328"/>
      <c r="J713" s="328"/>
      <c r="K713" s="328"/>
      <c r="L713" s="328"/>
      <c r="M713" s="328"/>
      <c r="R713" s="328"/>
      <c r="S713" s="328"/>
      <c r="T713" s="328"/>
      <c r="U713" s="328"/>
      <c r="V713" s="328"/>
      <c r="W713" s="328"/>
      <c r="X713" s="328"/>
      <c r="Y713" s="328"/>
      <c r="Z713" s="328"/>
      <c r="AA713" s="328"/>
      <c r="AB713" s="328"/>
    </row>
    <row r="714" ht="15.75" customHeight="1">
      <c r="B714" s="328"/>
      <c r="C714" s="328"/>
      <c r="D714" s="328"/>
      <c r="E714" s="328"/>
      <c r="F714" s="328"/>
      <c r="G714" s="328"/>
      <c r="H714" s="328"/>
      <c r="I714" s="328"/>
      <c r="J714" s="328"/>
      <c r="K714" s="328"/>
      <c r="L714" s="328"/>
      <c r="M714" s="328"/>
      <c r="R714" s="328"/>
      <c r="S714" s="328"/>
      <c r="T714" s="328"/>
      <c r="U714" s="328"/>
      <c r="V714" s="328"/>
      <c r="W714" s="328"/>
      <c r="X714" s="328"/>
      <c r="Y714" s="328"/>
      <c r="Z714" s="328"/>
      <c r="AA714" s="328"/>
      <c r="AB714" s="328"/>
    </row>
    <row r="715" ht="15.75" customHeight="1">
      <c r="B715" s="328"/>
      <c r="C715" s="328"/>
      <c r="D715" s="328"/>
      <c r="E715" s="328"/>
      <c r="F715" s="328"/>
      <c r="G715" s="328"/>
      <c r="H715" s="328"/>
      <c r="I715" s="328"/>
      <c r="J715" s="328"/>
      <c r="K715" s="328"/>
      <c r="L715" s="328"/>
      <c r="M715" s="328"/>
      <c r="R715" s="328"/>
      <c r="S715" s="328"/>
      <c r="T715" s="328"/>
      <c r="U715" s="328"/>
      <c r="V715" s="328"/>
      <c r="W715" s="328"/>
      <c r="X715" s="328"/>
      <c r="Y715" s="328"/>
      <c r="Z715" s="328"/>
      <c r="AA715" s="328"/>
      <c r="AB715" s="328"/>
    </row>
    <row r="716" ht="15.75" customHeight="1">
      <c r="B716" s="328"/>
      <c r="C716" s="328"/>
      <c r="D716" s="328"/>
      <c r="E716" s="328"/>
      <c r="F716" s="328"/>
      <c r="G716" s="328"/>
      <c r="H716" s="328"/>
      <c r="I716" s="328"/>
      <c r="J716" s="328"/>
      <c r="K716" s="328"/>
      <c r="L716" s="328"/>
      <c r="M716" s="328"/>
      <c r="R716" s="328"/>
      <c r="S716" s="328"/>
      <c r="T716" s="328"/>
      <c r="U716" s="328"/>
      <c r="V716" s="328"/>
      <c r="W716" s="328"/>
      <c r="X716" s="328"/>
      <c r="Y716" s="328"/>
      <c r="Z716" s="328"/>
      <c r="AA716" s="328"/>
      <c r="AB716" s="328"/>
    </row>
    <row r="717" ht="15.75" customHeight="1">
      <c r="B717" s="328"/>
      <c r="C717" s="328"/>
      <c r="D717" s="328"/>
      <c r="E717" s="328"/>
      <c r="F717" s="328"/>
      <c r="G717" s="328"/>
      <c r="H717" s="328"/>
      <c r="I717" s="328"/>
      <c r="J717" s="328"/>
      <c r="K717" s="328"/>
      <c r="L717" s="328"/>
      <c r="M717" s="328"/>
      <c r="R717" s="328"/>
      <c r="S717" s="328"/>
      <c r="T717" s="328"/>
      <c r="U717" s="328"/>
      <c r="V717" s="328"/>
      <c r="W717" s="328"/>
      <c r="X717" s="328"/>
      <c r="Y717" s="328"/>
      <c r="Z717" s="328"/>
      <c r="AA717" s="328"/>
      <c r="AB717" s="328"/>
    </row>
    <row r="718" ht="15.75" customHeight="1">
      <c r="B718" s="328"/>
      <c r="C718" s="328"/>
      <c r="D718" s="328"/>
      <c r="E718" s="328"/>
      <c r="F718" s="328"/>
      <c r="G718" s="328"/>
      <c r="H718" s="328"/>
      <c r="I718" s="328"/>
      <c r="J718" s="328"/>
      <c r="K718" s="328"/>
      <c r="L718" s="328"/>
      <c r="M718" s="328"/>
      <c r="R718" s="328"/>
      <c r="S718" s="328"/>
      <c r="T718" s="328"/>
      <c r="U718" s="328"/>
      <c r="V718" s="328"/>
      <c r="W718" s="328"/>
      <c r="X718" s="328"/>
      <c r="Y718" s="328"/>
      <c r="Z718" s="328"/>
      <c r="AA718" s="328"/>
      <c r="AB718" s="328"/>
    </row>
    <row r="719" ht="15.75" customHeight="1">
      <c r="B719" s="328"/>
      <c r="C719" s="328"/>
      <c r="D719" s="328"/>
      <c r="E719" s="328"/>
      <c r="F719" s="328"/>
      <c r="G719" s="328"/>
      <c r="H719" s="328"/>
      <c r="I719" s="328"/>
      <c r="J719" s="328"/>
      <c r="K719" s="328"/>
      <c r="L719" s="328"/>
      <c r="M719" s="328"/>
      <c r="R719" s="328"/>
      <c r="S719" s="328"/>
      <c r="T719" s="328"/>
      <c r="U719" s="328"/>
      <c r="V719" s="328"/>
      <c r="W719" s="328"/>
      <c r="X719" s="328"/>
      <c r="Y719" s="328"/>
      <c r="Z719" s="328"/>
      <c r="AA719" s="328"/>
      <c r="AB719" s="328"/>
    </row>
    <row r="720" ht="15.75" customHeight="1">
      <c r="B720" s="328"/>
      <c r="C720" s="328"/>
      <c r="D720" s="328"/>
      <c r="E720" s="328"/>
      <c r="F720" s="328"/>
      <c r="G720" s="328"/>
      <c r="H720" s="328"/>
      <c r="I720" s="328"/>
      <c r="J720" s="328"/>
      <c r="K720" s="328"/>
      <c r="L720" s="328"/>
      <c r="M720" s="328"/>
      <c r="R720" s="328"/>
      <c r="S720" s="328"/>
      <c r="T720" s="328"/>
      <c r="U720" s="328"/>
      <c r="V720" s="328"/>
      <c r="W720" s="328"/>
      <c r="X720" s="328"/>
      <c r="Y720" s="328"/>
      <c r="Z720" s="328"/>
      <c r="AA720" s="328"/>
      <c r="AB720" s="328"/>
    </row>
    <row r="721" ht="15.75" customHeight="1">
      <c r="B721" s="328"/>
      <c r="C721" s="328"/>
      <c r="D721" s="328"/>
      <c r="E721" s="328"/>
      <c r="F721" s="328"/>
      <c r="G721" s="328"/>
      <c r="H721" s="328"/>
      <c r="I721" s="328"/>
      <c r="J721" s="328"/>
      <c r="K721" s="328"/>
      <c r="L721" s="328"/>
      <c r="M721" s="328"/>
      <c r="R721" s="328"/>
      <c r="S721" s="328"/>
      <c r="T721" s="328"/>
      <c r="U721" s="328"/>
      <c r="V721" s="328"/>
      <c r="W721" s="328"/>
      <c r="X721" s="328"/>
      <c r="Y721" s="328"/>
      <c r="Z721" s="328"/>
      <c r="AA721" s="328"/>
      <c r="AB721" s="328"/>
    </row>
    <row r="722" ht="15.75" customHeight="1">
      <c r="B722" s="328"/>
      <c r="C722" s="328"/>
      <c r="D722" s="328"/>
      <c r="E722" s="328"/>
      <c r="F722" s="328"/>
      <c r="G722" s="328"/>
      <c r="H722" s="328"/>
      <c r="I722" s="328"/>
      <c r="J722" s="328"/>
      <c r="K722" s="328"/>
      <c r="L722" s="328"/>
      <c r="M722" s="328"/>
      <c r="R722" s="328"/>
      <c r="S722" s="328"/>
      <c r="T722" s="328"/>
      <c r="U722" s="328"/>
      <c r="V722" s="328"/>
      <c r="W722" s="328"/>
      <c r="X722" s="328"/>
      <c r="Y722" s="328"/>
      <c r="Z722" s="328"/>
      <c r="AA722" s="328"/>
      <c r="AB722" s="328"/>
    </row>
    <row r="723" ht="15.75" customHeight="1">
      <c r="B723" s="328"/>
      <c r="C723" s="328"/>
      <c r="D723" s="328"/>
      <c r="E723" s="328"/>
      <c r="F723" s="328"/>
      <c r="G723" s="328"/>
      <c r="H723" s="328"/>
      <c r="I723" s="328"/>
      <c r="J723" s="328"/>
      <c r="K723" s="328"/>
      <c r="L723" s="328"/>
      <c r="M723" s="328"/>
      <c r="R723" s="328"/>
      <c r="S723" s="328"/>
      <c r="T723" s="328"/>
      <c r="U723" s="328"/>
      <c r="V723" s="328"/>
      <c r="W723" s="328"/>
      <c r="X723" s="328"/>
      <c r="Y723" s="328"/>
      <c r="Z723" s="328"/>
      <c r="AA723" s="328"/>
      <c r="AB723" s="328"/>
    </row>
    <row r="724" ht="15.75" customHeight="1">
      <c r="B724" s="328"/>
      <c r="C724" s="328"/>
      <c r="D724" s="328"/>
      <c r="E724" s="328"/>
      <c r="F724" s="328"/>
      <c r="G724" s="328"/>
      <c r="H724" s="328"/>
      <c r="I724" s="328"/>
      <c r="J724" s="328"/>
      <c r="K724" s="328"/>
      <c r="L724" s="328"/>
      <c r="M724" s="328"/>
      <c r="R724" s="328"/>
      <c r="S724" s="328"/>
      <c r="T724" s="328"/>
      <c r="U724" s="328"/>
      <c r="V724" s="328"/>
      <c r="W724" s="328"/>
      <c r="X724" s="328"/>
      <c r="Y724" s="328"/>
      <c r="Z724" s="328"/>
      <c r="AA724" s="328"/>
      <c r="AB724" s="328"/>
    </row>
    <row r="725" ht="15.75" customHeight="1">
      <c r="B725" s="328"/>
      <c r="C725" s="328"/>
      <c r="D725" s="328"/>
      <c r="E725" s="328"/>
      <c r="F725" s="328"/>
      <c r="G725" s="328"/>
      <c r="H725" s="328"/>
      <c r="I725" s="328"/>
      <c r="J725" s="328"/>
      <c r="K725" s="328"/>
      <c r="L725" s="328"/>
      <c r="M725" s="328"/>
      <c r="R725" s="328"/>
      <c r="S725" s="328"/>
      <c r="T725" s="328"/>
      <c r="U725" s="328"/>
      <c r="V725" s="328"/>
      <c r="W725" s="328"/>
      <c r="X725" s="328"/>
      <c r="Y725" s="328"/>
      <c r="Z725" s="328"/>
      <c r="AA725" s="328"/>
      <c r="AB725" s="328"/>
    </row>
    <row r="726" ht="15.75" customHeight="1">
      <c r="B726" s="328"/>
      <c r="C726" s="328"/>
      <c r="D726" s="328"/>
      <c r="E726" s="328"/>
      <c r="F726" s="328"/>
      <c r="G726" s="328"/>
      <c r="H726" s="328"/>
      <c r="I726" s="328"/>
      <c r="J726" s="328"/>
      <c r="K726" s="328"/>
      <c r="L726" s="328"/>
      <c r="M726" s="328"/>
      <c r="R726" s="328"/>
      <c r="S726" s="328"/>
      <c r="T726" s="328"/>
      <c r="U726" s="328"/>
      <c r="V726" s="328"/>
      <c r="W726" s="328"/>
      <c r="X726" s="328"/>
      <c r="Y726" s="328"/>
      <c r="Z726" s="328"/>
      <c r="AA726" s="328"/>
      <c r="AB726" s="328"/>
    </row>
    <row r="727" ht="15.75" customHeight="1">
      <c r="B727" s="328"/>
      <c r="C727" s="328"/>
      <c r="D727" s="328"/>
      <c r="E727" s="328"/>
      <c r="F727" s="328"/>
      <c r="G727" s="328"/>
      <c r="H727" s="328"/>
      <c r="I727" s="328"/>
      <c r="J727" s="328"/>
      <c r="K727" s="328"/>
      <c r="L727" s="328"/>
      <c r="M727" s="328"/>
      <c r="R727" s="328"/>
      <c r="S727" s="328"/>
      <c r="T727" s="328"/>
      <c r="U727" s="328"/>
      <c r="V727" s="328"/>
      <c r="W727" s="328"/>
      <c r="X727" s="328"/>
      <c r="Y727" s="328"/>
      <c r="Z727" s="328"/>
      <c r="AA727" s="328"/>
      <c r="AB727" s="328"/>
    </row>
    <row r="728" ht="15.75" customHeight="1">
      <c r="B728" s="328"/>
      <c r="C728" s="328"/>
      <c r="D728" s="328"/>
      <c r="E728" s="328"/>
      <c r="F728" s="328"/>
      <c r="G728" s="328"/>
      <c r="H728" s="328"/>
      <c r="I728" s="328"/>
      <c r="J728" s="328"/>
      <c r="K728" s="328"/>
      <c r="L728" s="328"/>
      <c r="M728" s="328"/>
      <c r="R728" s="328"/>
      <c r="S728" s="328"/>
      <c r="T728" s="328"/>
      <c r="U728" s="328"/>
      <c r="V728" s="328"/>
      <c r="W728" s="328"/>
      <c r="X728" s="328"/>
      <c r="Y728" s="328"/>
      <c r="Z728" s="328"/>
      <c r="AA728" s="328"/>
      <c r="AB728" s="328"/>
    </row>
    <row r="729" ht="15.75" customHeight="1">
      <c r="B729" s="328"/>
      <c r="C729" s="328"/>
      <c r="D729" s="328"/>
      <c r="E729" s="328"/>
      <c r="F729" s="328"/>
      <c r="G729" s="328"/>
      <c r="H729" s="328"/>
      <c r="I729" s="328"/>
      <c r="J729" s="328"/>
      <c r="K729" s="328"/>
      <c r="L729" s="328"/>
      <c r="M729" s="328"/>
      <c r="R729" s="328"/>
      <c r="S729" s="328"/>
      <c r="T729" s="328"/>
      <c r="U729" s="328"/>
      <c r="V729" s="328"/>
      <c r="W729" s="328"/>
      <c r="X729" s="328"/>
      <c r="Y729" s="328"/>
      <c r="Z729" s="328"/>
      <c r="AA729" s="328"/>
      <c r="AB729" s="328"/>
    </row>
    <row r="730" ht="15.75" customHeight="1">
      <c r="B730" s="328"/>
      <c r="C730" s="328"/>
      <c r="D730" s="328"/>
      <c r="E730" s="328"/>
      <c r="F730" s="328"/>
      <c r="G730" s="328"/>
      <c r="H730" s="328"/>
      <c r="I730" s="328"/>
      <c r="J730" s="328"/>
      <c r="K730" s="328"/>
      <c r="L730" s="328"/>
      <c r="M730" s="328"/>
      <c r="R730" s="328"/>
      <c r="S730" s="328"/>
      <c r="T730" s="328"/>
      <c r="U730" s="328"/>
      <c r="V730" s="328"/>
      <c r="W730" s="328"/>
      <c r="X730" s="328"/>
      <c r="Y730" s="328"/>
      <c r="Z730" s="328"/>
      <c r="AA730" s="328"/>
      <c r="AB730" s="328"/>
    </row>
    <row r="731" ht="15.75" customHeight="1">
      <c r="B731" s="328"/>
      <c r="C731" s="328"/>
      <c r="D731" s="328"/>
      <c r="E731" s="328"/>
      <c r="F731" s="328"/>
      <c r="G731" s="328"/>
      <c r="H731" s="328"/>
      <c r="I731" s="328"/>
      <c r="J731" s="328"/>
      <c r="K731" s="328"/>
      <c r="L731" s="328"/>
      <c r="M731" s="328"/>
      <c r="R731" s="328"/>
      <c r="S731" s="328"/>
      <c r="T731" s="328"/>
      <c r="U731" s="328"/>
      <c r="V731" s="328"/>
      <c r="W731" s="328"/>
      <c r="X731" s="328"/>
      <c r="Y731" s="328"/>
      <c r="Z731" s="328"/>
      <c r="AA731" s="328"/>
      <c r="AB731" s="328"/>
    </row>
    <row r="732" ht="15.75" customHeight="1">
      <c r="B732" s="328"/>
      <c r="C732" s="328"/>
      <c r="D732" s="328"/>
      <c r="E732" s="328"/>
      <c r="F732" s="328"/>
      <c r="G732" s="328"/>
      <c r="H732" s="328"/>
      <c r="I732" s="328"/>
      <c r="J732" s="328"/>
      <c r="K732" s="328"/>
      <c r="L732" s="328"/>
      <c r="M732" s="328"/>
      <c r="R732" s="328"/>
      <c r="S732" s="328"/>
      <c r="T732" s="328"/>
      <c r="U732" s="328"/>
      <c r="V732" s="328"/>
      <c r="W732" s="328"/>
      <c r="X732" s="328"/>
      <c r="Y732" s="328"/>
      <c r="Z732" s="328"/>
      <c r="AA732" s="328"/>
      <c r="AB732" s="328"/>
    </row>
    <row r="733" ht="15.75" customHeight="1">
      <c r="B733" s="328"/>
      <c r="C733" s="328"/>
      <c r="D733" s="328"/>
      <c r="E733" s="328"/>
      <c r="F733" s="328"/>
      <c r="G733" s="328"/>
      <c r="H733" s="328"/>
      <c r="I733" s="328"/>
      <c r="J733" s="328"/>
      <c r="K733" s="328"/>
      <c r="L733" s="328"/>
      <c r="M733" s="328"/>
      <c r="R733" s="328"/>
      <c r="S733" s="328"/>
      <c r="T733" s="328"/>
      <c r="U733" s="328"/>
      <c r="V733" s="328"/>
      <c r="W733" s="328"/>
      <c r="X733" s="328"/>
      <c r="Y733" s="328"/>
      <c r="Z733" s="328"/>
      <c r="AA733" s="328"/>
      <c r="AB733" s="328"/>
    </row>
    <row r="734" ht="15.75" customHeight="1">
      <c r="B734" s="328"/>
      <c r="C734" s="328"/>
      <c r="D734" s="328"/>
      <c r="E734" s="328"/>
      <c r="F734" s="328"/>
      <c r="G734" s="328"/>
      <c r="H734" s="328"/>
      <c r="I734" s="328"/>
      <c r="J734" s="328"/>
      <c r="K734" s="328"/>
      <c r="L734" s="328"/>
      <c r="M734" s="328"/>
      <c r="R734" s="328"/>
      <c r="S734" s="328"/>
      <c r="T734" s="328"/>
      <c r="U734" s="328"/>
      <c r="V734" s="328"/>
      <c r="W734" s="328"/>
      <c r="X734" s="328"/>
      <c r="Y734" s="328"/>
      <c r="Z734" s="328"/>
      <c r="AA734" s="328"/>
      <c r="AB734" s="328"/>
    </row>
    <row r="735" ht="15.75" customHeight="1">
      <c r="B735" s="328"/>
      <c r="C735" s="328"/>
      <c r="D735" s="328"/>
      <c r="E735" s="328"/>
      <c r="F735" s="328"/>
      <c r="G735" s="328"/>
      <c r="H735" s="328"/>
      <c r="I735" s="328"/>
      <c r="J735" s="328"/>
      <c r="K735" s="328"/>
      <c r="L735" s="328"/>
      <c r="M735" s="328"/>
      <c r="R735" s="328"/>
      <c r="S735" s="328"/>
      <c r="T735" s="328"/>
      <c r="U735" s="328"/>
      <c r="V735" s="328"/>
      <c r="W735" s="328"/>
      <c r="X735" s="328"/>
      <c r="Y735" s="328"/>
      <c r="Z735" s="328"/>
      <c r="AA735" s="328"/>
      <c r="AB735" s="328"/>
    </row>
    <row r="736" ht="15.75" customHeight="1">
      <c r="B736" s="328"/>
      <c r="C736" s="328"/>
      <c r="D736" s="328"/>
      <c r="E736" s="328"/>
      <c r="F736" s="328"/>
      <c r="G736" s="328"/>
      <c r="H736" s="328"/>
      <c r="I736" s="328"/>
      <c r="J736" s="328"/>
      <c r="K736" s="328"/>
      <c r="L736" s="328"/>
      <c r="M736" s="328"/>
      <c r="R736" s="328"/>
      <c r="S736" s="328"/>
      <c r="T736" s="328"/>
      <c r="U736" s="328"/>
      <c r="V736" s="328"/>
      <c r="W736" s="328"/>
      <c r="X736" s="328"/>
      <c r="Y736" s="328"/>
      <c r="Z736" s="328"/>
      <c r="AA736" s="328"/>
      <c r="AB736" s="328"/>
    </row>
    <row r="737" ht="15.75" customHeight="1">
      <c r="B737" s="328"/>
      <c r="C737" s="328"/>
      <c r="D737" s="328"/>
      <c r="E737" s="328"/>
      <c r="F737" s="328"/>
      <c r="G737" s="328"/>
      <c r="H737" s="328"/>
      <c r="I737" s="328"/>
      <c r="J737" s="328"/>
      <c r="K737" s="328"/>
      <c r="L737" s="328"/>
      <c r="M737" s="328"/>
      <c r="R737" s="328"/>
      <c r="S737" s="328"/>
      <c r="T737" s="328"/>
      <c r="U737" s="328"/>
      <c r="V737" s="328"/>
      <c r="W737" s="328"/>
      <c r="X737" s="328"/>
      <c r="Y737" s="328"/>
      <c r="Z737" s="328"/>
      <c r="AA737" s="328"/>
      <c r="AB737" s="328"/>
    </row>
    <row r="738" ht="15.75" customHeight="1">
      <c r="B738" s="328"/>
      <c r="C738" s="328"/>
      <c r="D738" s="328"/>
      <c r="E738" s="328"/>
      <c r="F738" s="328"/>
      <c r="G738" s="328"/>
      <c r="H738" s="328"/>
      <c r="I738" s="328"/>
      <c r="J738" s="328"/>
      <c r="K738" s="328"/>
      <c r="L738" s="328"/>
      <c r="M738" s="328"/>
      <c r="R738" s="328"/>
      <c r="S738" s="328"/>
      <c r="T738" s="328"/>
      <c r="U738" s="328"/>
      <c r="V738" s="328"/>
      <c r="W738" s="328"/>
      <c r="X738" s="328"/>
      <c r="Y738" s="328"/>
      <c r="Z738" s="328"/>
      <c r="AA738" s="328"/>
      <c r="AB738" s="328"/>
    </row>
    <row r="739" ht="15.75" customHeight="1">
      <c r="B739" s="328"/>
      <c r="C739" s="328"/>
      <c r="D739" s="328"/>
      <c r="E739" s="328"/>
      <c r="F739" s="328"/>
      <c r="G739" s="328"/>
      <c r="H739" s="328"/>
      <c r="I739" s="328"/>
      <c r="J739" s="328"/>
      <c r="K739" s="328"/>
      <c r="L739" s="328"/>
      <c r="M739" s="328"/>
      <c r="R739" s="328"/>
      <c r="S739" s="328"/>
      <c r="T739" s="328"/>
      <c r="U739" s="328"/>
      <c r="V739" s="328"/>
      <c r="W739" s="328"/>
      <c r="X739" s="328"/>
      <c r="Y739" s="328"/>
      <c r="Z739" s="328"/>
      <c r="AA739" s="328"/>
      <c r="AB739" s="328"/>
    </row>
    <row r="740" ht="15.75" customHeight="1">
      <c r="B740" s="328"/>
      <c r="C740" s="328"/>
      <c r="D740" s="328"/>
      <c r="E740" s="328"/>
      <c r="F740" s="328"/>
      <c r="G740" s="328"/>
      <c r="H740" s="328"/>
      <c r="I740" s="328"/>
      <c r="J740" s="328"/>
      <c r="K740" s="328"/>
      <c r="L740" s="328"/>
      <c r="M740" s="328"/>
      <c r="R740" s="328"/>
      <c r="S740" s="328"/>
      <c r="T740" s="328"/>
      <c r="U740" s="328"/>
      <c r="V740" s="328"/>
      <c r="W740" s="328"/>
      <c r="X740" s="328"/>
      <c r="Y740" s="328"/>
      <c r="Z740" s="328"/>
      <c r="AA740" s="328"/>
      <c r="AB740" s="328"/>
    </row>
    <row r="741" ht="15.75" customHeight="1">
      <c r="B741" s="328"/>
      <c r="C741" s="328"/>
      <c r="D741" s="328"/>
      <c r="E741" s="328"/>
      <c r="F741" s="328"/>
      <c r="G741" s="328"/>
      <c r="H741" s="328"/>
      <c r="I741" s="328"/>
      <c r="J741" s="328"/>
      <c r="K741" s="328"/>
      <c r="L741" s="328"/>
      <c r="M741" s="328"/>
      <c r="R741" s="328"/>
      <c r="S741" s="328"/>
      <c r="T741" s="328"/>
      <c r="U741" s="328"/>
      <c r="V741" s="328"/>
      <c r="W741" s="328"/>
      <c r="X741" s="328"/>
      <c r="Y741" s="328"/>
      <c r="Z741" s="328"/>
      <c r="AA741" s="328"/>
      <c r="AB741" s="328"/>
    </row>
    <row r="742" ht="15.75" customHeight="1">
      <c r="B742" s="328"/>
      <c r="C742" s="328"/>
      <c r="D742" s="328"/>
      <c r="E742" s="328"/>
      <c r="F742" s="328"/>
      <c r="G742" s="328"/>
      <c r="H742" s="328"/>
      <c r="I742" s="328"/>
      <c r="J742" s="328"/>
      <c r="K742" s="328"/>
      <c r="L742" s="328"/>
      <c r="M742" s="328"/>
      <c r="R742" s="328"/>
      <c r="S742" s="328"/>
      <c r="T742" s="328"/>
      <c r="U742" s="328"/>
      <c r="V742" s="328"/>
      <c r="W742" s="328"/>
      <c r="X742" s="328"/>
      <c r="Y742" s="328"/>
      <c r="Z742" s="328"/>
      <c r="AA742" s="328"/>
      <c r="AB742" s="328"/>
    </row>
    <row r="743" ht="15.75" customHeight="1">
      <c r="B743" s="328"/>
      <c r="C743" s="328"/>
      <c r="D743" s="328"/>
      <c r="E743" s="328"/>
      <c r="F743" s="328"/>
      <c r="G743" s="328"/>
      <c r="H743" s="328"/>
      <c r="I743" s="328"/>
      <c r="J743" s="328"/>
      <c r="K743" s="328"/>
      <c r="L743" s="328"/>
      <c r="M743" s="328"/>
      <c r="R743" s="328"/>
      <c r="S743" s="328"/>
      <c r="T743" s="328"/>
      <c r="U743" s="328"/>
      <c r="V743" s="328"/>
      <c r="W743" s="328"/>
      <c r="X743" s="328"/>
      <c r="Y743" s="328"/>
      <c r="Z743" s="328"/>
      <c r="AA743" s="328"/>
      <c r="AB743" s="328"/>
    </row>
    <row r="744" ht="15.75" customHeight="1">
      <c r="B744" s="328"/>
      <c r="C744" s="328"/>
      <c r="D744" s="328"/>
      <c r="E744" s="328"/>
      <c r="F744" s="328"/>
      <c r="G744" s="328"/>
      <c r="H744" s="328"/>
      <c r="I744" s="328"/>
      <c r="J744" s="328"/>
      <c r="K744" s="328"/>
      <c r="L744" s="328"/>
      <c r="M744" s="328"/>
      <c r="R744" s="328"/>
      <c r="S744" s="328"/>
      <c r="T744" s="328"/>
      <c r="U744" s="328"/>
      <c r="V744" s="328"/>
      <c r="W744" s="328"/>
      <c r="X744" s="328"/>
      <c r="Y744" s="328"/>
      <c r="Z744" s="328"/>
      <c r="AA744" s="328"/>
      <c r="AB744" s="328"/>
    </row>
    <row r="745" ht="15.75" customHeight="1">
      <c r="B745" s="328"/>
      <c r="C745" s="328"/>
      <c r="D745" s="328"/>
      <c r="E745" s="328"/>
      <c r="F745" s="328"/>
      <c r="G745" s="328"/>
      <c r="H745" s="328"/>
      <c r="I745" s="328"/>
      <c r="J745" s="328"/>
      <c r="K745" s="328"/>
      <c r="L745" s="328"/>
      <c r="M745" s="328"/>
      <c r="R745" s="328"/>
      <c r="S745" s="328"/>
      <c r="T745" s="328"/>
      <c r="U745" s="328"/>
      <c r="V745" s="328"/>
      <c r="W745" s="328"/>
      <c r="X745" s="328"/>
      <c r="Y745" s="328"/>
      <c r="Z745" s="328"/>
      <c r="AA745" s="328"/>
      <c r="AB745" s="328"/>
    </row>
    <row r="746" ht="15.75" customHeight="1">
      <c r="B746" s="328"/>
      <c r="C746" s="328"/>
      <c r="D746" s="328"/>
      <c r="E746" s="328"/>
      <c r="F746" s="328"/>
      <c r="G746" s="328"/>
      <c r="H746" s="328"/>
      <c r="I746" s="328"/>
      <c r="J746" s="328"/>
      <c r="K746" s="328"/>
      <c r="L746" s="328"/>
      <c r="M746" s="328"/>
      <c r="R746" s="328"/>
      <c r="S746" s="328"/>
      <c r="T746" s="328"/>
      <c r="U746" s="328"/>
      <c r="V746" s="328"/>
      <c r="W746" s="328"/>
      <c r="X746" s="328"/>
      <c r="Y746" s="328"/>
      <c r="Z746" s="328"/>
      <c r="AA746" s="328"/>
      <c r="AB746" s="328"/>
    </row>
    <row r="747" ht="15.75" customHeight="1">
      <c r="B747" s="328"/>
      <c r="C747" s="328"/>
      <c r="D747" s="328"/>
      <c r="E747" s="328"/>
      <c r="F747" s="328"/>
      <c r="G747" s="328"/>
      <c r="H747" s="328"/>
      <c r="I747" s="328"/>
      <c r="J747" s="328"/>
      <c r="K747" s="328"/>
      <c r="L747" s="328"/>
      <c r="M747" s="328"/>
      <c r="R747" s="328"/>
      <c r="S747" s="328"/>
      <c r="T747" s="328"/>
      <c r="U747" s="328"/>
      <c r="V747" s="328"/>
      <c r="W747" s="328"/>
      <c r="X747" s="328"/>
      <c r="Y747" s="328"/>
      <c r="Z747" s="328"/>
      <c r="AA747" s="328"/>
      <c r="AB747" s="328"/>
    </row>
    <row r="748" ht="15.75" customHeight="1">
      <c r="B748" s="328"/>
      <c r="C748" s="328"/>
      <c r="D748" s="328"/>
      <c r="E748" s="328"/>
      <c r="F748" s="328"/>
      <c r="G748" s="328"/>
      <c r="H748" s="328"/>
      <c r="I748" s="328"/>
      <c r="J748" s="328"/>
      <c r="K748" s="328"/>
      <c r="L748" s="328"/>
      <c r="M748" s="328"/>
      <c r="R748" s="328"/>
      <c r="S748" s="328"/>
      <c r="T748" s="328"/>
      <c r="U748" s="328"/>
      <c r="V748" s="328"/>
      <c r="W748" s="328"/>
      <c r="X748" s="328"/>
      <c r="Y748" s="328"/>
      <c r="Z748" s="328"/>
      <c r="AA748" s="328"/>
      <c r="AB748" s="328"/>
    </row>
    <row r="749" ht="15.75" customHeight="1">
      <c r="B749" s="328"/>
      <c r="C749" s="328"/>
      <c r="D749" s="328"/>
      <c r="E749" s="328"/>
      <c r="F749" s="328"/>
      <c r="G749" s="328"/>
      <c r="H749" s="328"/>
      <c r="I749" s="328"/>
      <c r="J749" s="328"/>
      <c r="K749" s="328"/>
      <c r="L749" s="328"/>
      <c r="M749" s="328"/>
      <c r="R749" s="328"/>
      <c r="S749" s="328"/>
      <c r="T749" s="328"/>
      <c r="U749" s="328"/>
      <c r="V749" s="328"/>
      <c r="W749" s="328"/>
      <c r="X749" s="328"/>
      <c r="Y749" s="328"/>
      <c r="Z749" s="328"/>
      <c r="AA749" s="328"/>
      <c r="AB749" s="328"/>
    </row>
    <row r="750" ht="15.75" customHeight="1">
      <c r="B750" s="328"/>
      <c r="C750" s="328"/>
      <c r="D750" s="328"/>
      <c r="E750" s="328"/>
      <c r="F750" s="328"/>
      <c r="G750" s="328"/>
      <c r="H750" s="328"/>
      <c r="I750" s="328"/>
      <c r="J750" s="328"/>
      <c r="K750" s="328"/>
      <c r="L750" s="328"/>
      <c r="M750" s="328"/>
      <c r="R750" s="328"/>
      <c r="S750" s="328"/>
      <c r="T750" s="328"/>
      <c r="U750" s="328"/>
      <c r="V750" s="328"/>
      <c r="W750" s="328"/>
      <c r="X750" s="328"/>
      <c r="Y750" s="328"/>
      <c r="Z750" s="328"/>
      <c r="AA750" s="328"/>
      <c r="AB750" s="328"/>
    </row>
    <row r="751" ht="15.75" customHeight="1">
      <c r="B751" s="328"/>
      <c r="C751" s="328"/>
      <c r="D751" s="328"/>
      <c r="E751" s="328"/>
      <c r="F751" s="328"/>
      <c r="G751" s="328"/>
      <c r="H751" s="328"/>
      <c r="I751" s="328"/>
      <c r="J751" s="328"/>
      <c r="K751" s="328"/>
      <c r="L751" s="328"/>
      <c r="M751" s="328"/>
      <c r="R751" s="328"/>
      <c r="S751" s="328"/>
      <c r="T751" s="328"/>
      <c r="U751" s="328"/>
      <c r="V751" s="328"/>
      <c r="W751" s="328"/>
      <c r="X751" s="328"/>
      <c r="Y751" s="328"/>
      <c r="Z751" s="328"/>
      <c r="AA751" s="328"/>
      <c r="AB751" s="328"/>
    </row>
    <row r="752" ht="15.75" customHeight="1">
      <c r="B752" s="328"/>
      <c r="C752" s="328"/>
      <c r="D752" s="328"/>
      <c r="E752" s="328"/>
      <c r="F752" s="328"/>
      <c r="G752" s="328"/>
      <c r="H752" s="328"/>
      <c r="I752" s="328"/>
      <c r="J752" s="328"/>
      <c r="K752" s="328"/>
      <c r="L752" s="328"/>
      <c r="M752" s="328"/>
      <c r="R752" s="328"/>
      <c r="S752" s="328"/>
      <c r="T752" s="328"/>
      <c r="U752" s="328"/>
      <c r="V752" s="328"/>
      <c r="W752" s="328"/>
      <c r="X752" s="328"/>
      <c r="Y752" s="328"/>
      <c r="Z752" s="328"/>
      <c r="AA752" s="328"/>
      <c r="AB752" s="328"/>
    </row>
    <row r="753" ht="15.75" customHeight="1">
      <c r="B753" s="328"/>
      <c r="C753" s="328"/>
      <c r="D753" s="328"/>
      <c r="E753" s="328"/>
      <c r="F753" s="328"/>
      <c r="G753" s="328"/>
      <c r="H753" s="328"/>
      <c r="I753" s="328"/>
      <c r="J753" s="328"/>
      <c r="K753" s="328"/>
      <c r="L753" s="328"/>
      <c r="M753" s="328"/>
      <c r="R753" s="328"/>
      <c r="S753" s="328"/>
      <c r="T753" s="328"/>
      <c r="U753" s="328"/>
      <c r="V753" s="328"/>
      <c r="W753" s="328"/>
      <c r="X753" s="328"/>
      <c r="Y753" s="328"/>
      <c r="Z753" s="328"/>
      <c r="AA753" s="328"/>
      <c r="AB753" s="328"/>
    </row>
    <row r="754" ht="15.75" customHeight="1">
      <c r="B754" s="328"/>
      <c r="C754" s="328"/>
      <c r="D754" s="328"/>
      <c r="E754" s="328"/>
      <c r="F754" s="328"/>
      <c r="G754" s="328"/>
      <c r="H754" s="328"/>
      <c r="I754" s="328"/>
      <c r="J754" s="328"/>
      <c r="K754" s="328"/>
      <c r="L754" s="328"/>
      <c r="M754" s="328"/>
      <c r="R754" s="328"/>
      <c r="S754" s="328"/>
      <c r="T754" s="328"/>
      <c r="U754" s="328"/>
      <c r="V754" s="328"/>
      <c r="W754" s="328"/>
      <c r="X754" s="328"/>
      <c r="Y754" s="328"/>
      <c r="Z754" s="328"/>
      <c r="AA754" s="328"/>
      <c r="AB754" s="328"/>
    </row>
    <row r="755" ht="15.75" customHeight="1">
      <c r="B755" s="328"/>
      <c r="C755" s="328"/>
      <c r="D755" s="328"/>
      <c r="E755" s="328"/>
      <c r="F755" s="328"/>
      <c r="G755" s="328"/>
      <c r="H755" s="328"/>
      <c r="I755" s="328"/>
      <c r="J755" s="328"/>
      <c r="K755" s="328"/>
      <c r="L755" s="328"/>
      <c r="M755" s="328"/>
      <c r="R755" s="328"/>
      <c r="S755" s="328"/>
      <c r="T755" s="328"/>
      <c r="U755" s="328"/>
      <c r="V755" s="328"/>
      <c r="W755" s="328"/>
      <c r="X755" s="328"/>
      <c r="Y755" s="328"/>
      <c r="Z755" s="328"/>
      <c r="AA755" s="328"/>
      <c r="AB755" s="328"/>
    </row>
    <row r="756" ht="15.75" customHeight="1">
      <c r="B756" s="328"/>
      <c r="C756" s="328"/>
      <c r="D756" s="328"/>
      <c r="E756" s="328"/>
      <c r="F756" s="328"/>
      <c r="G756" s="328"/>
      <c r="H756" s="328"/>
      <c r="I756" s="328"/>
      <c r="J756" s="328"/>
      <c r="K756" s="328"/>
      <c r="L756" s="328"/>
      <c r="M756" s="328"/>
      <c r="R756" s="328"/>
      <c r="S756" s="328"/>
      <c r="T756" s="328"/>
      <c r="U756" s="328"/>
      <c r="V756" s="328"/>
      <c r="W756" s="328"/>
      <c r="X756" s="328"/>
      <c r="Y756" s="328"/>
      <c r="Z756" s="328"/>
      <c r="AA756" s="328"/>
      <c r="AB756" s="328"/>
    </row>
    <row r="757" ht="15.75" customHeight="1">
      <c r="B757" s="328"/>
      <c r="C757" s="328"/>
      <c r="D757" s="328"/>
      <c r="E757" s="328"/>
      <c r="F757" s="328"/>
      <c r="G757" s="328"/>
      <c r="H757" s="328"/>
      <c r="I757" s="328"/>
      <c r="J757" s="328"/>
      <c r="K757" s="328"/>
      <c r="L757" s="328"/>
      <c r="M757" s="328"/>
      <c r="R757" s="328"/>
      <c r="S757" s="328"/>
      <c r="T757" s="328"/>
      <c r="U757" s="328"/>
      <c r="V757" s="328"/>
      <c r="W757" s="328"/>
      <c r="X757" s="328"/>
      <c r="Y757" s="328"/>
      <c r="Z757" s="328"/>
      <c r="AA757" s="328"/>
      <c r="AB757" s="328"/>
    </row>
    <row r="758" ht="15.75" customHeight="1">
      <c r="B758" s="328"/>
      <c r="C758" s="328"/>
      <c r="D758" s="328"/>
      <c r="E758" s="328"/>
      <c r="F758" s="328"/>
      <c r="G758" s="328"/>
      <c r="H758" s="328"/>
      <c r="I758" s="328"/>
      <c r="J758" s="328"/>
      <c r="K758" s="328"/>
      <c r="L758" s="328"/>
      <c r="M758" s="328"/>
      <c r="R758" s="328"/>
      <c r="S758" s="328"/>
      <c r="T758" s="328"/>
      <c r="U758" s="328"/>
      <c r="V758" s="328"/>
      <c r="W758" s="328"/>
      <c r="X758" s="328"/>
      <c r="Y758" s="328"/>
      <c r="Z758" s="328"/>
      <c r="AA758" s="328"/>
      <c r="AB758" s="328"/>
    </row>
    <row r="759" ht="15.75" customHeight="1">
      <c r="B759" s="328"/>
      <c r="C759" s="328"/>
      <c r="D759" s="328"/>
      <c r="E759" s="328"/>
      <c r="F759" s="328"/>
      <c r="G759" s="328"/>
      <c r="H759" s="328"/>
      <c r="I759" s="328"/>
      <c r="J759" s="328"/>
      <c r="K759" s="328"/>
      <c r="L759" s="328"/>
      <c r="M759" s="328"/>
      <c r="R759" s="328"/>
      <c r="S759" s="328"/>
      <c r="T759" s="328"/>
      <c r="U759" s="328"/>
      <c r="V759" s="328"/>
      <c r="W759" s="328"/>
      <c r="X759" s="328"/>
      <c r="Y759" s="328"/>
      <c r="Z759" s="328"/>
      <c r="AA759" s="328"/>
      <c r="AB759" s="328"/>
    </row>
    <row r="760" ht="15.75" customHeight="1">
      <c r="B760" s="328"/>
      <c r="C760" s="328"/>
      <c r="D760" s="328"/>
      <c r="E760" s="328"/>
      <c r="F760" s="328"/>
      <c r="G760" s="328"/>
      <c r="H760" s="328"/>
      <c r="I760" s="328"/>
      <c r="J760" s="328"/>
      <c r="K760" s="328"/>
      <c r="L760" s="328"/>
      <c r="M760" s="328"/>
      <c r="R760" s="328"/>
      <c r="S760" s="328"/>
      <c r="T760" s="328"/>
      <c r="U760" s="328"/>
      <c r="V760" s="328"/>
      <c r="W760" s="328"/>
      <c r="X760" s="328"/>
      <c r="Y760" s="328"/>
      <c r="Z760" s="328"/>
      <c r="AA760" s="328"/>
      <c r="AB760" s="328"/>
    </row>
    <row r="761" ht="15.75" customHeight="1">
      <c r="B761" s="328"/>
      <c r="C761" s="328"/>
      <c r="D761" s="328"/>
      <c r="E761" s="328"/>
      <c r="F761" s="328"/>
      <c r="G761" s="328"/>
      <c r="H761" s="328"/>
      <c r="I761" s="328"/>
      <c r="J761" s="328"/>
      <c r="K761" s="328"/>
      <c r="L761" s="328"/>
      <c r="M761" s="328"/>
      <c r="R761" s="328"/>
      <c r="S761" s="328"/>
      <c r="T761" s="328"/>
      <c r="U761" s="328"/>
      <c r="V761" s="328"/>
      <c r="W761" s="328"/>
      <c r="X761" s="328"/>
      <c r="Y761" s="328"/>
      <c r="Z761" s="328"/>
      <c r="AA761" s="328"/>
      <c r="AB761" s="328"/>
    </row>
    <row r="762" ht="15.75" customHeight="1">
      <c r="B762" s="328"/>
      <c r="C762" s="328"/>
      <c r="D762" s="328"/>
      <c r="E762" s="328"/>
      <c r="F762" s="328"/>
      <c r="G762" s="328"/>
      <c r="H762" s="328"/>
      <c r="I762" s="328"/>
      <c r="J762" s="328"/>
      <c r="K762" s="328"/>
      <c r="L762" s="328"/>
      <c r="M762" s="328"/>
      <c r="R762" s="328"/>
      <c r="S762" s="328"/>
      <c r="T762" s="328"/>
      <c r="U762" s="328"/>
      <c r="V762" s="328"/>
      <c r="W762" s="328"/>
      <c r="X762" s="328"/>
      <c r="Y762" s="328"/>
      <c r="Z762" s="328"/>
      <c r="AA762" s="328"/>
      <c r="AB762" s="328"/>
    </row>
    <row r="763" ht="15.75" customHeight="1">
      <c r="B763" s="328"/>
      <c r="C763" s="328"/>
      <c r="D763" s="328"/>
      <c r="E763" s="328"/>
      <c r="F763" s="328"/>
      <c r="G763" s="328"/>
      <c r="H763" s="328"/>
      <c r="I763" s="328"/>
      <c r="J763" s="328"/>
      <c r="K763" s="328"/>
      <c r="L763" s="328"/>
      <c r="M763" s="328"/>
      <c r="R763" s="328"/>
      <c r="S763" s="328"/>
      <c r="T763" s="328"/>
      <c r="U763" s="328"/>
      <c r="V763" s="328"/>
      <c r="W763" s="328"/>
      <c r="X763" s="328"/>
      <c r="Y763" s="328"/>
      <c r="Z763" s="328"/>
      <c r="AA763" s="328"/>
      <c r="AB763" s="328"/>
    </row>
    <row r="764" ht="15.75" customHeight="1">
      <c r="B764" s="328"/>
      <c r="C764" s="328"/>
      <c r="D764" s="328"/>
      <c r="E764" s="328"/>
      <c r="F764" s="328"/>
      <c r="G764" s="328"/>
      <c r="H764" s="328"/>
      <c r="I764" s="328"/>
      <c r="J764" s="328"/>
      <c r="K764" s="328"/>
      <c r="L764" s="328"/>
      <c r="M764" s="328"/>
      <c r="R764" s="328"/>
      <c r="S764" s="328"/>
      <c r="T764" s="328"/>
      <c r="U764" s="328"/>
      <c r="V764" s="328"/>
      <c r="W764" s="328"/>
      <c r="X764" s="328"/>
      <c r="Y764" s="328"/>
      <c r="Z764" s="328"/>
      <c r="AA764" s="328"/>
      <c r="AB764" s="328"/>
    </row>
    <row r="765" ht="15.75" customHeight="1">
      <c r="B765" s="328"/>
      <c r="C765" s="328"/>
      <c r="D765" s="328"/>
      <c r="E765" s="328"/>
      <c r="F765" s="328"/>
      <c r="G765" s="328"/>
      <c r="H765" s="328"/>
      <c r="I765" s="328"/>
      <c r="J765" s="328"/>
      <c r="K765" s="328"/>
      <c r="L765" s="328"/>
      <c r="M765" s="328"/>
      <c r="R765" s="328"/>
      <c r="S765" s="328"/>
      <c r="T765" s="328"/>
      <c r="U765" s="328"/>
      <c r="V765" s="328"/>
      <c r="W765" s="328"/>
      <c r="X765" s="328"/>
      <c r="Y765" s="328"/>
      <c r="Z765" s="328"/>
      <c r="AA765" s="328"/>
      <c r="AB765" s="328"/>
    </row>
    <row r="766" ht="15.75" customHeight="1">
      <c r="B766" s="328"/>
      <c r="C766" s="328"/>
      <c r="D766" s="328"/>
      <c r="E766" s="328"/>
      <c r="F766" s="328"/>
      <c r="G766" s="328"/>
      <c r="H766" s="328"/>
      <c r="I766" s="328"/>
      <c r="J766" s="328"/>
      <c r="K766" s="328"/>
      <c r="L766" s="328"/>
      <c r="M766" s="328"/>
      <c r="R766" s="328"/>
      <c r="S766" s="328"/>
      <c r="T766" s="328"/>
      <c r="U766" s="328"/>
      <c r="V766" s="328"/>
      <c r="W766" s="328"/>
      <c r="X766" s="328"/>
      <c r="Y766" s="328"/>
      <c r="Z766" s="328"/>
      <c r="AA766" s="328"/>
      <c r="AB766" s="328"/>
    </row>
    <row r="767" ht="15.75" customHeight="1">
      <c r="B767" s="328"/>
      <c r="C767" s="328"/>
      <c r="D767" s="328"/>
      <c r="E767" s="328"/>
      <c r="F767" s="328"/>
      <c r="G767" s="328"/>
      <c r="H767" s="328"/>
      <c r="I767" s="328"/>
      <c r="J767" s="328"/>
      <c r="K767" s="328"/>
      <c r="L767" s="328"/>
      <c r="M767" s="328"/>
      <c r="R767" s="328"/>
      <c r="S767" s="328"/>
      <c r="T767" s="328"/>
      <c r="U767" s="328"/>
      <c r="V767" s="328"/>
      <c r="W767" s="328"/>
      <c r="X767" s="328"/>
      <c r="Y767" s="328"/>
      <c r="Z767" s="328"/>
      <c r="AA767" s="328"/>
      <c r="AB767" s="328"/>
    </row>
    <row r="768" ht="15.75" customHeight="1">
      <c r="B768" s="328"/>
      <c r="C768" s="328"/>
      <c r="D768" s="328"/>
      <c r="E768" s="328"/>
      <c r="F768" s="328"/>
      <c r="G768" s="328"/>
      <c r="H768" s="328"/>
      <c r="I768" s="328"/>
      <c r="J768" s="328"/>
      <c r="K768" s="328"/>
      <c r="L768" s="328"/>
      <c r="M768" s="328"/>
      <c r="R768" s="328"/>
      <c r="S768" s="328"/>
      <c r="T768" s="328"/>
      <c r="U768" s="328"/>
      <c r="V768" s="328"/>
      <c r="W768" s="328"/>
      <c r="X768" s="328"/>
      <c r="Y768" s="328"/>
      <c r="Z768" s="328"/>
      <c r="AA768" s="328"/>
      <c r="AB768" s="328"/>
    </row>
    <row r="769" ht="15.75" customHeight="1">
      <c r="B769" s="328"/>
      <c r="C769" s="328"/>
      <c r="D769" s="328"/>
      <c r="E769" s="328"/>
      <c r="F769" s="328"/>
      <c r="G769" s="328"/>
      <c r="H769" s="328"/>
      <c r="I769" s="328"/>
      <c r="J769" s="328"/>
      <c r="K769" s="328"/>
      <c r="L769" s="328"/>
      <c r="M769" s="328"/>
      <c r="R769" s="328"/>
      <c r="S769" s="328"/>
      <c r="T769" s="328"/>
      <c r="U769" s="328"/>
      <c r="V769" s="328"/>
      <c r="W769" s="328"/>
      <c r="X769" s="328"/>
      <c r="Y769" s="328"/>
      <c r="Z769" s="328"/>
      <c r="AA769" s="328"/>
      <c r="AB769" s="328"/>
    </row>
    <row r="770" ht="15.75" customHeight="1">
      <c r="B770" s="328"/>
      <c r="C770" s="328"/>
      <c r="D770" s="328"/>
      <c r="E770" s="328"/>
      <c r="F770" s="328"/>
      <c r="G770" s="328"/>
      <c r="H770" s="328"/>
      <c r="I770" s="328"/>
      <c r="J770" s="328"/>
      <c r="K770" s="328"/>
      <c r="L770" s="328"/>
      <c r="M770" s="328"/>
      <c r="R770" s="328"/>
      <c r="S770" s="328"/>
      <c r="T770" s="328"/>
      <c r="U770" s="328"/>
      <c r="V770" s="328"/>
      <c r="W770" s="328"/>
      <c r="X770" s="328"/>
      <c r="Y770" s="328"/>
      <c r="Z770" s="328"/>
      <c r="AA770" s="328"/>
      <c r="AB770" s="328"/>
    </row>
    <row r="771" ht="15.75" customHeight="1">
      <c r="B771" s="328"/>
      <c r="C771" s="328"/>
      <c r="D771" s="328"/>
      <c r="E771" s="328"/>
      <c r="F771" s="328"/>
      <c r="G771" s="328"/>
      <c r="H771" s="328"/>
      <c r="I771" s="328"/>
      <c r="J771" s="328"/>
      <c r="K771" s="328"/>
      <c r="L771" s="328"/>
      <c r="M771" s="328"/>
      <c r="R771" s="328"/>
      <c r="S771" s="328"/>
      <c r="T771" s="328"/>
      <c r="U771" s="328"/>
      <c r="V771" s="328"/>
      <c r="W771" s="328"/>
      <c r="X771" s="328"/>
      <c r="Y771" s="328"/>
      <c r="Z771" s="328"/>
      <c r="AA771" s="328"/>
      <c r="AB771" s="328"/>
    </row>
    <row r="772" ht="15.75" customHeight="1">
      <c r="B772" s="328"/>
      <c r="C772" s="328"/>
      <c r="D772" s="328"/>
      <c r="E772" s="328"/>
      <c r="F772" s="328"/>
      <c r="G772" s="328"/>
      <c r="H772" s="328"/>
      <c r="I772" s="328"/>
      <c r="J772" s="328"/>
      <c r="K772" s="328"/>
      <c r="L772" s="328"/>
      <c r="M772" s="328"/>
      <c r="R772" s="328"/>
      <c r="S772" s="328"/>
      <c r="T772" s="328"/>
      <c r="U772" s="328"/>
      <c r="V772" s="328"/>
      <c r="W772" s="328"/>
      <c r="X772" s="328"/>
      <c r="Y772" s="328"/>
      <c r="Z772" s="328"/>
      <c r="AA772" s="328"/>
      <c r="AB772" s="328"/>
    </row>
    <row r="773" ht="15.75" customHeight="1">
      <c r="B773" s="328"/>
      <c r="C773" s="328"/>
      <c r="D773" s="328"/>
      <c r="E773" s="328"/>
      <c r="F773" s="328"/>
      <c r="G773" s="328"/>
      <c r="H773" s="328"/>
      <c r="I773" s="328"/>
      <c r="J773" s="328"/>
      <c r="K773" s="328"/>
      <c r="L773" s="328"/>
      <c r="M773" s="328"/>
      <c r="R773" s="328"/>
      <c r="S773" s="328"/>
      <c r="T773" s="328"/>
      <c r="U773" s="328"/>
      <c r="V773" s="328"/>
      <c r="W773" s="328"/>
      <c r="X773" s="328"/>
      <c r="Y773" s="328"/>
      <c r="Z773" s="328"/>
      <c r="AA773" s="328"/>
      <c r="AB773" s="328"/>
    </row>
    <row r="774" ht="15.75" customHeight="1">
      <c r="B774" s="328"/>
      <c r="C774" s="328"/>
      <c r="D774" s="328"/>
      <c r="E774" s="328"/>
      <c r="F774" s="328"/>
      <c r="G774" s="328"/>
      <c r="H774" s="328"/>
      <c r="I774" s="328"/>
      <c r="J774" s="328"/>
      <c r="K774" s="328"/>
      <c r="L774" s="328"/>
      <c r="M774" s="328"/>
      <c r="R774" s="328"/>
      <c r="S774" s="328"/>
      <c r="T774" s="328"/>
      <c r="U774" s="328"/>
      <c r="V774" s="328"/>
      <c r="W774" s="328"/>
      <c r="X774" s="328"/>
      <c r="Y774" s="328"/>
      <c r="Z774" s="328"/>
      <c r="AA774" s="328"/>
      <c r="AB774" s="328"/>
    </row>
    <row r="775" ht="15.75" customHeight="1">
      <c r="B775" s="328"/>
      <c r="C775" s="328"/>
      <c r="D775" s="328"/>
      <c r="E775" s="328"/>
      <c r="F775" s="328"/>
      <c r="G775" s="328"/>
      <c r="H775" s="328"/>
      <c r="I775" s="328"/>
      <c r="J775" s="328"/>
      <c r="K775" s="328"/>
      <c r="L775" s="328"/>
      <c r="M775" s="328"/>
      <c r="R775" s="328"/>
      <c r="S775" s="328"/>
      <c r="T775" s="328"/>
      <c r="U775" s="328"/>
      <c r="V775" s="328"/>
      <c r="W775" s="328"/>
      <c r="X775" s="328"/>
      <c r="Y775" s="328"/>
      <c r="Z775" s="328"/>
      <c r="AA775" s="328"/>
      <c r="AB775" s="328"/>
    </row>
    <row r="776" ht="15.75" customHeight="1">
      <c r="B776" s="328"/>
      <c r="C776" s="328"/>
      <c r="D776" s="328"/>
      <c r="E776" s="328"/>
      <c r="F776" s="328"/>
      <c r="G776" s="328"/>
      <c r="H776" s="328"/>
      <c r="I776" s="328"/>
      <c r="J776" s="328"/>
      <c r="K776" s="328"/>
      <c r="L776" s="328"/>
      <c r="M776" s="328"/>
      <c r="R776" s="328"/>
      <c r="S776" s="328"/>
      <c r="T776" s="328"/>
      <c r="U776" s="328"/>
      <c r="V776" s="328"/>
      <c r="W776" s="328"/>
      <c r="X776" s="328"/>
      <c r="Y776" s="328"/>
      <c r="Z776" s="328"/>
      <c r="AA776" s="328"/>
      <c r="AB776" s="328"/>
    </row>
    <row r="777" ht="15.75" customHeight="1">
      <c r="B777" s="328"/>
      <c r="C777" s="328"/>
      <c r="D777" s="328"/>
      <c r="E777" s="328"/>
      <c r="F777" s="328"/>
      <c r="G777" s="328"/>
      <c r="H777" s="328"/>
      <c r="I777" s="328"/>
      <c r="J777" s="328"/>
      <c r="K777" s="328"/>
      <c r="L777" s="328"/>
      <c r="M777" s="328"/>
      <c r="R777" s="328"/>
      <c r="S777" s="328"/>
      <c r="T777" s="328"/>
      <c r="U777" s="328"/>
      <c r="V777" s="328"/>
      <c r="W777" s="328"/>
      <c r="X777" s="328"/>
      <c r="Y777" s="328"/>
      <c r="Z777" s="328"/>
      <c r="AA777" s="328"/>
      <c r="AB777" s="328"/>
    </row>
    <row r="778" ht="15.75" customHeight="1">
      <c r="B778" s="328"/>
      <c r="C778" s="328"/>
      <c r="D778" s="328"/>
      <c r="E778" s="328"/>
      <c r="F778" s="328"/>
      <c r="G778" s="328"/>
      <c r="H778" s="328"/>
      <c r="I778" s="328"/>
      <c r="J778" s="328"/>
      <c r="K778" s="328"/>
      <c r="L778" s="328"/>
      <c r="M778" s="328"/>
      <c r="R778" s="328"/>
      <c r="S778" s="328"/>
      <c r="T778" s="328"/>
      <c r="U778" s="328"/>
      <c r="V778" s="328"/>
      <c r="W778" s="328"/>
      <c r="X778" s="328"/>
      <c r="Y778" s="328"/>
      <c r="Z778" s="328"/>
      <c r="AA778" s="328"/>
      <c r="AB778" s="328"/>
    </row>
    <row r="779" ht="15.75" customHeight="1">
      <c r="B779" s="328"/>
      <c r="C779" s="328"/>
      <c r="D779" s="328"/>
      <c r="E779" s="328"/>
      <c r="F779" s="328"/>
      <c r="G779" s="328"/>
      <c r="H779" s="328"/>
      <c r="I779" s="328"/>
      <c r="J779" s="328"/>
      <c r="K779" s="328"/>
      <c r="L779" s="328"/>
      <c r="M779" s="328"/>
      <c r="R779" s="328"/>
      <c r="S779" s="328"/>
      <c r="T779" s="328"/>
      <c r="U779" s="328"/>
      <c r="V779" s="328"/>
      <c r="W779" s="328"/>
      <c r="X779" s="328"/>
      <c r="Y779" s="328"/>
      <c r="Z779" s="328"/>
      <c r="AA779" s="328"/>
      <c r="AB779" s="328"/>
    </row>
    <row r="780" ht="15.75" customHeight="1">
      <c r="B780" s="328"/>
      <c r="C780" s="328"/>
      <c r="D780" s="328"/>
      <c r="E780" s="328"/>
      <c r="F780" s="328"/>
      <c r="G780" s="328"/>
      <c r="H780" s="328"/>
      <c r="I780" s="328"/>
      <c r="J780" s="328"/>
      <c r="K780" s="328"/>
      <c r="L780" s="328"/>
      <c r="M780" s="328"/>
      <c r="R780" s="328"/>
      <c r="S780" s="328"/>
      <c r="T780" s="328"/>
      <c r="U780" s="328"/>
      <c r="V780" s="328"/>
      <c r="W780" s="328"/>
      <c r="X780" s="328"/>
      <c r="Y780" s="328"/>
      <c r="Z780" s="328"/>
      <c r="AA780" s="328"/>
      <c r="AB780" s="328"/>
    </row>
    <row r="781" ht="15.75" customHeight="1">
      <c r="B781" s="328"/>
      <c r="C781" s="328"/>
      <c r="D781" s="328"/>
      <c r="E781" s="328"/>
      <c r="F781" s="328"/>
      <c r="G781" s="328"/>
      <c r="H781" s="328"/>
      <c r="I781" s="328"/>
      <c r="J781" s="328"/>
      <c r="K781" s="328"/>
      <c r="L781" s="328"/>
      <c r="M781" s="328"/>
      <c r="R781" s="328"/>
      <c r="S781" s="328"/>
      <c r="T781" s="328"/>
      <c r="U781" s="328"/>
      <c r="V781" s="328"/>
      <c r="W781" s="328"/>
      <c r="X781" s="328"/>
      <c r="Y781" s="328"/>
      <c r="Z781" s="328"/>
      <c r="AA781" s="328"/>
      <c r="AB781" s="328"/>
    </row>
    <row r="782" ht="15.75" customHeight="1">
      <c r="B782" s="328"/>
      <c r="C782" s="328"/>
      <c r="D782" s="328"/>
      <c r="E782" s="328"/>
      <c r="F782" s="328"/>
      <c r="G782" s="328"/>
      <c r="H782" s="328"/>
      <c r="I782" s="328"/>
      <c r="J782" s="328"/>
      <c r="K782" s="328"/>
      <c r="L782" s="328"/>
      <c r="M782" s="328"/>
      <c r="R782" s="328"/>
      <c r="S782" s="328"/>
      <c r="T782" s="328"/>
      <c r="U782" s="328"/>
      <c r="V782" s="328"/>
      <c r="W782" s="328"/>
      <c r="X782" s="328"/>
      <c r="Y782" s="328"/>
      <c r="Z782" s="328"/>
      <c r="AA782" s="328"/>
      <c r="AB782" s="328"/>
    </row>
    <row r="783" ht="15.75" customHeight="1">
      <c r="B783" s="328"/>
      <c r="C783" s="328"/>
      <c r="D783" s="328"/>
      <c r="E783" s="328"/>
      <c r="F783" s="328"/>
      <c r="G783" s="328"/>
      <c r="H783" s="328"/>
      <c r="I783" s="328"/>
      <c r="J783" s="328"/>
      <c r="K783" s="328"/>
      <c r="L783" s="328"/>
      <c r="M783" s="328"/>
      <c r="R783" s="328"/>
      <c r="S783" s="328"/>
      <c r="T783" s="328"/>
      <c r="U783" s="328"/>
      <c r="V783" s="328"/>
      <c r="W783" s="328"/>
      <c r="X783" s="328"/>
      <c r="Y783" s="328"/>
      <c r="Z783" s="328"/>
      <c r="AA783" s="328"/>
      <c r="AB783" s="328"/>
    </row>
    <row r="784" ht="15.75" customHeight="1">
      <c r="B784" s="328"/>
      <c r="C784" s="328"/>
      <c r="D784" s="328"/>
      <c r="E784" s="328"/>
      <c r="F784" s="328"/>
      <c r="G784" s="328"/>
      <c r="H784" s="328"/>
      <c r="I784" s="328"/>
      <c r="J784" s="328"/>
      <c r="K784" s="328"/>
      <c r="L784" s="328"/>
      <c r="M784" s="328"/>
      <c r="R784" s="328"/>
      <c r="S784" s="328"/>
      <c r="T784" s="328"/>
      <c r="U784" s="328"/>
      <c r="V784" s="328"/>
      <c r="W784" s="328"/>
      <c r="X784" s="328"/>
      <c r="Y784" s="328"/>
      <c r="Z784" s="328"/>
      <c r="AA784" s="328"/>
      <c r="AB784" s="328"/>
    </row>
    <row r="785" ht="15.75" customHeight="1">
      <c r="B785" s="328"/>
      <c r="C785" s="328"/>
      <c r="D785" s="328"/>
      <c r="E785" s="328"/>
      <c r="F785" s="328"/>
      <c r="G785" s="328"/>
      <c r="H785" s="328"/>
      <c r="I785" s="328"/>
      <c r="J785" s="328"/>
      <c r="K785" s="328"/>
      <c r="L785" s="328"/>
      <c r="M785" s="328"/>
      <c r="R785" s="328"/>
      <c r="S785" s="328"/>
      <c r="T785" s="328"/>
      <c r="U785" s="328"/>
      <c r="V785" s="328"/>
      <c r="W785" s="328"/>
      <c r="X785" s="328"/>
      <c r="Y785" s="328"/>
      <c r="Z785" s="328"/>
      <c r="AA785" s="328"/>
      <c r="AB785" s="328"/>
    </row>
    <row r="786" ht="15.75" customHeight="1">
      <c r="B786" s="328"/>
      <c r="C786" s="328"/>
      <c r="D786" s="328"/>
      <c r="E786" s="328"/>
      <c r="F786" s="328"/>
      <c r="G786" s="328"/>
      <c r="H786" s="328"/>
      <c r="I786" s="328"/>
      <c r="J786" s="328"/>
      <c r="K786" s="328"/>
      <c r="L786" s="328"/>
      <c r="M786" s="328"/>
      <c r="R786" s="328"/>
      <c r="S786" s="328"/>
      <c r="T786" s="328"/>
      <c r="U786" s="328"/>
      <c r="V786" s="328"/>
      <c r="W786" s="328"/>
      <c r="X786" s="328"/>
      <c r="Y786" s="328"/>
      <c r="Z786" s="328"/>
      <c r="AA786" s="328"/>
      <c r="AB786" s="328"/>
    </row>
    <row r="787" ht="15.75" customHeight="1">
      <c r="B787" s="328"/>
      <c r="C787" s="328"/>
      <c r="D787" s="328"/>
      <c r="E787" s="328"/>
      <c r="F787" s="328"/>
      <c r="G787" s="328"/>
      <c r="H787" s="328"/>
      <c r="I787" s="328"/>
      <c r="J787" s="328"/>
      <c r="K787" s="328"/>
      <c r="L787" s="328"/>
      <c r="M787" s="328"/>
      <c r="R787" s="328"/>
      <c r="S787" s="328"/>
      <c r="T787" s="328"/>
      <c r="U787" s="328"/>
      <c r="V787" s="328"/>
      <c r="W787" s="328"/>
      <c r="X787" s="328"/>
      <c r="Y787" s="328"/>
      <c r="Z787" s="328"/>
      <c r="AA787" s="328"/>
      <c r="AB787" s="328"/>
    </row>
    <row r="788" ht="15.75" customHeight="1">
      <c r="B788" s="328"/>
      <c r="C788" s="328"/>
      <c r="D788" s="328"/>
      <c r="E788" s="328"/>
      <c r="F788" s="328"/>
      <c r="G788" s="328"/>
      <c r="H788" s="328"/>
      <c r="I788" s="328"/>
      <c r="J788" s="328"/>
      <c r="K788" s="328"/>
      <c r="L788" s="328"/>
      <c r="M788" s="328"/>
      <c r="R788" s="328"/>
      <c r="S788" s="328"/>
      <c r="T788" s="328"/>
      <c r="U788" s="328"/>
      <c r="V788" s="328"/>
      <c r="W788" s="328"/>
      <c r="X788" s="328"/>
      <c r="Y788" s="328"/>
      <c r="Z788" s="328"/>
      <c r="AA788" s="328"/>
      <c r="AB788" s="328"/>
    </row>
    <row r="789" ht="15.75" customHeight="1">
      <c r="B789" s="328"/>
      <c r="C789" s="328"/>
      <c r="D789" s="328"/>
      <c r="E789" s="328"/>
      <c r="F789" s="328"/>
      <c r="G789" s="328"/>
      <c r="H789" s="328"/>
      <c r="I789" s="328"/>
      <c r="J789" s="328"/>
      <c r="K789" s="328"/>
      <c r="L789" s="328"/>
      <c r="M789" s="328"/>
      <c r="R789" s="328"/>
      <c r="S789" s="328"/>
      <c r="T789" s="328"/>
      <c r="U789" s="328"/>
      <c r="V789" s="328"/>
      <c r="W789" s="328"/>
      <c r="X789" s="328"/>
      <c r="Y789" s="328"/>
      <c r="Z789" s="328"/>
      <c r="AA789" s="328"/>
      <c r="AB789" s="328"/>
    </row>
    <row r="790" ht="15.75" customHeight="1">
      <c r="B790" s="328"/>
      <c r="C790" s="328"/>
      <c r="D790" s="328"/>
      <c r="E790" s="328"/>
      <c r="F790" s="328"/>
      <c r="G790" s="328"/>
      <c r="H790" s="328"/>
      <c r="I790" s="328"/>
      <c r="J790" s="328"/>
      <c r="K790" s="328"/>
      <c r="L790" s="328"/>
      <c r="M790" s="328"/>
      <c r="R790" s="328"/>
      <c r="S790" s="328"/>
      <c r="T790" s="328"/>
      <c r="U790" s="328"/>
      <c r="V790" s="328"/>
      <c r="W790" s="328"/>
      <c r="X790" s="328"/>
      <c r="Y790" s="328"/>
      <c r="Z790" s="328"/>
      <c r="AA790" s="328"/>
      <c r="AB790" s="328"/>
    </row>
    <row r="791" ht="15.75" customHeight="1">
      <c r="B791" s="328"/>
      <c r="C791" s="328"/>
      <c r="D791" s="328"/>
      <c r="E791" s="328"/>
      <c r="F791" s="328"/>
      <c r="G791" s="328"/>
      <c r="H791" s="328"/>
      <c r="I791" s="328"/>
      <c r="J791" s="328"/>
      <c r="K791" s="328"/>
      <c r="L791" s="328"/>
      <c r="M791" s="328"/>
      <c r="R791" s="328"/>
      <c r="S791" s="328"/>
      <c r="T791" s="328"/>
      <c r="U791" s="328"/>
      <c r="V791" s="328"/>
      <c r="W791" s="328"/>
      <c r="X791" s="328"/>
      <c r="Y791" s="328"/>
      <c r="Z791" s="328"/>
      <c r="AA791" s="328"/>
      <c r="AB791" s="328"/>
    </row>
    <row r="792" ht="15.75" customHeight="1">
      <c r="B792" s="328"/>
      <c r="C792" s="328"/>
      <c r="D792" s="328"/>
      <c r="E792" s="328"/>
      <c r="F792" s="328"/>
      <c r="G792" s="328"/>
      <c r="H792" s="328"/>
      <c r="I792" s="328"/>
      <c r="J792" s="328"/>
      <c r="K792" s="328"/>
      <c r="L792" s="328"/>
      <c r="M792" s="328"/>
      <c r="R792" s="328"/>
      <c r="S792" s="328"/>
      <c r="T792" s="328"/>
      <c r="U792" s="328"/>
      <c r="V792" s="328"/>
      <c r="W792" s="328"/>
      <c r="X792" s="328"/>
      <c r="Y792" s="328"/>
      <c r="Z792" s="328"/>
      <c r="AA792" s="328"/>
      <c r="AB792" s="328"/>
    </row>
    <row r="793" ht="15.75" customHeight="1">
      <c r="B793" s="328"/>
      <c r="C793" s="328"/>
      <c r="D793" s="328"/>
      <c r="E793" s="328"/>
      <c r="F793" s="328"/>
      <c r="G793" s="328"/>
      <c r="H793" s="328"/>
      <c r="I793" s="328"/>
      <c r="J793" s="328"/>
      <c r="K793" s="328"/>
      <c r="L793" s="328"/>
      <c r="M793" s="328"/>
      <c r="R793" s="328"/>
      <c r="S793" s="328"/>
      <c r="T793" s="328"/>
      <c r="U793" s="328"/>
      <c r="V793" s="328"/>
      <c r="W793" s="328"/>
      <c r="X793" s="328"/>
      <c r="Y793" s="328"/>
      <c r="Z793" s="328"/>
      <c r="AA793" s="328"/>
      <c r="AB793" s="328"/>
    </row>
    <row r="794" ht="15.75" customHeight="1">
      <c r="B794" s="328"/>
      <c r="C794" s="328"/>
      <c r="D794" s="328"/>
      <c r="E794" s="328"/>
      <c r="F794" s="328"/>
      <c r="G794" s="328"/>
      <c r="H794" s="328"/>
      <c r="I794" s="328"/>
      <c r="J794" s="328"/>
      <c r="K794" s="328"/>
      <c r="L794" s="328"/>
      <c r="M794" s="328"/>
      <c r="R794" s="328"/>
      <c r="S794" s="328"/>
      <c r="T794" s="328"/>
      <c r="U794" s="328"/>
      <c r="V794" s="328"/>
      <c r="W794" s="328"/>
      <c r="X794" s="328"/>
      <c r="Y794" s="328"/>
      <c r="Z794" s="328"/>
      <c r="AA794" s="328"/>
      <c r="AB794" s="328"/>
    </row>
    <row r="795" ht="15.75" customHeight="1">
      <c r="B795" s="328"/>
      <c r="C795" s="328"/>
      <c r="D795" s="328"/>
      <c r="E795" s="328"/>
      <c r="F795" s="328"/>
      <c r="G795" s="328"/>
      <c r="H795" s="328"/>
      <c r="I795" s="328"/>
      <c r="J795" s="328"/>
      <c r="K795" s="328"/>
      <c r="L795" s="328"/>
      <c r="M795" s="328"/>
      <c r="R795" s="328"/>
      <c r="S795" s="328"/>
      <c r="T795" s="328"/>
      <c r="U795" s="328"/>
      <c r="V795" s="328"/>
      <c r="W795" s="328"/>
      <c r="X795" s="328"/>
      <c r="Y795" s="328"/>
      <c r="Z795" s="328"/>
      <c r="AA795" s="328"/>
      <c r="AB795" s="328"/>
    </row>
    <row r="796" ht="15.75" customHeight="1">
      <c r="B796" s="328"/>
      <c r="C796" s="328"/>
      <c r="D796" s="328"/>
      <c r="E796" s="328"/>
      <c r="F796" s="328"/>
      <c r="G796" s="328"/>
      <c r="H796" s="328"/>
      <c r="I796" s="328"/>
      <c r="J796" s="328"/>
      <c r="K796" s="328"/>
      <c r="L796" s="328"/>
      <c r="M796" s="328"/>
      <c r="R796" s="328"/>
      <c r="S796" s="328"/>
      <c r="T796" s="328"/>
      <c r="U796" s="328"/>
      <c r="V796" s="328"/>
      <c r="W796" s="328"/>
      <c r="X796" s="328"/>
      <c r="Y796" s="328"/>
      <c r="Z796" s="328"/>
      <c r="AA796" s="328"/>
      <c r="AB796" s="328"/>
    </row>
    <row r="797" ht="15.75" customHeight="1">
      <c r="B797" s="328"/>
      <c r="C797" s="328"/>
      <c r="D797" s="328"/>
      <c r="E797" s="328"/>
      <c r="F797" s="328"/>
      <c r="G797" s="328"/>
      <c r="H797" s="328"/>
      <c r="I797" s="328"/>
      <c r="J797" s="328"/>
      <c r="K797" s="328"/>
      <c r="L797" s="328"/>
      <c r="M797" s="328"/>
      <c r="R797" s="328"/>
      <c r="S797" s="328"/>
      <c r="T797" s="328"/>
      <c r="U797" s="328"/>
      <c r="V797" s="328"/>
      <c r="W797" s="328"/>
      <c r="X797" s="328"/>
      <c r="Y797" s="328"/>
      <c r="Z797" s="328"/>
      <c r="AA797" s="328"/>
      <c r="AB797" s="328"/>
    </row>
    <row r="798" ht="15.75" customHeight="1">
      <c r="B798" s="328"/>
      <c r="C798" s="328"/>
      <c r="D798" s="328"/>
      <c r="E798" s="328"/>
      <c r="F798" s="328"/>
      <c r="G798" s="328"/>
      <c r="H798" s="328"/>
      <c r="I798" s="328"/>
      <c r="J798" s="328"/>
      <c r="K798" s="328"/>
      <c r="L798" s="328"/>
      <c r="M798" s="328"/>
      <c r="R798" s="328"/>
      <c r="S798" s="328"/>
      <c r="T798" s="328"/>
      <c r="U798" s="328"/>
      <c r="V798" s="328"/>
      <c r="W798" s="328"/>
      <c r="X798" s="328"/>
      <c r="Y798" s="328"/>
      <c r="Z798" s="328"/>
      <c r="AA798" s="328"/>
      <c r="AB798" s="328"/>
    </row>
    <row r="799" ht="15.75" customHeight="1">
      <c r="B799" s="328"/>
      <c r="C799" s="328"/>
      <c r="D799" s="328"/>
      <c r="E799" s="328"/>
      <c r="F799" s="328"/>
      <c r="G799" s="328"/>
      <c r="H799" s="328"/>
      <c r="I799" s="328"/>
      <c r="J799" s="328"/>
      <c r="K799" s="328"/>
      <c r="L799" s="328"/>
      <c r="M799" s="328"/>
      <c r="R799" s="328"/>
      <c r="S799" s="328"/>
      <c r="T799" s="328"/>
      <c r="U799" s="328"/>
      <c r="V799" s="328"/>
      <c r="W799" s="328"/>
      <c r="X799" s="328"/>
      <c r="Y799" s="328"/>
      <c r="Z799" s="328"/>
      <c r="AA799" s="328"/>
      <c r="AB799" s="328"/>
    </row>
    <row r="800" ht="15.75" customHeight="1">
      <c r="B800" s="328"/>
      <c r="C800" s="328"/>
      <c r="D800" s="328"/>
      <c r="E800" s="328"/>
      <c r="F800" s="328"/>
      <c r="G800" s="328"/>
      <c r="H800" s="328"/>
      <c r="I800" s="328"/>
      <c r="J800" s="328"/>
      <c r="K800" s="328"/>
      <c r="L800" s="328"/>
      <c r="M800" s="328"/>
      <c r="R800" s="328"/>
      <c r="S800" s="328"/>
      <c r="T800" s="328"/>
      <c r="U800" s="328"/>
      <c r="V800" s="328"/>
      <c r="W800" s="328"/>
      <c r="X800" s="328"/>
      <c r="Y800" s="328"/>
      <c r="Z800" s="328"/>
      <c r="AA800" s="328"/>
      <c r="AB800" s="328"/>
    </row>
    <row r="801" ht="15.75" customHeight="1">
      <c r="B801" s="328"/>
      <c r="C801" s="328"/>
      <c r="D801" s="328"/>
      <c r="E801" s="328"/>
      <c r="F801" s="328"/>
      <c r="G801" s="328"/>
      <c r="H801" s="328"/>
      <c r="I801" s="328"/>
      <c r="J801" s="328"/>
      <c r="K801" s="328"/>
      <c r="L801" s="328"/>
      <c r="M801" s="328"/>
      <c r="R801" s="328"/>
      <c r="S801" s="328"/>
      <c r="T801" s="328"/>
      <c r="U801" s="328"/>
      <c r="V801" s="328"/>
      <c r="W801" s="328"/>
      <c r="X801" s="328"/>
      <c r="Y801" s="328"/>
      <c r="Z801" s="328"/>
      <c r="AA801" s="328"/>
      <c r="AB801" s="328"/>
    </row>
    <row r="802" ht="15.75" customHeight="1">
      <c r="B802" s="328"/>
      <c r="C802" s="328"/>
      <c r="D802" s="328"/>
      <c r="E802" s="328"/>
      <c r="F802" s="328"/>
      <c r="G802" s="328"/>
      <c r="H802" s="328"/>
      <c r="I802" s="328"/>
      <c r="J802" s="328"/>
      <c r="K802" s="328"/>
      <c r="L802" s="328"/>
      <c r="M802" s="328"/>
      <c r="R802" s="328"/>
      <c r="S802" s="328"/>
      <c r="T802" s="328"/>
      <c r="U802" s="328"/>
      <c r="V802" s="328"/>
      <c r="W802" s="328"/>
      <c r="X802" s="328"/>
      <c r="Y802" s="328"/>
      <c r="Z802" s="328"/>
      <c r="AA802" s="328"/>
      <c r="AB802" s="328"/>
    </row>
    <row r="803" ht="15.75" customHeight="1">
      <c r="B803" s="328"/>
      <c r="C803" s="328"/>
      <c r="D803" s="328"/>
      <c r="E803" s="328"/>
      <c r="F803" s="328"/>
      <c r="G803" s="328"/>
      <c r="H803" s="328"/>
      <c r="I803" s="328"/>
      <c r="J803" s="328"/>
      <c r="K803" s="328"/>
      <c r="L803" s="328"/>
      <c r="M803" s="328"/>
      <c r="R803" s="328"/>
      <c r="S803" s="328"/>
      <c r="T803" s="328"/>
      <c r="U803" s="328"/>
      <c r="V803" s="328"/>
      <c r="W803" s="328"/>
      <c r="X803" s="328"/>
      <c r="Y803" s="328"/>
      <c r="Z803" s="328"/>
      <c r="AA803" s="328"/>
      <c r="AB803" s="328"/>
    </row>
    <row r="804" ht="15.75" customHeight="1">
      <c r="B804" s="328"/>
      <c r="C804" s="328"/>
      <c r="D804" s="328"/>
      <c r="E804" s="328"/>
      <c r="F804" s="328"/>
      <c r="G804" s="328"/>
      <c r="H804" s="328"/>
      <c r="I804" s="328"/>
      <c r="J804" s="328"/>
      <c r="K804" s="328"/>
      <c r="L804" s="328"/>
      <c r="M804" s="328"/>
      <c r="R804" s="328"/>
      <c r="S804" s="328"/>
      <c r="T804" s="328"/>
      <c r="U804" s="328"/>
      <c r="V804" s="328"/>
      <c r="W804" s="328"/>
      <c r="X804" s="328"/>
      <c r="Y804" s="328"/>
      <c r="Z804" s="328"/>
      <c r="AA804" s="328"/>
      <c r="AB804" s="328"/>
    </row>
    <row r="805" ht="15.75" customHeight="1">
      <c r="B805" s="328"/>
      <c r="C805" s="328"/>
      <c r="D805" s="328"/>
      <c r="E805" s="328"/>
      <c r="F805" s="328"/>
      <c r="G805" s="328"/>
      <c r="H805" s="328"/>
      <c r="I805" s="328"/>
      <c r="J805" s="328"/>
      <c r="K805" s="328"/>
      <c r="L805" s="328"/>
      <c r="M805" s="328"/>
      <c r="R805" s="328"/>
      <c r="S805" s="328"/>
      <c r="T805" s="328"/>
      <c r="U805" s="328"/>
      <c r="V805" s="328"/>
      <c r="W805" s="328"/>
      <c r="X805" s="328"/>
      <c r="Y805" s="328"/>
      <c r="Z805" s="328"/>
      <c r="AA805" s="328"/>
      <c r="AB805" s="328"/>
    </row>
    <row r="806" ht="15.75" customHeight="1">
      <c r="B806" s="328"/>
      <c r="C806" s="328"/>
      <c r="D806" s="328"/>
      <c r="E806" s="328"/>
      <c r="F806" s="328"/>
      <c r="G806" s="328"/>
      <c r="H806" s="328"/>
      <c r="I806" s="328"/>
      <c r="J806" s="328"/>
      <c r="K806" s="328"/>
      <c r="L806" s="328"/>
      <c r="M806" s="328"/>
      <c r="R806" s="328"/>
      <c r="S806" s="328"/>
      <c r="T806" s="328"/>
      <c r="U806" s="328"/>
      <c r="V806" s="328"/>
      <c r="W806" s="328"/>
      <c r="X806" s="328"/>
      <c r="Y806" s="328"/>
      <c r="Z806" s="328"/>
      <c r="AA806" s="328"/>
      <c r="AB806" s="328"/>
    </row>
    <row r="807" ht="15.75" customHeight="1">
      <c r="B807" s="328"/>
      <c r="C807" s="328"/>
      <c r="D807" s="328"/>
      <c r="E807" s="328"/>
      <c r="F807" s="328"/>
      <c r="G807" s="328"/>
      <c r="H807" s="328"/>
      <c r="I807" s="328"/>
      <c r="J807" s="328"/>
      <c r="K807" s="328"/>
      <c r="L807" s="328"/>
      <c r="M807" s="328"/>
      <c r="R807" s="328"/>
      <c r="S807" s="328"/>
      <c r="T807" s="328"/>
      <c r="U807" s="328"/>
      <c r="V807" s="328"/>
      <c r="W807" s="328"/>
      <c r="X807" s="328"/>
      <c r="Y807" s="328"/>
      <c r="Z807" s="328"/>
      <c r="AA807" s="328"/>
      <c r="AB807" s="328"/>
    </row>
    <row r="808" ht="15.75" customHeight="1">
      <c r="B808" s="328"/>
      <c r="C808" s="328"/>
      <c r="D808" s="328"/>
      <c r="E808" s="328"/>
      <c r="F808" s="328"/>
      <c r="G808" s="328"/>
      <c r="H808" s="328"/>
      <c r="I808" s="328"/>
      <c r="J808" s="328"/>
      <c r="K808" s="328"/>
      <c r="L808" s="328"/>
      <c r="M808" s="328"/>
      <c r="R808" s="328"/>
      <c r="S808" s="328"/>
      <c r="T808" s="328"/>
      <c r="U808" s="328"/>
      <c r="V808" s="328"/>
      <c r="W808" s="328"/>
      <c r="X808" s="328"/>
      <c r="Y808" s="328"/>
      <c r="Z808" s="328"/>
      <c r="AA808" s="328"/>
      <c r="AB808" s="328"/>
    </row>
    <row r="809" ht="15.75" customHeight="1">
      <c r="B809" s="328"/>
      <c r="C809" s="328"/>
      <c r="D809" s="328"/>
      <c r="E809" s="328"/>
      <c r="F809" s="328"/>
      <c r="G809" s="328"/>
      <c r="H809" s="328"/>
      <c r="I809" s="328"/>
      <c r="J809" s="328"/>
      <c r="K809" s="328"/>
      <c r="L809" s="328"/>
      <c r="M809" s="328"/>
      <c r="R809" s="328"/>
      <c r="S809" s="328"/>
      <c r="T809" s="328"/>
      <c r="U809" s="328"/>
      <c r="V809" s="328"/>
      <c r="W809" s="328"/>
      <c r="X809" s="328"/>
      <c r="Y809" s="328"/>
      <c r="Z809" s="328"/>
      <c r="AA809" s="328"/>
      <c r="AB809" s="328"/>
    </row>
    <row r="810" ht="15.75" customHeight="1">
      <c r="B810" s="328"/>
      <c r="C810" s="328"/>
      <c r="D810" s="328"/>
      <c r="E810" s="328"/>
      <c r="F810" s="328"/>
      <c r="G810" s="328"/>
      <c r="H810" s="328"/>
      <c r="I810" s="328"/>
      <c r="J810" s="328"/>
      <c r="K810" s="328"/>
      <c r="L810" s="328"/>
      <c r="M810" s="328"/>
      <c r="R810" s="328"/>
      <c r="S810" s="328"/>
      <c r="T810" s="328"/>
      <c r="U810" s="328"/>
      <c r="V810" s="328"/>
      <c r="W810" s="328"/>
      <c r="X810" s="328"/>
      <c r="Y810" s="328"/>
      <c r="Z810" s="328"/>
      <c r="AA810" s="328"/>
      <c r="AB810" s="328"/>
    </row>
    <row r="811" ht="15.75" customHeight="1">
      <c r="B811" s="328"/>
      <c r="C811" s="328"/>
      <c r="D811" s="328"/>
      <c r="E811" s="328"/>
      <c r="F811" s="328"/>
      <c r="G811" s="328"/>
      <c r="H811" s="328"/>
      <c r="I811" s="328"/>
      <c r="J811" s="328"/>
      <c r="K811" s="328"/>
      <c r="L811" s="328"/>
      <c r="M811" s="328"/>
      <c r="R811" s="328"/>
      <c r="S811" s="328"/>
      <c r="T811" s="328"/>
      <c r="U811" s="328"/>
      <c r="V811" s="328"/>
      <c r="W811" s="328"/>
      <c r="X811" s="328"/>
      <c r="Y811" s="328"/>
      <c r="Z811" s="328"/>
      <c r="AA811" s="328"/>
      <c r="AB811" s="328"/>
    </row>
    <row r="812" ht="15.75" customHeight="1">
      <c r="B812" s="328"/>
      <c r="C812" s="328"/>
      <c r="D812" s="328"/>
      <c r="E812" s="328"/>
      <c r="F812" s="328"/>
      <c r="G812" s="328"/>
      <c r="H812" s="328"/>
      <c r="I812" s="328"/>
      <c r="J812" s="328"/>
      <c r="K812" s="328"/>
      <c r="L812" s="328"/>
      <c r="M812" s="328"/>
      <c r="R812" s="328"/>
      <c r="S812" s="328"/>
      <c r="T812" s="328"/>
      <c r="U812" s="328"/>
      <c r="V812" s="328"/>
      <c r="W812" s="328"/>
      <c r="X812" s="328"/>
      <c r="Y812" s="328"/>
      <c r="Z812" s="328"/>
      <c r="AA812" s="328"/>
      <c r="AB812" s="328"/>
    </row>
    <row r="813" ht="15.75" customHeight="1">
      <c r="B813" s="328"/>
      <c r="C813" s="328"/>
      <c r="D813" s="328"/>
      <c r="E813" s="328"/>
      <c r="F813" s="328"/>
      <c r="G813" s="328"/>
      <c r="H813" s="328"/>
      <c r="I813" s="328"/>
      <c r="J813" s="328"/>
      <c r="K813" s="328"/>
      <c r="L813" s="328"/>
      <c r="M813" s="328"/>
      <c r="R813" s="328"/>
      <c r="S813" s="328"/>
      <c r="T813" s="328"/>
      <c r="U813" s="328"/>
      <c r="V813" s="328"/>
      <c r="W813" s="328"/>
      <c r="X813" s="328"/>
      <c r="Y813" s="328"/>
      <c r="Z813" s="328"/>
      <c r="AA813" s="328"/>
      <c r="AB813" s="328"/>
    </row>
    <row r="814" ht="15.75" customHeight="1">
      <c r="B814" s="328"/>
      <c r="C814" s="328"/>
      <c r="D814" s="328"/>
      <c r="E814" s="328"/>
      <c r="F814" s="328"/>
      <c r="G814" s="328"/>
      <c r="H814" s="328"/>
      <c r="I814" s="328"/>
      <c r="J814" s="328"/>
      <c r="K814" s="328"/>
      <c r="L814" s="328"/>
      <c r="M814" s="328"/>
      <c r="R814" s="328"/>
      <c r="S814" s="328"/>
      <c r="T814" s="328"/>
      <c r="U814" s="328"/>
      <c r="V814" s="328"/>
      <c r="W814" s="328"/>
      <c r="X814" s="328"/>
      <c r="Y814" s="328"/>
      <c r="Z814" s="328"/>
      <c r="AA814" s="328"/>
      <c r="AB814" s="328"/>
    </row>
    <row r="815" ht="15.75" customHeight="1">
      <c r="B815" s="328"/>
      <c r="C815" s="328"/>
      <c r="D815" s="328"/>
      <c r="E815" s="328"/>
      <c r="F815" s="328"/>
      <c r="G815" s="328"/>
      <c r="H815" s="328"/>
      <c r="I815" s="328"/>
      <c r="J815" s="328"/>
      <c r="K815" s="328"/>
      <c r="L815" s="328"/>
      <c r="M815" s="328"/>
      <c r="R815" s="328"/>
      <c r="S815" s="328"/>
      <c r="T815" s="328"/>
      <c r="U815" s="328"/>
      <c r="V815" s="328"/>
      <c r="W815" s="328"/>
      <c r="X815" s="328"/>
      <c r="Y815" s="328"/>
      <c r="Z815" s="328"/>
      <c r="AA815" s="328"/>
      <c r="AB815" s="328"/>
    </row>
    <row r="816" ht="15.75" customHeight="1">
      <c r="B816" s="328"/>
      <c r="C816" s="328"/>
      <c r="D816" s="328"/>
      <c r="E816" s="328"/>
      <c r="F816" s="328"/>
      <c r="G816" s="328"/>
      <c r="H816" s="328"/>
      <c r="I816" s="328"/>
      <c r="J816" s="328"/>
      <c r="K816" s="328"/>
      <c r="L816" s="328"/>
      <c r="M816" s="328"/>
      <c r="R816" s="328"/>
      <c r="S816" s="328"/>
      <c r="T816" s="328"/>
      <c r="U816" s="328"/>
      <c r="V816" s="328"/>
      <c r="W816" s="328"/>
      <c r="X816" s="328"/>
      <c r="Y816" s="328"/>
      <c r="Z816" s="328"/>
      <c r="AA816" s="328"/>
      <c r="AB816" s="328"/>
    </row>
    <row r="817" ht="15.75" customHeight="1">
      <c r="B817" s="328"/>
      <c r="C817" s="328"/>
      <c r="D817" s="328"/>
      <c r="E817" s="328"/>
      <c r="F817" s="328"/>
      <c r="G817" s="328"/>
      <c r="H817" s="328"/>
      <c r="I817" s="328"/>
      <c r="J817" s="328"/>
      <c r="K817" s="328"/>
      <c r="L817" s="328"/>
      <c r="M817" s="328"/>
      <c r="R817" s="328"/>
      <c r="S817" s="328"/>
      <c r="T817" s="328"/>
      <c r="U817" s="328"/>
      <c r="V817" s="328"/>
      <c r="W817" s="328"/>
      <c r="X817" s="328"/>
      <c r="Y817" s="328"/>
      <c r="Z817" s="328"/>
      <c r="AA817" s="328"/>
      <c r="AB817" s="328"/>
    </row>
    <row r="818" ht="15.75" customHeight="1">
      <c r="B818" s="328"/>
      <c r="C818" s="328"/>
      <c r="D818" s="328"/>
      <c r="E818" s="328"/>
      <c r="F818" s="328"/>
      <c r="G818" s="328"/>
      <c r="H818" s="328"/>
      <c r="I818" s="328"/>
      <c r="J818" s="328"/>
      <c r="K818" s="328"/>
      <c r="L818" s="328"/>
      <c r="M818" s="328"/>
      <c r="R818" s="328"/>
      <c r="S818" s="328"/>
      <c r="T818" s="328"/>
      <c r="U818" s="328"/>
      <c r="V818" s="328"/>
      <c r="W818" s="328"/>
      <c r="X818" s="328"/>
      <c r="Y818" s="328"/>
      <c r="Z818" s="328"/>
      <c r="AA818" s="328"/>
      <c r="AB818" s="328"/>
    </row>
    <row r="819" ht="15.75" customHeight="1">
      <c r="B819" s="328"/>
      <c r="C819" s="328"/>
      <c r="D819" s="328"/>
      <c r="E819" s="328"/>
      <c r="F819" s="328"/>
      <c r="G819" s="328"/>
      <c r="H819" s="328"/>
      <c r="I819" s="328"/>
      <c r="J819" s="328"/>
      <c r="K819" s="328"/>
      <c r="L819" s="328"/>
      <c r="M819" s="328"/>
      <c r="R819" s="328"/>
      <c r="S819" s="328"/>
      <c r="T819" s="328"/>
      <c r="U819" s="328"/>
      <c r="V819" s="328"/>
      <c r="W819" s="328"/>
      <c r="X819" s="328"/>
      <c r="Y819" s="328"/>
      <c r="Z819" s="328"/>
      <c r="AA819" s="328"/>
      <c r="AB819" s="328"/>
    </row>
    <row r="820" ht="15.75" customHeight="1">
      <c r="B820" s="328"/>
      <c r="C820" s="328"/>
      <c r="D820" s="328"/>
      <c r="E820" s="328"/>
      <c r="F820" s="328"/>
      <c r="G820" s="328"/>
      <c r="H820" s="328"/>
      <c r="I820" s="328"/>
      <c r="J820" s="328"/>
      <c r="K820" s="328"/>
      <c r="L820" s="328"/>
      <c r="M820" s="328"/>
      <c r="R820" s="328"/>
      <c r="S820" s="328"/>
      <c r="T820" s="328"/>
      <c r="U820" s="328"/>
      <c r="V820" s="328"/>
      <c r="W820" s="328"/>
      <c r="X820" s="328"/>
      <c r="Y820" s="328"/>
      <c r="Z820" s="328"/>
      <c r="AA820" s="328"/>
      <c r="AB820" s="328"/>
    </row>
    <row r="821" ht="15.75" customHeight="1">
      <c r="B821" s="328"/>
      <c r="C821" s="328"/>
      <c r="D821" s="328"/>
      <c r="E821" s="328"/>
      <c r="F821" s="328"/>
      <c r="G821" s="328"/>
      <c r="H821" s="328"/>
      <c r="I821" s="328"/>
      <c r="J821" s="328"/>
      <c r="K821" s="328"/>
      <c r="L821" s="328"/>
      <c r="M821" s="328"/>
      <c r="R821" s="328"/>
      <c r="S821" s="328"/>
      <c r="T821" s="328"/>
      <c r="U821" s="328"/>
      <c r="V821" s="328"/>
      <c r="W821" s="328"/>
      <c r="X821" s="328"/>
      <c r="Y821" s="328"/>
      <c r="Z821" s="328"/>
      <c r="AA821" s="328"/>
      <c r="AB821" s="328"/>
    </row>
    <row r="822" ht="15.75" customHeight="1">
      <c r="B822" s="328"/>
      <c r="C822" s="328"/>
      <c r="D822" s="328"/>
      <c r="E822" s="328"/>
      <c r="F822" s="328"/>
      <c r="G822" s="328"/>
      <c r="H822" s="328"/>
      <c r="I822" s="328"/>
      <c r="J822" s="328"/>
      <c r="K822" s="328"/>
      <c r="L822" s="328"/>
      <c r="M822" s="328"/>
      <c r="R822" s="328"/>
      <c r="S822" s="328"/>
      <c r="T822" s="328"/>
      <c r="U822" s="328"/>
      <c r="V822" s="328"/>
      <c r="W822" s="328"/>
      <c r="X822" s="328"/>
      <c r="Y822" s="328"/>
      <c r="Z822" s="328"/>
      <c r="AA822" s="328"/>
      <c r="AB822" s="328"/>
    </row>
    <row r="823" ht="15.75" customHeight="1">
      <c r="B823" s="328"/>
      <c r="C823" s="328"/>
      <c r="D823" s="328"/>
      <c r="E823" s="328"/>
      <c r="F823" s="328"/>
      <c r="G823" s="328"/>
      <c r="H823" s="328"/>
      <c r="I823" s="328"/>
      <c r="J823" s="328"/>
      <c r="K823" s="328"/>
      <c r="L823" s="328"/>
      <c r="M823" s="328"/>
      <c r="R823" s="328"/>
      <c r="S823" s="328"/>
      <c r="T823" s="328"/>
      <c r="U823" s="328"/>
      <c r="V823" s="328"/>
      <c r="W823" s="328"/>
      <c r="X823" s="328"/>
      <c r="Y823" s="328"/>
      <c r="Z823" s="328"/>
      <c r="AA823" s="328"/>
      <c r="AB823" s="328"/>
    </row>
    <row r="824" ht="15.75" customHeight="1">
      <c r="B824" s="328"/>
      <c r="C824" s="328"/>
      <c r="D824" s="328"/>
      <c r="E824" s="328"/>
      <c r="F824" s="328"/>
      <c r="G824" s="328"/>
      <c r="H824" s="328"/>
      <c r="I824" s="328"/>
      <c r="J824" s="328"/>
      <c r="K824" s="328"/>
      <c r="L824" s="328"/>
      <c r="M824" s="328"/>
      <c r="R824" s="328"/>
      <c r="S824" s="328"/>
      <c r="T824" s="328"/>
      <c r="U824" s="328"/>
      <c r="V824" s="328"/>
      <c r="W824" s="328"/>
      <c r="X824" s="328"/>
      <c r="Y824" s="328"/>
      <c r="Z824" s="328"/>
      <c r="AA824" s="328"/>
      <c r="AB824" s="328"/>
    </row>
    <row r="825" ht="15.75" customHeight="1">
      <c r="B825" s="328"/>
      <c r="C825" s="328"/>
      <c r="D825" s="328"/>
      <c r="E825" s="328"/>
      <c r="F825" s="328"/>
      <c r="G825" s="328"/>
      <c r="H825" s="328"/>
      <c r="I825" s="328"/>
      <c r="J825" s="328"/>
      <c r="K825" s="328"/>
      <c r="L825" s="328"/>
      <c r="M825" s="328"/>
      <c r="R825" s="328"/>
      <c r="S825" s="328"/>
      <c r="T825" s="328"/>
      <c r="U825" s="328"/>
      <c r="V825" s="328"/>
      <c r="W825" s="328"/>
      <c r="X825" s="328"/>
      <c r="Y825" s="328"/>
      <c r="Z825" s="328"/>
      <c r="AA825" s="328"/>
      <c r="AB825" s="328"/>
    </row>
    <row r="826" ht="15.75" customHeight="1">
      <c r="B826" s="328"/>
      <c r="C826" s="328"/>
      <c r="D826" s="328"/>
      <c r="E826" s="328"/>
      <c r="F826" s="328"/>
      <c r="G826" s="328"/>
      <c r="H826" s="328"/>
      <c r="I826" s="328"/>
      <c r="J826" s="328"/>
      <c r="K826" s="328"/>
      <c r="L826" s="328"/>
      <c r="M826" s="328"/>
      <c r="R826" s="328"/>
      <c r="S826" s="328"/>
      <c r="T826" s="328"/>
      <c r="U826" s="328"/>
      <c r="V826" s="328"/>
      <c r="W826" s="328"/>
      <c r="X826" s="328"/>
      <c r="Y826" s="328"/>
      <c r="Z826" s="328"/>
      <c r="AA826" s="328"/>
      <c r="AB826" s="328"/>
    </row>
    <row r="827" ht="15.75" customHeight="1">
      <c r="B827" s="328"/>
      <c r="C827" s="328"/>
      <c r="D827" s="328"/>
      <c r="E827" s="328"/>
      <c r="F827" s="328"/>
      <c r="G827" s="328"/>
      <c r="H827" s="328"/>
      <c r="I827" s="328"/>
      <c r="J827" s="328"/>
      <c r="K827" s="328"/>
      <c r="L827" s="328"/>
      <c r="M827" s="328"/>
      <c r="R827" s="328"/>
      <c r="S827" s="328"/>
      <c r="T827" s="328"/>
      <c r="U827" s="328"/>
      <c r="V827" s="328"/>
      <c r="W827" s="328"/>
      <c r="X827" s="328"/>
      <c r="Y827" s="328"/>
      <c r="Z827" s="328"/>
      <c r="AA827" s="328"/>
      <c r="AB827" s="328"/>
    </row>
    <row r="828" ht="15.75" customHeight="1">
      <c r="B828" s="328"/>
      <c r="C828" s="328"/>
      <c r="D828" s="328"/>
      <c r="E828" s="328"/>
      <c r="F828" s="328"/>
      <c r="G828" s="328"/>
      <c r="H828" s="328"/>
      <c r="I828" s="328"/>
      <c r="J828" s="328"/>
      <c r="K828" s="328"/>
      <c r="L828" s="328"/>
      <c r="M828" s="328"/>
      <c r="R828" s="328"/>
      <c r="S828" s="328"/>
      <c r="T828" s="328"/>
      <c r="U828" s="328"/>
      <c r="V828" s="328"/>
      <c r="W828" s="328"/>
      <c r="X828" s="328"/>
      <c r="Y828" s="328"/>
      <c r="Z828" s="328"/>
      <c r="AA828" s="328"/>
      <c r="AB828" s="328"/>
    </row>
    <row r="829" ht="15.75" customHeight="1">
      <c r="B829" s="328"/>
      <c r="C829" s="328"/>
      <c r="D829" s="328"/>
      <c r="E829" s="328"/>
      <c r="F829" s="328"/>
      <c r="G829" s="328"/>
      <c r="H829" s="328"/>
      <c r="I829" s="328"/>
      <c r="J829" s="328"/>
      <c r="K829" s="328"/>
      <c r="L829" s="328"/>
      <c r="M829" s="328"/>
      <c r="R829" s="328"/>
      <c r="S829" s="328"/>
      <c r="T829" s="328"/>
      <c r="U829" s="328"/>
      <c r="V829" s="328"/>
      <c r="W829" s="328"/>
      <c r="X829" s="328"/>
      <c r="Y829" s="328"/>
      <c r="Z829" s="328"/>
      <c r="AA829" s="328"/>
      <c r="AB829" s="328"/>
    </row>
    <row r="830" ht="15.75" customHeight="1">
      <c r="B830" s="328"/>
      <c r="C830" s="328"/>
      <c r="D830" s="328"/>
      <c r="E830" s="328"/>
      <c r="F830" s="328"/>
      <c r="G830" s="328"/>
      <c r="H830" s="328"/>
      <c r="I830" s="328"/>
      <c r="J830" s="328"/>
      <c r="K830" s="328"/>
      <c r="L830" s="328"/>
      <c r="M830" s="328"/>
      <c r="R830" s="328"/>
      <c r="S830" s="328"/>
      <c r="T830" s="328"/>
      <c r="U830" s="328"/>
      <c r="V830" s="328"/>
      <c r="W830" s="328"/>
      <c r="X830" s="328"/>
      <c r="Y830" s="328"/>
      <c r="Z830" s="328"/>
      <c r="AA830" s="328"/>
      <c r="AB830" s="328"/>
    </row>
    <row r="831" ht="15.75" customHeight="1">
      <c r="B831" s="328"/>
      <c r="C831" s="328"/>
      <c r="D831" s="328"/>
      <c r="E831" s="328"/>
      <c r="F831" s="328"/>
      <c r="G831" s="328"/>
      <c r="H831" s="328"/>
      <c r="I831" s="328"/>
      <c r="J831" s="328"/>
      <c r="K831" s="328"/>
      <c r="L831" s="328"/>
      <c r="M831" s="328"/>
      <c r="R831" s="328"/>
      <c r="S831" s="328"/>
      <c r="T831" s="328"/>
      <c r="U831" s="328"/>
      <c r="V831" s="328"/>
      <c r="W831" s="328"/>
      <c r="X831" s="328"/>
      <c r="Y831" s="328"/>
      <c r="Z831" s="328"/>
      <c r="AA831" s="328"/>
      <c r="AB831" s="328"/>
    </row>
    <row r="832" ht="15.75" customHeight="1">
      <c r="B832" s="328"/>
      <c r="C832" s="328"/>
      <c r="D832" s="328"/>
      <c r="E832" s="328"/>
      <c r="F832" s="328"/>
      <c r="G832" s="328"/>
      <c r="H832" s="328"/>
      <c r="I832" s="328"/>
      <c r="J832" s="328"/>
      <c r="K832" s="328"/>
      <c r="L832" s="328"/>
      <c r="M832" s="328"/>
      <c r="R832" s="328"/>
      <c r="S832" s="328"/>
      <c r="T832" s="328"/>
      <c r="U832" s="328"/>
      <c r="V832" s="328"/>
      <c r="W832" s="328"/>
      <c r="X832" s="328"/>
      <c r="Y832" s="328"/>
      <c r="Z832" s="328"/>
      <c r="AA832" s="328"/>
      <c r="AB832" s="328"/>
    </row>
    <row r="833" ht="15.75" customHeight="1">
      <c r="B833" s="328"/>
      <c r="C833" s="328"/>
      <c r="D833" s="328"/>
      <c r="E833" s="328"/>
      <c r="F833" s="328"/>
      <c r="G833" s="328"/>
      <c r="H833" s="328"/>
      <c r="I833" s="328"/>
      <c r="J833" s="328"/>
      <c r="K833" s="328"/>
      <c r="L833" s="328"/>
      <c r="M833" s="328"/>
      <c r="R833" s="328"/>
      <c r="S833" s="328"/>
      <c r="T833" s="328"/>
      <c r="U833" s="328"/>
      <c r="V833" s="328"/>
      <c r="W833" s="328"/>
      <c r="X833" s="328"/>
      <c r="Y833" s="328"/>
      <c r="Z833" s="328"/>
      <c r="AA833" s="328"/>
      <c r="AB833" s="328"/>
    </row>
    <row r="834" ht="15.75" customHeight="1">
      <c r="B834" s="328"/>
      <c r="C834" s="328"/>
      <c r="D834" s="328"/>
      <c r="E834" s="328"/>
      <c r="F834" s="328"/>
      <c r="G834" s="328"/>
      <c r="H834" s="328"/>
      <c r="I834" s="328"/>
      <c r="J834" s="328"/>
      <c r="K834" s="328"/>
      <c r="L834" s="328"/>
      <c r="M834" s="328"/>
      <c r="R834" s="328"/>
      <c r="S834" s="328"/>
      <c r="T834" s="328"/>
      <c r="U834" s="328"/>
      <c r="V834" s="328"/>
      <c r="W834" s="328"/>
      <c r="X834" s="328"/>
      <c r="Y834" s="328"/>
      <c r="Z834" s="328"/>
      <c r="AA834" s="328"/>
      <c r="AB834" s="328"/>
    </row>
    <row r="835" ht="15.75" customHeight="1">
      <c r="B835" s="328"/>
      <c r="C835" s="328"/>
      <c r="D835" s="328"/>
      <c r="E835" s="328"/>
      <c r="F835" s="328"/>
      <c r="G835" s="328"/>
      <c r="H835" s="328"/>
      <c r="I835" s="328"/>
      <c r="J835" s="328"/>
      <c r="K835" s="328"/>
      <c r="L835" s="328"/>
      <c r="M835" s="328"/>
      <c r="R835" s="328"/>
      <c r="S835" s="328"/>
      <c r="T835" s="328"/>
      <c r="U835" s="328"/>
      <c r="V835" s="328"/>
      <c r="W835" s="328"/>
      <c r="X835" s="328"/>
      <c r="Y835" s="328"/>
      <c r="Z835" s="328"/>
      <c r="AA835" s="328"/>
      <c r="AB835" s="328"/>
    </row>
    <row r="836" ht="15.75" customHeight="1">
      <c r="B836" s="328"/>
      <c r="C836" s="328"/>
      <c r="D836" s="328"/>
      <c r="E836" s="328"/>
      <c r="F836" s="328"/>
      <c r="G836" s="328"/>
      <c r="H836" s="328"/>
      <c r="I836" s="328"/>
      <c r="J836" s="328"/>
      <c r="K836" s="328"/>
      <c r="L836" s="328"/>
      <c r="M836" s="328"/>
      <c r="R836" s="328"/>
      <c r="S836" s="328"/>
      <c r="T836" s="328"/>
      <c r="U836" s="328"/>
      <c r="V836" s="328"/>
      <c r="W836" s="328"/>
      <c r="X836" s="328"/>
      <c r="Y836" s="328"/>
      <c r="Z836" s="328"/>
      <c r="AA836" s="328"/>
      <c r="AB836" s="328"/>
    </row>
    <row r="837" ht="15.75" customHeight="1">
      <c r="B837" s="328"/>
      <c r="C837" s="328"/>
      <c r="D837" s="328"/>
      <c r="E837" s="328"/>
      <c r="F837" s="328"/>
      <c r="G837" s="328"/>
      <c r="H837" s="328"/>
      <c r="I837" s="328"/>
      <c r="J837" s="328"/>
      <c r="K837" s="328"/>
      <c r="L837" s="328"/>
      <c r="M837" s="328"/>
      <c r="R837" s="328"/>
      <c r="S837" s="328"/>
      <c r="T837" s="328"/>
      <c r="U837" s="328"/>
      <c r="V837" s="328"/>
      <c r="W837" s="328"/>
      <c r="X837" s="328"/>
      <c r="Y837" s="328"/>
      <c r="Z837" s="328"/>
      <c r="AA837" s="328"/>
      <c r="AB837" s="328"/>
    </row>
    <row r="838" ht="15.75" customHeight="1">
      <c r="B838" s="328"/>
      <c r="C838" s="328"/>
      <c r="D838" s="328"/>
      <c r="E838" s="328"/>
      <c r="F838" s="328"/>
      <c r="G838" s="328"/>
      <c r="H838" s="328"/>
      <c r="I838" s="328"/>
      <c r="J838" s="328"/>
      <c r="K838" s="328"/>
      <c r="L838" s="328"/>
      <c r="M838" s="328"/>
      <c r="R838" s="328"/>
      <c r="S838" s="328"/>
      <c r="T838" s="328"/>
      <c r="U838" s="328"/>
      <c r="V838" s="328"/>
      <c r="W838" s="328"/>
      <c r="X838" s="328"/>
      <c r="Y838" s="328"/>
      <c r="Z838" s="328"/>
      <c r="AA838" s="328"/>
      <c r="AB838" s="328"/>
    </row>
    <row r="839" ht="15.75" customHeight="1">
      <c r="B839" s="328"/>
      <c r="C839" s="328"/>
      <c r="D839" s="328"/>
      <c r="E839" s="328"/>
      <c r="F839" s="328"/>
      <c r="G839" s="328"/>
      <c r="H839" s="328"/>
      <c r="I839" s="328"/>
      <c r="J839" s="328"/>
      <c r="K839" s="328"/>
      <c r="L839" s="328"/>
      <c r="M839" s="328"/>
      <c r="R839" s="328"/>
      <c r="S839" s="328"/>
      <c r="T839" s="328"/>
      <c r="U839" s="328"/>
      <c r="V839" s="328"/>
      <c r="W839" s="328"/>
      <c r="X839" s="328"/>
      <c r="Y839" s="328"/>
      <c r="Z839" s="328"/>
      <c r="AA839" s="328"/>
      <c r="AB839" s="328"/>
    </row>
    <row r="840" ht="15.75" customHeight="1">
      <c r="B840" s="328"/>
      <c r="C840" s="328"/>
      <c r="D840" s="328"/>
      <c r="E840" s="328"/>
      <c r="F840" s="328"/>
      <c r="G840" s="328"/>
      <c r="H840" s="328"/>
      <c r="I840" s="328"/>
      <c r="J840" s="328"/>
      <c r="K840" s="328"/>
      <c r="L840" s="328"/>
      <c r="M840" s="328"/>
      <c r="R840" s="328"/>
      <c r="S840" s="328"/>
      <c r="T840" s="328"/>
      <c r="U840" s="328"/>
      <c r="V840" s="328"/>
      <c r="W840" s="328"/>
      <c r="X840" s="328"/>
      <c r="Y840" s="328"/>
      <c r="Z840" s="328"/>
      <c r="AA840" s="328"/>
      <c r="AB840" s="328"/>
    </row>
    <row r="841" ht="15.75" customHeight="1">
      <c r="B841" s="328"/>
      <c r="C841" s="328"/>
      <c r="D841" s="328"/>
      <c r="E841" s="328"/>
      <c r="F841" s="328"/>
      <c r="G841" s="328"/>
      <c r="H841" s="328"/>
      <c r="I841" s="328"/>
      <c r="J841" s="328"/>
      <c r="K841" s="328"/>
      <c r="L841" s="328"/>
      <c r="M841" s="328"/>
      <c r="R841" s="328"/>
      <c r="S841" s="328"/>
      <c r="T841" s="328"/>
      <c r="U841" s="328"/>
      <c r="V841" s="328"/>
      <c r="W841" s="328"/>
      <c r="X841" s="328"/>
      <c r="Y841" s="328"/>
      <c r="Z841" s="328"/>
      <c r="AA841" s="328"/>
      <c r="AB841" s="328"/>
    </row>
    <row r="842" ht="15.75" customHeight="1">
      <c r="B842" s="328"/>
      <c r="C842" s="328"/>
      <c r="D842" s="328"/>
      <c r="E842" s="328"/>
      <c r="F842" s="328"/>
      <c r="G842" s="328"/>
      <c r="H842" s="328"/>
      <c r="I842" s="328"/>
      <c r="J842" s="328"/>
      <c r="K842" s="328"/>
      <c r="L842" s="328"/>
      <c r="M842" s="328"/>
      <c r="R842" s="328"/>
      <c r="S842" s="328"/>
      <c r="T842" s="328"/>
      <c r="U842" s="328"/>
      <c r="V842" s="328"/>
      <c r="W842" s="328"/>
      <c r="X842" s="328"/>
      <c r="Y842" s="328"/>
      <c r="Z842" s="328"/>
      <c r="AA842" s="328"/>
      <c r="AB842" s="328"/>
    </row>
    <row r="843" ht="15.75" customHeight="1">
      <c r="B843" s="328"/>
      <c r="C843" s="328"/>
      <c r="D843" s="328"/>
      <c r="E843" s="328"/>
      <c r="F843" s="328"/>
      <c r="G843" s="328"/>
      <c r="H843" s="328"/>
      <c r="I843" s="328"/>
      <c r="J843" s="328"/>
      <c r="K843" s="328"/>
      <c r="L843" s="328"/>
      <c r="M843" s="328"/>
      <c r="R843" s="328"/>
      <c r="S843" s="328"/>
      <c r="T843" s="328"/>
      <c r="U843" s="328"/>
      <c r="V843" s="328"/>
      <c r="W843" s="328"/>
      <c r="X843" s="328"/>
      <c r="Y843" s="328"/>
      <c r="Z843" s="328"/>
      <c r="AA843" s="328"/>
      <c r="AB843" s="328"/>
    </row>
    <row r="844" ht="15.75" customHeight="1">
      <c r="B844" s="328"/>
      <c r="C844" s="328"/>
      <c r="D844" s="328"/>
      <c r="E844" s="328"/>
      <c r="F844" s="328"/>
      <c r="G844" s="328"/>
      <c r="H844" s="328"/>
      <c r="I844" s="328"/>
      <c r="J844" s="328"/>
      <c r="K844" s="328"/>
      <c r="L844" s="328"/>
      <c r="M844" s="328"/>
      <c r="R844" s="328"/>
      <c r="S844" s="328"/>
      <c r="T844" s="328"/>
      <c r="U844" s="328"/>
      <c r="V844" s="328"/>
      <c r="W844" s="328"/>
      <c r="X844" s="328"/>
      <c r="Y844" s="328"/>
      <c r="Z844" s="328"/>
      <c r="AA844" s="328"/>
      <c r="AB844" s="328"/>
    </row>
    <row r="845" ht="15.75" customHeight="1">
      <c r="B845" s="328"/>
      <c r="C845" s="328"/>
      <c r="D845" s="328"/>
      <c r="E845" s="328"/>
      <c r="F845" s="328"/>
      <c r="G845" s="328"/>
      <c r="H845" s="328"/>
      <c r="I845" s="328"/>
      <c r="J845" s="328"/>
      <c r="K845" s="328"/>
      <c r="L845" s="328"/>
      <c r="M845" s="328"/>
      <c r="R845" s="328"/>
      <c r="S845" s="328"/>
      <c r="T845" s="328"/>
      <c r="U845" s="328"/>
      <c r="V845" s="328"/>
      <c r="W845" s="328"/>
      <c r="X845" s="328"/>
      <c r="Y845" s="328"/>
      <c r="Z845" s="328"/>
      <c r="AA845" s="328"/>
      <c r="AB845" s="328"/>
    </row>
    <row r="846" ht="15.75" customHeight="1">
      <c r="B846" s="328"/>
      <c r="C846" s="328"/>
      <c r="D846" s="328"/>
      <c r="E846" s="328"/>
      <c r="F846" s="328"/>
      <c r="G846" s="328"/>
      <c r="H846" s="328"/>
      <c r="I846" s="328"/>
      <c r="J846" s="328"/>
      <c r="K846" s="328"/>
      <c r="L846" s="328"/>
      <c r="M846" s="328"/>
      <c r="R846" s="328"/>
      <c r="S846" s="328"/>
      <c r="T846" s="328"/>
      <c r="U846" s="328"/>
      <c r="V846" s="328"/>
      <c r="W846" s="328"/>
      <c r="X846" s="328"/>
      <c r="Y846" s="328"/>
      <c r="Z846" s="328"/>
      <c r="AA846" s="328"/>
      <c r="AB846" s="328"/>
    </row>
    <row r="847" ht="15.75" customHeight="1">
      <c r="B847" s="328"/>
      <c r="C847" s="328"/>
      <c r="D847" s="328"/>
      <c r="E847" s="328"/>
      <c r="F847" s="328"/>
      <c r="G847" s="328"/>
      <c r="H847" s="328"/>
      <c r="I847" s="328"/>
      <c r="J847" s="328"/>
      <c r="K847" s="328"/>
      <c r="L847" s="328"/>
      <c r="M847" s="328"/>
      <c r="R847" s="328"/>
      <c r="S847" s="328"/>
      <c r="T847" s="328"/>
      <c r="U847" s="328"/>
      <c r="V847" s="328"/>
      <c r="W847" s="328"/>
      <c r="X847" s="328"/>
      <c r="Y847" s="328"/>
      <c r="Z847" s="328"/>
      <c r="AA847" s="328"/>
      <c r="AB847" s="328"/>
    </row>
    <row r="848" ht="15.75" customHeight="1">
      <c r="B848" s="328"/>
      <c r="C848" s="328"/>
      <c r="D848" s="328"/>
      <c r="E848" s="328"/>
      <c r="F848" s="328"/>
      <c r="G848" s="328"/>
      <c r="H848" s="328"/>
      <c r="I848" s="328"/>
      <c r="J848" s="328"/>
      <c r="K848" s="328"/>
      <c r="L848" s="328"/>
      <c r="M848" s="328"/>
      <c r="R848" s="328"/>
      <c r="S848" s="328"/>
      <c r="T848" s="328"/>
      <c r="U848" s="328"/>
      <c r="V848" s="328"/>
      <c r="W848" s="328"/>
      <c r="X848" s="328"/>
      <c r="Y848" s="328"/>
      <c r="Z848" s="328"/>
      <c r="AA848" s="328"/>
      <c r="AB848" s="328"/>
    </row>
    <row r="849" ht="15.75" customHeight="1">
      <c r="B849" s="328"/>
      <c r="C849" s="328"/>
      <c r="D849" s="328"/>
      <c r="E849" s="328"/>
      <c r="F849" s="328"/>
      <c r="G849" s="328"/>
      <c r="H849" s="328"/>
      <c r="I849" s="328"/>
      <c r="J849" s="328"/>
      <c r="K849" s="328"/>
      <c r="L849" s="328"/>
      <c r="M849" s="328"/>
      <c r="R849" s="328"/>
      <c r="S849" s="328"/>
      <c r="T849" s="328"/>
      <c r="U849" s="328"/>
      <c r="V849" s="328"/>
      <c r="W849" s="328"/>
      <c r="X849" s="328"/>
      <c r="Y849" s="328"/>
      <c r="Z849" s="328"/>
      <c r="AA849" s="328"/>
      <c r="AB849" s="328"/>
    </row>
    <row r="850" ht="15.75" customHeight="1">
      <c r="B850" s="328"/>
      <c r="C850" s="328"/>
      <c r="D850" s="328"/>
      <c r="E850" s="328"/>
      <c r="F850" s="328"/>
      <c r="G850" s="328"/>
      <c r="H850" s="328"/>
      <c r="I850" s="328"/>
      <c r="J850" s="328"/>
      <c r="K850" s="328"/>
      <c r="L850" s="328"/>
      <c r="M850" s="328"/>
      <c r="R850" s="328"/>
      <c r="S850" s="328"/>
      <c r="T850" s="328"/>
      <c r="U850" s="328"/>
      <c r="V850" s="328"/>
      <c r="W850" s="328"/>
      <c r="X850" s="328"/>
      <c r="Y850" s="328"/>
      <c r="Z850" s="328"/>
      <c r="AA850" s="328"/>
      <c r="AB850" s="328"/>
    </row>
    <row r="851" ht="15.75" customHeight="1">
      <c r="B851" s="328"/>
      <c r="C851" s="328"/>
      <c r="D851" s="328"/>
      <c r="E851" s="328"/>
      <c r="F851" s="328"/>
      <c r="G851" s="328"/>
      <c r="H851" s="328"/>
      <c r="I851" s="328"/>
      <c r="J851" s="328"/>
      <c r="K851" s="328"/>
      <c r="L851" s="328"/>
      <c r="M851" s="328"/>
      <c r="R851" s="328"/>
      <c r="S851" s="328"/>
      <c r="T851" s="328"/>
      <c r="U851" s="328"/>
      <c r="V851" s="328"/>
      <c r="W851" s="328"/>
      <c r="X851" s="328"/>
      <c r="Y851" s="328"/>
      <c r="Z851" s="328"/>
      <c r="AA851" s="328"/>
      <c r="AB851" s="328"/>
    </row>
    <row r="852" ht="15.75" customHeight="1">
      <c r="B852" s="328"/>
      <c r="C852" s="328"/>
      <c r="D852" s="328"/>
      <c r="E852" s="328"/>
      <c r="F852" s="328"/>
      <c r="G852" s="328"/>
      <c r="H852" s="328"/>
      <c r="I852" s="328"/>
      <c r="J852" s="328"/>
      <c r="K852" s="328"/>
      <c r="L852" s="328"/>
      <c r="M852" s="328"/>
      <c r="R852" s="328"/>
      <c r="S852" s="328"/>
      <c r="T852" s="328"/>
      <c r="U852" s="328"/>
      <c r="V852" s="328"/>
      <c r="W852" s="328"/>
      <c r="X852" s="328"/>
      <c r="Y852" s="328"/>
      <c r="Z852" s="328"/>
      <c r="AA852" s="328"/>
      <c r="AB852" s="328"/>
    </row>
    <row r="853" ht="15.75" customHeight="1">
      <c r="B853" s="328"/>
      <c r="C853" s="328"/>
      <c r="D853" s="328"/>
      <c r="E853" s="328"/>
      <c r="F853" s="328"/>
      <c r="G853" s="328"/>
      <c r="H853" s="328"/>
      <c r="I853" s="328"/>
      <c r="J853" s="328"/>
      <c r="K853" s="328"/>
      <c r="L853" s="328"/>
      <c r="M853" s="328"/>
      <c r="R853" s="328"/>
      <c r="S853" s="328"/>
      <c r="T853" s="328"/>
      <c r="U853" s="328"/>
      <c r="V853" s="328"/>
      <c r="W853" s="328"/>
      <c r="X853" s="328"/>
      <c r="Y853" s="328"/>
      <c r="Z853" s="328"/>
      <c r="AA853" s="328"/>
      <c r="AB853" s="328"/>
    </row>
    <row r="854" ht="15.75" customHeight="1">
      <c r="B854" s="328"/>
      <c r="C854" s="328"/>
      <c r="D854" s="328"/>
      <c r="E854" s="328"/>
      <c r="F854" s="328"/>
      <c r="G854" s="328"/>
      <c r="H854" s="328"/>
      <c r="I854" s="328"/>
      <c r="J854" s="328"/>
      <c r="K854" s="328"/>
      <c r="L854" s="328"/>
      <c r="M854" s="328"/>
      <c r="R854" s="328"/>
      <c r="S854" s="328"/>
      <c r="T854" s="328"/>
      <c r="U854" s="328"/>
      <c r="V854" s="328"/>
      <c r="W854" s="328"/>
      <c r="X854" s="328"/>
      <c r="Y854" s="328"/>
      <c r="Z854" s="328"/>
      <c r="AA854" s="328"/>
      <c r="AB854" s="328"/>
    </row>
    <row r="855" ht="15.75" customHeight="1">
      <c r="B855" s="328"/>
      <c r="C855" s="328"/>
      <c r="D855" s="328"/>
      <c r="E855" s="328"/>
      <c r="F855" s="328"/>
      <c r="G855" s="328"/>
      <c r="H855" s="328"/>
      <c r="I855" s="328"/>
      <c r="J855" s="328"/>
      <c r="K855" s="328"/>
      <c r="L855" s="328"/>
      <c r="M855" s="328"/>
      <c r="R855" s="328"/>
      <c r="S855" s="328"/>
      <c r="T855" s="328"/>
      <c r="U855" s="328"/>
      <c r="V855" s="328"/>
      <c r="W855" s="328"/>
      <c r="X855" s="328"/>
      <c r="Y855" s="328"/>
      <c r="Z855" s="328"/>
      <c r="AA855" s="328"/>
      <c r="AB855" s="328"/>
    </row>
    <row r="856" ht="15.75" customHeight="1">
      <c r="B856" s="328"/>
      <c r="C856" s="328"/>
      <c r="D856" s="328"/>
      <c r="E856" s="328"/>
      <c r="F856" s="328"/>
      <c r="G856" s="328"/>
      <c r="H856" s="328"/>
      <c r="I856" s="328"/>
      <c r="J856" s="328"/>
      <c r="K856" s="328"/>
      <c r="L856" s="328"/>
      <c r="M856" s="328"/>
      <c r="R856" s="328"/>
      <c r="S856" s="328"/>
      <c r="T856" s="328"/>
      <c r="U856" s="328"/>
      <c r="V856" s="328"/>
      <c r="W856" s="328"/>
      <c r="X856" s="328"/>
      <c r="Y856" s="328"/>
      <c r="Z856" s="328"/>
      <c r="AA856" s="328"/>
      <c r="AB856" s="328"/>
    </row>
    <row r="857" ht="15.75" customHeight="1">
      <c r="B857" s="328"/>
      <c r="C857" s="328"/>
      <c r="D857" s="328"/>
      <c r="E857" s="328"/>
      <c r="F857" s="328"/>
      <c r="G857" s="328"/>
      <c r="H857" s="328"/>
      <c r="I857" s="328"/>
      <c r="J857" s="328"/>
      <c r="K857" s="328"/>
      <c r="L857" s="328"/>
      <c r="M857" s="328"/>
      <c r="R857" s="328"/>
      <c r="S857" s="328"/>
      <c r="T857" s="328"/>
      <c r="U857" s="328"/>
      <c r="V857" s="328"/>
      <c r="W857" s="328"/>
      <c r="X857" s="328"/>
      <c r="Y857" s="328"/>
      <c r="Z857" s="328"/>
      <c r="AA857" s="328"/>
      <c r="AB857" s="328"/>
    </row>
    <row r="858" ht="15.75" customHeight="1">
      <c r="B858" s="328"/>
      <c r="C858" s="328"/>
      <c r="D858" s="328"/>
      <c r="E858" s="328"/>
      <c r="F858" s="328"/>
      <c r="G858" s="328"/>
      <c r="H858" s="328"/>
      <c r="I858" s="328"/>
      <c r="J858" s="328"/>
      <c r="K858" s="328"/>
      <c r="L858" s="328"/>
      <c r="M858" s="328"/>
      <c r="R858" s="328"/>
      <c r="S858" s="328"/>
      <c r="T858" s="328"/>
      <c r="U858" s="328"/>
      <c r="V858" s="328"/>
      <c r="W858" s="328"/>
      <c r="X858" s="328"/>
      <c r="Y858" s="328"/>
      <c r="Z858" s="328"/>
      <c r="AA858" s="328"/>
      <c r="AB858" s="328"/>
    </row>
    <row r="859" ht="15.75" customHeight="1">
      <c r="B859" s="328"/>
      <c r="C859" s="328"/>
      <c r="D859" s="328"/>
      <c r="E859" s="328"/>
      <c r="F859" s="328"/>
      <c r="G859" s="328"/>
      <c r="H859" s="328"/>
      <c r="I859" s="328"/>
      <c r="J859" s="328"/>
      <c r="K859" s="328"/>
      <c r="L859" s="328"/>
      <c r="M859" s="328"/>
      <c r="R859" s="328"/>
      <c r="S859" s="328"/>
      <c r="T859" s="328"/>
      <c r="U859" s="328"/>
      <c r="V859" s="328"/>
      <c r="W859" s="328"/>
      <c r="X859" s="328"/>
      <c r="Y859" s="328"/>
      <c r="Z859" s="328"/>
      <c r="AA859" s="328"/>
      <c r="AB859" s="328"/>
    </row>
    <row r="860" ht="15.75" customHeight="1">
      <c r="B860" s="328"/>
      <c r="C860" s="328"/>
      <c r="D860" s="328"/>
      <c r="E860" s="328"/>
      <c r="F860" s="328"/>
      <c r="G860" s="328"/>
      <c r="H860" s="328"/>
      <c r="I860" s="328"/>
      <c r="J860" s="328"/>
      <c r="K860" s="328"/>
      <c r="L860" s="328"/>
      <c r="M860" s="328"/>
      <c r="R860" s="328"/>
      <c r="S860" s="328"/>
      <c r="T860" s="328"/>
      <c r="U860" s="328"/>
      <c r="V860" s="328"/>
      <c r="W860" s="328"/>
      <c r="X860" s="328"/>
      <c r="Y860" s="328"/>
      <c r="Z860" s="328"/>
      <c r="AA860" s="328"/>
      <c r="AB860" s="328"/>
    </row>
    <row r="861" ht="15.75" customHeight="1">
      <c r="B861" s="328"/>
      <c r="C861" s="328"/>
      <c r="D861" s="328"/>
      <c r="E861" s="328"/>
      <c r="F861" s="328"/>
      <c r="G861" s="328"/>
      <c r="H861" s="328"/>
      <c r="I861" s="328"/>
      <c r="J861" s="328"/>
      <c r="K861" s="328"/>
      <c r="L861" s="328"/>
      <c r="M861" s="328"/>
      <c r="R861" s="328"/>
      <c r="S861" s="328"/>
      <c r="T861" s="328"/>
      <c r="U861" s="328"/>
      <c r="V861" s="328"/>
      <c r="W861" s="328"/>
      <c r="X861" s="328"/>
      <c r="Y861" s="328"/>
      <c r="Z861" s="328"/>
      <c r="AA861" s="328"/>
      <c r="AB861" s="328"/>
    </row>
    <row r="862" ht="15.75" customHeight="1">
      <c r="B862" s="328"/>
      <c r="C862" s="328"/>
      <c r="D862" s="328"/>
      <c r="E862" s="328"/>
      <c r="F862" s="328"/>
      <c r="G862" s="328"/>
      <c r="H862" s="328"/>
      <c r="I862" s="328"/>
      <c r="J862" s="328"/>
      <c r="K862" s="328"/>
      <c r="L862" s="328"/>
      <c r="M862" s="328"/>
      <c r="R862" s="328"/>
      <c r="S862" s="328"/>
      <c r="T862" s="328"/>
      <c r="U862" s="328"/>
      <c r="V862" s="328"/>
      <c r="W862" s="328"/>
      <c r="X862" s="328"/>
      <c r="Y862" s="328"/>
      <c r="Z862" s="328"/>
      <c r="AA862" s="328"/>
      <c r="AB862" s="328"/>
    </row>
    <row r="863" ht="15.75" customHeight="1">
      <c r="B863" s="328"/>
      <c r="C863" s="328"/>
      <c r="D863" s="328"/>
      <c r="E863" s="328"/>
      <c r="F863" s="328"/>
      <c r="G863" s="328"/>
      <c r="H863" s="328"/>
      <c r="I863" s="328"/>
      <c r="J863" s="328"/>
      <c r="K863" s="328"/>
      <c r="L863" s="328"/>
      <c r="M863" s="328"/>
      <c r="R863" s="328"/>
      <c r="S863" s="328"/>
      <c r="T863" s="328"/>
      <c r="U863" s="328"/>
      <c r="V863" s="328"/>
      <c r="W863" s="328"/>
      <c r="X863" s="328"/>
      <c r="Y863" s="328"/>
      <c r="Z863" s="328"/>
      <c r="AA863" s="328"/>
      <c r="AB863" s="328"/>
    </row>
    <row r="864" ht="15.75" customHeight="1">
      <c r="B864" s="328"/>
      <c r="C864" s="328"/>
      <c r="D864" s="328"/>
      <c r="E864" s="328"/>
      <c r="F864" s="328"/>
      <c r="G864" s="328"/>
      <c r="H864" s="328"/>
      <c r="I864" s="328"/>
      <c r="J864" s="328"/>
      <c r="K864" s="328"/>
      <c r="L864" s="328"/>
      <c r="M864" s="328"/>
      <c r="R864" s="328"/>
      <c r="S864" s="328"/>
      <c r="T864" s="328"/>
      <c r="U864" s="328"/>
      <c r="V864" s="328"/>
      <c r="W864" s="328"/>
      <c r="X864" s="328"/>
      <c r="Y864" s="328"/>
      <c r="Z864" s="328"/>
      <c r="AA864" s="328"/>
      <c r="AB864" s="328"/>
    </row>
    <row r="865" ht="15.75" customHeight="1">
      <c r="B865" s="328"/>
      <c r="C865" s="328"/>
      <c r="D865" s="328"/>
      <c r="E865" s="328"/>
      <c r="F865" s="328"/>
      <c r="G865" s="328"/>
      <c r="H865" s="328"/>
      <c r="I865" s="328"/>
      <c r="J865" s="328"/>
      <c r="K865" s="328"/>
      <c r="L865" s="328"/>
      <c r="M865" s="328"/>
      <c r="R865" s="328"/>
      <c r="S865" s="328"/>
      <c r="T865" s="328"/>
      <c r="U865" s="328"/>
      <c r="V865" s="328"/>
      <c r="W865" s="328"/>
      <c r="X865" s="328"/>
      <c r="Y865" s="328"/>
      <c r="Z865" s="328"/>
      <c r="AA865" s="328"/>
      <c r="AB865" s="328"/>
    </row>
    <row r="866" ht="15.75" customHeight="1">
      <c r="B866" s="328"/>
      <c r="C866" s="328"/>
      <c r="D866" s="328"/>
      <c r="E866" s="328"/>
      <c r="F866" s="328"/>
      <c r="G866" s="328"/>
      <c r="H866" s="328"/>
      <c r="I866" s="328"/>
      <c r="J866" s="328"/>
      <c r="K866" s="328"/>
      <c r="L866" s="328"/>
      <c r="M866" s="328"/>
      <c r="R866" s="328"/>
      <c r="S866" s="328"/>
      <c r="T866" s="328"/>
      <c r="U866" s="328"/>
      <c r="V866" s="328"/>
      <c r="W866" s="328"/>
      <c r="X866" s="328"/>
      <c r="Y866" s="328"/>
      <c r="Z866" s="328"/>
      <c r="AA866" s="328"/>
      <c r="AB866" s="328"/>
    </row>
    <row r="867" ht="15.75" customHeight="1">
      <c r="B867" s="328"/>
      <c r="C867" s="328"/>
      <c r="D867" s="328"/>
      <c r="E867" s="328"/>
      <c r="F867" s="328"/>
      <c r="G867" s="328"/>
      <c r="H867" s="328"/>
      <c r="I867" s="328"/>
      <c r="J867" s="328"/>
      <c r="K867" s="328"/>
      <c r="L867" s="328"/>
      <c r="M867" s="328"/>
      <c r="R867" s="328"/>
      <c r="S867" s="328"/>
      <c r="T867" s="328"/>
      <c r="U867" s="328"/>
      <c r="V867" s="328"/>
      <c r="W867" s="328"/>
      <c r="X867" s="328"/>
      <c r="Y867" s="328"/>
      <c r="Z867" s="328"/>
      <c r="AA867" s="328"/>
      <c r="AB867" s="328"/>
    </row>
    <row r="868" ht="15.75" customHeight="1">
      <c r="B868" s="328"/>
      <c r="C868" s="328"/>
      <c r="D868" s="328"/>
      <c r="E868" s="328"/>
      <c r="F868" s="328"/>
      <c r="G868" s="328"/>
      <c r="H868" s="328"/>
      <c r="I868" s="328"/>
      <c r="J868" s="328"/>
      <c r="K868" s="328"/>
      <c r="L868" s="328"/>
      <c r="M868" s="328"/>
      <c r="R868" s="328"/>
      <c r="S868" s="328"/>
      <c r="T868" s="328"/>
      <c r="U868" s="328"/>
      <c r="V868" s="328"/>
      <c r="W868" s="328"/>
      <c r="X868" s="328"/>
      <c r="Y868" s="328"/>
      <c r="Z868" s="328"/>
      <c r="AA868" s="328"/>
      <c r="AB868" s="328"/>
    </row>
    <row r="869" ht="15.75" customHeight="1">
      <c r="B869" s="328"/>
      <c r="C869" s="328"/>
      <c r="D869" s="328"/>
      <c r="E869" s="328"/>
      <c r="F869" s="328"/>
      <c r="G869" s="328"/>
      <c r="H869" s="328"/>
      <c r="I869" s="328"/>
      <c r="J869" s="328"/>
      <c r="K869" s="328"/>
      <c r="L869" s="328"/>
      <c r="M869" s="328"/>
      <c r="R869" s="328"/>
      <c r="S869" s="328"/>
      <c r="T869" s="328"/>
      <c r="U869" s="328"/>
      <c r="V869" s="328"/>
      <c r="W869" s="328"/>
      <c r="X869" s="328"/>
      <c r="Y869" s="328"/>
      <c r="Z869" s="328"/>
      <c r="AA869" s="328"/>
      <c r="AB869" s="328"/>
    </row>
    <row r="870" ht="15.75" customHeight="1">
      <c r="B870" s="328"/>
      <c r="C870" s="328"/>
      <c r="D870" s="328"/>
      <c r="E870" s="328"/>
      <c r="F870" s="328"/>
      <c r="G870" s="328"/>
      <c r="H870" s="328"/>
      <c r="I870" s="328"/>
      <c r="J870" s="328"/>
      <c r="K870" s="328"/>
      <c r="L870" s="328"/>
      <c r="M870" s="328"/>
      <c r="R870" s="328"/>
      <c r="S870" s="328"/>
      <c r="T870" s="328"/>
      <c r="U870" s="328"/>
      <c r="V870" s="328"/>
      <c r="W870" s="328"/>
      <c r="X870" s="328"/>
      <c r="Y870" s="328"/>
      <c r="Z870" s="328"/>
      <c r="AA870" s="328"/>
      <c r="AB870" s="328"/>
    </row>
    <row r="871" ht="15.75" customHeight="1">
      <c r="B871" s="328"/>
      <c r="C871" s="328"/>
      <c r="D871" s="328"/>
      <c r="E871" s="328"/>
      <c r="F871" s="328"/>
      <c r="G871" s="328"/>
      <c r="H871" s="328"/>
      <c r="I871" s="328"/>
      <c r="J871" s="328"/>
      <c r="K871" s="328"/>
      <c r="L871" s="328"/>
      <c r="M871" s="328"/>
      <c r="R871" s="328"/>
      <c r="S871" s="328"/>
      <c r="T871" s="328"/>
      <c r="U871" s="328"/>
      <c r="V871" s="328"/>
      <c r="W871" s="328"/>
      <c r="X871" s="328"/>
      <c r="Y871" s="328"/>
      <c r="Z871" s="328"/>
      <c r="AA871" s="328"/>
      <c r="AB871" s="328"/>
    </row>
    <row r="872" ht="15.75" customHeight="1">
      <c r="B872" s="328"/>
      <c r="C872" s="328"/>
      <c r="D872" s="328"/>
      <c r="E872" s="328"/>
      <c r="F872" s="328"/>
      <c r="G872" s="328"/>
      <c r="H872" s="328"/>
      <c r="I872" s="328"/>
      <c r="J872" s="328"/>
      <c r="K872" s="328"/>
      <c r="L872" s="328"/>
      <c r="M872" s="328"/>
      <c r="R872" s="328"/>
      <c r="S872" s="328"/>
      <c r="T872" s="328"/>
      <c r="U872" s="328"/>
      <c r="V872" s="328"/>
      <c r="W872" s="328"/>
      <c r="X872" s="328"/>
      <c r="Y872" s="328"/>
      <c r="Z872" s="328"/>
      <c r="AA872" s="328"/>
      <c r="AB872" s="328"/>
    </row>
    <row r="873" ht="15.75" customHeight="1">
      <c r="B873" s="328"/>
      <c r="C873" s="328"/>
      <c r="D873" s="328"/>
      <c r="E873" s="328"/>
      <c r="F873" s="328"/>
      <c r="G873" s="328"/>
      <c r="H873" s="328"/>
      <c r="I873" s="328"/>
      <c r="J873" s="328"/>
      <c r="K873" s="328"/>
      <c r="L873" s="328"/>
      <c r="M873" s="328"/>
      <c r="R873" s="328"/>
      <c r="S873" s="328"/>
      <c r="T873" s="328"/>
      <c r="U873" s="328"/>
      <c r="V873" s="328"/>
      <c r="W873" s="328"/>
      <c r="X873" s="328"/>
      <c r="Y873" s="328"/>
      <c r="Z873" s="328"/>
      <c r="AA873" s="328"/>
      <c r="AB873" s="328"/>
    </row>
    <row r="874" ht="15.75" customHeight="1">
      <c r="B874" s="328"/>
      <c r="C874" s="328"/>
      <c r="D874" s="328"/>
      <c r="E874" s="328"/>
      <c r="F874" s="328"/>
      <c r="G874" s="328"/>
      <c r="H874" s="328"/>
      <c r="I874" s="328"/>
      <c r="J874" s="328"/>
      <c r="K874" s="328"/>
      <c r="L874" s="328"/>
      <c r="M874" s="328"/>
      <c r="R874" s="328"/>
      <c r="S874" s="328"/>
      <c r="T874" s="328"/>
      <c r="U874" s="328"/>
      <c r="V874" s="328"/>
      <c r="W874" s="328"/>
      <c r="X874" s="328"/>
      <c r="Y874" s="328"/>
      <c r="Z874" s="328"/>
      <c r="AA874" s="328"/>
      <c r="AB874" s="328"/>
    </row>
    <row r="875" ht="15.75" customHeight="1">
      <c r="B875" s="328"/>
      <c r="C875" s="328"/>
      <c r="D875" s="328"/>
      <c r="E875" s="328"/>
      <c r="F875" s="328"/>
      <c r="G875" s="328"/>
      <c r="H875" s="328"/>
      <c r="I875" s="328"/>
      <c r="J875" s="328"/>
      <c r="K875" s="328"/>
      <c r="L875" s="328"/>
      <c r="M875" s="328"/>
      <c r="R875" s="328"/>
      <c r="S875" s="328"/>
      <c r="T875" s="328"/>
      <c r="U875" s="328"/>
      <c r="V875" s="328"/>
      <c r="W875" s="328"/>
      <c r="X875" s="328"/>
      <c r="Y875" s="328"/>
      <c r="Z875" s="328"/>
      <c r="AA875" s="328"/>
      <c r="AB875" s="328"/>
    </row>
    <row r="876" ht="15.75" customHeight="1">
      <c r="B876" s="328"/>
      <c r="C876" s="328"/>
      <c r="D876" s="328"/>
      <c r="E876" s="328"/>
      <c r="F876" s="328"/>
      <c r="G876" s="328"/>
      <c r="H876" s="328"/>
      <c r="I876" s="328"/>
      <c r="J876" s="328"/>
      <c r="K876" s="328"/>
      <c r="L876" s="328"/>
      <c r="M876" s="328"/>
      <c r="R876" s="328"/>
      <c r="S876" s="328"/>
      <c r="T876" s="328"/>
      <c r="U876" s="328"/>
      <c r="V876" s="328"/>
      <c r="W876" s="328"/>
      <c r="X876" s="328"/>
      <c r="Y876" s="328"/>
      <c r="Z876" s="328"/>
      <c r="AA876" s="328"/>
      <c r="AB876" s="328"/>
    </row>
    <row r="877" ht="15.75" customHeight="1">
      <c r="B877" s="328"/>
      <c r="C877" s="328"/>
      <c r="D877" s="328"/>
      <c r="E877" s="328"/>
      <c r="F877" s="328"/>
      <c r="G877" s="328"/>
      <c r="H877" s="328"/>
      <c r="I877" s="328"/>
      <c r="J877" s="328"/>
      <c r="K877" s="328"/>
      <c r="L877" s="328"/>
      <c r="M877" s="328"/>
      <c r="R877" s="328"/>
      <c r="S877" s="328"/>
      <c r="T877" s="328"/>
      <c r="U877" s="328"/>
      <c r="V877" s="328"/>
      <c r="W877" s="328"/>
      <c r="X877" s="328"/>
      <c r="Y877" s="328"/>
      <c r="Z877" s="328"/>
      <c r="AA877" s="328"/>
      <c r="AB877" s="328"/>
    </row>
    <row r="878" ht="15.75" customHeight="1">
      <c r="B878" s="328"/>
      <c r="C878" s="328"/>
      <c r="D878" s="328"/>
      <c r="E878" s="328"/>
      <c r="F878" s="328"/>
      <c r="G878" s="328"/>
      <c r="H878" s="328"/>
      <c r="I878" s="328"/>
      <c r="J878" s="328"/>
      <c r="K878" s="328"/>
      <c r="L878" s="328"/>
      <c r="M878" s="328"/>
      <c r="R878" s="328"/>
      <c r="S878" s="328"/>
      <c r="T878" s="328"/>
      <c r="U878" s="328"/>
      <c r="V878" s="328"/>
      <c r="W878" s="328"/>
      <c r="X878" s="328"/>
      <c r="Y878" s="328"/>
      <c r="Z878" s="328"/>
      <c r="AA878" s="328"/>
      <c r="AB878" s="328"/>
    </row>
    <row r="879" ht="15.75" customHeight="1">
      <c r="B879" s="328"/>
      <c r="C879" s="328"/>
      <c r="D879" s="328"/>
      <c r="E879" s="328"/>
      <c r="F879" s="328"/>
      <c r="G879" s="328"/>
      <c r="H879" s="328"/>
      <c r="I879" s="328"/>
      <c r="J879" s="328"/>
      <c r="K879" s="328"/>
      <c r="L879" s="328"/>
      <c r="M879" s="328"/>
      <c r="R879" s="328"/>
      <c r="S879" s="328"/>
      <c r="T879" s="328"/>
      <c r="U879" s="328"/>
      <c r="V879" s="328"/>
      <c r="W879" s="328"/>
      <c r="X879" s="328"/>
      <c r="Y879" s="328"/>
      <c r="Z879" s="328"/>
      <c r="AA879" s="328"/>
      <c r="AB879" s="328"/>
    </row>
    <row r="880" ht="15.75" customHeight="1">
      <c r="B880" s="328"/>
      <c r="C880" s="328"/>
      <c r="D880" s="328"/>
      <c r="E880" s="328"/>
      <c r="F880" s="328"/>
      <c r="G880" s="328"/>
      <c r="H880" s="328"/>
      <c r="I880" s="328"/>
      <c r="J880" s="328"/>
      <c r="K880" s="328"/>
      <c r="L880" s="328"/>
      <c r="M880" s="328"/>
      <c r="R880" s="328"/>
      <c r="S880" s="328"/>
      <c r="T880" s="328"/>
      <c r="U880" s="328"/>
      <c r="V880" s="328"/>
      <c r="W880" s="328"/>
      <c r="X880" s="328"/>
      <c r="Y880" s="328"/>
      <c r="Z880" s="328"/>
      <c r="AA880" s="328"/>
      <c r="AB880" s="328"/>
    </row>
    <row r="881" ht="15.75" customHeight="1">
      <c r="B881" s="328"/>
      <c r="C881" s="328"/>
      <c r="D881" s="328"/>
      <c r="E881" s="328"/>
      <c r="F881" s="328"/>
      <c r="G881" s="328"/>
      <c r="H881" s="328"/>
      <c r="I881" s="328"/>
      <c r="J881" s="328"/>
      <c r="K881" s="328"/>
      <c r="L881" s="328"/>
      <c r="M881" s="328"/>
      <c r="R881" s="328"/>
      <c r="S881" s="328"/>
      <c r="T881" s="328"/>
      <c r="U881" s="328"/>
      <c r="V881" s="328"/>
      <c r="W881" s="328"/>
      <c r="X881" s="328"/>
      <c r="Y881" s="328"/>
      <c r="Z881" s="328"/>
      <c r="AA881" s="328"/>
      <c r="AB881" s="328"/>
    </row>
    <row r="882" ht="15.75" customHeight="1">
      <c r="B882" s="328"/>
      <c r="C882" s="328"/>
      <c r="D882" s="328"/>
      <c r="E882" s="328"/>
      <c r="F882" s="328"/>
      <c r="G882" s="328"/>
      <c r="H882" s="328"/>
      <c r="I882" s="328"/>
      <c r="J882" s="328"/>
      <c r="K882" s="328"/>
      <c r="L882" s="328"/>
      <c r="M882" s="328"/>
      <c r="R882" s="328"/>
      <c r="S882" s="328"/>
      <c r="T882" s="328"/>
      <c r="U882" s="328"/>
      <c r="V882" s="328"/>
      <c r="W882" s="328"/>
      <c r="X882" s="328"/>
      <c r="Y882" s="328"/>
      <c r="Z882" s="328"/>
      <c r="AA882" s="328"/>
      <c r="AB882" s="328"/>
    </row>
    <row r="883" ht="15.75" customHeight="1">
      <c r="B883" s="328"/>
      <c r="C883" s="328"/>
      <c r="D883" s="328"/>
      <c r="E883" s="328"/>
      <c r="F883" s="328"/>
      <c r="G883" s="328"/>
      <c r="H883" s="328"/>
      <c r="I883" s="328"/>
      <c r="J883" s="328"/>
      <c r="K883" s="328"/>
      <c r="L883" s="328"/>
      <c r="M883" s="328"/>
      <c r="R883" s="328"/>
      <c r="S883" s="328"/>
      <c r="T883" s="328"/>
      <c r="U883" s="328"/>
      <c r="V883" s="328"/>
      <c r="W883" s="328"/>
      <c r="X883" s="328"/>
      <c r="Y883" s="328"/>
      <c r="Z883" s="328"/>
      <c r="AA883" s="328"/>
      <c r="AB883" s="328"/>
    </row>
    <row r="884" ht="15.75" customHeight="1">
      <c r="B884" s="328"/>
      <c r="C884" s="328"/>
      <c r="D884" s="328"/>
      <c r="E884" s="328"/>
      <c r="F884" s="328"/>
      <c r="G884" s="328"/>
      <c r="H884" s="328"/>
      <c r="I884" s="328"/>
      <c r="J884" s="328"/>
      <c r="K884" s="328"/>
      <c r="L884" s="328"/>
      <c r="M884" s="328"/>
      <c r="R884" s="328"/>
      <c r="S884" s="328"/>
      <c r="T884" s="328"/>
      <c r="U884" s="328"/>
      <c r="V884" s="328"/>
      <c r="W884" s="328"/>
      <c r="X884" s="328"/>
      <c r="Y884" s="328"/>
      <c r="Z884" s="328"/>
      <c r="AA884" s="328"/>
      <c r="AB884" s="328"/>
    </row>
    <row r="885" ht="15.75" customHeight="1">
      <c r="B885" s="328"/>
      <c r="C885" s="328"/>
      <c r="D885" s="328"/>
      <c r="E885" s="328"/>
      <c r="F885" s="328"/>
      <c r="G885" s="328"/>
      <c r="H885" s="328"/>
      <c r="I885" s="328"/>
      <c r="J885" s="328"/>
      <c r="K885" s="328"/>
      <c r="L885" s="328"/>
      <c r="M885" s="328"/>
      <c r="R885" s="328"/>
      <c r="S885" s="328"/>
      <c r="T885" s="328"/>
      <c r="U885" s="328"/>
      <c r="V885" s="328"/>
      <c r="W885" s="328"/>
      <c r="X885" s="328"/>
      <c r="Y885" s="328"/>
      <c r="Z885" s="328"/>
      <c r="AA885" s="328"/>
      <c r="AB885" s="328"/>
    </row>
    <row r="886" ht="15.75" customHeight="1">
      <c r="B886" s="328"/>
      <c r="C886" s="328"/>
      <c r="D886" s="328"/>
      <c r="E886" s="328"/>
      <c r="F886" s="328"/>
      <c r="G886" s="328"/>
      <c r="H886" s="328"/>
      <c r="I886" s="328"/>
      <c r="J886" s="328"/>
      <c r="K886" s="328"/>
      <c r="L886" s="328"/>
      <c r="M886" s="328"/>
      <c r="R886" s="328"/>
      <c r="S886" s="328"/>
      <c r="T886" s="328"/>
      <c r="U886" s="328"/>
      <c r="V886" s="328"/>
      <c r="W886" s="328"/>
      <c r="X886" s="328"/>
      <c r="Y886" s="328"/>
      <c r="Z886" s="328"/>
      <c r="AA886" s="328"/>
      <c r="AB886" s="328"/>
    </row>
    <row r="887" ht="15.75" customHeight="1">
      <c r="B887" s="328"/>
      <c r="C887" s="328"/>
      <c r="D887" s="328"/>
      <c r="E887" s="328"/>
      <c r="F887" s="328"/>
      <c r="G887" s="328"/>
      <c r="H887" s="328"/>
      <c r="I887" s="328"/>
      <c r="J887" s="328"/>
      <c r="K887" s="328"/>
      <c r="L887" s="328"/>
      <c r="M887" s="328"/>
      <c r="R887" s="328"/>
      <c r="S887" s="328"/>
      <c r="T887" s="328"/>
      <c r="U887" s="328"/>
      <c r="V887" s="328"/>
      <c r="W887" s="328"/>
      <c r="X887" s="328"/>
      <c r="Y887" s="328"/>
      <c r="Z887" s="328"/>
      <c r="AA887" s="328"/>
      <c r="AB887" s="328"/>
    </row>
    <row r="888" ht="15.75" customHeight="1">
      <c r="B888" s="328"/>
      <c r="C888" s="328"/>
      <c r="D888" s="328"/>
      <c r="E888" s="328"/>
      <c r="F888" s="328"/>
      <c r="G888" s="328"/>
      <c r="H888" s="328"/>
      <c r="I888" s="328"/>
      <c r="J888" s="328"/>
      <c r="K888" s="328"/>
      <c r="L888" s="328"/>
      <c r="M888" s="328"/>
      <c r="R888" s="328"/>
      <c r="S888" s="328"/>
      <c r="T888" s="328"/>
      <c r="U888" s="328"/>
      <c r="V888" s="328"/>
      <c r="W888" s="328"/>
      <c r="X888" s="328"/>
      <c r="Y888" s="328"/>
      <c r="Z888" s="328"/>
      <c r="AA888" s="328"/>
      <c r="AB888" s="328"/>
    </row>
    <row r="889" ht="15.75" customHeight="1">
      <c r="B889" s="328"/>
      <c r="C889" s="328"/>
      <c r="D889" s="328"/>
      <c r="E889" s="328"/>
      <c r="F889" s="328"/>
      <c r="G889" s="328"/>
      <c r="H889" s="328"/>
      <c r="I889" s="328"/>
      <c r="J889" s="328"/>
      <c r="K889" s="328"/>
      <c r="L889" s="328"/>
      <c r="M889" s="328"/>
      <c r="R889" s="328"/>
      <c r="S889" s="328"/>
      <c r="T889" s="328"/>
      <c r="U889" s="328"/>
      <c r="V889" s="328"/>
      <c r="W889" s="328"/>
      <c r="X889" s="328"/>
      <c r="Y889" s="328"/>
      <c r="Z889" s="328"/>
      <c r="AA889" s="328"/>
      <c r="AB889" s="328"/>
    </row>
    <row r="890" ht="15.75" customHeight="1">
      <c r="B890" s="328"/>
      <c r="C890" s="328"/>
      <c r="D890" s="328"/>
      <c r="E890" s="328"/>
      <c r="F890" s="328"/>
      <c r="G890" s="328"/>
      <c r="H890" s="328"/>
      <c r="I890" s="328"/>
      <c r="J890" s="328"/>
      <c r="K890" s="328"/>
      <c r="L890" s="328"/>
      <c r="M890" s="328"/>
      <c r="R890" s="328"/>
      <c r="S890" s="328"/>
      <c r="T890" s="328"/>
      <c r="U890" s="328"/>
      <c r="V890" s="328"/>
      <c r="W890" s="328"/>
      <c r="X890" s="328"/>
      <c r="Y890" s="328"/>
      <c r="Z890" s="328"/>
      <c r="AA890" s="328"/>
      <c r="AB890" s="328"/>
    </row>
    <row r="891" ht="15.75" customHeight="1">
      <c r="B891" s="328"/>
      <c r="C891" s="328"/>
      <c r="D891" s="328"/>
      <c r="E891" s="328"/>
      <c r="F891" s="328"/>
      <c r="G891" s="328"/>
      <c r="H891" s="328"/>
      <c r="I891" s="328"/>
      <c r="J891" s="328"/>
      <c r="K891" s="328"/>
      <c r="L891" s="328"/>
      <c r="M891" s="328"/>
      <c r="R891" s="328"/>
      <c r="S891" s="328"/>
      <c r="T891" s="328"/>
      <c r="U891" s="328"/>
      <c r="V891" s="328"/>
      <c r="W891" s="328"/>
      <c r="X891" s="328"/>
      <c r="Y891" s="328"/>
      <c r="Z891" s="328"/>
      <c r="AA891" s="328"/>
      <c r="AB891" s="328"/>
    </row>
    <row r="892" ht="15.75" customHeight="1">
      <c r="B892" s="328"/>
      <c r="C892" s="328"/>
      <c r="D892" s="328"/>
      <c r="E892" s="328"/>
      <c r="F892" s="328"/>
      <c r="G892" s="328"/>
      <c r="H892" s="328"/>
      <c r="I892" s="328"/>
      <c r="J892" s="328"/>
      <c r="K892" s="328"/>
      <c r="L892" s="328"/>
      <c r="M892" s="328"/>
      <c r="R892" s="328"/>
      <c r="S892" s="328"/>
      <c r="T892" s="328"/>
      <c r="U892" s="328"/>
      <c r="V892" s="328"/>
      <c r="W892" s="328"/>
      <c r="X892" s="328"/>
      <c r="Y892" s="328"/>
      <c r="Z892" s="328"/>
      <c r="AA892" s="328"/>
      <c r="AB892" s="328"/>
    </row>
    <row r="893" ht="15.75" customHeight="1">
      <c r="B893" s="328"/>
      <c r="C893" s="328"/>
      <c r="D893" s="328"/>
      <c r="E893" s="328"/>
      <c r="F893" s="328"/>
      <c r="G893" s="328"/>
      <c r="H893" s="328"/>
      <c r="I893" s="328"/>
      <c r="J893" s="328"/>
      <c r="K893" s="328"/>
      <c r="L893" s="328"/>
      <c r="M893" s="328"/>
      <c r="R893" s="328"/>
      <c r="S893" s="328"/>
      <c r="T893" s="328"/>
      <c r="U893" s="328"/>
      <c r="V893" s="328"/>
      <c r="W893" s="328"/>
      <c r="X893" s="328"/>
      <c r="Y893" s="328"/>
      <c r="Z893" s="328"/>
      <c r="AA893" s="328"/>
      <c r="AB893" s="328"/>
    </row>
    <row r="894" ht="15.75" customHeight="1">
      <c r="B894" s="328"/>
      <c r="C894" s="328"/>
      <c r="D894" s="328"/>
      <c r="E894" s="328"/>
      <c r="F894" s="328"/>
      <c r="G894" s="328"/>
      <c r="H894" s="328"/>
      <c r="I894" s="328"/>
      <c r="J894" s="328"/>
      <c r="K894" s="328"/>
      <c r="L894" s="328"/>
      <c r="M894" s="328"/>
      <c r="R894" s="328"/>
      <c r="S894" s="328"/>
      <c r="T894" s="328"/>
      <c r="U894" s="328"/>
      <c r="V894" s="328"/>
      <c r="W894" s="328"/>
      <c r="X894" s="328"/>
      <c r="Y894" s="328"/>
      <c r="Z894" s="328"/>
      <c r="AA894" s="328"/>
      <c r="AB894" s="328"/>
    </row>
    <row r="895" ht="15.75" customHeight="1">
      <c r="B895" s="328"/>
      <c r="C895" s="328"/>
      <c r="D895" s="328"/>
      <c r="E895" s="328"/>
      <c r="F895" s="328"/>
      <c r="G895" s="328"/>
      <c r="H895" s="328"/>
      <c r="I895" s="328"/>
      <c r="J895" s="328"/>
      <c r="K895" s="328"/>
      <c r="L895" s="328"/>
      <c r="M895" s="328"/>
      <c r="R895" s="328"/>
      <c r="S895" s="328"/>
      <c r="T895" s="328"/>
      <c r="U895" s="328"/>
      <c r="V895" s="328"/>
      <c r="W895" s="328"/>
      <c r="X895" s="328"/>
      <c r="Y895" s="328"/>
      <c r="Z895" s="328"/>
      <c r="AA895" s="328"/>
      <c r="AB895" s="328"/>
    </row>
    <row r="896" ht="15.75" customHeight="1">
      <c r="B896" s="328"/>
      <c r="C896" s="328"/>
      <c r="D896" s="328"/>
      <c r="E896" s="328"/>
      <c r="F896" s="328"/>
      <c r="G896" s="328"/>
      <c r="H896" s="328"/>
      <c r="I896" s="328"/>
      <c r="J896" s="328"/>
      <c r="K896" s="328"/>
      <c r="L896" s="328"/>
      <c r="M896" s="328"/>
      <c r="R896" s="328"/>
      <c r="S896" s="328"/>
      <c r="T896" s="328"/>
      <c r="U896" s="328"/>
      <c r="V896" s="328"/>
      <c r="W896" s="328"/>
      <c r="X896" s="328"/>
      <c r="Y896" s="328"/>
      <c r="Z896" s="328"/>
      <c r="AA896" s="328"/>
      <c r="AB896" s="328"/>
    </row>
    <row r="897" ht="15.75" customHeight="1">
      <c r="B897" s="328"/>
      <c r="C897" s="328"/>
      <c r="D897" s="328"/>
      <c r="E897" s="328"/>
      <c r="F897" s="328"/>
      <c r="G897" s="328"/>
      <c r="H897" s="328"/>
      <c r="I897" s="328"/>
      <c r="J897" s="328"/>
      <c r="K897" s="328"/>
      <c r="L897" s="328"/>
      <c r="M897" s="328"/>
      <c r="R897" s="328"/>
      <c r="S897" s="328"/>
      <c r="T897" s="328"/>
      <c r="U897" s="328"/>
      <c r="V897" s="328"/>
      <c r="W897" s="328"/>
      <c r="X897" s="328"/>
      <c r="Y897" s="328"/>
      <c r="Z897" s="328"/>
      <c r="AA897" s="328"/>
      <c r="AB897" s="328"/>
    </row>
    <row r="898" ht="15.75" customHeight="1">
      <c r="B898" s="328"/>
      <c r="C898" s="328"/>
      <c r="D898" s="328"/>
      <c r="E898" s="328"/>
      <c r="F898" s="328"/>
      <c r="G898" s="328"/>
      <c r="H898" s="328"/>
      <c r="I898" s="328"/>
      <c r="J898" s="328"/>
      <c r="K898" s="328"/>
      <c r="L898" s="328"/>
      <c r="M898" s="328"/>
      <c r="R898" s="328"/>
      <c r="S898" s="328"/>
      <c r="T898" s="328"/>
      <c r="U898" s="328"/>
      <c r="V898" s="328"/>
      <c r="W898" s="328"/>
      <c r="X898" s="328"/>
      <c r="Y898" s="328"/>
      <c r="Z898" s="328"/>
      <c r="AA898" s="328"/>
      <c r="AB898" s="328"/>
    </row>
    <row r="899" ht="15.75" customHeight="1">
      <c r="B899" s="328"/>
      <c r="C899" s="328"/>
      <c r="D899" s="328"/>
      <c r="E899" s="328"/>
      <c r="F899" s="328"/>
      <c r="G899" s="328"/>
      <c r="H899" s="328"/>
      <c r="I899" s="328"/>
      <c r="J899" s="328"/>
      <c r="K899" s="328"/>
      <c r="L899" s="328"/>
      <c r="M899" s="328"/>
      <c r="R899" s="328"/>
      <c r="S899" s="328"/>
      <c r="T899" s="328"/>
      <c r="U899" s="328"/>
      <c r="V899" s="328"/>
      <c r="W899" s="328"/>
      <c r="X899" s="328"/>
      <c r="Y899" s="328"/>
      <c r="Z899" s="328"/>
      <c r="AA899" s="328"/>
      <c r="AB899" s="328"/>
    </row>
    <row r="900" ht="15.75" customHeight="1">
      <c r="B900" s="328"/>
      <c r="C900" s="328"/>
      <c r="D900" s="328"/>
      <c r="E900" s="328"/>
      <c r="F900" s="328"/>
      <c r="G900" s="328"/>
      <c r="H900" s="328"/>
      <c r="I900" s="328"/>
      <c r="J900" s="328"/>
      <c r="K900" s="328"/>
      <c r="L900" s="328"/>
      <c r="M900" s="328"/>
      <c r="R900" s="328"/>
      <c r="S900" s="328"/>
      <c r="T900" s="328"/>
      <c r="U900" s="328"/>
      <c r="V900" s="328"/>
      <c r="W900" s="328"/>
      <c r="X900" s="328"/>
      <c r="Y900" s="328"/>
      <c r="Z900" s="328"/>
      <c r="AA900" s="328"/>
      <c r="AB900" s="328"/>
    </row>
    <row r="901" ht="15.75" customHeight="1">
      <c r="B901" s="328"/>
      <c r="C901" s="328"/>
      <c r="D901" s="328"/>
      <c r="E901" s="328"/>
      <c r="F901" s="328"/>
      <c r="G901" s="328"/>
      <c r="H901" s="328"/>
      <c r="I901" s="328"/>
      <c r="J901" s="328"/>
      <c r="K901" s="328"/>
      <c r="L901" s="328"/>
      <c r="M901" s="328"/>
      <c r="R901" s="328"/>
      <c r="S901" s="328"/>
      <c r="T901" s="328"/>
      <c r="U901" s="328"/>
      <c r="V901" s="328"/>
      <c r="W901" s="328"/>
      <c r="X901" s="328"/>
      <c r="Y901" s="328"/>
      <c r="Z901" s="328"/>
      <c r="AA901" s="328"/>
      <c r="AB901" s="328"/>
    </row>
    <row r="902" ht="15.75" customHeight="1">
      <c r="B902" s="328"/>
      <c r="C902" s="328"/>
      <c r="D902" s="328"/>
      <c r="E902" s="328"/>
      <c r="F902" s="328"/>
      <c r="G902" s="328"/>
      <c r="H902" s="328"/>
      <c r="I902" s="328"/>
      <c r="J902" s="328"/>
      <c r="K902" s="328"/>
      <c r="L902" s="328"/>
      <c r="M902" s="328"/>
      <c r="R902" s="328"/>
      <c r="S902" s="328"/>
      <c r="T902" s="328"/>
      <c r="U902" s="328"/>
      <c r="V902" s="328"/>
      <c r="W902" s="328"/>
      <c r="X902" s="328"/>
      <c r="Y902" s="328"/>
      <c r="Z902" s="328"/>
      <c r="AA902" s="328"/>
      <c r="AB902" s="328"/>
    </row>
    <row r="903" ht="15.75" customHeight="1">
      <c r="B903" s="328"/>
      <c r="C903" s="328"/>
      <c r="D903" s="328"/>
      <c r="E903" s="328"/>
      <c r="F903" s="328"/>
      <c r="G903" s="328"/>
      <c r="H903" s="328"/>
      <c r="I903" s="328"/>
      <c r="J903" s="328"/>
      <c r="K903" s="328"/>
      <c r="L903" s="328"/>
      <c r="M903" s="328"/>
      <c r="R903" s="328"/>
      <c r="S903" s="328"/>
      <c r="T903" s="328"/>
      <c r="U903" s="328"/>
      <c r="V903" s="328"/>
      <c r="W903" s="328"/>
      <c r="X903" s="328"/>
      <c r="Y903" s="328"/>
      <c r="Z903" s="328"/>
      <c r="AA903" s="328"/>
      <c r="AB903" s="328"/>
    </row>
    <row r="904" ht="15.75" customHeight="1">
      <c r="B904" s="328"/>
      <c r="C904" s="328"/>
      <c r="D904" s="328"/>
      <c r="E904" s="328"/>
      <c r="F904" s="328"/>
      <c r="G904" s="328"/>
      <c r="H904" s="328"/>
      <c r="I904" s="328"/>
      <c r="J904" s="328"/>
      <c r="K904" s="328"/>
      <c r="L904" s="328"/>
      <c r="M904" s="328"/>
      <c r="R904" s="328"/>
      <c r="S904" s="328"/>
      <c r="T904" s="328"/>
      <c r="U904" s="328"/>
      <c r="V904" s="328"/>
      <c r="W904" s="328"/>
      <c r="X904" s="328"/>
      <c r="Y904" s="328"/>
      <c r="Z904" s="328"/>
      <c r="AA904" s="328"/>
      <c r="AB904" s="328"/>
    </row>
    <row r="905" ht="15.75" customHeight="1">
      <c r="B905" s="328"/>
      <c r="C905" s="328"/>
      <c r="D905" s="328"/>
      <c r="E905" s="328"/>
      <c r="F905" s="328"/>
      <c r="G905" s="328"/>
      <c r="H905" s="328"/>
      <c r="I905" s="328"/>
      <c r="J905" s="328"/>
      <c r="K905" s="328"/>
      <c r="L905" s="328"/>
      <c r="M905" s="328"/>
      <c r="R905" s="328"/>
      <c r="S905" s="328"/>
      <c r="T905" s="328"/>
      <c r="U905" s="328"/>
      <c r="V905" s="328"/>
      <c r="W905" s="328"/>
      <c r="X905" s="328"/>
      <c r="Y905" s="328"/>
      <c r="Z905" s="328"/>
      <c r="AA905" s="328"/>
      <c r="AB905" s="328"/>
    </row>
    <row r="906" ht="15.75" customHeight="1">
      <c r="B906" s="328"/>
      <c r="C906" s="328"/>
      <c r="D906" s="328"/>
      <c r="E906" s="328"/>
      <c r="F906" s="328"/>
      <c r="G906" s="328"/>
      <c r="H906" s="328"/>
      <c r="I906" s="328"/>
      <c r="J906" s="328"/>
      <c r="K906" s="328"/>
      <c r="L906" s="328"/>
      <c r="M906" s="328"/>
      <c r="R906" s="328"/>
      <c r="S906" s="328"/>
      <c r="T906" s="328"/>
      <c r="U906" s="328"/>
      <c r="V906" s="328"/>
      <c r="W906" s="328"/>
      <c r="X906" s="328"/>
      <c r="Y906" s="328"/>
      <c r="Z906" s="328"/>
      <c r="AA906" s="328"/>
      <c r="AB906" s="328"/>
    </row>
    <row r="907" ht="15.75" customHeight="1">
      <c r="B907" s="328"/>
      <c r="C907" s="328"/>
      <c r="D907" s="328"/>
      <c r="E907" s="328"/>
      <c r="F907" s="328"/>
      <c r="G907" s="328"/>
      <c r="H907" s="328"/>
      <c r="I907" s="328"/>
      <c r="J907" s="328"/>
      <c r="K907" s="328"/>
      <c r="L907" s="328"/>
      <c r="M907" s="328"/>
      <c r="R907" s="328"/>
      <c r="S907" s="328"/>
      <c r="T907" s="328"/>
      <c r="U907" s="328"/>
      <c r="V907" s="328"/>
      <c r="W907" s="328"/>
      <c r="X907" s="328"/>
      <c r="Y907" s="328"/>
      <c r="Z907" s="328"/>
      <c r="AA907" s="328"/>
      <c r="AB907" s="328"/>
    </row>
    <row r="908" ht="15.75" customHeight="1">
      <c r="B908" s="328"/>
      <c r="C908" s="328"/>
      <c r="D908" s="328"/>
      <c r="E908" s="328"/>
      <c r="F908" s="328"/>
      <c r="G908" s="328"/>
      <c r="H908" s="328"/>
      <c r="I908" s="328"/>
      <c r="J908" s="328"/>
      <c r="K908" s="328"/>
      <c r="L908" s="328"/>
      <c r="M908" s="328"/>
      <c r="R908" s="328"/>
      <c r="S908" s="328"/>
      <c r="T908" s="328"/>
      <c r="U908" s="328"/>
      <c r="V908" s="328"/>
      <c r="W908" s="328"/>
      <c r="X908" s="328"/>
      <c r="Y908" s="328"/>
      <c r="Z908" s="328"/>
      <c r="AA908" s="328"/>
      <c r="AB908" s="328"/>
    </row>
    <row r="909" ht="15.75" customHeight="1">
      <c r="B909" s="328"/>
      <c r="C909" s="328"/>
      <c r="D909" s="328"/>
      <c r="E909" s="328"/>
      <c r="F909" s="328"/>
      <c r="G909" s="328"/>
      <c r="H909" s="328"/>
      <c r="I909" s="328"/>
      <c r="J909" s="328"/>
      <c r="K909" s="328"/>
      <c r="L909" s="328"/>
      <c r="M909" s="328"/>
      <c r="R909" s="328"/>
      <c r="S909" s="328"/>
      <c r="T909" s="328"/>
      <c r="U909" s="328"/>
      <c r="V909" s="328"/>
      <c r="W909" s="328"/>
      <c r="X909" s="328"/>
      <c r="Y909" s="328"/>
      <c r="Z909" s="328"/>
      <c r="AA909" s="328"/>
      <c r="AB909" s="328"/>
    </row>
    <row r="910" ht="15.75" customHeight="1">
      <c r="B910" s="328"/>
      <c r="C910" s="328"/>
      <c r="D910" s="328"/>
      <c r="E910" s="328"/>
      <c r="F910" s="328"/>
      <c r="G910" s="328"/>
      <c r="H910" s="328"/>
      <c r="I910" s="328"/>
      <c r="J910" s="328"/>
      <c r="K910" s="328"/>
      <c r="L910" s="328"/>
      <c r="M910" s="328"/>
      <c r="R910" s="328"/>
      <c r="S910" s="328"/>
      <c r="T910" s="328"/>
      <c r="U910" s="328"/>
      <c r="V910" s="328"/>
      <c r="W910" s="328"/>
      <c r="X910" s="328"/>
      <c r="Y910" s="328"/>
      <c r="Z910" s="328"/>
      <c r="AA910" s="328"/>
      <c r="AB910" s="328"/>
    </row>
    <row r="911" ht="15.75" customHeight="1">
      <c r="B911" s="328"/>
      <c r="C911" s="328"/>
      <c r="D911" s="328"/>
      <c r="E911" s="328"/>
      <c r="F911" s="328"/>
      <c r="G911" s="328"/>
      <c r="H911" s="328"/>
      <c r="I911" s="328"/>
      <c r="J911" s="328"/>
      <c r="K911" s="328"/>
      <c r="L911" s="328"/>
      <c r="M911" s="328"/>
      <c r="R911" s="328"/>
      <c r="S911" s="328"/>
      <c r="T911" s="328"/>
      <c r="U911" s="328"/>
      <c r="V911" s="328"/>
      <c r="W911" s="328"/>
      <c r="X911" s="328"/>
      <c r="Y911" s="328"/>
      <c r="Z911" s="328"/>
      <c r="AA911" s="328"/>
      <c r="AB911" s="328"/>
    </row>
    <row r="912" ht="15.75" customHeight="1">
      <c r="B912" s="328"/>
      <c r="C912" s="328"/>
      <c r="D912" s="328"/>
      <c r="E912" s="328"/>
      <c r="F912" s="328"/>
      <c r="G912" s="328"/>
      <c r="H912" s="328"/>
      <c r="I912" s="328"/>
      <c r="J912" s="328"/>
      <c r="K912" s="328"/>
      <c r="L912" s="328"/>
      <c r="M912" s="328"/>
      <c r="R912" s="328"/>
      <c r="S912" s="328"/>
      <c r="T912" s="328"/>
      <c r="U912" s="328"/>
      <c r="V912" s="328"/>
      <c r="W912" s="328"/>
      <c r="X912" s="328"/>
      <c r="Y912" s="328"/>
      <c r="Z912" s="328"/>
      <c r="AA912" s="328"/>
      <c r="AB912" s="328"/>
    </row>
    <row r="913" ht="15.75" customHeight="1">
      <c r="B913" s="328"/>
      <c r="C913" s="328"/>
      <c r="D913" s="328"/>
      <c r="E913" s="328"/>
      <c r="F913" s="328"/>
      <c r="G913" s="328"/>
      <c r="H913" s="328"/>
      <c r="I913" s="328"/>
      <c r="J913" s="328"/>
      <c r="K913" s="328"/>
      <c r="L913" s="328"/>
      <c r="M913" s="328"/>
      <c r="R913" s="328"/>
      <c r="S913" s="328"/>
      <c r="T913" s="328"/>
      <c r="U913" s="328"/>
      <c r="V913" s="328"/>
      <c r="W913" s="328"/>
      <c r="X913" s="328"/>
      <c r="Y913" s="328"/>
      <c r="Z913" s="328"/>
      <c r="AA913" s="328"/>
      <c r="AB913" s="328"/>
    </row>
    <row r="914" ht="15.75" customHeight="1">
      <c r="B914" s="328"/>
      <c r="C914" s="328"/>
      <c r="D914" s="328"/>
      <c r="E914" s="328"/>
      <c r="F914" s="328"/>
      <c r="G914" s="328"/>
      <c r="H914" s="328"/>
      <c r="I914" s="328"/>
      <c r="J914" s="328"/>
      <c r="K914" s="328"/>
      <c r="L914" s="328"/>
      <c r="M914" s="328"/>
      <c r="R914" s="328"/>
      <c r="S914" s="328"/>
      <c r="T914" s="328"/>
      <c r="U914" s="328"/>
      <c r="V914" s="328"/>
      <c r="W914" s="328"/>
      <c r="X914" s="328"/>
      <c r="Y914" s="328"/>
      <c r="Z914" s="328"/>
      <c r="AA914" s="328"/>
      <c r="AB914" s="328"/>
    </row>
    <row r="915" ht="15.75" customHeight="1">
      <c r="B915" s="328"/>
      <c r="C915" s="328"/>
      <c r="D915" s="328"/>
      <c r="E915" s="328"/>
      <c r="F915" s="328"/>
      <c r="G915" s="328"/>
      <c r="H915" s="328"/>
      <c r="I915" s="328"/>
      <c r="J915" s="328"/>
      <c r="K915" s="328"/>
      <c r="L915" s="328"/>
      <c r="M915" s="328"/>
      <c r="R915" s="328"/>
      <c r="S915" s="328"/>
      <c r="T915" s="328"/>
      <c r="U915" s="328"/>
      <c r="V915" s="328"/>
      <c r="W915" s="328"/>
      <c r="X915" s="328"/>
      <c r="Y915" s="328"/>
      <c r="Z915" s="328"/>
      <c r="AA915" s="328"/>
      <c r="AB915" s="328"/>
    </row>
    <row r="916" ht="15.75" customHeight="1">
      <c r="B916" s="328"/>
      <c r="C916" s="328"/>
      <c r="D916" s="328"/>
      <c r="E916" s="328"/>
      <c r="F916" s="328"/>
      <c r="G916" s="328"/>
      <c r="H916" s="328"/>
      <c r="I916" s="328"/>
      <c r="J916" s="328"/>
      <c r="K916" s="328"/>
      <c r="L916" s="328"/>
      <c r="M916" s="328"/>
      <c r="R916" s="328"/>
      <c r="S916" s="328"/>
      <c r="T916" s="328"/>
      <c r="U916" s="328"/>
      <c r="V916" s="328"/>
      <c r="W916" s="328"/>
      <c r="X916" s="328"/>
      <c r="Y916" s="328"/>
      <c r="Z916" s="328"/>
      <c r="AA916" s="328"/>
      <c r="AB916" s="328"/>
    </row>
    <row r="917" ht="15.75" customHeight="1">
      <c r="B917" s="328"/>
      <c r="C917" s="328"/>
      <c r="D917" s="328"/>
      <c r="E917" s="328"/>
      <c r="F917" s="328"/>
      <c r="G917" s="328"/>
      <c r="H917" s="328"/>
      <c r="I917" s="328"/>
      <c r="J917" s="328"/>
      <c r="K917" s="328"/>
      <c r="L917" s="328"/>
      <c r="M917" s="328"/>
      <c r="R917" s="328"/>
      <c r="S917" s="328"/>
      <c r="T917" s="328"/>
      <c r="U917" s="328"/>
      <c r="V917" s="328"/>
      <c r="W917" s="328"/>
      <c r="X917" s="328"/>
      <c r="Y917" s="328"/>
      <c r="Z917" s="328"/>
      <c r="AA917" s="328"/>
      <c r="AB917" s="328"/>
    </row>
    <row r="918" ht="15.75" customHeight="1">
      <c r="B918" s="328"/>
      <c r="C918" s="328"/>
      <c r="D918" s="328"/>
      <c r="E918" s="328"/>
      <c r="F918" s="328"/>
      <c r="G918" s="328"/>
      <c r="H918" s="328"/>
      <c r="I918" s="328"/>
      <c r="J918" s="328"/>
      <c r="K918" s="328"/>
      <c r="L918" s="328"/>
      <c r="M918" s="328"/>
      <c r="R918" s="328"/>
      <c r="S918" s="328"/>
      <c r="T918" s="328"/>
      <c r="U918" s="328"/>
      <c r="V918" s="328"/>
      <c r="W918" s="328"/>
      <c r="X918" s="328"/>
      <c r="Y918" s="328"/>
      <c r="Z918" s="328"/>
      <c r="AA918" s="328"/>
      <c r="AB918" s="328"/>
    </row>
    <row r="919" ht="15.75" customHeight="1">
      <c r="B919" s="328"/>
      <c r="C919" s="328"/>
      <c r="D919" s="328"/>
      <c r="E919" s="328"/>
      <c r="F919" s="328"/>
      <c r="G919" s="328"/>
      <c r="H919" s="328"/>
      <c r="I919" s="328"/>
      <c r="J919" s="328"/>
      <c r="K919" s="328"/>
      <c r="L919" s="328"/>
      <c r="M919" s="328"/>
      <c r="R919" s="328"/>
      <c r="S919" s="328"/>
      <c r="T919" s="328"/>
      <c r="U919" s="328"/>
      <c r="V919" s="328"/>
      <c r="W919" s="328"/>
      <c r="X919" s="328"/>
      <c r="Y919" s="328"/>
      <c r="Z919" s="328"/>
      <c r="AA919" s="328"/>
      <c r="AB919" s="328"/>
    </row>
    <row r="920" ht="15.75" customHeight="1">
      <c r="B920" s="328"/>
      <c r="C920" s="328"/>
      <c r="D920" s="328"/>
      <c r="E920" s="328"/>
      <c r="F920" s="328"/>
      <c r="G920" s="328"/>
      <c r="H920" s="328"/>
      <c r="I920" s="328"/>
      <c r="J920" s="328"/>
      <c r="K920" s="328"/>
      <c r="L920" s="328"/>
      <c r="M920" s="328"/>
      <c r="R920" s="328"/>
      <c r="S920" s="328"/>
      <c r="T920" s="328"/>
      <c r="U920" s="328"/>
      <c r="V920" s="328"/>
      <c r="W920" s="328"/>
      <c r="X920" s="328"/>
      <c r="Y920" s="328"/>
      <c r="Z920" s="328"/>
      <c r="AA920" s="328"/>
      <c r="AB920" s="328"/>
    </row>
    <row r="921" ht="15.75" customHeight="1">
      <c r="B921" s="328"/>
      <c r="C921" s="328"/>
      <c r="D921" s="328"/>
      <c r="E921" s="328"/>
      <c r="F921" s="328"/>
      <c r="G921" s="328"/>
      <c r="H921" s="328"/>
      <c r="I921" s="328"/>
      <c r="J921" s="328"/>
      <c r="K921" s="328"/>
      <c r="L921" s="328"/>
      <c r="M921" s="328"/>
      <c r="R921" s="328"/>
      <c r="S921" s="328"/>
      <c r="T921" s="328"/>
      <c r="U921" s="328"/>
      <c r="V921" s="328"/>
      <c r="W921" s="328"/>
      <c r="X921" s="328"/>
      <c r="Y921" s="328"/>
      <c r="Z921" s="328"/>
      <c r="AA921" s="328"/>
      <c r="AB921" s="328"/>
    </row>
    <row r="922" ht="15.75" customHeight="1">
      <c r="B922" s="328"/>
      <c r="C922" s="328"/>
      <c r="D922" s="328"/>
      <c r="E922" s="328"/>
      <c r="F922" s="328"/>
      <c r="G922" s="328"/>
      <c r="H922" s="328"/>
      <c r="I922" s="328"/>
      <c r="J922" s="328"/>
      <c r="K922" s="328"/>
      <c r="L922" s="328"/>
      <c r="M922" s="328"/>
      <c r="R922" s="328"/>
      <c r="S922" s="328"/>
      <c r="T922" s="328"/>
      <c r="U922" s="328"/>
      <c r="V922" s="328"/>
      <c r="W922" s="328"/>
      <c r="X922" s="328"/>
      <c r="Y922" s="328"/>
      <c r="Z922" s="328"/>
      <c r="AA922" s="328"/>
      <c r="AB922" s="328"/>
    </row>
    <row r="923" ht="15.75" customHeight="1">
      <c r="B923" s="328"/>
      <c r="C923" s="328"/>
      <c r="D923" s="328"/>
      <c r="E923" s="328"/>
      <c r="F923" s="328"/>
      <c r="G923" s="328"/>
      <c r="H923" s="328"/>
      <c r="I923" s="328"/>
      <c r="J923" s="328"/>
      <c r="K923" s="328"/>
      <c r="L923" s="328"/>
      <c r="M923" s="328"/>
      <c r="R923" s="328"/>
      <c r="S923" s="328"/>
      <c r="T923" s="328"/>
      <c r="U923" s="328"/>
      <c r="V923" s="328"/>
      <c r="W923" s="328"/>
      <c r="X923" s="328"/>
      <c r="Y923" s="328"/>
      <c r="Z923" s="328"/>
      <c r="AA923" s="328"/>
      <c r="AB923" s="328"/>
    </row>
    <row r="924" ht="15.75" customHeight="1">
      <c r="B924" s="328"/>
      <c r="C924" s="328"/>
      <c r="D924" s="328"/>
      <c r="E924" s="328"/>
      <c r="F924" s="328"/>
      <c r="G924" s="328"/>
      <c r="H924" s="328"/>
      <c r="I924" s="328"/>
      <c r="J924" s="328"/>
      <c r="K924" s="328"/>
      <c r="L924" s="328"/>
      <c r="M924" s="328"/>
      <c r="R924" s="328"/>
      <c r="S924" s="328"/>
      <c r="T924" s="328"/>
      <c r="U924" s="328"/>
      <c r="V924" s="328"/>
      <c r="W924" s="328"/>
      <c r="X924" s="328"/>
      <c r="Y924" s="328"/>
      <c r="Z924" s="328"/>
      <c r="AA924" s="328"/>
      <c r="AB924" s="328"/>
    </row>
    <row r="925" ht="15.75" customHeight="1">
      <c r="B925" s="328"/>
      <c r="C925" s="328"/>
      <c r="D925" s="328"/>
      <c r="E925" s="328"/>
      <c r="F925" s="328"/>
      <c r="G925" s="328"/>
      <c r="H925" s="328"/>
      <c r="I925" s="328"/>
      <c r="J925" s="328"/>
      <c r="K925" s="328"/>
      <c r="L925" s="328"/>
      <c r="M925" s="328"/>
      <c r="R925" s="328"/>
      <c r="S925" s="328"/>
      <c r="T925" s="328"/>
      <c r="U925" s="328"/>
      <c r="V925" s="328"/>
      <c r="W925" s="328"/>
      <c r="X925" s="328"/>
      <c r="Y925" s="328"/>
      <c r="Z925" s="328"/>
      <c r="AA925" s="328"/>
      <c r="AB925" s="328"/>
    </row>
    <row r="926" ht="15.75" customHeight="1">
      <c r="B926" s="328"/>
      <c r="C926" s="328"/>
      <c r="D926" s="328"/>
      <c r="E926" s="328"/>
      <c r="F926" s="328"/>
      <c r="G926" s="328"/>
      <c r="H926" s="328"/>
      <c r="I926" s="328"/>
      <c r="J926" s="328"/>
      <c r="K926" s="328"/>
      <c r="L926" s="328"/>
      <c r="M926" s="328"/>
      <c r="R926" s="328"/>
      <c r="S926" s="328"/>
      <c r="T926" s="328"/>
      <c r="U926" s="328"/>
      <c r="V926" s="328"/>
      <c r="W926" s="328"/>
      <c r="X926" s="328"/>
      <c r="Y926" s="328"/>
      <c r="Z926" s="328"/>
      <c r="AA926" s="328"/>
      <c r="AB926" s="328"/>
    </row>
    <row r="927" ht="15.75" customHeight="1">
      <c r="B927" s="328"/>
      <c r="C927" s="328"/>
      <c r="D927" s="328"/>
      <c r="E927" s="328"/>
      <c r="F927" s="328"/>
      <c r="G927" s="328"/>
      <c r="H927" s="328"/>
      <c r="I927" s="328"/>
      <c r="J927" s="328"/>
      <c r="K927" s="328"/>
      <c r="L927" s="328"/>
      <c r="M927" s="328"/>
      <c r="R927" s="328"/>
      <c r="S927" s="328"/>
      <c r="T927" s="328"/>
      <c r="U927" s="328"/>
      <c r="V927" s="328"/>
      <c r="W927" s="328"/>
      <c r="X927" s="328"/>
      <c r="Y927" s="328"/>
      <c r="Z927" s="328"/>
      <c r="AA927" s="328"/>
      <c r="AB927" s="328"/>
    </row>
    <row r="928" ht="15.75" customHeight="1">
      <c r="B928" s="328"/>
      <c r="C928" s="328"/>
      <c r="D928" s="328"/>
      <c r="E928" s="328"/>
      <c r="F928" s="328"/>
      <c r="G928" s="328"/>
      <c r="H928" s="328"/>
      <c r="I928" s="328"/>
      <c r="J928" s="328"/>
      <c r="K928" s="328"/>
      <c r="L928" s="328"/>
      <c r="M928" s="328"/>
      <c r="R928" s="328"/>
      <c r="S928" s="328"/>
      <c r="T928" s="328"/>
      <c r="U928" s="328"/>
      <c r="V928" s="328"/>
      <c r="W928" s="328"/>
      <c r="X928" s="328"/>
      <c r="Y928" s="328"/>
      <c r="Z928" s="328"/>
      <c r="AA928" s="328"/>
      <c r="AB928" s="328"/>
    </row>
    <row r="929" ht="15.75" customHeight="1">
      <c r="B929" s="328"/>
      <c r="C929" s="328"/>
      <c r="D929" s="328"/>
      <c r="E929" s="328"/>
      <c r="F929" s="328"/>
      <c r="G929" s="328"/>
      <c r="H929" s="328"/>
      <c r="I929" s="328"/>
      <c r="J929" s="328"/>
      <c r="K929" s="328"/>
      <c r="L929" s="328"/>
      <c r="M929" s="328"/>
      <c r="R929" s="328"/>
      <c r="S929" s="328"/>
      <c r="T929" s="328"/>
      <c r="U929" s="328"/>
      <c r="V929" s="328"/>
      <c r="W929" s="328"/>
      <c r="X929" s="328"/>
      <c r="Y929" s="328"/>
      <c r="Z929" s="328"/>
      <c r="AA929" s="328"/>
      <c r="AB929" s="328"/>
    </row>
    <row r="930" ht="15.75" customHeight="1">
      <c r="B930" s="328"/>
      <c r="C930" s="328"/>
      <c r="D930" s="328"/>
      <c r="E930" s="328"/>
      <c r="F930" s="328"/>
      <c r="G930" s="328"/>
      <c r="H930" s="328"/>
      <c r="I930" s="328"/>
      <c r="J930" s="328"/>
      <c r="K930" s="328"/>
      <c r="L930" s="328"/>
      <c r="M930" s="328"/>
      <c r="R930" s="328"/>
      <c r="S930" s="328"/>
      <c r="T930" s="328"/>
      <c r="U930" s="328"/>
      <c r="V930" s="328"/>
      <c r="W930" s="328"/>
      <c r="X930" s="328"/>
      <c r="Y930" s="328"/>
      <c r="Z930" s="328"/>
      <c r="AA930" s="328"/>
      <c r="AB930" s="328"/>
    </row>
    <row r="931" ht="15.75" customHeight="1">
      <c r="B931" s="328"/>
      <c r="C931" s="328"/>
      <c r="D931" s="328"/>
      <c r="E931" s="328"/>
      <c r="F931" s="328"/>
      <c r="G931" s="328"/>
      <c r="H931" s="328"/>
      <c r="I931" s="328"/>
      <c r="J931" s="328"/>
      <c r="K931" s="328"/>
      <c r="L931" s="328"/>
      <c r="M931" s="328"/>
      <c r="R931" s="328"/>
      <c r="S931" s="328"/>
      <c r="T931" s="328"/>
      <c r="U931" s="328"/>
      <c r="V931" s="328"/>
      <c r="W931" s="328"/>
      <c r="X931" s="328"/>
      <c r="Y931" s="328"/>
      <c r="Z931" s="328"/>
      <c r="AA931" s="328"/>
      <c r="AB931" s="328"/>
    </row>
    <row r="932" ht="15.75" customHeight="1">
      <c r="B932" s="328"/>
      <c r="C932" s="328"/>
      <c r="D932" s="328"/>
      <c r="E932" s="328"/>
      <c r="F932" s="328"/>
      <c r="G932" s="328"/>
      <c r="H932" s="328"/>
      <c r="I932" s="328"/>
      <c r="J932" s="328"/>
      <c r="K932" s="328"/>
      <c r="L932" s="328"/>
      <c r="M932" s="328"/>
      <c r="R932" s="328"/>
      <c r="S932" s="328"/>
      <c r="T932" s="328"/>
      <c r="U932" s="328"/>
      <c r="V932" s="328"/>
      <c r="W932" s="328"/>
      <c r="X932" s="328"/>
      <c r="Y932" s="328"/>
      <c r="Z932" s="328"/>
      <c r="AA932" s="328"/>
      <c r="AB932" s="328"/>
    </row>
    <row r="933" ht="15.75" customHeight="1">
      <c r="B933" s="328"/>
      <c r="C933" s="328"/>
      <c r="D933" s="328"/>
      <c r="E933" s="328"/>
      <c r="F933" s="328"/>
      <c r="G933" s="328"/>
      <c r="H933" s="328"/>
      <c r="I933" s="328"/>
      <c r="J933" s="328"/>
      <c r="K933" s="328"/>
      <c r="L933" s="328"/>
      <c r="M933" s="328"/>
      <c r="R933" s="328"/>
      <c r="S933" s="328"/>
      <c r="T933" s="328"/>
      <c r="U933" s="328"/>
      <c r="V933" s="328"/>
      <c r="W933" s="328"/>
      <c r="X933" s="328"/>
      <c r="Y933" s="328"/>
      <c r="Z933" s="328"/>
      <c r="AA933" s="328"/>
      <c r="AB933" s="328"/>
    </row>
    <row r="934" ht="15.75" customHeight="1">
      <c r="B934" s="328"/>
      <c r="C934" s="328"/>
      <c r="D934" s="328"/>
      <c r="E934" s="328"/>
      <c r="F934" s="328"/>
      <c r="G934" s="328"/>
      <c r="H934" s="328"/>
      <c r="I934" s="328"/>
      <c r="J934" s="328"/>
      <c r="K934" s="328"/>
      <c r="L934" s="328"/>
      <c r="M934" s="328"/>
      <c r="R934" s="328"/>
      <c r="S934" s="328"/>
      <c r="T934" s="328"/>
      <c r="U934" s="328"/>
      <c r="V934" s="328"/>
      <c r="W934" s="328"/>
      <c r="X934" s="328"/>
      <c r="Y934" s="328"/>
      <c r="Z934" s="328"/>
      <c r="AA934" s="328"/>
      <c r="AB934" s="328"/>
    </row>
    <row r="935" ht="15.75" customHeight="1">
      <c r="B935" s="328"/>
      <c r="C935" s="328"/>
      <c r="D935" s="328"/>
      <c r="E935" s="328"/>
      <c r="F935" s="328"/>
      <c r="G935" s="328"/>
      <c r="H935" s="328"/>
      <c r="I935" s="328"/>
      <c r="J935" s="328"/>
      <c r="K935" s="328"/>
      <c r="L935" s="328"/>
      <c r="M935" s="328"/>
      <c r="R935" s="328"/>
      <c r="S935" s="328"/>
      <c r="T935" s="328"/>
      <c r="U935" s="328"/>
      <c r="V935" s="328"/>
      <c r="W935" s="328"/>
      <c r="X935" s="328"/>
      <c r="Y935" s="328"/>
      <c r="Z935" s="328"/>
      <c r="AA935" s="328"/>
      <c r="AB935" s="328"/>
    </row>
    <row r="936" ht="15.75" customHeight="1">
      <c r="B936" s="328"/>
      <c r="C936" s="328"/>
      <c r="D936" s="328"/>
      <c r="E936" s="328"/>
      <c r="F936" s="328"/>
      <c r="G936" s="328"/>
      <c r="H936" s="328"/>
      <c r="I936" s="328"/>
      <c r="J936" s="328"/>
      <c r="K936" s="328"/>
      <c r="L936" s="328"/>
      <c r="M936" s="328"/>
      <c r="R936" s="328"/>
      <c r="S936" s="328"/>
      <c r="T936" s="328"/>
      <c r="U936" s="328"/>
      <c r="V936" s="328"/>
      <c r="W936" s="328"/>
      <c r="X936" s="328"/>
      <c r="Y936" s="328"/>
      <c r="Z936" s="328"/>
      <c r="AA936" s="328"/>
      <c r="AB936" s="328"/>
    </row>
    <row r="937" ht="15.75" customHeight="1">
      <c r="B937" s="328"/>
      <c r="C937" s="328"/>
      <c r="D937" s="328"/>
      <c r="E937" s="328"/>
      <c r="F937" s="328"/>
      <c r="G937" s="328"/>
      <c r="H937" s="328"/>
      <c r="I937" s="328"/>
      <c r="J937" s="328"/>
      <c r="K937" s="328"/>
      <c r="L937" s="328"/>
      <c r="M937" s="328"/>
      <c r="R937" s="328"/>
      <c r="S937" s="328"/>
      <c r="T937" s="328"/>
      <c r="U937" s="328"/>
      <c r="V937" s="328"/>
      <c r="W937" s="328"/>
      <c r="X937" s="328"/>
      <c r="Y937" s="328"/>
      <c r="Z937" s="328"/>
      <c r="AA937" s="328"/>
      <c r="AB937" s="328"/>
    </row>
    <row r="938" ht="15.75" customHeight="1">
      <c r="B938" s="328"/>
      <c r="C938" s="328"/>
      <c r="D938" s="328"/>
      <c r="E938" s="328"/>
      <c r="F938" s="328"/>
      <c r="G938" s="328"/>
      <c r="H938" s="328"/>
      <c r="I938" s="328"/>
      <c r="J938" s="328"/>
      <c r="K938" s="328"/>
      <c r="L938" s="328"/>
      <c r="M938" s="328"/>
      <c r="R938" s="328"/>
      <c r="S938" s="328"/>
      <c r="T938" s="328"/>
      <c r="U938" s="328"/>
      <c r="V938" s="328"/>
      <c r="W938" s="328"/>
      <c r="X938" s="328"/>
      <c r="Y938" s="328"/>
      <c r="Z938" s="328"/>
      <c r="AA938" s="328"/>
      <c r="AB938" s="328"/>
    </row>
    <row r="939" ht="15.75" customHeight="1">
      <c r="B939" s="328"/>
      <c r="C939" s="328"/>
      <c r="D939" s="328"/>
      <c r="E939" s="328"/>
      <c r="F939" s="328"/>
      <c r="G939" s="328"/>
      <c r="H939" s="328"/>
      <c r="I939" s="328"/>
      <c r="J939" s="328"/>
      <c r="K939" s="328"/>
      <c r="L939" s="328"/>
      <c r="M939" s="328"/>
      <c r="R939" s="328"/>
      <c r="S939" s="328"/>
      <c r="T939" s="328"/>
      <c r="U939" s="328"/>
      <c r="V939" s="328"/>
      <c r="W939" s="328"/>
      <c r="X939" s="328"/>
      <c r="Y939" s="328"/>
      <c r="Z939" s="328"/>
      <c r="AA939" s="328"/>
      <c r="AB939" s="328"/>
    </row>
    <row r="940" ht="15.75" customHeight="1">
      <c r="B940" s="328"/>
      <c r="C940" s="328"/>
      <c r="D940" s="328"/>
      <c r="E940" s="328"/>
      <c r="F940" s="328"/>
      <c r="G940" s="328"/>
      <c r="H940" s="328"/>
      <c r="I940" s="328"/>
      <c r="J940" s="328"/>
      <c r="K940" s="328"/>
      <c r="L940" s="328"/>
      <c r="M940" s="328"/>
      <c r="R940" s="328"/>
      <c r="S940" s="328"/>
      <c r="T940" s="328"/>
      <c r="U940" s="328"/>
      <c r="V940" s="328"/>
      <c r="W940" s="328"/>
      <c r="X940" s="328"/>
      <c r="Y940" s="328"/>
      <c r="Z940" s="328"/>
      <c r="AA940" s="328"/>
      <c r="AB940" s="328"/>
    </row>
    <row r="941" ht="15.75" customHeight="1">
      <c r="B941" s="328"/>
      <c r="C941" s="328"/>
      <c r="D941" s="328"/>
      <c r="E941" s="328"/>
      <c r="F941" s="328"/>
      <c r="G941" s="328"/>
      <c r="H941" s="328"/>
      <c r="I941" s="328"/>
      <c r="J941" s="328"/>
      <c r="K941" s="328"/>
      <c r="L941" s="328"/>
      <c r="M941" s="328"/>
      <c r="R941" s="328"/>
      <c r="S941" s="328"/>
      <c r="T941" s="328"/>
      <c r="U941" s="328"/>
      <c r="V941" s="328"/>
      <c r="W941" s="328"/>
      <c r="X941" s="328"/>
      <c r="Y941" s="328"/>
      <c r="Z941" s="328"/>
      <c r="AA941" s="328"/>
      <c r="AB941" s="328"/>
    </row>
    <row r="942" ht="15.75" customHeight="1">
      <c r="B942" s="328"/>
      <c r="C942" s="328"/>
      <c r="D942" s="328"/>
      <c r="E942" s="328"/>
      <c r="F942" s="328"/>
      <c r="G942" s="328"/>
      <c r="H942" s="328"/>
      <c r="I942" s="328"/>
      <c r="J942" s="328"/>
      <c r="K942" s="328"/>
      <c r="L942" s="328"/>
      <c r="M942" s="328"/>
      <c r="R942" s="328"/>
      <c r="S942" s="328"/>
      <c r="T942" s="328"/>
      <c r="U942" s="328"/>
      <c r="V942" s="328"/>
      <c r="W942" s="328"/>
      <c r="X942" s="328"/>
      <c r="Y942" s="328"/>
      <c r="Z942" s="328"/>
      <c r="AA942" s="328"/>
      <c r="AB942" s="328"/>
    </row>
    <row r="943" ht="15.75" customHeight="1">
      <c r="B943" s="328"/>
      <c r="C943" s="328"/>
      <c r="D943" s="328"/>
      <c r="E943" s="328"/>
      <c r="F943" s="328"/>
      <c r="G943" s="328"/>
      <c r="H943" s="328"/>
      <c r="I943" s="328"/>
      <c r="J943" s="328"/>
      <c r="K943" s="328"/>
      <c r="L943" s="328"/>
      <c r="M943" s="328"/>
      <c r="R943" s="328"/>
      <c r="S943" s="328"/>
      <c r="T943" s="328"/>
      <c r="U943" s="328"/>
      <c r="V943" s="328"/>
      <c r="W943" s="328"/>
      <c r="X943" s="328"/>
      <c r="Y943" s="328"/>
      <c r="Z943" s="328"/>
      <c r="AA943" s="328"/>
      <c r="AB943" s="328"/>
    </row>
    <row r="944" ht="15.75" customHeight="1">
      <c r="B944" s="328"/>
      <c r="C944" s="328"/>
      <c r="D944" s="328"/>
      <c r="E944" s="328"/>
      <c r="F944" s="328"/>
      <c r="G944" s="328"/>
      <c r="H944" s="328"/>
      <c r="I944" s="328"/>
      <c r="J944" s="328"/>
      <c r="K944" s="328"/>
      <c r="L944" s="328"/>
      <c r="M944" s="328"/>
      <c r="R944" s="328"/>
      <c r="S944" s="328"/>
      <c r="T944" s="328"/>
      <c r="U944" s="328"/>
      <c r="V944" s="328"/>
      <c r="W944" s="328"/>
      <c r="X944" s="328"/>
      <c r="Y944" s="328"/>
      <c r="Z944" s="328"/>
      <c r="AA944" s="328"/>
      <c r="AB944" s="328"/>
    </row>
    <row r="945" ht="15.75" customHeight="1">
      <c r="B945" s="328"/>
      <c r="C945" s="328"/>
      <c r="D945" s="328"/>
      <c r="E945" s="328"/>
      <c r="F945" s="328"/>
      <c r="G945" s="328"/>
      <c r="H945" s="328"/>
      <c r="I945" s="328"/>
      <c r="J945" s="328"/>
      <c r="K945" s="328"/>
      <c r="L945" s="328"/>
      <c r="M945" s="328"/>
      <c r="R945" s="328"/>
      <c r="S945" s="328"/>
      <c r="T945" s="328"/>
      <c r="U945" s="328"/>
      <c r="V945" s="328"/>
      <c r="W945" s="328"/>
      <c r="X945" s="328"/>
      <c r="Y945" s="328"/>
      <c r="Z945" s="328"/>
      <c r="AA945" s="328"/>
      <c r="AB945" s="328"/>
    </row>
    <row r="946" ht="15.75" customHeight="1">
      <c r="B946" s="328"/>
      <c r="C946" s="328"/>
      <c r="D946" s="328"/>
      <c r="E946" s="328"/>
      <c r="F946" s="328"/>
      <c r="G946" s="328"/>
      <c r="H946" s="328"/>
      <c r="I946" s="328"/>
      <c r="J946" s="328"/>
      <c r="K946" s="328"/>
      <c r="L946" s="328"/>
      <c r="M946" s="328"/>
      <c r="R946" s="328"/>
      <c r="S946" s="328"/>
      <c r="T946" s="328"/>
      <c r="U946" s="328"/>
      <c r="V946" s="328"/>
      <c r="W946" s="328"/>
      <c r="X946" s="328"/>
      <c r="Y946" s="328"/>
      <c r="Z946" s="328"/>
      <c r="AA946" s="328"/>
      <c r="AB946" s="328"/>
    </row>
    <row r="947" ht="15.75" customHeight="1">
      <c r="B947" s="328"/>
      <c r="C947" s="328"/>
      <c r="D947" s="328"/>
      <c r="E947" s="328"/>
      <c r="F947" s="328"/>
      <c r="G947" s="328"/>
      <c r="H947" s="328"/>
      <c r="I947" s="328"/>
      <c r="J947" s="328"/>
      <c r="K947" s="328"/>
      <c r="L947" s="328"/>
      <c r="M947" s="328"/>
      <c r="R947" s="328"/>
      <c r="S947" s="328"/>
      <c r="T947" s="328"/>
      <c r="U947" s="328"/>
      <c r="V947" s="328"/>
      <c r="W947" s="328"/>
      <c r="X947" s="328"/>
      <c r="Y947" s="328"/>
      <c r="Z947" s="328"/>
      <c r="AA947" s="328"/>
      <c r="AB947" s="328"/>
    </row>
    <row r="948" ht="15.75" customHeight="1">
      <c r="B948" s="328"/>
      <c r="C948" s="328"/>
      <c r="D948" s="328"/>
      <c r="E948" s="328"/>
      <c r="F948" s="328"/>
      <c r="G948" s="328"/>
      <c r="H948" s="328"/>
      <c r="I948" s="328"/>
      <c r="J948" s="328"/>
      <c r="K948" s="328"/>
      <c r="L948" s="328"/>
      <c r="M948" s="328"/>
      <c r="R948" s="328"/>
      <c r="S948" s="328"/>
      <c r="T948" s="328"/>
      <c r="U948" s="328"/>
      <c r="V948" s="328"/>
      <c r="W948" s="328"/>
      <c r="X948" s="328"/>
      <c r="Y948" s="328"/>
      <c r="Z948" s="328"/>
      <c r="AA948" s="328"/>
      <c r="AB948" s="328"/>
    </row>
    <row r="949" ht="15.75" customHeight="1">
      <c r="B949" s="328"/>
      <c r="C949" s="328"/>
      <c r="D949" s="328"/>
      <c r="E949" s="328"/>
      <c r="F949" s="328"/>
      <c r="G949" s="328"/>
      <c r="H949" s="328"/>
      <c r="I949" s="328"/>
      <c r="J949" s="328"/>
      <c r="K949" s="328"/>
      <c r="L949" s="328"/>
      <c r="M949" s="328"/>
      <c r="R949" s="328"/>
      <c r="S949" s="328"/>
      <c r="T949" s="328"/>
      <c r="U949" s="328"/>
      <c r="V949" s="328"/>
      <c r="W949" s="328"/>
      <c r="X949" s="328"/>
      <c r="Y949" s="328"/>
      <c r="Z949" s="328"/>
      <c r="AA949" s="328"/>
      <c r="AB949" s="328"/>
    </row>
    <row r="950" ht="15.75" customHeight="1">
      <c r="B950" s="328"/>
      <c r="C950" s="328"/>
      <c r="D950" s="328"/>
      <c r="E950" s="328"/>
      <c r="F950" s="328"/>
      <c r="G950" s="328"/>
      <c r="H950" s="328"/>
      <c r="I950" s="328"/>
      <c r="J950" s="328"/>
      <c r="K950" s="328"/>
      <c r="L950" s="328"/>
      <c r="M950" s="328"/>
      <c r="R950" s="328"/>
      <c r="S950" s="328"/>
      <c r="T950" s="328"/>
      <c r="U950" s="328"/>
      <c r="V950" s="328"/>
      <c r="W950" s="328"/>
      <c r="X950" s="328"/>
      <c r="Y950" s="328"/>
      <c r="Z950" s="328"/>
      <c r="AA950" s="328"/>
      <c r="AB950" s="328"/>
    </row>
    <row r="951" ht="15.75" customHeight="1">
      <c r="B951" s="328"/>
      <c r="C951" s="328"/>
      <c r="D951" s="328"/>
      <c r="E951" s="328"/>
      <c r="F951" s="328"/>
      <c r="G951" s="328"/>
      <c r="H951" s="328"/>
      <c r="I951" s="328"/>
      <c r="J951" s="328"/>
      <c r="K951" s="328"/>
      <c r="L951" s="328"/>
      <c r="M951" s="328"/>
      <c r="R951" s="328"/>
      <c r="S951" s="328"/>
      <c r="T951" s="328"/>
      <c r="U951" s="328"/>
      <c r="V951" s="328"/>
      <c r="W951" s="328"/>
      <c r="X951" s="328"/>
      <c r="Y951" s="328"/>
      <c r="Z951" s="328"/>
      <c r="AA951" s="328"/>
      <c r="AB951" s="328"/>
    </row>
    <row r="952" ht="15.75" customHeight="1">
      <c r="B952" s="328"/>
      <c r="C952" s="328"/>
      <c r="D952" s="328"/>
      <c r="E952" s="328"/>
      <c r="F952" s="328"/>
      <c r="G952" s="328"/>
      <c r="H952" s="328"/>
      <c r="I952" s="328"/>
      <c r="J952" s="328"/>
      <c r="K952" s="328"/>
      <c r="L952" s="328"/>
      <c r="M952" s="328"/>
      <c r="R952" s="328"/>
      <c r="S952" s="328"/>
      <c r="T952" s="328"/>
      <c r="U952" s="328"/>
      <c r="V952" s="328"/>
      <c r="W952" s="328"/>
      <c r="X952" s="328"/>
      <c r="Y952" s="328"/>
      <c r="Z952" s="328"/>
      <c r="AA952" s="328"/>
      <c r="AB952" s="328"/>
    </row>
    <row r="953" ht="15.75" customHeight="1">
      <c r="B953" s="328"/>
      <c r="C953" s="328"/>
      <c r="D953" s="328"/>
      <c r="E953" s="328"/>
      <c r="F953" s="328"/>
      <c r="G953" s="328"/>
      <c r="H953" s="328"/>
      <c r="I953" s="328"/>
      <c r="J953" s="328"/>
      <c r="K953" s="328"/>
      <c r="L953" s="328"/>
      <c r="M953" s="328"/>
      <c r="R953" s="328"/>
      <c r="S953" s="328"/>
      <c r="T953" s="328"/>
      <c r="U953" s="328"/>
      <c r="V953" s="328"/>
      <c r="W953" s="328"/>
      <c r="X953" s="328"/>
      <c r="Y953" s="328"/>
      <c r="Z953" s="328"/>
      <c r="AA953" s="328"/>
      <c r="AB953" s="328"/>
    </row>
    <row r="954" ht="15.75" customHeight="1">
      <c r="B954" s="328"/>
      <c r="C954" s="328"/>
      <c r="D954" s="328"/>
      <c r="E954" s="328"/>
      <c r="F954" s="328"/>
      <c r="G954" s="328"/>
      <c r="H954" s="328"/>
      <c r="I954" s="328"/>
      <c r="J954" s="328"/>
      <c r="K954" s="328"/>
      <c r="L954" s="328"/>
      <c r="M954" s="328"/>
      <c r="R954" s="328"/>
      <c r="S954" s="328"/>
      <c r="T954" s="328"/>
      <c r="U954" s="328"/>
      <c r="V954" s="328"/>
      <c r="W954" s="328"/>
      <c r="X954" s="328"/>
      <c r="Y954" s="328"/>
      <c r="Z954" s="328"/>
      <c r="AA954" s="328"/>
      <c r="AB954" s="328"/>
    </row>
    <row r="955" ht="15.75" customHeight="1">
      <c r="B955" s="328"/>
      <c r="C955" s="328"/>
      <c r="D955" s="328"/>
      <c r="E955" s="328"/>
      <c r="F955" s="328"/>
      <c r="G955" s="328"/>
      <c r="H955" s="328"/>
      <c r="I955" s="328"/>
      <c r="J955" s="328"/>
      <c r="K955" s="328"/>
      <c r="L955" s="328"/>
      <c r="M955" s="328"/>
      <c r="R955" s="328"/>
      <c r="S955" s="328"/>
      <c r="T955" s="328"/>
      <c r="U955" s="328"/>
      <c r="V955" s="328"/>
      <c r="W955" s="328"/>
      <c r="X955" s="328"/>
      <c r="Y955" s="328"/>
      <c r="Z955" s="328"/>
      <c r="AA955" s="328"/>
      <c r="AB955" s="328"/>
    </row>
    <row r="956" ht="15.75" customHeight="1">
      <c r="B956" s="328"/>
      <c r="C956" s="328"/>
      <c r="D956" s="328"/>
      <c r="E956" s="328"/>
      <c r="F956" s="328"/>
      <c r="G956" s="328"/>
      <c r="H956" s="328"/>
      <c r="I956" s="328"/>
      <c r="J956" s="328"/>
      <c r="K956" s="328"/>
      <c r="L956" s="328"/>
      <c r="M956" s="328"/>
      <c r="R956" s="328"/>
      <c r="S956" s="328"/>
      <c r="T956" s="328"/>
      <c r="U956" s="328"/>
      <c r="V956" s="328"/>
      <c r="W956" s="328"/>
      <c r="X956" s="328"/>
      <c r="Y956" s="328"/>
      <c r="Z956" s="328"/>
      <c r="AA956" s="328"/>
      <c r="AB956" s="328"/>
    </row>
    <row r="957" ht="15.75" customHeight="1">
      <c r="B957" s="328"/>
      <c r="C957" s="328"/>
      <c r="D957" s="328"/>
      <c r="E957" s="328"/>
      <c r="F957" s="328"/>
      <c r="G957" s="328"/>
      <c r="H957" s="328"/>
      <c r="I957" s="328"/>
      <c r="J957" s="328"/>
      <c r="K957" s="328"/>
      <c r="L957" s="328"/>
      <c r="M957" s="328"/>
      <c r="R957" s="328"/>
      <c r="S957" s="328"/>
      <c r="T957" s="328"/>
      <c r="U957" s="328"/>
      <c r="V957" s="328"/>
      <c r="W957" s="328"/>
      <c r="X957" s="328"/>
      <c r="Y957" s="328"/>
      <c r="Z957" s="328"/>
      <c r="AA957" s="328"/>
      <c r="AB957" s="328"/>
    </row>
    <row r="958" ht="15.75" customHeight="1">
      <c r="B958" s="328"/>
      <c r="C958" s="328"/>
      <c r="D958" s="328"/>
      <c r="E958" s="328"/>
      <c r="F958" s="328"/>
      <c r="G958" s="328"/>
      <c r="H958" s="328"/>
      <c r="I958" s="328"/>
      <c r="J958" s="328"/>
      <c r="K958" s="328"/>
      <c r="L958" s="328"/>
      <c r="M958" s="328"/>
      <c r="R958" s="328"/>
      <c r="S958" s="328"/>
      <c r="T958" s="328"/>
      <c r="U958" s="328"/>
      <c r="V958" s="328"/>
      <c r="W958" s="328"/>
      <c r="X958" s="328"/>
      <c r="Y958" s="328"/>
      <c r="Z958" s="328"/>
      <c r="AA958" s="328"/>
      <c r="AB958" s="328"/>
    </row>
    <row r="959" ht="15.75" customHeight="1">
      <c r="B959" s="328"/>
      <c r="C959" s="328"/>
      <c r="D959" s="328"/>
      <c r="E959" s="328"/>
      <c r="F959" s="328"/>
      <c r="G959" s="328"/>
      <c r="H959" s="328"/>
      <c r="I959" s="328"/>
      <c r="J959" s="328"/>
      <c r="K959" s="328"/>
      <c r="L959" s="328"/>
      <c r="M959" s="328"/>
      <c r="R959" s="328"/>
      <c r="S959" s="328"/>
      <c r="T959" s="328"/>
      <c r="U959" s="328"/>
      <c r="V959" s="328"/>
      <c r="W959" s="328"/>
      <c r="X959" s="328"/>
      <c r="Y959" s="328"/>
      <c r="Z959" s="328"/>
      <c r="AA959" s="328"/>
      <c r="AB959" s="328"/>
    </row>
    <row r="960" ht="15.75" customHeight="1">
      <c r="B960" s="328"/>
      <c r="C960" s="328"/>
      <c r="D960" s="328"/>
      <c r="E960" s="328"/>
      <c r="F960" s="328"/>
      <c r="G960" s="328"/>
      <c r="H960" s="328"/>
      <c r="I960" s="328"/>
      <c r="J960" s="328"/>
      <c r="K960" s="328"/>
      <c r="L960" s="328"/>
      <c r="M960" s="328"/>
      <c r="R960" s="328"/>
      <c r="S960" s="328"/>
      <c r="T960" s="328"/>
      <c r="U960" s="328"/>
      <c r="V960" s="328"/>
      <c r="W960" s="328"/>
      <c r="X960" s="328"/>
      <c r="Y960" s="328"/>
      <c r="Z960" s="328"/>
      <c r="AA960" s="328"/>
      <c r="AB960" s="328"/>
    </row>
    <row r="961" ht="15.75" customHeight="1">
      <c r="B961" s="328"/>
      <c r="C961" s="328"/>
      <c r="D961" s="328"/>
      <c r="E961" s="328"/>
      <c r="F961" s="328"/>
      <c r="G961" s="328"/>
      <c r="H961" s="328"/>
      <c r="I961" s="328"/>
      <c r="J961" s="328"/>
      <c r="K961" s="328"/>
      <c r="L961" s="328"/>
      <c r="M961" s="328"/>
      <c r="R961" s="328"/>
      <c r="S961" s="328"/>
      <c r="T961" s="328"/>
      <c r="U961" s="328"/>
      <c r="V961" s="328"/>
      <c r="W961" s="328"/>
      <c r="X961" s="328"/>
      <c r="Y961" s="328"/>
      <c r="Z961" s="328"/>
      <c r="AA961" s="328"/>
      <c r="AB961" s="328"/>
    </row>
    <row r="962" ht="15.75" customHeight="1">
      <c r="B962" s="328"/>
      <c r="C962" s="328"/>
      <c r="D962" s="328"/>
      <c r="E962" s="328"/>
      <c r="F962" s="328"/>
      <c r="G962" s="328"/>
      <c r="H962" s="328"/>
      <c r="I962" s="328"/>
      <c r="J962" s="328"/>
      <c r="K962" s="328"/>
      <c r="L962" s="328"/>
      <c r="M962" s="328"/>
      <c r="R962" s="328"/>
      <c r="S962" s="328"/>
      <c r="T962" s="328"/>
      <c r="U962" s="328"/>
      <c r="V962" s="328"/>
      <c r="W962" s="328"/>
      <c r="X962" s="328"/>
      <c r="Y962" s="328"/>
      <c r="Z962" s="328"/>
      <c r="AA962" s="328"/>
      <c r="AB962" s="328"/>
    </row>
    <row r="963" ht="15.75" customHeight="1">
      <c r="B963" s="328"/>
      <c r="C963" s="328"/>
      <c r="D963" s="328"/>
      <c r="E963" s="328"/>
      <c r="F963" s="328"/>
      <c r="G963" s="328"/>
      <c r="H963" s="328"/>
      <c r="I963" s="328"/>
      <c r="J963" s="328"/>
      <c r="K963" s="328"/>
      <c r="L963" s="328"/>
      <c r="M963" s="328"/>
      <c r="R963" s="328"/>
      <c r="S963" s="328"/>
      <c r="T963" s="328"/>
      <c r="U963" s="328"/>
      <c r="V963" s="328"/>
      <c r="W963" s="328"/>
      <c r="X963" s="328"/>
      <c r="Y963" s="328"/>
      <c r="Z963" s="328"/>
      <c r="AA963" s="328"/>
      <c r="AB963" s="328"/>
    </row>
    <row r="964" ht="15.75" customHeight="1">
      <c r="B964" s="328"/>
      <c r="C964" s="328"/>
      <c r="D964" s="328"/>
      <c r="E964" s="328"/>
      <c r="F964" s="328"/>
      <c r="G964" s="328"/>
      <c r="H964" s="328"/>
      <c r="I964" s="328"/>
      <c r="J964" s="328"/>
      <c r="K964" s="328"/>
      <c r="L964" s="328"/>
      <c r="M964" s="328"/>
      <c r="R964" s="328"/>
      <c r="S964" s="328"/>
      <c r="T964" s="328"/>
      <c r="U964" s="328"/>
      <c r="V964" s="328"/>
      <c r="W964" s="328"/>
      <c r="X964" s="328"/>
      <c r="Y964" s="328"/>
      <c r="Z964" s="328"/>
      <c r="AA964" s="328"/>
      <c r="AB964" s="328"/>
    </row>
    <row r="965" ht="15.75" customHeight="1">
      <c r="B965" s="328"/>
      <c r="C965" s="328"/>
      <c r="D965" s="328"/>
      <c r="E965" s="328"/>
      <c r="F965" s="328"/>
      <c r="G965" s="328"/>
      <c r="H965" s="328"/>
      <c r="I965" s="328"/>
      <c r="J965" s="328"/>
      <c r="K965" s="328"/>
      <c r="L965" s="328"/>
      <c r="M965" s="328"/>
      <c r="R965" s="328"/>
      <c r="S965" s="328"/>
      <c r="T965" s="328"/>
      <c r="U965" s="328"/>
      <c r="V965" s="328"/>
      <c r="W965" s="328"/>
      <c r="X965" s="328"/>
      <c r="Y965" s="328"/>
      <c r="Z965" s="328"/>
      <c r="AA965" s="328"/>
      <c r="AB965" s="328"/>
    </row>
    <row r="966" ht="15.75" customHeight="1">
      <c r="B966" s="328"/>
      <c r="C966" s="328"/>
      <c r="D966" s="328"/>
      <c r="E966" s="328"/>
      <c r="F966" s="328"/>
      <c r="G966" s="328"/>
      <c r="H966" s="328"/>
      <c r="I966" s="328"/>
      <c r="J966" s="328"/>
      <c r="K966" s="328"/>
      <c r="L966" s="328"/>
      <c r="M966" s="328"/>
      <c r="R966" s="328"/>
      <c r="S966" s="328"/>
      <c r="T966" s="328"/>
      <c r="U966" s="328"/>
      <c r="V966" s="328"/>
      <c r="W966" s="328"/>
      <c r="X966" s="328"/>
      <c r="Y966" s="328"/>
      <c r="Z966" s="328"/>
      <c r="AA966" s="328"/>
      <c r="AB966" s="328"/>
    </row>
    <row r="967" ht="15.75" customHeight="1">
      <c r="B967" s="328"/>
      <c r="C967" s="328"/>
      <c r="D967" s="328"/>
      <c r="E967" s="328"/>
      <c r="F967" s="328"/>
      <c r="G967" s="328"/>
      <c r="H967" s="328"/>
      <c r="I967" s="328"/>
      <c r="J967" s="328"/>
      <c r="K967" s="328"/>
      <c r="L967" s="328"/>
      <c r="M967" s="328"/>
      <c r="R967" s="328"/>
      <c r="S967" s="328"/>
      <c r="T967" s="328"/>
      <c r="U967" s="328"/>
      <c r="V967" s="328"/>
      <c r="W967" s="328"/>
      <c r="X967" s="328"/>
      <c r="Y967" s="328"/>
      <c r="Z967" s="328"/>
      <c r="AA967" s="328"/>
      <c r="AB967" s="328"/>
    </row>
    <row r="968" ht="15.75" customHeight="1">
      <c r="B968" s="328"/>
      <c r="C968" s="328"/>
      <c r="D968" s="328"/>
      <c r="E968" s="328"/>
      <c r="F968" s="328"/>
      <c r="G968" s="328"/>
      <c r="H968" s="328"/>
      <c r="I968" s="328"/>
      <c r="J968" s="328"/>
      <c r="K968" s="328"/>
      <c r="L968" s="328"/>
      <c r="M968" s="328"/>
      <c r="R968" s="328"/>
      <c r="S968" s="328"/>
      <c r="T968" s="328"/>
      <c r="U968" s="328"/>
      <c r="V968" s="328"/>
      <c r="W968" s="328"/>
      <c r="X968" s="328"/>
      <c r="Y968" s="328"/>
      <c r="Z968" s="328"/>
      <c r="AA968" s="328"/>
      <c r="AB968" s="328"/>
    </row>
    <row r="969" ht="15.75" customHeight="1">
      <c r="B969" s="328"/>
      <c r="C969" s="328"/>
      <c r="D969" s="328"/>
      <c r="E969" s="328"/>
      <c r="F969" s="328"/>
      <c r="G969" s="328"/>
      <c r="H969" s="328"/>
      <c r="I969" s="328"/>
      <c r="J969" s="328"/>
      <c r="K969" s="328"/>
      <c r="L969" s="328"/>
      <c r="M969" s="328"/>
      <c r="R969" s="328"/>
      <c r="S969" s="328"/>
      <c r="T969" s="328"/>
      <c r="U969" s="328"/>
      <c r="V969" s="328"/>
      <c r="W969" s="328"/>
      <c r="X969" s="328"/>
      <c r="Y969" s="328"/>
      <c r="Z969" s="328"/>
      <c r="AA969" s="328"/>
      <c r="AB969" s="328"/>
    </row>
    <row r="970" ht="15.75" customHeight="1">
      <c r="B970" s="328"/>
      <c r="C970" s="328"/>
      <c r="D970" s="328"/>
      <c r="E970" s="328"/>
      <c r="F970" s="328"/>
      <c r="G970" s="328"/>
      <c r="H970" s="328"/>
      <c r="I970" s="328"/>
      <c r="J970" s="328"/>
      <c r="K970" s="328"/>
      <c r="L970" s="328"/>
      <c r="M970" s="328"/>
      <c r="R970" s="328"/>
      <c r="S970" s="328"/>
      <c r="T970" s="328"/>
      <c r="U970" s="328"/>
      <c r="V970" s="328"/>
      <c r="W970" s="328"/>
      <c r="X970" s="328"/>
      <c r="Y970" s="328"/>
      <c r="Z970" s="328"/>
      <c r="AA970" s="328"/>
      <c r="AB970" s="328"/>
    </row>
    <row r="971" ht="15.75" customHeight="1">
      <c r="B971" s="328"/>
      <c r="C971" s="328"/>
      <c r="D971" s="328"/>
      <c r="E971" s="328"/>
      <c r="F971" s="328"/>
      <c r="G971" s="328"/>
      <c r="H971" s="328"/>
      <c r="I971" s="328"/>
      <c r="J971" s="328"/>
      <c r="K971" s="328"/>
      <c r="L971" s="328"/>
      <c r="M971" s="328"/>
      <c r="R971" s="328"/>
      <c r="S971" s="328"/>
      <c r="T971" s="328"/>
      <c r="U971" s="328"/>
      <c r="V971" s="328"/>
      <c r="W971" s="328"/>
      <c r="X971" s="328"/>
      <c r="Y971" s="328"/>
      <c r="Z971" s="328"/>
      <c r="AA971" s="328"/>
      <c r="AB971" s="328"/>
    </row>
    <row r="972" ht="15.75" customHeight="1">
      <c r="B972" s="328"/>
      <c r="C972" s="328"/>
      <c r="D972" s="328"/>
      <c r="E972" s="328"/>
      <c r="F972" s="328"/>
      <c r="G972" s="328"/>
      <c r="H972" s="328"/>
      <c r="I972" s="328"/>
      <c r="J972" s="328"/>
      <c r="K972" s="328"/>
      <c r="L972" s="328"/>
      <c r="M972" s="328"/>
      <c r="R972" s="328"/>
      <c r="S972" s="328"/>
      <c r="T972" s="328"/>
      <c r="U972" s="328"/>
      <c r="V972" s="328"/>
      <c r="W972" s="328"/>
      <c r="X972" s="328"/>
      <c r="Y972" s="328"/>
      <c r="Z972" s="328"/>
      <c r="AA972" s="328"/>
      <c r="AB972" s="328"/>
    </row>
    <row r="973" ht="15.75" customHeight="1">
      <c r="B973" s="328"/>
      <c r="C973" s="328"/>
      <c r="D973" s="328"/>
      <c r="E973" s="328"/>
      <c r="F973" s="328"/>
      <c r="G973" s="328"/>
      <c r="H973" s="328"/>
      <c r="I973" s="328"/>
      <c r="J973" s="328"/>
      <c r="K973" s="328"/>
      <c r="L973" s="328"/>
      <c r="M973" s="328"/>
      <c r="R973" s="328"/>
      <c r="S973" s="328"/>
      <c r="T973" s="328"/>
      <c r="U973" s="328"/>
      <c r="V973" s="328"/>
      <c r="W973" s="328"/>
      <c r="X973" s="328"/>
      <c r="Y973" s="328"/>
      <c r="Z973" s="328"/>
      <c r="AA973" s="328"/>
      <c r="AB973" s="328"/>
    </row>
    <row r="974" ht="15.75" customHeight="1">
      <c r="B974" s="328"/>
      <c r="C974" s="328"/>
      <c r="D974" s="328"/>
      <c r="E974" s="328"/>
      <c r="F974" s="328"/>
      <c r="G974" s="328"/>
      <c r="H974" s="328"/>
      <c r="I974" s="328"/>
      <c r="J974" s="328"/>
      <c r="K974" s="328"/>
      <c r="L974" s="328"/>
      <c r="M974" s="328"/>
      <c r="R974" s="328"/>
      <c r="S974" s="328"/>
      <c r="T974" s="328"/>
      <c r="U974" s="328"/>
      <c r="V974" s="328"/>
      <c r="W974" s="328"/>
      <c r="X974" s="328"/>
      <c r="Y974" s="328"/>
      <c r="Z974" s="328"/>
      <c r="AA974" s="328"/>
      <c r="AB974" s="328"/>
    </row>
    <row r="975" ht="15.75" customHeight="1">
      <c r="B975" s="328"/>
      <c r="C975" s="328"/>
      <c r="D975" s="328"/>
      <c r="E975" s="328"/>
      <c r="F975" s="328"/>
      <c r="G975" s="328"/>
      <c r="H975" s="328"/>
      <c r="I975" s="328"/>
      <c r="J975" s="328"/>
      <c r="K975" s="328"/>
      <c r="L975" s="328"/>
      <c r="M975" s="328"/>
      <c r="R975" s="328"/>
      <c r="S975" s="328"/>
      <c r="T975" s="328"/>
      <c r="U975" s="328"/>
      <c r="V975" s="328"/>
      <c r="W975" s="328"/>
      <c r="X975" s="328"/>
      <c r="Y975" s="328"/>
      <c r="Z975" s="328"/>
      <c r="AA975" s="328"/>
      <c r="AB975" s="328"/>
    </row>
    <row r="976" ht="15.75" customHeight="1">
      <c r="B976" s="328"/>
      <c r="C976" s="328"/>
      <c r="D976" s="328"/>
      <c r="E976" s="328"/>
      <c r="F976" s="328"/>
      <c r="G976" s="328"/>
      <c r="H976" s="328"/>
      <c r="I976" s="328"/>
      <c r="J976" s="328"/>
      <c r="K976" s="328"/>
      <c r="L976" s="328"/>
      <c r="M976" s="328"/>
      <c r="R976" s="328"/>
      <c r="S976" s="328"/>
      <c r="T976" s="328"/>
      <c r="U976" s="328"/>
      <c r="V976" s="328"/>
      <c r="W976" s="328"/>
      <c r="X976" s="328"/>
      <c r="Y976" s="328"/>
      <c r="Z976" s="328"/>
      <c r="AA976" s="328"/>
      <c r="AB976" s="328"/>
    </row>
    <row r="977" ht="15.75" customHeight="1">
      <c r="B977" s="328"/>
      <c r="C977" s="328"/>
      <c r="D977" s="328"/>
      <c r="E977" s="328"/>
      <c r="F977" s="328"/>
      <c r="G977" s="328"/>
      <c r="H977" s="328"/>
      <c r="I977" s="328"/>
      <c r="J977" s="328"/>
      <c r="K977" s="328"/>
      <c r="L977" s="328"/>
      <c r="M977" s="328"/>
      <c r="R977" s="328"/>
      <c r="S977" s="328"/>
      <c r="T977" s="328"/>
      <c r="U977" s="328"/>
      <c r="V977" s="328"/>
      <c r="W977" s="328"/>
      <c r="X977" s="328"/>
      <c r="Y977" s="328"/>
      <c r="Z977" s="328"/>
      <c r="AA977" s="328"/>
      <c r="AB977" s="328"/>
    </row>
    <row r="978" ht="15.75" customHeight="1">
      <c r="B978" s="328"/>
      <c r="C978" s="328"/>
      <c r="D978" s="328"/>
      <c r="E978" s="328"/>
      <c r="F978" s="328"/>
      <c r="G978" s="328"/>
      <c r="H978" s="328"/>
      <c r="I978" s="328"/>
      <c r="J978" s="328"/>
      <c r="K978" s="328"/>
      <c r="L978" s="328"/>
      <c r="M978" s="328"/>
      <c r="R978" s="328"/>
      <c r="S978" s="328"/>
      <c r="T978" s="328"/>
      <c r="U978" s="328"/>
      <c r="V978" s="328"/>
      <c r="W978" s="328"/>
      <c r="X978" s="328"/>
      <c r="Y978" s="328"/>
      <c r="Z978" s="328"/>
      <c r="AA978" s="328"/>
      <c r="AB978" s="328"/>
    </row>
    <row r="979" ht="15.75" customHeight="1">
      <c r="B979" s="328"/>
      <c r="C979" s="328"/>
      <c r="D979" s="328"/>
      <c r="E979" s="328"/>
      <c r="F979" s="328"/>
      <c r="G979" s="328"/>
      <c r="H979" s="328"/>
      <c r="I979" s="328"/>
      <c r="J979" s="328"/>
      <c r="K979" s="328"/>
      <c r="L979" s="328"/>
      <c r="M979" s="328"/>
      <c r="R979" s="328"/>
      <c r="S979" s="328"/>
      <c r="T979" s="328"/>
      <c r="U979" s="328"/>
      <c r="V979" s="328"/>
      <c r="W979" s="328"/>
      <c r="X979" s="328"/>
      <c r="Y979" s="328"/>
      <c r="Z979" s="328"/>
      <c r="AA979" s="328"/>
      <c r="AB979" s="328"/>
    </row>
    <row r="980" ht="15.75" customHeight="1">
      <c r="B980" s="328"/>
      <c r="C980" s="328"/>
      <c r="D980" s="328"/>
      <c r="E980" s="328"/>
      <c r="F980" s="328"/>
      <c r="G980" s="328"/>
      <c r="H980" s="328"/>
      <c r="I980" s="328"/>
      <c r="J980" s="328"/>
      <c r="K980" s="328"/>
      <c r="L980" s="328"/>
      <c r="M980" s="328"/>
      <c r="R980" s="328"/>
      <c r="S980" s="328"/>
      <c r="T980" s="328"/>
      <c r="U980" s="328"/>
      <c r="V980" s="328"/>
      <c r="W980" s="328"/>
      <c r="X980" s="328"/>
      <c r="Y980" s="328"/>
      <c r="Z980" s="328"/>
      <c r="AA980" s="328"/>
      <c r="AB980" s="328"/>
    </row>
    <row r="981" ht="15.75" customHeight="1">
      <c r="B981" s="328"/>
      <c r="C981" s="328"/>
      <c r="D981" s="328"/>
      <c r="E981" s="328"/>
      <c r="F981" s="328"/>
      <c r="G981" s="328"/>
      <c r="H981" s="328"/>
      <c r="I981" s="328"/>
      <c r="J981" s="328"/>
      <c r="K981" s="328"/>
      <c r="L981" s="328"/>
      <c r="M981" s="328"/>
      <c r="R981" s="328"/>
      <c r="S981" s="328"/>
      <c r="T981" s="328"/>
      <c r="U981" s="328"/>
      <c r="V981" s="328"/>
      <c r="W981" s="328"/>
      <c r="X981" s="328"/>
      <c r="Y981" s="328"/>
      <c r="Z981" s="328"/>
      <c r="AA981" s="328"/>
      <c r="AB981" s="328"/>
    </row>
    <row r="982" ht="15.75" customHeight="1">
      <c r="B982" s="328"/>
      <c r="C982" s="328"/>
      <c r="D982" s="328"/>
      <c r="E982" s="328"/>
      <c r="F982" s="328"/>
      <c r="G982" s="328"/>
      <c r="H982" s="328"/>
      <c r="I982" s="328"/>
      <c r="J982" s="328"/>
      <c r="K982" s="328"/>
      <c r="L982" s="328"/>
      <c r="M982" s="328"/>
      <c r="R982" s="328"/>
      <c r="S982" s="328"/>
      <c r="T982" s="328"/>
      <c r="U982" s="328"/>
      <c r="V982" s="328"/>
      <c r="W982" s="328"/>
      <c r="X982" s="328"/>
      <c r="Y982" s="328"/>
      <c r="Z982" s="328"/>
      <c r="AA982" s="328"/>
      <c r="AB982" s="328"/>
    </row>
    <row r="983" ht="15.75" customHeight="1">
      <c r="B983" s="328"/>
      <c r="C983" s="328"/>
      <c r="D983" s="328"/>
      <c r="E983" s="328"/>
      <c r="F983" s="328"/>
      <c r="G983" s="328"/>
      <c r="H983" s="328"/>
      <c r="I983" s="328"/>
      <c r="J983" s="328"/>
      <c r="K983" s="328"/>
      <c r="L983" s="328"/>
      <c r="M983" s="328"/>
      <c r="R983" s="328"/>
      <c r="S983" s="328"/>
      <c r="T983" s="328"/>
      <c r="U983" s="328"/>
      <c r="V983" s="328"/>
      <c r="W983" s="328"/>
      <c r="X983" s="328"/>
      <c r="Y983" s="328"/>
      <c r="Z983" s="328"/>
      <c r="AA983" s="328"/>
      <c r="AB983" s="328"/>
    </row>
    <row r="984" ht="15.75" customHeight="1">
      <c r="B984" s="328"/>
      <c r="C984" s="328"/>
      <c r="D984" s="328"/>
      <c r="E984" s="328"/>
      <c r="F984" s="328"/>
      <c r="G984" s="328"/>
      <c r="H984" s="328"/>
      <c r="I984" s="328"/>
      <c r="J984" s="328"/>
      <c r="K984" s="328"/>
      <c r="L984" s="328"/>
      <c r="M984" s="328"/>
      <c r="R984" s="328"/>
      <c r="S984" s="328"/>
      <c r="T984" s="328"/>
      <c r="U984" s="328"/>
      <c r="V984" s="328"/>
      <c r="W984" s="328"/>
      <c r="X984" s="328"/>
      <c r="Y984" s="328"/>
      <c r="Z984" s="328"/>
      <c r="AA984" s="328"/>
      <c r="AB984" s="328"/>
    </row>
    <row r="985" ht="15.75" customHeight="1">
      <c r="B985" s="328"/>
      <c r="C985" s="328"/>
      <c r="D985" s="328"/>
      <c r="E985" s="328"/>
      <c r="F985" s="328"/>
      <c r="G985" s="328"/>
      <c r="H985" s="328"/>
      <c r="I985" s="328"/>
      <c r="J985" s="328"/>
      <c r="K985" s="328"/>
      <c r="L985" s="328"/>
      <c r="M985" s="328"/>
      <c r="R985" s="328"/>
      <c r="S985" s="328"/>
      <c r="T985" s="328"/>
      <c r="U985" s="328"/>
      <c r="V985" s="328"/>
      <c r="W985" s="328"/>
      <c r="X985" s="328"/>
      <c r="Y985" s="328"/>
      <c r="Z985" s="328"/>
      <c r="AA985" s="328"/>
      <c r="AB985" s="328"/>
    </row>
    <row r="986" ht="15.75" customHeight="1">
      <c r="B986" s="328"/>
      <c r="C986" s="328"/>
      <c r="D986" s="328"/>
      <c r="E986" s="328"/>
      <c r="F986" s="328"/>
      <c r="G986" s="328"/>
      <c r="H986" s="328"/>
      <c r="I986" s="328"/>
      <c r="J986" s="328"/>
      <c r="K986" s="328"/>
      <c r="L986" s="328"/>
      <c r="M986" s="328"/>
      <c r="R986" s="328"/>
      <c r="S986" s="328"/>
      <c r="T986" s="328"/>
      <c r="U986" s="328"/>
      <c r="V986" s="328"/>
      <c r="W986" s="328"/>
      <c r="X986" s="328"/>
      <c r="Y986" s="328"/>
      <c r="Z986" s="328"/>
      <c r="AA986" s="328"/>
      <c r="AB986" s="328"/>
    </row>
    <row r="987" ht="15.75" customHeight="1">
      <c r="B987" s="328"/>
      <c r="C987" s="328"/>
      <c r="D987" s="328"/>
      <c r="E987" s="328"/>
      <c r="F987" s="328"/>
      <c r="G987" s="328"/>
      <c r="H987" s="328"/>
      <c r="I987" s="328"/>
      <c r="J987" s="328"/>
      <c r="K987" s="328"/>
      <c r="L987" s="328"/>
      <c r="M987" s="328"/>
      <c r="R987" s="328"/>
      <c r="S987" s="328"/>
      <c r="T987" s="328"/>
      <c r="U987" s="328"/>
      <c r="V987" s="328"/>
      <c r="W987" s="328"/>
      <c r="X987" s="328"/>
      <c r="Y987" s="328"/>
      <c r="Z987" s="328"/>
      <c r="AA987" s="328"/>
      <c r="AB987" s="328"/>
    </row>
    <row r="988" ht="15.75" customHeight="1">
      <c r="B988" s="328"/>
      <c r="C988" s="328"/>
      <c r="D988" s="328"/>
      <c r="E988" s="328"/>
      <c r="F988" s="328"/>
      <c r="G988" s="328"/>
      <c r="H988" s="328"/>
      <c r="I988" s="328"/>
      <c r="J988" s="328"/>
      <c r="K988" s="328"/>
      <c r="L988" s="328"/>
      <c r="M988" s="328"/>
      <c r="R988" s="328"/>
      <c r="S988" s="328"/>
      <c r="T988" s="328"/>
      <c r="U988" s="328"/>
      <c r="V988" s="328"/>
      <c r="W988" s="328"/>
      <c r="X988" s="328"/>
      <c r="Y988" s="328"/>
      <c r="Z988" s="328"/>
      <c r="AA988" s="328"/>
      <c r="AB988" s="328"/>
    </row>
    <row r="989" ht="15.75" customHeight="1">
      <c r="B989" s="328"/>
      <c r="C989" s="328"/>
      <c r="D989" s="328"/>
      <c r="E989" s="328"/>
      <c r="F989" s="328"/>
      <c r="G989" s="328"/>
      <c r="H989" s="328"/>
      <c r="I989" s="328"/>
      <c r="J989" s="328"/>
      <c r="K989" s="328"/>
      <c r="L989" s="328"/>
      <c r="M989" s="328"/>
      <c r="R989" s="328"/>
      <c r="S989" s="328"/>
      <c r="T989" s="328"/>
      <c r="U989" s="328"/>
      <c r="V989" s="328"/>
      <c r="W989" s="328"/>
      <c r="X989" s="328"/>
      <c r="Y989" s="328"/>
      <c r="Z989" s="328"/>
      <c r="AA989" s="328"/>
      <c r="AB989" s="328"/>
    </row>
    <row r="990" ht="15.75" customHeight="1">
      <c r="B990" s="328"/>
      <c r="C990" s="328"/>
      <c r="D990" s="328"/>
      <c r="E990" s="328"/>
      <c r="F990" s="328"/>
      <c r="G990" s="328"/>
      <c r="H990" s="328"/>
      <c r="I990" s="328"/>
      <c r="J990" s="328"/>
      <c r="K990" s="328"/>
      <c r="L990" s="328"/>
      <c r="M990" s="328"/>
      <c r="R990" s="328"/>
      <c r="S990" s="328"/>
      <c r="T990" s="328"/>
      <c r="U990" s="328"/>
      <c r="V990" s="328"/>
      <c r="W990" s="328"/>
      <c r="X990" s="328"/>
      <c r="Y990" s="328"/>
      <c r="Z990" s="328"/>
      <c r="AA990" s="328"/>
      <c r="AB990" s="328"/>
    </row>
    <row r="991" ht="15.75" customHeight="1">
      <c r="B991" s="328"/>
      <c r="C991" s="328"/>
      <c r="D991" s="328"/>
      <c r="E991" s="328"/>
      <c r="F991" s="328"/>
      <c r="G991" s="328"/>
      <c r="H991" s="328"/>
      <c r="I991" s="328"/>
      <c r="J991" s="328"/>
      <c r="K991" s="328"/>
      <c r="L991" s="328"/>
      <c r="M991" s="328"/>
      <c r="R991" s="328"/>
      <c r="S991" s="328"/>
      <c r="T991" s="328"/>
      <c r="U991" s="328"/>
      <c r="V991" s="328"/>
      <c r="W991" s="328"/>
      <c r="X991" s="328"/>
      <c r="Y991" s="328"/>
      <c r="Z991" s="328"/>
      <c r="AA991" s="328"/>
      <c r="AB991" s="328"/>
    </row>
    <row r="992" ht="15.75" customHeight="1">
      <c r="B992" s="328"/>
      <c r="C992" s="328"/>
      <c r="D992" s="328"/>
      <c r="E992" s="328"/>
      <c r="F992" s="328"/>
      <c r="G992" s="328"/>
      <c r="H992" s="328"/>
      <c r="I992" s="328"/>
      <c r="J992" s="328"/>
      <c r="K992" s="328"/>
      <c r="L992" s="328"/>
      <c r="M992" s="328"/>
      <c r="R992" s="328"/>
      <c r="S992" s="328"/>
      <c r="T992" s="328"/>
      <c r="U992" s="328"/>
      <c r="V992" s="328"/>
      <c r="W992" s="328"/>
      <c r="X992" s="328"/>
      <c r="Y992" s="328"/>
      <c r="Z992" s="328"/>
      <c r="AA992" s="328"/>
      <c r="AB992" s="328"/>
    </row>
    <row r="993" ht="15.75" customHeight="1">
      <c r="B993" s="328"/>
      <c r="C993" s="328"/>
      <c r="D993" s="328"/>
      <c r="E993" s="328"/>
      <c r="F993" s="328"/>
      <c r="G993" s="328"/>
      <c r="H993" s="328"/>
      <c r="I993" s="328"/>
      <c r="J993" s="328"/>
      <c r="K993" s="328"/>
      <c r="L993" s="328"/>
      <c r="M993" s="328"/>
      <c r="R993" s="328"/>
      <c r="S993" s="328"/>
      <c r="T993" s="328"/>
      <c r="U993" s="328"/>
      <c r="V993" s="328"/>
      <c r="W993" s="328"/>
      <c r="X993" s="328"/>
      <c r="Y993" s="328"/>
      <c r="Z993" s="328"/>
      <c r="AA993" s="328"/>
      <c r="AB993" s="328"/>
    </row>
    <row r="994" ht="15.75" customHeight="1">
      <c r="B994" s="328"/>
      <c r="C994" s="328"/>
      <c r="D994" s="328"/>
      <c r="E994" s="328"/>
      <c r="F994" s="328"/>
      <c r="G994" s="328"/>
      <c r="H994" s="328"/>
      <c r="I994" s="328"/>
      <c r="J994" s="328"/>
      <c r="K994" s="328"/>
      <c r="L994" s="328"/>
      <c r="M994" s="328"/>
      <c r="R994" s="328"/>
      <c r="S994" s="328"/>
      <c r="T994" s="328"/>
      <c r="U994" s="328"/>
      <c r="V994" s="328"/>
      <c r="W994" s="328"/>
      <c r="X994" s="328"/>
      <c r="Y994" s="328"/>
      <c r="Z994" s="328"/>
      <c r="AA994" s="328"/>
      <c r="AB994" s="328"/>
    </row>
    <row r="995" ht="15.75" customHeight="1">
      <c r="B995" s="328"/>
      <c r="C995" s="328"/>
      <c r="D995" s="328"/>
      <c r="E995" s="328"/>
      <c r="F995" s="328"/>
      <c r="G995" s="328"/>
      <c r="H995" s="328"/>
      <c r="I995" s="328"/>
      <c r="J995" s="328"/>
      <c r="K995" s="328"/>
      <c r="L995" s="328"/>
      <c r="M995" s="328"/>
      <c r="R995" s="328"/>
      <c r="S995" s="328"/>
      <c r="T995" s="328"/>
      <c r="U995" s="328"/>
      <c r="V995" s="328"/>
      <c r="W995" s="328"/>
      <c r="X995" s="328"/>
      <c r="Y995" s="328"/>
      <c r="Z995" s="328"/>
      <c r="AA995" s="328"/>
      <c r="AB995" s="328"/>
    </row>
    <row r="996" ht="15.75" customHeight="1">
      <c r="B996" s="328"/>
      <c r="C996" s="328"/>
      <c r="D996" s="328"/>
      <c r="E996" s="328"/>
      <c r="F996" s="328"/>
      <c r="G996" s="328"/>
      <c r="H996" s="328"/>
      <c r="I996" s="328"/>
      <c r="J996" s="328"/>
      <c r="K996" s="328"/>
      <c r="L996" s="328"/>
      <c r="M996" s="328"/>
      <c r="R996" s="328"/>
      <c r="S996" s="328"/>
      <c r="T996" s="328"/>
      <c r="U996" s="328"/>
      <c r="V996" s="328"/>
      <c r="W996" s="328"/>
      <c r="X996" s="328"/>
      <c r="Y996" s="328"/>
      <c r="Z996" s="328"/>
      <c r="AA996" s="328"/>
      <c r="AB996" s="328"/>
    </row>
    <row r="997" ht="15.75" customHeight="1">
      <c r="B997" s="328"/>
      <c r="C997" s="328"/>
      <c r="D997" s="328"/>
      <c r="E997" s="328"/>
      <c r="F997" s="328"/>
      <c r="G997" s="328"/>
      <c r="H997" s="328"/>
      <c r="I997" s="328"/>
      <c r="J997" s="328"/>
      <c r="K997" s="328"/>
      <c r="L997" s="328"/>
      <c r="M997" s="328"/>
      <c r="R997" s="328"/>
      <c r="S997" s="328"/>
      <c r="T997" s="328"/>
      <c r="U997" s="328"/>
      <c r="V997" s="328"/>
      <c r="W997" s="328"/>
      <c r="X997" s="328"/>
      <c r="Y997" s="328"/>
      <c r="Z997" s="328"/>
      <c r="AA997" s="328"/>
      <c r="AB997" s="328"/>
    </row>
    <row r="998" ht="15.75" customHeight="1">
      <c r="B998" s="328"/>
      <c r="C998" s="328"/>
      <c r="D998" s="328"/>
      <c r="E998" s="328"/>
      <c r="F998" s="328"/>
      <c r="G998" s="328"/>
      <c r="H998" s="328"/>
      <c r="I998" s="328"/>
      <c r="J998" s="328"/>
      <c r="K998" s="328"/>
      <c r="L998" s="328"/>
      <c r="M998" s="328"/>
      <c r="R998" s="328"/>
      <c r="S998" s="328"/>
      <c r="T998" s="328"/>
      <c r="U998" s="328"/>
      <c r="V998" s="328"/>
      <c r="W998" s="328"/>
      <c r="X998" s="328"/>
      <c r="Y998" s="328"/>
      <c r="Z998" s="328"/>
      <c r="AA998" s="328"/>
      <c r="AB998" s="328"/>
    </row>
    <row r="999" ht="15.75" customHeight="1">
      <c r="B999" s="328"/>
      <c r="C999" s="328"/>
      <c r="D999" s="328"/>
      <c r="E999" s="328"/>
      <c r="F999" s="328"/>
      <c r="G999" s="328"/>
      <c r="H999" s="328"/>
      <c r="I999" s="328"/>
      <c r="J999" s="328"/>
      <c r="K999" s="328"/>
      <c r="L999" s="328"/>
      <c r="M999" s="328"/>
      <c r="R999" s="328"/>
      <c r="S999" s="328"/>
      <c r="T999" s="328"/>
      <c r="U999" s="328"/>
      <c r="V999" s="328"/>
      <c r="W999" s="328"/>
      <c r="X999" s="328"/>
      <c r="Y999" s="328"/>
      <c r="Z999" s="328"/>
      <c r="AA999" s="328"/>
      <c r="AB999" s="328"/>
    </row>
    <row r="1000" ht="15.75" customHeight="1">
      <c r="B1000" s="328"/>
      <c r="C1000" s="328"/>
      <c r="D1000" s="328"/>
      <c r="E1000" s="328"/>
      <c r="F1000" s="328"/>
      <c r="G1000" s="328"/>
      <c r="H1000" s="328"/>
      <c r="I1000" s="328"/>
      <c r="J1000" s="328"/>
      <c r="K1000" s="328"/>
      <c r="L1000" s="328"/>
      <c r="M1000" s="328"/>
      <c r="R1000" s="328"/>
      <c r="S1000" s="328"/>
      <c r="T1000" s="328"/>
      <c r="U1000" s="328"/>
      <c r="V1000" s="328"/>
      <c r="W1000" s="328"/>
      <c r="X1000" s="328"/>
      <c r="Y1000" s="328"/>
      <c r="Z1000" s="328"/>
      <c r="AA1000" s="328"/>
      <c r="AB1000" s="328"/>
    </row>
  </sheetData>
  <conditionalFormatting sqref="R8:AE32 R37:AE61 R66:AE90 R95:AE119 R124:AE148 R153:AB177 AE153:AE177">
    <cfRule type="cellIs" dxfId="11" priority="1" operator="lessThan">
      <formula>0</formula>
    </cfRule>
  </conditionalFormatting>
  <conditionalFormatting sqref="R8:AE32 R37:AE61 R66:AE90 R95:AE119 R124:AE148 R153:AB177 AE153:AE177">
    <cfRule type="cellIs" dxfId="12" priority="2" operator="greaterThan">
      <formula>0</formula>
    </cfRule>
  </conditionalFormatting>
  <conditionalFormatting sqref="R37:AD61 R66:AD90 R95:AD119 R124:AD148">
    <cfRule type="cellIs" dxfId="11" priority="3" operator="lessThan">
      <formula>0</formula>
    </cfRule>
  </conditionalFormatting>
  <conditionalFormatting sqref="R37:AD61 R66:AD90 R95:AD119 R124:AD148">
    <cfRule type="cellIs" dxfId="12" priority="4" operator="greaterThan">
      <formula>0</formula>
    </cfRule>
  </conditionalFormatting>
  <conditionalFormatting sqref="R66:AD90 R95:AD119 R124:AD148">
    <cfRule type="cellIs" dxfId="11" priority="5" operator="lessThan">
      <formula>0</formula>
    </cfRule>
  </conditionalFormatting>
  <conditionalFormatting sqref="R66:AD90 R95:AD119 R124:AD148">
    <cfRule type="cellIs" dxfId="12" priority="6" operator="greaterThan">
      <formula>0</formula>
    </cfRule>
  </conditionalFormatting>
  <conditionalFormatting sqref="R95:AD119 R124:AD148">
    <cfRule type="cellIs" dxfId="11" priority="7" operator="lessThan">
      <formula>0</formula>
    </cfRule>
  </conditionalFormatting>
  <conditionalFormatting sqref="R95:AD119 R124:AD148">
    <cfRule type="cellIs" dxfId="12" priority="8" operator="greaterThan">
      <formula>0</formula>
    </cfRule>
  </conditionalFormatting>
  <conditionalFormatting sqref="R124:AD148">
    <cfRule type="cellIs" dxfId="11" priority="9" operator="lessThan">
      <formula>0</formula>
    </cfRule>
  </conditionalFormatting>
  <conditionalFormatting sqref="R124:AD148">
    <cfRule type="cellIs" dxfId="12" priority="10" operator="greaterThan">
      <formula>0</formula>
    </cfRule>
  </conditionalFormatting>
  <conditionalFormatting sqref="R153:AD177">
    <cfRule type="cellIs" dxfId="11" priority="11" operator="lessThan">
      <formula>0</formula>
    </cfRule>
  </conditionalFormatting>
  <conditionalFormatting sqref="R153:AD177">
    <cfRule type="cellIs" dxfId="12" priority="1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/>
  </sheetViews>
  <sheetFormatPr customHeight="1" defaultColWidth="12.63" defaultRowHeight="15.0"/>
  <cols>
    <col customWidth="1" min="2" max="2" width="28.38"/>
  </cols>
  <sheetData>
    <row r="1">
      <c r="A1" s="1" t="s">
        <v>1266</v>
      </c>
    </row>
    <row r="3">
      <c r="A3" s="1" t="s">
        <v>1267</v>
      </c>
      <c r="B3" s="1" t="s">
        <v>866</v>
      </c>
      <c r="C3" s="1">
        <v>0.0</v>
      </c>
      <c r="F3" s="589">
        <v>46266.0</v>
      </c>
      <c r="I3" s="1" t="s">
        <v>21</v>
      </c>
      <c r="L3" s="1" t="s">
        <v>22</v>
      </c>
      <c r="O3" s="1" t="s">
        <v>24</v>
      </c>
      <c r="R3" s="1" t="s">
        <v>26</v>
      </c>
    </row>
    <row r="4">
      <c r="C4" s="1" t="s">
        <v>1269</v>
      </c>
      <c r="D4" s="1" t="s">
        <v>1270</v>
      </c>
      <c r="E4" s="1" t="s">
        <v>1271</v>
      </c>
      <c r="F4" s="1" t="s">
        <v>1269</v>
      </c>
      <c r="G4" s="1" t="s">
        <v>1270</v>
      </c>
      <c r="H4" s="1" t="s">
        <v>1271</v>
      </c>
      <c r="I4" s="1" t="s">
        <v>1269</v>
      </c>
      <c r="J4" s="1" t="s">
        <v>1270</v>
      </c>
      <c r="K4" s="1" t="s">
        <v>1271</v>
      </c>
      <c r="L4" s="1" t="s">
        <v>1269</v>
      </c>
      <c r="M4" s="1" t="s">
        <v>1270</v>
      </c>
      <c r="N4" s="1" t="s">
        <v>1271</v>
      </c>
      <c r="O4" s="1" t="s">
        <v>1269</v>
      </c>
      <c r="P4" s="1" t="s">
        <v>1270</v>
      </c>
      <c r="Q4" s="1" t="s">
        <v>1271</v>
      </c>
      <c r="R4" s="1" t="s">
        <v>1269</v>
      </c>
      <c r="S4" s="1" t="s">
        <v>1270</v>
      </c>
      <c r="T4" s="1" t="s">
        <v>1271</v>
      </c>
    </row>
    <row r="5">
      <c r="A5" s="1" t="s">
        <v>1274</v>
      </c>
    </row>
    <row r="6">
      <c r="B6" s="1" t="s">
        <v>1275</v>
      </c>
      <c r="C6" s="590">
        <v>102894.0</v>
      </c>
      <c r="D6" s="590">
        <v>103236.0</v>
      </c>
      <c r="E6" s="250">
        <f>+0.33%</f>
        <v>0.0033</v>
      </c>
      <c r="F6" s="590">
        <v>157641.0</v>
      </c>
      <c r="G6" s="590">
        <v>154944.0</v>
      </c>
      <c r="H6" s="592">
        <v>-0.0171</v>
      </c>
      <c r="I6" s="590">
        <v>122073.0</v>
      </c>
      <c r="J6" s="590">
        <v>121963.0</v>
      </c>
      <c r="K6" s="592">
        <v>-9.0E-4</v>
      </c>
      <c r="L6" s="590">
        <v>101078.0</v>
      </c>
      <c r="M6" s="590">
        <v>102900.0</v>
      </c>
      <c r="N6" s="250">
        <f>+1.8%</f>
        <v>0.018</v>
      </c>
      <c r="O6" s="590">
        <v>65813.0</v>
      </c>
      <c r="P6" s="590">
        <v>62772.0</v>
      </c>
      <c r="Q6" s="592">
        <v>-0.0462</v>
      </c>
      <c r="R6" s="590">
        <v>9596.0</v>
      </c>
      <c r="S6" s="590">
        <v>9017.0</v>
      </c>
      <c r="T6" s="592">
        <v>-0.0603</v>
      </c>
    </row>
    <row r="7">
      <c r="A7" s="1" t="s">
        <v>1281</v>
      </c>
    </row>
    <row r="8">
      <c r="B8" s="1" t="s">
        <v>1282</v>
      </c>
      <c r="C8" s="1" t="s">
        <v>1283</v>
      </c>
      <c r="D8" s="1" t="s">
        <v>1284</v>
      </c>
      <c r="E8" s="592">
        <v>-0.2274</v>
      </c>
      <c r="F8" s="1" t="s">
        <v>1285</v>
      </c>
      <c r="G8" s="1" t="s">
        <v>1286</v>
      </c>
      <c r="H8" s="592">
        <v>-0.0121</v>
      </c>
      <c r="I8" s="1" t="s">
        <v>1288</v>
      </c>
      <c r="J8" s="1" t="s">
        <v>1289</v>
      </c>
      <c r="K8" s="250">
        <f>+9.87%</f>
        <v>0.0987</v>
      </c>
      <c r="L8" s="1" t="s">
        <v>1290</v>
      </c>
      <c r="M8" s="1" t="s">
        <v>1292</v>
      </c>
      <c r="N8" s="250">
        <f>+2.05%</f>
        <v>0.0205</v>
      </c>
      <c r="O8" s="1" t="s">
        <v>1293</v>
      </c>
      <c r="P8" s="1" t="s">
        <v>1294</v>
      </c>
      <c r="Q8" s="592">
        <v>-0.1394</v>
      </c>
      <c r="R8" s="1" t="s">
        <v>1295</v>
      </c>
      <c r="S8" s="1" t="s">
        <v>1296</v>
      </c>
      <c r="T8" s="592">
        <v>-0.3096</v>
      </c>
    </row>
    <row r="9">
      <c r="B9" s="1" t="s">
        <v>1298</v>
      </c>
      <c r="C9" s="1" t="s">
        <v>1299</v>
      </c>
      <c r="D9" s="1" t="s">
        <v>1300</v>
      </c>
      <c r="E9" s="592">
        <v>-0.23</v>
      </c>
      <c r="F9" s="1" t="s">
        <v>1301</v>
      </c>
      <c r="G9" s="1" t="s">
        <v>1302</v>
      </c>
      <c r="H9" s="250">
        <f>+0.51%</f>
        <v>0.0051</v>
      </c>
      <c r="I9" s="1" t="s">
        <v>1304</v>
      </c>
      <c r="J9" s="1" t="s">
        <v>1305</v>
      </c>
      <c r="K9" s="250">
        <f>+9.97%</f>
        <v>0.0997</v>
      </c>
      <c r="L9" s="1" t="s">
        <v>1306</v>
      </c>
      <c r="M9" s="1" t="s">
        <v>1307</v>
      </c>
      <c r="N9" s="250">
        <f>+0.25%</f>
        <v>0.0025</v>
      </c>
      <c r="O9" s="1" t="s">
        <v>1309</v>
      </c>
      <c r="P9" s="1" t="s">
        <v>1310</v>
      </c>
      <c r="Q9" s="592">
        <v>-0.0977</v>
      </c>
      <c r="R9" s="1" t="s">
        <v>1312</v>
      </c>
      <c r="S9" s="1" t="s">
        <v>1313</v>
      </c>
      <c r="T9" s="592">
        <v>-0.2653</v>
      </c>
    </row>
    <row r="10">
      <c r="B10" s="1" t="s">
        <v>1314</v>
      </c>
      <c r="C10" s="592">
        <v>0.0106</v>
      </c>
      <c r="D10" s="592">
        <v>0.0094</v>
      </c>
      <c r="E10" s="592">
        <v>-0.1105</v>
      </c>
      <c r="F10" s="592">
        <v>0.0071</v>
      </c>
      <c r="G10" s="592">
        <v>0.0072</v>
      </c>
      <c r="H10" s="250">
        <f>+0.86%</f>
        <v>0.0086</v>
      </c>
      <c r="I10" s="592">
        <v>0.0188</v>
      </c>
      <c r="J10" s="592">
        <v>0.0197</v>
      </c>
      <c r="K10" s="250">
        <f>+5.16%</f>
        <v>0.0516</v>
      </c>
      <c r="L10" s="592">
        <v>0.026</v>
      </c>
      <c r="M10" s="592">
        <v>0.0265</v>
      </c>
      <c r="N10" s="250">
        <f>+1.86%</f>
        <v>0.0186</v>
      </c>
      <c r="O10" s="592">
        <v>0.0384</v>
      </c>
      <c r="P10" s="592">
        <v>0.0375</v>
      </c>
      <c r="Q10" s="592">
        <v>-0.0244</v>
      </c>
      <c r="R10" s="592">
        <v>0.066</v>
      </c>
      <c r="S10" s="592">
        <v>0.0587</v>
      </c>
      <c r="T10" s="592">
        <v>-0.1105</v>
      </c>
    </row>
    <row r="11">
      <c r="B11" s="1" t="s">
        <v>1318</v>
      </c>
      <c r="C11" s="1" t="s">
        <v>1319</v>
      </c>
      <c r="D11" s="1" t="s">
        <v>1320</v>
      </c>
      <c r="E11" s="592">
        <v>-0.1343</v>
      </c>
      <c r="F11" s="1" t="s">
        <v>1321</v>
      </c>
      <c r="G11" s="1" t="s">
        <v>1322</v>
      </c>
      <c r="H11" s="592">
        <v>-0.0035</v>
      </c>
      <c r="I11" s="1" t="s">
        <v>1324</v>
      </c>
      <c r="J11" s="1" t="s">
        <v>1325</v>
      </c>
      <c r="K11" s="250">
        <f>+4.57%</f>
        <v>0.0457</v>
      </c>
      <c r="L11" s="1" t="s">
        <v>1326</v>
      </c>
      <c r="M11" s="1" t="s">
        <v>1327</v>
      </c>
      <c r="N11" s="592">
        <v>-0.0159</v>
      </c>
      <c r="O11" s="1" t="s">
        <v>1329</v>
      </c>
      <c r="P11" s="1" t="s">
        <v>1330</v>
      </c>
      <c r="Q11" s="592">
        <v>-0.0751</v>
      </c>
      <c r="R11" s="1" t="s">
        <v>1331</v>
      </c>
      <c r="S11" s="1" t="s">
        <v>1332</v>
      </c>
      <c r="T11" s="592">
        <v>-0.174</v>
      </c>
    </row>
    <row r="12">
      <c r="A12" s="1" t="s">
        <v>1333</v>
      </c>
    </row>
    <row r="13">
      <c r="B13" s="1" t="s">
        <v>1335</v>
      </c>
      <c r="C13" s="1">
        <v>18.37</v>
      </c>
      <c r="D13" s="1">
        <v>19.62</v>
      </c>
      <c r="E13" s="250">
        <f>+6.83%</f>
        <v>0.0683</v>
      </c>
      <c r="F13" s="1">
        <v>20.57</v>
      </c>
      <c r="G13" s="1">
        <v>20.67</v>
      </c>
      <c r="H13" s="250">
        <f>+0.47%</f>
        <v>0.0047</v>
      </c>
      <c r="I13" s="1">
        <v>39.44</v>
      </c>
      <c r="J13" s="1">
        <v>41.29</v>
      </c>
      <c r="K13" s="250">
        <f>+4.69%</f>
        <v>0.0469</v>
      </c>
      <c r="L13" s="1">
        <v>60.46</v>
      </c>
      <c r="M13" s="1">
        <v>63.22</v>
      </c>
      <c r="N13" s="250">
        <f>+4.56%</f>
        <v>0.0456</v>
      </c>
      <c r="O13" s="1">
        <v>111.62</v>
      </c>
      <c r="P13" s="1">
        <v>114.53</v>
      </c>
      <c r="Q13" s="250">
        <f>+2.6%</f>
        <v>0.026</v>
      </c>
      <c r="R13" s="1">
        <v>234.95</v>
      </c>
      <c r="S13" s="1">
        <v>240.2</v>
      </c>
      <c r="T13" s="250">
        <f>+2.24%</f>
        <v>0.0224</v>
      </c>
    </row>
    <row r="14">
      <c r="B14" s="1" t="s">
        <v>1340</v>
      </c>
      <c r="C14" s="1">
        <v>10.07</v>
      </c>
      <c r="D14" s="1">
        <v>10.54</v>
      </c>
      <c r="E14" s="250">
        <f>+4.68%</f>
        <v>0.0468</v>
      </c>
      <c r="F14" s="1">
        <v>10.85</v>
      </c>
      <c r="G14" s="1">
        <v>10.68</v>
      </c>
      <c r="H14" s="592">
        <v>-0.0159</v>
      </c>
      <c r="I14" s="1">
        <v>21.89</v>
      </c>
      <c r="J14" s="1">
        <v>22.36</v>
      </c>
      <c r="K14" s="250">
        <f>+2.16%</f>
        <v>0.0216</v>
      </c>
      <c r="L14" s="1">
        <v>35.62</v>
      </c>
      <c r="M14" s="1">
        <v>36.29</v>
      </c>
      <c r="N14" s="250">
        <f>+1.9%</f>
        <v>0.019</v>
      </c>
      <c r="O14" s="1">
        <v>70.0</v>
      </c>
      <c r="P14" s="1">
        <v>71.08</v>
      </c>
      <c r="Q14" s="250">
        <f>+1.55%</f>
        <v>0.0155</v>
      </c>
      <c r="R14" s="1">
        <v>162.46</v>
      </c>
      <c r="S14" s="1">
        <v>166.45</v>
      </c>
      <c r="T14" s="250">
        <f>+2.45%</f>
        <v>0.0245</v>
      </c>
    </row>
    <row r="15">
      <c r="B15" s="1" t="s">
        <v>1345</v>
      </c>
      <c r="C15" s="1">
        <v>6.77</v>
      </c>
      <c r="D15" s="1">
        <v>7.18</v>
      </c>
      <c r="E15" s="250">
        <f>+6.03%</f>
        <v>0.0603</v>
      </c>
      <c r="F15" s="1">
        <v>5.15</v>
      </c>
      <c r="G15" s="1">
        <v>5.1</v>
      </c>
      <c r="H15" s="592">
        <v>-0.0083</v>
      </c>
      <c r="I15" s="1">
        <v>13.53</v>
      </c>
      <c r="J15" s="1">
        <v>13.36</v>
      </c>
      <c r="K15" s="592">
        <v>-0.0124</v>
      </c>
      <c r="L15" s="1">
        <v>25.54</v>
      </c>
      <c r="M15" s="1">
        <v>25.35</v>
      </c>
      <c r="N15" s="592">
        <v>-0.0075</v>
      </c>
      <c r="O15" s="1">
        <v>52.48</v>
      </c>
      <c r="P15" s="1">
        <v>52.1</v>
      </c>
      <c r="Q15" s="592">
        <v>-0.0073</v>
      </c>
      <c r="R15" s="1">
        <v>124.9</v>
      </c>
      <c r="S15" s="1">
        <v>123.66</v>
      </c>
      <c r="T15" s="592">
        <v>-0.0099</v>
      </c>
    </row>
    <row r="16">
      <c r="A16" s="1" t="s">
        <v>1348</v>
      </c>
    </row>
    <row r="17">
      <c r="B17" s="1" t="s">
        <v>1349</v>
      </c>
      <c r="C17" s="1">
        <v>0.0</v>
      </c>
      <c r="D17" s="1">
        <v>0.0</v>
      </c>
      <c r="F17" s="1">
        <v>3.98</v>
      </c>
      <c r="G17" s="1">
        <v>3.99</v>
      </c>
      <c r="H17" s="250">
        <f>+0.21%</f>
        <v>0.0021</v>
      </c>
      <c r="I17" s="1">
        <v>9.59</v>
      </c>
      <c r="J17" s="1">
        <v>9.43</v>
      </c>
      <c r="K17" s="592">
        <v>-0.0168</v>
      </c>
      <c r="L17" s="1">
        <v>16.47</v>
      </c>
      <c r="M17" s="1">
        <v>16.13</v>
      </c>
      <c r="N17" s="592">
        <v>-0.0207</v>
      </c>
      <c r="O17" s="1">
        <v>29.22</v>
      </c>
      <c r="P17" s="1">
        <v>27.81</v>
      </c>
      <c r="Q17" s="592">
        <v>-0.0482</v>
      </c>
      <c r="R17" s="1">
        <v>55.64</v>
      </c>
      <c r="S17" s="1">
        <v>50.15</v>
      </c>
      <c r="T17" s="592">
        <v>-0.0986</v>
      </c>
    </row>
    <row r="18">
      <c r="B18" s="1" t="s">
        <v>1352</v>
      </c>
      <c r="C18" s="1">
        <v>0.0</v>
      </c>
      <c r="D18" s="1">
        <v>0.0</v>
      </c>
      <c r="F18" s="1">
        <v>1.58</v>
      </c>
      <c r="G18" s="1">
        <v>1.48</v>
      </c>
      <c r="H18" s="592">
        <v>-0.0585</v>
      </c>
      <c r="I18" s="1">
        <v>4.05</v>
      </c>
      <c r="J18" s="1">
        <v>4.05</v>
      </c>
      <c r="K18" s="250">
        <f>+0.12%</f>
        <v>0.0012</v>
      </c>
      <c r="L18" s="1">
        <v>6.96</v>
      </c>
      <c r="M18" s="1">
        <v>6.83</v>
      </c>
      <c r="N18" s="592">
        <v>-0.0186</v>
      </c>
      <c r="O18" s="1">
        <v>11.05</v>
      </c>
      <c r="P18" s="1">
        <v>10.49</v>
      </c>
      <c r="Q18" s="592">
        <v>-0.0509</v>
      </c>
      <c r="R18" s="1">
        <v>20.7</v>
      </c>
      <c r="S18" s="1">
        <v>19.57</v>
      </c>
      <c r="T18" s="592">
        <v>-0.0544</v>
      </c>
    </row>
    <row r="19">
      <c r="B19" s="1" t="s">
        <v>1354</v>
      </c>
      <c r="C19" s="1">
        <v>0.0</v>
      </c>
      <c r="D19" s="1">
        <v>0.0</v>
      </c>
      <c r="F19" s="1">
        <v>3.0</v>
      </c>
      <c r="G19" s="1">
        <v>3.0</v>
      </c>
      <c r="H19" s="592">
        <v>0.0</v>
      </c>
      <c r="I19" s="1">
        <v>8.42</v>
      </c>
      <c r="J19" s="1">
        <v>8.15</v>
      </c>
      <c r="K19" s="592">
        <v>-0.0321</v>
      </c>
      <c r="L19" s="1">
        <v>13.14</v>
      </c>
      <c r="M19" s="1">
        <v>12.67</v>
      </c>
      <c r="N19" s="592">
        <v>-0.0359</v>
      </c>
      <c r="O19" s="1">
        <v>21.48</v>
      </c>
      <c r="P19" s="1">
        <v>20.15</v>
      </c>
      <c r="Q19" s="592">
        <v>-0.0619</v>
      </c>
      <c r="R19" s="1">
        <v>39.23</v>
      </c>
      <c r="S19" s="1">
        <v>35.58</v>
      </c>
      <c r="T19" s="592">
        <v>-0.0931</v>
      </c>
    </row>
    <row r="20">
      <c r="B20" s="1" t="s">
        <v>1356</v>
      </c>
      <c r="C20" s="1">
        <v>0.0</v>
      </c>
      <c r="D20" s="1">
        <v>0.0</v>
      </c>
      <c r="F20" s="1">
        <v>5.15</v>
      </c>
      <c r="G20" s="1">
        <v>5.28</v>
      </c>
      <c r="H20" s="250">
        <f>+2.71%</f>
        <v>0.0271</v>
      </c>
      <c r="I20" s="1">
        <v>13.0</v>
      </c>
      <c r="J20" s="1">
        <v>12.97</v>
      </c>
      <c r="K20" s="592">
        <v>-0.0027</v>
      </c>
      <c r="L20" s="1">
        <v>23.05</v>
      </c>
      <c r="M20" s="1">
        <v>22.39</v>
      </c>
      <c r="N20" s="592">
        <v>-0.0287</v>
      </c>
      <c r="O20" s="1">
        <v>40.59</v>
      </c>
      <c r="P20" s="1">
        <v>38.59</v>
      </c>
      <c r="Q20" s="592">
        <v>-0.0491</v>
      </c>
      <c r="R20" s="1">
        <v>74.6</v>
      </c>
      <c r="S20" s="1">
        <v>64.23</v>
      </c>
      <c r="T20" s="592">
        <v>-0.139</v>
      </c>
    </row>
    <row r="21">
      <c r="B21" s="1" t="s">
        <v>1359</v>
      </c>
      <c r="C21" s="1">
        <v>0.0</v>
      </c>
      <c r="D21" s="1">
        <v>0.0</v>
      </c>
      <c r="F21" s="1">
        <v>8.14</v>
      </c>
      <c r="G21" s="1">
        <v>8.19</v>
      </c>
      <c r="H21" s="250">
        <f>+0.6%</f>
        <v>0.006</v>
      </c>
      <c r="I21" s="1">
        <v>18.52</v>
      </c>
      <c r="J21" s="1">
        <v>18.3</v>
      </c>
      <c r="K21" s="592">
        <v>-0.0118</v>
      </c>
      <c r="L21" s="1">
        <v>33.23</v>
      </c>
      <c r="M21" s="1">
        <v>32.57</v>
      </c>
      <c r="N21" s="592">
        <v>-0.0198</v>
      </c>
      <c r="O21" s="1">
        <v>61.76</v>
      </c>
      <c r="P21" s="1">
        <v>58.51</v>
      </c>
      <c r="Q21" s="592">
        <v>-0.0526</v>
      </c>
      <c r="R21" s="1">
        <v>123.25</v>
      </c>
      <c r="S21" s="1">
        <v>110.28</v>
      </c>
      <c r="T21" s="592">
        <v>-0.1052</v>
      </c>
    </row>
    <row r="22">
      <c r="B22" s="1" t="s">
        <v>1362</v>
      </c>
      <c r="C22" s="1">
        <v>0.0</v>
      </c>
      <c r="D22" s="1">
        <v>0.0</v>
      </c>
      <c r="F22" s="1">
        <v>16.32</v>
      </c>
      <c r="G22" s="1">
        <v>16.33</v>
      </c>
      <c r="H22" s="250">
        <f>+0.09%</f>
        <v>0.0009</v>
      </c>
      <c r="I22" s="1">
        <v>34.27</v>
      </c>
      <c r="J22" s="1">
        <v>33.54</v>
      </c>
      <c r="K22" s="592">
        <v>-0.0212</v>
      </c>
      <c r="L22" s="1">
        <v>61.43</v>
      </c>
      <c r="M22" s="1">
        <v>59.98</v>
      </c>
      <c r="N22" s="592">
        <v>-0.0235</v>
      </c>
      <c r="O22" s="1">
        <v>121.6</v>
      </c>
      <c r="P22" s="1">
        <v>117.5</v>
      </c>
      <c r="Q22" s="592">
        <v>-0.0337</v>
      </c>
      <c r="R22" s="1">
        <v>239.85</v>
      </c>
      <c r="S22" s="1">
        <v>222.55</v>
      </c>
      <c r="T22" s="592">
        <v>-0.0721</v>
      </c>
    </row>
    <row r="23">
      <c r="A23" s="1" t="s">
        <v>1364</v>
      </c>
    </row>
    <row r="24">
      <c r="B24" s="1" t="s">
        <v>1365</v>
      </c>
      <c r="C24" s="1">
        <v>0.6088</v>
      </c>
      <c r="D24" s="1">
        <v>0.6143</v>
      </c>
      <c r="E24" s="250">
        <f>+0.9%</f>
        <v>0.009</v>
      </c>
      <c r="F24" s="1">
        <v>0.4758</v>
      </c>
      <c r="G24" s="1">
        <v>0.4787</v>
      </c>
      <c r="H24" s="250">
        <f>+0.6%</f>
        <v>0.006</v>
      </c>
      <c r="I24" s="1">
        <v>0.619</v>
      </c>
      <c r="J24" s="1">
        <v>0.598</v>
      </c>
      <c r="K24" s="592">
        <v>-0.0339</v>
      </c>
      <c r="L24" s="1">
        <v>0.7173</v>
      </c>
      <c r="M24" s="1">
        <v>0.6985</v>
      </c>
      <c r="N24" s="592">
        <v>-0.0262</v>
      </c>
      <c r="O24" s="1">
        <v>0.7498</v>
      </c>
      <c r="P24" s="1">
        <v>0.7327</v>
      </c>
      <c r="Q24" s="592">
        <v>-0.0228</v>
      </c>
      <c r="R24" s="1">
        <v>0.7689</v>
      </c>
      <c r="S24" s="1">
        <v>0.7429</v>
      </c>
      <c r="T24" s="592">
        <v>-0.0338</v>
      </c>
    </row>
    <row r="25">
      <c r="B25" s="1" t="s">
        <v>1368</v>
      </c>
      <c r="C25" s="1">
        <v>0.4913</v>
      </c>
      <c r="D25" s="1">
        <v>0.4917</v>
      </c>
      <c r="E25" s="250">
        <f>+0.08%</f>
        <v>0.0008</v>
      </c>
      <c r="F25" s="1">
        <v>0.6313</v>
      </c>
      <c r="G25" s="1">
        <v>0.6246</v>
      </c>
      <c r="H25" s="592">
        <v>-0.0107</v>
      </c>
      <c r="I25" s="1">
        <v>0.5043</v>
      </c>
      <c r="J25" s="1">
        <v>0.5218</v>
      </c>
      <c r="K25" s="250">
        <f>+3.47%</f>
        <v>0.0347</v>
      </c>
      <c r="L25" s="1">
        <v>0.4057</v>
      </c>
      <c r="M25" s="1">
        <v>0.4227</v>
      </c>
      <c r="N25" s="250">
        <f>+4.19%</f>
        <v>0.0419</v>
      </c>
      <c r="O25" s="1">
        <v>0.3618</v>
      </c>
      <c r="P25" s="1">
        <v>0.3743</v>
      </c>
      <c r="Q25" s="250">
        <f>+3.45%</f>
        <v>0.0345</v>
      </c>
      <c r="R25" s="1">
        <v>0.316</v>
      </c>
      <c r="S25" s="1">
        <v>0.3334</v>
      </c>
      <c r="T25" s="250">
        <f>+5.51%</f>
        <v>0.0551</v>
      </c>
    </row>
    <row r="26">
      <c r="B26" s="1" t="s">
        <v>1372</v>
      </c>
      <c r="C26" s="1">
        <v>0.2536</v>
      </c>
      <c r="D26" s="1">
        <v>0.2629</v>
      </c>
      <c r="E26" s="250">
        <f>+3.65%</f>
        <v>0.0365</v>
      </c>
      <c r="F26" s="1">
        <v>0.3819</v>
      </c>
      <c r="G26" s="1">
        <v>0.3697</v>
      </c>
      <c r="H26" s="592">
        <v>-0.0322</v>
      </c>
      <c r="I26" s="1">
        <v>0.3078</v>
      </c>
      <c r="J26" s="1">
        <v>0.3122</v>
      </c>
      <c r="K26" s="250">
        <f>+1.42%</f>
        <v>0.0142</v>
      </c>
      <c r="L26" s="1">
        <v>0.263</v>
      </c>
      <c r="M26" s="1">
        <v>0.2675</v>
      </c>
      <c r="N26" s="250">
        <f>+1.73%</f>
        <v>0.0173</v>
      </c>
      <c r="O26" s="1">
        <v>0.2381</v>
      </c>
      <c r="P26" s="1">
        <v>0.2409</v>
      </c>
      <c r="Q26" s="250">
        <f>+1.18%</f>
        <v>0.0118</v>
      </c>
      <c r="R26" s="1">
        <v>0.2054</v>
      </c>
      <c r="S26" s="1">
        <v>0.2126</v>
      </c>
      <c r="T26" s="250">
        <f>+3.52%</f>
        <v>0.0352</v>
      </c>
      <c r="V26" s="1" t="s">
        <v>1376</v>
      </c>
    </row>
    <row r="27">
      <c r="B27" s="1" t="s">
        <v>1377</v>
      </c>
      <c r="C27" s="1">
        <v>2.59</v>
      </c>
      <c r="D27" s="1">
        <v>3.0</v>
      </c>
      <c r="E27" s="250">
        <f>+15.86%</f>
        <v>0.1586</v>
      </c>
      <c r="F27" s="1">
        <v>2.11</v>
      </c>
      <c r="G27" s="1">
        <v>2.09</v>
      </c>
      <c r="H27" s="592">
        <v>-0.0074</v>
      </c>
      <c r="I27" s="1">
        <v>1.62</v>
      </c>
      <c r="J27" s="1">
        <v>1.67</v>
      </c>
      <c r="K27" s="250">
        <f>+3.48%</f>
        <v>0.0348</v>
      </c>
      <c r="L27" s="1">
        <v>1.39</v>
      </c>
      <c r="M27" s="1">
        <v>1.43</v>
      </c>
      <c r="N27" s="250">
        <f>+2.68%</f>
        <v>0.0268</v>
      </c>
      <c r="O27" s="1">
        <v>1.33</v>
      </c>
      <c r="P27" s="1">
        <v>1.37</v>
      </c>
      <c r="Q27" s="250">
        <f>+2.32%</f>
        <v>0.0232</v>
      </c>
      <c r="R27" s="1">
        <v>1.3</v>
      </c>
      <c r="S27" s="1">
        <v>1.35</v>
      </c>
      <c r="T27" s="250">
        <f>+3.5%</f>
        <v>0.035</v>
      </c>
      <c r="U27" s="1" t="s">
        <v>1382</v>
      </c>
      <c r="V27" s="1" t="s">
        <v>1383</v>
      </c>
    </row>
    <row r="28">
      <c r="A28" s="1" t="s">
        <v>1385</v>
      </c>
      <c r="U28" s="1" t="s">
        <v>1382</v>
      </c>
      <c r="V28" s="1" t="s">
        <v>1386</v>
      </c>
    </row>
    <row r="29">
      <c r="B29" s="1" t="s">
        <v>1387</v>
      </c>
      <c r="C29" s="1">
        <v>47.81</v>
      </c>
      <c r="D29" s="1">
        <v>48.86</v>
      </c>
      <c r="E29" s="250">
        <f>+2.19%</f>
        <v>0.0219</v>
      </c>
      <c r="F29" s="1">
        <v>47.21</v>
      </c>
      <c r="G29" s="1">
        <v>40.32</v>
      </c>
      <c r="H29" s="592">
        <v>-0.146</v>
      </c>
      <c r="I29" s="1">
        <v>98.06</v>
      </c>
      <c r="J29" s="1">
        <v>84.75</v>
      </c>
      <c r="K29" s="592">
        <v>-0.1357</v>
      </c>
      <c r="L29" s="1">
        <v>169.25</v>
      </c>
      <c r="M29" s="1">
        <v>146.51</v>
      </c>
      <c r="N29" s="592">
        <v>-0.1344</v>
      </c>
      <c r="O29" s="1">
        <v>320.79</v>
      </c>
      <c r="P29" s="1">
        <v>276.66</v>
      </c>
      <c r="Q29" s="592">
        <v>-0.1376</v>
      </c>
      <c r="R29" s="1">
        <v>670.5</v>
      </c>
      <c r="S29" s="1">
        <v>547.05</v>
      </c>
      <c r="T29" s="592">
        <v>-0.1841</v>
      </c>
      <c r="U29" s="1" t="s">
        <v>1382</v>
      </c>
      <c r="V29" s="1" t="s">
        <v>1390</v>
      </c>
    </row>
    <row r="30">
      <c r="B30" s="1" t="s">
        <v>1392</v>
      </c>
      <c r="C30" s="1">
        <v>6.64</v>
      </c>
      <c r="D30" s="1">
        <v>5.33</v>
      </c>
      <c r="E30" s="592">
        <v>-0.1977</v>
      </c>
      <c r="F30" s="1">
        <v>1.6</v>
      </c>
      <c r="G30" s="1">
        <v>1.52</v>
      </c>
      <c r="H30" s="592">
        <v>-0.0512</v>
      </c>
      <c r="I30" s="1">
        <v>5.02</v>
      </c>
      <c r="J30" s="1">
        <v>5.7</v>
      </c>
      <c r="K30" s="250">
        <f>+13.45%</f>
        <v>0.1345</v>
      </c>
      <c r="L30" s="1">
        <v>10.1</v>
      </c>
      <c r="M30" s="1">
        <v>10.33</v>
      </c>
      <c r="N30" s="250">
        <f>+2.29%</f>
        <v>0.0229</v>
      </c>
      <c r="O30" s="1">
        <v>20.87</v>
      </c>
      <c r="P30" s="1">
        <v>19.49</v>
      </c>
      <c r="Q30" s="592">
        <v>-0.0663</v>
      </c>
      <c r="R30" s="1">
        <v>50.07</v>
      </c>
      <c r="S30" s="1">
        <v>36.4</v>
      </c>
      <c r="T30" s="592">
        <v>-0.273</v>
      </c>
      <c r="V30" s="1" t="s">
        <v>1394</v>
      </c>
    </row>
    <row r="31">
      <c r="B31" s="1" t="s">
        <v>1395</v>
      </c>
      <c r="C31" s="1">
        <v>41.17</v>
      </c>
      <c r="D31" s="1">
        <v>43.53</v>
      </c>
      <c r="E31" s="250">
        <f>+5.73%</f>
        <v>0.0573</v>
      </c>
      <c r="F31" s="1">
        <v>45.61</v>
      </c>
      <c r="G31" s="1">
        <v>38.8</v>
      </c>
      <c r="H31" s="592">
        <v>-0.1493</v>
      </c>
      <c r="I31" s="1">
        <v>93.04</v>
      </c>
      <c r="J31" s="1">
        <v>79.05</v>
      </c>
      <c r="K31" s="592">
        <v>-0.1503</v>
      </c>
      <c r="L31" s="1">
        <v>159.15</v>
      </c>
      <c r="M31" s="1">
        <v>136.18</v>
      </c>
      <c r="N31" s="592">
        <v>-0.1443</v>
      </c>
      <c r="O31" s="1">
        <v>299.92</v>
      </c>
      <c r="P31" s="1">
        <v>257.17</v>
      </c>
      <c r="Q31" s="592">
        <v>-0.1425</v>
      </c>
      <c r="R31" s="1">
        <v>620.43</v>
      </c>
      <c r="S31" s="1">
        <v>510.65</v>
      </c>
      <c r="T31" s="592">
        <v>-0.1769</v>
      </c>
      <c r="U31" s="1" t="s">
        <v>1382</v>
      </c>
      <c r="V31" s="1" t="s">
        <v>1398</v>
      </c>
    </row>
    <row r="32">
      <c r="B32" s="1" t="s">
        <v>1399</v>
      </c>
      <c r="C32" s="1">
        <v>31.99</v>
      </c>
      <c r="D32" s="1">
        <v>35.33</v>
      </c>
      <c r="E32" s="250">
        <f>+10.44%</f>
        <v>0.1044</v>
      </c>
      <c r="F32" s="1">
        <v>42.99</v>
      </c>
      <c r="G32" s="1">
        <v>38.06</v>
      </c>
      <c r="H32" s="592">
        <v>-0.1149</v>
      </c>
      <c r="I32" s="1">
        <v>91.67</v>
      </c>
      <c r="J32" s="1">
        <v>81.8</v>
      </c>
      <c r="K32" s="592">
        <v>-0.1077</v>
      </c>
      <c r="L32" s="1">
        <v>162.11</v>
      </c>
      <c r="M32" s="1">
        <v>144.2</v>
      </c>
      <c r="N32" s="592">
        <v>-0.1104</v>
      </c>
      <c r="O32" s="1">
        <v>314.26</v>
      </c>
      <c r="P32" s="1">
        <v>272.58</v>
      </c>
      <c r="Q32" s="592">
        <v>-0.1326</v>
      </c>
      <c r="R32" s="1">
        <v>648.63</v>
      </c>
      <c r="S32" s="1">
        <v>530.96</v>
      </c>
      <c r="T32" s="592">
        <v>-0.1814</v>
      </c>
    </row>
    <row r="33">
      <c r="B33" s="1" t="s">
        <v>1402</v>
      </c>
      <c r="C33" s="1">
        <v>15.82</v>
      </c>
      <c r="D33" s="1">
        <v>13.53</v>
      </c>
      <c r="E33" s="592">
        <v>-0.1448</v>
      </c>
      <c r="F33" s="1">
        <v>4.22</v>
      </c>
      <c r="G33" s="1">
        <v>2.27</v>
      </c>
      <c r="H33" s="592">
        <v>-0.463</v>
      </c>
      <c r="I33" s="1">
        <v>6.39</v>
      </c>
      <c r="J33" s="1">
        <v>2.95</v>
      </c>
      <c r="K33" s="592">
        <v>-0.5376</v>
      </c>
      <c r="L33" s="1">
        <v>7.14</v>
      </c>
      <c r="M33" s="1">
        <v>2.31</v>
      </c>
      <c r="N33" s="592">
        <v>-0.677</v>
      </c>
      <c r="O33" s="1">
        <v>6.53</v>
      </c>
      <c r="P33" s="1">
        <v>4.08</v>
      </c>
      <c r="Q33" s="592">
        <v>-0.375</v>
      </c>
      <c r="R33" s="1">
        <v>21.86</v>
      </c>
      <c r="S33" s="1">
        <v>16.09</v>
      </c>
      <c r="T33" s="592">
        <v>-0.264</v>
      </c>
    </row>
    <row r="34">
      <c r="B34" s="1" t="s">
        <v>1404</v>
      </c>
      <c r="C34" s="1">
        <v>3.04</v>
      </c>
      <c r="D34" s="1">
        <v>3.15</v>
      </c>
      <c r="E34" s="250">
        <f>+3.69%</f>
        <v>0.0369</v>
      </c>
      <c r="F34" s="1">
        <v>3.97</v>
      </c>
      <c r="G34" s="1">
        <v>3.57</v>
      </c>
      <c r="H34" s="592">
        <v>-0.1015</v>
      </c>
      <c r="I34" s="1">
        <v>4.19</v>
      </c>
      <c r="J34" s="1">
        <v>3.66</v>
      </c>
      <c r="K34" s="592">
        <v>-0.1273</v>
      </c>
      <c r="L34" s="1">
        <v>4.55</v>
      </c>
      <c r="M34" s="1">
        <v>3.97</v>
      </c>
      <c r="N34" s="592">
        <v>-0.1277</v>
      </c>
      <c r="O34" s="1">
        <v>4.49</v>
      </c>
      <c r="P34" s="1">
        <v>3.83</v>
      </c>
      <c r="Q34" s="592">
        <v>-0.1467</v>
      </c>
      <c r="R34" s="1">
        <v>4.0</v>
      </c>
      <c r="S34" s="1">
        <v>3.19</v>
      </c>
      <c r="T34" s="592">
        <v>-0.2017</v>
      </c>
    </row>
    <row r="35">
      <c r="B35" s="1" t="s">
        <v>1407</v>
      </c>
      <c r="C35" s="1">
        <v>13.7687</v>
      </c>
      <c r="D35" s="1">
        <v>11.07</v>
      </c>
      <c r="E35" s="592">
        <v>-0.196</v>
      </c>
      <c r="F35" s="1">
        <v>3.5122</v>
      </c>
      <c r="G35" s="1">
        <v>3.9092</v>
      </c>
      <c r="H35" s="250">
        <f>+11.3%</f>
        <v>0.113</v>
      </c>
      <c r="I35" s="1">
        <v>5.2397</v>
      </c>
      <c r="J35" s="1">
        <v>6.9562</v>
      </c>
      <c r="K35" s="250">
        <f>+32.76%</f>
        <v>0.3276</v>
      </c>
      <c r="L35" s="1">
        <v>6.0014</v>
      </c>
      <c r="M35" s="1">
        <v>7.2368</v>
      </c>
      <c r="N35" s="250">
        <f>+20.58%</f>
        <v>0.2058</v>
      </c>
      <c r="O35" s="1">
        <v>6.6494</v>
      </c>
      <c r="P35" s="1">
        <v>7.2721</v>
      </c>
      <c r="Q35" s="250">
        <f>+9.37%</f>
        <v>0.0937</v>
      </c>
      <c r="R35" s="1">
        <v>7.6965</v>
      </c>
      <c r="S35" s="1">
        <v>6.7395</v>
      </c>
      <c r="T35" s="592">
        <v>-0.1243</v>
      </c>
    </row>
    <row r="36">
      <c r="A36" s="1" t="s">
        <v>1412</v>
      </c>
    </row>
    <row r="37">
      <c r="B37" s="1" t="s">
        <v>1414</v>
      </c>
      <c r="C37" s="1">
        <v>13.0</v>
      </c>
      <c r="D37" s="1">
        <v>9.0</v>
      </c>
      <c r="E37" s="592">
        <v>-0.2773</v>
      </c>
      <c r="F37" s="1">
        <v>27.0</v>
      </c>
      <c r="G37" s="1">
        <v>17.0</v>
      </c>
      <c r="H37" s="592">
        <v>-0.3534</v>
      </c>
      <c r="I37" s="1">
        <v>55.0</v>
      </c>
      <c r="J37" s="1">
        <v>35.0</v>
      </c>
      <c r="K37" s="592">
        <v>-0.362</v>
      </c>
      <c r="L37" s="1">
        <v>96.0</v>
      </c>
      <c r="M37" s="1">
        <v>61.0</v>
      </c>
      <c r="N37" s="592">
        <v>-0.3634</v>
      </c>
      <c r="O37" s="1">
        <v>182.0</v>
      </c>
      <c r="P37" s="1">
        <v>115.0</v>
      </c>
      <c r="Q37" s="592">
        <v>-0.3667</v>
      </c>
      <c r="R37" s="1">
        <v>414.0</v>
      </c>
      <c r="S37" s="1">
        <v>256.0</v>
      </c>
      <c r="T37" s="592">
        <v>-0.3813</v>
      </c>
    </row>
    <row r="38">
      <c r="B38" s="1" t="s">
        <v>1416</v>
      </c>
      <c r="C38" s="1">
        <v>26.0</v>
      </c>
      <c r="D38" s="1">
        <v>32.0</v>
      </c>
      <c r="E38" s="250">
        <f>+22.21%</f>
        <v>0.2221</v>
      </c>
      <c r="F38" s="1">
        <v>16.0</v>
      </c>
      <c r="G38" s="1">
        <v>19.0</v>
      </c>
      <c r="H38" s="250">
        <f>+18.41%</f>
        <v>0.1841</v>
      </c>
      <c r="I38" s="1">
        <v>34.0</v>
      </c>
      <c r="J38" s="1">
        <v>40.0</v>
      </c>
      <c r="K38" s="250">
        <f>+18.24%</f>
        <v>0.1824</v>
      </c>
      <c r="L38" s="1">
        <v>59.0</v>
      </c>
      <c r="M38" s="1">
        <v>70.0</v>
      </c>
      <c r="N38" s="250">
        <f>+19.92%</f>
        <v>0.1992</v>
      </c>
      <c r="O38" s="1">
        <v>109.0</v>
      </c>
      <c r="P38" s="1">
        <v>134.0</v>
      </c>
      <c r="Q38" s="250">
        <f>+22.32%</f>
        <v>0.2232</v>
      </c>
      <c r="R38" s="1">
        <v>189.0</v>
      </c>
      <c r="S38" s="1">
        <v>237.0</v>
      </c>
      <c r="T38" s="250">
        <f>+25.74%</f>
        <v>0.2574</v>
      </c>
    </row>
    <row r="39">
      <c r="B39" s="1" t="s">
        <v>1421</v>
      </c>
      <c r="C39" s="1">
        <v>2.0</v>
      </c>
      <c r="D39" s="1">
        <v>2.0</v>
      </c>
      <c r="E39" s="250">
        <f>+2.38%</f>
        <v>0.0238</v>
      </c>
      <c r="F39" s="1">
        <v>2.0</v>
      </c>
      <c r="G39" s="1">
        <v>2.0</v>
      </c>
      <c r="H39" s="592">
        <v>-0.0945</v>
      </c>
      <c r="I39" s="1">
        <v>3.0</v>
      </c>
      <c r="J39" s="1">
        <v>3.0</v>
      </c>
      <c r="K39" s="592">
        <v>-0.0221</v>
      </c>
      <c r="L39" s="1">
        <v>3.0</v>
      </c>
      <c r="M39" s="1">
        <v>3.0</v>
      </c>
      <c r="N39" s="250">
        <f>+7.61%</f>
        <v>0.0761</v>
      </c>
      <c r="O39" s="1">
        <v>4.0</v>
      </c>
      <c r="P39" s="1">
        <v>4.0</v>
      </c>
      <c r="Q39" s="592">
        <v>-0.0362</v>
      </c>
      <c r="R39" s="1">
        <v>5.0</v>
      </c>
      <c r="S39" s="1">
        <v>5.0</v>
      </c>
      <c r="T39" s="592">
        <v>-0.0662</v>
      </c>
    </row>
    <row r="40">
      <c r="B40" s="1" t="s">
        <v>1424</v>
      </c>
      <c r="C40" s="1">
        <v>7.0</v>
      </c>
      <c r="D40" s="1">
        <v>5.0</v>
      </c>
      <c r="E40" s="592">
        <v>-0.1976</v>
      </c>
      <c r="F40" s="1">
        <v>2.0</v>
      </c>
      <c r="G40" s="1">
        <v>2.0</v>
      </c>
      <c r="H40" s="592">
        <v>-0.0512</v>
      </c>
      <c r="I40" s="1">
        <v>5.0</v>
      </c>
      <c r="J40" s="1">
        <v>6.0</v>
      </c>
      <c r="K40" s="250">
        <f>+13.49%</f>
        <v>0.1349</v>
      </c>
      <c r="L40" s="1">
        <v>10.0</v>
      </c>
      <c r="M40" s="1">
        <v>10.0</v>
      </c>
      <c r="N40" s="250">
        <f>+2.26%</f>
        <v>0.0226</v>
      </c>
      <c r="O40" s="1">
        <v>21.0</v>
      </c>
      <c r="P40" s="1">
        <v>19.0</v>
      </c>
      <c r="Q40" s="592">
        <v>-0.0662</v>
      </c>
      <c r="R40" s="1">
        <v>50.0</v>
      </c>
      <c r="S40" s="1">
        <v>36.0</v>
      </c>
      <c r="T40" s="592">
        <v>-0.2734</v>
      </c>
    </row>
    <row r="41">
      <c r="B41" s="1" t="s">
        <v>1428</v>
      </c>
      <c r="C41" s="1">
        <v>0.0</v>
      </c>
      <c r="D41" s="1">
        <v>0.0</v>
      </c>
      <c r="E41" s="250">
        <f>+9.3%</f>
        <v>0.093</v>
      </c>
      <c r="F41" s="1">
        <v>1.0</v>
      </c>
      <c r="G41" s="1">
        <v>1.0</v>
      </c>
      <c r="H41" s="592">
        <v>-0.0316</v>
      </c>
      <c r="I41" s="1">
        <v>1.0</v>
      </c>
      <c r="J41" s="1">
        <v>1.0</v>
      </c>
      <c r="K41" s="592">
        <v>-0.0331</v>
      </c>
      <c r="L41" s="1">
        <v>2.0</v>
      </c>
      <c r="M41" s="1">
        <v>2.0</v>
      </c>
      <c r="N41" s="592">
        <v>-0.0139</v>
      </c>
      <c r="O41" s="1">
        <v>5.0</v>
      </c>
      <c r="P41" s="1">
        <v>4.0</v>
      </c>
      <c r="Q41" s="592">
        <v>-0.0335</v>
      </c>
      <c r="R41" s="1">
        <v>13.0</v>
      </c>
      <c r="S41" s="1">
        <v>13.0</v>
      </c>
      <c r="T41" s="592">
        <v>-0.0208</v>
      </c>
    </row>
    <row r="42">
      <c r="A42" s="1" t="s">
        <v>1430</v>
      </c>
    </row>
    <row r="43">
      <c r="B43" s="1" t="s">
        <v>1432</v>
      </c>
      <c r="C43" s="1">
        <v>202.0</v>
      </c>
      <c r="D43" s="1">
        <v>199.0</v>
      </c>
      <c r="E43" s="592">
        <v>-0.0127</v>
      </c>
      <c r="F43" s="1">
        <v>202.0</v>
      </c>
      <c r="G43" s="1">
        <v>200.0</v>
      </c>
      <c r="H43" s="592">
        <v>-0.0086</v>
      </c>
      <c r="I43" s="1">
        <v>242.0</v>
      </c>
      <c r="J43" s="1">
        <v>221.0</v>
      </c>
      <c r="K43" s="592">
        <v>-0.0879</v>
      </c>
      <c r="L43" s="1">
        <v>286.0</v>
      </c>
      <c r="M43" s="1">
        <v>254.0</v>
      </c>
      <c r="N43" s="592">
        <v>-0.113</v>
      </c>
      <c r="O43" s="1">
        <v>355.0</v>
      </c>
      <c r="P43" s="1">
        <v>314.0</v>
      </c>
      <c r="Q43" s="592">
        <v>-0.1156</v>
      </c>
      <c r="R43" s="1">
        <v>473.0</v>
      </c>
      <c r="S43" s="1">
        <v>413.0</v>
      </c>
      <c r="T43" s="592">
        <v>-0.1275</v>
      </c>
    </row>
    <row r="44">
      <c r="B44" s="1" t="s">
        <v>1434</v>
      </c>
      <c r="C44" s="1">
        <v>498.0</v>
      </c>
      <c r="D44" s="1">
        <v>419.0</v>
      </c>
      <c r="E44" s="592">
        <v>-0.1594</v>
      </c>
      <c r="F44" s="1">
        <v>352.0</v>
      </c>
      <c r="G44" s="1">
        <v>315.0</v>
      </c>
      <c r="H44" s="592">
        <v>-0.1038</v>
      </c>
      <c r="I44" s="1">
        <v>426.0</v>
      </c>
      <c r="J44" s="1">
        <v>367.0</v>
      </c>
      <c r="K44" s="592">
        <v>-0.1385</v>
      </c>
      <c r="L44" s="1">
        <v>509.0</v>
      </c>
      <c r="M44" s="1">
        <v>431.0</v>
      </c>
      <c r="N44" s="592">
        <v>-0.1531</v>
      </c>
      <c r="O44" s="1">
        <v>657.0</v>
      </c>
      <c r="P44" s="1">
        <v>550.0</v>
      </c>
      <c r="Q44" s="592">
        <v>-0.1637</v>
      </c>
      <c r="R44" s="1">
        <v>898.0</v>
      </c>
      <c r="S44" s="1">
        <v>751.0</v>
      </c>
      <c r="T44" s="592">
        <v>-0.1644</v>
      </c>
    </row>
    <row r="45">
      <c r="B45" s="1" t="s">
        <v>1436</v>
      </c>
      <c r="C45" s="590">
        <v>3481.0</v>
      </c>
      <c r="D45" s="590">
        <v>2864.0</v>
      </c>
      <c r="E45" s="592">
        <v>-0.1774</v>
      </c>
      <c r="F45" s="590">
        <v>1256.0</v>
      </c>
      <c r="G45" s="590">
        <v>1137.0</v>
      </c>
      <c r="H45" s="592">
        <v>-0.0949</v>
      </c>
      <c r="I45" s="590">
        <v>1291.0</v>
      </c>
      <c r="J45" s="590">
        <v>1049.0</v>
      </c>
      <c r="K45" s="592">
        <v>-0.1873</v>
      </c>
      <c r="L45" s="590">
        <v>1221.0</v>
      </c>
      <c r="M45" s="590">
        <v>1042.0</v>
      </c>
      <c r="N45" s="592">
        <v>-0.1461</v>
      </c>
      <c r="O45" s="590">
        <v>1545.0</v>
      </c>
      <c r="P45" s="590">
        <v>1246.0</v>
      </c>
      <c r="Q45" s="592">
        <v>-0.1935</v>
      </c>
      <c r="R45" s="590">
        <v>1777.0</v>
      </c>
      <c r="S45" s="590">
        <v>1496.0</v>
      </c>
      <c r="T45" s="592">
        <v>-0.1585</v>
      </c>
    </row>
    <row r="46">
      <c r="B46" s="1" t="s">
        <v>1438</v>
      </c>
      <c r="C46" s="590">
        <v>28566.0</v>
      </c>
      <c r="D46" s="590">
        <v>26454.0</v>
      </c>
      <c r="E46" s="592">
        <v>-0.0739</v>
      </c>
      <c r="F46" s="590">
        <v>18991.0</v>
      </c>
      <c r="G46" s="590">
        <v>17674.0</v>
      </c>
      <c r="H46" s="592">
        <v>-0.0693</v>
      </c>
      <c r="I46" s="590">
        <v>19747.0</v>
      </c>
      <c r="J46" s="590">
        <v>17756.0</v>
      </c>
      <c r="K46" s="592">
        <v>-0.1008</v>
      </c>
      <c r="L46" s="590">
        <v>17159.0</v>
      </c>
      <c r="M46" s="590">
        <v>15187.0</v>
      </c>
      <c r="N46" s="592">
        <v>-0.1149</v>
      </c>
      <c r="O46" s="590">
        <v>15182.0</v>
      </c>
      <c r="P46" s="590">
        <v>14361.0</v>
      </c>
      <c r="Q46" s="592">
        <v>-0.0541</v>
      </c>
      <c r="R46" s="590">
        <v>14338.0</v>
      </c>
      <c r="S46" s="590">
        <v>11896.0</v>
      </c>
      <c r="T46" s="592">
        <v>-0.1703</v>
      </c>
    </row>
    <row r="47">
      <c r="A47" s="1" t="s">
        <v>1441</v>
      </c>
    </row>
    <row r="48">
      <c r="B48" s="1" t="s">
        <v>1442</v>
      </c>
      <c r="C48" s="1">
        <v>1.577</v>
      </c>
      <c r="D48" s="1">
        <v>2.3067</v>
      </c>
      <c r="E48" s="250">
        <f>+46.26%</f>
        <v>0.4626</v>
      </c>
      <c r="F48" s="1">
        <v>2.7067</v>
      </c>
      <c r="G48" s="1">
        <v>2.951</v>
      </c>
      <c r="H48" s="250">
        <f>+9.03%</f>
        <v>0.0903</v>
      </c>
      <c r="I48" s="1">
        <v>5.7024</v>
      </c>
      <c r="J48" s="1">
        <v>5.7627</v>
      </c>
      <c r="K48" s="250">
        <f>+1.06%</f>
        <v>0.0106</v>
      </c>
      <c r="L48" s="1">
        <v>9.2773</v>
      </c>
      <c r="M48" s="1">
        <v>8.6534</v>
      </c>
      <c r="N48" s="592">
        <v>-0.0673</v>
      </c>
      <c r="O48" s="1">
        <v>16.3449</v>
      </c>
      <c r="P48" s="1">
        <v>13.9632</v>
      </c>
      <c r="Q48" s="592">
        <v>-0.1457</v>
      </c>
      <c r="R48" s="1">
        <v>34.4474</v>
      </c>
      <c r="S48" s="1">
        <v>31.1075</v>
      </c>
      <c r="T48" s="592">
        <v>-0.097</v>
      </c>
    </row>
    <row r="49">
      <c r="B49" s="1" t="s">
        <v>1446</v>
      </c>
      <c r="C49" s="1">
        <v>0.0681</v>
      </c>
      <c r="D49" s="1">
        <v>0.0643</v>
      </c>
      <c r="E49" s="592">
        <v>-0.0549</v>
      </c>
      <c r="F49" s="1">
        <v>0.0402</v>
      </c>
      <c r="G49" s="1">
        <v>0.0389</v>
      </c>
      <c r="H49" s="592">
        <v>-0.0309</v>
      </c>
      <c r="I49" s="1">
        <v>0.1087</v>
      </c>
      <c r="J49" s="1">
        <v>0.1098</v>
      </c>
      <c r="K49" s="250">
        <f>+1.01%</f>
        <v>0.0101</v>
      </c>
      <c r="L49" s="1">
        <v>0.2058</v>
      </c>
      <c r="M49" s="1">
        <v>0.1814</v>
      </c>
      <c r="N49" s="592">
        <v>-0.1184</v>
      </c>
      <c r="O49" s="1">
        <v>0.4077</v>
      </c>
      <c r="P49" s="1">
        <v>0.3413</v>
      </c>
      <c r="Q49" s="592">
        <v>-0.163</v>
      </c>
      <c r="R49" s="1">
        <v>0.819</v>
      </c>
      <c r="S49" s="1">
        <v>0.496</v>
      </c>
      <c r="T49" s="592">
        <v>-0.3944</v>
      </c>
    </row>
    <row r="50">
      <c r="B50" s="1" t="s">
        <v>1449</v>
      </c>
      <c r="C50" s="1">
        <v>1.509</v>
      </c>
      <c r="D50" s="1">
        <v>2.2423</v>
      </c>
      <c r="E50" s="250">
        <f>+48.6%</f>
        <v>0.486</v>
      </c>
      <c r="F50" s="1">
        <v>2.6665</v>
      </c>
      <c r="G50" s="1">
        <v>2.9121</v>
      </c>
      <c r="H50" s="250">
        <f>+9.21%</f>
        <v>0.0921</v>
      </c>
      <c r="I50" s="1">
        <v>5.5937</v>
      </c>
      <c r="J50" s="1">
        <v>5.6529</v>
      </c>
      <c r="K50" s="250">
        <f>+1.06%</f>
        <v>0.0106</v>
      </c>
      <c r="L50" s="1">
        <v>9.0716</v>
      </c>
      <c r="M50" s="1">
        <v>8.472</v>
      </c>
      <c r="N50" s="592">
        <v>-0.0661</v>
      </c>
      <c r="O50" s="1">
        <v>15.9372</v>
      </c>
      <c r="P50" s="1">
        <v>13.6219</v>
      </c>
      <c r="Q50" s="592">
        <v>-0.1453</v>
      </c>
      <c r="R50" s="1">
        <v>33.6284</v>
      </c>
      <c r="S50" s="1">
        <v>30.6115</v>
      </c>
      <c r="T50" s="592">
        <v>-0.0897</v>
      </c>
    </row>
    <row r="51">
      <c r="B51" s="1" t="s">
        <v>1453</v>
      </c>
      <c r="C51" s="1">
        <v>1.1675</v>
      </c>
      <c r="D51" s="1">
        <v>1.4701</v>
      </c>
      <c r="E51" s="250">
        <f>+25.92%</f>
        <v>0.2592</v>
      </c>
      <c r="F51" s="1">
        <v>2.3243</v>
      </c>
      <c r="G51" s="1">
        <v>2.4142</v>
      </c>
      <c r="H51" s="250">
        <f>+3.87%</f>
        <v>0.0387</v>
      </c>
      <c r="I51" s="1">
        <v>4.7018</v>
      </c>
      <c r="J51" s="1">
        <v>4.8289</v>
      </c>
      <c r="K51" s="250">
        <f>+2.7%</f>
        <v>0.027</v>
      </c>
      <c r="L51" s="1">
        <v>7.479</v>
      </c>
      <c r="M51" s="1">
        <v>7.2444</v>
      </c>
      <c r="N51" s="592">
        <v>-0.0314</v>
      </c>
      <c r="O51" s="1">
        <v>13.7575</v>
      </c>
      <c r="P51" s="1">
        <v>12.0162</v>
      </c>
      <c r="Q51" s="592">
        <v>-0.1266</v>
      </c>
      <c r="R51" s="1">
        <v>31.356</v>
      </c>
      <c r="S51" s="1">
        <v>26.3933</v>
      </c>
      <c r="T51" s="592">
        <v>-0.1583</v>
      </c>
    </row>
    <row r="52">
      <c r="B52" s="1" t="s">
        <v>1456</v>
      </c>
      <c r="C52" s="1">
        <v>0.4096</v>
      </c>
      <c r="D52" s="1">
        <v>0.8366</v>
      </c>
      <c r="E52" s="250">
        <f>+104.25%</f>
        <v>1.0425</v>
      </c>
      <c r="F52" s="1">
        <v>0.3823</v>
      </c>
      <c r="G52" s="1">
        <v>0.5368</v>
      </c>
      <c r="H52" s="250">
        <f>+40.38%</f>
        <v>0.4038</v>
      </c>
      <c r="I52" s="1">
        <v>1.0006</v>
      </c>
      <c r="J52" s="1">
        <v>0.9338</v>
      </c>
      <c r="K52" s="592">
        <v>-0.0667</v>
      </c>
      <c r="L52" s="1">
        <v>1.7983</v>
      </c>
      <c r="M52" s="1">
        <v>1.409</v>
      </c>
      <c r="N52" s="592">
        <v>-0.2165</v>
      </c>
      <c r="O52" s="1">
        <v>2.5874</v>
      </c>
      <c r="P52" s="1">
        <v>1.947</v>
      </c>
      <c r="Q52" s="592">
        <v>-0.2475</v>
      </c>
      <c r="R52" s="1">
        <v>3.0914</v>
      </c>
      <c r="S52" s="1">
        <v>4.7142</v>
      </c>
      <c r="T52" s="250">
        <f>+52.49%</f>
        <v>0.5249</v>
      </c>
    </row>
    <row r="53">
      <c r="B53" s="1" t="s">
        <v>1458</v>
      </c>
      <c r="C53" s="1">
        <v>0.1221</v>
      </c>
      <c r="D53" s="1">
        <v>0.1447</v>
      </c>
      <c r="E53" s="250">
        <f>+18.5%</f>
        <v>0.185</v>
      </c>
      <c r="F53" s="1">
        <v>0.2142</v>
      </c>
      <c r="G53" s="1">
        <v>0.2261</v>
      </c>
      <c r="H53" s="250">
        <f>+5.54%</f>
        <v>0.0554</v>
      </c>
      <c r="I53" s="1">
        <v>0.2149</v>
      </c>
      <c r="J53" s="1">
        <v>0.2159</v>
      </c>
      <c r="K53" s="250">
        <f>+0.44%</f>
        <v>0.0044</v>
      </c>
      <c r="L53" s="1">
        <v>0.2099</v>
      </c>
      <c r="M53" s="1">
        <v>0.1994</v>
      </c>
      <c r="N53" s="592">
        <v>-0.0504</v>
      </c>
      <c r="O53" s="1">
        <v>0.1965</v>
      </c>
      <c r="P53" s="1">
        <v>0.1688</v>
      </c>
      <c r="Q53" s="592">
        <v>-0.1411</v>
      </c>
      <c r="R53" s="1">
        <v>0.1931</v>
      </c>
      <c r="S53" s="1">
        <v>0.1585</v>
      </c>
      <c r="T53" s="592">
        <v>-0.1794</v>
      </c>
    </row>
    <row r="55">
      <c r="A55" s="1" t="s">
        <v>1461</v>
      </c>
    </row>
    <row r="56">
      <c r="F56" s="1" t="s">
        <v>1462</v>
      </c>
      <c r="G56" s="1" t="s">
        <v>883</v>
      </c>
      <c r="H56" s="1" t="s">
        <v>1271</v>
      </c>
      <c r="I56" s="1" t="s">
        <v>1462</v>
      </c>
      <c r="J56" s="1" t="s">
        <v>883</v>
      </c>
      <c r="K56" s="1" t="s">
        <v>1271</v>
      </c>
      <c r="L56" s="1" t="s">
        <v>1462</v>
      </c>
      <c r="M56" s="1" t="s">
        <v>883</v>
      </c>
      <c r="N56" s="1" t="s">
        <v>1271</v>
      </c>
      <c r="O56" s="1" t="s">
        <v>1462</v>
      </c>
      <c r="P56" s="1" t="s">
        <v>883</v>
      </c>
      <c r="Q56" s="1" t="s">
        <v>1271</v>
      </c>
      <c r="R56" s="1" t="s">
        <v>1462</v>
      </c>
      <c r="S56" s="1" t="s">
        <v>883</v>
      </c>
      <c r="T56" s="1" t="s">
        <v>1271</v>
      </c>
    </row>
    <row r="57">
      <c r="B57" s="1" t="s">
        <v>1464</v>
      </c>
      <c r="D57" s="592">
        <v>0.0794</v>
      </c>
      <c r="F57" s="592">
        <v>0.4265</v>
      </c>
      <c r="G57" s="592">
        <v>0.3457</v>
      </c>
      <c r="H57" s="592">
        <v>-0.1895</v>
      </c>
      <c r="I57" s="592">
        <v>0.6422</v>
      </c>
      <c r="J57" s="592">
        <v>0.3999</v>
      </c>
      <c r="K57" s="592">
        <v>-0.3772</v>
      </c>
      <c r="L57" s="592">
        <v>0.6713</v>
      </c>
      <c r="M57" s="592">
        <v>0.3999</v>
      </c>
      <c r="N57" s="592">
        <v>-0.4044</v>
      </c>
      <c r="O57" s="592">
        <v>0.6948</v>
      </c>
      <c r="P57" s="592">
        <v>0.4213</v>
      </c>
      <c r="Q57" s="592">
        <v>-0.3935</v>
      </c>
      <c r="R57" s="592">
        <v>0.6956</v>
      </c>
      <c r="S57" s="592">
        <v>0.6311</v>
      </c>
      <c r="T57" s="592">
        <v>-0.0926</v>
      </c>
    </row>
    <row r="58">
      <c r="B58" s="1" t="s">
        <v>1466</v>
      </c>
      <c r="D58" s="592">
        <v>0.0794</v>
      </c>
      <c r="F58" s="592">
        <v>0.4265</v>
      </c>
      <c r="G58" s="592">
        <v>0.3456</v>
      </c>
      <c r="H58" s="592">
        <v>-0.1895</v>
      </c>
      <c r="I58" s="592">
        <v>0.6422</v>
      </c>
      <c r="J58" s="592">
        <v>0.3999</v>
      </c>
      <c r="K58" s="592">
        <v>-0.3772</v>
      </c>
      <c r="L58" s="592">
        <v>0.6713</v>
      </c>
      <c r="M58" s="592">
        <v>0.3999</v>
      </c>
      <c r="N58" s="592">
        <v>-0.4044</v>
      </c>
      <c r="O58" s="592">
        <v>0.6948</v>
      </c>
      <c r="P58" s="592">
        <v>0.4213</v>
      </c>
      <c r="Q58" s="592">
        <v>-0.3935</v>
      </c>
      <c r="R58" s="592">
        <v>0.6956</v>
      </c>
      <c r="S58" s="592">
        <v>0.6311</v>
      </c>
      <c r="T58" s="592">
        <v>-0.0926</v>
      </c>
    </row>
    <row r="59">
      <c r="B59" s="1" t="s">
        <v>1468</v>
      </c>
      <c r="D59" s="592">
        <v>0.0475</v>
      </c>
      <c r="F59" s="592">
        <v>0.2076</v>
      </c>
      <c r="G59" s="592">
        <v>0.1605</v>
      </c>
      <c r="H59" s="592">
        <v>-0.2266</v>
      </c>
      <c r="I59" s="592">
        <v>0.4486</v>
      </c>
      <c r="J59" s="592">
        <v>0.232</v>
      </c>
      <c r="K59" s="592">
        <v>-0.4829</v>
      </c>
      <c r="L59" s="592">
        <v>0.4482</v>
      </c>
      <c r="M59" s="592">
        <v>0.2174</v>
      </c>
      <c r="N59" s="592">
        <v>-0.515</v>
      </c>
      <c r="O59" s="592">
        <v>0.4947</v>
      </c>
      <c r="P59" s="592">
        <v>0.2562</v>
      </c>
      <c r="Q59" s="592">
        <v>-0.4821</v>
      </c>
      <c r="R59" s="592">
        <v>0.4961</v>
      </c>
      <c r="S59" s="592">
        <v>0.4954</v>
      </c>
      <c r="T59" s="592">
        <v>-0.0015</v>
      </c>
    </row>
    <row r="60">
      <c r="B60" s="1" t="s">
        <v>1471</v>
      </c>
      <c r="D60" s="592">
        <v>0.0251</v>
      </c>
      <c r="F60" s="592">
        <v>0.0836</v>
      </c>
      <c r="G60" s="592">
        <v>0.0491</v>
      </c>
      <c r="H60" s="592">
        <v>-0.4126</v>
      </c>
      <c r="I60" s="592">
        <v>0.2556</v>
      </c>
      <c r="J60" s="592">
        <v>0.1091</v>
      </c>
      <c r="K60" s="592">
        <v>-0.5731</v>
      </c>
      <c r="L60" s="592">
        <v>0.2976</v>
      </c>
      <c r="M60" s="592">
        <v>0.1116</v>
      </c>
      <c r="N60" s="592">
        <v>-0.6251</v>
      </c>
      <c r="O60" s="592">
        <v>0.3404</v>
      </c>
      <c r="P60" s="592">
        <v>0.1594</v>
      </c>
      <c r="Q60" s="592">
        <v>-0.5318</v>
      </c>
      <c r="R60" s="592">
        <v>0.3671</v>
      </c>
      <c r="S60" s="592">
        <v>0.4235</v>
      </c>
      <c r="T60" s="250">
        <f>+15.39%</f>
        <v>0.1539</v>
      </c>
    </row>
    <row r="62">
      <c r="A62" s="1" t="s">
        <v>47</v>
      </c>
    </row>
    <row r="63">
      <c r="B63" s="1" t="s">
        <v>1475</v>
      </c>
      <c r="C63" s="1">
        <v>0.2277</v>
      </c>
      <c r="D63" s="1">
        <v>0.2892</v>
      </c>
      <c r="E63" s="250">
        <f>+26.99%</f>
        <v>0.2699</v>
      </c>
      <c r="F63" s="1">
        <v>0.5969</v>
      </c>
      <c r="G63" s="1">
        <v>0.7955</v>
      </c>
      <c r="H63" s="250">
        <f>+33.27%</f>
        <v>0.3327</v>
      </c>
      <c r="I63" s="1">
        <v>1.2866</v>
      </c>
      <c r="J63" s="1">
        <v>1.2943</v>
      </c>
      <c r="K63" s="250">
        <f>+0.6%</f>
        <v>0.006</v>
      </c>
      <c r="L63" s="1">
        <v>2.0357</v>
      </c>
      <c r="M63" s="1">
        <v>1.7453</v>
      </c>
      <c r="N63" s="592">
        <v>-0.1427</v>
      </c>
      <c r="O63" s="1">
        <v>3.6273</v>
      </c>
      <c r="P63" s="1">
        <v>2.6518</v>
      </c>
      <c r="Q63" s="592">
        <v>-0.2689</v>
      </c>
      <c r="R63" s="1">
        <v>7.58</v>
      </c>
      <c r="S63" s="1">
        <v>4.8037</v>
      </c>
      <c r="T63" s="592">
        <v>-0.3663</v>
      </c>
    </row>
    <row r="64">
      <c r="B64" s="1" t="s">
        <v>1480</v>
      </c>
      <c r="C64" s="1">
        <v>0.0098</v>
      </c>
      <c r="D64" s="1">
        <v>0.0096</v>
      </c>
      <c r="E64" s="592">
        <v>-0.0217</v>
      </c>
      <c r="F64" s="1">
        <v>0.0098</v>
      </c>
      <c r="G64" s="1">
        <v>0.0099</v>
      </c>
      <c r="H64" s="250">
        <f>+1.61%</f>
        <v>0.0161</v>
      </c>
      <c r="I64" s="1">
        <v>0.0227</v>
      </c>
      <c r="J64" s="1">
        <v>0.0258</v>
      </c>
      <c r="K64" s="250">
        <f>+13.74%</f>
        <v>0.1374</v>
      </c>
      <c r="L64" s="1">
        <v>0.0409</v>
      </c>
      <c r="M64" s="1">
        <v>0.0343</v>
      </c>
      <c r="N64" s="592">
        <v>-0.1623</v>
      </c>
      <c r="O64" s="1">
        <v>0.0711</v>
      </c>
      <c r="P64" s="1">
        <v>0.0583</v>
      </c>
      <c r="Q64" s="592">
        <v>-0.1808</v>
      </c>
      <c r="R64" s="1">
        <v>0.1192</v>
      </c>
      <c r="S64" s="1">
        <v>0.0702</v>
      </c>
      <c r="T64" s="592">
        <v>-0.4112</v>
      </c>
    </row>
    <row r="65">
      <c r="B65" s="1" t="s">
        <v>1484</v>
      </c>
      <c r="C65" s="1">
        <v>0.2179</v>
      </c>
      <c r="D65" s="1">
        <v>0.2796</v>
      </c>
      <c r="E65" s="250">
        <f>+28.3%</f>
        <v>0.283</v>
      </c>
      <c r="F65" s="1">
        <v>0.5872</v>
      </c>
      <c r="G65" s="1">
        <v>0.7856</v>
      </c>
      <c r="H65" s="250">
        <f>+33.79%</f>
        <v>0.3379</v>
      </c>
      <c r="I65" s="1">
        <v>1.2639</v>
      </c>
      <c r="J65" s="1">
        <v>1.2685</v>
      </c>
      <c r="K65" s="250">
        <f>+0.36%</f>
        <v>0.0036</v>
      </c>
      <c r="L65" s="1">
        <v>1.9948</v>
      </c>
      <c r="M65" s="1">
        <v>1.711</v>
      </c>
      <c r="N65" s="592">
        <v>-0.1423</v>
      </c>
      <c r="O65" s="1">
        <v>3.5562</v>
      </c>
      <c r="P65" s="1">
        <v>2.5936</v>
      </c>
      <c r="Q65" s="592">
        <v>-0.2707</v>
      </c>
      <c r="R65" s="1">
        <v>7.4608</v>
      </c>
      <c r="S65" s="1">
        <v>4.7335</v>
      </c>
      <c r="T65" s="592">
        <v>-0.3655</v>
      </c>
    </row>
    <row r="66">
      <c r="B66" s="1" t="s">
        <v>1488</v>
      </c>
      <c r="C66" s="1">
        <v>0.2027</v>
      </c>
      <c r="D66" s="1">
        <v>0.2696</v>
      </c>
      <c r="E66" s="250">
        <f>+32.96%</f>
        <v>0.3296</v>
      </c>
      <c r="F66" s="1">
        <v>0.5104</v>
      </c>
      <c r="G66" s="1">
        <v>0.592</v>
      </c>
      <c r="H66" s="250">
        <f>+15.98%</f>
        <v>0.1598</v>
      </c>
      <c r="I66" s="1">
        <v>0.9839</v>
      </c>
      <c r="J66" s="1">
        <v>1.0342</v>
      </c>
      <c r="K66" s="250">
        <f>+5.11%</f>
        <v>0.0511</v>
      </c>
      <c r="L66" s="1">
        <v>1.4673</v>
      </c>
      <c r="M66" s="1">
        <v>1.3493</v>
      </c>
      <c r="N66" s="592">
        <v>-0.0804</v>
      </c>
      <c r="O66" s="1">
        <v>2.6371</v>
      </c>
      <c r="P66" s="1">
        <v>2.07</v>
      </c>
      <c r="Q66" s="592">
        <v>-0.2151</v>
      </c>
      <c r="R66" s="1">
        <v>5.7525</v>
      </c>
      <c r="S66" s="1">
        <v>3.8546</v>
      </c>
      <c r="T66" s="592">
        <v>-0.3299</v>
      </c>
    </row>
    <row r="67">
      <c r="B67" s="1" t="s">
        <v>1492</v>
      </c>
      <c r="C67" s="1">
        <v>0.025</v>
      </c>
      <c r="D67" s="1">
        <v>0.0196</v>
      </c>
      <c r="E67" s="592">
        <v>-0.2146</v>
      </c>
      <c r="F67" s="1">
        <v>0.0865</v>
      </c>
      <c r="G67" s="1">
        <v>0.2036</v>
      </c>
      <c r="H67" s="250">
        <f>+135.27%</f>
        <v>1.3527</v>
      </c>
      <c r="I67" s="1">
        <v>0.3028</v>
      </c>
      <c r="J67" s="1">
        <v>0.2601</v>
      </c>
      <c r="K67" s="592">
        <v>-0.1408</v>
      </c>
      <c r="L67" s="1">
        <v>0.5684</v>
      </c>
      <c r="M67" s="1">
        <v>0.396</v>
      </c>
      <c r="N67" s="592">
        <v>-0.3034</v>
      </c>
      <c r="O67" s="1">
        <v>0.9902</v>
      </c>
      <c r="P67" s="1">
        <v>0.5819</v>
      </c>
      <c r="Q67" s="592">
        <v>-0.4124</v>
      </c>
      <c r="R67" s="1">
        <v>1.8275</v>
      </c>
      <c r="S67" s="1">
        <v>0.9491</v>
      </c>
      <c r="T67" s="592">
        <v>-0.4807</v>
      </c>
    </row>
    <row r="68">
      <c r="A68" s="1" t="s">
        <v>48</v>
      </c>
    </row>
    <row r="69">
      <c r="B69" s="1" t="s">
        <v>1495</v>
      </c>
      <c r="C69" s="1">
        <v>0.2418</v>
      </c>
      <c r="D69" s="1">
        <v>0.2772</v>
      </c>
      <c r="E69" s="250">
        <f>+14.64%</f>
        <v>0.1464</v>
      </c>
      <c r="F69" s="1">
        <v>0.6934</v>
      </c>
      <c r="G69" s="1">
        <v>0.7182</v>
      </c>
      <c r="H69" s="250">
        <f>+3.57%</f>
        <v>0.0357</v>
      </c>
      <c r="I69" s="1">
        <v>1.4679</v>
      </c>
      <c r="J69" s="1">
        <v>1.3378</v>
      </c>
      <c r="K69" s="592">
        <v>-0.0886</v>
      </c>
      <c r="L69" s="1">
        <v>2.3149</v>
      </c>
      <c r="M69" s="1">
        <v>1.8747</v>
      </c>
      <c r="N69" s="592">
        <v>-0.1902</v>
      </c>
      <c r="O69" s="1">
        <v>3.8592</v>
      </c>
      <c r="P69" s="1">
        <v>2.8606</v>
      </c>
      <c r="Q69" s="592">
        <v>-0.2588</v>
      </c>
      <c r="R69" s="1">
        <v>8.2834</v>
      </c>
      <c r="S69" s="1">
        <v>5.3269</v>
      </c>
      <c r="T69" s="592">
        <v>-0.3569</v>
      </c>
    </row>
    <row r="70">
      <c r="B70" s="1" t="s">
        <v>1498</v>
      </c>
      <c r="C70" s="1">
        <v>0.009</v>
      </c>
      <c r="D70" s="1">
        <v>0.0087</v>
      </c>
      <c r="E70" s="592">
        <v>-0.0288</v>
      </c>
      <c r="F70" s="1">
        <v>0.0053</v>
      </c>
      <c r="G70" s="1">
        <v>0.0054</v>
      </c>
      <c r="H70" s="250">
        <f>+1.65%</f>
        <v>0.0165</v>
      </c>
      <c r="I70" s="1">
        <v>0.0176</v>
      </c>
      <c r="J70" s="1">
        <v>0.0177</v>
      </c>
      <c r="K70" s="250">
        <f>+0.86%</f>
        <v>0.0086</v>
      </c>
      <c r="L70" s="1">
        <v>0.0395</v>
      </c>
      <c r="M70" s="1">
        <v>0.0326</v>
      </c>
      <c r="N70" s="592">
        <v>-0.1749</v>
      </c>
      <c r="O70" s="1">
        <v>0.0761</v>
      </c>
      <c r="P70" s="1">
        <v>0.0637</v>
      </c>
      <c r="Q70" s="592">
        <v>-0.1629</v>
      </c>
      <c r="R70" s="1">
        <v>0.1424</v>
      </c>
      <c r="S70" s="1">
        <v>0.0659</v>
      </c>
      <c r="T70" s="592">
        <v>-0.5372</v>
      </c>
    </row>
    <row r="71">
      <c r="B71" s="1" t="s">
        <v>1501</v>
      </c>
      <c r="C71" s="1">
        <v>0.2328</v>
      </c>
      <c r="D71" s="1">
        <v>0.2685</v>
      </c>
      <c r="E71" s="250">
        <f>+15.32%</f>
        <v>0.1532</v>
      </c>
      <c r="F71" s="1">
        <v>0.6881</v>
      </c>
      <c r="G71" s="1">
        <v>0.7128</v>
      </c>
      <c r="H71" s="250">
        <f>+3.59%</f>
        <v>0.0359</v>
      </c>
      <c r="I71" s="1">
        <v>1.4503</v>
      </c>
      <c r="J71" s="1">
        <v>1.3201</v>
      </c>
      <c r="K71" s="592">
        <v>-0.0898</v>
      </c>
      <c r="L71" s="1">
        <v>2.2754</v>
      </c>
      <c r="M71" s="1">
        <v>1.842</v>
      </c>
      <c r="N71" s="592">
        <v>-0.1905</v>
      </c>
      <c r="O71" s="1">
        <v>3.7831</v>
      </c>
      <c r="P71" s="1">
        <v>2.7969</v>
      </c>
      <c r="Q71" s="592">
        <v>-0.2607</v>
      </c>
      <c r="R71" s="1">
        <v>8.1411</v>
      </c>
      <c r="S71" s="1">
        <v>5.2611</v>
      </c>
      <c r="T71" s="592">
        <v>-0.3538</v>
      </c>
    </row>
    <row r="72">
      <c r="B72" s="1" t="s">
        <v>1505</v>
      </c>
      <c r="C72" s="1">
        <v>0.1933</v>
      </c>
      <c r="D72" s="1">
        <v>0.2397</v>
      </c>
      <c r="E72" s="250">
        <f>+24.01%</f>
        <v>0.2401</v>
      </c>
      <c r="F72" s="1">
        <v>0.5064</v>
      </c>
      <c r="G72" s="1">
        <v>0.5089</v>
      </c>
      <c r="H72" s="250">
        <f>+0.51%</f>
        <v>0.0051</v>
      </c>
      <c r="I72" s="1">
        <v>1.0051</v>
      </c>
      <c r="J72" s="1">
        <v>0.9721</v>
      </c>
      <c r="K72" s="592">
        <v>-0.0328</v>
      </c>
      <c r="L72" s="1">
        <v>1.5429</v>
      </c>
      <c r="M72" s="1">
        <v>1.3526</v>
      </c>
      <c r="N72" s="592">
        <v>-0.1234</v>
      </c>
      <c r="O72" s="1">
        <v>2.7699</v>
      </c>
      <c r="P72" s="1">
        <v>2.1339</v>
      </c>
      <c r="Q72" s="592">
        <v>-0.2296</v>
      </c>
      <c r="R72" s="1">
        <v>6.1588</v>
      </c>
      <c r="S72" s="1">
        <v>4.1618</v>
      </c>
      <c r="T72" s="592">
        <v>-0.3243</v>
      </c>
    </row>
    <row r="73">
      <c r="B73" s="1" t="s">
        <v>1508</v>
      </c>
      <c r="C73" s="1">
        <v>0.0485</v>
      </c>
      <c r="D73" s="1">
        <v>0.0375</v>
      </c>
      <c r="E73" s="592">
        <v>-0.2272</v>
      </c>
      <c r="F73" s="1">
        <v>0.187</v>
      </c>
      <c r="G73" s="1">
        <v>0.2092</v>
      </c>
      <c r="H73" s="250">
        <f>+11.86%</f>
        <v>0.1186</v>
      </c>
      <c r="I73" s="1">
        <v>0.4628</v>
      </c>
      <c r="J73" s="1">
        <v>0.3657</v>
      </c>
      <c r="K73" s="592">
        <v>-0.2098</v>
      </c>
      <c r="L73" s="1">
        <v>0.772</v>
      </c>
      <c r="M73" s="1">
        <v>0.5221</v>
      </c>
      <c r="N73" s="592">
        <v>-0.3237</v>
      </c>
      <c r="O73" s="1">
        <v>1.0893</v>
      </c>
      <c r="P73" s="1">
        <v>0.7267</v>
      </c>
      <c r="Q73" s="592">
        <v>-0.3329</v>
      </c>
      <c r="R73" s="1">
        <v>2.1246</v>
      </c>
      <c r="S73" s="1">
        <v>1.1651</v>
      </c>
      <c r="T73" s="592">
        <v>-0.4516</v>
      </c>
    </row>
    <row r="74">
      <c r="A74" s="1" t="s">
        <v>50</v>
      </c>
    </row>
    <row r="75">
      <c r="B75" s="1" t="s">
        <v>1510</v>
      </c>
      <c r="C75" s="1">
        <v>0.1869</v>
      </c>
      <c r="D75" s="1">
        <v>0.1978</v>
      </c>
      <c r="E75" s="250">
        <f>+5.82%</f>
        <v>0.0582</v>
      </c>
      <c r="F75" s="1">
        <v>0.3247</v>
      </c>
      <c r="G75" s="1">
        <v>0.2985</v>
      </c>
      <c r="H75" s="592">
        <v>-0.0806</v>
      </c>
      <c r="I75" s="1">
        <v>0.6938</v>
      </c>
      <c r="J75" s="1">
        <v>0.6766</v>
      </c>
      <c r="K75" s="592">
        <v>-0.0248</v>
      </c>
      <c r="L75" s="1">
        <v>1.1743</v>
      </c>
      <c r="M75" s="1">
        <v>1.1784</v>
      </c>
      <c r="N75" s="250">
        <f>+0.35%</f>
        <v>0.0035</v>
      </c>
      <c r="O75" s="1">
        <v>2.0128</v>
      </c>
      <c r="P75" s="1">
        <v>1.9823</v>
      </c>
      <c r="Q75" s="592">
        <v>-0.0151</v>
      </c>
      <c r="R75" s="1">
        <v>4.2218</v>
      </c>
      <c r="S75" s="1">
        <v>4.0383</v>
      </c>
      <c r="T75" s="592">
        <v>-0.0435</v>
      </c>
    </row>
    <row r="76">
      <c r="B76" s="1" t="s">
        <v>1514</v>
      </c>
      <c r="C76" s="1">
        <v>0.009</v>
      </c>
      <c r="D76" s="1">
        <v>0.0089</v>
      </c>
      <c r="E76" s="592">
        <v>-0.0062</v>
      </c>
      <c r="F76" s="1">
        <v>0.009</v>
      </c>
      <c r="G76" s="1">
        <v>0.0081</v>
      </c>
      <c r="H76" s="592">
        <v>-0.1008</v>
      </c>
      <c r="I76" s="1">
        <v>0.0295</v>
      </c>
      <c r="J76" s="1">
        <v>0.024</v>
      </c>
      <c r="K76" s="592">
        <v>-0.1857</v>
      </c>
      <c r="L76" s="1">
        <v>0.0499</v>
      </c>
      <c r="M76" s="1">
        <v>0.0385</v>
      </c>
      <c r="N76" s="592">
        <v>-0.2294</v>
      </c>
      <c r="O76" s="1">
        <v>0.0901</v>
      </c>
      <c r="P76" s="1">
        <v>0.0698</v>
      </c>
      <c r="Q76" s="592">
        <v>-0.2259</v>
      </c>
      <c r="R76" s="1">
        <v>0.1874</v>
      </c>
      <c r="S76" s="1">
        <v>0.0819</v>
      </c>
      <c r="T76" s="592">
        <v>-0.5632</v>
      </c>
    </row>
    <row r="77">
      <c r="B77" s="1" t="s">
        <v>1516</v>
      </c>
      <c r="C77" s="1">
        <v>0.1779</v>
      </c>
      <c r="D77" s="1">
        <v>0.1889</v>
      </c>
      <c r="E77" s="250">
        <f>+6.16%</f>
        <v>0.0616</v>
      </c>
      <c r="F77" s="1">
        <v>0.3157</v>
      </c>
      <c r="G77" s="1">
        <v>0.2904</v>
      </c>
      <c r="H77" s="592">
        <v>-0.08</v>
      </c>
      <c r="I77" s="1">
        <v>0.6643</v>
      </c>
      <c r="J77" s="1">
        <v>0.6526</v>
      </c>
      <c r="K77" s="592">
        <v>-0.0176</v>
      </c>
      <c r="L77" s="1">
        <v>1.1244</v>
      </c>
      <c r="M77" s="1">
        <v>1.1399</v>
      </c>
      <c r="N77" s="250">
        <f>+1.38%</f>
        <v>0.0138</v>
      </c>
      <c r="O77" s="1">
        <v>1.9227</v>
      </c>
      <c r="P77" s="1">
        <v>1.9126</v>
      </c>
      <c r="Q77" s="592">
        <v>-0.0052</v>
      </c>
      <c r="R77" s="1">
        <v>4.0344</v>
      </c>
      <c r="S77" s="1">
        <v>3.9564</v>
      </c>
      <c r="T77" s="592">
        <v>-0.0193</v>
      </c>
    </row>
    <row r="78">
      <c r="B78" s="1" t="s">
        <v>1519</v>
      </c>
      <c r="C78" s="1">
        <v>0.1398</v>
      </c>
      <c r="D78" s="1">
        <v>0.1783</v>
      </c>
      <c r="E78" s="250">
        <f>+27.55%</f>
        <v>0.2755</v>
      </c>
      <c r="F78" s="1">
        <v>0.2776</v>
      </c>
      <c r="G78" s="1">
        <v>0.2606</v>
      </c>
      <c r="H78" s="592">
        <v>-0.0611</v>
      </c>
      <c r="I78" s="1">
        <v>0.5551</v>
      </c>
      <c r="J78" s="1">
        <v>0.5625</v>
      </c>
      <c r="K78" s="250">
        <f>+1.32%</f>
        <v>0.0132</v>
      </c>
      <c r="L78" s="1">
        <v>0.8647</v>
      </c>
      <c r="M78" s="1">
        <v>0.8932</v>
      </c>
      <c r="N78" s="250">
        <f>+3.3%</f>
        <v>0.033</v>
      </c>
      <c r="O78" s="1">
        <v>1.5323</v>
      </c>
      <c r="P78" s="1">
        <v>1.5244</v>
      </c>
      <c r="Q78" s="592">
        <v>-0.0052</v>
      </c>
      <c r="R78" s="1">
        <v>3.3765</v>
      </c>
      <c r="S78" s="1">
        <v>3.2356</v>
      </c>
      <c r="T78" s="592">
        <v>-0.0417</v>
      </c>
    </row>
    <row r="79">
      <c r="B79" s="1" t="s">
        <v>1523</v>
      </c>
      <c r="C79" s="1">
        <v>0.0471</v>
      </c>
      <c r="D79" s="1">
        <v>0.0195</v>
      </c>
      <c r="E79" s="592">
        <v>-0.5865</v>
      </c>
      <c r="F79" s="1">
        <v>0.0471</v>
      </c>
      <c r="G79" s="1">
        <v>0.0378</v>
      </c>
      <c r="H79" s="592">
        <v>-0.1958</v>
      </c>
      <c r="I79" s="1">
        <v>0.1386</v>
      </c>
      <c r="J79" s="1">
        <v>0.1141</v>
      </c>
      <c r="K79" s="592">
        <v>-0.1768</v>
      </c>
      <c r="L79" s="1">
        <v>0.3096</v>
      </c>
      <c r="M79" s="1">
        <v>0.2851</v>
      </c>
      <c r="N79" s="592">
        <v>-0.0791</v>
      </c>
      <c r="O79" s="1">
        <v>0.4804</v>
      </c>
      <c r="P79" s="1">
        <v>0.4579</v>
      </c>
      <c r="Q79" s="592">
        <v>-0.0468</v>
      </c>
      <c r="R79" s="1">
        <v>0.8453</v>
      </c>
      <c r="S79" s="1">
        <v>0.8027</v>
      </c>
      <c r="T79" s="592">
        <v>-0.0503</v>
      </c>
    </row>
    <row r="80">
      <c r="A80" s="1" t="s">
        <v>52</v>
      </c>
    </row>
    <row r="81">
      <c r="B81" s="1" t="s">
        <v>1525</v>
      </c>
      <c r="C81" s="1">
        <v>0.4148</v>
      </c>
      <c r="D81" s="1">
        <v>0.624</v>
      </c>
      <c r="E81" s="250">
        <f>+50.45%</f>
        <v>0.5045</v>
      </c>
      <c r="F81" s="1">
        <v>0.4936</v>
      </c>
      <c r="G81" s="1">
        <v>0.6235</v>
      </c>
      <c r="H81" s="250">
        <f>+26.33%</f>
        <v>0.2633</v>
      </c>
      <c r="I81" s="1">
        <v>0.9743</v>
      </c>
      <c r="J81" s="1">
        <v>1.2784</v>
      </c>
      <c r="K81" s="250">
        <f>+31.21%</f>
        <v>0.3121</v>
      </c>
      <c r="L81" s="1">
        <v>1.5081</v>
      </c>
      <c r="M81" s="1">
        <v>1.851</v>
      </c>
      <c r="N81" s="250">
        <f>+22.74%</f>
        <v>0.2274</v>
      </c>
      <c r="O81" s="1">
        <v>2.5632</v>
      </c>
      <c r="P81" s="1">
        <v>2.8918</v>
      </c>
      <c r="Q81" s="250">
        <f>+12.82%</f>
        <v>0.1282</v>
      </c>
      <c r="R81" s="1">
        <v>5.29</v>
      </c>
      <c r="S81" s="1">
        <v>6.8285</v>
      </c>
      <c r="T81" s="250">
        <f>+29.08%</f>
        <v>0.2908</v>
      </c>
    </row>
    <row r="82">
      <c r="B82" s="1" t="s">
        <v>1531</v>
      </c>
      <c r="C82" s="1">
        <v>0.0187</v>
      </c>
      <c r="D82" s="1">
        <v>0.015</v>
      </c>
      <c r="E82" s="592">
        <v>-0.1973</v>
      </c>
      <c r="F82" s="1">
        <v>0.0075</v>
      </c>
      <c r="G82" s="1">
        <v>0.0064</v>
      </c>
      <c r="H82" s="592">
        <v>-0.1422</v>
      </c>
      <c r="I82" s="1">
        <v>0.0162</v>
      </c>
      <c r="J82" s="1">
        <v>0.0167</v>
      </c>
      <c r="K82" s="250">
        <f>+2.61%</f>
        <v>0.0261</v>
      </c>
      <c r="L82" s="1">
        <v>0.0298</v>
      </c>
      <c r="M82" s="1">
        <v>0.0299</v>
      </c>
      <c r="N82" s="250">
        <f>+0.64%</f>
        <v>0.0064</v>
      </c>
      <c r="O82" s="1">
        <v>0.0693</v>
      </c>
      <c r="P82" s="1">
        <v>0.0617</v>
      </c>
      <c r="Q82" s="592">
        <v>-0.1104</v>
      </c>
      <c r="R82" s="1">
        <v>0.1497</v>
      </c>
      <c r="S82" s="1">
        <v>0.1202</v>
      </c>
      <c r="T82" s="592">
        <v>-0.1967</v>
      </c>
    </row>
    <row r="83">
      <c r="B83" s="1" t="s">
        <v>1535</v>
      </c>
      <c r="C83" s="1">
        <v>0.3961</v>
      </c>
      <c r="D83" s="1">
        <v>0.609</v>
      </c>
      <c r="E83" s="250">
        <f>+53.76%</f>
        <v>0.5376</v>
      </c>
      <c r="F83" s="1">
        <v>0.4861</v>
      </c>
      <c r="G83" s="1">
        <v>0.6171</v>
      </c>
      <c r="H83" s="250">
        <f>+26.95%</f>
        <v>0.2695</v>
      </c>
      <c r="I83" s="1">
        <v>0.9581</v>
      </c>
      <c r="J83" s="1">
        <v>1.2618</v>
      </c>
      <c r="K83" s="250">
        <f>+31.7%</f>
        <v>0.317</v>
      </c>
      <c r="L83" s="1">
        <v>1.4784</v>
      </c>
      <c r="M83" s="1">
        <v>1.8211</v>
      </c>
      <c r="N83" s="250">
        <f>+23.18%</f>
        <v>0.2318</v>
      </c>
      <c r="O83" s="1">
        <v>2.4939</v>
      </c>
      <c r="P83" s="1">
        <v>2.8301</v>
      </c>
      <c r="Q83" s="250">
        <f>+13.48%</f>
        <v>0.1348</v>
      </c>
      <c r="R83" s="1">
        <v>5.1404</v>
      </c>
      <c r="S83" s="1">
        <v>6.7083</v>
      </c>
      <c r="T83" s="250">
        <f>+30.5%</f>
        <v>0.305</v>
      </c>
    </row>
    <row r="84">
      <c r="B84" s="1" t="s">
        <v>1538</v>
      </c>
      <c r="C84" s="1">
        <v>0.2577</v>
      </c>
      <c r="D84" s="1">
        <v>0.2837</v>
      </c>
      <c r="E84" s="250">
        <f>+10.07%</f>
        <v>0.1007</v>
      </c>
      <c r="F84" s="1">
        <v>0.4543</v>
      </c>
      <c r="G84" s="1">
        <v>0.5284</v>
      </c>
      <c r="H84" s="250">
        <f>+16.31%</f>
        <v>0.1631</v>
      </c>
      <c r="I84" s="1">
        <v>0.891</v>
      </c>
      <c r="J84" s="1">
        <v>1.0656</v>
      </c>
      <c r="K84" s="250">
        <f>+19.6%</f>
        <v>0.196</v>
      </c>
      <c r="L84" s="1">
        <v>1.389</v>
      </c>
      <c r="M84" s="1">
        <v>1.593</v>
      </c>
      <c r="N84" s="250">
        <f>+14.69%</f>
        <v>0.1469</v>
      </c>
      <c r="O84" s="1">
        <v>2.4527</v>
      </c>
      <c r="P84" s="1">
        <v>2.5898</v>
      </c>
      <c r="Q84" s="250">
        <f>+5.59%</f>
        <v>0.0559</v>
      </c>
      <c r="R84" s="1">
        <v>5.1584</v>
      </c>
      <c r="S84" s="1">
        <v>5.0817</v>
      </c>
      <c r="T84" s="592">
        <v>-0.0149</v>
      </c>
    </row>
    <row r="85">
      <c r="B85" s="1" t="s">
        <v>1550</v>
      </c>
      <c r="C85" s="1">
        <v>0.1571</v>
      </c>
      <c r="D85" s="1">
        <v>0.3404</v>
      </c>
      <c r="E85" s="250">
        <f>+116.69%</f>
        <v>1.1669</v>
      </c>
      <c r="F85" s="1">
        <v>0.0393</v>
      </c>
      <c r="G85" s="1">
        <v>0.0951</v>
      </c>
      <c r="H85" s="250">
        <f>+142.21%</f>
        <v>1.4221</v>
      </c>
      <c r="I85" s="1">
        <v>0.0833</v>
      </c>
      <c r="J85" s="1">
        <v>0.2128</v>
      </c>
      <c r="K85" s="250">
        <f>+155.5%</f>
        <v>1.555</v>
      </c>
      <c r="L85" s="1">
        <v>0.1191</v>
      </c>
      <c r="M85" s="1">
        <v>0.258</v>
      </c>
      <c r="N85" s="250">
        <f>+116.57%</f>
        <v>1.1657</v>
      </c>
      <c r="O85" s="1">
        <v>0.1105</v>
      </c>
      <c r="P85" s="1">
        <v>0.302</v>
      </c>
      <c r="Q85" s="250">
        <f>+173.26%</f>
        <v>1.7326</v>
      </c>
      <c r="R85" s="1">
        <v>0.1316</v>
      </c>
      <c r="S85" s="1">
        <v>1.7468</v>
      </c>
      <c r="T85" s="250">
        <f>+1227.21%</f>
        <v>12.2721</v>
      </c>
    </row>
    <row r="86">
      <c r="A86" s="1" t="s">
        <v>53</v>
      </c>
    </row>
    <row r="87">
      <c r="B87" s="1" t="s">
        <v>1558</v>
      </c>
      <c r="C87" s="1">
        <v>0.3192</v>
      </c>
      <c r="D87" s="1">
        <v>0.5254</v>
      </c>
      <c r="E87" s="250">
        <f>+64.6%</f>
        <v>0.646</v>
      </c>
      <c r="F87" s="1">
        <v>0.3988</v>
      </c>
      <c r="G87" s="1">
        <v>0.3578</v>
      </c>
      <c r="H87" s="592">
        <v>-0.1029</v>
      </c>
      <c r="I87" s="1">
        <v>0.8738</v>
      </c>
      <c r="J87" s="1">
        <v>0.793</v>
      </c>
      <c r="K87" s="592">
        <v>-0.0925</v>
      </c>
      <c r="L87" s="1">
        <v>1.5403</v>
      </c>
      <c r="M87" s="1">
        <v>1.3901</v>
      </c>
      <c r="N87" s="592">
        <v>-0.0975</v>
      </c>
      <c r="O87" s="1">
        <v>2.8182</v>
      </c>
      <c r="P87" s="1">
        <v>2.4818</v>
      </c>
      <c r="Q87" s="592">
        <v>-0.1194</v>
      </c>
      <c r="R87" s="1">
        <v>5.7729</v>
      </c>
      <c r="S87" s="1">
        <v>6.3867</v>
      </c>
      <c r="T87" s="250">
        <f>+10.63%</f>
        <v>0.1063</v>
      </c>
    </row>
    <row r="88">
      <c r="B88" s="1" t="s">
        <v>1563</v>
      </c>
      <c r="C88" s="1">
        <v>0.0122</v>
      </c>
      <c r="D88" s="1">
        <v>0.0127</v>
      </c>
      <c r="E88" s="250">
        <f>+3.82%</f>
        <v>0.0382</v>
      </c>
      <c r="F88" s="1">
        <v>0.0056</v>
      </c>
      <c r="G88" s="1">
        <v>0.0062</v>
      </c>
      <c r="H88" s="250">
        <f>+10.51%</f>
        <v>0.1051</v>
      </c>
      <c r="I88" s="1">
        <v>0.0141</v>
      </c>
      <c r="J88" s="1">
        <v>0.0156</v>
      </c>
      <c r="K88" s="250">
        <f>+10.89%</f>
        <v>0.1089</v>
      </c>
      <c r="L88" s="1">
        <v>0.0258</v>
      </c>
      <c r="M88" s="1">
        <v>0.0271</v>
      </c>
      <c r="N88" s="250">
        <f>+4.79%</f>
        <v>0.0479</v>
      </c>
      <c r="O88" s="1">
        <v>0.0552</v>
      </c>
      <c r="P88" s="1">
        <v>0.0496</v>
      </c>
      <c r="Q88" s="592">
        <v>-0.1019</v>
      </c>
      <c r="R88" s="1">
        <v>0.1181</v>
      </c>
      <c r="S88" s="1">
        <v>0.0856</v>
      </c>
      <c r="T88" s="592">
        <v>-0.2749</v>
      </c>
    </row>
    <row r="89">
      <c r="B89" s="1" t="s">
        <v>1569</v>
      </c>
      <c r="C89" s="1">
        <v>0.307</v>
      </c>
      <c r="D89" s="1">
        <v>0.5128</v>
      </c>
      <c r="E89" s="250">
        <f>+67.02%</f>
        <v>0.6702</v>
      </c>
      <c r="F89" s="1">
        <v>0.3932</v>
      </c>
      <c r="G89" s="1">
        <v>0.3515</v>
      </c>
      <c r="H89" s="592">
        <v>-0.1059</v>
      </c>
      <c r="I89" s="1">
        <v>0.8598</v>
      </c>
      <c r="J89" s="1">
        <v>0.7774</v>
      </c>
      <c r="K89" s="592">
        <v>-0.0958</v>
      </c>
      <c r="L89" s="1">
        <v>1.5144</v>
      </c>
      <c r="M89" s="1">
        <v>1.363</v>
      </c>
      <c r="N89" s="592">
        <v>-0.1</v>
      </c>
      <c r="O89" s="1">
        <v>2.763</v>
      </c>
      <c r="P89" s="1">
        <v>2.4322</v>
      </c>
      <c r="Q89" s="592">
        <v>-0.1197</v>
      </c>
      <c r="R89" s="1">
        <v>5.6549</v>
      </c>
      <c r="S89" s="1">
        <v>6.3011</v>
      </c>
      <c r="T89" s="250">
        <f>+11.43%</f>
        <v>0.1143</v>
      </c>
    </row>
    <row r="90">
      <c r="B90" s="1" t="s">
        <v>1572</v>
      </c>
      <c r="C90" s="1">
        <v>0.2304</v>
      </c>
      <c r="D90" s="1">
        <v>0.3146</v>
      </c>
      <c r="E90" s="250">
        <f>+36.53%</f>
        <v>0.3653</v>
      </c>
      <c r="F90" s="1">
        <v>0.381</v>
      </c>
      <c r="G90" s="1">
        <v>0.3556</v>
      </c>
      <c r="H90" s="592">
        <v>-0.0667</v>
      </c>
      <c r="I90" s="1">
        <v>0.8366</v>
      </c>
      <c r="J90" s="1">
        <v>0.7802</v>
      </c>
      <c r="K90" s="592">
        <v>-0.0673</v>
      </c>
      <c r="L90" s="1">
        <v>1.4485</v>
      </c>
      <c r="M90" s="1">
        <v>1.3267</v>
      </c>
      <c r="N90" s="592">
        <v>-0.084</v>
      </c>
      <c r="O90" s="1">
        <v>2.6881</v>
      </c>
      <c r="P90" s="1">
        <v>2.415</v>
      </c>
      <c r="Q90" s="592">
        <v>-0.1016</v>
      </c>
      <c r="R90" s="1">
        <v>6.3092</v>
      </c>
      <c r="S90" s="1">
        <v>5.4504</v>
      </c>
      <c r="T90" s="592">
        <v>-0.1361</v>
      </c>
    </row>
    <row r="91">
      <c r="B91" s="1" t="s">
        <v>1574</v>
      </c>
      <c r="C91" s="1">
        <v>0.0888</v>
      </c>
      <c r="D91" s="1">
        <v>0.2109</v>
      </c>
      <c r="E91" s="250">
        <f>+137.41%</f>
        <v>1.3741</v>
      </c>
      <c r="F91" s="1">
        <v>0.0178</v>
      </c>
      <c r="G91" s="1">
        <v>0.0022</v>
      </c>
      <c r="H91" s="592">
        <v>-0.8769</v>
      </c>
      <c r="I91" s="1">
        <v>0.0373</v>
      </c>
      <c r="J91" s="1">
        <v>0.0128</v>
      </c>
      <c r="K91" s="592">
        <v>-0.6573</v>
      </c>
      <c r="L91" s="1">
        <v>0.0918</v>
      </c>
      <c r="M91" s="1">
        <v>0.0634</v>
      </c>
      <c r="N91" s="592">
        <v>-0.31</v>
      </c>
      <c r="O91" s="1">
        <v>0.1301</v>
      </c>
      <c r="P91" s="1">
        <v>0.0668</v>
      </c>
      <c r="Q91" s="592">
        <v>-0.4866</v>
      </c>
      <c r="R91" s="1">
        <v>-0.5363</v>
      </c>
      <c r="S91" s="1">
        <v>0.9363</v>
      </c>
      <c r="T91" s="250">
        <f>+274.6%</f>
        <v>2.746</v>
      </c>
    </row>
    <row r="92">
      <c r="A92" s="1" t="s">
        <v>1578</v>
      </c>
    </row>
    <row r="93">
      <c r="B93" s="1" t="s">
        <v>1579</v>
      </c>
      <c r="C93" s="1">
        <v>0.1867</v>
      </c>
      <c r="D93" s="1">
        <v>0.393</v>
      </c>
      <c r="E93" s="250">
        <f>+110.57%</f>
        <v>1.1057</v>
      </c>
      <c r="F93" s="1">
        <v>0.1993</v>
      </c>
      <c r="G93" s="1">
        <v>0.1575</v>
      </c>
      <c r="H93" s="592">
        <v>-0.2095</v>
      </c>
      <c r="I93" s="1">
        <v>0.4059</v>
      </c>
      <c r="J93" s="1">
        <v>0.3826</v>
      </c>
      <c r="K93" s="592">
        <v>-0.0576</v>
      </c>
      <c r="L93" s="1">
        <v>0.704</v>
      </c>
      <c r="M93" s="1">
        <v>0.614</v>
      </c>
      <c r="N93" s="592">
        <v>-0.1278</v>
      </c>
      <c r="O93" s="1">
        <v>1.4643</v>
      </c>
      <c r="P93" s="1">
        <v>1.0949</v>
      </c>
      <c r="Q93" s="592">
        <v>-0.2523</v>
      </c>
      <c r="R93" s="1">
        <v>3.2992</v>
      </c>
      <c r="S93" s="1">
        <v>3.7233</v>
      </c>
      <c r="T93" s="250">
        <f>+12.86%</f>
        <v>0.1286</v>
      </c>
    </row>
    <row r="94">
      <c r="B94" s="1" t="s">
        <v>1584</v>
      </c>
      <c r="C94" s="1">
        <v>0.0095</v>
      </c>
      <c r="D94" s="1">
        <v>0.0095</v>
      </c>
      <c r="E94" s="592">
        <v>-0.0029</v>
      </c>
      <c r="F94" s="1">
        <v>0.0031</v>
      </c>
      <c r="G94" s="1">
        <v>0.0029</v>
      </c>
      <c r="H94" s="592">
        <v>-0.0452</v>
      </c>
      <c r="I94" s="1">
        <v>0.0086</v>
      </c>
      <c r="J94" s="1">
        <v>0.0099</v>
      </c>
      <c r="K94" s="250">
        <f>+14.92%</f>
        <v>0.1492</v>
      </c>
      <c r="L94" s="1">
        <v>0.0198</v>
      </c>
      <c r="M94" s="1">
        <v>0.019</v>
      </c>
      <c r="N94" s="592">
        <v>-0.0408</v>
      </c>
      <c r="O94" s="1">
        <v>0.046</v>
      </c>
      <c r="P94" s="1">
        <v>0.0383</v>
      </c>
      <c r="Q94" s="592">
        <v>-0.1657</v>
      </c>
      <c r="R94" s="1">
        <v>0.1023</v>
      </c>
      <c r="S94" s="1">
        <v>0.0722</v>
      </c>
      <c r="T94" s="592">
        <v>-0.2946</v>
      </c>
    </row>
    <row r="95">
      <c r="B95" s="1" t="s">
        <v>1588</v>
      </c>
      <c r="C95" s="1">
        <v>0.1771</v>
      </c>
      <c r="D95" s="1">
        <v>0.3836</v>
      </c>
      <c r="E95" s="250">
        <f>+116.53%</f>
        <v>1.1653</v>
      </c>
      <c r="F95" s="1">
        <v>0.1962</v>
      </c>
      <c r="G95" s="1">
        <v>0.1546</v>
      </c>
      <c r="H95" s="592">
        <v>-0.2121</v>
      </c>
      <c r="I95" s="1">
        <v>0.3973</v>
      </c>
      <c r="J95" s="1">
        <v>0.3726</v>
      </c>
      <c r="K95" s="592">
        <v>-0.0621</v>
      </c>
      <c r="L95" s="1">
        <v>0.6841</v>
      </c>
      <c r="M95" s="1">
        <v>0.595</v>
      </c>
      <c r="N95" s="592">
        <v>-0.1303</v>
      </c>
      <c r="O95" s="1">
        <v>1.4184</v>
      </c>
      <c r="P95" s="1">
        <v>1.0565</v>
      </c>
      <c r="Q95" s="592">
        <v>-0.2551</v>
      </c>
      <c r="R95" s="1">
        <v>3.1969</v>
      </c>
      <c r="S95" s="1">
        <v>3.6511</v>
      </c>
      <c r="T95" s="250">
        <f>+14.21%</f>
        <v>0.1421</v>
      </c>
    </row>
    <row r="96">
      <c r="B96" s="1" t="s">
        <v>1592</v>
      </c>
      <c r="C96" s="1">
        <v>0.1435</v>
      </c>
      <c r="D96" s="1">
        <v>0.1843</v>
      </c>
      <c r="E96" s="250">
        <f>+28.42%</f>
        <v>0.2842</v>
      </c>
      <c r="F96" s="1">
        <v>0.1946</v>
      </c>
      <c r="G96" s="1">
        <v>0.1686</v>
      </c>
      <c r="H96" s="592">
        <v>-0.1335</v>
      </c>
      <c r="I96" s="1">
        <v>0.4301</v>
      </c>
      <c r="J96" s="1">
        <v>0.4143</v>
      </c>
      <c r="K96" s="592">
        <v>-0.0368</v>
      </c>
      <c r="L96" s="1">
        <v>0.7667</v>
      </c>
      <c r="M96" s="1">
        <v>0.7295</v>
      </c>
      <c r="N96" s="592">
        <v>-0.0484</v>
      </c>
      <c r="O96" s="1">
        <v>1.6775</v>
      </c>
      <c r="P96" s="1">
        <v>1.2833</v>
      </c>
      <c r="Q96" s="592">
        <v>-0.235</v>
      </c>
      <c r="R96" s="1">
        <v>4.6006</v>
      </c>
      <c r="S96" s="1">
        <v>4.6092</v>
      </c>
      <c r="T96" s="250">
        <f>+0.19%</f>
        <v>0.0019</v>
      </c>
    </row>
    <row r="97">
      <c r="B97" s="1" t="s">
        <v>1597</v>
      </c>
      <c r="C97" s="1">
        <v>0.0431</v>
      </c>
      <c r="D97" s="1">
        <v>0.2087</v>
      </c>
      <c r="E97" s="250">
        <f>+383.9%</f>
        <v>3.839</v>
      </c>
      <c r="F97" s="1">
        <v>0.0047</v>
      </c>
      <c r="G97" s="1">
        <v>-0.0111</v>
      </c>
      <c r="H97" s="592">
        <v>-3.3873</v>
      </c>
      <c r="I97" s="1">
        <v>-0.0242</v>
      </c>
      <c r="J97" s="1">
        <v>-0.0317</v>
      </c>
      <c r="K97" s="592">
        <v>-0.3118</v>
      </c>
      <c r="L97" s="1">
        <v>-0.0627</v>
      </c>
      <c r="M97" s="1">
        <v>-0.1155</v>
      </c>
      <c r="N97" s="592">
        <v>-0.8434</v>
      </c>
      <c r="O97" s="1">
        <v>-0.2132</v>
      </c>
      <c r="P97" s="1">
        <v>-0.1884</v>
      </c>
      <c r="Q97" s="250">
        <f>+11.63%</f>
        <v>0.1163</v>
      </c>
      <c r="R97" s="1">
        <v>-1.3014</v>
      </c>
      <c r="S97" s="1">
        <v>-0.8859</v>
      </c>
      <c r="T97" s="250">
        <f>+31.93%</f>
        <v>0.3193</v>
      </c>
    </row>
    <row r="98">
      <c r="A98" s="1" t="s">
        <v>46</v>
      </c>
    </row>
    <row r="99">
      <c r="B99" s="1" t="s">
        <v>1601</v>
      </c>
      <c r="C99" s="1">
        <v>116.8611</v>
      </c>
      <c r="D99" s="1">
        <v>103.9761</v>
      </c>
      <c r="E99" s="592">
        <v>-0.1103</v>
      </c>
      <c r="F99" s="1">
        <v>70.8686</v>
      </c>
      <c r="G99" s="1">
        <v>64.8072</v>
      </c>
      <c r="H99" s="592">
        <v>-0.0855</v>
      </c>
      <c r="I99" s="1">
        <v>175.971</v>
      </c>
      <c r="J99" s="1">
        <v>157.6592</v>
      </c>
      <c r="K99" s="592">
        <v>-0.1041</v>
      </c>
      <c r="L99" s="1">
        <v>334.2926</v>
      </c>
      <c r="M99" s="1">
        <v>294.9318</v>
      </c>
      <c r="N99" s="592">
        <v>-0.1177</v>
      </c>
      <c r="O99" s="1">
        <v>700.4519</v>
      </c>
      <c r="P99" s="1">
        <v>610.2166</v>
      </c>
      <c r="Q99" s="592">
        <v>-0.1288</v>
      </c>
      <c r="R99" s="1">
        <v>1649.0103</v>
      </c>
      <c r="S99" s="1">
        <v>1408.6781</v>
      </c>
      <c r="T99" s="592">
        <v>-0.1457</v>
      </c>
    </row>
    <row r="100">
      <c r="B100" s="1" t="s">
        <v>1604</v>
      </c>
      <c r="C100" s="1">
        <v>17.1608</v>
      </c>
      <c r="D100" s="1">
        <v>17.4595</v>
      </c>
      <c r="E100" s="250">
        <f>+1.74%</f>
        <v>0.0174</v>
      </c>
      <c r="F100" s="1">
        <v>65.0285</v>
      </c>
      <c r="G100" s="1">
        <v>64.2213</v>
      </c>
      <c r="H100" s="592">
        <v>-0.0124</v>
      </c>
      <c r="I100" s="1">
        <v>80.3859</v>
      </c>
      <c r="J100" s="1">
        <v>80.305</v>
      </c>
      <c r="K100" s="592">
        <v>-0.001</v>
      </c>
      <c r="L100" s="1">
        <v>90.5386</v>
      </c>
      <c r="M100" s="1">
        <v>90.5766</v>
      </c>
      <c r="N100" s="250">
        <f>+0.04%</f>
        <v>0.0004</v>
      </c>
      <c r="O100" s="1">
        <v>97.3854</v>
      </c>
      <c r="P100" s="1">
        <v>97.3973</v>
      </c>
      <c r="Q100" s="250">
        <f>+0.01%</f>
        <v>0.0001</v>
      </c>
      <c r="R100" s="1">
        <v>98.9987</v>
      </c>
      <c r="S100" s="1">
        <v>98.8565</v>
      </c>
      <c r="T100" s="592">
        <v>-0.0014</v>
      </c>
    </row>
    <row r="101">
      <c r="B101" s="1" t="s">
        <v>1609</v>
      </c>
      <c r="C101" s="1">
        <v>663.1881</v>
      </c>
      <c r="D101" s="1">
        <v>575.4014</v>
      </c>
      <c r="E101" s="592">
        <v>-0.1324</v>
      </c>
      <c r="F101" s="1">
        <v>108.8211</v>
      </c>
      <c r="G101" s="1">
        <v>100.8565</v>
      </c>
      <c r="H101" s="592">
        <v>-0.0732</v>
      </c>
      <c r="I101" s="1">
        <v>218.0847</v>
      </c>
      <c r="J101" s="1">
        <v>195.3815</v>
      </c>
      <c r="K101" s="592">
        <v>-0.1041</v>
      </c>
      <c r="L101" s="1">
        <v>367.877</v>
      </c>
      <c r="M101" s="1">
        <v>324.4692</v>
      </c>
      <c r="N101" s="592">
        <v>-0.118</v>
      </c>
      <c r="O101" s="1">
        <v>718.2731</v>
      </c>
      <c r="P101" s="1">
        <v>625.5387</v>
      </c>
      <c r="Q101" s="592">
        <v>-0.1291</v>
      </c>
      <c r="R101" s="1">
        <v>1664.9634</v>
      </c>
      <c r="S101" s="1">
        <v>1424.5151</v>
      </c>
      <c r="T101" s="592">
        <v>-0.1444</v>
      </c>
    </row>
    <row r="102">
      <c r="B102" s="1" t="s">
        <v>1613</v>
      </c>
      <c r="C102" s="1">
        <v>107.8446</v>
      </c>
      <c r="D102" s="1">
        <v>89.1348</v>
      </c>
      <c r="E102" s="592">
        <v>-0.1735</v>
      </c>
      <c r="F102" s="1">
        <v>64.2768</v>
      </c>
      <c r="G102" s="1">
        <v>53.1651</v>
      </c>
      <c r="H102" s="592">
        <v>-0.1729</v>
      </c>
      <c r="I102" s="1">
        <v>160.748</v>
      </c>
      <c r="J102" s="1">
        <v>127.5761</v>
      </c>
      <c r="K102" s="592">
        <v>-0.2064</v>
      </c>
      <c r="L102" s="1">
        <v>309.5544</v>
      </c>
      <c r="M102" s="1">
        <v>243.3483</v>
      </c>
      <c r="N102" s="592">
        <v>-0.2139</v>
      </c>
      <c r="O102" s="1">
        <v>661.866</v>
      </c>
      <c r="P102" s="1">
        <v>515.9361</v>
      </c>
      <c r="Q102" s="592">
        <v>-0.2205</v>
      </c>
      <c r="R102" s="1">
        <v>1594.5642</v>
      </c>
      <c r="S102" s="1">
        <v>1217.9539</v>
      </c>
      <c r="T102" s="592">
        <v>-0.2362</v>
      </c>
    </row>
    <row r="103">
      <c r="B103" s="1" t="s">
        <v>1617</v>
      </c>
      <c r="C103" s="1">
        <v>0.0</v>
      </c>
      <c r="D103" s="1">
        <v>7.2129</v>
      </c>
      <c r="F103" s="1">
        <v>5.0E-4</v>
      </c>
      <c r="G103" s="1">
        <v>5.6999</v>
      </c>
      <c r="H103" s="250">
        <f>+1230090.48%</f>
        <v>12300.9048</v>
      </c>
      <c r="I103" s="1">
        <v>0.0024</v>
      </c>
      <c r="J103" s="1">
        <v>16.6284</v>
      </c>
      <c r="K103" s="250">
        <f>+705919.6%</f>
        <v>7059.196</v>
      </c>
      <c r="L103" s="1">
        <v>0.0109</v>
      </c>
      <c r="M103" s="1">
        <v>29.7107</v>
      </c>
      <c r="N103" s="250">
        <f>+272018.56%</f>
        <v>2720.1856</v>
      </c>
      <c r="O103" s="1">
        <v>0.008</v>
      </c>
      <c r="P103" s="1">
        <v>60.0612</v>
      </c>
      <c r="Q103" s="250">
        <f>+749389.89%</f>
        <v>7493.8989</v>
      </c>
      <c r="R103" s="1">
        <v>0.0</v>
      </c>
      <c r="S103" s="1">
        <v>141.0206</v>
      </c>
    </row>
    <row r="104">
      <c r="B104" s="1" t="s">
        <v>1625</v>
      </c>
      <c r="C104" s="1">
        <v>2.8708</v>
      </c>
      <c r="D104" s="1">
        <v>2.6042</v>
      </c>
      <c r="E104" s="592">
        <v>-0.0929</v>
      </c>
      <c r="F104" s="1">
        <v>4.244</v>
      </c>
      <c r="G104" s="1">
        <v>4.0451</v>
      </c>
      <c r="H104" s="592">
        <v>-0.0469</v>
      </c>
      <c r="I104" s="1">
        <v>5.9209</v>
      </c>
      <c r="J104" s="1">
        <v>5.7622</v>
      </c>
      <c r="K104" s="592">
        <v>-0.0268</v>
      </c>
      <c r="L104" s="1">
        <v>7.7549</v>
      </c>
      <c r="M104" s="1">
        <v>7.4459</v>
      </c>
      <c r="N104" s="592">
        <v>-0.0398</v>
      </c>
      <c r="O104" s="1">
        <v>10.6282</v>
      </c>
      <c r="P104" s="1">
        <v>10.4446</v>
      </c>
      <c r="Q104" s="592">
        <v>-0.0173</v>
      </c>
      <c r="R104" s="1">
        <v>15.0828</v>
      </c>
      <c r="S104" s="1">
        <v>15.2379</v>
      </c>
      <c r="T104" s="250">
        <f>+1.03%</f>
        <v>0.0103</v>
      </c>
    </row>
    <row r="105">
      <c r="B105" s="1" t="s">
        <v>1630</v>
      </c>
      <c r="C105" s="1">
        <v>6.1446</v>
      </c>
      <c r="D105" s="1">
        <v>5.0224</v>
      </c>
      <c r="E105" s="592">
        <v>-0.1826</v>
      </c>
      <c r="F105" s="1">
        <v>2.3459</v>
      </c>
      <c r="G105" s="1">
        <v>1.8966</v>
      </c>
      <c r="H105" s="592">
        <v>-0.1915</v>
      </c>
      <c r="I105" s="1">
        <v>9.3021</v>
      </c>
      <c r="J105" s="1">
        <v>7.6921</v>
      </c>
      <c r="K105" s="592">
        <v>-0.1731</v>
      </c>
      <c r="L105" s="1">
        <v>16.9734</v>
      </c>
      <c r="M105" s="1">
        <v>14.4273</v>
      </c>
      <c r="N105" s="592">
        <v>-0.15</v>
      </c>
      <c r="O105" s="1">
        <v>27.9493</v>
      </c>
      <c r="P105" s="1">
        <v>23.7752</v>
      </c>
      <c r="Q105" s="592">
        <v>-0.1493</v>
      </c>
      <c r="R105" s="1">
        <v>39.3619</v>
      </c>
      <c r="S105" s="1">
        <v>34.4659</v>
      </c>
      <c r="T105" s="592">
        <v>-0.1244</v>
      </c>
    </row>
    <row r="106">
      <c r="B106" s="1" t="s">
        <v>1634</v>
      </c>
      <c r="C106" s="1">
        <v>0.0</v>
      </c>
      <c r="D106" s="1">
        <v>0.0</v>
      </c>
      <c r="F106" s="1">
        <v>0.0</v>
      </c>
      <c r="G106" s="1">
        <v>0.0</v>
      </c>
      <c r="I106" s="1">
        <v>0.0</v>
      </c>
      <c r="J106" s="1">
        <v>0.0</v>
      </c>
      <c r="L106" s="1">
        <v>0.0</v>
      </c>
      <c r="M106" s="1">
        <v>0.0</v>
      </c>
      <c r="O106" s="1">
        <v>0.0</v>
      </c>
      <c r="P106" s="1">
        <v>0.0</v>
      </c>
      <c r="R106" s="1">
        <v>0.0</v>
      </c>
      <c r="S106" s="1">
        <v>0.0</v>
      </c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/>
  </sheetViews>
  <sheetFormatPr customHeight="1" defaultColWidth="12.63" defaultRowHeight="15.0"/>
  <cols>
    <col customWidth="1" min="2" max="2" width="28.38"/>
  </cols>
  <sheetData>
    <row r="1">
      <c r="A1" s="1" t="s">
        <v>1715</v>
      </c>
    </row>
    <row r="3">
      <c r="A3" s="1" t="s">
        <v>1267</v>
      </c>
      <c r="B3" s="1" t="s">
        <v>866</v>
      </c>
      <c r="C3" s="1" t="s">
        <v>1269</v>
      </c>
      <c r="D3" s="1" t="s">
        <v>1270</v>
      </c>
      <c r="E3" s="1" t="s">
        <v>1718</v>
      </c>
      <c r="F3" s="1" t="s">
        <v>1271</v>
      </c>
    </row>
    <row r="4">
      <c r="A4" s="1" t="s">
        <v>1274</v>
      </c>
    </row>
    <row r="5">
      <c r="B5" s="1" t="s">
        <v>1275</v>
      </c>
      <c r="C5" s="590">
        <v>138720.0</v>
      </c>
      <c r="D5" s="590">
        <v>139110.0</v>
      </c>
      <c r="E5" s="1">
        <v>390.0</v>
      </c>
      <c r="F5" s="250">
        <f>+0.28%</f>
        <v>0.0028</v>
      </c>
    </row>
    <row r="6">
      <c r="A6" s="1" t="s">
        <v>1281</v>
      </c>
    </row>
    <row r="7">
      <c r="B7" s="1" t="s">
        <v>1282</v>
      </c>
      <c r="C7" s="1" t="s">
        <v>1724</v>
      </c>
      <c r="D7" s="1" t="s">
        <v>1725</v>
      </c>
      <c r="E7" s="1" t="s">
        <v>1726</v>
      </c>
      <c r="F7" s="592">
        <v>-0.0906</v>
      </c>
    </row>
    <row r="8">
      <c r="B8" s="1" t="s">
        <v>1298</v>
      </c>
      <c r="C8" s="1" t="s">
        <v>1727</v>
      </c>
      <c r="D8" s="1" t="s">
        <v>1729</v>
      </c>
      <c r="E8" s="1" t="s">
        <v>1730</v>
      </c>
      <c r="F8" s="592">
        <v>-0.0831</v>
      </c>
    </row>
    <row r="9">
      <c r="B9" s="1" t="s">
        <v>1318</v>
      </c>
      <c r="C9" s="1" t="s">
        <v>1731</v>
      </c>
      <c r="D9" s="1" t="s">
        <v>1732</v>
      </c>
      <c r="E9" s="1" t="s">
        <v>1733</v>
      </c>
      <c r="F9" s="592">
        <v>-0.0803</v>
      </c>
    </row>
    <row r="10">
      <c r="A10" s="1" t="s">
        <v>1333</v>
      </c>
    </row>
    <row r="11">
      <c r="B11" s="1" t="s">
        <v>1335</v>
      </c>
      <c r="C11" s="1">
        <v>45.89</v>
      </c>
      <c r="D11" s="1">
        <v>47.08</v>
      </c>
      <c r="E11" s="1">
        <v>1.19</v>
      </c>
      <c r="F11" s="250">
        <f>+2.59%</f>
        <v>0.0259</v>
      </c>
    </row>
    <row r="12">
      <c r="B12" s="1" t="s">
        <v>1340</v>
      </c>
      <c r="C12" s="1">
        <v>27.16</v>
      </c>
      <c r="D12" s="1">
        <v>27.34</v>
      </c>
      <c r="E12" s="1">
        <v>0.18</v>
      </c>
      <c r="F12" s="250">
        <f>+0.65%</f>
        <v>0.0065</v>
      </c>
    </row>
    <row r="13">
      <c r="B13" s="1" t="s">
        <v>1345</v>
      </c>
      <c r="C13" s="1">
        <v>18.59</v>
      </c>
      <c r="D13" s="1">
        <v>18.3</v>
      </c>
      <c r="E13" s="1">
        <v>-0.29</v>
      </c>
      <c r="F13" s="592">
        <v>-0.0154</v>
      </c>
    </row>
    <row r="14">
      <c r="A14" s="1" t="s">
        <v>1348</v>
      </c>
    </row>
    <row r="15">
      <c r="B15" s="1" t="s">
        <v>1349</v>
      </c>
      <c r="C15" s="1">
        <v>12.98</v>
      </c>
      <c r="D15" s="1">
        <v>12.46</v>
      </c>
      <c r="E15" s="1">
        <v>-0.52</v>
      </c>
      <c r="F15" s="592">
        <v>-0.04</v>
      </c>
    </row>
    <row r="16">
      <c r="B16" s="1" t="s">
        <v>1352</v>
      </c>
      <c r="C16" s="1">
        <v>3.0</v>
      </c>
      <c r="D16" s="1">
        <v>3.0</v>
      </c>
      <c r="E16" s="1">
        <v>0.0</v>
      </c>
      <c r="F16" s="592">
        <v>0.0</v>
      </c>
    </row>
    <row r="17">
      <c r="B17" s="1" t="s">
        <v>1354</v>
      </c>
      <c r="C17" s="1">
        <v>7.0</v>
      </c>
      <c r="D17" s="1">
        <v>7.0</v>
      </c>
      <c r="E17" s="1">
        <v>0.0</v>
      </c>
      <c r="F17" s="592">
        <v>0.0</v>
      </c>
    </row>
    <row r="18">
      <c r="B18" s="1" t="s">
        <v>1356</v>
      </c>
      <c r="C18" s="1">
        <v>16.0</v>
      </c>
      <c r="D18" s="1">
        <v>15.0</v>
      </c>
      <c r="E18" s="1">
        <v>-1.0</v>
      </c>
      <c r="F18" s="592">
        <v>-0.0625</v>
      </c>
    </row>
    <row r="19">
      <c r="B19" s="1" t="s">
        <v>1359</v>
      </c>
      <c r="C19" s="1">
        <v>30.0</v>
      </c>
      <c r="D19" s="1">
        <v>29.0</v>
      </c>
      <c r="E19" s="1">
        <v>-1.0</v>
      </c>
      <c r="F19" s="592">
        <v>-0.0333</v>
      </c>
    </row>
    <row r="20">
      <c r="B20" s="1" t="s">
        <v>1362</v>
      </c>
      <c r="C20" s="1">
        <v>87.0</v>
      </c>
      <c r="D20" s="1">
        <v>78.0</v>
      </c>
      <c r="E20" s="1">
        <v>-9.0</v>
      </c>
      <c r="F20" s="592">
        <v>-0.1034</v>
      </c>
    </row>
    <row r="21">
      <c r="A21" s="1" t="s">
        <v>1364</v>
      </c>
    </row>
    <row r="22">
      <c r="B22" s="1" t="s">
        <v>1365</v>
      </c>
      <c r="C22" s="1">
        <v>0.6845</v>
      </c>
      <c r="D22" s="1">
        <v>0.6695</v>
      </c>
      <c r="E22" s="1">
        <v>-0.015</v>
      </c>
      <c r="F22" s="592">
        <v>-0.0219</v>
      </c>
    </row>
    <row r="23">
      <c r="B23" s="1" t="s">
        <v>1368</v>
      </c>
      <c r="C23" s="1">
        <v>0.4286</v>
      </c>
      <c r="D23" s="1">
        <v>0.4406</v>
      </c>
      <c r="E23" s="1">
        <v>0.012</v>
      </c>
      <c r="F23" s="250">
        <f>+2.8%</f>
        <v>0.028</v>
      </c>
    </row>
    <row r="24">
      <c r="B24" s="1" t="s">
        <v>1372</v>
      </c>
      <c r="C24" s="1">
        <v>0.268</v>
      </c>
      <c r="D24" s="1">
        <v>0.2703</v>
      </c>
      <c r="E24" s="1">
        <v>0.0023</v>
      </c>
      <c r="F24" s="250">
        <f>+0.86%</f>
        <v>0.0086</v>
      </c>
    </row>
    <row r="25">
      <c r="B25" s="1" t="s">
        <v>1377</v>
      </c>
      <c r="C25" s="1">
        <v>1.46</v>
      </c>
      <c r="D25" s="1">
        <v>1.49</v>
      </c>
      <c r="E25" s="1">
        <v>0.03</v>
      </c>
      <c r="F25" s="250">
        <f>+2.23%</f>
        <v>0.0223</v>
      </c>
    </row>
    <row r="26">
      <c r="A26" s="1" t="s">
        <v>1385</v>
      </c>
    </row>
    <row r="27">
      <c r="B27" s="1" t="s">
        <v>1387</v>
      </c>
      <c r="C27" s="1">
        <v>123.39</v>
      </c>
      <c r="D27" s="1">
        <v>106.34</v>
      </c>
      <c r="E27" s="1">
        <v>-17.046</v>
      </c>
      <c r="F27" s="592">
        <v>-0.1382</v>
      </c>
    </row>
    <row r="28">
      <c r="B28" s="1" t="s">
        <v>1749</v>
      </c>
      <c r="C28" s="1">
        <v>93.45</v>
      </c>
      <c r="D28" s="1">
        <v>96.11</v>
      </c>
      <c r="E28" s="1">
        <v>2.66</v>
      </c>
      <c r="F28" s="250">
        <f>+2.84%</f>
        <v>0.0284</v>
      </c>
    </row>
    <row r="29">
      <c r="B29" s="1" t="s">
        <v>1751</v>
      </c>
      <c r="C29" s="1">
        <v>29.94</v>
      </c>
      <c r="D29" s="1">
        <v>10.24</v>
      </c>
      <c r="E29" s="1">
        <v>-19.7</v>
      </c>
      <c r="F29" s="592">
        <v>-0.6581</v>
      </c>
    </row>
    <row r="30">
      <c r="B30" s="1" t="s">
        <v>1392</v>
      </c>
      <c r="C30" s="1">
        <v>7.91</v>
      </c>
      <c r="D30" s="1">
        <v>7.38</v>
      </c>
      <c r="E30" s="1">
        <v>-0.53</v>
      </c>
      <c r="F30" s="592">
        <v>-0.0672</v>
      </c>
    </row>
    <row r="31">
      <c r="B31" s="1" t="s">
        <v>1395</v>
      </c>
      <c r="C31" s="1">
        <v>115.48</v>
      </c>
      <c r="D31" s="1">
        <v>98.96</v>
      </c>
      <c r="E31" s="1">
        <v>-16.51</v>
      </c>
      <c r="F31" s="592">
        <v>-0.143</v>
      </c>
    </row>
    <row r="32">
      <c r="B32" s="1" t="s">
        <v>1399</v>
      </c>
      <c r="C32" s="1">
        <v>115.46</v>
      </c>
      <c r="D32" s="1">
        <v>101.39</v>
      </c>
      <c r="E32" s="1">
        <v>-14.07</v>
      </c>
      <c r="F32" s="592">
        <v>-0.1218</v>
      </c>
    </row>
    <row r="33">
      <c r="B33" s="1" t="s">
        <v>1754</v>
      </c>
      <c r="C33" s="1">
        <v>7.93</v>
      </c>
      <c r="D33" s="1">
        <v>4.95</v>
      </c>
      <c r="E33" s="1">
        <v>-2.98</v>
      </c>
      <c r="F33" s="592">
        <v>-0.3758</v>
      </c>
    </row>
    <row r="34">
      <c r="B34" s="1" t="s">
        <v>1404</v>
      </c>
      <c r="C34" s="1">
        <v>4.25</v>
      </c>
      <c r="D34" s="1">
        <v>3.71</v>
      </c>
      <c r="E34" s="1">
        <v>-0.54</v>
      </c>
      <c r="F34" s="592">
        <v>-0.1275</v>
      </c>
    </row>
    <row r="35">
      <c r="B35" s="1" t="s">
        <v>1407</v>
      </c>
      <c r="C35" s="1">
        <v>6.41</v>
      </c>
      <c r="D35" s="1">
        <v>6.94</v>
      </c>
      <c r="E35" s="1">
        <v>0.53</v>
      </c>
      <c r="F35" s="250">
        <f>+8.27%</f>
        <v>0.0827</v>
      </c>
    </row>
    <row r="36">
      <c r="A36" s="1" t="s">
        <v>1412</v>
      </c>
    </row>
    <row r="37">
      <c r="B37" s="1" t="s">
        <v>1414</v>
      </c>
      <c r="C37" s="1">
        <v>67.91</v>
      </c>
      <c r="D37" s="1">
        <v>42.87</v>
      </c>
      <c r="E37" s="1">
        <v>-25.0352</v>
      </c>
      <c r="F37" s="592">
        <v>-0.3687</v>
      </c>
    </row>
    <row r="38">
      <c r="B38" s="1" t="s">
        <v>1416</v>
      </c>
      <c r="C38" s="1">
        <v>43.38</v>
      </c>
      <c r="D38" s="1">
        <v>52.01</v>
      </c>
      <c r="E38" s="1">
        <v>8.628</v>
      </c>
      <c r="F38" s="250">
        <f>+19.89%</f>
        <v>0.1989</v>
      </c>
    </row>
    <row r="39">
      <c r="B39" s="1" t="s">
        <v>1421</v>
      </c>
      <c r="C39" s="1">
        <v>2.58</v>
      </c>
      <c r="D39" s="1">
        <v>2.53</v>
      </c>
      <c r="E39" s="1">
        <v>-0.05</v>
      </c>
      <c r="F39" s="592">
        <v>-0.018</v>
      </c>
    </row>
    <row r="40">
      <c r="B40" s="1" t="s">
        <v>1424</v>
      </c>
      <c r="C40" s="1">
        <v>7.91</v>
      </c>
      <c r="D40" s="1">
        <v>7.38</v>
      </c>
      <c r="E40" s="1">
        <v>-0.53</v>
      </c>
      <c r="F40" s="592">
        <v>-0.0673</v>
      </c>
    </row>
    <row r="41">
      <c r="B41" s="1" t="s">
        <v>1428</v>
      </c>
      <c r="C41" s="1">
        <v>1.62</v>
      </c>
      <c r="D41" s="1">
        <v>1.56</v>
      </c>
      <c r="E41" s="1">
        <v>-0.0596</v>
      </c>
      <c r="F41" s="592">
        <v>-0.0369</v>
      </c>
    </row>
    <row r="42">
      <c r="A42" s="1" t="s">
        <v>1430</v>
      </c>
    </row>
    <row r="43">
      <c r="B43" s="1" t="s">
        <v>1432</v>
      </c>
      <c r="C43" s="1">
        <v>181.0</v>
      </c>
      <c r="D43" s="1">
        <v>174.0</v>
      </c>
      <c r="E43" s="1">
        <v>-7.0</v>
      </c>
      <c r="F43" s="592">
        <v>-0.0387</v>
      </c>
    </row>
    <row r="44">
      <c r="B44" s="1" t="s">
        <v>1434</v>
      </c>
      <c r="C44" s="1">
        <v>383.0</v>
      </c>
      <c r="D44" s="1">
        <v>334.0</v>
      </c>
      <c r="E44" s="1">
        <v>-49.0</v>
      </c>
      <c r="F44" s="592">
        <v>-0.1279</v>
      </c>
    </row>
    <row r="45">
      <c r="B45" s="1" t="s">
        <v>1436</v>
      </c>
      <c r="C45" s="590">
        <v>1414.0</v>
      </c>
      <c r="D45" s="590">
        <v>1209.0</v>
      </c>
      <c r="E45" s="1">
        <v>-205.0</v>
      </c>
      <c r="F45" s="592">
        <v>-0.145</v>
      </c>
    </row>
    <row r="46">
      <c r="B46" s="1" t="s">
        <v>1438</v>
      </c>
      <c r="C46" s="590">
        <v>20847.0</v>
      </c>
      <c r="D46" s="590">
        <v>19409.0</v>
      </c>
      <c r="E46" s="590">
        <v>-1438.0</v>
      </c>
      <c r="F46" s="592">
        <v>-0.069</v>
      </c>
    </row>
    <row r="47">
      <c r="A47" s="1" t="s">
        <v>1763</v>
      </c>
    </row>
    <row r="48">
      <c r="B48" s="1" t="s">
        <v>1765</v>
      </c>
      <c r="C48" s="1">
        <v>51.77</v>
      </c>
      <c r="D48" s="1">
        <v>51.67</v>
      </c>
      <c r="E48" s="1">
        <v>-0.09</v>
      </c>
      <c r="F48" s="592">
        <v>-0.0018</v>
      </c>
    </row>
    <row r="49">
      <c r="B49" s="1" t="s">
        <v>1766</v>
      </c>
      <c r="C49" s="1">
        <v>0.66</v>
      </c>
      <c r="D49" s="1">
        <v>0.66</v>
      </c>
      <c r="E49" s="1">
        <v>0.0</v>
      </c>
      <c r="F49" s="592">
        <v>-0.0047</v>
      </c>
    </row>
    <row r="50">
      <c r="A50" s="1" t="s">
        <v>1768</v>
      </c>
    </row>
    <row r="51">
      <c r="B51" s="1" t="s">
        <v>1769</v>
      </c>
      <c r="C51" s="592">
        <v>0.5117</v>
      </c>
      <c r="D51" s="592">
        <v>0.5044</v>
      </c>
      <c r="E51" s="592">
        <v>-0.0073</v>
      </c>
      <c r="F51" s="592">
        <v>-0.0143</v>
      </c>
    </row>
    <row r="52">
      <c r="B52" s="1" t="s">
        <v>1770</v>
      </c>
      <c r="C52" s="592">
        <v>0.2046</v>
      </c>
      <c r="D52" s="592">
        <v>0.2002</v>
      </c>
      <c r="E52" s="592">
        <v>-0.0045</v>
      </c>
      <c r="F52" s="592">
        <v>-0.0218</v>
      </c>
    </row>
    <row r="53">
      <c r="B53" s="1" t="s">
        <v>1772</v>
      </c>
      <c r="C53" s="592">
        <v>0.0363</v>
      </c>
      <c r="D53" s="592">
        <v>0.0348</v>
      </c>
      <c r="E53" s="592">
        <v>-0.0015</v>
      </c>
      <c r="F53" s="592">
        <v>-0.0415</v>
      </c>
    </row>
    <row r="54">
      <c r="A54" s="1" t="s">
        <v>1773</v>
      </c>
    </row>
    <row r="55">
      <c r="B55" s="1" t="s">
        <v>1775</v>
      </c>
      <c r="C55" s="1">
        <v>0.3935</v>
      </c>
      <c r="D55" s="1">
        <v>0.3975</v>
      </c>
      <c r="E55" s="1">
        <v>0.004</v>
      </c>
      <c r="F55" s="250">
        <f>+1.02%</f>
        <v>0.0102</v>
      </c>
    </row>
    <row r="56">
      <c r="A56" s="1" t="s">
        <v>1461</v>
      </c>
    </row>
    <row r="57">
      <c r="B57" s="1" t="s">
        <v>1464</v>
      </c>
      <c r="D57" s="592">
        <v>0.5044</v>
      </c>
    </row>
    <row r="58">
      <c r="B58" s="1" t="s">
        <v>1778</v>
      </c>
      <c r="D58" s="592">
        <v>0.5044</v>
      </c>
    </row>
    <row r="59">
      <c r="B59" s="1" t="s">
        <v>1779</v>
      </c>
      <c r="D59" s="592">
        <v>0.2002</v>
      </c>
    </row>
    <row r="60">
      <c r="B60" s="1" t="s">
        <v>1780</v>
      </c>
      <c r="D60" s="592">
        <v>0.0348</v>
      </c>
    </row>
    <row r="61">
      <c r="A61" s="1" t="s">
        <v>1441</v>
      </c>
    </row>
    <row r="62">
      <c r="B62" s="1" t="s">
        <v>1442</v>
      </c>
      <c r="C62" s="1">
        <v>6.4909</v>
      </c>
      <c r="D62" s="1">
        <v>6.2102</v>
      </c>
      <c r="E62" s="1">
        <v>-0.28</v>
      </c>
      <c r="F62" s="592">
        <v>-0.0432</v>
      </c>
    </row>
    <row r="63">
      <c r="B63" s="1" t="s">
        <v>1446</v>
      </c>
      <c r="C63" s="1">
        <v>0.1468</v>
      </c>
      <c r="D63" s="1">
        <v>0.1273</v>
      </c>
      <c r="E63" s="1">
        <v>-0.02</v>
      </c>
      <c r="F63" s="592">
        <v>-0.1328</v>
      </c>
    </row>
    <row r="64">
      <c r="B64" s="1" t="s">
        <v>1449</v>
      </c>
      <c r="C64" s="1">
        <v>6.3441</v>
      </c>
      <c r="D64" s="1">
        <v>6.0829</v>
      </c>
      <c r="E64" s="1">
        <v>-0.26</v>
      </c>
      <c r="F64" s="592">
        <v>-0.0412</v>
      </c>
    </row>
    <row r="65">
      <c r="B65" s="1" t="s">
        <v>1453</v>
      </c>
      <c r="C65" s="1">
        <v>5.4066</v>
      </c>
      <c r="D65" s="1">
        <v>5.1412</v>
      </c>
      <c r="E65" s="1">
        <v>-0.27</v>
      </c>
      <c r="F65" s="592">
        <v>-0.0491</v>
      </c>
    </row>
    <row r="66">
      <c r="B66" s="1" t="s">
        <v>1456</v>
      </c>
      <c r="C66" s="1">
        <v>1.0843</v>
      </c>
      <c r="D66" s="1">
        <v>1.069</v>
      </c>
      <c r="E66" s="1">
        <v>-0.02</v>
      </c>
      <c r="F66" s="592">
        <v>-0.0141</v>
      </c>
    </row>
    <row r="67">
      <c r="B67" s="1" t="s">
        <v>1458</v>
      </c>
      <c r="C67" s="1">
        <v>0.1991</v>
      </c>
      <c r="D67" s="1">
        <v>0.1881</v>
      </c>
      <c r="E67" s="1">
        <v>-0.011</v>
      </c>
      <c r="F67" s="592">
        <v>-0.0552</v>
      </c>
    </row>
    <row r="69">
      <c r="A69" s="1" t="s">
        <v>47</v>
      </c>
    </row>
    <row r="70">
      <c r="B70" s="1" t="s">
        <v>1475</v>
      </c>
      <c r="C70" s="1">
        <v>1.4163</v>
      </c>
      <c r="D70" s="1">
        <v>1.2623</v>
      </c>
      <c r="E70" s="1">
        <v>-0.15</v>
      </c>
      <c r="F70" s="592">
        <v>-0.1087</v>
      </c>
    </row>
    <row r="71">
      <c r="B71" s="1" t="s">
        <v>1480</v>
      </c>
      <c r="C71" s="1">
        <v>0.0273</v>
      </c>
      <c r="D71" s="1">
        <v>0.0243</v>
      </c>
      <c r="E71" s="1">
        <v>0.0</v>
      </c>
      <c r="F71" s="592">
        <v>-0.1099</v>
      </c>
    </row>
    <row r="72">
      <c r="B72" s="1" t="s">
        <v>1484</v>
      </c>
      <c r="C72" s="1">
        <v>1.3889</v>
      </c>
      <c r="D72" s="1">
        <v>1.2379</v>
      </c>
      <c r="E72" s="1">
        <v>-0.15</v>
      </c>
      <c r="F72" s="592">
        <v>-0.1087</v>
      </c>
    </row>
    <row r="73">
      <c r="B73" s="1" t="s">
        <v>1488</v>
      </c>
      <c r="C73" s="1">
        <v>1.0705</v>
      </c>
      <c r="D73" s="1">
        <v>0.9899</v>
      </c>
      <c r="E73" s="1">
        <v>-0.08</v>
      </c>
      <c r="F73" s="592">
        <v>-0.0753</v>
      </c>
    </row>
    <row r="74">
      <c r="B74" s="1" t="s">
        <v>1492</v>
      </c>
      <c r="C74" s="1">
        <v>0.3458</v>
      </c>
      <c r="D74" s="1">
        <v>0.2724</v>
      </c>
      <c r="E74" s="1">
        <v>-0.07</v>
      </c>
      <c r="F74" s="592">
        <v>-0.2123</v>
      </c>
    </row>
    <row r="75">
      <c r="A75" s="1" t="s">
        <v>48</v>
      </c>
    </row>
    <row r="76">
      <c r="B76" s="1" t="s">
        <v>1495</v>
      </c>
      <c r="C76" s="1">
        <v>1.5755</v>
      </c>
      <c r="D76" s="1">
        <v>1.3041</v>
      </c>
      <c r="E76" s="1">
        <v>-0.27</v>
      </c>
      <c r="F76" s="592">
        <v>-0.1723</v>
      </c>
    </row>
    <row r="77">
      <c r="B77" s="1" t="s">
        <v>1498</v>
      </c>
      <c r="C77" s="1">
        <v>0.0255</v>
      </c>
      <c r="D77" s="1">
        <v>0.0213</v>
      </c>
      <c r="E77" s="1">
        <v>0.0</v>
      </c>
      <c r="F77" s="592">
        <v>-0.1647</v>
      </c>
    </row>
    <row r="78">
      <c r="B78" s="1" t="s">
        <v>1501</v>
      </c>
      <c r="C78" s="1">
        <v>1.55</v>
      </c>
      <c r="D78" s="1">
        <v>1.2828</v>
      </c>
      <c r="E78" s="1">
        <v>-0.27</v>
      </c>
      <c r="F78" s="592">
        <v>-0.1724</v>
      </c>
    </row>
    <row r="79">
      <c r="B79" s="1" t="s">
        <v>1505</v>
      </c>
      <c r="C79" s="1">
        <v>1.1085</v>
      </c>
      <c r="D79" s="1">
        <v>0.9603</v>
      </c>
      <c r="E79" s="1">
        <v>-0.15</v>
      </c>
      <c r="F79" s="592">
        <v>-0.1337</v>
      </c>
    </row>
    <row r="80">
      <c r="B80" s="1" t="s">
        <v>1508</v>
      </c>
      <c r="C80" s="1">
        <v>0.467</v>
      </c>
      <c r="D80" s="1">
        <v>0.3438</v>
      </c>
      <c r="E80" s="1">
        <v>-0.12</v>
      </c>
      <c r="F80" s="592">
        <v>-0.2638</v>
      </c>
    </row>
    <row r="81">
      <c r="A81" s="1" t="s">
        <v>50</v>
      </c>
    </row>
    <row r="82">
      <c r="B82" s="1" t="s">
        <v>1510</v>
      </c>
      <c r="C82" s="1">
        <v>0.7991</v>
      </c>
      <c r="D82" s="1">
        <v>0.7773</v>
      </c>
      <c r="E82" s="1">
        <v>-0.02</v>
      </c>
      <c r="F82" s="592">
        <v>-0.0273</v>
      </c>
    </row>
    <row r="83">
      <c r="B83" s="1" t="s">
        <v>1514</v>
      </c>
      <c r="C83" s="1">
        <v>0.0335</v>
      </c>
      <c r="D83" s="1">
        <v>0.0255</v>
      </c>
      <c r="E83" s="1">
        <v>-0.01</v>
      </c>
      <c r="F83" s="592">
        <v>-0.2388</v>
      </c>
    </row>
    <row r="84">
      <c r="B84" s="1" t="s">
        <v>1516</v>
      </c>
      <c r="C84" s="1">
        <v>0.7656</v>
      </c>
      <c r="D84" s="1">
        <v>0.7518</v>
      </c>
      <c r="E84" s="1">
        <v>-0.01</v>
      </c>
      <c r="F84" s="592">
        <v>-0.018</v>
      </c>
    </row>
    <row r="85">
      <c r="B85" s="1" t="s">
        <v>1519</v>
      </c>
      <c r="C85" s="1">
        <v>0.6199</v>
      </c>
      <c r="D85" s="1">
        <v>0.6203</v>
      </c>
      <c r="E85" s="1">
        <v>0.0</v>
      </c>
      <c r="F85" s="250">
        <f>+0.06%</f>
        <v>0.0006</v>
      </c>
    </row>
    <row r="86">
      <c r="B86" s="1" t="s">
        <v>1523</v>
      </c>
      <c r="C86" s="1">
        <v>0.1792</v>
      </c>
      <c r="D86" s="1">
        <v>0.157</v>
      </c>
      <c r="E86" s="1">
        <v>-0.02</v>
      </c>
      <c r="F86" s="592">
        <v>-0.1239</v>
      </c>
    </row>
    <row r="87">
      <c r="A87" s="1" t="s">
        <v>52</v>
      </c>
    </row>
    <row r="88">
      <c r="B88" s="1" t="s">
        <v>1525</v>
      </c>
      <c r="C88" s="1">
        <v>1.0934</v>
      </c>
      <c r="D88" s="1">
        <v>1.3527</v>
      </c>
      <c r="E88" s="1">
        <v>0.26</v>
      </c>
      <c r="F88" s="250">
        <f>+23.72%</f>
        <v>0.2372</v>
      </c>
    </row>
    <row r="89">
      <c r="B89" s="1" t="s">
        <v>1531</v>
      </c>
      <c r="C89" s="1">
        <v>0.0252</v>
      </c>
      <c r="D89" s="1">
        <v>0.0227</v>
      </c>
      <c r="E89" s="1">
        <v>0.0</v>
      </c>
      <c r="F89" s="592">
        <v>-0.0992</v>
      </c>
    </row>
    <row r="90">
      <c r="B90" s="1" t="s">
        <v>1535</v>
      </c>
      <c r="C90" s="1">
        <v>1.0682</v>
      </c>
      <c r="D90" s="1">
        <v>1.33</v>
      </c>
      <c r="E90" s="1">
        <v>0.26</v>
      </c>
      <c r="F90" s="250">
        <f>+24.51%</f>
        <v>0.2451</v>
      </c>
    </row>
    <row r="91">
      <c r="B91" s="1" t="s">
        <v>1538</v>
      </c>
      <c r="C91" s="1">
        <v>0.9984</v>
      </c>
      <c r="D91" s="1">
        <v>1.1056</v>
      </c>
      <c r="E91" s="1">
        <v>0.11</v>
      </c>
      <c r="F91" s="250">
        <f>+10.74%</f>
        <v>0.1074</v>
      </c>
    </row>
    <row r="92">
      <c r="B92" s="1" t="s">
        <v>1550</v>
      </c>
      <c r="C92" s="1">
        <v>0.095</v>
      </c>
      <c r="D92" s="1">
        <v>0.2471</v>
      </c>
      <c r="E92" s="1">
        <v>0.15</v>
      </c>
      <c r="F92" s="250">
        <f>+160.11%</f>
        <v>1.6011</v>
      </c>
    </row>
    <row r="93">
      <c r="A93" s="1" t="s">
        <v>53</v>
      </c>
    </row>
    <row r="94">
      <c r="B94" s="1" t="s">
        <v>1558</v>
      </c>
      <c r="C94" s="1">
        <v>1.0713</v>
      </c>
      <c r="D94" s="1">
        <v>1.0144</v>
      </c>
      <c r="E94" s="1">
        <v>-0.06</v>
      </c>
      <c r="F94" s="592">
        <v>-0.0531</v>
      </c>
    </row>
    <row r="95">
      <c r="B95" s="1" t="s">
        <v>1563</v>
      </c>
      <c r="C95" s="1">
        <v>0.0201</v>
      </c>
      <c r="D95" s="1">
        <v>0.0195</v>
      </c>
      <c r="E95" s="1">
        <v>0.0</v>
      </c>
      <c r="F95" s="592">
        <v>-0.0299</v>
      </c>
    </row>
    <row r="96">
      <c r="B96" s="1" t="s">
        <v>1569</v>
      </c>
      <c r="C96" s="1">
        <v>1.0512</v>
      </c>
      <c r="D96" s="1">
        <v>0.9948</v>
      </c>
      <c r="E96" s="1">
        <v>-0.06</v>
      </c>
      <c r="F96" s="592">
        <v>-0.0537</v>
      </c>
    </row>
    <row r="97">
      <c r="B97" s="1" t="s">
        <v>1572</v>
      </c>
      <c r="C97" s="1">
        <v>1.0191</v>
      </c>
      <c r="D97" s="1">
        <v>0.9372</v>
      </c>
      <c r="E97" s="1">
        <v>-0.08</v>
      </c>
      <c r="F97" s="592">
        <v>-0.0804</v>
      </c>
    </row>
    <row r="98">
      <c r="B98" s="1" t="s">
        <v>1574</v>
      </c>
      <c r="C98" s="1">
        <v>0.0522</v>
      </c>
      <c r="D98" s="1">
        <v>0.0772</v>
      </c>
      <c r="E98" s="1">
        <v>0.02</v>
      </c>
      <c r="F98" s="250">
        <f>+47.89%</f>
        <v>0.4789</v>
      </c>
    </row>
    <row r="99">
      <c r="A99" s="1" t="s">
        <v>1578</v>
      </c>
    </row>
    <row r="100">
      <c r="B100" s="1" t="s">
        <v>1579</v>
      </c>
      <c r="C100" s="1">
        <v>0.5354</v>
      </c>
      <c r="D100" s="1">
        <v>0.4995</v>
      </c>
      <c r="E100" s="1">
        <v>-0.04</v>
      </c>
      <c r="F100" s="592">
        <v>-0.0671</v>
      </c>
    </row>
    <row r="101">
      <c r="B101" s="1" t="s">
        <v>1584</v>
      </c>
      <c r="C101" s="1">
        <v>0.0153</v>
      </c>
      <c r="D101" s="1">
        <v>0.0138</v>
      </c>
      <c r="E101" s="1">
        <v>0.0</v>
      </c>
      <c r="F101" s="592">
        <v>-0.098</v>
      </c>
    </row>
    <row r="102">
      <c r="B102" s="1" t="s">
        <v>1588</v>
      </c>
      <c r="C102" s="1">
        <v>0.5202</v>
      </c>
      <c r="D102" s="1">
        <v>0.4857</v>
      </c>
      <c r="E102" s="1">
        <v>-0.03</v>
      </c>
      <c r="F102" s="592">
        <v>-0.0663</v>
      </c>
    </row>
    <row r="103">
      <c r="B103" s="1" t="s">
        <v>1592</v>
      </c>
      <c r="C103" s="1">
        <v>0.5902</v>
      </c>
      <c r="D103" s="1">
        <v>0.5278</v>
      </c>
      <c r="E103" s="1">
        <v>-0.06</v>
      </c>
      <c r="F103" s="592">
        <v>-0.1057</v>
      </c>
    </row>
    <row r="104">
      <c r="B104" s="1" t="s">
        <v>1597</v>
      </c>
      <c r="C104" s="1">
        <v>-0.0548</v>
      </c>
      <c r="D104" s="1">
        <v>-0.0283</v>
      </c>
      <c r="E104" s="1">
        <v>0.03</v>
      </c>
      <c r="F104" s="250">
        <f>+48.36%</f>
        <v>0.4836</v>
      </c>
    </row>
    <row r="105">
      <c r="A105" s="1" t="s">
        <v>46</v>
      </c>
    </row>
    <row r="106">
      <c r="B106" s="1" t="s">
        <v>1601</v>
      </c>
      <c r="C106" s="1">
        <v>251.1018</v>
      </c>
      <c r="D106" s="1">
        <v>218.7314</v>
      </c>
      <c r="E106" s="1">
        <v>-32.37</v>
      </c>
      <c r="F106" s="592">
        <v>-0.1289</v>
      </c>
    </row>
    <row r="107">
      <c r="B107" s="1" t="s">
        <v>1604</v>
      </c>
      <c r="C107" s="1">
        <v>68.58</v>
      </c>
      <c r="D107" s="1">
        <v>68.26</v>
      </c>
      <c r="E107" s="1">
        <v>-0.32</v>
      </c>
      <c r="F107" s="592">
        <v>-0.0047</v>
      </c>
    </row>
    <row r="108">
      <c r="B108" s="1" t="s">
        <v>1609</v>
      </c>
      <c r="C108" s="1">
        <v>366.17</v>
      </c>
      <c r="D108" s="1">
        <v>320.44</v>
      </c>
      <c r="E108" s="1">
        <v>-45.73</v>
      </c>
      <c r="F108" s="592">
        <v>-0.1249</v>
      </c>
    </row>
    <row r="109">
      <c r="B109" s="1" t="s">
        <v>1613</v>
      </c>
      <c r="C109" s="1">
        <v>234.3111</v>
      </c>
      <c r="D109" s="1">
        <v>182.7729</v>
      </c>
      <c r="E109" s="1">
        <v>-51.54</v>
      </c>
      <c r="F109" s="592">
        <v>-0.22</v>
      </c>
    </row>
    <row r="110">
      <c r="B110" s="1" t="s">
        <v>1617</v>
      </c>
      <c r="C110" s="1">
        <v>0.0036</v>
      </c>
      <c r="D110" s="1">
        <v>21.1863</v>
      </c>
      <c r="E110" s="1">
        <v>21.18</v>
      </c>
      <c r="F110" s="250">
        <f>+588408.33%</f>
        <v>5884.0833</v>
      </c>
    </row>
    <row r="111">
      <c r="B111" s="1" t="s">
        <v>1625</v>
      </c>
      <c r="C111" s="1">
        <v>5.9297</v>
      </c>
      <c r="D111" s="1">
        <v>5.6911</v>
      </c>
      <c r="E111" s="1">
        <v>-0.24</v>
      </c>
      <c r="F111" s="592">
        <v>-0.0402</v>
      </c>
    </row>
    <row r="112">
      <c r="B112" s="1" t="s">
        <v>1630</v>
      </c>
      <c r="C112" s="1">
        <v>10.8575</v>
      </c>
      <c r="D112" s="1">
        <v>9.0807</v>
      </c>
      <c r="E112" s="1">
        <v>-1.78</v>
      </c>
      <c r="F112" s="592">
        <v>-0.1636</v>
      </c>
    </row>
    <row r="113">
      <c r="B113" s="1" t="s">
        <v>1634</v>
      </c>
      <c r="C113" s="1">
        <v>0.0</v>
      </c>
      <c r="D113" s="1">
        <v>0.0</v>
      </c>
      <c r="E113" s="1">
        <v>0.0</v>
      </c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4.75"/>
    <col customWidth="1" min="3" max="3" width="6.63"/>
    <col customWidth="1" min="4" max="16" width="6.0"/>
    <col customWidth="1" min="17" max="17" width="2.5"/>
    <col customWidth="1" min="18" max="30" width="6.0"/>
    <col customWidth="1" min="31" max="31" width="2.5"/>
    <col customWidth="1" min="32" max="44" width="6.0"/>
    <col customWidth="1" min="45" max="45" width="2.5"/>
    <col customWidth="1" min="46" max="58" width="6.0"/>
    <col customWidth="1" min="59" max="59" width="2.5"/>
    <col customWidth="1" min="60" max="72" width="6.0"/>
    <col customWidth="1" min="73" max="73" width="2.5"/>
    <col customWidth="1" min="74" max="86" width="6.0"/>
    <col customWidth="1" min="87" max="87" width="2.5"/>
    <col customWidth="1" min="88" max="100" width="6.0"/>
    <col customWidth="1" min="101" max="101" width="2.5"/>
    <col customWidth="1" min="102" max="102" width="18.38"/>
  </cols>
  <sheetData>
    <row r="1">
      <c r="B1" s="542" t="s">
        <v>1857</v>
      </c>
      <c r="CX1" s="296" t="s">
        <v>1860</v>
      </c>
    </row>
    <row r="2">
      <c r="CX2" s="296" t="s">
        <v>1863</v>
      </c>
    </row>
    <row r="3">
      <c r="B3" s="546" t="s">
        <v>179</v>
      </c>
      <c r="C3" s="609" t="s">
        <v>180</v>
      </c>
      <c r="D3" s="610" t="s">
        <v>1869</v>
      </c>
      <c r="CX3" s="296" t="s">
        <v>393</v>
      </c>
    </row>
    <row r="4">
      <c r="B4" s="546" t="s">
        <v>1203</v>
      </c>
      <c r="C4" s="611" t="s">
        <v>26</v>
      </c>
      <c r="CX4" s="296" t="s">
        <v>341</v>
      </c>
    </row>
    <row r="5">
      <c r="B5" s="546" t="s">
        <v>422</v>
      </c>
      <c r="C5" s="609" t="s">
        <v>1863</v>
      </c>
      <c r="CX5" s="296" t="s">
        <v>206</v>
      </c>
    </row>
    <row r="6">
      <c r="CX6" s="296" t="s">
        <v>338</v>
      </c>
    </row>
    <row r="7">
      <c r="D7" s="612" t="s">
        <v>1878</v>
      </c>
      <c r="E7" s="612"/>
      <c r="F7" s="612"/>
      <c r="G7" s="612"/>
      <c r="H7" s="612"/>
      <c r="I7" s="612"/>
      <c r="J7" s="612"/>
      <c r="K7" s="612"/>
      <c r="L7" s="612"/>
      <c r="M7" s="612"/>
      <c r="N7" s="612"/>
      <c r="O7" s="612"/>
      <c r="P7" s="612"/>
      <c r="R7" s="555" t="s">
        <v>1882</v>
      </c>
      <c r="S7" s="555"/>
      <c r="T7" s="555"/>
      <c r="U7" s="555"/>
      <c r="V7" s="555"/>
      <c r="W7" s="555"/>
      <c r="X7" s="555"/>
      <c r="Y7" s="555"/>
      <c r="Z7" s="555"/>
      <c r="AA7" s="555"/>
      <c r="AB7" s="555"/>
      <c r="AC7" s="555"/>
      <c r="AD7" s="555"/>
      <c r="AF7" s="557" t="s">
        <v>1886</v>
      </c>
      <c r="AG7" s="557"/>
      <c r="AH7" s="557"/>
      <c r="AI7" s="557"/>
      <c r="AJ7" s="557"/>
      <c r="AK7" s="557"/>
      <c r="AL7" s="557"/>
      <c r="AM7" s="557"/>
      <c r="AN7" s="557"/>
      <c r="AO7" s="557"/>
      <c r="AP7" s="557"/>
      <c r="AQ7" s="557"/>
      <c r="AR7" s="557"/>
      <c r="AT7" s="613" t="s">
        <v>1893</v>
      </c>
      <c r="AU7" s="613"/>
      <c r="AV7" s="613"/>
      <c r="AW7" s="613"/>
      <c r="AX7" s="613"/>
      <c r="AY7" s="613"/>
      <c r="AZ7" s="613"/>
      <c r="BA7" s="613"/>
      <c r="BB7" s="613"/>
      <c r="BC7" s="613"/>
      <c r="BD7" s="613"/>
      <c r="BE7" s="613"/>
      <c r="BF7" s="613"/>
      <c r="BH7" s="613" t="s">
        <v>1896</v>
      </c>
      <c r="BI7" s="613"/>
      <c r="BJ7" s="613"/>
      <c r="BK7" s="613"/>
      <c r="BL7" s="613"/>
      <c r="BM7" s="613"/>
      <c r="BN7" s="613"/>
      <c r="BO7" s="613"/>
      <c r="BP7" s="613"/>
      <c r="BQ7" s="613"/>
      <c r="BR7" s="613"/>
      <c r="BS7" s="613"/>
      <c r="BT7" s="613"/>
      <c r="BV7" s="613" t="s">
        <v>1899</v>
      </c>
      <c r="BW7" s="613"/>
      <c r="BX7" s="613"/>
      <c r="BY7" s="613"/>
      <c r="BZ7" s="613"/>
      <c r="CA7" s="613"/>
      <c r="CB7" s="613"/>
      <c r="CC7" s="613"/>
      <c r="CD7" s="613"/>
      <c r="CE7" s="613"/>
      <c r="CF7" s="613"/>
      <c r="CG7" s="613"/>
      <c r="CH7" s="613"/>
      <c r="CJ7" s="614" t="s">
        <v>1902</v>
      </c>
      <c r="CK7" s="557"/>
      <c r="CL7" s="557"/>
      <c r="CM7" s="557"/>
      <c r="CN7" s="557"/>
      <c r="CO7" s="557"/>
      <c r="CP7" s="557"/>
      <c r="CQ7" s="557"/>
      <c r="CR7" s="557"/>
      <c r="CS7" s="557"/>
      <c r="CT7" s="557"/>
      <c r="CU7" s="557"/>
      <c r="CV7" s="557"/>
      <c r="CX7" s="296" t="s">
        <v>396</v>
      </c>
    </row>
    <row r="8" ht="77.25" customHeight="1">
      <c r="A8" s="615"/>
      <c r="B8" s="616" t="s">
        <v>96</v>
      </c>
      <c r="C8" s="616" t="s">
        <v>1908</v>
      </c>
      <c r="D8" s="617" t="s">
        <v>1205</v>
      </c>
      <c r="E8" s="617" t="s">
        <v>52</v>
      </c>
      <c r="F8" s="617" t="s">
        <v>53</v>
      </c>
      <c r="G8" s="617" t="s">
        <v>54</v>
      </c>
      <c r="H8" s="617" t="s">
        <v>47</v>
      </c>
      <c r="I8" s="617" t="s">
        <v>48</v>
      </c>
      <c r="J8" s="617" t="s">
        <v>50</v>
      </c>
      <c r="K8" s="617" t="s">
        <v>1209</v>
      </c>
      <c r="L8" s="617" t="s">
        <v>1210</v>
      </c>
      <c r="M8" s="617" t="s">
        <v>1211</v>
      </c>
      <c r="N8" s="617" t="s">
        <v>55</v>
      </c>
      <c r="O8" s="617" t="s">
        <v>46</v>
      </c>
      <c r="P8" s="617" t="s">
        <v>1213</v>
      </c>
      <c r="Q8" s="615"/>
      <c r="R8" s="563" t="s">
        <v>1205</v>
      </c>
      <c r="S8" s="563" t="s">
        <v>52</v>
      </c>
      <c r="T8" s="563" t="s">
        <v>53</v>
      </c>
      <c r="U8" s="563" t="s">
        <v>54</v>
      </c>
      <c r="V8" s="563" t="s">
        <v>47</v>
      </c>
      <c r="W8" s="563" t="s">
        <v>48</v>
      </c>
      <c r="X8" s="563" t="s">
        <v>50</v>
      </c>
      <c r="Y8" s="563" t="s">
        <v>1209</v>
      </c>
      <c r="Z8" s="563" t="s">
        <v>1210</v>
      </c>
      <c r="AA8" s="563" t="s">
        <v>1211</v>
      </c>
      <c r="AB8" s="563" t="s">
        <v>55</v>
      </c>
      <c r="AC8" s="563" t="s">
        <v>46</v>
      </c>
      <c r="AD8" s="563" t="s">
        <v>1213</v>
      </c>
      <c r="AE8" s="615"/>
      <c r="AF8" s="567" t="s">
        <v>1205</v>
      </c>
      <c r="AG8" s="567" t="s">
        <v>52</v>
      </c>
      <c r="AH8" s="567" t="s">
        <v>53</v>
      </c>
      <c r="AI8" s="567" t="s">
        <v>54</v>
      </c>
      <c r="AJ8" s="567" t="s">
        <v>47</v>
      </c>
      <c r="AK8" s="567" t="s">
        <v>48</v>
      </c>
      <c r="AL8" s="567" t="s">
        <v>50</v>
      </c>
      <c r="AM8" s="567" t="s">
        <v>1209</v>
      </c>
      <c r="AN8" s="567" t="s">
        <v>1210</v>
      </c>
      <c r="AO8" s="567" t="s">
        <v>1211</v>
      </c>
      <c r="AP8" s="567" t="s">
        <v>55</v>
      </c>
      <c r="AQ8" s="567" t="s">
        <v>46</v>
      </c>
      <c r="AR8" s="567" t="s">
        <v>1213</v>
      </c>
      <c r="AS8" s="615"/>
      <c r="AT8" s="618" t="s">
        <v>1205</v>
      </c>
      <c r="AU8" s="618" t="s">
        <v>52</v>
      </c>
      <c r="AV8" s="618" t="s">
        <v>53</v>
      </c>
      <c r="AW8" s="618" t="s">
        <v>54</v>
      </c>
      <c r="AX8" s="618" t="s">
        <v>47</v>
      </c>
      <c r="AY8" s="618" t="s">
        <v>48</v>
      </c>
      <c r="AZ8" s="618" t="s">
        <v>50</v>
      </c>
      <c r="BA8" s="618" t="s">
        <v>1209</v>
      </c>
      <c r="BB8" s="618" t="s">
        <v>1210</v>
      </c>
      <c r="BC8" s="618" t="s">
        <v>1211</v>
      </c>
      <c r="BD8" s="618" t="s">
        <v>55</v>
      </c>
      <c r="BE8" s="618" t="s">
        <v>46</v>
      </c>
      <c r="BF8" s="618" t="s">
        <v>1213</v>
      </c>
      <c r="BG8" s="615"/>
      <c r="BH8" s="618" t="s">
        <v>1205</v>
      </c>
      <c r="BI8" s="618" t="s">
        <v>52</v>
      </c>
      <c r="BJ8" s="618" t="s">
        <v>53</v>
      </c>
      <c r="BK8" s="618" t="s">
        <v>54</v>
      </c>
      <c r="BL8" s="618" t="s">
        <v>47</v>
      </c>
      <c r="BM8" s="618" t="s">
        <v>48</v>
      </c>
      <c r="BN8" s="618" t="s">
        <v>50</v>
      </c>
      <c r="BO8" s="618" t="s">
        <v>1209</v>
      </c>
      <c r="BP8" s="618" t="s">
        <v>1210</v>
      </c>
      <c r="BQ8" s="618" t="s">
        <v>1211</v>
      </c>
      <c r="BR8" s="618" t="s">
        <v>55</v>
      </c>
      <c r="BS8" s="618" t="s">
        <v>46</v>
      </c>
      <c r="BT8" s="618" t="s">
        <v>1213</v>
      </c>
      <c r="BU8" s="615"/>
      <c r="BV8" s="618" t="s">
        <v>1205</v>
      </c>
      <c r="BW8" s="618" t="s">
        <v>52</v>
      </c>
      <c r="BX8" s="618" t="s">
        <v>53</v>
      </c>
      <c r="BY8" s="618" t="s">
        <v>54</v>
      </c>
      <c r="BZ8" s="618" t="s">
        <v>47</v>
      </c>
      <c r="CA8" s="618" t="s">
        <v>48</v>
      </c>
      <c r="CB8" s="618" t="s">
        <v>50</v>
      </c>
      <c r="CC8" s="618" t="s">
        <v>1209</v>
      </c>
      <c r="CD8" s="618" t="s">
        <v>1210</v>
      </c>
      <c r="CE8" s="618" t="s">
        <v>1211</v>
      </c>
      <c r="CF8" s="618" t="s">
        <v>55</v>
      </c>
      <c r="CG8" s="618" t="s">
        <v>46</v>
      </c>
      <c r="CH8" s="618" t="s">
        <v>1213</v>
      </c>
      <c r="CI8" s="615"/>
      <c r="CJ8" s="567" t="s">
        <v>1205</v>
      </c>
      <c r="CK8" s="567" t="s">
        <v>52</v>
      </c>
      <c r="CL8" s="567" t="s">
        <v>53</v>
      </c>
      <c r="CM8" s="567" t="s">
        <v>54</v>
      </c>
      <c r="CN8" s="567" t="s">
        <v>47</v>
      </c>
      <c r="CO8" s="567" t="s">
        <v>48</v>
      </c>
      <c r="CP8" s="567" t="s">
        <v>50</v>
      </c>
      <c r="CQ8" s="567" t="s">
        <v>1209</v>
      </c>
      <c r="CR8" s="567" t="s">
        <v>1210</v>
      </c>
      <c r="CS8" s="567" t="s">
        <v>1211</v>
      </c>
      <c r="CT8" s="567" t="s">
        <v>55</v>
      </c>
      <c r="CU8" s="567" t="s">
        <v>46</v>
      </c>
      <c r="CV8" s="567" t="s">
        <v>1213</v>
      </c>
      <c r="CW8" s="615"/>
      <c r="CX8" s="619" t="s">
        <v>397</v>
      </c>
    </row>
    <row r="9">
      <c r="B9" s="620">
        <v>1.0</v>
      </c>
      <c r="C9" s="620" t="s">
        <v>1926</v>
      </c>
      <c r="D9" s="621" t="str">
        <f>LET(payer,$C$3, segment,$C$4, source,$C$5, ECOGAINS_DAILY(payer, segment, source, "CURRENT", sim_refresh!$A$1))</f>
        <v>Loading...</v>
      </c>
      <c r="E9" s="621"/>
      <c r="F9" s="621"/>
      <c r="G9" s="621"/>
      <c r="H9" s="621"/>
      <c r="I9" s="621"/>
      <c r="J9" s="621"/>
      <c r="K9" s="621"/>
      <c r="L9" s="621"/>
      <c r="M9" s="621"/>
      <c r="N9" s="621"/>
      <c r="O9" s="621"/>
      <c r="P9" s="621"/>
      <c r="R9" s="621" t="str">
        <f>LET(payer,$C$3, segment,$C$4, source,$C$5, ECOGAINS_DAILY(payer, segment, source, "NEW", sim_refresh!$A$1))</f>
        <v>Loading...</v>
      </c>
      <c r="S9" s="621"/>
      <c r="T9" s="621"/>
      <c r="U9" s="621"/>
      <c r="V9" s="621"/>
      <c r="W9" s="621"/>
      <c r="X9" s="621"/>
      <c r="Y9" s="621"/>
      <c r="Z9" s="621"/>
      <c r="AA9" s="621"/>
      <c r="AB9" s="621"/>
      <c r="AC9" s="621"/>
      <c r="AD9" s="621"/>
      <c r="AF9" s="622" t="str">
        <f>LET(payer,$C$3, segment,$C$4, source,$C$5, ECOGAINS_DAILY(payer, segment, source, "DIFF", sim_refresh!$A$1))</f>
        <v>Loading...</v>
      </c>
      <c r="AG9" s="622"/>
      <c r="AH9" s="622"/>
      <c r="AI9" s="622"/>
      <c r="AJ9" s="622"/>
      <c r="AK9" s="622"/>
      <c r="AL9" s="622"/>
      <c r="AM9" s="622"/>
      <c r="AN9" s="622"/>
      <c r="AO9" s="622"/>
      <c r="AP9" s="622"/>
      <c r="AQ9" s="622"/>
      <c r="AR9" s="622"/>
      <c r="AT9" s="621">
        <f>LET(payer,$C$3, segment,$C$4, source,$C$5, ECOGAINS_DAILY(payer, segment, source, "SPEND", sim_refresh!$A$1))</f>
        <v>173.7128</v>
      </c>
      <c r="AU9" s="621">
        <v>1.6592</v>
      </c>
      <c r="AV9" s="621">
        <v>2.0981</v>
      </c>
      <c r="AW9" s="621">
        <v>1.2807</v>
      </c>
      <c r="AX9" s="621">
        <v>1.7619</v>
      </c>
      <c r="AY9" s="621">
        <v>1.6913</v>
      </c>
      <c r="AZ9" s="621">
        <v>1.0338</v>
      </c>
      <c r="BA9" s="621">
        <v>1.1264</v>
      </c>
      <c r="BB9" s="621">
        <v>2.0684</v>
      </c>
      <c r="BC9" s="621">
        <v>2.9806</v>
      </c>
      <c r="BD9" s="621">
        <v>0.0</v>
      </c>
      <c r="BE9" s="621">
        <v>0.0</v>
      </c>
      <c r="BF9" s="621">
        <v>0.0</v>
      </c>
      <c r="BH9" s="623">
        <f>LET(payer,$C$3, segment,$C$4, source,$C$5, ECOGAINS_DAILY(payer, segment, source, "CURNET", sim_refresh!$A$1))</f>
        <v>-12.471</v>
      </c>
      <c r="BI9" s="623">
        <v>0.05740000000000012</v>
      </c>
      <c r="BJ9" s="623">
        <v>-0.4901</v>
      </c>
      <c r="BK9" s="623">
        <v>-0.3658999999999999</v>
      </c>
      <c r="BL9" s="623">
        <v>0.044199999999999795</v>
      </c>
      <c r="BM9" s="623">
        <v>0.1493</v>
      </c>
      <c r="BN9" s="623">
        <v>0.1792999999999998</v>
      </c>
      <c r="BO9" s="623">
        <v>-0.048899999999999944</v>
      </c>
      <c r="BP9" s="623">
        <v>0.4666000000000001</v>
      </c>
      <c r="BQ9" s="623">
        <v>2.0511999999999997</v>
      </c>
      <c r="BR9" s="623">
        <v>174.198</v>
      </c>
      <c r="BS9" s="623">
        <v>138.0108</v>
      </c>
      <c r="BT9" s="623">
        <v>0.0233</v>
      </c>
      <c r="BV9" s="623" t="str">
        <f>LET(payer,$C$3, segment,$C$4, source,$C$5, ECOGAINS_DAILY(payer, segment, source, "NEWNET", sim_refresh!$A$1))</f>
        <v>Loading...</v>
      </c>
      <c r="BW9" s="623"/>
      <c r="BX9" s="623"/>
      <c r="BY9" s="623"/>
      <c r="BZ9" s="623"/>
      <c r="CA9" s="623"/>
      <c r="CB9" s="623"/>
      <c r="CC9" s="623"/>
      <c r="CD9" s="623"/>
      <c r="CE9" s="623"/>
      <c r="CF9" s="623"/>
      <c r="CG9" s="623"/>
      <c r="CH9" s="623"/>
      <c r="CJ9" s="622" t="str">
        <f t="shared" ref="CJ9:CV9" si="1">IFERROR(BV9-BH9,"")</f>
        <v/>
      </c>
      <c r="CK9" s="622">
        <f t="shared" si="1"/>
        <v>-0.0574</v>
      </c>
      <c r="CL9" s="622">
        <f t="shared" si="1"/>
        <v>0.4901</v>
      </c>
      <c r="CM9" s="622">
        <f t="shared" si="1"/>
        <v>0.3659</v>
      </c>
      <c r="CN9" s="622">
        <f t="shared" si="1"/>
        <v>-0.0442</v>
      </c>
      <c r="CO9" s="622">
        <f t="shared" si="1"/>
        <v>-0.1493</v>
      </c>
      <c r="CP9" s="622">
        <f t="shared" si="1"/>
        <v>-0.1793</v>
      </c>
      <c r="CQ9" s="622">
        <f t="shared" si="1"/>
        <v>0.0489</v>
      </c>
      <c r="CR9" s="622">
        <f t="shared" si="1"/>
        <v>-0.4666</v>
      </c>
      <c r="CS9" s="622">
        <f t="shared" si="1"/>
        <v>-2.0512</v>
      </c>
      <c r="CT9" s="622">
        <f t="shared" si="1"/>
        <v>-174.198</v>
      </c>
      <c r="CU9" s="622">
        <f t="shared" si="1"/>
        <v>-138.0108</v>
      </c>
      <c r="CV9" s="622">
        <f t="shared" si="1"/>
        <v>-0.0233</v>
      </c>
      <c r="CX9" s="296" t="s">
        <v>398</v>
      </c>
    </row>
    <row r="10">
      <c r="B10" s="620">
        <v>2.0</v>
      </c>
      <c r="C10" s="620" t="s">
        <v>1971</v>
      </c>
      <c r="D10" s="621"/>
      <c r="E10" s="621"/>
      <c r="F10" s="621"/>
      <c r="G10" s="621"/>
      <c r="H10" s="621"/>
      <c r="I10" s="621"/>
      <c r="J10" s="621"/>
      <c r="K10" s="621"/>
      <c r="L10" s="621"/>
      <c r="M10" s="621"/>
      <c r="N10" s="621"/>
      <c r="O10" s="621"/>
      <c r="P10" s="621"/>
      <c r="R10" s="621"/>
      <c r="S10" s="621"/>
      <c r="T10" s="621"/>
      <c r="U10" s="621"/>
      <c r="V10" s="621"/>
      <c r="W10" s="621"/>
      <c r="X10" s="621"/>
      <c r="Y10" s="621"/>
      <c r="Z10" s="621"/>
      <c r="AA10" s="621"/>
      <c r="AB10" s="621"/>
      <c r="AC10" s="621"/>
      <c r="AD10" s="621"/>
      <c r="AF10" s="622"/>
      <c r="AG10" s="622"/>
      <c r="AH10" s="622"/>
      <c r="AI10" s="622"/>
      <c r="AJ10" s="622"/>
      <c r="AK10" s="622"/>
      <c r="AL10" s="622"/>
      <c r="AM10" s="622"/>
      <c r="AN10" s="622"/>
      <c r="AO10" s="622"/>
      <c r="AP10" s="622"/>
      <c r="AQ10" s="622"/>
      <c r="AR10" s="622"/>
      <c r="AT10" s="621">
        <v>181.5051</v>
      </c>
      <c r="AU10" s="621">
        <v>1.8872</v>
      </c>
      <c r="AV10" s="621">
        <v>2.4615</v>
      </c>
      <c r="AW10" s="621">
        <v>1.8883</v>
      </c>
      <c r="AX10" s="621">
        <v>1.8715</v>
      </c>
      <c r="AY10" s="621">
        <v>1.9346999999999999</v>
      </c>
      <c r="AZ10" s="621">
        <v>1.1865</v>
      </c>
      <c r="BA10" s="621">
        <v>1.8377</v>
      </c>
      <c r="BB10" s="621">
        <v>3.1068</v>
      </c>
      <c r="BC10" s="621">
        <v>3.0389</v>
      </c>
      <c r="BD10" s="621">
        <v>0.0</v>
      </c>
      <c r="BE10" s="621">
        <v>0.0</v>
      </c>
      <c r="BF10" s="621">
        <v>0.0</v>
      </c>
      <c r="BH10" s="623">
        <v>9.6207</v>
      </c>
      <c r="BI10" s="623">
        <v>-0.3534999999999999</v>
      </c>
      <c r="BJ10" s="623">
        <v>-0.7537</v>
      </c>
      <c r="BK10" s="623">
        <v>-0.9639000000000002</v>
      </c>
      <c r="BL10" s="623">
        <v>-0.005899999999999794</v>
      </c>
      <c r="BM10" s="623">
        <v>-0.006399999999999739</v>
      </c>
      <c r="BN10" s="623">
        <v>0.04359999999999986</v>
      </c>
      <c r="BO10" s="623">
        <v>0.37090000000000023</v>
      </c>
      <c r="BP10" s="623">
        <v>1.2443000000000008</v>
      </c>
      <c r="BQ10" s="623">
        <v>1.6990999999999996</v>
      </c>
      <c r="BR10" s="623">
        <v>169.3289</v>
      </c>
      <c r="BS10" s="623">
        <v>193.61290000000002</v>
      </c>
      <c r="BT10" s="623">
        <v>4.3643</v>
      </c>
      <c r="BV10" s="623"/>
      <c r="BW10" s="623"/>
      <c r="BX10" s="623"/>
      <c r="BY10" s="623"/>
      <c r="BZ10" s="623"/>
      <c r="CA10" s="623"/>
      <c r="CB10" s="623"/>
      <c r="CC10" s="623"/>
      <c r="CD10" s="623"/>
      <c r="CE10" s="623"/>
      <c r="CF10" s="623"/>
      <c r="CG10" s="623"/>
      <c r="CH10" s="623"/>
      <c r="CJ10" s="622">
        <f t="shared" ref="CJ10:CV10" si="2">IFERROR(BV10-BH10,"")</f>
        <v>-9.6207</v>
      </c>
      <c r="CK10" s="622">
        <f t="shared" si="2"/>
        <v>0.3535</v>
      </c>
      <c r="CL10" s="622">
        <f t="shared" si="2"/>
        <v>0.7537</v>
      </c>
      <c r="CM10" s="622">
        <f t="shared" si="2"/>
        <v>0.9639</v>
      </c>
      <c r="CN10" s="622">
        <f t="shared" si="2"/>
        <v>0.0059</v>
      </c>
      <c r="CO10" s="622">
        <f t="shared" si="2"/>
        <v>0.0064</v>
      </c>
      <c r="CP10" s="622">
        <f t="shared" si="2"/>
        <v>-0.0436</v>
      </c>
      <c r="CQ10" s="622">
        <f t="shared" si="2"/>
        <v>-0.3709</v>
      </c>
      <c r="CR10" s="622">
        <f t="shared" si="2"/>
        <v>-1.2443</v>
      </c>
      <c r="CS10" s="622">
        <f t="shared" si="2"/>
        <v>-1.6991</v>
      </c>
      <c r="CT10" s="622">
        <f t="shared" si="2"/>
        <v>-169.3289</v>
      </c>
      <c r="CU10" s="622">
        <f t="shared" si="2"/>
        <v>-193.6129</v>
      </c>
      <c r="CV10" s="622">
        <f t="shared" si="2"/>
        <v>-4.3643</v>
      </c>
      <c r="CX10" s="296" t="s">
        <v>51</v>
      </c>
    </row>
    <row r="11">
      <c r="B11" s="620">
        <v>3.0</v>
      </c>
      <c r="C11" s="620" t="s">
        <v>1983</v>
      </c>
      <c r="D11" s="621"/>
      <c r="E11" s="621"/>
      <c r="F11" s="621"/>
      <c r="G11" s="621"/>
      <c r="H11" s="621"/>
      <c r="I11" s="621"/>
      <c r="J11" s="621"/>
      <c r="K11" s="621"/>
      <c r="L11" s="621"/>
      <c r="M11" s="621"/>
      <c r="N11" s="621"/>
      <c r="O11" s="621"/>
      <c r="P11" s="621"/>
      <c r="Q11" s="250"/>
      <c r="R11" s="621"/>
      <c r="S11" s="621"/>
      <c r="T11" s="621"/>
      <c r="U11" s="621"/>
      <c r="V11" s="621"/>
      <c r="W11" s="621"/>
      <c r="X11" s="621"/>
      <c r="Y11" s="621"/>
      <c r="Z11" s="621"/>
      <c r="AA11" s="621"/>
      <c r="AB11" s="621"/>
      <c r="AC11" s="621"/>
      <c r="AD11" s="621"/>
      <c r="AE11" s="250"/>
      <c r="AF11" s="622"/>
      <c r="AG11" s="622"/>
      <c r="AH11" s="622"/>
      <c r="AI11" s="622"/>
      <c r="AJ11" s="622"/>
      <c r="AK11" s="622"/>
      <c r="AL11" s="622"/>
      <c r="AM11" s="622"/>
      <c r="AN11" s="622"/>
      <c r="AO11" s="622"/>
      <c r="AP11" s="622"/>
      <c r="AQ11" s="622"/>
      <c r="AR11" s="622"/>
      <c r="AS11" s="250"/>
      <c r="AT11" s="621">
        <v>176.3053</v>
      </c>
      <c r="AU11" s="621">
        <v>1.7073</v>
      </c>
      <c r="AV11" s="621">
        <v>2.33</v>
      </c>
      <c r="AW11" s="621">
        <v>1.3650000000000002</v>
      </c>
      <c r="AX11" s="621">
        <v>1.8609</v>
      </c>
      <c r="AY11" s="621">
        <v>1.8956</v>
      </c>
      <c r="AZ11" s="621">
        <v>1.198</v>
      </c>
      <c r="BA11" s="621">
        <v>0.6933</v>
      </c>
      <c r="BB11" s="621">
        <v>2.7729</v>
      </c>
      <c r="BC11" s="621">
        <v>3.0751</v>
      </c>
      <c r="BD11" s="621">
        <v>0.0676</v>
      </c>
      <c r="BE11" s="621">
        <v>0.0</v>
      </c>
      <c r="BF11" s="621">
        <v>0.0</v>
      </c>
      <c r="BG11" s="250"/>
      <c r="BH11" s="623">
        <v>6.884999999999991</v>
      </c>
      <c r="BI11" s="623">
        <v>0.8861999999999997</v>
      </c>
      <c r="BJ11" s="623">
        <v>0.2477999999999998</v>
      </c>
      <c r="BK11" s="623">
        <v>0.4574999999999998</v>
      </c>
      <c r="BL11" s="623">
        <v>0.052200000000000024</v>
      </c>
      <c r="BM11" s="623">
        <v>0.10090000000000021</v>
      </c>
      <c r="BN11" s="623">
        <v>0.2592000000000001</v>
      </c>
      <c r="BO11" s="623">
        <v>0.29359999999999997</v>
      </c>
      <c r="BP11" s="623">
        <v>1.6593999999999998</v>
      </c>
      <c r="BQ11" s="623">
        <v>2.0434</v>
      </c>
      <c r="BR11" s="623">
        <v>191.4976</v>
      </c>
      <c r="BS11" s="623">
        <v>147.29909999999998</v>
      </c>
      <c r="BT11" s="623">
        <v>3.814</v>
      </c>
      <c r="BU11" s="250"/>
      <c r="BV11" s="623"/>
      <c r="BW11" s="623"/>
      <c r="BX11" s="623"/>
      <c r="BY11" s="623"/>
      <c r="BZ11" s="623"/>
      <c r="CA11" s="623"/>
      <c r="CB11" s="623"/>
      <c r="CC11" s="623"/>
      <c r="CD11" s="623"/>
      <c r="CE11" s="623"/>
      <c r="CF11" s="623"/>
      <c r="CG11" s="623"/>
      <c r="CH11" s="623"/>
      <c r="CI11" s="250"/>
      <c r="CJ11" s="622">
        <f t="shared" ref="CJ11:CV11" si="3">IFERROR(BV11-BH11,"")</f>
        <v>-6.885</v>
      </c>
      <c r="CK11" s="622">
        <f t="shared" si="3"/>
        <v>-0.8862</v>
      </c>
      <c r="CL11" s="622">
        <f t="shared" si="3"/>
        <v>-0.2478</v>
      </c>
      <c r="CM11" s="622">
        <f t="shared" si="3"/>
        <v>-0.4575</v>
      </c>
      <c r="CN11" s="622">
        <f t="shared" si="3"/>
        <v>-0.0522</v>
      </c>
      <c r="CO11" s="622">
        <f t="shared" si="3"/>
        <v>-0.1009</v>
      </c>
      <c r="CP11" s="622">
        <f t="shared" si="3"/>
        <v>-0.2592</v>
      </c>
      <c r="CQ11" s="622">
        <f t="shared" si="3"/>
        <v>-0.2936</v>
      </c>
      <c r="CR11" s="622">
        <f t="shared" si="3"/>
        <v>-1.6594</v>
      </c>
      <c r="CS11" s="622">
        <f t="shared" si="3"/>
        <v>-2.0434</v>
      </c>
      <c r="CT11" s="622">
        <f t="shared" si="3"/>
        <v>-191.4976</v>
      </c>
      <c r="CU11" s="622">
        <f t="shared" si="3"/>
        <v>-147.2991</v>
      </c>
      <c r="CV11" s="622">
        <f t="shared" si="3"/>
        <v>-3.814</v>
      </c>
      <c r="CX11" s="296" t="s">
        <v>9</v>
      </c>
    </row>
    <row r="12">
      <c r="B12" s="620">
        <v>4.0</v>
      </c>
      <c r="C12" s="620" t="s">
        <v>1994</v>
      </c>
      <c r="D12" s="621"/>
      <c r="E12" s="621"/>
      <c r="F12" s="621"/>
      <c r="G12" s="621"/>
      <c r="H12" s="621"/>
      <c r="I12" s="621"/>
      <c r="J12" s="621"/>
      <c r="K12" s="621"/>
      <c r="L12" s="621"/>
      <c r="M12" s="621"/>
      <c r="N12" s="621"/>
      <c r="O12" s="621"/>
      <c r="P12" s="621"/>
      <c r="Q12" s="250"/>
      <c r="R12" s="621"/>
      <c r="S12" s="621"/>
      <c r="T12" s="621"/>
      <c r="U12" s="621"/>
      <c r="V12" s="621"/>
      <c r="W12" s="621"/>
      <c r="X12" s="621"/>
      <c r="Y12" s="621"/>
      <c r="Z12" s="621"/>
      <c r="AA12" s="621"/>
      <c r="AB12" s="621"/>
      <c r="AC12" s="621"/>
      <c r="AD12" s="621"/>
      <c r="AE12" s="250"/>
      <c r="AF12" s="622"/>
      <c r="AG12" s="622"/>
      <c r="AH12" s="622"/>
      <c r="AI12" s="622"/>
      <c r="AJ12" s="622"/>
      <c r="AK12" s="622"/>
      <c r="AL12" s="622"/>
      <c r="AM12" s="622"/>
      <c r="AN12" s="622"/>
      <c r="AO12" s="622"/>
      <c r="AP12" s="622"/>
      <c r="AQ12" s="622"/>
      <c r="AR12" s="622"/>
      <c r="AS12" s="250"/>
      <c r="AT12" s="621">
        <v>167.0847</v>
      </c>
      <c r="AU12" s="621">
        <v>1.6844000000000001</v>
      </c>
      <c r="AV12" s="621">
        <v>2.4915000000000003</v>
      </c>
      <c r="AW12" s="621">
        <v>1.4322</v>
      </c>
      <c r="AX12" s="621">
        <v>1.6581000000000001</v>
      </c>
      <c r="AY12" s="621">
        <v>1.6728999999999998</v>
      </c>
      <c r="AZ12" s="621">
        <v>1.1295000000000002</v>
      </c>
      <c r="BA12" s="621">
        <v>0.39</v>
      </c>
      <c r="BB12" s="621">
        <v>2.3709</v>
      </c>
      <c r="BC12" s="621">
        <v>2.9297</v>
      </c>
      <c r="BD12" s="621">
        <v>0.0</v>
      </c>
      <c r="BE12" s="621">
        <v>0.0</v>
      </c>
      <c r="BF12" s="621">
        <v>0.0</v>
      </c>
      <c r="BG12" s="250"/>
      <c r="BH12" s="623">
        <v>23.034099999999995</v>
      </c>
      <c r="BI12" s="623">
        <v>3.0873999999999997</v>
      </c>
      <c r="BJ12" s="623">
        <v>2.3106</v>
      </c>
      <c r="BK12" s="623">
        <v>2.6727</v>
      </c>
      <c r="BL12" s="623">
        <v>-0.03570000000000029</v>
      </c>
      <c r="BM12" s="623">
        <v>0.06420000000000026</v>
      </c>
      <c r="BN12" s="623">
        <v>0.13429999999999986</v>
      </c>
      <c r="BO12" s="623">
        <v>0.10770000000000002</v>
      </c>
      <c r="BP12" s="623">
        <v>1.2495000000000003</v>
      </c>
      <c r="BQ12" s="623">
        <v>2.0681</v>
      </c>
      <c r="BR12" s="623">
        <v>162.8083</v>
      </c>
      <c r="BS12" s="623">
        <v>198.65470000000002</v>
      </c>
      <c r="BT12" s="623">
        <v>3.2403</v>
      </c>
      <c r="BU12" s="250"/>
      <c r="BV12" s="623"/>
      <c r="BW12" s="623"/>
      <c r="BX12" s="623"/>
      <c r="BY12" s="623"/>
      <c r="BZ12" s="623"/>
      <c r="CA12" s="623"/>
      <c r="CB12" s="623"/>
      <c r="CC12" s="623"/>
      <c r="CD12" s="623"/>
      <c r="CE12" s="623"/>
      <c r="CF12" s="623"/>
      <c r="CG12" s="623"/>
      <c r="CH12" s="623"/>
      <c r="CI12" s="250"/>
      <c r="CJ12" s="622">
        <f t="shared" ref="CJ12:CV12" si="4">IFERROR(BV12-BH12,"")</f>
        <v>-23.0341</v>
      </c>
      <c r="CK12" s="622">
        <f t="shared" si="4"/>
        <v>-3.0874</v>
      </c>
      <c r="CL12" s="622">
        <f t="shared" si="4"/>
        <v>-2.3106</v>
      </c>
      <c r="CM12" s="622">
        <f t="shared" si="4"/>
        <v>-2.6727</v>
      </c>
      <c r="CN12" s="622">
        <f t="shared" si="4"/>
        <v>0.0357</v>
      </c>
      <c r="CO12" s="622">
        <f t="shared" si="4"/>
        <v>-0.0642</v>
      </c>
      <c r="CP12" s="622">
        <f t="shared" si="4"/>
        <v>-0.1343</v>
      </c>
      <c r="CQ12" s="622">
        <f t="shared" si="4"/>
        <v>-0.1077</v>
      </c>
      <c r="CR12" s="622">
        <f t="shared" si="4"/>
        <v>-1.2495</v>
      </c>
      <c r="CS12" s="622">
        <f t="shared" si="4"/>
        <v>-2.0681</v>
      </c>
      <c r="CT12" s="622">
        <f t="shared" si="4"/>
        <v>-162.8083</v>
      </c>
      <c r="CU12" s="622">
        <f t="shared" si="4"/>
        <v>-198.6547</v>
      </c>
      <c r="CV12" s="622">
        <f t="shared" si="4"/>
        <v>-3.2403</v>
      </c>
      <c r="CX12" s="296" t="s">
        <v>401</v>
      </c>
    </row>
    <row r="13">
      <c r="B13" s="620">
        <v>5.0</v>
      </c>
      <c r="C13" s="620" t="s">
        <v>2008</v>
      </c>
      <c r="D13" s="621"/>
      <c r="E13" s="621"/>
      <c r="F13" s="621"/>
      <c r="G13" s="621"/>
      <c r="H13" s="621"/>
      <c r="I13" s="621"/>
      <c r="J13" s="621"/>
      <c r="K13" s="621"/>
      <c r="L13" s="621"/>
      <c r="M13" s="621"/>
      <c r="N13" s="621"/>
      <c r="O13" s="621"/>
      <c r="P13" s="621"/>
      <c r="Q13" s="250"/>
      <c r="R13" s="621"/>
      <c r="S13" s="621"/>
      <c r="T13" s="621"/>
      <c r="U13" s="621"/>
      <c r="V13" s="621"/>
      <c r="W13" s="621"/>
      <c r="X13" s="621"/>
      <c r="Y13" s="621"/>
      <c r="Z13" s="621"/>
      <c r="AA13" s="621"/>
      <c r="AB13" s="621"/>
      <c r="AC13" s="621"/>
      <c r="AD13" s="621"/>
      <c r="AE13" s="250"/>
      <c r="AF13" s="622"/>
      <c r="AG13" s="622"/>
      <c r="AH13" s="622"/>
      <c r="AI13" s="622"/>
      <c r="AJ13" s="622"/>
      <c r="AK13" s="622"/>
      <c r="AL13" s="622"/>
      <c r="AM13" s="622"/>
      <c r="AN13" s="622"/>
      <c r="AO13" s="622"/>
      <c r="AP13" s="622"/>
      <c r="AQ13" s="622"/>
      <c r="AR13" s="622"/>
      <c r="AS13" s="250"/>
      <c r="AT13" s="621">
        <v>207.91719999999998</v>
      </c>
      <c r="AU13" s="621">
        <v>1.7504</v>
      </c>
      <c r="AV13" s="621">
        <v>2.1846</v>
      </c>
      <c r="AW13" s="621">
        <v>1.7915999999999999</v>
      </c>
      <c r="AX13" s="621">
        <v>1.9556</v>
      </c>
      <c r="AY13" s="621">
        <v>1.9639</v>
      </c>
      <c r="AZ13" s="621">
        <v>1.2443</v>
      </c>
      <c r="BA13" s="621">
        <v>3.0162999999999998</v>
      </c>
      <c r="BB13" s="621">
        <v>3.6116</v>
      </c>
      <c r="BC13" s="621">
        <v>4.5183</v>
      </c>
      <c r="BD13" s="621">
        <v>0.0</v>
      </c>
      <c r="BE13" s="621">
        <v>0.0</v>
      </c>
      <c r="BF13" s="621">
        <v>0.0</v>
      </c>
      <c r="BG13" s="250"/>
      <c r="BH13" s="623">
        <v>-12.3553</v>
      </c>
      <c r="BI13" s="623">
        <v>-0.0019999999999997797</v>
      </c>
      <c r="BJ13" s="623">
        <v>-0.4429000000000003</v>
      </c>
      <c r="BK13" s="623">
        <v>-0.7111999999999998</v>
      </c>
      <c r="BL13" s="623">
        <v>-0.1331</v>
      </c>
      <c r="BM13" s="623">
        <v>-0.02379999999999982</v>
      </c>
      <c r="BN13" s="623">
        <v>-0.009300000000000086</v>
      </c>
      <c r="BO13" s="623">
        <v>0.8198000000000003</v>
      </c>
      <c r="BP13" s="623">
        <v>1.6307999999999998</v>
      </c>
      <c r="BQ13" s="623">
        <v>2.6624</v>
      </c>
      <c r="BR13" s="623">
        <v>176.1845</v>
      </c>
      <c r="BS13" s="623">
        <v>184.88320000000002</v>
      </c>
      <c r="BT13" s="623">
        <v>2.8217</v>
      </c>
      <c r="BU13" s="250"/>
      <c r="BV13" s="623"/>
      <c r="BW13" s="623"/>
      <c r="BX13" s="623"/>
      <c r="BY13" s="623"/>
      <c r="BZ13" s="623"/>
      <c r="CA13" s="623"/>
      <c r="CB13" s="623"/>
      <c r="CC13" s="623"/>
      <c r="CD13" s="623"/>
      <c r="CE13" s="623"/>
      <c r="CF13" s="623"/>
      <c r="CG13" s="623"/>
      <c r="CH13" s="623"/>
      <c r="CI13" s="250"/>
      <c r="CJ13" s="622">
        <f t="shared" ref="CJ13:CV13" si="5">IFERROR(BV13-BH13,"")</f>
        <v>12.3553</v>
      </c>
      <c r="CK13" s="622">
        <f t="shared" si="5"/>
        <v>0.002</v>
      </c>
      <c r="CL13" s="622">
        <f t="shared" si="5"/>
        <v>0.4429</v>
      </c>
      <c r="CM13" s="622">
        <f t="shared" si="5"/>
        <v>0.7112</v>
      </c>
      <c r="CN13" s="622">
        <f t="shared" si="5"/>
        <v>0.1331</v>
      </c>
      <c r="CO13" s="622">
        <f t="shared" si="5"/>
        <v>0.0238</v>
      </c>
      <c r="CP13" s="622">
        <f t="shared" si="5"/>
        <v>0.0093</v>
      </c>
      <c r="CQ13" s="622">
        <f t="shared" si="5"/>
        <v>-0.8198</v>
      </c>
      <c r="CR13" s="622">
        <f t="shared" si="5"/>
        <v>-1.6308</v>
      </c>
      <c r="CS13" s="622">
        <f t="shared" si="5"/>
        <v>-2.6624</v>
      </c>
      <c r="CT13" s="622">
        <f t="shared" si="5"/>
        <v>-176.1845</v>
      </c>
      <c r="CU13" s="622">
        <f t="shared" si="5"/>
        <v>-184.8832</v>
      </c>
      <c r="CV13" s="622">
        <f t="shared" si="5"/>
        <v>-2.8217</v>
      </c>
      <c r="CX13" s="296" t="s">
        <v>7</v>
      </c>
    </row>
    <row r="14">
      <c r="B14" s="620">
        <v>6.0</v>
      </c>
      <c r="C14" s="620" t="s">
        <v>2020</v>
      </c>
      <c r="D14" s="621"/>
      <c r="E14" s="621"/>
      <c r="F14" s="621"/>
      <c r="G14" s="621"/>
      <c r="H14" s="621"/>
      <c r="I14" s="621"/>
      <c r="J14" s="621"/>
      <c r="K14" s="621"/>
      <c r="L14" s="621"/>
      <c r="M14" s="621"/>
      <c r="N14" s="621"/>
      <c r="O14" s="621"/>
      <c r="P14" s="621"/>
      <c r="R14" s="621"/>
      <c r="S14" s="621"/>
      <c r="T14" s="621"/>
      <c r="U14" s="621"/>
      <c r="V14" s="621"/>
      <c r="W14" s="621"/>
      <c r="X14" s="621"/>
      <c r="Y14" s="621"/>
      <c r="Z14" s="621"/>
      <c r="AA14" s="621"/>
      <c r="AB14" s="621"/>
      <c r="AC14" s="621"/>
      <c r="AD14" s="621"/>
      <c r="AF14" s="622"/>
      <c r="AG14" s="622"/>
      <c r="AH14" s="622"/>
      <c r="AI14" s="622"/>
      <c r="AJ14" s="622"/>
      <c r="AK14" s="622"/>
      <c r="AL14" s="622"/>
      <c r="AM14" s="622"/>
      <c r="AN14" s="622"/>
      <c r="AO14" s="622"/>
      <c r="AP14" s="622"/>
      <c r="AQ14" s="622"/>
      <c r="AR14" s="622"/>
      <c r="AT14" s="621">
        <v>196.10180000000003</v>
      </c>
      <c r="AU14" s="621">
        <v>1.6479</v>
      </c>
      <c r="AV14" s="621">
        <v>1.8534000000000002</v>
      </c>
      <c r="AW14" s="621">
        <v>1.7454999999999998</v>
      </c>
      <c r="AX14" s="621">
        <v>1.7018</v>
      </c>
      <c r="AY14" s="621">
        <v>1.7776</v>
      </c>
      <c r="AZ14" s="621">
        <v>1.2058</v>
      </c>
      <c r="BA14" s="621">
        <v>4.1075</v>
      </c>
      <c r="BB14" s="621">
        <v>3.7392000000000003</v>
      </c>
      <c r="BC14" s="621">
        <v>4.7517</v>
      </c>
      <c r="BD14" s="621">
        <v>0.0</v>
      </c>
      <c r="BE14" s="621">
        <v>0.0</v>
      </c>
      <c r="BF14" s="621">
        <v>0.0</v>
      </c>
      <c r="BH14" s="623">
        <v>-1.7565000000000168</v>
      </c>
      <c r="BI14" s="623">
        <v>-0.16379999999999995</v>
      </c>
      <c r="BJ14" s="623">
        <v>-0.3104</v>
      </c>
      <c r="BK14" s="623">
        <v>-0.7091999999999998</v>
      </c>
      <c r="BL14" s="623">
        <v>-0.04479999999999995</v>
      </c>
      <c r="BM14" s="623">
        <v>-0.0043999999999999595</v>
      </c>
      <c r="BN14" s="623">
        <v>-0.01089999999999991</v>
      </c>
      <c r="BO14" s="623">
        <v>1.0912000000000006</v>
      </c>
      <c r="BP14" s="623">
        <v>1.4966999999999997</v>
      </c>
      <c r="BQ14" s="623">
        <v>2.896000000000001</v>
      </c>
      <c r="BR14" s="623">
        <v>169.3895</v>
      </c>
      <c r="BS14" s="623">
        <v>151.51069999999999</v>
      </c>
      <c r="BT14" s="623">
        <v>2.7132</v>
      </c>
      <c r="BV14" s="623"/>
      <c r="BW14" s="623"/>
      <c r="BX14" s="623"/>
      <c r="BY14" s="623"/>
      <c r="BZ14" s="623"/>
      <c r="CA14" s="623"/>
      <c r="CB14" s="623"/>
      <c r="CC14" s="623"/>
      <c r="CD14" s="623"/>
      <c r="CE14" s="623"/>
      <c r="CF14" s="623"/>
      <c r="CG14" s="623"/>
      <c r="CH14" s="623"/>
      <c r="CJ14" s="622">
        <f t="shared" ref="CJ14:CV14" si="6">IFERROR(BV14-BH14,"")</f>
        <v>1.7565</v>
      </c>
      <c r="CK14" s="622">
        <f t="shared" si="6"/>
        <v>0.1638</v>
      </c>
      <c r="CL14" s="622">
        <f t="shared" si="6"/>
        <v>0.3104</v>
      </c>
      <c r="CM14" s="622">
        <f t="shared" si="6"/>
        <v>0.7092</v>
      </c>
      <c r="CN14" s="622">
        <f t="shared" si="6"/>
        <v>0.0448</v>
      </c>
      <c r="CO14" s="622">
        <f t="shared" si="6"/>
        <v>0.0044</v>
      </c>
      <c r="CP14" s="622">
        <f t="shared" si="6"/>
        <v>0.0109</v>
      </c>
      <c r="CQ14" s="622">
        <f t="shared" si="6"/>
        <v>-1.0912</v>
      </c>
      <c r="CR14" s="622">
        <f t="shared" si="6"/>
        <v>-1.4967</v>
      </c>
      <c r="CS14" s="622">
        <f t="shared" si="6"/>
        <v>-2.896</v>
      </c>
      <c r="CT14" s="622">
        <f t="shared" si="6"/>
        <v>-169.3895</v>
      </c>
      <c r="CU14" s="622">
        <f t="shared" si="6"/>
        <v>-151.5107</v>
      </c>
      <c r="CV14" s="622">
        <f t="shared" si="6"/>
        <v>-2.7132</v>
      </c>
      <c r="CX14" s="296" t="s">
        <v>20</v>
      </c>
    </row>
    <row r="15">
      <c r="B15" s="620">
        <v>7.0</v>
      </c>
      <c r="C15" s="620" t="s">
        <v>2030</v>
      </c>
      <c r="D15" s="621"/>
      <c r="E15" s="621"/>
      <c r="F15" s="621"/>
      <c r="G15" s="621"/>
      <c r="H15" s="621"/>
      <c r="I15" s="621"/>
      <c r="J15" s="621"/>
      <c r="K15" s="621"/>
      <c r="L15" s="621"/>
      <c r="M15" s="621"/>
      <c r="N15" s="621"/>
      <c r="O15" s="621"/>
      <c r="P15" s="621"/>
      <c r="R15" s="621"/>
      <c r="S15" s="621"/>
      <c r="T15" s="621"/>
      <c r="U15" s="621"/>
      <c r="V15" s="621"/>
      <c r="W15" s="621"/>
      <c r="X15" s="621"/>
      <c r="Y15" s="621"/>
      <c r="Z15" s="621"/>
      <c r="AA15" s="621"/>
      <c r="AB15" s="621"/>
      <c r="AC15" s="621"/>
      <c r="AD15" s="621"/>
      <c r="AF15" s="622"/>
      <c r="AG15" s="622"/>
      <c r="AH15" s="622"/>
      <c r="AI15" s="622"/>
      <c r="AJ15" s="622"/>
      <c r="AK15" s="622"/>
      <c r="AL15" s="622"/>
      <c r="AM15" s="622"/>
      <c r="AN15" s="622"/>
      <c r="AO15" s="622"/>
      <c r="AP15" s="622"/>
      <c r="AQ15" s="622"/>
      <c r="AR15" s="622"/>
      <c r="AT15" s="621">
        <v>174.9051</v>
      </c>
      <c r="AU15" s="621">
        <v>1.6663999999999999</v>
      </c>
      <c r="AV15" s="621">
        <v>1.8599</v>
      </c>
      <c r="AW15" s="621">
        <v>1.4153</v>
      </c>
      <c r="AX15" s="621">
        <v>1.7306</v>
      </c>
      <c r="AY15" s="621">
        <v>1.728</v>
      </c>
      <c r="AZ15" s="621">
        <v>1.1873</v>
      </c>
      <c r="BA15" s="621">
        <v>4.1559</v>
      </c>
      <c r="BB15" s="621">
        <v>3.4021999999999997</v>
      </c>
      <c r="BC15" s="621">
        <v>3.8994999999999997</v>
      </c>
      <c r="BD15" s="621">
        <v>0.0</v>
      </c>
      <c r="BE15" s="621">
        <v>0.0</v>
      </c>
      <c r="BF15" s="621">
        <v>0.0</v>
      </c>
      <c r="BH15" s="623">
        <v>10.29000000000002</v>
      </c>
      <c r="BI15" s="623">
        <v>-0.24319999999999986</v>
      </c>
      <c r="BJ15" s="623">
        <v>-0.3792000000000002</v>
      </c>
      <c r="BK15" s="623">
        <v>-0.44000000000000006</v>
      </c>
      <c r="BL15" s="623">
        <v>-0.1907000000000001</v>
      </c>
      <c r="BM15" s="623">
        <v>-0.1129</v>
      </c>
      <c r="BN15" s="623">
        <v>-0.1019000000000001</v>
      </c>
      <c r="BO15" s="623">
        <v>1.4108</v>
      </c>
      <c r="BP15" s="623">
        <v>1.6194000000000006</v>
      </c>
      <c r="BQ15" s="623">
        <v>2.6418999999999997</v>
      </c>
      <c r="BR15" s="623">
        <v>152.0929</v>
      </c>
      <c r="BS15" s="623">
        <v>148.9084</v>
      </c>
      <c r="BT15" s="623">
        <v>2.6899</v>
      </c>
      <c r="BV15" s="623"/>
      <c r="BW15" s="623"/>
      <c r="BX15" s="623"/>
      <c r="BY15" s="623"/>
      <c r="BZ15" s="623"/>
      <c r="CA15" s="623"/>
      <c r="CB15" s="623"/>
      <c r="CC15" s="623"/>
      <c r="CD15" s="623"/>
      <c r="CE15" s="623"/>
      <c r="CF15" s="623"/>
      <c r="CG15" s="623"/>
      <c r="CH15" s="623"/>
      <c r="CJ15" s="622">
        <f t="shared" ref="CJ15:CV15" si="7">IFERROR(BV15-BH15,"")</f>
        <v>-10.29</v>
      </c>
      <c r="CK15" s="622">
        <f t="shared" si="7"/>
        <v>0.2432</v>
      </c>
      <c r="CL15" s="622">
        <f t="shared" si="7"/>
        <v>0.3792</v>
      </c>
      <c r="CM15" s="622">
        <f t="shared" si="7"/>
        <v>0.44</v>
      </c>
      <c r="CN15" s="622">
        <f t="shared" si="7"/>
        <v>0.1907</v>
      </c>
      <c r="CO15" s="622">
        <f t="shared" si="7"/>
        <v>0.1129</v>
      </c>
      <c r="CP15" s="622">
        <f t="shared" si="7"/>
        <v>0.1019</v>
      </c>
      <c r="CQ15" s="622">
        <f t="shared" si="7"/>
        <v>-1.4108</v>
      </c>
      <c r="CR15" s="622">
        <f t="shared" si="7"/>
        <v>-1.6194</v>
      </c>
      <c r="CS15" s="622">
        <f t="shared" si="7"/>
        <v>-2.6419</v>
      </c>
      <c r="CT15" s="622">
        <f t="shared" si="7"/>
        <v>-152.0929</v>
      </c>
      <c r="CU15" s="622">
        <f t="shared" si="7"/>
        <v>-148.9084</v>
      </c>
      <c r="CV15" s="622">
        <f t="shared" si="7"/>
        <v>-2.6899</v>
      </c>
      <c r="CX15" s="296" t="s">
        <v>411</v>
      </c>
    </row>
    <row r="16">
      <c r="B16" s="620">
        <v>8.0</v>
      </c>
      <c r="C16" s="620" t="s">
        <v>1926</v>
      </c>
      <c r="D16" s="621"/>
      <c r="E16" s="621"/>
      <c r="F16" s="621"/>
      <c r="G16" s="621"/>
      <c r="H16" s="621"/>
      <c r="I16" s="621"/>
      <c r="J16" s="621"/>
      <c r="K16" s="621"/>
      <c r="L16" s="621"/>
      <c r="M16" s="621"/>
      <c r="N16" s="621"/>
      <c r="O16" s="621"/>
      <c r="P16" s="621"/>
      <c r="R16" s="621"/>
      <c r="S16" s="621"/>
      <c r="T16" s="621"/>
      <c r="U16" s="621"/>
      <c r="V16" s="621"/>
      <c r="W16" s="621"/>
      <c r="X16" s="621"/>
      <c r="Y16" s="621"/>
      <c r="Z16" s="621"/>
      <c r="AA16" s="621"/>
      <c r="AB16" s="621"/>
      <c r="AC16" s="621"/>
      <c r="AD16" s="621"/>
      <c r="AF16" s="622"/>
      <c r="AG16" s="622"/>
      <c r="AH16" s="622"/>
      <c r="AI16" s="622"/>
      <c r="AJ16" s="622"/>
      <c r="AK16" s="622"/>
      <c r="AL16" s="622"/>
      <c r="AM16" s="622"/>
      <c r="AN16" s="622"/>
      <c r="AO16" s="622"/>
      <c r="AP16" s="622"/>
      <c r="AQ16" s="622"/>
      <c r="AR16" s="622"/>
      <c r="AT16" s="621">
        <v>169.5567</v>
      </c>
      <c r="AU16" s="621">
        <v>1.7134</v>
      </c>
      <c r="AV16" s="621">
        <v>1.9551</v>
      </c>
      <c r="AW16" s="621">
        <v>1.2730000000000001</v>
      </c>
      <c r="AX16" s="621">
        <v>1.8276000000000001</v>
      </c>
      <c r="AY16" s="621">
        <v>1.7599</v>
      </c>
      <c r="AZ16" s="621">
        <v>1.1532</v>
      </c>
      <c r="BA16" s="621">
        <v>1.8074</v>
      </c>
      <c r="BB16" s="621">
        <v>2.6736</v>
      </c>
      <c r="BC16" s="621">
        <v>4.3506</v>
      </c>
      <c r="BD16" s="621">
        <v>0.0</v>
      </c>
      <c r="BE16" s="621">
        <v>0.0</v>
      </c>
      <c r="BF16" s="621">
        <v>0.0</v>
      </c>
      <c r="BH16" s="623">
        <v>9.139499999999998</v>
      </c>
      <c r="BI16" s="623">
        <v>0.2388999999999999</v>
      </c>
      <c r="BJ16" s="623">
        <v>-0.24140000000000006</v>
      </c>
      <c r="BK16" s="623">
        <v>-0.13030000000000008</v>
      </c>
      <c r="BL16" s="623">
        <v>0.026299999999999768</v>
      </c>
      <c r="BM16" s="623">
        <v>0.11790000000000012</v>
      </c>
      <c r="BN16" s="623">
        <v>0.20069999999999988</v>
      </c>
      <c r="BO16" s="623">
        <v>0.9138999999999999</v>
      </c>
      <c r="BP16" s="623">
        <v>1.3449000000000004</v>
      </c>
      <c r="BQ16" s="623">
        <v>3.617</v>
      </c>
      <c r="BR16" s="623">
        <v>177.0512</v>
      </c>
      <c r="BS16" s="623">
        <v>197.36479999999997</v>
      </c>
      <c r="BT16" s="623">
        <v>7.8957999999999995</v>
      </c>
      <c r="BV16" s="623"/>
      <c r="BW16" s="623"/>
      <c r="BX16" s="623"/>
      <c r="BY16" s="623"/>
      <c r="BZ16" s="623"/>
      <c r="CA16" s="623"/>
      <c r="CB16" s="623"/>
      <c r="CC16" s="623"/>
      <c r="CD16" s="623"/>
      <c r="CE16" s="623"/>
      <c r="CF16" s="623"/>
      <c r="CG16" s="623"/>
      <c r="CH16" s="623"/>
      <c r="CJ16" s="622">
        <f t="shared" ref="CJ16:CV16" si="8">IFERROR(BV16-BH16,"")</f>
        <v>-9.1395</v>
      </c>
      <c r="CK16" s="622">
        <f t="shared" si="8"/>
        <v>-0.2389</v>
      </c>
      <c r="CL16" s="622">
        <f t="shared" si="8"/>
        <v>0.2414</v>
      </c>
      <c r="CM16" s="622">
        <f t="shared" si="8"/>
        <v>0.1303</v>
      </c>
      <c r="CN16" s="622">
        <f t="shared" si="8"/>
        <v>-0.0263</v>
      </c>
      <c r="CO16" s="622">
        <f t="shared" si="8"/>
        <v>-0.1179</v>
      </c>
      <c r="CP16" s="622">
        <f t="shared" si="8"/>
        <v>-0.2007</v>
      </c>
      <c r="CQ16" s="622">
        <f t="shared" si="8"/>
        <v>-0.9139</v>
      </c>
      <c r="CR16" s="622">
        <f t="shared" si="8"/>
        <v>-1.3449</v>
      </c>
      <c r="CS16" s="622">
        <f t="shared" si="8"/>
        <v>-3.617</v>
      </c>
      <c r="CT16" s="622">
        <f t="shared" si="8"/>
        <v>-177.0512</v>
      </c>
      <c r="CU16" s="622">
        <f t="shared" si="8"/>
        <v>-197.3648</v>
      </c>
      <c r="CV16" s="622">
        <f t="shared" si="8"/>
        <v>-7.8958</v>
      </c>
      <c r="CX16" s="296" t="s">
        <v>73</v>
      </c>
    </row>
    <row r="17">
      <c r="B17" s="620">
        <v>9.0</v>
      </c>
      <c r="C17" s="620" t="s">
        <v>1971</v>
      </c>
      <c r="D17" s="621"/>
      <c r="E17" s="621"/>
      <c r="F17" s="621"/>
      <c r="G17" s="621"/>
      <c r="H17" s="621"/>
      <c r="I17" s="621"/>
      <c r="J17" s="621"/>
      <c r="K17" s="621"/>
      <c r="L17" s="621"/>
      <c r="M17" s="621"/>
      <c r="N17" s="621"/>
      <c r="O17" s="621"/>
      <c r="P17" s="621"/>
      <c r="R17" s="621"/>
      <c r="S17" s="621"/>
      <c r="T17" s="621"/>
      <c r="U17" s="621"/>
      <c r="V17" s="621"/>
      <c r="W17" s="621"/>
      <c r="X17" s="621"/>
      <c r="Y17" s="621"/>
      <c r="Z17" s="621"/>
      <c r="AA17" s="621"/>
      <c r="AB17" s="621"/>
      <c r="AC17" s="621"/>
      <c r="AD17" s="621"/>
      <c r="AF17" s="622"/>
      <c r="AG17" s="622"/>
      <c r="AH17" s="622"/>
      <c r="AI17" s="622"/>
      <c r="AJ17" s="622"/>
      <c r="AK17" s="622"/>
      <c r="AL17" s="622"/>
      <c r="AM17" s="622"/>
      <c r="AN17" s="622"/>
      <c r="AO17" s="622"/>
      <c r="AP17" s="622"/>
      <c r="AQ17" s="622"/>
      <c r="AR17" s="622"/>
      <c r="AT17" s="621">
        <v>175.5164</v>
      </c>
      <c r="AU17" s="621">
        <v>1.7205</v>
      </c>
      <c r="AV17" s="621">
        <v>2.0686</v>
      </c>
      <c r="AW17" s="621">
        <v>1.1693</v>
      </c>
      <c r="AX17" s="621">
        <v>1.7626</v>
      </c>
      <c r="AY17" s="621">
        <v>1.7954999999999999</v>
      </c>
      <c r="AZ17" s="621">
        <v>1.152</v>
      </c>
      <c r="BA17" s="621">
        <v>0.9593</v>
      </c>
      <c r="BB17" s="621">
        <v>2.2387</v>
      </c>
      <c r="BC17" s="621">
        <v>2.7014</v>
      </c>
      <c r="BD17" s="621">
        <v>0.0</v>
      </c>
      <c r="BE17" s="621">
        <v>0.0</v>
      </c>
      <c r="BF17" s="621">
        <v>0.0</v>
      </c>
      <c r="BH17" s="623">
        <v>-8.759300000000025</v>
      </c>
      <c r="BI17" s="623">
        <v>-0.2627999999999999</v>
      </c>
      <c r="BJ17" s="623">
        <v>-0.5118</v>
      </c>
      <c r="BK17" s="623">
        <v>-0.3208</v>
      </c>
      <c r="BL17" s="623">
        <v>-0.06529999999999991</v>
      </c>
      <c r="BM17" s="623">
        <v>0.016800000000000148</v>
      </c>
      <c r="BN17" s="623">
        <v>0.08210000000000028</v>
      </c>
      <c r="BO17" s="623">
        <v>0.2883</v>
      </c>
      <c r="BP17" s="623">
        <v>1.1592999999999996</v>
      </c>
      <c r="BQ17" s="623">
        <v>1.9922999999999997</v>
      </c>
      <c r="BR17" s="623">
        <v>170.6993</v>
      </c>
      <c r="BS17" s="623">
        <v>201.1875</v>
      </c>
      <c r="BT17" s="623">
        <v>3.3173999999999997</v>
      </c>
      <c r="BV17" s="623"/>
      <c r="BW17" s="623"/>
      <c r="BX17" s="623"/>
      <c r="BY17" s="623"/>
      <c r="BZ17" s="623"/>
      <c r="CA17" s="623"/>
      <c r="CB17" s="623"/>
      <c r="CC17" s="623"/>
      <c r="CD17" s="623"/>
      <c r="CE17" s="623"/>
      <c r="CF17" s="623"/>
      <c r="CG17" s="623"/>
      <c r="CH17" s="623"/>
      <c r="CJ17" s="622">
        <f t="shared" ref="CJ17:CV17" si="9">IFERROR(BV17-BH17,"")</f>
        <v>8.7593</v>
      </c>
      <c r="CK17" s="622">
        <f t="shared" si="9"/>
        <v>0.2628</v>
      </c>
      <c r="CL17" s="622">
        <f t="shared" si="9"/>
        <v>0.5118</v>
      </c>
      <c r="CM17" s="622">
        <f t="shared" si="9"/>
        <v>0.3208</v>
      </c>
      <c r="CN17" s="622">
        <f t="shared" si="9"/>
        <v>0.0653</v>
      </c>
      <c r="CO17" s="622">
        <f t="shared" si="9"/>
        <v>-0.0168</v>
      </c>
      <c r="CP17" s="622">
        <f t="shared" si="9"/>
        <v>-0.0821</v>
      </c>
      <c r="CQ17" s="622">
        <f t="shared" si="9"/>
        <v>-0.2883</v>
      </c>
      <c r="CR17" s="622">
        <f t="shared" si="9"/>
        <v>-1.1593</v>
      </c>
      <c r="CS17" s="622">
        <f t="shared" si="9"/>
        <v>-1.9923</v>
      </c>
      <c r="CT17" s="622">
        <f t="shared" si="9"/>
        <v>-170.6993</v>
      </c>
      <c r="CU17" s="622">
        <f t="shared" si="9"/>
        <v>-201.1875</v>
      </c>
      <c r="CV17" s="622">
        <f t="shared" si="9"/>
        <v>-3.3174</v>
      </c>
      <c r="CX17" s="296" t="s">
        <v>329</v>
      </c>
    </row>
    <row r="18">
      <c r="B18" s="620">
        <v>10.0</v>
      </c>
      <c r="C18" s="620" t="s">
        <v>1983</v>
      </c>
      <c r="D18" s="621"/>
      <c r="E18" s="621"/>
      <c r="F18" s="621"/>
      <c r="G18" s="621"/>
      <c r="H18" s="621"/>
      <c r="I18" s="621"/>
      <c r="J18" s="621"/>
      <c r="K18" s="621"/>
      <c r="L18" s="621"/>
      <c r="M18" s="621"/>
      <c r="N18" s="621"/>
      <c r="O18" s="621"/>
      <c r="P18" s="621"/>
      <c r="Q18" s="250"/>
      <c r="R18" s="621"/>
      <c r="S18" s="621"/>
      <c r="T18" s="621"/>
      <c r="U18" s="621"/>
      <c r="V18" s="621"/>
      <c r="W18" s="621"/>
      <c r="X18" s="621"/>
      <c r="Y18" s="621"/>
      <c r="Z18" s="621"/>
      <c r="AA18" s="621"/>
      <c r="AB18" s="621"/>
      <c r="AC18" s="621"/>
      <c r="AD18" s="621"/>
      <c r="AE18" s="250"/>
      <c r="AF18" s="622"/>
      <c r="AG18" s="622"/>
      <c r="AH18" s="622"/>
      <c r="AI18" s="622"/>
      <c r="AJ18" s="622"/>
      <c r="AK18" s="622"/>
      <c r="AL18" s="622"/>
      <c r="AM18" s="622"/>
      <c r="AN18" s="622"/>
      <c r="AO18" s="622"/>
      <c r="AP18" s="622"/>
      <c r="AQ18" s="622"/>
      <c r="AR18" s="622"/>
      <c r="AS18" s="250"/>
      <c r="AT18" s="621">
        <v>200.8569</v>
      </c>
      <c r="AU18" s="621">
        <v>1.7524</v>
      </c>
      <c r="AV18" s="621">
        <v>3.0377</v>
      </c>
      <c r="AW18" s="621">
        <v>1.8020999999999998</v>
      </c>
      <c r="AX18" s="621">
        <v>1.9167999999999998</v>
      </c>
      <c r="AY18" s="621">
        <v>1.9788999999999999</v>
      </c>
      <c r="AZ18" s="621">
        <v>1.3239</v>
      </c>
      <c r="BA18" s="621">
        <v>0.5571999999999999</v>
      </c>
      <c r="BB18" s="621">
        <v>2.0114</v>
      </c>
      <c r="BC18" s="621">
        <v>2.6167</v>
      </c>
      <c r="BD18" s="621">
        <v>0.0</v>
      </c>
      <c r="BE18" s="621">
        <v>0.0</v>
      </c>
      <c r="BF18" s="621">
        <v>0.0</v>
      </c>
      <c r="BG18" s="250"/>
      <c r="BH18" s="623">
        <v>-19.90530000000001</v>
      </c>
      <c r="BI18" s="623">
        <v>0.1904999999999999</v>
      </c>
      <c r="BJ18" s="623">
        <v>-1.0941</v>
      </c>
      <c r="BK18" s="623">
        <v>-0.6502999999999999</v>
      </c>
      <c r="BL18" s="623">
        <v>0.04150000000000009</v>
      </c>
      <c r="BM18" s="623">
        <v>0.12139999999999995</v>
      </c>
      <c r="BN18" s="623">
        <v>0.19569999999999999</v>
      </c>
      <c r="BO18" s="623">
        <v>0.1997</v>
      </c>
      <c r="BP18" s="623">
        <v>1.1159999999999997</v>
      </c>
      <c r="BQ18" s="623">
        <v>1.9232000000000005</v>
      </c>
      <c r="BR18" s="623">
        <v>186.82729999999998</v>
      </c>
      <c r="BS18" s="623">
        <v>230.81320000000002</v>
      </c>
      <c r="BT18" s="623">
        <v>3.1259</v>
      </c>
      <c r="BU18" s="250"/>
      <c r="BV18" s="623"/>
      <c r="BW18" s="623"/>
      <c r="BX18" s="623"/>
      <c r="BY18" s="623"/>
      <c r="BZ18" s="623"/>
      <c r="CA18" s="623"/>
      <c r="CB18" s="623"/>
      <c r="CC18" s="623"/>
      <c r="CD18" s="623"/>
      <c r="CE18" s="623"/>
      <c r="CF18" s="623"/>
      <c r="CG18" s="623"/>
      <c r="CH18" s="623"/>
      <c r="CI18" s="250"/>
      <c r="CJ18" s="622">
        <f t="shared" ref="CJ18:CV18" si="10">IFERROR(BV18-BH18,"")</f>
        <v>19.9053</v>
      </c>
      <c r="CK18" s="622">
        <f t="shared" si="10"/>
        <v>-0.1905</v>
      </c>
      <c r="CL18" s="622">
        <f t="shared" si="10"/>
        <v>1.0941</v>
      </c>
      <c r="CM18" s="622">
        <f t="shared" si="10"/>
        <v>0.6503</v>
      </c>
      <c r="CN18" s="622">
        <f t="shared" si="10"/>
        <v>-0.0415</v>
      </c>
      <c r="CO18" s="622">
        <f t="shared" si="10"/>
        <v>-0.1214</v>
      </c>
      <c r="CP18" s="622">
        <f t="shared" si="10"/>
        <v>-0.1957</v>
      </c>
      <c r="CQ18" s="622">
        <f t="shared" si="10"/>
        <v>-0.1997</v>
      </c>
      <c r="CR18" s="622">
        <f t="shared" si="10"/>
        <v>-1.116</v>
      </c>
      <c r="CS18" s="622">
        <f t="shared" si="10"/>
        <v>-1.9232</v>
      </c>
      <c r="CT18" s="622">
        <f t="shared" si="10"/>
        <v>-186.8273</v>
      </c>
      <c r="CU18" s="622">
        <f t="shared" si="10"/>
        <v>-230.8132</v>
      </c>
      <c r="CV18" s="622">
        <f t="shared" si="10"/>
        <v>-3.1259</v>
      </c>
      <c r="CX18" s="296" t="s">
        <v>151</v>
      </c>
    </row>
    <row r="19">
      <c r="B19" s="620">
        <v>11.0</v>
      </c>
      <c r="C19" s="620" t="s">
        <v>1994</v>
      </c>
      <c r="D19" s="621"/>
      <c r="E19" s="621"/>
      <c r="F19" s="621"/>
      <c r="G19" s="621"/>
      <c r="H19" s="621"/>
      <c r="I19" s="621"/>
      <c r="J19" s="621"/>
      <c r="K19" s="621"/>
      <c r="L19" s="621"/>
      <c r="M19" s="621"/>
      <c r="N19" s="621"/>
      <c r="O19" s="621"/>
      <c r="P19" s="621"/>
      <c r="Q19" s="250"/>
      <c r="R19" s="621"/>
      <c r="S19" s="621"/>
      <c r="T19" s="621"/>
      <c r="U19" s="621"/>
      <c r="V19" s="621"/>
      <c r="W19" s="621"/>
      <c r="X19" s="621"/>
      <c r="Y19" s="621"/>
      <c r="Z19" s="621"/>
      <c r="AA19" s="621"/>
      <c r="AB19" s="621"/>
      <c r="AC19" s="621"/>
      <c r="AD19" s="621"/>
      <c r="AE19" s="250"/>
      <c r="AF19" s="622"/>
      <c r="AG19" s="622"/>
      <c r="AH19" s="622"/>
      <c r="AI19" s="622"/>
      <c r="AJ19" s="622"/>
      <c r="AK19" s="622"/>
      <c r="AL19" s="622"/>
      <c r="AM19" s="622"/>
      <c r="AN19" s="622"/>
      <c r="AO19" s="622"/>
      <c r="AP19" s="622"/>
      <c r="AQ19" s="622"/>
      <c r="AR19" s="622"/>
      <c r="AS19" s="250"/>
      <c r="AT19" s="621">
        <v>175.12900000000002</v>
      </c>
      <c r="AU19" s="621">
        <v>1.7621</v>
      </c>
      <c r="AV19" s="621">
        <v>2.784</v>
      </c>
      <c r="AW19" s="621">
        <v>1.5562999999999998</v>
      </c>
      <c r="AX19" s="621">
        <v>1.6322</v>
      </c>
      <c r="AY19" s="621">
        <v>1.6551999999999998</v>
      </c>
      <c r="AZ19" s="621">
        <v>1.1211</v>
      </c>
      <c r="BA19" s="621">
        <v>0.3439</v>
      </c>
      <c r="BB19" s="621">
        <v>1.9591</v>
      </c>
      <c r="BC19" s="621">
        <v>2.4059999999999997</v>
      </c>
      <c r="BD19" s="621">
        <v>0.0</v>
      </c>
      <c r="BE19" s="621">
        <v>0.0</v>
      </c>
      <c r="BF19" s="621">
        <v>0.0</v>
      </c>
      <c r="BG19" s="250"/>
      <c r="BH19" s="623">
        <v>5.066699999999969</v>
      </c>
      <c r="BI19" s="623">
        <v>1.2386000000000001</v>
      </c>
      <c r="BJ19" s="623">
        <v>0.3019000000000003</v>
      </c>
      <c r="BK19" s="623">
        <v>0.7690000000000001</v>
      </c>
      <c r="BL19" s="623">
        <v>0.1560999999999999</v>
      </c>
      <c r="BM19" s="623">
        <v>0.22770000000000024</v>
      </c>
      <c r="BN19" s="623">
        <v>0.3276999999999999</v>
      </c>
      <c r="BO19" s="623">
        <v>0.0685</v>
      </c>
      <c r="BP19" s="623">
        <v>0.9494</v>
      </c>
      <c r="BQ19" s="623">
        <v>1.3737000000000004</v>
      </c>
      <c r="BR19" s="623">
        <v>179.0867</v>
      </c>
      <c r="BS19" s="623">
        <v>244.3494</v>
      </c>
      <c r="BT19" s="623">
        <v>2.3721</v>
      </c>
      <c r="BU19" s="250"/>
      <c r="BV19" s="623"/>
      <c r="BW19" s="623"/>
      <c r="BX19" s="623"/>
      <c r="BY19" s="623"/>
      <c r="BZ19" s="623"/>
      <c r="CA19" s="623"/>
      <c r="CB19" s="623"/>
      <c r="CC19" s="623"/>
      <c r="CD19" s="623"/>
      <c r="CE19" s="623"/>
      <c r="CF19" s="623"/>
      <c r="CG19" s="623"/>
      <c r="CH19" s="623"/>
      <c r="CI19" s="250"/>
      <c r="CJ19" s="622">
        <f t="shared" ref="CJ19:CV19" si="11">IFERROR(BV19-BH19,"")</f>
        <v>-5.0667</v>
      </c>
      <c r="CK19" s="622">
        <f t="shared" si="11"/>
        <v>-1.2386</v>
      </c>
      <c r="CL19" s="622">
        <f t="shared" si="11"/>
        <v>-0.3019</v>
      </c>
      <c r="CM19" s="622">
        <f t="shared" si="11"/>
        <v>-0.769</v>
      </c>
      <c r="CN19" s="622">
        <f t="shared" si="11"/>
        <v>-0.1561</v>
      </c>
      <c r="CO19" s="622">
        <f t="shared" si="11"/>
        <v>-0.2277</v>
      </c>
      <c r="CP19" s="622">
        <f t="shared" si="11"/>
        <v>-0.3277</v>
      </c>
      <c r="CQ19" s="622">
        <f t="shared" si="11"/>
        <v>-0.0685</v>
      </c>
      <c r="CR19" s="622">
        <f t="shared" si="11"/>
        <v>-0.9494</v>
      </c>
      <c r="CS19" s="622">
        <f t="shared" si="11"/>
        <v>-1.3737</v>
      </c>
      <c r="CT19" s="622">
        <f t="shared" si="11"/>
        <v>-179.0867</v>
      </c>
      <c r="CU19" s="622">
        <f t="shared" si="11"/>
        <v>-244.3494</v>
      </c>
      <c r="CV19" s="622">
        <f t="shared" si="11"/>
        <v>-2.3721</v>
      </c>
      <c r="CX19" s="296" t="s">
        <v>418</v>
      </c>
    </row>
    <row r="20">
      <c r="B20" s="620">
        <v>12.0</v>
      </c>
      <c r="C20" s="620" t="s">
        <v>2008</v>
      </c>
      <c r="D20" s="621"/>
      <c r="E20" s="621"/>
      <c r="F20" s="621"/>
      <c r="G20" s="621"/>
      <c r="H20" s="621"/>
      <c r="I20" s="621"/>
      <c r="J20" s="621"/>
      <c r="K20" s="621"/>
      <c r="L20" s="621"/>
      <c r="M20" s="621"/>
      <c r="N20" s="621"/>
      <c r="O20" s="621"/>
      <c r="P20" s="621"/>
      <c r="Q20" s="250"/>
      <c r="R20" s="621"/>
      <c r="S20" s="621"/>
      <c r="T20" s="621"/>
      <c r="U20" s="621"/>
      <c r="V20" s="621"/>
      <c r="W20" s="621"/>
      <c r="X20" s="621"/>
      <c r="Y20" s="621"/>
      <c r="Z20" s="621"/>
      <c r="AA20" s="621"/>
      <c r="AB20" s="621"/>
      <c r="AC20" s="621"/>
      <c r="AD20" s="621"/>
      <c r="AE20" s="250"/>
      <c r="AF20" s="622"/>
      <c r="AG20" s="622"/>
      <c r="AH20" s="622"/>
      <c r="AI20" s="622"/>
      <c r="AJ20" s="622"/>
      <c r="AK20" s="622"/>
      <c r="AL20" s="622"/>
      <c r="AM20" s="622"/>
      <c r="AN20" s="622"/>
      <c r="AO20" s="622"/>
      <c r="AP20" s="622"/>
      <c r="AQ20" s="622"/>
      <c r="AR20" s="622"/>
      <c r="AS20" s="250"/>
      <c r="AT20" s="621">
        <v>210.9119</v>
      </c>
      <c r="AU20" s="621">
        <v>2.0015</v>
      </c>
      <c r="AV20" s="621">
        <v>2.9541000000000004</v>
      </c>
      <c r="AW20" s="621">
        <v>2.0536000000000003</v>
      </c>
      <c r="AX20" s="621">
        <v>2.1226000000000003</v>
      </c>
      <c r="AY20" s="621">
        <v>2.1605999999999996</v>
      </c>
      <c r="AZ20" s="621">
        <v>1.3577</v>
      </c>
      <c r="BA20" s="621">
        <v>2.6783</v>
      </c>
      <c r="BB20" s="621">
        <v>3.3183</v>
      </c>
      <c r="BC20" s="621">
        <v>4.2481</v>
      </c>
      <c r="BD20" s="621">
        <v>0.0</v>
      </c>
      <c r="BE20" s="621">
        <v>0.0</v>
      </c>
      <c r="BF20" s="621">
        <v>0.0</v>
      </c>
      <c r="BG20" s="250"/>
      <c r="BH20" s="623">
        <v>-1.7230000000000132</v>
      </c>
      <c r="BI20" s="623">
        <v>-0.16780000000000017</v>
      </c>
      <c r="BJ20" s="623">
        <v>-1.0714000000000006</v>
      </c>
      <c r="BK20" s="623">
        <v>-0.9695000000000005</v>
      </c>
      <c r="BL20" s="623">
        <v>-0.08620000000000028</v>
      </c>
      <c r="BM20" s="623">
        <v>0.033900000000000485</v>
      </c>
      <c r="BN20" s="623">
        <v>0.10180000000000011</v>
      </c>
      <c r="BO20" s="623">
        <v>0.9169999999999998</v>
      </c>
      <c r="BP20" s="623">
        <v>1.3514</v>
      </c>
      <c r="BQ20" s="623">
        <v>2.036600000000001</v>
      </c>
      <c r="BR20" s="623">
        <v>200.8449</v>
      </c>
      <c r="BS20" s="623">
        <v>229.1098</v>
      </c>
      <c r="BT20" s="623">
        <v>0.1107</v>
      </c>
      <c r="BU20" s="250"/>
      <c r="BV20" s="623"/>
      <c r="BW20" s="623"/>
      <c r="BX20" s="623"/>
      <c r="BY20" s="623"/>
      <c r="BZ20" s="623"/>
      <c r="CA20" s="623"/>
      <c r="CB20" s="623"/>
      <c r="CC20" s="623"/>
      <c r="CD20" s="623"/>
      <c r="CE20" s="623"/>
      <c r="CF20" s="623"/>
      <c r="CG20" s="623"/>
      <c r="CH20" s="623"/>
      <c r="CI20" s="250"/>
      <c r="CJ20" s="622">
        <f t="shared" ref="CJ20:CV20" si="12">IFERROR(BV20-BH20,"")</f>
        <v>1.723</v>
      </c>
      <c r="CK20" s="622">
        <f t="shared" si="12"/>
        <v>0.1678</v>
      </c>
      <c r="CL20" s="622">
        <f t="shared" si="12"/>
        <v>1.0714</v>
      </c>
      <c r="CM20" s="622">
        <f t="shared" si="12"/>
        <v>0.9695</v>
      </c>
      <c r="CN20" s="622">
        <f t="shared" si="12"/>
        <v>0.0862</v>
      </c>
      <c r="CO20" s="622">
        <f t="shared" si="12"/>
        <v>-0.0339</v>
      </c>
      <c r="CP20" s="622">
        <f t="shared" si="12"/>
        <v>-0.1018</v>
      </c>
      <c r="CQ20" s="622">
        <f t="shared" si="12"/>
        <v>-0.917</v>
      </c>
      <c r="CR20" s="622">
        <f t="shared" si="12"/>
        <v>-1.3514</v>
      </c>
      <c r="CS20" s="622">
        <f t="shared" si="12"/>
        <v>-2.0366</v>
      </c>
      <c r="CT20" s="622">
        <f t="shared" si="12"/>
        <v>-200.8449</v>
      </c>
      <c r="CU20" s="622">
        <f t="shared" si="12"/>
        <v>-229.1098</v>
      </c>
      <c r="CV20" s="622">
        <f t="shared" si="12"/>
        <v>-0.1107</v>
      </c>
      <c r="CX20" s="296" t="s">
        <v>413</v>
      </c>
    </row>
    <row r="21" ht="15.75" customHeight="1">
      <c r="B21" s="620">
        <v>13.0</v>
      </c>
      <c r="C21" s="620" t="s">
        <v>2020</v>
      </c>
      <c r="D21" s="621"/>
      <c r="E21" s="621"/>
      <c r="F21" s="621"/>
      <c r="G21" s="621"/>
      <c r="H21" s="621"/>
      <c r="I21" s="621"/>
      <c r="J21" s="621"/>
      <c r="K21" s="621"/>
      <c r="L21" s="621"/>
      <c r="M21" s="621"/>
      <c r="N21" s="621"/>
      <c r="O21" s="621"/>
      <c r="P21" s="621"/>
      <c r="R21" s="621"/>
      <c r="S21" s="621"/>
      <c r="T21" s="621"/>
      <c r="U21" s="621"/>
      <c r="V21" s="621"/>
      <c r="W21" s="621"/>
      <c r="X21" s="621"/>
      <c r="Y21" s="621"/>
      <c r="Z21" s="621"/>
      <c r="AA21" s="621"/>
      <c r="AB21" s="621"/>
      <c r="AC21" s="621"/>
      <c r="AD21" s="621"/>
      <c r="AF21" s="622"/>
      <c r="AG21" s="622"/>
      <c r="AH21" s="622"/>
      <c r="AI21" s="622"/>
      <c r="AJ21" s="622"/>
      <c r="AK21" s="622"/>
      <c r="AL21" s="622"/>
      <c r="AM21" s="622"/>
      <c r="AN21" s="622"/>
      <c r="AO21" s="622"/>
      <c r="AP21" s="622"/>
      <c r="AQ21" s="622"/>
      <c r="AR21" s="622"/>
      <c r="AT21" s="621">
        <v>215.39</v>
      </c>
      <c r="AU21" s="621">
        <v>2.0123</v>
      </c>
      <c r="AV21" s="621">
        <v>2.6113999999999997</v>
      </c>
      <c r="AW21" s="621">
        <v>2.1254999999999997</v>
      </c>
      <c r="AX21" s="621">
        <v>2.0712</v>
      </c>
      <c r="AY21" s="621">
        <v>2.1299</v>
      </c>
      <c r="AZ21" s="621">
        <v>1.5129000000000001</v>
      </c>
      <c r="BA21" s="621">
        <v>5.576</v>
      </c>
      <c r="BB21" s="621">
        <v>4.3345</v>
      </c>
      <c r="BC21" s="621">
        <v>4.7141</v>
      </c>
      <c r="BD21" s="621">
        <v>0.0</v>
      </c>
      <c r="BE21" s="621">
        <v>0.0</v>
      </c>
      <c r="BF21" s="621">
        <v>0.0</v>
      </c>
      <c r="BH21" s="623">
        <v>5.362900000000025</v>
      </c>
      <c r="BI21" s="623">
        <v>-0.2862</v>
      </c>
      <c r="BJ21" s="623">
        <v>-0.8588999999999998</v>
      </c>
      <c r="BK21" s="623">
        <v>-0.9868999999999999</v>
      </c>
      <c r="BL21" s="623">
        <v>-0.08360000000000012</v>
      </c>
      <c r="BM21" s="623">
        <v>0.02389999999999981</v>
      </c>
      <c r="BN21" s="623">
        <v>-0.01670000000000016</v>
      </c>
      <c r="BO21" s="623">
        <v>1.5845000000000011</v>
      </c>
      <c r="BP21" s="623">
        <v>1.7790999999999997</v>
      </c>
      <c r="BQ21" s="623">
        <v>2.1982999999999997</v>
      </c>
      <c r="BR21" s="623">
        <v>213.2001</v>
      </c>
      <c r="BS21" s="623">
        <v>234.00809999999998</v>
      </c>
      <c r="BT21" s="623">
        <v>0.0</v>
      </c>
      <c r="BV21" s="623"/>
      <c r="BW21" s="623"/>
      <c r="BX21" s="623"/>
      <c r="BY21" s="623"/>
      <c r="BZ21" s="623"/>
      <c r="CA21" s="623"/>
      <c r="CB21" s="623"/>
      <c r="CC21" s="623"/>
      <c r="CD21" s="623"/>
      <c r="CE21" s="623"/>
      <c r="CF21" s="623"/>
      <c r="CG21" s="623"/>
      <c r="CH21" s="623"/>
      <c r="CJ21" s="622">
        <f t="shared" ref="CJ21:CV21" si="13">IFERROR(BV21-BH21,"")</f>
        <v>-5.3629</v>
      </c>
      <c r="CK21" s="622">
        <f t="shared" si="13"/>
        <v>0.2862</v>
      </c>
      <c r="CL21" s="622">
        <f t="shared" si="13"/>
        <v>0.8589</v>
      </c>
      <c r="CM21" s="622">
        <f t="shared" si="13"/>
        <v>0.9869</v>
      </c>
      <c r="CN21" s="622">
        <f t="shared" si="13"/>
        <v>0.0836</v>
      </c>
      <c r="CO21" s="622">
        <f t="shared" si="13"/>
        <v>-0.0239</v>
      </c>
      <c r="CP21" s="622">
        <f t="shared" si="13"/>
        <v>0.0167</v>
      </c>
      <c r="CQ21" s="622">
        <f t="shared" si="13"/>
        <v>-1.5845</v>
      </c>
      <c r="CR21" s="622">
        <f t="shared" si="13"/>
        <v>-1.7791</v>
      </c>
      <c r="CS21" s="622">
        <f t="shared" si="13"/>
        <v>-2.1983</v>
      </c>
      <c r="CT21" s="622">
        <f t="shared" si="13"/>
        <v>-213.2001</v>
      </c>
      <c r="CU21" s="622">
        <f t="shared" si="13"/>
        <v>-234.0081</v>
      </c>
      <c r="CV21" s="622">
        <f t="shared" si="13"/>
        <v>0</v>
      </c>
      <c r="CX21" s="296" t="s">
        <v>63</v>
      </c>
    </row>
    <row r="22" ht="15.75" customHeight="1">
      <c r="B22" s="620">
        <v>14.0</v>
      </c>
      <c r="C22" s="620" t="s">
        <v>2030</v>
      </c>
      <c r="D22" s="621"/>
      <c r="E22" s="621"/>
      <c r="F22" s="621"/>
      <c r="G22" s="621"/>
      <c r="H22" s="621"/>
      <c r="I22" s="621"/>
      <c r="J22" s="621"/>
      <c r="K22" s="621"/>
      <c r="L22" s="621"/>
      <c r="M22" s="621"/>
      <c r="N22" s="621"/>
      <c r="O22" s="621"/>
      <c r="P22" s="621"/>
      <c r="R22" s="621"/>
      <c r="S22" s="621"/>
      <c r="T22" s="621"/>
      <c r="U22" s="621"/>
      <c r="V22" s="621"/>
      <c r="W22" s="621"/>
      <c r="X22" s="621"/>
      <c r="Y22" s="621"/>
      <c r="Z22" s="621"/>
      <c r="AA22" s="621"/>
      <c r="AB22" s="621"/>
      <c r="AC22" s="621"/>
      <c r="AD22" s="621"/>
      <c r="AF22" s="622"/>
      <c r="AG22" s="622"/>
      <c r="AH22" s="622"/>
      <c r="AI22" s="622"/>
      <c r="AJ22" s="622"/>
      <c r="AK22" s="622"/>
      <c r="AL22" s="622"/>
      <c r="AM22" s="622"/>
      <c r="AN22" s="622"/>
      <c r="AO22" s="622"/>
      <c r="AP22" s="622"/>
      <c r="AQ22" s="622"/>
      <c r="AR22" s="622"/>
      <c r="AT22" s="621">
        <v>222.8779</v>
      </c>
      <c r="AU22" s="621">
        <v>1.8900000000000001</v>
      </c>
      <c r="AV22" s="621">
        <v>2.5365</v>
      </c>
      <c r="AW22" s="621">
        <v>1.4889000000000001</v>
      </c>
      <c r="AX22" s="621">
        <v>1.916</v>
      </c>
      <c r="AY22" s="621">
        <v>1.9979</v>
      </c>
      <c r="AZ22" s="621">
        <v>1.4559</v>
      </c>
      <c r="BA22" s="621">
        <v>4.4635</v>
      </c>
      <c r="BB22" s="621">
        <v>3.5784000000000002</v>
      </c>
      <c r="BC22" s="621">
        <v>3.6739999999999995</v>
      </c>
      <c r="BD22" s="621">
        <v>0.0</v>
      </c>
      <c r="BE22" s="621">
        <v>0.0</v>
      </c>
      <c r="BF22" s="621">
        <v>0.0</v>
      </c>
      <c r="BH22" s="623">
        <v>-9.758800000000008</v>
      </c>
      <c r="BI22" s="623">
        <v>-0.26380000000000003</v>
      </c>
      <c r="BJ22" s="623">
        <v>-0.7445000000000002</v>
      </c>
      <c r="BK22" s="623">
        <v>-0.4366000000000001</v>
      </c>
      <c r="BL22" s="623">
        <v>-0.06380000000000008</v>
      </c>
      <c r="BM22" s="623">
        <v>0.03299999999999992</v>
      </c>
      <c r="BN22" s="623">
        <v>-0.07159999999999989</v>
      </c>
      <c r="BO22" s="623">
        <v>1.4666999999999994</v>
      </c>
      <c r="BP22" s="623">
        <v>1.5204999999999993</v>
      </c>
      <c r="BQ22" s="623">
        <v>1.8003999999999998</v>
      </c>
      <c r="BR22" s="623">
        <v>200.7121</v>
      </c>
      <c r="BS22" s="623">
        <v>250.6447</v>
      </c>
      <c r="BT22" s="623">
        <v>0.0</v>
      </c>
      <c r="BV22" s="623"/>
      <c r="BW22" s="623"/>
      <c r="BX22" s="623"/>
      <c r="BY22" s="623"/>
      <c r="BZ22" s="623"/>
      <c r="CA22" s="623"/>
      <c r="CB22" s="623"/>
      <c r="CC22" s="623"/>
      <c r="CD22" s="623"/>
      <c r="CE22" s="623"/>
      <c r="CF22" s="623"/>
      <c r="CG22" s="623"/>
      <c r="CH22" s="623"/>
      <c r="CJ22" s="622">
        <f t="shared" ref="CJ22:CV22" si="14">IFERROR(BV22-BH22,"")</f>
        <v>9.7588</v>
      </c>
      <c r="CK22" s="622">
        <f t="shared" si="14"/>
        <v>0.2638</v>
      </c>
      <c r="CL22" s="622">
        <f t="shared" si="14"/>
        <v>0.7445</v>
      </c>
      <c r="CM22" s="622">
        <f t="shared" si="14"/>
        <v>0.4366</v>
      </c>
      <c r="CN22" s="622">
        <f t="shared" si="14"/>
        <v>0.0638</v>
      </c>
      <c r="CO22" s="622">
        <f t="shared" si="14"/>
        <v>-0.033</v>
      </c>
      <c r="CP22" s="622">
        <f t="shared" si="14"/>
        <v>0.0716</v>
      </c>
      <c r="CQ22" s="622">
        <f t="shared" si="14"/>
        <v>-1.4667</v>
      </c>
      <c r="CR22" s="622">
        <f t="shared" si="14"/>
        <v>-1.5205</v>
      </c>
      <c r="CS22" s="622">
        <f t="shared" si="14"/>
        <v>-1.8004</v>
      </c>
      <c r="CT22" s="622">
        <f t="shared" si="14"/>
        <v>-200.7121</v>
      </c>
      <c r="CU22" s="622">
        <f t="shared" si="14"/>
        <v>-250.6447</v>
      </c>
      <c r="CV22" s="622">
        <f t="shared" si="14"/>
        <v>0</v>
      </c>
      <c r="CX22" s="296" t="s">
        <v>15</v>
      </c>
    </row>
    <row r="23" ht="15.75" customHeight="1">
      <c r="B23" s="620">
        <v>15.0</v>
      </c>
      <c r="C23" s="620" t="s">
        <v>1926</v>
      </c>
      <c r="D23" s="621"/>
      <c r="E23" s="621"/>
      <c r="F23" s="621"/>
      <c r="G23" s="621"/>
      <c r="H23" s="621"/>
      <c r="I23" s="621"/>
      <c r="J23" s="621"/>
      <c r="K23" s="621"/>
      <c r="L23" s="621"/>
      <c r="M23" s="621"/>
      <c r="N23" s="621"/>
      <c r="O23" s="621"/>
      <c r="P23" s="621"/>
      <c r="R23" s="621"/>
      <c r="S23" s="621"/>
      <c r="T23" s="621"/>
      <c r="U23" s="621"/>
      <c r="V23" s="621"/>
      <c r="W23" s="621"/>
      <c r="X23" s="621"/>
      <c r="Y23" s="621"/>
      <c r="Z23" s="621"/>
      <c r="AA23" s="621"/>
      <c r="AB23" s="621"/>
      <c r="AC23" s="621"/>
      <c r="AD23" s="621"/>
      <c r="AF23" s="622"/>
      <c r="AG23" s="622"/>
      <c r="AH23" s="622"/>
      <c r="AI23" s="622"/>
      <c r="AJ23" s="622"/>
      <c r="AK23" s="622"/>
      <c r="AL23" s="622"/>
      <c r="AM23" s="622"/>
      <c r="AN23" s="622"/>
      <c r="AO23" s="622"/>
      <c r="AP23" s="622"/>
      <c r="AQ23" s="622"/>
      <c r="AR23" s="622"/>
      <c r="AT23" s="621">
        <v>246.2002</v>
      </c>
      <c r="AU23" s="621">
        <v>2.3034</v>
      </c>
      <c r="AV23" s="621">
        <v>2.6526</v>
      </c>
      <c r="AW23" s="621">
        <v>1.466</v>
      </c>
      <c r="AX23" s="621">
        <v>2.4093</v>
      </c>
      <c r="AY23" s="621">
        <v>2.3339</v>
      </c>
      <c r="AZ23" s="621">
        <v>1.5582</v>
      </c>
      <c r="BA23" s="621">
        <v>2.1352</v>
      </c>
      <c r="BB23" s="621">
        <v>2.9073</v>
      </c>
      <c r="BC23" s="621">
        <v>4.5902</v>
      </c>
      <c r="BD23" s="621">
        <v>0.0</v>
      </c>
      <c r="BE23" s="621">
        <v>0.0</v>
      </c>
      <c r="BF23" s="621">
        <v>0.0</v>
      </c>
      <c r="BH23" s="623">
        <v>-19.189999999999998</v>
      </c>
      <c r="BI23" s="623">
        <v>0.28080000000000016</v>
      </c>
      <c r="BJ23" s="623">
        <v>-0.38610000000000033</v>
      </c>
      <c r="BK23" s="623">
        <v>-0.06319999999999992</v>
      </c>
      <c r="BL23" s="623">
        <v>0.15260000000000007</v>
      </c>
      <c r="BM23" s="623">
        <v>0.3001000000000005</v>
      </c>
      <c r="BN23" s="623">
        <v>0.2628999999999999</v>
      </c>
      <c r="BO23" s="623">
        <v>0.8451</v>
      </c>
      <c r="BP23" s="623">
        <v>1.5168</v>
      </c>
      <c r="BQ23" s="623">
        <v>3.223</v>
      </c>
      <c r="BR23" s="623">
        <v>241.2457</v>
      </c>
      <c r="BS23" s="623">
        <v>329.86850000000004</v>
      </c>
      <c r="BT23" s="623">
        <v>7.0954</v>
      </c>
      <c r="BV23" s="623"/>
      <c r="BW23" s="623"/>
      <c r="BX23" s="623"/>
      <c r="BY23" s="623"/>
      <c r="BZ23" s="623"/>
      <c r="CA23" s="623"/>
      <c r="CB23" s="623"/>
      <c r="CC23" s="623"/>
      <c r="CD23" s="623"/>
      <c r="CE23" s="623"/>
      <c r="CF23" s="623"/>
      <c r="CG23" s="623"/>
      <c r="CH23" s="623"/>
      <c r="CJ23" s="622">
        <f t="shared" ref="CJ23:CV23" si="15">IFERROR(BV23-BH23,"")</f>
        <v>19.19</v>
      </c>
      <c r="CK23" s="622">
        <f t="shared" si="15"/>
        <v>-0.2808</v>
      </c>
      <c r="CL23" s="622">
        <f t="shared" si="15"/>
        <v>0.3861</v>
      </c>
      <c r="CM23" s="622">
        <f t="shared" si="15"/>
        <v>0.0632</v>
      </c>
      <c r="CN23" s="622">
        <f t="shared" si="15"/>
        <v>-0.1526</v>
      </c>
      <c r="CO23" s="622">
        <f t="shared" si="15"/>
        <v>-0.3001</v>
      </c>
      <c r="CP23" s="622">
        <f t="shared" si="15"/>
        <v>-0.2629</v>
      </c>
      <c r="CQ23" s="622">
        <f t="shared" si="15"/>
        <v>-0.8451</v>
      </c>
      <c r="CR23" s="622">
        <f t="shared" si="15"/>
        <v>-1.5168</v>
      </c>
      <c r="CS23" s="622">
        <f t="shared" si="15"/>
        <v>-3.223</v>
      </c>
      <c r="CT23" s="622">
        <f t="shared" si="15"/>
        <v>-241.2457</v>
      </c>
      <c r="CU23" s="622">
        <f t="shared" si="15"/>
        <v>-329.8685</v>
      </c>
      <c r="CV23" s="622">
        <f t="shared" si="15"/>
        <v>-7.0954</v>
      </c>
      <c r="CX23" s="296" t="s">
        <v>16</v>
      </c>
    </row>
    <row r="24" ht="15.75" customHeight="1">
      <c r="B24" s="620">
        <v>16.0</v>
      </c>
      <c r="C24" s="620" t="s">
        <v>1971</v>
      </c>
      <c r="D24" s="621"/>
      <c r="E24" s="621"/>
      <c r="F24" s="621"/>
      <c r="G24" s="621"/>
      <c r="H24" s="621"/>
      <c r="I24" s="621"/>
      <c r="J24" s="621"/>
      <c r="K24" s="621"/>
      <c r="L24" s="621"/>
      <c r="M24" s="621"/>
      <c r="N24" s="621"/>
      <c r="O24" s="621"/>
      <c r="P24" s="621"/>
      <c r="R24" s="621"/>
      <c r="S24" s="621"/>
      <c r="T24" s="621"/>
      <c r="U24" s="621"/>
      <c r="V24" s="621"/>
      <c r="W24" s="621"/>
      <c r="X24" s="621"/>
      <c r="Y24" s="621"/>
      <c r="Z24" s="621"/>
      <c r="AA24" s="621"/>
      <c r="AB24" s="621"/>
      <c r="AC24" s="621"/>
      <c r="AD24" s="621"/>
      <c r="AF24" s="622"/>
      <c r="AG24" s="622"/>
      <c r="AH24" s="622"/>
      <c r="AI24" s="622"/>
      <c r="AJ24" s="622"/>
      <c r="AK24" s="622"/>
      <c r="AL24" s="622"/>
      <c r="AM24" s="622"/>
      <c r="AN24" s="622"/>
      <c r="AO24" s="622"/>
      <c r="AP24" s="622"/>
      <c r="AQ24" s="622"/>
      <c r="AR24" s="622"/>
      <c r="AT24" s="621">
        <v>265.6397</v>
      </c>
      <c r="AU24" s="621">
        <v>2.1622</v>
      </c>
      <c r="AV24" s="621">
        <v>2.6708</v>
      </c>
      <c r="AW24" s="621">
        <v>1.4743</v>
      </c>
      <c r="AX24" s="621">
        <v>2.2674</v>
      </c>
      <c r="AY24" s="621">
        <v>2.3463000000000003</v>
      </c>
      <c r="AZ24" s="621">
        <v>1.5469</v>
      </c>
      <c r="BA24" s="621">
        <v>2.3838</v>
      </c>
      <c r="BB24" s="621">
        <v>3.6657</v>
      </c>
      <c r="BC24" s="621">
        <v>4.0014</v>
      </c>
      <c r="BD24" s="621">
        <v>0.0</v>
      </c>
      <c r="BE24" s="621">
        <v>0.0</v>
      </c>
      <c r="BF24" s="621">
        <v>0.0</v>
      </c>
      <c r="BH24" s="623">
        <v>-36.34710000000001</v>
      </c>
      <c r="BI24" s="623">
        <v>-0.11299999999999999</v>
      </c>
      <c r="BJ24" s="623">
        <v>-0.5129999999999999</v>
      </c>
      <c r="BK24" s="623">
        <v>-0.2689999999999999</v>
      </c>
      <c r="BL24" s="623">
        <v>0.046800000000000175</v>
      </c>
      <c r="BM24" s="623">
        <v>-0.009000000000000341</v>
      </c>
      <c r="BN24" s="623">
        <v>0.0717000000000001</v>
      </c>
      <c r="BO24" s="623">
        <v>0.9356</v>
      </c>
      <c r="BP24" s="623">
        <v>2.1710000000000003</v>
      </c>
      <c r="BQ24" s="623">
        <v>2.662</v>
      </c>
      <c r="BR24" s="623">
        <v>212.6523</v>
      </c>
      <c r="BS24" s="623">
        <v>337.167</v>
      </c>
      <c r="BT24" s="623">
        <v>11.0842</v>
      </c>
      <c r="BV24" s="623"/>
      <c r="BW24" s="623"/>
      <c r="BX24" s="623"/>
      <c r="BY24" s="623"/>
      <c r="BZ24" s="623"/>
      <c r="CA24" s="623"/>
      <c r="CB24" s="623"/>
      <c r="CC24" s="623"/>
      <c r="CD24" s="623"/>
      <c r="CE24" s="623"/>
      <c r="CF24" s="623"/>
      <c r="CG24" s="623"/>
      <c r="CH24" s="623"/>
      <c r="CJ24" s="622">
        <f t="shared" ref="CJ24:CV24" si="16">IFERROR(BV24-BH24,"")</f>
        <v>36.3471</v>
      </c>
      <c r="CK24" s="622">
        <f t="shared" si="16"/>
        <v>0.113</v>
      </c>
      <c r="CL24" s="622">
        <f t="shared" si="16"/>
        <v>0.513</v>
      </c>
      <c r="CM24" s="622">
        <f t="shared" si="16"/>
        <v>0.269</v>
      </c>
      <c r="CN24" s="622">
        <f t="shared" si="16"/>
        <v>-0.0468</v>
      </c>
      <c r="CO24" s="622">
        <f t="shared" si="16"/>
        <v>0.009</v>
      </c>
      <c r="CP24" s="622">
        <f t="shared" si="16"/>
        <v>-0.0717</v>
      </c>
      <c r="CQ24" s="622">
        <f t="shared" si="16"/>
        <v>-0.9356</v>
      </c>
      <c r="CR24" s="622">
        <f t="shared" si="16"/>
        <v>-2.171</v>
      </c>
      <c r="CS24" s="622">
        <f t="shared" si="16"/>
        <v>-2.662</v>
      </c>
      <c r="CT24" s="622">
        <f t="shared" si="16"/>
        <v>-212.6523</v>
      </c>
      <c r="CU24" s="622">
        <f t="shared" si="16"/>
        <v>-337.167</v>
      </c>
      <c r="CV24" s="622">
        <f t="shared" si="16"/>
        <v>-11.0842</v>
      </c>
      <c r="CX24" s="296" t="s">
        <v>42</v>
      </c>
    </row>
    <row r="25" ht="15.75" customHeight="1">
      <c r="B25" s="620">
        <v>17.0</v>
      </c>
      <c r="C25" s="620" t="s">
        <v>1983</v>
      </c>
      <c r="D25" s="621"/>
      <c r="E25" s="621"/>
      <c r="F25" s="621"/>
      <c r="G25" s="621"/>
      <c r="H25" s="621"/>
      <c r="I25" s="621"/>
      <c r="J25" s="621"/>
      <c r="K25" s="621"/>
      <c r="L25" s="621"/>
      <c r="M25" s="621"/>
      <c r="N25" s="621"/>
      <c r="O25" s="621"/>
      <c r="P25" s="621"/>
      <c r="Q25" s="250"/>
      <c r="R25" s="621"/>
      <c r="S25" s="621"/>
      <c r="T25" s="621"/>
      <c r="U25" s="621"/>
      <c r="V25" s="621"/>
      <c r="W25" s="621"/>
      <c r="X25" s="621"/>
      <c r="Y25" s="621"/>
      <c r="Z25" s="621"/>
      <c r="AA25" s="621"/>
      <c r="AB25" s="621"/>
      <c r="AC25" s="621"/>
      <c r="AD25" s="621"/>
      <c r="AE25" s="250"/>
      <c r="AF25" s="622"/>
      <c r="AG25" s="622"/>
      <c r="AH25" s="622"/>
      <c r="AI25" s="622"/>
      <c r="AJ25" s="622"/>
      <c r="AK25" s="622"/>
      <c r="AL25" s="622"/>
      <c r="AM25" s="622"/>
      <c r="AN25" s="622"/>
      <c r="AO25" s="622"/>
      <c r="AP25" s="622"/>
      <c r="AQ25" s="622"/>
      <c r="AR25" s="622"/>
      <c r="AS25" s="250"/>
      <c r="AT25" s="621">
        <v>262.1158</v>
      </c>
      <c r="AU25" s="621">
        <v>2.1104000000000003</v>
      </c>
      <c r="AV25" s="621">
        <v>3.1802</v>
      </c>
      <c r="AW25" s="621">
        <v>1.3664999999999998</v>
      </c>
      <c r="AX25" s="621">
        <v>2.3520000000000003</v>
      </c>
      <c r="AY25" s="621">
        <v>2.4764999999999997</v>
      </c>
      <c r="AZ25" s="621">
        <v>1.6524</v>
      </c>
      <c r="BA25" s="621">
        <v>1.0601</v>
      </c>
      <c r="BB25" s="621">
        <v>3.6193</v>
      </c>
      <c r="BC25" s="621">
        <v>4.4261</v>
      </c>
      <c r="BD25" s="621">
        <v>0.0</v>
      </c>
      <c r="BE25" s="621">
        <v>0.0</v>
      </c>
      <c r="BF25" s="621">
        <v>0.0</v>
      </c>
      <c r="BG25" s="250"/>
      <c r="BH25" s="623">
        <v>-40.357999999999976</v>
      </c>
      <c r="BI25" s="623">
        <v>0.6222999999999996</v>
      </c>
      <c r="BJ25" s="623">
        <v>-0.4916999999999998</v>
      </c>
      <c r="BK25" s="623">
        <v>0.2706000000000002</v>
      </c>
      <c r="BL25" s="623">
        <v>0.07789999999999964</v>
      </c>
      <c r="BM25" s="623">
        <v>0.12850000000000028</v>
      </c>
      <c r="BN25" s="623">
        <v>0.26229999999999976</v>
      </c>
      <c r="BO25" s="623">
        <v>0.33719999999999994</v>
      </c>
      <c r="BP25" s="623">
        <v>2.0523</v>
      </c>
      <c r="BQ25" s="623">
        <v>2.9010999999999996</v>
      </c>
      <c r="BR25" s="623">
        <v>226.4479</v>
      </c>
      <c r="BS25" s="623">
        <v>338.0765</v>
      </c>
      <c r="BT25" s="623">
        <v>7.5046</v>
      </c>
      <c r="BU25" s="250"/>
      <c r="BV25" s="623"/>
      <c r="BW25" s="623"/>
      <c r="BX25" s="623"/>
      <c r="BY25" s="623"/>
      <c r="BZ25" s="623"/>
      <c r="CA25" s="623"/>
      <c r="CB25" s="623"/>
      <c r="CC25" s="623"/>
      <c r="CD25" s="623"/>
      <c r="CE25" s="623"/>
      <c r="CF25" s="623"/>
      <c r="CG25" s="623"/>
      <c r="CH25" s="623"/>
      <c r="CI25" s="250"/>
      <c r="CJ25" s="622">
        <f t="shared" ref="CJ25:CV25" si="17">IFERROR(BV25-BH25,"")</f>
        <v>40.358</v>
      </c>
      <c r="CK25" s="622">
        <f t="shared" si="17"/>
        <v>-0.6223</v>
      </c>
      <c r="CL25" s="622">
        <f t="shared" si="17"/>
        <v>0.4917</v>
      </c>
      <c r="CM25" s="622">
        <f t="shared" si="17"/>
        <v>-0.2706</v>
      </c>
      <c r="CN25" s="622">
        <f t="shared" si="17"/>
        <v>-0.0779</v>
      </c>
      <c r="CO25" s="622">
        <f t="shared" si="17"/>
        <v>-0.1285</v>
      </c>
      <c r="CP25" s="622">
        <f t="shared" si="17"/>
        <v>-0.2623</v>
      </c>
      <c r="CQ25" s="622">
        <f t="shared" si="17"/>
        <v>-0.3372</v>
      </c>
      <c r="CR25" s="622">
        <f t="shared" si="17"/>
        <v>-2.0523</v>
      </c>
      <c r="CS25" s="622">
        <f t="shared" si="17"/>
        <v>-2.9011</v>
      </c>
      <c r="CT25" s="622">
        <f t="shared" si="17"/>
        <v>-226.4479</v>
      </c>
      <c r="CU25" s="622">
        <f t="shared" si="17"/>
        <v>-338.0765</v>
      </c>
      <c r="CV25" s="622">
        <f t="shared" si="17"/>
        <v>-7.5046</v>
      </c>
      <c r="CX25" s="296" t="s">
        <v>414</v>
      </c>
    </row>
    <row r="26" ht="15.75" customHeight="1">
      <c r="B26" s="620">
        <v>18.0</v>
      </c>
      <c r="C26" s="620" t="s">
        <v>1994</v>
      </c>
      <c r="D26" s="621"/>
      <c r="E26" s="621"/>
      <c r="F26" s="621"/>
      <c r="G26" s="621"/>
      <c r="H26" s="621"/>
      <c r="I26" s="621"/>
      <c r="J26" s="621"/>
      <c r="K26" s="621"/>
      <c r="L26" s="621"/>
      <c r="M26" s="621"/>
      <c r="N26" s="621"/>
      <c r="O26" s="621"/>
      <c r="P26" s="621"/>
      <c r="Q26" s="250"/>
      <c r="R26" s="621"/>
      <c r="S26" s="621"/>
      <c r="T26" s="621"/>
      <c r="U26" s="621"/>
      <c r="V26" s="621"/>
      <c r="W26" s="621"/>
      <c r="X26" s="621"/>
      <c r="Y26" s="621"/>
      <c r="Z26" s="621"/>
      <c r="AA26" s="621"/>
      <c r="AB26" s="621"/>
      <c r="AC26" s="621"/>
      <c r="AD26" s="621"/>
      <c r="AE26" s="250"/>
      <c r="AF26" s="622"/>
      <c r="AG26" s="622"/>
      <c r="AH26" s="622"/>
      <c r="AI26" s="622"/>
      <c r="AJ26" s="622"/>
      <c r="AK26" s="622"/>
      <c r="AL26" s="622"/>
      <c r="AM26" s="622"/>
      <c r="AN26" s="622"/>
      <c r="AO26" s="622"/>
      <c r="AP26" s="622"/>
      <c r="AQ26" s="622"/>
      <c r="AR26" s="622"/>
      <c r="AS26" s="250"/>
      <c r="AT26" s="621">
        <v>254.5799</v>
      </c>
      <c r="AU26" s="621">
        <v>2.3352</v>
      </c>
      <c r="AV26" s="621">
        <v>3.0841000000000003</v>
      </c>
      <c r="AW26" s="621">
        <v>1.7393999999999998</v>
      </c>
      <c r="AX26" s="621">
        <v>2.4774000000000003</v>
      </c>
      <c r="AY26" s="621">
        <v>2.5244999999999997</v>
      </c>
      <c r="AZ26" s="621">
        <v>1.7315</v>
      </c>
      <c r="BA26" s="621">
        <v>0.7455</v>
      </c>
      <c r="BB26" s="621">
        <v>3.4297</v>
      </c>
      <c r="BC26" s="621">
        <v>4.4986999999999995</v>
      </c>
      <c r="BD26" s="621">
        <v>0.0</v>
      </c>
      <c r="BE26" s="621">
        <v>0.0</v>
      </c>
      <c r="BF26" s="621">
        <v>0.0</v>
      </c>
      <c r="BG26" s="250"/>
      <c r="BH26" s="623">
        <v>-32.2928</v>
      </c>
      <c r="BI26" s="623">
        <v>1.6907</v>
      </c>
      <c r="BJ26" s="623">
        <v>0.9291</v>
      </c>
      <c r="BK26" s="623">
        <v>1.2382</v>
      </c>
      <c r="BL26" s="623">
        <v>-0.20760000000000023</v>
      </c>
      <c r="BM26" s="623">
        <v>-0.0884999999999998</v>
      </c>
      <c r="BN26" s="623">
        <v>0.057399999999999896</v>
      </c>
      <c r="BO26" s="623">
        <v>0.33189999999999986</v>
      </c>
      <c r="BP26" s="623">
        <v>1.8753999999999995</v>
      </c>
      <c r="BQ26" s="623">
        <v>3.1029</v>
      </c>
      <c r="BR26" s="623">
        <v>230.0885</v>
      </c>
      <c r="BS26" s="623">
        <v>344.8926</v>
      </c>
      <c r="BT26" s="623">
        <v>7.3649</v>
      </c>
      <c r="BU26" s="250"/>
      <c r="BV26" s="623"/>
      <c r="BW26" s="623"/>
      <c r="BX26" s="623"/>
      <c r="BY26" s="623"/>
      <c r="BZ26" s="623"/>
      <c r="CA26" s="623"/>
      <c r="CB26" s="623"/>
      <c r="CC26" s="623"/>
      <c r="CD26" s="623"/>
      <c r="CE26" s="623"/>
      <c r="CF26" s="623"/>
      <c r="CG26" s="623"/>
      <c r="CH26" s="623"/>
      <c r="CI26" s="250"/>
      <c r="CJ26" s="622">
        <f t="shared" ref="CJ26:CV26" si="18">IFERROR(BV26-BH26,"")</f>
        <v>32.2928</v>
      </c>
      <c r="CK26" s="622">
        <f t="shared" si="18"/>
        <v>-1.6907</v>
      </c>
      <c r="CL26" s="622">
        <f t="shared" si="18"/>
        <v>-0.9291</v>
      </c>
      <c r="CM26" s="622">
        <f t="shared" si="18"/>
        <v>-1.2382</v>
      </c>
      <c r="CN26" s="622">
        <f t="shared" si="18"/>
        <v>0.2076</v>
      </c>
      <c r="CO26" s="622">
        <f t="shared" si="18"/>
        <v>0.0885</v>
      </c>
      <c r="CP26" s="622">
        <f t="shared" si="18"/>
        <v>-0.0574</v>
      </c>
      <c r="CQ26" s="622">
        <f t="shared" si="18"/>
        <v>-0.3319</v>
      </c>
      <c r="CR26" s="622">
        <f t="shared" si="18"/>
        <v>-1.8754</v>
      </c>
      <c r="CS26" s="622">
        <f t="shared" si="18"/>
        <v>-3.1029</v>
      </c>
      <c r="CT26" s="622">
        <f t="shared" si="18"/>
        <v>-230.0885</v>
      </c>
      <c r="CU26" s="622">
        <f t="shared" si="18"/>
        <v>-344.8926</v>
      </c>
      <c r="CV26" s="622">
        <f t="shared" si="18"/>
        <v>-7.3649</v>
      </c>
      <c r="CX26" s="296" t="s">
        <v>14</v>
      </c>
    </row>
    <row r="27" ht="15.75" customHeight="1">
      <c r="B27" s="620">
        <v>19.0</v>
      </c>
      <c r="C27" s="620" t="s">
        <v>2008</v>
      </c>
      <c r="D27" s="621"/>
      <c r="E27" s="621"/>
      <c r="F27" s="621"/>
      <c r="G27" s="621"/>
      <c r="H27" s="621"/>
      <c r="I27" s="621"/>
      <c r="J27" s="621"/>
      <c r="K27" s="621"/>
      <c r="L27" s="621"/>
      <c r="M27" s="621"/>
      <c r="N27" s="621"/>
      <c r="O27" s="621"/>
      <c r="P27" s="621"/>
      <c r="Q27" s="250"/>
      <c r="R27" s="621"/>
      <c r="S27" s="621"/>
      <c r="T27" s="621"/>
      <c r="U27" s="621"/>
      <c r="V27" s="621"/>
      <c r="W27" s="621"/>
      <c r="X27" s="621"/>
      <c r="Y27" s="621"/>
      <c r="Z27" s="621"/>
      <c r="AA27" s="621"/>
      <c r="AB27" s="621"/>
      <c r="AC27" s="621"/>
      <c r="AD27" s="621"/>
      <c r="AE27" s="250"/>
      <c r="AF27" s="622"/>
      <c r="AG27" s="622"/>
      <c r="AH27" s="622"/>
      <c r="AI27" s="622"/>
      <c r="AJ27" s="622"/>
      <c r="AK27" s="622"/>
      <c r="AL27" s="622"/>
      <c r="AM27" s="622"/>
      <c r="AN27" s="622"/>
      <c r="AO27" s="622"/>
      <c r="AP27" s="622"/>
      <c r="AQ27" s="622"/>
      <c r="AR27" s="622"/>
      <c r="AS27" s="250"/>
      <c r="AT27" s="621">
        <v>260.4101</v>
      </c>
      <c r="AU27" s="621">
        <v>2.3779</v>
      </c>
      <c r="AV27" s="621">
        <v>2.5888</v>
      </c>
      <c r="AW27" s="621">
        <v>2.3297</v>
      </c>
      <c r="AX27" s="621">
        <v>2.3677</v>
      </c>
      <c r="AY27" s="621">
        <v>2.5041</v>
      </c>
      <c r="AZ27" s="621">
        <v>1.6171</v>
      </c>
      <c r="BA27" s="621">
        <v>1.1804000000000001</v>
      </c>
      <c r="BB27" s="621">
        <v>3.4465000000000003</v>
      </c>
      <c r="BC27" s="621">
        <v>4.3384</v>
      </c>
      <c r="BD27" s="621">
        <v>0.0</v>
      </c>
      <c r="BE27" s="621">
        <v>0.0</v>
      </c>
      <c r="BF27" s="621">
        <v>0.0</v>
      </c>
      <c r="BG27" s="250"/>
      <c r="BH27" s="623">
        <v>-20.41749999999999</v>
      </c>
      <c r="BI27" s="623">
        <v>-0.17720000000000002</v>
      </c>
      <c r="BJ27" s="623">
        <v>-0.3570000000000002</v>
      </c>
      <c r="BK27" s="623">
        <v>-1.1732999999999998</v>
      </c>
      <c r="BL27" s="623">
        <v>-0.010100000000000442</v>
      </c>
      <c r="BM27" s="623">
        <v>0.11529999999999951</v>
      </c>
      <c r="BN27" s="623">
        <v>0.09289999999999998</v>
      </c>
      <c r="BO27" s="623">
        <v>0.3820999999999999</v>
      </c>
      <c r="BP27" s="623">
        <v>1.7533999999999992</v>
      </c>
      <c r="BQ27" s="623">
        <v>2.6739999999999995</v>
      </c>
      <c r="BR27" s="623">
        <v>231.04590000000002</v>
      </c>
      <c r="BS27" s="623">
        <v>304.35150000000004</v>
      </c>
      <c r="BT27" s="623">
        <v>3.3958</v>
      </c>
      <c r="BU27" s="250"/>
      <c r="BV27" s="623"/>
      <c r="BW27" s="623"/>
      <c r="BX27" s="623"/>
      <c r="BY27" s="623"/>
      <c r="BZ27" s="623"/>
      <c r="CA27" s="623"/>
      <c r="CB27" s="623"/>
      <c r="CC27" s="623"/>
      <c r="CD27" s="623"/>
      <c r="CE27" s="623"/>
      <c r="CF27" s="623"/>
      <c r="CG27" s="623"/>
      <c r="CH27" s="623"/>
      <c r="CI27" s="250"/>
      <c r="CJ27" s="622">
        <f t="shared" ref="CJ27:CV27" si="19">IFERROR(BV27-BH27,"")</f>
        <v>20.4175</v>
      </c>
      <c r="CK27" s="622">
        <f t="shared" si="19"/>
        <v>0.1772</v>
      </c>
      <c r="CL27" s="622">
        <f t="shared" si="19"/>
        <v>0.357</v>
      </c>
      <c r="CM27" s="622">
        <f t="shared" si="19"/>
        <v>1.1733</v>
      </c>
      <c r="CN27" s="622">
        <f t="shared" si="19"/>
        <v>0.0101</v>
      </c>
      <c r="CO27" s="622">
        <f t="shared" si="19"/>
        <v>-0.1153</v>
      </c>
      <c r="CP27" s="622">
        <f t="shared" si="19"/>
        <v>-0.0929</v>
      </c>
      <c r="CQ27" s="622">
        <f t="shared" si="19"/>
        <v>-0.3821</v>
      </c>
      <c r="CR27" s="622">
        <f t="shared" si="19"/>
        <v>-1.7534</v>
      </c>
      <c r="CS27" s="622">
        <f t="shared" si="19"/>
        <v>-2.674</v>
      </c>
      <c r="CT27" s="622">
        <f t="shared" si="19"/>
        <v>-231.0459</v>
      </c>
      <c r="CU27" s="622">
        <f t="shared" si="19"/>
        <v>-304.3515</v>
      </c>
      <c r="CV27" s="622">
        <f t="shared" si="19"/>
        <v>-3.3958</v>
      </c>
      <c r="CX27" s="296" t="s">
        <v>415</v>
      </c>
    </row>
    <row r="28" ht="15.75" customHeight="1">
      <c r="B28" s="620">
        <v>20.0</v>
      </c>
      <c r="C28" s="620" t="s">
        <v>2020</v>
      </c>
      <c r="D28" s="621"/>
      <c r="E28" s="621"/>
      <c r="F28" s="621"/>
      <c r="G28" s="621"/>
      <c r="H28" s="621"/>
      <c r="I28" s="621"/>
      <c r="J28" s="621"/>
      <c r="K28" s="621"/>
      <c r="L28" s="621"/>
      <c r="M28" s="621"/>
      <c r="N28" s="621"/>
      <c r="O28" s="621"/>
      <c r="P28" s="621"/>
      <c r="R28" s="621"/>
      <c r="S28" s="621"/>
      <c r="T28" s="621"/>
      <c r="U28" s="621"/>
      <c r="V28" s="621"/>
      <c r="W28" s="621"/>
      <c r="X28" s="621"/>
      <c r="Y28" s="621"/>
      <c r="Z28" s="621"/>
      <c r="AA28" s="621"/>
      <c r="AB28" s="621"/>
      <c r="AC28" s="621"/>
      <c r="AD28" s="621"/>
      <c r="AF28" s="622"/>
      <c r="AG28" s="622"/>
      <c r="AH28" s="622"/>
      <c r="AI28" s="622"/>
      <c r="AJ28" s="622"/>
      <c r="AK28" s="622"/>
      <c r="AL28" s="622"/>
      <c r="AM28" s="622"/>
      <c r="AN28" s="622"/>
      <c r="AO28" s="622"/>
      <c r="AP28" s="622"/>
      <c r="AQ28" s="622"/>
      <c r="AR28" s="622"/>
      <c r="AT28" s="621">
        <v>259.63779999999997</v>
      </c>
      <c r="AU28" s="621">
        <v>2.0912</v>
      </c>
      <c r="AV28" s="621">
        <v>2.3472</v>
      </c>
      <c r="AW28" s="621">
        <v>2.1253</v>
      </c>
      <c r="AX28" s="621">
        <v>2.2355</v>
      </c>
      <c r="AY28" s="621">
        <v>2.3391</v>
      </c>
      <c r="AZ28" s="621">
        <v>1.5705</v>
      </c>
      <c r="BA28" s="621">
        <v>4.0256</v>
      </c>
      <c r="BB28" s="621">
        <v>4.309</v>
      </c>
      <c r="BC28" s="621">
        <v>5.5705</v>
      </c>
      <c r="BD28" s="621">
        <v>0.0</v>
      </c>
      <c r="BE28" s="621">
        <v>0.0</v>
      </c>
      <c r="BF28" s="621">
        <v>0.0</v>
      </c>
      <c r="BH28" s="623">
        <v>-22.718799999999987</v>
      </c>
      <c r="BI28" s="623">
        <v>-0.2229000000000001</v>
      </c>
      <c r="BJ28" s="623">
        <v>-0.34799999999999986</v>
      </c>
      <c r="BK28" s="623">
        <v>-0.8784000000000001</v>
      </c>
      <c r="BL28" s="623">
        <v>-0.13759999999999994</v>
      </c>
      <c r="BM28" s="623">
        <v>-0.05569999999999986</v>
      </c>
      <c r="BN28" s="623">
        <v>-0.006399999999999961</v>
      </c>
      <c r="BO28" s="623">
        <v>0.9447000000000001</v>
      </c>
      <c r="BP28" s="623">
        <v>1.6837999999999997</v>
      </c>
      <c r="BQ28" s="623">
        <v>3.6946000000000003</v>
      </c>
      <c r="BR28" s="623">
        <v>228.8868</v>
      </c>
      <c r="BS28" s="623">
        <v>253.9286</v>
      </c>
      <c r="BT28" s="623">
        <v>2.5736</v>
      </c>
      <c r="BV28" s="623"/>
      <c r="BW28" s="623"/>
      <c r="BX28" s="623"/>
      <c r="BY28" s="623"/>
      <c r="BZ28" s="623"/>
      <c r="CA28" s="623"/>
      <c r="CB28" s="623"/>
      <c r="CC28" s="623"/>
      <c r="CD28" s="623"/>
      <c r="CE28" s="623"/>
      <c r="CF28" s="623"/>
      <c r="CG28" s="623"/>
      <c r="CH28" s="623"/>
      <c r="CJ28" s="622">
        <f t="shared" ref="CJ28:CV28" si="20">IFERROR(BV28-BH28,"")</f>
        <v>22.7188</v>
      </c>
      <c r="CK28" s="622">
        <f t="shared" si="20"/>
        <v>0.2229</v>
      </c>
      <c r="CL28" s="622">
        <f t="shared" si="20"/>
        <v>0.348</v>
      </c>
      <c r="CM28" s="622">
        <f t="shared" si="20"/>
        <v>0.8784</v>
      </c>
      <c r="CN28" s="622">
        <f t="shared" si="20"/>
        <v>0.1376</v>
      </c>
      <c r="CO28" s="622">
        <f t="shared" si="20"/>
        <v>0.0557</v>
      </c>
      <c r="CP28" s="622">
        <f t="shared" si="20"/>
        <v>0.0064</v>
      </c>
      <c r="CQ28" s="622">
        <f t="shared" si="20"/>
        <v>-0.9447</v>
      </c>
      <c r="CR28" s="622">
        <f t="shared" si="20"/>
        <v>-1.6838</v>
      </c>
      <c r="CS28" s="622">
        <f t="shared" si="20"/>
        <v>-3.6946</v>
      </c>
      <c r="CT28" s="622">
        <f t="shared" si="20"/>
        <v>-228.8868</v>
      </c>
      <c r="CU28" s="622">
        <f t="shared" si="20"/>
        <v>-253.9286</v>
      </c>
      <c r="CV28" s="622">
        <f t="shared" si="20"/>
        <v>-2.5736</v>
      </c>
    </row>
    <row r="29" ht="15.75" customHeight="1">
      <c r="B29" s="620">
        <v>21.0</v>
      </c>
      <c r="C29" s="620" t="s">
        <v>2030</v>
      </c>
      <c r="D29" s="621"/>
      <c r="E29" s="621"/>
      <c r="F29" s="621"/>
      <c r="G29" s="621"/>
      <c r="H29" s="621"/>
      <c r="I29" s="621"/>
      <c r="J29" s="621"/>
      <c r="K29" s="621"/>
      <c r="L29" s="621"/>
      <c r="M29" s="621"/>
      <c r="N29" s="621"/>
      <c r="O29" s="621"/>
      <c r="P29" s="621"/>
      <c r="R29" s="621"/>
      <c r="S29" s="621"/>
      <c r="T29" s="621"/>
      <c r="U29" s="621"/>
      <c r="V29" s="621"/>
      <c r="W29" s="621"/>
      <c r="X29" s="621"/>
      <c r="Y29" s="621"/>
      <c r="Z29" s="621"/>
      <c r="AA29" s="621"/>
      <c r="AB29" s="621"/>
      <c r="AC29" s="621"/>
      <c r="AD29" s="621"/>
      <c r="AF29" s="622"/>
      <c r="AG29" s="622"/>
      <c r="AH29" s="622"/>
      <c r="AI29" s="622"/>
      <c r="AJ29" s="622"/>
      <c r="AK29" s="622"/>
      <c r="AL29" s="622"/>
      <c r="AM29" s="622"/>
      <c r="AN29" s="622"/>
      <c r="AO29" s="622"/>
      <c r="AP29" s="622"/>
      <c r="AQ29" s="622"/>
      <c r="AR29" s="622"/>
      <c r="AT29" s="621">
        <v>250.644</v>
      </c>
      <c r="AU29" s="621">
        <v>1.9845000000000002</v>
      </c>
      <c r="AV29" s="621">
        <v>2.1978</v>
      </c>
      <c r="AW29" s="621">
        <v>1.5263</v>
      </c>
      <c r="AX29" s="621">
        <v>2.0487</v>
      </c>
      <c r="AY29" s="621">
        <v>2.1443000000000003</v>
      </c>
      <c r="AZ29" s="621">
        <v>1.4141</v>
      </c>
      <c r="BA29" s="621">
        <v>4.0997</v>
      </c>
      <c r="BB29" s="621">
        <v>5.4036</v>
      </c>
      <c r="BC29" s="621">
        <v>6.5</v>
      </c>
      <c r="BD29" s="621">
        <v>0.0201</v>
      </c>
      <c r="BE29" s="621">
        <v>0.0</v>
      </c>
      <c r="BF29" s="621">
        <v>0.0</v>
      </c>
      <c r="BH29" s="623">
        <v>22.267200000000003</v>
      </c>
      <c r="BI29" s="623">
        <v>-0.1665000000000001</v>
      </c>
      <c r="BJ29" s="623">
        <v>-0.07909999999999995</v>
      </c>
      <c r="BK29" s="623">
        <v>-0.35929999999999995</v>
      </c>
      <c r="BL29" s="623">
        <v>0.3515999999999999</v>
      </c>
      <c r="BM29" s="623">
        <v>0.3971999999999998</v>
      </c>
      <c r="BN29" s="623">
        <v>0.13549999999999995</v>
      </c>
      <c r="BO29" s="623">
        <v>1.1952999999999996</v>
      </c>
      <c r="BP29" s="623">
        <v>2.804900000000001</v>
      </c>
      <c r="BQ29" s="623">
        <v>5.161299999999999</v>
      </c>
      <c r="BR29" s="623">
        <v>225.30079999999998</v>
      </c>
      <c r="BS29" s="623">
        <v>220.40359999999998</v>
      </c>
      <c r="BT29" s="623">
        <v>1.7674</v>
      </c>
      <c r="BV29" s="623"/>
      <c r="BW29" s="623"/>
      <c r="BX29" s="623"/>
      <c r="BY29" s="623"/>
      <c r="BZ29" s="623"/>
      <c r="CA29" s="623"/>
      <c r="CB29" s="623"/>
      <c r="CC29" s="623"/>
      <c r="CD29" s="623"/>
      <c r="CE29" s="623"/>
      <c r="CF29" s="623"/>
      <c r="CG29" s="623"/>
      <c r="CH29" s="623"/>
      <c r="CJ29" s="622">
        <f t="shared" ref="CJ29:CV29" si="21">IFERROR(BV29-BH29,"")</f>
        <v>-22.2672</v>
      </c>
      <c r="CK29" s="622">
        <f t="shared" si="21"/>
        <v>0.1665</v>
      </c>
      <c r="CL29" s="622">
        <f t="shared" si="21"/>
        <v>0.0791</v>
      </c>
      <c r="CM29" s="622">
        <f t="shared" si="21"/>
        <v>0.3593</v>
      </c>
      <c r="CN29" s="622">
        <f t="shared" si="21"/>
        <v>-0.3516</v>
      </c>
      <c r="CO29" s="622">
        <f t="shared" si="21"/>
        <v>-0.3972</v>
      </c>
      <c r="CP29" s="622">
        <f t="shared" si="21"/>
        <v>-0.1355</v>
      </c>
      <c r="CQ29" s="622">
        <f t="shared" si="21"/>
        <v>-1.1953</v>
      </c>
      <c r="CR29" s="622">
        <f t="shared" si="21"/>
        <v>-2.8049</v>
      </c>
      <c r="CS29" s="622">
        <f t="shared" si="21"/>
        <v>-5.1613</v>
      </c>
      <c r="CT29" s="622">
        <f t="shared" si="21"/>
        <v>-225.3008</v>
      </c>
      <c r="CU29" s="622">
        <f t="shared" si="21"/>
        <v>-220.4036</v>
      </c>
      <c r="CV29" s="622">
        <f t="shared" si="21"/>
        <v>-1.7674</v>
      </c>
    </row>
    <row r="30" ht="15.75" customHeight="1">
      <c r="B30" s="620">
        <v>22.0</v>
      </c>
      <c r="C30" s="620" t="s">
        <v>1926</v>
      </c>
      <c r="D30" s="621"/>
      <c r="E30" s="621"/>
      <c r="F30" s="621"/>
      <c r="G30" s="621"/>
      <c r="H30" s="621"/>
      <c r="I30" s="621"/>
      <c r="J30" s="621"/>
      <c r="K30" s="621"/>
      <c r="L30" s="621"/>
      <c r="M30" s="621"/>
      <c r="N30" s="621"/>
      <c r="O30" s="621"/>
      <c r="P30" s="621"/>
      <c r="R30" s="621"/>
      <c r="S30" s="621"/>
      <c r="T30" s="621"/>
      <c r="U30" s="621"/>
      <c r="V30" s="621"/>
      <c r="W30" s="621"/>
      <c r="X30" s="621"/>
      <c r="Y30" s="621"/>
      <c r="Z30" s="621"/>
      <c r="AA30" s="621"/>
      <c r="AB30" s="621"/>
      <c r="AC30" s="621"/>
      <c r="AD30" s="621"/>
      <c r="AF30" s="622"/>
      <c r="AG30" s="622"/>
      <c r="AH30" s="622"/>
      <c r="AI30" s="622"/>
      <c r="AJ30" s="622"/>
      <c r="AK30" s="622"/>
      <c r="AL30" s="622"/>
      <c r="AM30" s="622"/>
      <c r="AN30" s="622"/>
      <c r="AO30" s="622"/>
      <c r="AP30" s="622"/>
      <c r="AQ30" s="622"/>
      <c r="AR30" s="622"/>
      <c r="AT30" s="621"/>
      <c r="AU30" s="621"/>
      <c r="AV30" s="621"/>
      <c r="AW30" s="621"/>
      <c r="AX30" s="621"/>
      <c r="AY30" s="621"/>
      <c r="AZ30" s="621"/>
      <c r="BA30" s="621"/>
      <c r="BB30" s="621"/>
      <c r="BC30" s="621"/>
      <c r="BD30" s="621"/>
      <c r="BE30" s="621"/>
      <c r="BF30" s="621"/>
      <c r="BH30" s="623"/>
      <c r="BI30" s="623"/>
      <c r="BJ30" s="623"/>
      <c r="BK30" s="623"/>
      <c r="BL30" s="623"/>
      <c r="BM30" s="623"/>
      <c r="BN30" s="623"/>
      <c r="BO30" s="623"/>
      <c r="BP30" s="623"/>
      <c r="BQ30" s="623"/>
      <c r="BR30" s="623"/>
      <c r="BS30" s="623"/>
      <c r="BT30" s="623"/>
      <c r="BV30" s="623"/>
      <c r="BW30" s="623"/>
      <c r="BX30" s="623"/>
      <c r="BY30" s="623"/>
      <c r="BZ30" s="623"/>
      <c r="CA30" s="623"/>
      <c r="CB30" s="623"/>
      <c r="CC30" s="623"/>
      <c r="CD30" s="623"/>
      <c r="CE30" s="623"/>
      <c r="CF30" s="623"/>
      <c r="CG30" s="623"/>
      <c r="CH30" s="623"/>
      <c r="CJ30" s="622">
        <f t="shared" ref="CJ30:CV30" si="22">IFERROR(BV30-BH30,"")</f>
        <v>0</v>
      </c>
      <c r="CK30" s="622">
        <f t="shared" si="22"/>
        <v>0</v>
      </c>
      <c r="CL30" s="622">
        <f t="shared" si="22"/>
        <v>0</v>
      </c>
      <c r="CM30" s="622">
        <f t="shared" si="22"/>
        <v>0</v>
      </c>
      <c r="CN30" s="622">
        <f t="shared" si="22"/>
        <v>0</v>
      </c>
      <c r="CO30" s="622">
        <f t="shared" si="22"/>
        <v>0</v>
      </c>
      <c r="CP30" s="622">
        <f t="shared" si="22"/>
        <v>0</v>
      </c>
      <c r="CQ30" s="622">
        <f t="shared" si="22"/>
        <v>0</v>
      </c>
      <c r="CR30" s="622">
        <f t="shared" si="22"/>
        <v>0</v>
      </c>
      <c r="CS30" s="622">
        <f t="shared" si="22"/>
        <v>0</v>
      </c>
      <c r="CT30" s="622">
        <f t="shared" si="22"/>
        <v>0</v>
      </c>
      <c r="CU30" s="622">
        <f t="shared" si="22"/>
        <v>0</v>
      </c>
      <c r="CV30" s="622">
        <f t="shared" si="22"/>
        <v>0</v>
      </c>
    </row>
    <row r="31" ht="15.75" customHeight="1">
      <c r="B31" s="620">
        <v>23.0</v>
      </c>
      <c r="C31" s="620" t="s">
        <v>1971</v>
      </c>
      <c r="D31" s="621"/>
      <c r="E31" s="621"/>
      <c r="F31" s="621"/>
      <c r="G31" s="621"/>
      <c r="H31" s="621"/>
      <c r="I31" s="621"/>
      <c r="J31" s="621"/>
      <c r="K31" s="621"/>
      <c r="L31" s="621"/>
      <c r="M31" s="621"/>
      <c r="N31" s="621"/>
      <c r="O31" s="621"/>
      <c r="P31" s="621"/>
      <c r="R31" s="621"/>
      <c r="S31" s="621"/>
      <c r="T31" s="621"/>
      <c r="U31" s="621"/>
      <c r="V31" s="621"/>
      <c r="W31" s="621"/>
      <c r="X31" s="621"/>
      <c r="Y31" s="621"/>
      <c r="Z31" s="621"/>
      <c r="AA31" s="621"/>
      <c r="AB31" s="621"/>
      <c r="AC31" s="621"/>
      <c r="AD31" s="621"/>
      <c r="AF31" s="622"/>
      <c r="AG31" s="622"/>
      <c r="AH31" s="622"/>
      <c r="AI31" s="622"/>
      <c r="AJ31" s="622"/>
      <c r="AK31" s="622"/>
      <c r="AL31" s="622"/>
      <c r="AM31" s="622"/>
      <c r="AN31" s="622"/>
      <c r="AO31" s="622"/>
      <c r="AP31" s="622"/>
      <c r="AQ31" s="622"/>
      <c r="AR31" s="622"/>
      <c r="AT31" s="621"/>
      <c r="AU31" s="621"/>
      <c r="AV31" s="621"/>
      <c r="AW31" s="621"/>
      <c r="AX31" s="621"/>
      <c r="AY31" s="621"/>
      <c r="AZ31" s="621"/>
      <c r="BA31" s="621"/>
      <c r="BB31" s="621"/>
      <c r="BC31" s="621"/>
      <c r="BD31" s="621"/>
      <c r="BE31" s="621"/>
      <c r="BF31" s="621"/>
      <c r="BH31" s="623"/>
      <c r="BI31" s="623"/>
      <c r="BJ31" s="623"/>
      <c r="BK31" s="623"/>
      <c r="BL31" s="623"/>
      <c r="BM31" s="623"/>
      <c r="BN31" s="623"/>
      <c r="BO31" s="623"/>
      <c r="BP31" s="623"/>
      <c r="BQ31" s="623"/>
      <c r="BR31" s="623"/>
      <c r="BS31" s="623"/>
      <c r="BT31" s="623"/>
      <c r="BV31" s="623"/>
      <c r="BW31" s="623"/>
      <c r="BX31" s="623"/>
      <c r="BY31" s="623"/>
      <c r="BZ31" s="623"/>
      <c r="CA31" s="623"/>
      <c r="CB31" s="623"/>
      <c r="CC31" s="623"/>
      <c r="CD31" s="623"/>
      <c r="CE31" s="623"/>
      <c r="CF31" s="623"/>
      <c r="CG31" s="623"/>
      <c r="CH31" s="623"/>
      <c r="CJ31" s="622">
        <f t="shared" ref="CJ31:CV31" si="23">IFERROR(BV31-BH31,"")</f>
        <v>0</v>
      </c>
      <c r="CK31" s="622">
        <f t="shared" si="23"/>
        <v>0</v>
      </c>
      <c r="CL31" s="622">
        <f t="shared" si="23"/>
        <v>0</v>
      </c>
      <c r="CM31" s="622">
        <f t="shared" si="23"/>
        <v>0</v>
      </c>
      <c r="CN31" s="622">
        <f t="shared" si="23"/>
        <v>0</v>
      </c>
      <c r="CO31" s="622">
        <f t="shared" si="23"/>
        <v>0</v>
      </c>
      <c r="CP31" s="622">
        <f t="shared" si="23"/>
        <v>0</v>
      </c>
      <c r="CQ31" s="622">
        <f t="shared" si="23"/>
        <v>0</v>
      </c>
      <c r="CR31" s="622">
        <f t="shared" si="23"/>
        <v>0</v>
      </c>
      <c r="CS31" s="622">
        <f t="shared" si="23"/>
        <v>0</v>
      </c>
      <c r="CT31" s="622">
        <f t="shared" si="23"/>
        <v>0</v>
      </c>
      <c r="CU31" s="622">
        <f t="shared" si="23"/>
        <v>0</v>
      </c>
      <c r="CV31" s="622">
        <f t="shared" si="23"/>
        <v>0</v>
      </c>
    </row>
    <row r="32" ht="15.75" customHeight="1">
      <c r="B32" s="620">
        <v>24.0</v>
      </c>
      <c r="C32" s="620" t="s">
        <v>1983</v>
      </c>
      <c r="D32" s="621"/>
      <c r="E32" s="621"/>
      <c r="F32" s="621"/>
      <c r="G32" s="621"/>
      <c r="H32" s="621"/>
      <c r="I32" s="621"/>
      <c r="J32" s="621"/>
      <c r="K32" s="621"/>
      <c r="L32" s="621"/>
      <c r="M32" s="621"/>
      <c r="N32" s="621"/>
      <c r="O32" s="621"/>
      <c r="P32" s="621"/>
      <c r="Q32" s="250"/>
      <c r="R32" s="621"/>
      <c r="S32" s="621"/>
      <c r="T32" s="621"/>
      <c r="U32" s="621"/>
      <c r="V32" s="621"/>
      <c r="W32" s="621"/>
      <c r="X32" s="621"/>
      <c r="Y32" s="621"/>
      <c r="Z32" s="621"/>
      <c r="AA32" s="621"/>
      <c r="AB32" s="621"/>
      <c r="AC32" s="621"/>
      <c r="AD32" s="621"/>
      <c r="AE32" s="250"/>
      <c r="AF32" s="622"/>
      <c r="AG32" s="622"/>
      <c r="AH32" s="622"/>
      <c r="AI32" s="622"/>
      <c r="AJ32" s="622"/>
      <c r="AK32" s="622"/>
      <c r="AL32" s="622"/>
      <c r="AM32" s="622"/>
      <c r="AN32" s="622"/>
      <c r="AO32" s="622"/>
      <c r="AP32" s="622"/>
      <c r="AQ32" s="622"/>
      <c r="AR32" s="622"/>
      <c r="AS32" s="250"/>
      <c r="AT32" s="621"/>
      <c r="AU32" s="621"/>
      <c r="AV32" s="621"/>
      <c r="AW32" s="621"/>
      <c r="AX32" s="621"/>
      <c r="AY32" s="621"/>
      <c r="AZ32" s="621"/>
      <c r="BA32" s="621"/>
      <c r="BB32" s="621"/>
      <c r="BC32" s="621"/>
      <c r="BD32" s="621"/>
      <c r="BE32" s="621"/>
      <c r="BF32" s="621"/>
      <c r="BG32" s="250"/>
      <c r="BH32" s="623"/>
      <c r="BI32" s="623"/>
      <c r="BJ32" s="623"/>
      <c r="BK32" s="623"/>
      <c r="BL32" s="623"/>
      <c r="BM32" s="623"/>
      <c r="BN32" s="623"/>
      <c r="BO32" s="623"/>
      <c r="BP32" s="623"/>
      <c r="BQ32" s="623"/>
      <c r="BR32" s="623"/>
      <c r="BS32" s="623"/>
      <c r="BT32" s="623"/>
      <c r="BU32" s="250"/>
      <c r="BV32" s="623"/>
      <c r="BW32" s="623"/>
      <c r="BX32" s="623"/>
      <c r="BY32" s="623"/>
      <c r="BZ32" s="623"/>
      <c r="CA32" s="623"/>
      <c r="CB32" s="623"/>
      <c r="CC32" s="623"/>
      <c r="CD32" s="623"/>
      <c r="CE32" s="623"/>
      <c r="CF32" s="623"/>
      <c r="CG32" s="623"/>
      <c r="CH32" s="623"/>
      <c r="CI32" s="250"/>
      <c r="CJ32" s="622">
        <f t="shared" ref="CJ32:CV32" si="24">IFERROR(BV32-BH32,"")</f>
        <v>0</v>
      </c>
      <c r="CK32" s="622">
        <f t="shared" si="24"/>
        <v>0</v>
      </c>
      <c r="CL32" s="622">
        <f t="shared" si="24"/>
        <v>0</v>
      </c>
      <c r="CM32" s="622">
        <f t="shared" si="24"/>
        <v>0</v>
      </c>
      <c r="CN32" s="622">
        <f t="shared" si="24"/>
        <v>0</v>
      </c>
      <c r="CO32" s="622">
        <f t="shared" si="24"/>
        <v>0</v>
      </c>
      <c r="CP32" s="622">
        <f t="shared" si="24"/>
        <v>0</v>
      </c>
      <c r="CQ32" s="622">
        <f t="shared" si="24"/>
        <v>0</v>
      </c>
      <c r="CR32" s="622">
        <f t="shared" si="24"/>
        <v>0</v>
      </c>
      <c r="CS32" s="622">
        <f t="shared" si="24"/>
        <v>0</v>
      </c>
      <c r="CT32" s="622">
        <f t="shared" si="24"/>
        <v>0</v>
      </c>
      <c r="CU32" s="622">
        <f t="shared" si="24"/>
        <v>0</v>
      </c>
      <c r="CV32" s="622">
        <f t="shared" si="24"/>
        <v>0</v>
      </c>
    </row>
    <row r="33" ht="15.75" customHeight="1">
      <c r="B33" s="620">
        <v>25.0</v>
      </c>
      <c r="C33" s="620" t="s">
        <v>1994</v>
      </c>
      <c r="D33" s="621"/>
      <c r="E33" s="621"/>
      <c r="F33" s="621"/>
      <c r="G33" s="621"/>
      <c r="H33" s="621"/>
      <c r="I33" s="621"/>
      <c r="J33" s="621"/>
      <c r="K33" s="621"/>
      <c r="L33" s="621"/>
      <c r="M33" s="621"/>
      <c r="N33" s="621"/>
      <c r="O33" s="621"/>
      <c r="P33" s="621"/>
      <c r="Q33" s="250"/>
      <c r="R33" s="621"/>
      <c r="S33" s="621"/>
      <c r="T33" s="621"/>
      <c r="U33" s="621"/>
      <c r="V33" s="621"/>
      <c r="W33" s="621"/>
      <c r="X33" s="621"/>
      <c r="Y33" s="621"/>
      <c r="Z33" s="621"/>
      <c r="AA33" s="621"/>
      <c r="AB33" s="621"/>
      <c r="AC33" s="621"/>
      <c r="AD33" s="621"/>
      <c r="AE33" s="250"/>
      <c r="AF33" s="622"/>
      <c r="AG33" s="622"/>
      <c r="AH33" s="622"/>
      <c r="AI33" s="622"/>
      <c r="AJ33" s="622"/>
      <c r="AK33" s="622"/>
      <c r="AL33" s="622"/>
      <c r="AM33" s="622"/>
      <c r="AN33" s="622"/>
      <c r="AO33" s="622"/>
      <c r="AP33" s="622"/>
      <c r="AQ33" s="622"/>
      <c r="AR33" s="622"/>
      <c r="AS33" s="250"/>
      <c r="AT33" s="621"/>
      <c r="AU33" s="621"/>
      <c r="AV33" s="621"/>
      <c r="AW33" s="621"/>
      <c r="AX33" s="621"/>
      <c r="AY33" s="621"/>
      <c r="AZ33" s="621"/>
      <c r="BA33" s="621"/>
      <c r="BB33" s="621"/>
      <c r="BC33" s="621"/>
      <c r="BD33" s="621"/>
      <c r="BE33" s="621"/>
      <c r="BF33" s="621"/>
      <c r="BG33" s="250"/>
      <c r="BH33" s="623"/>
      <c r="BI33" s="623"/>
      <c r="BJ33" s="623"/>
      <c r="BK33" s="623"/>
      <c r="BL33" s="623"/>
      <c r="BM33" s="623"/>
      <c r="BN33" s="623"/>
      <c r="BO33" s="623"/>
      <c r="BP33" s="623"/>
      <c r="BQ33" s="623"/>
      <c r="BR33" s="623"/>
      <c r="BS33" s="623"/>
      <c r="BT33" s="623"/>
      <c r="BU33" s="250"/>
      <c r="BV33" s="623"/>
      <c r="BW33" s="623"/>
      <c r="BX33" s="623"/>
      <c r="BY33" s="623"/>
      <c r="BZ33" s="623"/>
      <c r="CA33" s="623"/>
      <c r="CB33" s="623"/>
      <c r="CC33" s="623"/>
      <c r="CD33" s="623"/>
      <c r="CE33" s="623"/>
      <c r="CF33" s="623"/>
      <c r="CG33" s="623"/>
      <c r="CH33" s="623"/>
      <c r="CI33" s="250"/>
      <c r="CJ33" s="622">
        <f t="shared" ref="CJ33:CV33" si="25">IFERROR(BV33-BH33,"")</f>
        <v>0</v>
      </c>
      <c r="CK33" s="622">
        <f t="shared" si="25"/>
        <v>0</v>
      </c>
      <c r="CL33" s="622">
        <f t="shared" si="25"/>
        <v>0</v>
      </c>
      <c r="CM33" s="622">
        <f t="shared" si="25"/>
        <v>0</v>
      </c>
      <c r="CN33" s="622">
        <f t="shared" si="25"/>
        <v>0</v>
      </c>
      <c r="CO33" s="622">
        <f t="shared" si="25"/>
        <v>0</v>
      </c>
      <c r="CP33" s="622">
        <f t="shared" si="25"/>
        <v>0</v>
      </c>
      <c r="CQ33" s="622">
        <f t="shared" si="25"/>
        <v>0</v>
      </c>
      <c r="CR33" s="622">
        <f t="shared" si="25"/>
        <v>0</v>
      </c>
      <c r="CS33" s="622">
        <f t="shared" si="25"/>
        <v>0</v>
      </c>
      <c r="CT33" s="622">
        <f t="shared" si="25"/>
        <v>0</v>
      </c>
      <c r="CU33" s="622">
        <f t="shared" si="25"/>
        <v>0</v>
      </c>
      <c r="CV33" s="622">
        <f t="shared" si="25"/>
        <v>0</v>
      </c>
    </row>
    <row r="34" ht="15.75" customHeight="1">
      <c r="B34" s="620">
        <v>26.0</v>
      </c>
      <c r="C34" s="620" t="s">
        <v>2008</v>
      </c>
      <c r="D34" s="621"/>
      <c r="E34" s="621"/>
      <c r="F34" s="621"/>
      <c r="G34" s="621"/>
      <c r="H34" s="621"/>
      <c r="I34" s="621"/>
      <c r="J34" s="621"/>
      <c r="K34" s="621"/>
      <c r="L34" s="621"/>
      <c r="M34" s="621"/>
      <c r="N34" s="621"/>
      <c r="O34" s="621"/>
      <c r="P34" s="621"/>
      <c r="Q34" s="250"/>
      <c r="R34" s="621"/>
      <c r="S34" s="621"/>
      <c r="T34" s="621"/>
      <c r="U34" s="621"/>
      <c r="V34" s="621"/>
      <c r="W34" s="621"/>
      <c r="X34" s="621"/>
      <c r="Y34" s="621"/>
      <c r="Z34" s="621"/>
      <c r="AA34" s="621"/>
      <c r="AB34" s="621"/>
      <c r="AC34" s="621"/>
      <c r="AD34" s="621"/>
      <c r="AE34" s="250"/>
      <c r="AF34" s="622"/>
      <c r="AG34" s="622"/>
      <c r="AH34" s="622"/>
      <c r="AI34" s="622"/>
      <c r="AJ34" s="622"/>
      <c r="AK34" s="622"/>
      <c r="AL34" s="622"/>
      <c r="AM34" s="622"/>
      <c r="AN34" s="622"/>
      <c r="AO34" s="622"/>
      <c r="AP34" s="622"/>
      <c r="AQ34" s="622"/>
      <c r="AR34" s="622"/>
      <c r="AS34" s="250"/>
      <c r="AT34" s="621"/>
      <c r="AU34" s="621"/>
      <c r="AV34" s="621"/>
      <c r="AW34" s="621"/>
      <c r="AX34" s="621"/>
      <c r="AY34" s="621"/>
      <c r="AZ34" s="621"/>
      <c r="BA34" s="621"/>
      <c r="BB34" s="621"/>
      <c r="BC34" s="621"/>
      <c r="BD34" s="621"/>
      <c r="BE34" s="621"/>
      <c r="BF34" s="621"/>
      <c r="BG34" s="250"/>
      <c r="BH34" s="623"/>
      <c r="BI34" s="623"/>
      <c r="BJ34" s="623"/>
      <c r="BK34" s="623"/>
      <c r="BL34" s="623"/>
      <c r="BM34" s="623"/>
      <c r="BN34" s="623"/>
      <c r="BO34" s="623"/>
      <c r="BP34" s="623"/>
      <c r="BQ34" s="623"/>
      <c r="BR34" s="623"/>
      <c r="BS34" s="623"/>
      <c r="BT34" s="623"/>
      <c r="BU34" s="250"/>
      <c r="BV34" s="623"/>
      <c r="BW34" s="623"/>
      <c r="BX34" s="623"/>
      <c r="BY34" s="623"/>
      <c r="BZ34" s="623"/>
      <c r="CA34" s="623"/>
      <c r="CB34" s="623"/>
      <c r="CC34" s="623"/>
      <c r="CD34" s="623"/>
      <c r="CE34" s="623"/>
      <c r="CF34" s="623"/>
      <c r="CG34" s="623"/>
      <c r="CH34" s="623"/>
      <c r="CI34" s="250"/>
      <c r="CJ34" s="622">
        <f t="shared" ref="CJ34:CV34" si="26">IFERROR(BV34-BH34,"")</f>
        <v>0</v>
      </c>
      <c r="CK34" s="622">
        <f t="shared" si="26"/>
        <v>0</v>
      </c>
      <c r="CL34" s="622">
        <f t="shared" si="26"/>
        <v>0</v>
      </c>
      <c r="CM34" s="622">
        <f t="shared" si="26"/>
        <v>0</v>
      </c>
      <c r="CN34" s="622">
        <f t="shared" si="26"/>
        <v>0</v>
      </c>
      <c r="CO34" s="622">
        <f t="shared" si="26"/>
        <v>0</v>
      </c>
      <c r="CP34" s="622">
        <f t="shared" si="26"/>
        <v>0</v>
      </c>
      <c r="CQ34" s="622">
        <f t="shared" si="26"/>
        <v>0</v>
      </c>
      <c r="CR34" s="622">
        <f t="shared" si="26"/>
        <v>0</v>
      </c>
      <c r="CS34" s="622">
        <f t="shared" si="26"/>
        <v>0</v>
      </c>
      <c r="CT34" s="622">
        <f t="shared" si="26"/>
        <v>0</v>
      </c>
      <c r="CU34" s="622">
        <f t="shared" si="26"/>
        <v>0</v>
      </c>
      <c r="CV34" s="622">
        <f t="shared" si="26"/>
        <v>0</v>
      </c>
    </row>
    <row r="35" ht="15.75" customHeight="1">
      <c r="B35" s="620">
        <v>27.0</v>
      </c>
      <c r="C35" s="620" t="s">
        <v>2020</v>
      </c>
      <c r="D35" s="621"/>
      <c r="E35" s="621"/>
      <c r="F35" s="621"/>
      <c r="G35" s="621"/>
      <c r="H35" s="621"/>
      <c r="I35" s="621"/>
      <c r="J35" s="621"/>
      <c r="K35" s="621"/>
      <c r="L35" s="621"/>
      <c r="M35" s="621"/>
      <c r="N35" s="621"/>
      <c r="O35" s="621"/>
      <c r="P35" s="621"/>
      <c r="R35" s="621"/>
      <c r="S35" s="621"/>
      <c r="T35" s="621"/>
      <c r="U35" s="621"/>
      <c r="V35" s="621"/>
      <c r="W35" s="621"/>
      <c r="X35" s="621"/>
      <c r="Y35" s="621"/>
      <c r="Z35" s="621"/>
      <c r="AA35" s="621"/>
      <c r="AB35" s="621"/>
      <c r="AC35" s="621"/>
      <c r="AD35" s="621"/>
      <c r="AF35" s="622"/>
      <c r="AG35" s="622"/>
      <c r="AH35" s="622"/>
      <c r="AI35" s="622"/>
      <c r="AJ35" s="622"/>
      <c r="AK35" s="622"/>
      <c r="AL35" s="622"/>
      <c r="AM35" s="622"/>
      <c r="AN35" s="622"/>
      <c r="AO35" s="622"/>
      <c r="AP35" s="622"/>
      <c r="AQ35" s="622"/>
      <c r="AR35" s="622"/>
      <c r="AT35" s="621"/>
      <c r="AU35" s="621"/>
      <c r="AV35" s="621"/>
      <c r="AW35" s="621"/>
      <c r="AX35" s="621"/>
      <c r="AY35" s="621"/>
      <c r="AZ35" s="621"/>
      <c r="BA35" s="621"/>
      <c r="BB35" s="621"/>
      <c r="BC35" s="621"/>
      <c r="BD35" s="621"/>
      <c r="BE35" s="621"/>
      <c r="BF35" s="621"/>
      <c r="BH35" s="623"/>
      <c r="BI35" s="623"/>
      <c r="BJ35" s="623"/>
      <c r="BK35" s="623"/>
      <c r="BL35" s="623"/>
      <c r="BM35" s="623"/>
      <c r="BN35" s="623"/>
      <c r="BO35" s="623"/>
      <c r="BP35" s="623"/>
      <c r="BQ35" s="623"/>
      <c r="BR35" s="623"/>
      <c r="BS35" s="623"/>
      <c r="BT35" s="623"/>
      <c r="BV35" s="623"/>
      <c r="BW35" s="623"/>
      <c r="BX35" s="623"/>
      <c r="BY35" s="623"/>
      <c r="BZ35" s="623"/>
      <c r="CA35" s="623"/>
      <c r="CB35" s="623"/>
      <c r="CC35" s="623"/>
      <c r="CD35" s="623"/>
      <c r="CE35" s="623"/>
      <c r="CF35" s="623"/>
      <c r="CG35" s="623"/>
      <c r="CH35" s="623"/>
      <c r="CJ35" s="622">
        <f t="shared" ref="CJ35:CV35" si="27">IFERROR(BV35-BH35,"")</f>
        <v>0</v>
      </c>
      <c r="CK35" s="622">
        <f t="shared" si="27"/>
        <v>0</v>
      </c>
      <c r="CL35" s="622">
        <f t="shared" si="27"/>
        <v>0</v>
      </c>
      <c r="CM35" s="622">
        <f t="shared" si="27"/>
        <v>0</v>
      </c>
      <c r="CN35" s="622">
        <f t="shared" si="27"/>
        <v>0</v>
      </c>
      <c r="CO35" s="622">
        <f t="shared" si="27"/>
        <v>0</v>
      </c>
      <c r="CP35" s="622">
        <f t="shared" si="27"/>
        <v>0</v>
      </c>
      <c r="CQ35" s="622">
        <f t="shared" si="27"/>
        <v>0</v>
      </c>
      <c r="CR35" s="622">
        <f t="shared" si="27"/>
        <v>0</v>
      </c>
      <c r="CS35" s="622">
        <f t="shared" si="27"/>
        <v>0</v>
      </c>
      <c r="CT35" s="622">
        <f t="shared" si="27"/>
        <v>0</v>
      </c>
      <c r="CU35" s="622">
        <f t="shared" si="27"/>
        <v>0</v>
      </c>
      <c r="CV35" s="622">
        <f t="shared" si="27"/>
        <v>0</v>
      </c>
    </row>
    <row r="36" ht="15.75" customHeight="1">
      <c r="B36" s="620">
        <v>28.0</v>
      </c>
      <c r="C36" s="620" t="s">
        <v>2030</v>
      </c>
      <c r="D36" s="621"/>
      <c r="E36" s="621"/>
      <c r="F36" s="621"/>
      <c r="G36" s="621"/>
      <c r="H36" s="621"/>
      <c r="I36" s="621"/>
      <c r="J36" s="621"/>
      <c r="K36" s="621"/>
      <c r="L36" s="621"/>
      <c r="M36" s="621"/>
      <c r="N36" s="621"/>
      <c r="O36" s="621"/>
      <c r="P36" s="621"/>
      <c r="R36" s="621"/>
      <c r="S36" s="621"/>
      <c r="T36" s="621"/>
      <c r="U36" s="621"/>
      <c r="V36" s="621"/>
      <c r="W36" s="621"/>
      <c r="X36" s="621"/>
      <c r="Y36" s="621"/>
      <c r="Z36" s="621"/>
      <c r="AA36" s="621"/>
      <c r="AB36" s="621"/>
      <c r="AC36" s="621"/>
      <c r="AD36" s="621"/>
      <c r="AF36" s="622"/>
      <c r="AG36" s="622"/>
      <c r="AH36" s="622"/>
      <c r="AI36" s="622"/>
      <c r="AJ36" s="622"/>
      <c r="AK36" s="622"/>
      <c r="AL36" s="622"/>
      <c r="AM36" s="622"/>
      <c r="AN36" s="622"/>
      <c r="AO36" s="622"/>
      <c r="AP36" s="622"/>
      <c r="AQ36" s="622"/>
      <c r="AR36" s="622"/>
      <c r="AT36" s="621"/>
      <c r="AU36" s="621"/>
      <c r="AV36" s="621"/>
      <c r="AW36" s="621"/>
      <c r="AX36" s="621"/>
      <c r="AY36" s="621"/>
      <c r="AZ36" s="621"/>
      <c r="BA36" s="621"/>
      <c r="BB36" s="621"/>
      <c r="BC36" s="621"/>
      <c r="BD36" s="621"/>
      <c r="BE36" s="621"/>
      <c r="BF36" s="621"/>
      <c r="BH36" s="623"/>
      <c r="BI36" s="623"/>
      <c r="BJ36" s="623"/>
      <c r="BK36" s="623"/>
      <c r="BL36" s="623"/>
      <c r="BM36" s="623"/>
      <c r="BN36" s="623"/>
      <c r="BO36" s="623"/>
      <c r="BP36" s="623"/>
      <c r="BQ36" s="623"/>
      <c r="BR36" s="623"/>
      <c r="BS36" s="623"/>
      <c r="BT36" s="623"/>
      <c r="BV36" s="623"/>
      <c r="BW36" s="623"/>
      <c r="BX36" s="623"/>
      <c r="BY36" s="623"/>
      <c r="BZ36" s="623"/>
      <c r="CA36" s="623"/>
      <c r="CB36" s="623"/>
      <c r="CC36" s="623"/>
      <c r="CD36" s="623"/>
      <c r="CE36" s="623"/>
      <c r="CF36" s="623"/>
      <c r="CG36" s="623"/>
      <c r="CH36" s="623"/>
      <c r="CJ36" s="622">
        <f t="shared" ref="CJ36:CV36" si="28">IFERROR(BV36-BH36,"")</f>
        <v>0</v>
      </c>
      <c r="CK36" s="622">
        <f t="shared" si="28"/>
        <v>0</v>
      </c>
      <c r="CL36" s="622">
        <f t="shared" si="28"/>
        <v>0</v>
      </c>
      <c r="CM36" s="622">
        <f t="shared" si="28"/>
        <v>0</v>
      </c>
      <c r="CN36" s="622">
        <f t="shared" si="28"/>
        <v>0</v>
      </c>
      <c r="CO36" s="622">
        <f t="shared" si="28"/>
        <v>0</v>
      </c>
      <c r="CP36" s="622">
        <f t="shared" si="28"/>
        <v>0</v>
      </c>
      <c r="CQ36" s="622">
        <f t="shared" si="28"/>
        <v>0</v>
      </c>
      <c r="CR36" s="622">
        <f t="shared" si="28"/>
        <v>0</v>
      </c>
      <c r="CS36" s="622">
        <f t="shared" si="28"/>
        <v>0</v>
      </c>
      <c r="CT36" s="622">
        <f t="shared" si="28"/>
        <v>0</v>
      </c>
      <c r="CU36" s="622">
        <f t="shared" si="28"/>
        <v>0</v>
      </c>
      <c r="CV36" s="622">
        <f t="shared" si="28"/>
        <v>0</v>
      </c>
    </row>
    <row r="37" ht="15.75" customHeight="1">
      <c r="B37" s="620">
        <v>29.0</v>
      </c>
      <c r="C37" s="620" t="s">
        <v>1926</v>
      </c>
      <c r="D37" s="621"/>
      <c r="E37" s="621"/>
      <c r="F37" s="621"/>
      <c r="G37" s="621"/>
      <c r="H37" s="621"/>
      <c r="I37" s="621"/>
      <c r="J37" s="621"/>
      <c r="K37" s="621"/>
      <c r="L37" s="621"/>
      <c r="M37" s="621"/>
      <c r="N37" s="621"/>
      <c r="O37" s="621"/>
      <c r="P37" s="621"/>
      <c r="R37" s="621"/>
      <c r="S37" s="621"/>
      <c r="T37" s="621"/>
      <c r="U37" s="621"/>
      <c r="V37" s="621"/>
      <c r="W37" s="621"/>
      <c r="X37" s="621"/>
      <c r="Y37" s="621"/>
      <c r="Z37" s="621"/>
      <c r="AA37" s="621"/>
      <c r="AB37" s="621"/>
      <c r="AC37" s="621"/>
      <c r="AD37" s="621"/>
      <c r="AF37" s="622"/>
      <c r="AG37" s="622"/>
      <c r="AH37" s="622"/>
      <c r="AI37" s="622"/>
      <c r="AJ37" s="622"/>
      <c r="AK37" s="622"/>
      <c r="AL37" s="622"/>
      <c r="AM37" s="622"/>
      <c r="AN37" s="622"/>
      <c r="AO37" s="622"/>
      <c r="AP37" s="622"/>
      <c r="AQ37" s="622"/>
      <c r="AR37" s="622"/>
      <c r="AT37" s="621"/>
      <c r="AU37" s="621"/>
      <c r="AV37" s="621"/>
      <c r="AW37" s="621"/>
      <c r="AX37" s="621"/>
      <c r="AY37" s="621"/>
      <c r="AZ37" s="621"/>
      <c r="BA37" s="621"/>
      <c r="BB37" s="621"/>
      <c r="BC37" s="621"/>
      <c r="BD37" s="621"/>
      <c r="BE37" s="621"/>
      <c r="BF37" s="621"/>
      <c r="BH37" s="623"/>
      <c r="BI37" s="623"/>
      <c r="BJ37" s="623"/>
      <c r="BK37" s="623"/>
      <c r="BL37" s="623"/>
      <c r="BM37" s="623"/>
      <c r="BN37" s="623"/>
      <c r="BO37" s="623"/>
      <c r="BP37" s="623"/>
      <c r="BQ37" s="623"/>
      <c r="BR37" s="623"/>
      <c r="BS37" s="623"/>
      <c r="BT37" s="623"/>
      <c r="BV37" s="623"/>
      <c r="BW37" s="623"/>
      <c r="BX37" s="623"/>
      <c r="BY37" s="623"/>
      <c r="BZ37" s="623"/>
      <c r="CA37" s="623"/>
      <c r="CB37" s="623"/>
      <c r="CC37" s="623"/>
      <c r="CD37" s="623"/>
      <c r="CE37" s="623"/>
      <c r="CF37" s="623"/>
      <c r="CG37" s="623"/>
      <c r="CH37" s="623"/>
      <c r="CJ37" s="622">
        <f t="shared" ref="CJ37:CV37" si="29">IFERROR(BV37-BH37,"")</f>
        <v>0</v>
      </c>
      <c r="CK37" s="622">
        <f t="shared" si="29"/>
        <v>0</v>
      </c>
      <c r="CL37" s="622">
        <f t="shared" si="29"/>
        <v>0</v>
      </c>
      <c r="CM37" s="622">
        <f t="shared" si="29"/>
        <v>0</v>
      </c>
      <c r="CN37" s="622">
        <f t="shared" si="29"/>
        <v>0</v>
      </c>
      <c r="CO37" s="622">
        <f t="shared" si="29"/>
        <v>0</v>
      </c>
      <c r="CP37" s="622">
        <f t="shared" si="29"/>
        <v>0</v>
      </c>
      <c r="CQ37" s="622">
        <f t="shared" si="29"/>
        <v>0</v>
      </c>
      <c r="CR37" s="622">
        <f t="shared" si="29"/>
        <v>0</v>
      </c>
      <c r="CS37" s="622">
        <f t="shared" si="29"/>
        <v>0</v>
      </c>
      <c r="CT37" s="622">
        <f t="shared" si="29"/>
        <v>0</v>
      </c>
      <c r="CU37" s="622">
        <f t="shared" si="29"/>
        <v>0</v>
      </c>
      <c r="CV37" s="622">
        <f t="shared" si="29"/>
        <v>0</v>
      </c>
    </row>
    <row r="38" ht="15.75" customHeight="1">
      <c r="B38" s="620">
        <v>30.0</v>
      </c>
      <c r="C38" s="620" t="s">
        <v>1971</v>
      </c>
      <c r="D38" s="621"/>
      <c r="E38" s="621"/>
      <c r="F38" s="621"/>
      <c r="G38" s="621"/>
      <c r="H38" s="621"/>
      <c r="I38" s="621"/>
      <c r="J38" s="621"/>
      <c r="K38" s="621"/>
      <c r="L38" s="621"/>
      <c r="M38" s="621"/>
      <c r="N38" s="621"/>
      <c r="O38" s="621"/>
      <c r="P38" s="621"/>
      <c r="R38" s="621"/>
      <c r="S38" s="621"/>
      <c r="T38" s="621"/>
      <c r="U38" s="621"/>
      <c r="V38" s="621"/>
      <c r="W38" s="621"/>
      <c r="X38" s="621"/>
      <c r="Y38" s="621"/>
      <c r="Z38" s="621"/>
      <c r="AA38" s="621"/>
      <c r="AB38" s="621"/>
      <c r="AC38" s="621"/>
      <c r="AD38" s="621"/>
      <c r="AF38" s="622"/>
      <c r="AG38" s="622"/>
      <c r="AH38" s="622"/>
      <c r="AI38" s="622"/>
      <c r="AJ38" s="622"/>
      <c r="AK38" s="622"/>
      <c r="AL38" s="622"/>
      <c r="AM38" s="622"/>
      <c r="AN38" s="622"/>
      <c r="AO38" s="622"/>
      <c r="AP38" s="622"/>
      <c r="AQ38" s="622"/>
      <c r="AR38" s="622"/>
      <c r="AT38" s="621"/>
      <c r="AU38" s="621"/>
      <c r="AV38" s="621"/>
      <c r="AW38" s="621"/>
      <c r="AX38" s="621"/>
      <c r="AY38" s="621"/>
      <c r="AZ38" s="621"/>
      <c r="BA38" s="621"/>
      <c r="BB38" s="621"/>
      <c r="BC38" s="621"/>
      <c r="BD38" s="621"/>
      <c r="BE38" s="621"/>
      <c r="BF38" s="621"/>
      <c r="BH38" s="623"/>
      <c r="BI38" s="623"/>
      <c r="BJ38" s="623"/>
      <c r="BK38" s="623"/>
      <c r="BL38" s="623"/>
      <c r="BM38" s="623"/>
      <c r="BN38" s="623"/>
      <c r="BO38" s="623"/>
      <c r="BP38" s="623"/>
      <c r="BQ38" s="623"/>
      <c r="BR38" s="623"/>
      <c r="BS38" s="623"/>
      <c r="BT38" s="623"/>
      <c r="BV38" s="623"/>
      <c r="BW38" s="623"/>
      <c r="BX38" s="623"/>
      <c r="BY38" s="623"/>
      <c r="BZ38" s="623"/>
      <c r="CA38" s="623"/>
      <c r="CB38" s="623"/>
      <c r="CC38" s="623"/>
      <c r="CD38" s="623"/>
      <c r="CE38" s="623"/>
      <c r="CF38" s="623"/>
      <c r="CG38" s="623"/>
      <c r="CH38" s="623"/>
      <c r="CJ38" s="622">
        <f t="shared" ref="CJ38:CV38" si="30">IFERROR(BV38-BH38,"")</f>
        <v>0</v>
      </c>
      <c r="CK38" s="622">
        <f t="shared" si="30"/>
        <v>0</v>
      </c>
      <c r="CL38" s="622">
        <f t="shared" si="30"/>
        <v>0</v>
      </c>
      <c r="CM38" s="622">
        <f t="shared" si="30"/>
        <v>0</v>
      </c>
      <c r="CN38" s="622">
        <f t="shared" si="30"/>
        <v>0</v>
      </c>
      <c r="CO38" s="622">
        <f t="shared" si="30"/>
        <v>0</v>
      </c>
      <c r="CP38" s="622">
        <f t="shared" si="30"/>
        <v>0</v>
      </c>
      <c r="CQ38" s="622">
        <f t="shared" si="30"/>
        <v>0</v>
      </c>
      <c r="CR38" s="622">
        <f t="shared" si="30"/>
        <v>0</v>
      </c>
      <c r="CS38" s="622">
        <f t="shared" si="30"/>
        <v>0</v>
      </c>
      <c r="CT38" s="622">
        <f t="shared" si="30"/>
        <v>0</v>
      </c>
      <c r="CU38" s="622">
        <f t="shared" si="30"/>
        <v>0</v>
      </c>
      <c r="CV38" s="622">
        <f t="shared" si="30"/>
        <v>0</v>
      </c>
    </row>
    <row r="39" ht="15.75" customHeight="1">
      <c r="B39" s="620">
        <v>31.0</v>
      </c>
      <c r="C39" s="620" t="s">
        <v>1983</v>
      </c>
      <c r="D39" s="621"/>
      <c r="E39" s="621"/>
      <c r="F39" s="621"/>
      <c r="G39" s="621"/>
      <c r="H39" s="621"/>
      <c r="I39" s="621"/>
      <c r="J39" s="621"/>
      <c r="K39" s="621"/>
      <c r="L39" s="621"/>
      <c r="M39" s="621"/>
      <c r="N39" s="621"/>
      <c r="O39" s="621"/>
      <c r="P39" s="621"/>
      <c r="Q39" s="250"/>
      <c r="R39" s="621"/>
      <c r="S39" s="621"/>
      <c r="T39" s="621"/>
      <c r="U39" s="621"/>
      <c r="V39" s="621"/>
      <c r="W39" s="621"/>
      <c r="X39" s="621"/>
      <c r="Y39" s="621"/>
      <c r="Z39" s="621"/>
      <c r="AA39" s="621"/>
      <c r="AB39" s="621"/>
      <c r="AC39" s="621"/>
      <c r="AD39" s="621"/>
      <c r="AE39" s="250"/>
      <c r="AF39" s="622"/>
      <c r="AG39" s="622"/>
      <c r="AH39" s="622"/>
      <c r="AI39" s="622"/>
      <c r="AJ39" s="622"/>
      <c r="AK39" s="622"/>
      <c r="AL39" s="622"/>
      <c r="AM39" s="622"/>
      <c r="AN39" s="622"/>
      <c r="AO39" s="622"/>
      <c r="AP39" s="622"/>
      <c r="AQ39" s="622"/>
      <c r="AR39" s="622"/>
      <c r="AS39" s="250"/>
      <c r="AT39" s="621"/>
      <c r="AU39" s="621"/>
      <c r="AV39" s="621"/>
      <c r="AW39" s="621"/>
      <c r="AX39" s="621"/>
      <c r="AY39" s="621"/>
      <c r="AZ39" s="621"/>
      <c r="BA39" s="621"/>
      <c r="BB39" s="621"/>
      <c r="BC39" s="621"/>
      <c r="BD39" s="621"/>
      <c r="BE39" s="621"/>
      <c r="BF39" s="621"/>
      <c r="BG39" s="250"/>
      <c r="BH39" s="623"/>
      <c r="BI39" s="623"/>
      <c r="BJ39" s="623"/>
      <c r="BK39" s="623"/>
      <c r="BL39" s="623"/>
      <c r="BM39" s="623"/>
      <c r="BN39" s="623"/>
      <c r="BO39" s="623"/>
      <c r="BP39" s="623"/>
      <c r="BQ39" s="623"/>
      <c r="BR39" s="623"/>
      <c r="BS39" s="623"/>
      <c r="BT39" s="623"/>
      <c r="BU39" s="250"/>
      <c r="BV39" s="623"/>
      <c r="BW39" s="623"/>
      <c r="BX39" s="623"/>
      <c r="BY39" s="623"/>
      <c r="BZ39" s="623"/>
      <c r="CA39" s="623"/>
      <c r="CB39" s="623"/>
      <c r="CC39" s="623"/>
      <c r="CD39" s="623"/>
      <c r="CE39" s="623"/>
      <c r="CF39" s="623"/>
      <c r="CG39" s="623"/>
      <c r="CH39" s="623"/>
      <c r="CI39" s="250"/>
      <c r="CJ39" s="622">
        <f t="shared" ref="CJ39:CV39" si="31">IFERROR(BV39-BH39,"")</f>
        <v>0</v>
      </c>
      <c r="CK39" s="622">
        <f t="shared" si="31"/>
        <v>0</v>
      </c>
      <c r="CL39" s="622">
        <f t="shared" si="31"/>
        <v>0</v>
      </c>
      <c r="CM39" s="622">
        <f t="shared" si="31"/>
        <v>0</v>
      </c>
      <c r="CN39" s="622">
        <f t="shared" si="31"/>
        <v>0</v>
      </c>
      <c r="CO39" s="622">
        <f t="shared" si="31"/>
        <v>0</v>
      </c>
      <c r="CP39" s="622">
        <f t="shared" si="31"/>
        <v>0</v>
      </c>
      <c r="CQ39" s="622">
        <f t="shared" si="31"/>
        <v>0</v>
      </c>
      <c r="CR39" s="622">
        <f t="shared" si="31"/>
        <v>0</v>
      </c>
      <c r="CS39" s="622">
        <f t="shared" si="31"/>
        <v>0</v>
      </c>
      <c r="CT39" s="622">
        <f t="shared" si="31"/>
        <v>0</v>
      </c>
      <c r="CU39" s="622">
        <f t="shared" si="31"/>
        <v>0</v>
      </c>
      <c r="CV39" s="622">
        <f t="shared" si="31"/>
        <v>0</v>
      </c>
    </row>
    <row r="40" ht="15.75" customHeight="1">
      <c r="B40" s="620">
        <v>32.0</v>
      </c>
      <c r="C40" s="620" t="s">
        <v>1994</v>
      </c>
      <c r="D40" s="621"/>
      <c r="E40" s="621"/>
      <c r="F40" s="621"/>
      <c r="G40" s="621"/>
      <c r="H40" s="621"/>
      <c r="I40" s="621"/>
      <c r="J40" s="621"/>
      <c r="K40" s="621"/>
      <c r="L40" s="621"/>
      <c r="M40" s="621"/>
      <c r="N40" s="621"/>
      <c r="O40" s="621"/>
      <c r="P40" s="621"/>
      <c r="Q40" s="250"/>
      <c r="R40" s="621"/>
      <c r="S40" s="621"/>
      <c r="T40" s="621"/>
      <c r="U40" s="621"/>
      <c r="V40" s="621"/>
      <c r="W40" s="621"/>
      <c r="X40" s="621"/>
      <c r="Y40" s="621"/>
      <c r="Z40" s="621"/>
      <c r="AA40" s="621"/>
      <c r="AB40" s="621"/>
      <c r="AC40" s="621"/>
      <c r="AD40" s="621"/>
      <c r="AE40" s="250"/>
      <c r="AF40" s="622"/>
      <c r="AG40" s="622"/>
      <c r="AH40" s="622"/>
      <c r="AI40" s="622"/>
      <c r="AJ40" s="622"/>
      <c r="AK40" s="622"/>
      <c r="AL40" s="622"/>
      <c r="AM40" s="622"/>
      <c r="AN40" s="622"/>
      <c r="AO40" s="622"/>
      <c r="AP40" s="622"/>
      <c r="AQ40" s="622"/>
      <c r="AR40" s="622"/>
      <c r="AS40" s="250"/>
      <c r="AT40" s="621"/>
      <c r="AU40" s="621"/>
      <c r="AV40" s="621"/>
      <c r="AW40" s="621"/>
      <c r="AX40" s="621"/>
      <c r="AY40" s="621"/>
      <c r="AZ40" s="621"/>
      <c r="BA40" s="621"/>
      <c r="BB40" s="621"/>
      <c r="BC40" s="621"/>
      <c r="BD40" s="621"/>
      <c r="BE40" s="621"/>
      <c r="BF40" s="621"/>
      <c r="BG40" s="250"/>
      <c r="BH40" s="623"/>
      <c r="BI40" s="623"/>
      <c r="BJ40" s="623"/>
      <c r="BK40" s="623"/>
      <c r="BL40" s="623"/>
      <c r="BM40" s="623"/>
      <c r="BN40" s="623"/>
      <c r="BO40" s="623"/>
      <c r="BP40" s="623"/>
      <c r="BQ40" s="623"/>
      <c r="BR40" s="623"/>
      <c r="BS40" s="623"/>
      <c r="BT40" s="623"/>
      <c r="BU40" s="250"/>
      <c r="BV40" s="623"/>
      <c r="BW40" s="623"/>
      <c r="BX40" s="623"/>
      <c r="BY40" s="623"/>
      <c r="BZ40" s="623"/>
      <c r="CA40" s="623"/>
      <c r="CB40" s="623"/>
      <c r="CC40" s="623"/>
      <c r="CD40" s="623"/>
      <c r="CE40" s="623"/>
      <c r="CF40" s="623"/>
      <c r="CG40" s="623"/>
      <c r="CH40" s="623"/>
      <c r="CI40" s="250"/>
      <c r="CJ40" s="622">
        <f t="shared" ref="CJ40:CV40" si="32">IFERROR(BV40-BH40,"")</f>
        <v>0</v>
      </c>
      <c r="CK40" s="622">
        <f t="shared" si="32"/>
        <v>0</v>
      </c>
      <c r="CL40" s="622">
        <f t="shared" si="32"/>
        <v>0</v>
      </c>
      <c r="CM40" s="622">
        <f t="shared" si="32"/>
        <v>0</v>
      </c>
      <c r="CN40" s="622">
        <f t="shared" si="32"/>
        <v>0</v>
      </c>
      <c r="CO40" s="622">
        <f t="shared" si="32"/>
        <v>0</v>
      </c>
      <c r="CP40" s="622">
        <f t="shared" si="32"/>
        <v>0</v>
      </c>
      <c r="CQ40" s="622">
        <f t="shared" si="32"/>
        <v>0</v>
      </c>
      <c r="CR40" s="622">
        <f t="shared" si="32"/>
        <v>0</v>
      </c>
      <c r="CS40" s="622">
        <f t="shared" si="32"/>
        <v>0</v>
      </c>
      <c r="CT40" s="622">
        <f t="shared" si="32"/>
        <v>0</v>
      </c>
      <c r="CU40" s="622">
        <f t="shared" si="32"/>
        <v>0</v>
      </c>
      <c r="CV40" s="622">
        <f t="shared" si="32"/>
        <v>0</v>
      </c>
    </row>
    <row r="41" ht="15.75" customHeight="1">
      <c r="B41" s="620">
        <v>33.0</v>
      </c>
      <c r="C41" s="620" t="s">
        <v>2008</v>
      </c>
      <c r="D41" s="621"/>
      <c r="E41" s="621"/>
      <c r="F41" s="621"/>
      <c r="G41" s="621"/>
      <c r="H41" s="621"/>
      <c r="I41" s="621"/>
      <c r="J41" s="621"/>
      <c r="K41" s="621"/>
      <c r="L41" s="621"/>
      <c r="M41" s="621"/>
      <c r="N41" s="621"/>
      <c r="O41" s="621"/>
      <c r="P41" s="621"/>
      <c r="Q41" s="250"/>
      <c r="R41" s="621"/>
      <c r="S41" s="621"/>
      <c r="T41" s="621"/>
      <c r="U41" s="621"/>
      <c r="V41" s="621"/>
      <c r="W41" s="621"/>
      <c r="X41" s="621"/>
      <c r="Y41" s="621"/>
      <c r="Z41" s="621"/>
      <c r="AA41" s="621"/>
      <c r="AB41" s="621"/>
      <c r="AC41" s="621"/>
      <c r="AD41" s="621"/>
      <c r="AE41" s="250"/>
      <c r="AF41" s="622"/>
      <c r="AG41" s="622"/>
      <c r="AH41" s="622"/>
      <c r="AI41" s="622"/>
      <c r="AJ41" s="622"/>
      <c r="AK41" s="622"/>
      <c r="AL41" s="622"/>
      <c r="AM41" s="622"/>
      <c r="AN41" s="622"/>
      <c r="AO41" s="622"/>
      <c r="AP41" s="622"/>
      <c r="AQ41" s="622"/>
      <c r="AR41" s="622"/>
      <c r="AS41" s="250"/>
      <c r="AT41" s="621"/>
      <c r="AU41" s="621"/>
      <c r="AV41" s="621"/>
      <c r="AW41" s="621"/>
      <c r="AX41" s="621"/>
      <c r="AY41" s="621"/>
      <c r="AZ41" s="621"/>
      <c r="BA41" s="621"/>
      <c r="BB41" s="621"/>
      <c r="BC41" s="621"/>
      <c r="BD41" s="621"/>
      <c r="BE41" s="621"/>
      <c r="BF41" s="621"/>
      <c r="BG41" s="250"/>
      <c r="BH41" s="623"/>
      <c r="BI41" s="623"/>
      <c r="BJ41" s="623"/>
      <c r="BK41" s="623"/>
      <c r="BL41" s="623"/>
      <c r="BM41" s="623"/>
      <c r="BN41" s="623"/>
      <c r="BO41" s="623"/>
      <c r="BP41" s="623"/>
      <c r="BQ41" s="623"/>
      <c r="BR41" s="623"/>
      <c r="BS41" s="623"/>
      <c r="BT41" s="623"/>
      <c r="BU41" s="250"/>
      <c r="BV41" s="623"/>
      <c r="BW41" s="623"/>
      <c r="BX41" s="623"/>
      <c r="BY41" s="623"/>
      <c r="BZ41" s="623"/>
      <c r="CA41" s="623"/>
      <c r="CB41" s="623"/>
      <c r="CC41" s="623"/>
      <c r="CD41" s="623"/>
      <c r="CE41" s="623"/>
      <c r="CF41" s="623"/>
      <c r="CG41" s="623"/>
      <c r="CH41" s="623"/>
      <c r="CI41" s="250"/>
      <c r="CJ41" s="622">
        <f t="shared" ref="CJ41:CV41" si="33">IFERROR(BV41-BH41,"")</f>
        <v>0</v>
      </c>
      <c r="CK41" s="622">
        <f t="shared" si="33"/>
        <v>0</v>
      </c>
      <c r="CL41" s="622">
        <f t="shared" si="33"/>
        <v>0</v>
      </c>
      <c r="CM41" s="622">
        <f t="shared" si="33"/>
        <v>0</v>
      </c>
      <c r="CN41" s="622">
        <f t="shared" si="33"/>
        <v>0</v>
      </c>
      <c r="CO41" s="622">
        <f t="shared" si="33"/>
        <v>0</v>
      </c>
      <c r="CP41" s="622">
        <f t="shared" si="33"/>
        <v>0</v>
      </c>
      <c r="CQ41" s="622">
        <f t="shared" si="33"/>
        <v>0</v>
      </c>
      <c r="CR41" s="622">
        <f t="shared" si="33"/>
        <v>0</v>
      </c>
      <c r="CS41" s="622">
        <f t="shared" si="33"/>
        <v>0</v>
      </c>
      <c r="CT41" s="622">
        <f t="shared" si="33"/>
        <v>0</v>
      </c>
      <c r="CU41" s="622">
        <f t="shared" si="33"/>
        <v>0</v>
      </c>
      <c r="CV41" s="622">
        <f t="shared" si="33"/>
        <v>0</v>
      </c>
    </row>
    <row r="42" ht="15.75" customHeight="1">
      <c r="B42" s="233" t="s">
        <v>2148</v>
      </c>
      <c r="C42" s="648"/>
      <c r="D42" s="649" t="str">
        <f t="shared" ref="D42:P42" si="34">SUM(D9:D41)</f>
        <v>Loading...</v>
      </c>
      <c r="E42" s="649">
        <f t="shared" si="34"/>
        <v>0</v>
      </c>
      <c r="F42" s="649">
        <f t="shared" si="34"/>
        <v>0</v>
      </c>
      <c r="G42" s="649">
        <f t="shared" si="34"/>
        <v>0</v>
      </c>
      <c r="H42" s="649">
        <f t="shared" si="34"/>
        <v>0</v>
      </c>
      <c r="I42" s="649">
        <f t="shared" si="34"/>
        <v>0</v>
      </c>
      <c r="J42" s="649">
        <f t="shared" si="34"/>
        <v>0</v>
      </c>
      <c r="K42" s="649">
        <f t="shared" si="34"/>
        <v>0</v>
      </c>
      <c r="L42" s="649">
        <f t="shared" si="34"/>
        <v>0</v>
      </c>
      <c r="M42" s="649">
        <f t="shared" si="34"/>
        <v>0</v>
      </c>
      <c r="N42" s="649">
        <f t="shared" si="34"/>
        <v>0</v>
      </c>
      <c r="O42" s="649">
        <f t="shared" si="34"/>
        <v>0</v>
      </c>
      <c r="P42" s="649">
        <f t="shared" si="34"/>
        <v>0</v>
      </c>
      <c r="R42" s="650" t="str">
        <f t="shared" ref="R42:AD42" si="35">SUM(R9:R41)</f>
        <v>Loading...</v>
      </c>
      <c r="S42" s="650">
        <f t="shared" si="35"/>
        <v>0</v>
      </c>
      <c r="T42" s="650">
        <f t="shared" si="35"/>
        <v>0</v>
      </c>
      <c r="U42" s="650">
        <f t="shared" si="35"/>
        <v>0</v>
      </c>
      <c r="V42" s="650">
        <f t="shared" si="35"/>
        <v>0</v>
      </c>
      <c r="W42" s="650">
        <f t="shared" si="35"/>
        <v>0</v>
      </c>
      <c r="X42" s="650">
        <f t="shared" si="35"/>
        <v>0</v>
      </c>
      <c r="Y42" s="650">
        <f t="shared" si="35"/>
        <v>0</v>
      </c>
      <c r="Z42" s="650">
        <f t="shared" si="35"/>
        <v>0</v>
      </c>
      <c r="AA42" s="650">
        <f t="shared" si="35"/>
        <v>0</v>
      </c>
      <c r="AB42" s="650">
        <f t="shared" si="35"/>
        <v>0</v>
      </c>
      <c r="AC42" s="650">
        <f t="shared" si="35"/>
        <v>0</v>
      </c>
      <c r="AD42" s="650">
        <f t="shared" si="35"/>
        <v>0</v>
      </c>
      <c r="AF42" s="651" t="str">
        <f t="shared" ref="AF42:AR42" si="36">SUM(AF9:AF41)</f>
        <v>Loading...</v>
      </c>
      <c r="AG42" s="651">
        <f t="shared" si="36"/>
        <v>0</v>
      </c>
      <c r="AH42" s="651">
        <f t="shared" si="36"/>
        <v>0</v>
      </c>
      <c r="AI42" s="651">
        <f t="shared" si="36"/>
        <v>0</v>
      </c>
      <c r="AJ42" s="651">
        <f t="shared" si="36"/>
        <v>0</v>
      </c>
      <c r="AK42" s="651">
        <f t="shared" si="36"/>
        <v>0</v>
      </c>
      <c r="AL42" s="651">
        <f t="shared" si="36"/>
        <v>0</v>
      </c>
      <c r="AM42" s="651">
        <f t="shared" si="36"/>
        <v>0</v>
      </c>
      <c r="AN42" s="651">
        <f t="shared" si="36"/>
        <v>0</v>
      </c>
      <c r="AO42" s="651">
        <f t="shared" si="36"/>
        <v>0</v>
      </c>
      <c r="AP42" s="651">
        <f t="shared" si="36"/>
        <v>0</v>
      </c>
      <c r="AQ42" s="651">
        <f t="shared" si="36"/>
        <v>0</v>
      </c>
      <c r="AR42" s="651">
        <f t="shared" si="36"/>
        <v>0</v>
      </c>
      <c r="AT42" s="652">
        <f t="shared" ref="AT42:BF42" si="37">IF(COUNT(AT9:AT41)=0,"",SUM(AT9:AT41))</f>
        <v>4446.9983</v>
      </c>
      <c r="AU42" s="652">
        <f t="shared" si="37"/>
        <v>40.2198</v>
      </c>
      <c r="AV42" s="652">
        <f t="shared" si="37"/>
        <v>51.9479</v>
      </c>
      <c r="AW42" s="652">
        <f t="shared" si="37"/>
        <v>34.4148</v>
      </c>
      <c r="AX42" s="652">
        <f t="shared" si="37"/>
        <v>41.9474</v>
      </c>
      <c r="AY42" s="652">
        <f t="shared" si="37"/>
        <v>42.8106</v>
      </c>
      <c r="AZ42" s="652">
        <f t="shared" si="37"/>
        <v>28.3526</v>
      </c>
      <c r="BA42" s="652">
        <f t="shared" si="37"/>
        <v>47.343</v>
      </c>
      <c r="BB42" s="652">
        <f t="shared" si="37"/>
        <v>67.9671</v>
      </c>
      <c r="BC42" s="652">
        <f t="shared" si="37"/>
        <v>83.83</v>
      </c>
      <c r="BD42" s="652">
        <f t="shared" si="37"/>
        <v>0.0877</v>
      </c>
      <c r="BE42" s="652">
        <f t="shared" si="37"/>
        <v>0</v>
      </c>
      <c r="BF42" s="652">
        <f t="shared" si="37"/>
        <v>0</v>
      </c>
      <c r="BH42" s="653">
        <f t="shared" ref="BH42:BT42" si="38">IF(COUNT(BH9:BH41)=0,"",SUM(BH9:BH41))</f>
        <v>-146.3873</v>
      </c>
      <c r="BI42" s="653">
        <f t="shared" si="38"/>
        <v>5.8701</v>
      </c>
      <c r="BJ42" s="653">
        <f t="shared" si="38"/>
        <v>-5.2839</v>
      </c>
      <c r="BK42" s="653">
        <f t="shared" si="38"/>
        <v>-4.0198</v>
      </c>
      <c r="BL42" s="653">
        <f t="shared" si="38"/>
        <v>-0.1152</v>
      </c>
      <c r="BM42" s="653">
        <f t="shared" si="38"/>
        <v>1.5294</v>
      </c>
      <c r="BN42" s="653">
        <f t="shared" si="38"/>
        <v>2.1903</v>
      </c>
      <c r="BO42" s="653">
        <f t="shared" si="38"/>
        <v>14.4556</v>
      </c>
      <c r="BP42" s="653">
        <f t="shared" si="38"/>
        <v>32.4449</v>
      </c>
      <c r="BQ42" s="653">
        <f t="shared" si="38"/>
        <v>54.4225</v>
      </c>
      <c r="BR42" s="653">
        <f t="shared" si="38"/>
        <v>4119.5892</v>
      </c>
      <c r="BS42" s="653">
        <f t="shared" si="38"/>
        <v>4879.0456</v>
      </c>
      <c r="BT42" s="653">
        <f t="shared" si="38"/>
        <v>77.2745</v>
      </c>
      <c r="BV42" s="653" t="str">
        <f t="shared" ref="BV42:CH42" si="39">IF(COUNT(BV9:BV41)=0,"",SUM(BV9:BV41))</f>
        <v/>
      </c>
      <c r="BW42" s="653" t="str">
        <f t="shared" si="39"/>
        <v/>
      </c>
      <c r="BX42" s="653" t="str">
        <f t="shared" si="39"/>
        <v/>
      </c>
      <c r="BY42" s="653" t="str">
        <f t="shared" si="39"/>
        <v/>
      </c>
      <c r="BZ42" s="653" t="str">
        <f t="shared" si="39"/>
        <v/>
      </c>
      <c r="CA42" s="653" t="str">
        <f t="shared" si="39"/>
        <v/>
      </c>
      <c r="CB42" s="653" t="str">
        <f t="shared" si="39"/>
        <v/>
      </c>
      <c r="CC42" s="653" t="str">
        <f t="shared" si="39"/>
        <v/>
      </c>
      <c r="CD42" s="653" t="str">
        <f t="shared" si="39"/>
        <v/>
      </c>
      <c r="CE42" s="653" t="str">
        <f t="shared" si="39"/>
        <v/>
      </c>
      <c r="CF42" s="653" t="str">
        <f t="shared" si="39"/>
        <v/>
      </c>
      <c r="CG42" s="653" t="str">
        <f t="shared" si="39"/>
        <v/>
      </c>
      <c r="CH42" s="653" t="str">
        <f t="shared" si="39"/>
        <v/>
      </c>
      <c r="CJ42" s="651">
        <f t="shared" ref="CJ42:CV42" si="40">IF(COUNT(CJ9:CJ41)=0,"",SUM(CJ9:CJ41))</f>
        <v>133.9163</v>
      </c>
      <c r="CK42" s="651">
        <f t="shared" si="40"/>
        <v>-5.8701</v>
      </c>
      <c r="CL42" s="651">
        <f t="shared" si="40"/>
        <v>5.2839</v>
      </c>
      <c r="CM42" s="651">
        <f t="shared" si="40"/>
        <v>4.0198</v>
      </c>
      <c r="CN42" s="651">
        <f t="shared" si="40"/>
        <v>0.1152</v>
      </c>
      <c r="CO42" s="651">
        <f t="shared" si="40"/>
        <v>-1.5294</v>
      </c>
      <c r="CP42" s="651">
        <f t="shared" si="40"/>
        <v>-2.1903</v>
      </c>
      <c r="CQ42" s="651">
        <f t="shared" si="40"/>
        <v>-14.4556</v>
      </c>
      <c r="CR42" s="651">
        <f t="shared" si="40"/>
        <v>-32.4449</v>
      </c>
      <c r="CS42" s="651">
        <f t="shared" si="40"/>
        <v>-54.4225</v>
      </c>
      <c r="CT42" s="651">
        <f t="shared" si="40"/>
        <v>-4119.5892</v>
      </c>
      <c r="CU42" s="651">
        <f t="shared" si="40"/>
        <v>-4879.0456</v>
      </c>
      <c r="CV42" s="651">
        <f t="shared" si="40"/>
        <v>-77.2745</v>
      </c>
    </row>
    <row r="43" ht="15.75" customHeight="1"/>
    <row r="44" ht="15.75" hidden="1" customHeight="1">
      <c r="B44" s="654" t="s">
        <v>2152</v>
      </c>
    </row>
    <row r="45" ht="15.75" hidden="1" customHeight="1">
      <c r="B45" s="610" t="s">
        <v>2153</v>
      </c>
    </row>
    <row r="46" ht="15.75" hidden="1" customHeight="1">
      <c r="B46" s="547" t="s">
        <v>2154</v>
      </c>
    </row>
    <row r="47" ht="15.75" hidden="1" customHeight="1">
      <c r="B47" s="610" t="s">
        <v>2155</v>
      </c>
    </row>
    <row r="48" ht="15.75" hidden="1" customHeight="1">
      <c r="B48" s="610" t="s">
        <v>2156</v>
      </c>
    </row>
    <row r="49" ht="15.75" hidden="1" customHeight="1">
      <c r="B49" s="610" t="s">
        <v>2157</v>
      </c>
    </row>
    <row r="50" ht="15.75" hidden="1" customHeight="1">
      <c r="B50" s="547" t="s">
        <v>2158</v>
      </c>
    </row>
    <row r="51" ht="15.75" hidden="1" customHeight="1">
      <c r="B51" s="547" t="s">
        <v>2159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F9:AR41">
    <cfRule type="cellIs" dxfId="11" priority="1" stopIfTrue="1" operator="lessThan">
      <formula>0</formula>
    </cfRule>
  </conditionalFormatting>
  <conditionalFormatting sqref="AF9:AR41">
    <cfRule type="cellIs" dxfId="12" priority="2" stopIfTrue="1" operator="greaterThan">
      <formula>0</formula>
    </cfRule>
  </conditionalFormatting>
  <conditionalFormatting sqref="CJ9:CV41">
    <cfRule type="cellIs" dxfId="11" priority="3" stopIfTrue="1" operator="lessThan">
      <formula>0</formula>
    </cfRule>
  </conditionalFormatting>
  <conditionalFormatting sqref="CJ9:CV41">
    <cfRule type="cellIs" dxfId="12" priority="4" stopIfTrue="1" operator="greaterThan">
      <formula>0</formula>
    </cfRule>
  </conditionalFormatting>
  <conditionalFormatting sqref="B9:CV41">
    <cfRule type="expression" dxfId="5" priority="5">
      <formula>OR($C9="Fri",$C9="Sat",$C9="Sun")</formula>
    </cfRule>
  </conditionalFormatting>
  <dataValidations>
    <dataValidation type="list" allowBlank="1" sqref="C4">
      <formula1>"0-9,10-19,20-39,40-99,100+"</formula1>
    </dataValidation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32.13"/>
    <col customWidth="1" min="2" max="2" width="10.63"/>
    <col customWidth="1" min="3" max="3" width="9.13"/>
    <col customWidth="1" min="4" max="4" width="10.63"/>
    <col customWidth="1" min="5" max="5" width="10.0"/>
    <col customWidth="1" min="6" max="6" width="13.88"/>
    <col customWidth="1" min="7" max="7" width="49.0"/>
    <col customWidth="1" min="8" max="11" width="10.0"/>
    <col customWidth="1" min="12" max="23" width="6.63"/>
    <col customWidth="1" min="24" max="26" width="7.63"/>
  </cols>
  <sheetData>
    <row r="1">
      <c r="A1" s="240" t="s">
        <v>2112</v>
      </c>
    </row>
    <row r="2">
      <c r="A2" s="637" t="s">
        <v>106</v>
      </c>
      <c r="B2" s="637"/>
      <c r="C2" s="637"/>
    </row>
    <row r="3">
      <c r="A3" s="638" t="s">
        <v>2113</v>
      </c>
      <c r="B3" s="639" t="s">
        <v>70</v>
      </c>
      <c r="C3" s="640" t="s">
        <v>2114</v>
      </c>
    </row>
    <row r="4">
      <c r="A4" s="638" t="s">
        <v>2115</v>
      </c>
      <c r="B4" s="641">
        <v>11.0</v>
      </c>
      <c r="C4" s="640" t="s">
        <v>2116</v>
      </c>
    </row>
    <row r="5">
      <c r="A5" s="638" t="s">
        <v>402</v>
      </c>
      <c r="B5" s="639" t="s">
        <v>21</v>
      </c>
      <c r="C5" s="640" t="s">
        <v>2117</v>
      </c>
    </row>
    <row r="6">
      <c r="A6" s="638" t="s">
        <v>179</v>
      </c>
      <c r="B6" s="639" t="s">
        <v>180</v>
      </c>
      <c r="C6" s="640" t="s">
        <v>2118</v>
      </c>
    </row>
    <row r="7">
      <c r="A7" s="638" t="s">
        <v>2119</v>
      </c>
      <c r="B7" s="639" t="s">
        <v>2120</v>
      </c>
      <c r="C7" s="640" t="s">
        <v>2121</v>
      </c>
    </row>
    <row r="8">
      <c r="A8" s="638" t="s">
        <v>2122</v>
      </c>
      <c r="B8" s="639" t="s">
        <v>178</v>
      </c>
      <c r="C8" s="640" t="s">
        <v>2123</v>
      </c>
    </row>
    <row r="9">
      <c r="A9" s="638" t="s">
        <v>2124</v>
      </c>
      <c r="B9" s="639">
        <v>32.0</v>
      </c>
      <c r="C9" s="640" t="s">
        <v>2125</v>
      </c>
    </row>
    <row r="10">
      <c r="A10" s="638" t="s">
        <v>2126</v>
      </c>
      <c r="B10" s="639"/>
      <c r="C10" s="640" t="s">
        <v>2127</v>
      </c>
    </row>
    <row r="11">
      <c r="A11" s="638" t="s">
        <v>2128</v>
      </c>
      <c r="B11" s="639"/>
      <c r="C11" s="640" t="s">
        <v>2129</v>
      </c>
    </row>
    <row r="13">
      <c r="A13" s="637" t="s">
        <v>2130</v>
      </c>
      <c r="B13" s="637"/>
      <c r="C13" s="637"/>
    </row>
    <row r="14">
      <c r="A14" s="638" t="str">
        <f>ECOGAINS_PBP_PROFILE($B$5,$B$6, sim_refresh!$A$1)</f>
        <v>Loading...</v>
      </c>
      <c r="B14" s="642"/>
      <c r="C14" s="640"/>
    </row>
    <row r="15">
      <c r="A15" s="638"/>
      <c r="B15" s="642"/>
      <c r="C15" s="640"/>
    </row>
    <row r="16">
      <c r="A16" s="638"/>
      <c r="B16" s="642"/>
      <c r="C16" s="640"/>
    </row>
    <row r="17">
      <c r="A17" s="638"/>
      <c r="B17" s="642"/>
      <c r="C17" s="640"/>
    </row>
    <row r="18">
      <c r="A18" s="638"/>
      <c r="B18" s="642"/>
      <c r="C18" s="640"/>
    </row>
    <row r="19">
      <c r="A19" s="638"/>
      <c r="B19" s="642"/>
      <c r="C19" s="640"/>
    </row>
    <row r="20">
      <c r="A20" s="638"/>
      <c r="B20" s="642"/>
      <c r="C20" s="640"/>
    </row>
    <row r="21" ht="15.75" customHeight="1"/>
    <row r="22" ht="15.75" customHeight="1">
      <c r="A22" s="637" t="s">
        <v>2131</v>
      </c>
      <c r="B22" s="637"/>
      <c r="C22" s="637"/>
      <c r="D22" s="637"/>
      <c r="E22" s="637"/>
      <c r="F22" s="637"/>
    </row>
    <row r="23" ht="15.75" customHeight="1">
      <c r="A23" s="638" t="str">
        <f>ECOGAINS_PBP_EVENTS($B$3,$B$4,$B$5,$B$6,$B$8, sim_refresh!$A$1)</f>
        <v>Loading...</v>
      </c>
      <c r="B23" s="638"/>
      <c r="C23" s="638"/>
      <c r="D23" s="638"/>
      <c r="E23" s="638"/>
      <c r="F23" s="638"/>
    </row>
    <row r="24" ht="15.75" customHeight="1">
      <c r="A24" s="638"/>
      <c r="B24" s="643"/>
      <c r="C24" s="643"/>
      <c r="D24" s="643"/>
      <c r="E24" s="643"/>
      <c r="F24" s="643"/>
    </row>
    <row r="25" ht="15.75" customHeight="1">
      <c r="A25" s="638"/>
      <c r="B25" s="643"/>
      <c r="C25" s="643"/>
      <c r="D25" s="643"/>
      <c r="E25" s="643"/>
      <c r="F25" s="643"/>
    </row>
    <row r="26" ht="15.75" customHeight="1">
      <c r="A26" s="638"/>
      <c r="B26" s="643"/>
      <c r="C26" s="643"/>
      <c r="D26" s="643"/>
      <c r="E26" s="643"/>
      <c r="F26" s="643"/>
    </row>
    <row r="27" ht="15.75" customHeight="1">
      <c r="A27" s="638"/>
      <c r="B27" s="643"/>
      <c r="C27" s="643"/>
      <c r="D27" s="643"/>
      <c r="E27" s="643"/>
      <c r="F27" s="643"/>
    </row>
    <row r="28" ht="15.75" customHeight="1">
      <c r="A28" s="638"/>
      <c r="B28" s="643"/>
      <c r="C28" s="643"/>
      <c r="D28" s="643"/>
      <c r="E28" s="643"/>
      <c r="F28" s="643"/>
    </row>
    <row r="29" ht="15.75" customHeight="1">
      <c r="A29" s="638"/>
      <c r="B29" s="643"/>
      <c r="C29" s="643"/>
      <c r="D29" s="643"/>
      <c r="E29" s="643"/>
      <c r="F29" s="643"/>
    </row>
    <row r="30" ht="15.75" customHeight="1">
      <c r="A30" s="638"/>
      <c r="B30" s="643"/>
      <c r="C30" s="643"/>
      <c r="D30" s="643"/>
      <c r="E30" s="643"/>
      <c r="F30" s="643"/>
    </row>
    <row r="31" ht="15.75" customHeight="1">
      <c r="A31" s="638"/>
      <c r="B31" s="643"/>
      <c r="C31" s="643"/>
      <c r="D31" s="643"/>
      <c r="E31" s="643"/>
      <c r="F31" s="643"/>
    </row>
    <row r="32" ht="15.75" customHeight="1">
      <c r="A32" s="638"/>
      <c r="B32" s="643"/>
      <c r="C32" s="643"/>
      <c r="D32" s="643"/>
      <c r="E32" s="643"/>
      <c r="F32" s="643"/>
    </row>
    <row r="33" ht="15.75" customHeight="1">
      <c r="A33" s="638"/>
      <c r="B33" s="643"/>
      <c r="C33" s="643"/>
      <c r="D33" s="643"/>
      <c r="E33" s="643"/>
      <c r="F33" s="643"/>
    </row>
    <row r="34" ht="15.75" customHeight="1">
      <c r="A34" s="638"/>
      <c r="B34" s="643"/>
      <c r="C34" s="643"/>
      <c r="D34" s="643"/>
      <c r="E34" s="643"/>
      <c r="F34" s="643"/>
    </row>
    <row r="35" ht="15.75" customHeight="1">
      <c r="A35" s="638"/>
      <c r="B35" s="643"/>
      <c r="C35" s="643"/>
      <c r="D35" s="643"/>
      <c r="E35" s="643"/>
      <c r="F35" s="643"/>
    </row>
    <row r="36" ht="15.75" customHeight="1">
      <c r="A36" s="638"/>
      <c r="B36" s="643"/>
      <c r="C36" s="643"/>
      <c r="D36" s="643"/>
      <c r="E36" s="643"/>
      <c r="F36" s="643"/>
    </row>
    <row r="37" ht="15.75" customHeight="1"/>
    <row r="38" ht="15.75" hidden="1" customHeight="1">
      <c r="A38" s="644" t="s">
        <v>2133</v>
      </c>
      <c r="B38" s="644"/>
      <c r="C38" s="644"/>
      <c r="D38" s="644"/>
      <c r="E38" s="644"/>
      <c r="F38" s="644"/>
      <c r="G38" s="644"/>
      <c r="H38" s="644"/>
      <c r="I38" s="644"/>
      <c r="J38" s="644"/>
      <c r="K38" s="644"/>
    </row>
    <row r="39" ht="15.75" hidden="1" customHeight="1">
      <c r="A39" s="547" t="s">
        <v>2134</v>
      </c>
    </row>
    <row r="40" ht="15.75" hidden="1" customHeight="1">
      <c r="A40" s="547" t="s">
        <v>2135</v>
      </c>
    </row>
    <row r="41" ht="15.75" hidden="1" customHeight="1">
      <c r="A41" s="547" t="s">
        <v>2136</v>
      </c>
    </row>
    <row r="42" ht="15.75" hidden="1" customHeight="1">
      <c r="A42" s="547" t="s">
        <v>2137</v>
      </c>
    </row>
    <row r="43" ht="15.75" hidden="1" customHeight="1">
      <c r="A43" s="547" t="s">
        <v>2138</v>
      </c>
    </row>
    <row r="44" ht="15.75" hidden="1" customHeight="1">
      <c r="A44" s="547" t="s">
        <v>2139</v>
      </c>
    </row>
    <row r="45" ht="15.75" hidden="1" customHeight="1">
      <c r="A45" s="547" t="s">
        <v>2140</v>
      </c>
    </row>
    <row r="46" ht="15.75" hidden="1" customHeight="1">
      <c r="A46" s="547" t="s">
        <v>2141</v>
      </c>
    </row>
    <row r="47" ht="15.75" hidden="1" customHeight="1">
      <c r="A47" s="547" t="s">
        <v>2142</v>
      </c>
    </row>
    <row r="48" ht="15.75" hidden="1" customHeight="1">
      <c r="A48" s="547" t="s">
        <v>2143</v>
      </c>
    </row>
    <row r="49" ht="15.75" hidden="1" customHeight="1">
      <c r="A49" s="547" t="s">
        <v>2144</v>
      </c>
    </row>
    <row r="50" ht="15.75" hidden="1" customHeight="1">
      <c r="A50" s="547" t="s">
        <v>2145</v>
      </c>
    </row>
    <row r="51" ht="15.75" customHeight="1">
      <c r="A51" s="637" t="s">
        <v>2146</v>
      </c>
      <c r="B51" s="637"/>
      <c r="C51" s="637"/>
      <c r="D51" s="637"/>
      <c r="E51" s="637"/>
      <c r="F51" s="637"/>
      <c r="G51" s="637"/>
      <c r="H51" s="637"/>
      <c r="I51" s="637"/>
      <c r="J51" s="637"/>
      <c r="K51" s="637"/>
      <c r="L51" s="637"/>
      <c r="M51" s="637"/>
      <c r="N51" s="637"/>
      <c r="O51" s="637"/>
      <c r="P51" s="637"/>
      <c r="Q51" s="637"/>
      <c r="R51" s="637"/>
      <c r="S51" s="637"/>
      <c r="T51" s="637"/>
      <c r="U51" s="637"/>
      <c r="V51" s="637"/>
      <c r="W51" s="637"/>
      <c r="X51" s="637"/>
    </row>
    <row r="52" ht="15.75" customHeight="1">
      <c r="A52" s="638" t="str">
        <f>ECOGAINS_PBP($B$3,$B$4,$B$5,$B$6,$B$7,$B$8,$B$9,$B$10,$B$11, sim_refresh!$A$1)</f>
        <v>Loading...</v>
      </c>
      <c r="B52" s="638"/>
      <c r="C52" s="638"/>
      <c r="D52" s="638"/>
      <c r="E52" s="638"/>
      <c r="F52" s="638"/>
      <c r="G52" s="638"/>
      <c r="H52" s="638"/>
      <c r="I52" s="638"/>
      <c r="J52" s="638"/>
      <c r="K52" s="638"/>
      <c r="L52" s="638"/>
      <c r="M52" s="638"/>
      <c r="N52" s="638"/>
      <c r="O52" s="638"/>
      <c r="P52" s="638"/>
      <c r="Q52" s="638"/>
      <c r="R52" s="638"/>
      <c r="S52" s="638"/>
      <c r="T52" s="638"/>
      <c r="U52" s="638"/>
      <c r="V52" s="638"/>
      <c r="W52" s="638"/>
      <c r="X52" s="638"/>
    </row>
    <row r="53" ht="15.75" customHeight="1">
      <c r="A53" s="645"/>
      <c r="B53" s="645"/>
      <c r="C53" s="645"/>
      <c r="D53" s="645"/>
      <c r="E53" s="645"/>
      <c r="F53" s="645"/>
      <c r="G53" s="646"/>
      <c r="H53" s="645"/>
      <c r="I53" s="645"/>
      <c r="J53" s="645"/>
      <c r="K53" s="645"/>
      <c r="L53" s="645"/>
      <c r="M53" s="645"/>
      <c r="N53" s="645"/>
      <c r="O53" s="645"/>
      <c r="P53" s="645"/>
      <c r="Q53" s="645"/>
      <c r="R53" s="645"/>
      <c r="S53" s="645"/>
      <c r="T53" s="645"/>
      <c r="U53" s="645"/>
      <c r="V53" s="645"/>
      <c r="W53" s="645"/>
      <c r="X53" s="645"/>
    </row>
    <row r="54" ht="15.75" customHeight="1">
      <c r="A54" s="645"/>
      <c r="B54" s="645"/>
      <c r="C54" s="645"/>
      <c r="D54" s="645"/>
      <c r="E54" s="645"/>
      <c r="F54" s="645"/>
      <c r="G54" s="646"/>
      <c r="H54" s="645"/>
      <c r="I54" s="645"/>
      <c r="J54" s="645"/>
      <c r="K54" s="645"/>
      <c r="L54" s="645"/>
      <c r="M54" s="645"/>
      <c r="N54" s="645"/>
      <c r="O54" s="645"/>
      <c r="P54" s="645"/>
      <c r="Q54" s="645"/>
      <c r="R54" s="645"/>
      <c r="S54" s="645"/>
      <c r="T54" s="645"/>
      <c r="U54" s="645"/>
      <c r="V54" s="645"/>
      <c r="W54" s="645"/>
      <c r="X54" s="645"/>
    </row>
    <row r="55" ht="15.75" customHeight="1">
      <c r="A55" s="645"/>
      <c r="B55" s="645"/>
      <c r="C55" s="645"/>
      <c r="D55" s="645"/>
      <c r="E55" s="645"/>
      <c r="F55" s="645"/>
      <c r="G55" s="646"/>
      <c r="H55" s="645"/>
      <c r="I55" s="645"/>
      <c r="J55" s="645"/>
      <c r="K55" s="645"/>
      <c r="L55" s="645"/>
      <c r="M55" s="645"/>
      <c r="N55" s="645"/>
      <c r="O55" s="645"/>
      <c r="P55" s="645"/>
      <c r="Q55" s="645"/>
      <c r="R55" s="645"/>
      <c r="S55" s="645"/>
      <c r="T55" s="645"/>
      <c r="U55" s="645"/>
      <c r="V55" s="645"/>
      <c r="W55" s="645"/>
      <c r="X55" s="645"/>
    </row>
    <row r="56" ht="15.75" customHeight="1">
      <c r="A56" s="645"/>
      <c r="B56" s="645"/>
      <c r="C56" s="645"/>
      <c r="D56" s="645"/>
      <c r="E56" s="645"/>
      <c r="F56" s="645"/>
      <c r="G56" s="646"/>
      <c r="H56" s="645"/>
      <c r="I56" s="645"/>
      <c r="J56" s="645"/>
      <c r="K56" s="645"/>
      <c r="L56" s="645"/>
      <c r="M56" s="645"/>
      <c r="N56" s="645"/>
      <c r="O56" s="645"/>
      <c r="P56" s="645"/>
      <c r="Q56" s="645"/>
      <c r="R56" s="645"/>
      <c r="S56" s="645"/>
      <c r="T56" s="645"/>
      <c r="U56" s="645"/>
      <c r="V56" s="645"/>
      <c r="W56" s="645"/>
      <c r="X56" s="645"/>
    </row>
    <row r="57" ht="15.75" customHeight="1">
      <c r="A57" s="645"/>
      <c r="B57" s="645"/>
      <c r="C57" s="645"/>
      <c r="D57" s="645"/>
      <c r="E57" s="645"/>
      <c r="F57" s="645"/>
      <c r="G57" s="646"/>
      <c r="H57" s="645"/>
      <c r="I57" s="645"/>
      <c r="J57" s="645"/>
      <c r="K57" s="645"/>
      <c r="L57" s="645"/>
      <c r="M57" s="645"/>
      <c r="N57" s="645"/>
      <c r="O57" s="645"/>
      <c r="P57" s="645"/>
      <c r="Q57" s="645"/>
      <c r="R57" s="645"/>
      <c r="S57" s="645"/>
      <c r="T57" s="645"/>
      <c r="U57" s="645"/>
      <c r="V57" s="645"/>
      <c r="W57" s="645"/>
      <c r="X57" s="645"/>
    </row>
    <row r="58" ht="15.75" customHeight="1">
      <c r="A58" s="645"/>
      <c r="B58" s="645"/>
      <c r="C58" s="645"/>
      <c r="D58" s="645"/>
      <c r="E58" s="645"/>
      <c r="F58" s="645"/>
      <c r="G58" s="646"/>
      <c r="H58" s="645"/>
      <c r="I58" s="645"/>
      <c r="J58" s="645"/>
      <c r="K58" s="645"/>
      <c r="L58" s="645"/>
      <c r="M58" s="645"/>
      <c r="N58" s="645"/>
      <c r="O58" s="645"/>
      <c r="P58" s="645"/>
      <c r="Q58" s="645"/>
      <c r="R58" s="645"/>
      <c r="S58" s="645"/>
      <c r="T58" s="645"/>
      <c r="U58" s="645"/>
      <c r="V58" s="645"/>
      <c r="W58" s="645"/>
      <c r="X58" s="645"/>
    </row>
    <row r="59" ht="15.75" customHeight="1">
      <c r="A59" s="645"/>
      <c r="B59" s="645"/>
      <c r="C59" s="645"/>
      <c r="D59" s="645"/>
      <c r="E59" s="645"/>
      <c r="F59" s="645"/>
      <c r="G59" s="646"/>
      <c r="H59" s="645"/>
      <c r="I59" s="645"/>
      <c r="J59" s="645"/>
      <c r="K59" s="645"/>
      <c r="L59" s="645"/>
      <c r="M59" s="645"/>
      <c r="N59" s="645"/>
      <c r="O59" s="645"/>
      <c r="P59" s="645"/>
      <c r="Q59" s="645"/>
      <c r="R59" s="645"/>
      <c r="S59" s="645"/>
      <c r="T59" s="645"/>
      <c r="U59" s="645"/>
      <c r="V59" s="645"/>
      <c r="W59" s="645"/>
      <c r="X59" s="645"/>
    </row>
    <row r="60" ht="15.75" customHeight="1">
      <c r="A60" s="645"/>
      <c r="B60" s="645"/>
      <c r="C60" s="645"/>
      <c r="D60" s="645"/>
      <c r="E60" s="645"/>
      <c r="F60" s="645"/>
      <c r="G60" s="646"/>
      <c r="H60" s="645"/>
      <c r="I60" s="645"/>
      <c r="J60" s="645"/>
      <c r="K60" s="645"/>
      <c r="L60" s="645"/>
      <c r="M60" s="645"/>
      <c r="N60" s="645"/>
      <c r="O60" s="645"/>
      <c r="P60" s="645"/>
      <c r="Q60" s="645"/>
      <c r="R60" s="645"/>
      <c r="S60" s="645"/>
      <c r="T60" s="645"/>
      <c r="U60" s="645"/>
      <c r="V60" s="645"/>
      <c r="W60" s="645"/>
      <c r="X60" s="645"/>
    </row>
    <row r="61" ht="15.75" customHeight="1">
      <c r="A61" s="645"/>
      <c r="B61" s="645"/>
      <c r="C61" s="645"/>
      <c r="D61" s="645"/>
      <c r="E61" s="645"/>
      <c r="F61" s="645"/>
      <c r="G61" s="646"/>
      <c r="H61" s="645"/>
      <c r="I61" s="645"/>
      <c r="J61" s="645"/>
      <c r="K61" s="645"/>
      <c r="L61" s="645"/>
      <c r="M61" s="645"/>
      <c r="N61" s="645"/>
      <c r="O61" s="645"/>
      <c r="P61" s="645"/>
      <c r="Q61" s="645"/>
      <c r="R61" s="645"/>
      <c r="S61" s="645"/>
      <c r="T61" s="645"/>
      <c r="U61" s="645"/>
      <c r="V61" s="645"/>
      <c r="W61" s="645"/>
      <c r="X61" s="645"/>
    </row>
    <row r="62" ht="15.75" customHeight="1">
      <c r="A62" s="645"/>
      <c r="B62" s="645"/>
      <c r="C62" s="645"/>
      <c r="D62" s="645"/>
      <c r="E62" s="645"/>
      <c r="F62" s="645"/>
      <c r="G62" s="646"/>
      <c r="H62" s="645"/>
      <c r="I62" s="645"/>
      <c r="J62" s="645"/>
      <c r="K62" s="645"/>
      <c r="L62" s="645"/>
      <c r="M62" s="645"/>
      <c r="N62" s="645"/>
      <c r="O62" s="645"/>
      <c r="P62" s="645"/>
      <c r="Q62" s="645"/>
      <c r="R62" s="645"/>
      <c r="S62" s="645"/>
      <c r="T62" s="645"/>
      <c r="U62" s="645"/>
      <c r="V62" s="645"/>
      <c r="W62" s="645"/>
      <c r="X62" s="645"/>
    </row>
    <row r="63" ht="15.75" customHeight="1">
      <c r="A63" s="645"/>
      <c r="B63" s="645"/>
      <c r="C63" s="645"/>
      <c r="D63" s="645"/>
      <c r="E63" s="645"/>
      <c r="F63" s="645"/>
      <c r="G63" s="646"/>
      <c r="H63" s="645"/>
      <c r="I63" s="645"/>
      <c r="J63" s="645"/>
      <c r="K63" s="645"/>
      <c r="L63" s="645"/>
      <c r="M63" s="645"/>
      <c r="N63" s="645"/>
      <c r="O63" s="645"/>
      <c r="P63" s="645"/>
      <c r="Q63" s="645"/>
      <c r="R63" s="645"/>
      <c r="S63" s="645"/>
      <c r="T63" s="645"/>
      <c r="U63" s="645"/>
      <c r="V63" s="645"/>
      <c r="W63" s="645"/>
      <c r="X63" s="645"/>
    </row>
    <row r="64" ht="15.75" customHeight="1">
      <c r="A64" s="645"/>
      <c r="B64" s="645"/>
      <c r="C64" s="645"/>
      <c r="D64" s="645"/>
      <c r="E64" s="645"/>
      <c r="F64" s="645"/>
      <c r="G64" s="646"/>
      <c r="H64" s="645"/>
      <c r="I64" s="645"/>
      <c r="J64" s="645"/>
      <c r="K64" s="645"/>
      <c r="L64" s="645"/>
      <c r="M64" s="645"/>
      <c r="N64" s="645"/>
      <c r="O64" s="645"/>
      <c r="P64" s="645"/>
      <c r="Q64" s="645"/>
      <c r="R64" s="645"/>
      <c r="S64" s="645"/>
      <c r="T64" s="645"/>
      <c r="U64" s="645"/>
      <c r="V64" s="645"/>
      <c r="W64" s="645"/>
      <c r="X64" s="645"/>
    </row>
    <row r="65" ht="15.75" customHeight="1">
      <c r="A65" s="645"/>
      <c r="B65" s="645"/>
      <c r="C65" s="645"/>
      <c r="D65" s="645"/>
      <c r="E65" s="645"/>
      <c r="F65" s="645"/>
      <c r="G65" s="646"/>
      <c r="H65" s="645"/>
      <c r="I65" s="645"/>
      <c r="J65" s="645"/>
      <c r="K65" s="645"/>
      <c r="L65" s="645"/>
      <c r="M65" s="645"/>
      <c r="N65" s="645"/>
      <c r="O65" s="645"/>
      <c r="P65" s="645"/>
      <c r="Q65" s="645"/>
      <c r="R65" s="645"/>
      <c r="S65" s="645"/>
      <c r="T65" s="645"/>
      <c r="U65" s="645"/>
      <c r="V65" s="645"/>
      <c r="W65" s="645"/>
      <c r="X65" s="645"/>
    </row>
    <row r="66" ht="15.75" customHeight="1">
      <c r="A66" s="645"/>
      <c r="B66" s="645"/>
      <c r="C66" s="645"/>
      <c r="D66" s="645"/>
      <c r="E66" s="645"/>
      <c r="F66" s="645"/>
      <c r="G66" s="646"/>
      <c r="H66" s="645"/>
      <c r="I66" s="645"/>
      <c r="J66" s="645"/>
      <c r="K66" s="645"/>
      <c r="L66" s="645"/>
      <c r="M66" s="645"/>
      <c r="N66" s="645"/>
      <c r="O66" s="645"/>
      <c r="P66" s="645"/>
      <c r="Q66" s="645"/>
      <c r="R66" s="645"/>
      <c r="S66" s="645"/>
      <c r="T66" s="645"/>
      <c r="U66" s="645"/>
      <c r="V66" s="645"/>
      <c r="W66" s="645"/>
      <c r="X66" s="645"/>
    </row>
    <row r="67" ht="15.75" customHeight="1">
      <c r="A67" s="645"/>
      <c r="B67" s="645"/>
      <c r="C67" s="645"/>
      <c r="D67" s="645"/>
      <c r="E67" s="645"/>
      <c r="F67" s="645"/>
      <c r="G67" s="646"/>
      <c r="H67" s="645"/>
      <c r="I67" s="645"/>
      <c r="J67" s="645"/>
      <c r="K67" s="645"/>
      <c r="L67" s="645"/>
      <c r="M67" s="645"/>
      <c r="N67" s="645"/>
      <c r="O67" s="645"/>
      <c r="P67" s="645"/>
      <c r="Q67" s="645"/>
      <c r="R67" s="645"/>
      <c r="S67" s="645"/>
      <c r="T67" s="645"/>
      <c r="U67" s="645"/>
      <c r="V67" s="645"/>
      <c r="W67" s="645"/>
      <c r="X67" s="645"/>
    </row>
    <row r="68" ht="15.75" customHeight="1">
      <c r="A68" s="645"/>
      <c r="B68" s="645"/>
      <c r="C68" s="645"/>
      <c r="D68" s="645"/>
      <c r="E68" s="645"/>
      <c r="F68" s="645"/>
      <c r="G68" s="646"/>
      <c r="H68" s="645"/>
      <c r="I68" s="645"/>
      <c r="J68" s="645"/>
      <c r="K68" s="645"/>
      <c r="L68" s="645"/>
      <c r="M68" s="645"/>
      <c r="N68" s="645"/>
      <c r="O68" s="645"/>
      <c r="P68" s="645"/>
      <c r="Q68" s="645"/>
      <c r="R68" s="645"/>
      <c r="S68" s="645"/>
      <c r="T68" s="645"/>
      <c r="U68" s="645"/>
      <c r="V68" s="645"/>
      <c r="W68" s="645"/>
      <c r="X68" s="645"/>
    </row>
    <row r="69" ht="15.75" customHeight="1">
      <c r="A69" s="645"/>
      <c r="B69" s="645"/>
      <c r="C69" s="645"/>
      <c r="D69" s="645"/>
      <c r="E69" s="645"/>
      <c r="F69" s="645"/>
      <c r="G69" s="646"/>
      <c r="H69" s="645"/>
      <c r="I69" s="645"/>
      <c r="J69" s="645"/>
      <c r="K69" s="645"/>
      <c r="L69" s="645"/>
      <c r="M69" s="645"/>
      <c r="N69" s="645"/>
      <c r="O69" s="645"/>
      <c r="P69" s="645"/>
      <c r="Q69" s="645"/>
      <c r="R69" s="645"/>
      <c r="S69" s="645"/>
      <c r="T69" s="645"/>
      <c r="U69" s="645"/>
      <c r="V69" s="645"/>
      <c r="W69" s="645"/>
      <c r="X69" s="645"/>
    </row>
    <row r="70" ht="15.75" customHeight="1">
      <c r="A70" s="645"/>
      <c r="B70" s="645"/>
      <c r="C70" s="645"/>
      <c r="D70" s="645"/>
      <c r="E70" s="645"/>
      <c r="F70" s="645"/>
      <c r="G70" s="646"/>
      <c r="H70" s="645"/>
      <c r="I70" s="645"/>
      <c r="J70" s="645"/>
      <c r="K70" s="645"/>
      <c r="L70" s="645"/>
      <c r="M70" s="645"/>
      <c r="N70" s="645"/>
      <c r="O70" s="645"/>
      <c r="P70" s="645"/>
      <c r="Q70" s="645"/>
      <c r="R70" s="645"/>
      <c r="S70" s="645"/>
      <c r="T70" s="645"/>
      <c r="U70" s="645"/>
      <c r="V70" s="645"/>
      <c r="W70" s="645"/>
      <c r="X70" s="645"/>
    </row>
    <row r="71" ht="15.75" customHeight="1">
      <c r="A71" s="645"/>
      <c r="B71" s="645"/>
      <c r="C71" s="645"/>
      <c r="D71" s="645"/>
      <c r="E71" s="645"/>
      <c r="F71" s="645"/>
      <c r="G71" s="646"/>
      <c r="H71" s="645"/>
      <c r="I71" s="645"/>
      <c r="J71" s="645"/>
      <c r="K71" s="645"/>
      <c r="L71" s="645"/>
      <c r="M71" s="645"/>
      <c r="N71" s="645"/>
      <c r="O71" s="645"/>
      <c r="P71" s="645"/>
      <c r="Q71" s="645"/>
      <c r="R71" s="645"/>
      <c r="S71" s="645"/>
      <c r="T71" s="645"/>
      <c r="U71" s="645"/>
      <c r="V71" s="645"/>
      <c r="W71" s="645"/>
      <c r="X71" s="645"/>
    </row>
    <row r="72" ht="15.75" customHeight="1">
      <c r="A72" s="645"/>
      <c r="B72" s="645"/>
      <c r="C72" s="645"/>
      <c r="D72" s="645"/>
      <c r="E72" s="645"/>
      <c r="F72" s="645"/>
      <c r="G72" s="646"/>
      <c r="H72" s="645"/>
      <c r="I72" s="645"/>
      <c r="J72" s="645"/>
      <c r="K72" s="645"/>
      <c r="L72" s="645"/>
      <c r="M72" s="645"/>
      <c r="N72" s="645"/>
      <c r="O72" s="645"/>
      <c r="P72" s="645"/>
      <c r="Q72" s="645"/>
      <c r="R72" s="645"/>
      <c r="S72" s="645"/>
      <c r="T72" s="645"/>
      <c r="U72" s="645"/>
      <c r="V72" s="645"/>
      <c r="W72" s="645"/>
      <c r="X72" s="645"/>
    </row>
    <row r="73" ht="15.75" customHeight="1">
      <c r="A73" s="645"/>
      <c r="B73" s="645"/>
      <c r="C73" s="645"/>
      <c r="D73" s="645"/>
      <c r="E73" s="645"/>
      <c r="F73" s="645"/>
      <c r="G73" s="646"/>
      <c r="H73" s="645"/>
      <c r="I73" s="645"/>
      <c r="J73" s="645"/>
      <c r="K73" s="645"/>
      <c r="L73" s="645"/>
      <c r="M73" s="645"/>
      <c r="N73" s="645"/>
      <c r="O73" s="645"/>
      <c r="P73" s="645"/>
      <c r="Q73" s="645"/>
      <c r="R73" s="645"/>
      <c r="S73" s="645"/>
      <c r="T73" s="645"/>
      <c r="U73" s="645"/>
      <c r="V73" s="645"/>
      <c r="W73" s="645"/>
      <c r="X73" s="645"/>
    </row>
    <row r="74" ht="15.75" customHeight="1">
      <c r="A74" s="645"/>
      <c r="B74" s="645"/>
      <c r="C74" s="645"/>
      <c r="D74" s="645"/>
      <c r="E74" s="645"/>
      <c r="F74" s="645"/>
      <c r="G74" s="646"/>
      <c r="H74" s="645"/>
      <c r="I74" s="645"/>
      <c r="J74" s="645"/>
      <c r="K74" s="645"/>
      <c r="L74" s="645"/>
      <c r="M74" s="645"/>
      <c r="N74" s="645"/>
      <c r="O74" s="645"/>
      <c r="P74" s="645"/>
      <c r="Q74" s="645"/>
      <c r="R74" s="645"/>
      <c r="S74" s="645"/>
      <c r="T74" s="645"/>
      <c r="U74" s="645"/>
      <c r="V74" s="645"/>
      <c r="W74" s="645"/>
      <c r="X74" s="645"/>
    </row>
    <row r="75" ht="15.75" customHeight="1">
      <c r="A75" s="645"/>
      <c r="B75" s="645"/>
      <c r="C75" s="645"/>
      <c r="D75" s="645"/>
      <c r="E75" s="645"/>
      <c r="F75" s="645"/>
      <c r="G75" s="646"/>
      <c r="H75" s="645"/>
      <c r="I75" s="645"/>
      <c r="J75" s="645"/>
      <c r="K75" s="645"/>
      <c r="L75" s="645"/>
      <c r="M75" s="645"/>
      <c r="N75" s="645"/>
      <c r="O75" s="645"/>
      <c r="P75" s="645"/>
      <c r="Q75" s="645"/>
      <c r="R75" s="645"/>
      <c r="S75" s="645"/>
      <c r="T75" s="645"/>
      <c r="U75" s="645"/>
      <c r="V75" s="645"/>
      <c r="W75" s="645"/>
      <c r="X75" s="645"/>
    </row>
    <row r="76" ht="15.75" customHeight="1">
      <c r="A76" s="645"/>
      <c r="B76" s="645"/>
      <c r="C76" s="645"/>
      <c r="D76" s="645"/>
      <c r="E76" s="645"/>
      <c r="F76" s="645"/>
      <c r="G76" s="646"/>
      <c r="H76" s="645"/>
      <c r="I76" s="645"/>
      <c r="J76" s="645"/>
      <c r="K76" s="645"/>
      <c r="L76" s="645"/>
      <c r="M76" s="645"/>
      <c r="N76" s="645"/>
      <c r="O76" s="645"/>
      <c r="P76" s="645"/>
      <c r="Q76" s="645"/>
      <c r="R76" s="645"/>
      <c r="S76" s="645"/>
      <c r="T76" s="645"/>
      <c r="U76" s="645"/>
      <c r="V76" s="645"/>
      <c r="W76" s="645"/>
      <c r="X76" s="645"/>
    </row>
    <row r="77" ht="15.75" customHeight="1">
      <c r="A77" s="645"/>
      <c r="B77" s="645"/>
      <c r="C77" s="645"/>
      <c r="D77" s="645"/>
      <c r="E77" s="645"/>
      <c r="F77" s="645"/>
      <c r="G77" s="646"/>
      <c r="H77" s="645"/>
      <c r="I77" s="645"/>
      <c r="J77" s="645"/>
      <c r="K77" s="645"/>
      <c r="L77" s="645"/>
      <c r="M77" s="645"/>
      <c r="N77" s="645"/>
      <c r="O77" s="645"/>
      <c r="P77" s="645"/>
      <c r="Q77" s="645"/>
      <c r="R77" s="645"/>
      <c r="S77" s="645"/>
      <c r="T77" s="645"/>
      <c r="U77" s="645"/>
      <c r="V77" s="645"/>
      <c r="W77" s="645"/>
      <c r="X77" s="645"/>
    </row>
    <row r="78" ht="15.75" customHeight="1">
      <c r="A78" s="645"/>
      <c r="B78" s="645"/>
      <c r="C78" s="645"/>
      <c r="D78" s="645"/>
      <c r="E78" s="645"/>
      <c r="F78" s="645"/>
      <c r="G78" s="646"/>
      <c r="H78" s="645"/>
      <c r="I78" s="645"/>
      <c r="J78" s="645"/>
      <c r="K78" s="645"/>
      <c r="L78" s="645"/>
      <c r="M78" s="645"/>
      <c r="N78" s="645"/>
      <c r="O78" s="645"/>
      <c r="P78" s="645"/>
      <c r="Q78" s="645"/>
      <c r="R78" s="645"/>
      <c r="S78" s="645"/>
      <c r="T78" s="645"/>
      <c r="U78" s="645"/>
      <c r="V78" s="645"/>
      <c r="W78" s="645"/>
      <c r="X78" s="645"/>
    </row>
    <row r="79" ht="15.75" customHeight="1">
      <c r="A79" s="645"/>
      <c r="B79" s="645"/>
      <c r="C79" s="645"/>
      <c r="D79" s="645"/>
      <c r="E79" s="645"/>
      <c r="F79" s="645"/>
      <c r="G79" s="646"/>
      <c r="H79" s="645"/>
      <c r="I79" s="645"/>
      <c r="J79" s="645"/>
      <c r="K79" s="645"/>
      <c r="L79" s="645"/>
      <c r="M79" s="645"/>
      <c r="N79" s="645"/>
      <c r="O79" s="645"/>
      <c r="P79" s="645"/>
      <c r="Q79" s="645"/>
      <c r="R79" s="645"/>
      <c r="S79" s="645"/>
      <c r="T79" s="645"/>
      <c r="U79" s="645"/>
      <c r="V79" s="645"/>
      <c r="W79" s="645"/>
      <c r="X79" s="645"/>
    </row>
    <row r="80" ht="15.75" customHeight="1">
      <c r="A80" s="645"/>
      <c r="B80" s="645"/>
      <c r="C80" s="645"/>
      <c r="D80" s="645"/>
      <c r="E80" s="645"/>
      <c r="F80" s="645"/>
      <c r="G80" s="646"/>
      <c r="H80" s="645"/>
      <c r="I80" s="645"/>
      <c r="J80" s="645"/>
      <c r="K80" s="645"/>
      <c r="L80" s="645"/>
      <c r="M80" s="645"/>
      <c r="N80" s="645"/>
      <c r="O80" s="645"/>
      <c r="P80" s="645"/>
      <c r="Q80" s="645"/>
      <c r="R80" s="645"/>
      <c r="S80" s="645"/>
      <c r="T80" s="645"/>
      <c r="U80" s="645"/>
      <c r="V80" s="645"/>
      <c r="W80" s="645"/>
      <c r="X80" s="645"/>
    </row>
    <row r="81" ht="15.75" customHeight="1">
      <c r="A81" s="647"/>
      <c r="B81" s="645"/>
      <c r="C81" s="645"/>
      <c r="D81" s="645"/>
      <c r="E81" s="645"/>
      <c r="F81" s="645"/>
      <c r="G81" s="646"/>
      <c r="H81" s="645"/>
      <c r="I81" s="645"/>
      <c r="J81" s="645"/>
      <c r="K81" s="645"/>
      <c r="L81" s="645"/>
      <c r="M81" s="645"/>
      <c r="N81" s="645"/>
      <c r="O81" s="645"/>
      <c r="P81" s="645"/>
      <c r="Q81" s="645"/>
      <c r="R81" s="645"/>
      <c r="S81" s="645"/>
      <c r="T81" s="645"/>
      <c r="U81" s="645"/>
      <c r="V81" s="645"/>
      <c r="W81" s="645"/>
      <c r="X81" s="645"/>
    </row>
    <row r="82" ht="15.75" customHeight="1">
      <c r="A82" s="645"/>
      <c r="B82" s="645"/>
      <c r="C82" s="645"/>
      <c r="D82" s="645"/>
      <c r="E82" s="645"/>
      <c r="F82" s="645"/>
      <c r="G82" s="646"/>
      <c r="H82" s="645"/>
      <c r="I82" s="645"/>
      <c r="J82" s="645"/>
      <c r="K82" s="645"/>
      <c r="L82" s="645"/>
      <c r="M82" s="645"/>
      <c r="N82" s="645"/>
      <c r="O82" s="645"/>
      <c r="P82" s="645"/>
      <c r="Q82" s="645"/>
      <c r="R82" s="645"/>
      <c r="S82" s="645"/>
      <c r="T82" s="645"/>
      <c r="U82" s="645"/>
      <c r="V82" s="645"/>
      <c r="W82" s="645"/>
      <c r="X82" s="645"/>
    </row>
    <row r="83" ht="15.75" customHeight="1">
      <c r="A83" s="645"/>
      <c r="B83" s="645"/>
      <c r="C83" s="645"/>
      <c r="D83" s="645"/>
      <c r="E83" s="645"/>
      <c r="F83" s="645"/>
      <c r="G83" s="646"/>
      <c r="H83" s="645"/>
      <c r="I83" s="645"/>
      <c r="J83" s="645"/>
      <c r="K83" s="645"/>
      <c r="L83" s="645"/>
      <c r="M83" s="645"/>
      <c r="N83" s="645"/>
      <c r="O83" s="645"/>
      <c r="P83" s="645"/>
      <c r="Q83" s="645"/>
      <c r="R83" s="645"/>
      <c r="S83" s="645"/>
      <c r="T83" s="645"/>
      <c r="U83" s="645"/>
      <c r="V83" s="645"/>
      <c r="W83" s="645"/>
      <c r="X83" s="645"/>
    </row>
    <row r="84" ht="15.75" customHeight="1">
      <c r="A84" s="645"/>
      <c r="B84" s="645"/>
      <c r="C84" s="645"/>
      <c r="D84" s="645"/>
      <c r="E84" s="645"/>
      <c r="F84" s="645"/>
      <c r="G84" s="646"/>
      <c r="H84" s="645"/>
      <c r="I84" s="645"/>
      <c r="J84" s="645"/>
      <c r="K84" s="645"/>
      <c r="L84" s="645"/>
      <c r="M84" s="645"/>
      <c r="N84" s="645"/>
      <c r="O84" s="645"/>
      <c r="P84" s="645"/>
      <c r="Q84" s="645"/>
      <c r="R84" s="645"/>
      <c r="S84" s="645"/>
      <c r="T84" s="645"/>
      <c r="U84" s="645"/>
      <c r="V84" s="645"/>
      <c r="W84" s="645"/>
      <c r="X84" s="645"/>
    </row>
    <row r="85" ht="15.75" customHeight="1">
      <c r="A85" s="645"/>
      <c r="B85" s="645"/>
      <c r="C85" s="645"/>
      <c r="D85" s="645"/>
      <c r="E85" s="645"/>
      <c r="F85" s="645"/>
      <c r="G85" s="646"/>
      <c r="H85" s="645"/>
      <c r="I85" s="645"/>
      <c r="J85" s="645"/>
      <c r="K85" s="645"/>
      <c r="L85" s="645"/>
      <c r="M85" s="645"/>
      <c r="N85" s="645"/>
      <c r="O85" s="645"/>
      <c r="P85" s="645"/>
      <c r="Q85" s="645"/>
      <c r="R85" s="645"/>
      <c r="S85" s="645"/>
      <c r="T85" s="645"/>
      <c r="U85" s="645"/>
      <c r="V85" s="645"/>
      <c r="W85" s="645"/>
      <c r="X85" s="645"/>
    </row>
    <row r="86" ht="15.75" customHeight="1">
      <c r="A86" s="645"/>
      <c r="B86" s="645"/>
      <c r="C86" s="645"/>
      <c r="D86" s="645"/>
      <c r="E86" s="645"/>
      <c r="F86" s="645"/>
      <c r="G86" s="646"/>
      <c r="H86" s="645"/>
      <c r="I86" s="645"/>
      <c r="J86" s="645"/>
      <c r="K86" s="645"/>
      <c r="L86" s="645"/>
      <c r="M86" s="645"/>
      <c r="N86" s="645"/>
      <c r="O86" s="645"/>
      <c r="P86" s="645"/>
      <c r="Q86" s="645"/>
      <c r="R86" s="645"/>
      <c r="S86" s="645"/>
      <c r="T86" s="645"/>
      <c r="U86" s="645"/>
      <c r="V86" s="645"/>
      <c r="W86" s="645"/>
      <c r="X86" s="645"/>
    </row>
    <row r="87" ht="15.75" customHeight="1">
      <c r="A87" s="645"/>
      <c r="B87" s="645"/>
      <c r="C87" s="645"/>
      <c r="D87" s="645"/>
      <c r="E87" s="645"/>
      <c r="F87" s="645"/>
      <c r="G87" s="646"/>
      <c r="H87" s="645"/>
      <c r="I87" s="645"/>
      <c r="J87" s="645"/>
      <c r="K87" s="645"/>
      <c r="L87" s="645"/>
      <c r="M87" s="645"/>
      <c r="N87" s="645"/>
      <c r="O87" s="645"/>
      <c r="P87" s="645"/>
      <c r="Q87" s="645"/>
      <c r="R87" s="645"/>
      <c r="S87" s="645"/>
      <c r="T87" s="645"/>
      <c r="U87" s="645"/>
      <c r="V87" s="645"/>
      <c r="W87" s="645"/>
      <c r="X87" s="645"/>
    </row>
    <row r="88" ht="15.75" customHeight="1">
      <c r="A88" s="645"/>
      <c r="B88" s="645"/>
      <c r="C88" s="645"/>
      <c r="D88" s="645"/>
      <c r="E88" s="645"/>
      <c r="F88" s="645"/>
      <c r="G88" s="646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45"/>
      <c r="U88" s="645"/>
      <c r="V88" s="645"/>
      <c r="W88" s="645"/>
      <c r="X88" s="645"/>
    </row>
    <row r="89" ht="15.75" customHeight="1">
      <c r="A89" s="645"/>
      <c r="B89" s="645"/>
      <c r="C89" s="645"/>
      <c r="D89" s="645"/>
      <c r="E89" s="645"/>
      <c r="F89" s="645"/>
      <c r="G89" s="646"/>
      <c r="H89" s="645"/>
      <c r="I89" s="645"/>
      <c r="J89" s="645"/>
      <c r="K89" s="645"/>
      <c r="L89" s="645"/>
      <c r="M89" s="645"/>
      <c r="N89" s="645"/>
      <c r="O89" s="645"/>
      <c r="P89" s="645"/>
      <c r="Q89" s="645"/>
      <c r="R89" s="645"/>
      <c r="S89" s="645"/>
      <c r="T89" s="645"/>
      <c r="U89" s="645"/>
      <c r="V89" s="645"/>
      <c r="W89" s="645"/>
      <c r="X89" s="645"/>
    </row>
    <row r="90" ht="15.75" customHeight="1">
      <c r="A90" s="645"/>
      <c r="B90" s="645"/>
      <c r="C90" s="645"/>
      <c r="D90" s="645"/>
      <c r="E90" s="645"/>
      <c r="F90" s="645"/>
      <c r="G90" s="646"/>
      <c r="H90" s="645"/>
      <c r="I90" s="645"/>
      <c r="J90" s="645"/>
      <c r="K90" s="645"/>
      <c r="L90" s="645"/>
      <c r="M90" s="645"/>
      <c r="N90" s="645"/>
      <c r="O90" s="645"/>
      <c r="P90" s="645"/>
      <c r="Q90" s="645"/>
      <c r="R90" s="645"/>
      <c r="S90" s="645"/>
      <c r="T90" s="645"/>
      <c r="U90" s="645"/>
      <c r="V90" s="645"/>
      <c r="W90" s="645"/>
      <c r="X90" s="645"/>
    </row>
    <row r="91" ht="15.75" customHeight="1">
      <c r="A91" s="645"/>
      <c r="B91" s="645"/>
      <c r="C91" s="645"/>
      <c r="D91" s="645"/>
      <c r="E91" s="645"/>
      <c r="F91" s="645"/>
      <c r="G91" s="646"/>
      <c r="H91" s="645"/>
      <c r="I91" s="645"/>
      <c r="J91" s="645"/>
      <c r="K91" s="645"/>
      <c r="L91" s="645"/>
      <c r="M91" s="645"/>
      <c r="N91" s="645"/>
      <c r="O91" s="645"/>
      <c r="P91" s="645"/>
      <c r="Q91" s="645"/>
      <c r="R91" s="645"/>
      <c r="S91" s="645"/>
      <c r="T91" s="645"/>
      <c r="U91" s="645"/>
      <c r="V91" s="645"/>
      <c r="W91" s="645"/>
      <c r="X91" s="645"/>
    </row>
    <row r="92" ht="15.75" customHeight="1">
      <c r="A92" s="645"/>
      <c r="B92" s="645"/>
      <c r="C92" s="645"/>
      <c r="D92" s="645"/>
      <c r="E92" s="645"/>
      <c r="F92" s="645"/>
      <c r="G92" s="646"/>
      <c r="H92" s="645"/>
      <c r="I92" s="645"/>
      <c r="J92" s="645"/>
      <c r="K92" s="645"/>
      <c r="L92" s="645"/>
      <c r="M92" s="645"/>
      <c r="N92" s="645"/>
      <c r="O92" s="645"/>
      <c r="P92" s="645"/>
      <c r="Q92" s="645"/>
      <c r="R92" s="645"/>
      <c r="S92" s="645"/>
      <c r="T92" s="645"/>
      <c r="U92" s="645"/>
      <c r="V92" s="645"/>
      <c r="W92" s="645"/>
      <c r="X92" s="645"/>
    </row>
    <row r="93" ht="15.75" customHeight="1">
      <c r="A93" s="645"/>
      <c r="B93" s="645"/>
      <c r="C93" s="645"/>
      <c r="D93" s="645"/>
      <c r="E93" s="645"/>
      <c r="F93" s="645"/>
      <c r="G93" s="646"/>
      <c r="H93" s="645"/>
      <c r="I93" s="645"/>
      <c r="J93" s="645"/>
      <c r="K93" s="645"/>
      <c r="L93" s="645"/>
      <c r="M93" s="645"/>
      <c r="N93" s="645"/>
      <c r="O93" s="645"/>
      <c r="P93" s="645"/>
      <c r="Q93" s="645"/>
      <c r="R93" s="645"/>
      <c r="S93" s="645"/>
      <c r="T93" s="645"/>
      <c r="U93" s="645"/>
      <c r="V93" s="645"/>
      <c r="W93" s="645"/>
      <c r="X93" s="645"/>
    </row>
    <row r="94" ht="15.75" customHeight="1">
      <c r="A94" s="645"/>
      <c r="B94" s="645"/>
      <c r="C94" s="645"/>
      <c r="D94" s="645"/>
      <c r="E94" s="645"/>
      <c r="F94" s="645"/>
      <c r="G94" s="646"/>
      <c r="H94" s="645"/>
      <c r="I94" s="645"/>
      <c r="J94" s="645"/>
      <c r="K94" s="645"/>
      <c r="L94" s="645"/>
      <c r="M94" s="645"/>
      <c r="N94" s="645"/>
      <c r="O94" s="645"/>
      <c r="P94" s="645"/>
      <c r="Q94" s="645"/>
      <c r="R94" s="645"/>
      <c r="S94" s="645"/>
      <c r="T94" s="645"/>
      <c r="U94" s="645"/>
      <c r="V94" s="645"/>
      <c r="W94" s="645"/>
      <c r="X94" s="645"/>
    </row>
    <row r="95" ht="15.75" customHeight="1">
      <c r="A95" s="645"/>
      <c r="B95" s="645"/>
      <c r="C95" s="645"/>
      <c r="D95" s="645"/>
      <c r="E95" s="645"/>
      <c r="F95" s="645"/>
      <c r="G95" s="646"/>
      <c r="H95" s="645"/>
      <c r="I95" s="645"/>
      <c r="J95" s="645"/>
      <c r="K95" s="645"/>
      <c r="L95" s="645"/>
      <c r="M95" s="645"/>
      <c r="N95" s="645"/>
      <c r="O95" s="645"/>
      <c r="P95" s="645"/>
      <c r="Q95" s="645"/>
      <c r="R95" s="645"/>
      <c r="S95" s="645"/>
      <c r="T95" s="645"/>
      <c r="U95" s="645"/>
      <c r="V95" s="645"/>
      <c r="W95" s="645"/>
      <c r="X95" s="645"/>
    </row>
    <row r="96" ht="15.75" customHeight="1">
      <c r="A96" s="645"/>
      <c r="B96" s="645"/>
      <c r="C96" s="645"/>
      <c r="D96" s="645"/>
      <c r="E96" s="645"/>
      <c r="F96" s="645"/>
      <c r="G96" s="646"/>
      <c r="H96" s="645"/>
      <c r="I96" s="645"/>
      <c r="J96" s="645"/>
      <c r="K96" s="645"/>
      <c r="L96" s="645"/>
      <c r="M96" s="645"/>
      <c r="N96" s="645"/>
      <c r="O96" s="645"/>
      <c r="P96" s="645"/>
      <c r="Q96" s="645"/>
      <c r="R96" s="645"/>
      <c r="S96" s="645"/>
      <c r="T96" s="645"/>
      <c r="U96" s="645"/>
      <c r="V96" s="645"/>
      <c r="W96" s="645"/>
      <c r="X96" s="645"/>
    </row>
    <row r="97" ht="15.75" customHeight="1">
      <c r="A97" s="645"/>
      <c r="B97" s="645"/>
      <c r="C97" s="645"/>
      <c r="D97" s="645"/>
      <c r="E97" s="645"/>
      <c r="F97" s="645"/>
      <c r="G97" s="646"/>
      <c r="H97" s="645"/>
      <c r="I97" s="645"/>
      <c r="J97" s="645"/>
      <c r="K97" s="645"/>
      <c r="L97" s="645"/>
      <c r="M97" s="645"/>
      <c r="N97" s="645"/>
      <c r="O97" s="645"/>
      <c r="P97" s="645"/>
      <c r="Q97" s="645"/>
      <c r="R97" s="645"/>
      <c r="S97" s="645"/>
      <c r="T97" s="645"/>
      <c r="U97" s="645"/>
      <c r="V97" s="645"/>
      <c r="W97" s="645"/>
      <c r="X97" s="645"/>
    </row>
    <row r="98" ht="15.75" customHeight="1">
      <c r="A98" s="645"/>
      <c r="B98" s="645"/>
      <c r="C98" s="645"/>
      <c r="D98" s="645"/>
      <c r="E98" s="645"/>
      <c r="F98" s="645"/>
      <c r="G98" s="646"/>
      <c r="H98" s="645"/>
      <c r="I98" s="645"/>
      <c r="J98" s="645"/>
      <c r="K98" s="645"/>
      <c r="L98" s="645"/>
      <c r="M98" s="645"/>
      <c r="N98" s="645"/>
      <c r="O98" s="645"/>
      <c r="P98" s="645"/>
      <c r="Q98" s="645"/>
      <c r="R98" s="645"/>
      <c r="S98" s="645"/>
      <c r="T98" s="645"/>
      <c r="U98" s="645"/>
      <c r="V98" s="645"/>
      <c r="W98" s="645"/>
      <c r="X98" s="645"/>
    </row>
    <row r="99" ht="15.75" customHeight="1">
      <c r="A99" s="645"/>
      <c r="B99" s="645"/>
      <c r="C99" s="645"/>
      <c r="D99" s="645"/>
      <c r="E99" s="645"/>
      <c r="F99" s="645"/>
      <c r="G99" s="646"/>
      <c r="H99" s="645"/>
      <c r="I99" s="645"/>
      <c r="J99" s="645"/>
      <c r="K99" s="645"/>
      <c r="L99" s="645"/>
      <c r="M99" s="645"/>
      <c r="N99" s="645"/>
      <c r="O99" s="645"/>
      <c r="P99" s="645"/>
      <c r="Q99" s="645"/>
      <c r="R99" s="645"/>
      <c r="S99" s="645"/>
      <c r="T99" s="645"/>
      <c r="U99" s="645"/>
      <c r="V99" s="645"/>
      <c r="W99" s="645"/>
      <c r="X99" s="645"/>
    </row>
    <row r="100" ht="15.75" customHeight="1">
      <c r="A100" s="645"/>
      <c r="B100" s="645"/>
      <c r="C100" s="645"/>
      <c r="D100" s="645"/>
      <c r="E100" s="645"/>
      <c r="F100" s="645"/>
      <c r="G100" s="646"/>
      <c r="H100" s="645"/>
      <c r="I100" s="645"/>
      <c r="J100" s="645"/>
      <c r="K100" s="645"/>
      <c r="L100" s="645"/>
      <c r="M100" s="645"/>
      <c r="N100" s="645"/>
      <c r="O100" s="645"/>
      <c r="P100" s="645"/>
      <c r="Q100" s="645"/>
      <c r="R100" s="645"/>
      <c r="S100" s="645"/>
      <c r="T100" s="645"/>
      <c r="U100" s="645"/>
      <c r="V100" s="645"/>
      <c r="W100" s="645"/>
      <c r="X100" s="645"/>
    </row>
    <row r="101" ht="15.75" customHeight="1">
      <c r="A101" s="645"/>
      <c r="B101" s="645"/>
      <c r="C101" s="645"/>
      <c r="D101" s="645"/>
      <c r="E101" s="645"/>
      <c r="F101" s="645"/>
      <c r="G101" s="646"/>
      <c r="H101" s="645"/>
      <c r="I101" s="645"/>
      <c r="J101" s="645"/>
      <c r="K101" s="645"/>
      <c r="L101" s="645"/>
      <c r="M101" s="645"/>
      <c r="N101" s="645"/>
      <c r="O101" s="645"/>
      <c r="P101" s="645"/>
      <c r="Q101" s="645"/>
      <c r="R101" s="645"/>
      <c r="S101" s="645"/>
      <c r="T101" s="645"/>
      <c r="U101" s="645"/>
      <c r="V101" s="645"/>
      <c r="W101" s="645"/>
      <c r="X101" s="645"/>
    </row>
    <row r="102" ht="15.75" customHeight="1">
      <c r="A102" s="645"/>
      <c r="B102" s="645"/>
      <c r="C102" s="645"/>
      <c r="D102" s="645"/>
      <c r="E102" s="645"/>
      <c r="F102" s="645"/>
      <c r="G102" s="646"/>
      <c r="H102" s="645"/>
      <c r="I102" s="645"/>
      <c r="J102" s="645"/>
      <c r="K102" s="645"/>
      <c r="L102" s="645"/>
      <c r="M102" s="645"/>
      <c r="N102" s="645"/>
      <c r="O102" s="645"/>
      <c r="P102" s="645"/>
      <c r="Q102" s="645"/>
      <c r="R102" s="645"/>
      <c r="S102" s="645"/>
      <c r="T102" s="645"/>
      <c r="U102" s="645"/>
      <c r="V102" s="645"/>
      <c r="W102" s="645"/>
      <c r="X102" s="645"/>
    </row>
    <row r="103" ht="15.75" customHeight="1">
      <c r="A103" s="645"/>
      <c r="B103" s="645"/>
      <c r="C103" s="645"/>
      <c r="D103" s="645"/>
      <c r="E103" s="645"/>
      <c r="F103" s="645"/>
      <c r="G103" s="646"/>
      <c r="H103" s="645"/>
      <c r="I103" s="645"/>
      <c r="J103" s="645"/>
      <c r="K103" s="645"/>
      <c r="L103" s="645"/>
      <c r="M103" s="645"/>
      <c r="N103" s="645"/>
      <c r="O103" s="645"/>
      <c r="P103" s="645"/>
      <c r="Q103" s="645"/>
      <c r="R103" s="645"/>
      <c r="S103" s="645"/>
      <c r="T103" s="645"/>
      <c r="U103" s="645"/>
      <c r="V103" s="645"/>
      <c r="W103" s="645"/>
      <c r="X103" s="645"/>
    </row>
    <row r="104" ht="15.75" customHeight="1">
      <c r="A104" s="645"/>
      <c r="B104" s="645"/>
      <c r="C104" s="645"/>
      <c r="D104" s="645"/>
      <c r="E104" s="645"/>
      <c r="F104" s="645"/>
      <c r="G104" s="646"/>
      <c r="H104" s="645"/>
      <c r="I104" s="645"/>
      <c r="J104" s="645"/>
      <c r="K104" s="645"/>
      <c r="L104" s="645"/>
      <c r="M104" s="645"/>
      <c r="N104" s="645"/>
      <c r="O104" s="645"/>
      <c r="P104" s="645"/>
      <c r="Q104" s="645"/>
      <c r="R104" s="645"/>
      <c r="S104" s="645"/>
      <c r="T104" s="645"/>
      <c r="U104" s="645"/>
      <c r="V104" s="645"/>
      <c r="W104" s="645"/>
      <c r="X104" s="645"/>
    </row>
    <row r="105" ht="15.75" customHeight="1">
      <c r="A105" s="645"/>
      <c r="B105" s="645"/>
      <c r="C105" s="645"/>
      <c r="D105" s="645"/>
      <c r="E105" s="645"/>
      <c r="F105" s="645"/>
      <c r="G105" s="646"/>
      <c r="H105" s="645"/>
      <c r="I105" s="645"/>
      <c r="J105" s="645"/>
      <c r="K105" s="645"/>
      <c r="L105" s="645"/>
      <c r="M105" s="645"/>
      <c r="N105" s="645"/>
      <c r="O105" s="645"/>
      <c r="P105" s="645"/>
      <c r="Q105" s="645"/>
      <c r="R105" s="645"/>
      <c r="S105" s="645"/>
      <c r="T105" s="645"/>
      <c r="U105" s="645"/>
      <c r="V105" s="645"/>
      <c r="W105" s="645"/>
      <c r="X105" s="645"/>
    </row>
    <row r="106" ht="15.75" customHeight="1">
      <c r="A106" s="645"/>
      <c r="B106" s="645"/>
      <c r="C106" s="645"/>
      <c r="D106" s="645"/>
      <c r="E106" s="645"/>
      <c r="F106" s="645"/>
      <c r="G106" s="646"/>
      <c r="H106" s="645"/>
      <c r="I106" s="645"/>
      <c r="J106" s="645"/>
      <c r="K106" s="645"/>
      <c r="L106" s="645"/>
      <c r="M106" s="645"/>
      <c r="N106" s="645"/>
      <c r="O106" s="645"/>
      <c r="P106" s="645"/>
      <c r="Q106" s="645"/>
      <c r="R106" s="645"/>
      <c r="S106" s="645"/>
      <c r="T106" s="645"/>
      <c r="U106" s="645"/>
      <c r="V106" s="645"/>
      <c r="W106" s="645"/>
      <c r="X106" s="645"/>
    </row>
    <row r="107" ht="15.75" customHeight="1">
      <c r="A107" s="645"/>
      <c r="B107" s="645"/>
      <c r="C107" s="645"/>
      <c r="D107" s="645"/>
      <c r="E107" s="645"/>
      <c r="F107" s="645"/>
      <c r="G107" s="646"/>
      <c r="H107" s="645"/>
      <c r="I107" s="645"/>
      <c r="J107" s="645"/>
      <c r="K107" s="645"/>
      <c r="L107" s="645"/>
      <c r="M107" s="645"/>
      <c r="N107" s="645"/>
      <c r="O107" s="645"/>
      <c r="P107" s="645"/>
      <c r="Q107" s="645"/>
      <c r="R107" s="645"/>
      <c r="S107" s="645"/>
      <c r="T107" s="645"/>
      <c r="U107" s="645"/>
      <c r="V107" s="645"/>
      <c r="W107" s="645"/>
      <c r="X107" s="645"/>
    </row>
    <row r="108" ht="15.75" customHeight="1">
      <c r="A108" s="645"/>
      <c r="B108" s="645"/>
      <c r="C108" s="645"/>
      <c r="D108" s="645"/>
      <c r="E108" s="645"/>
      <c r="F108" s="645"/>
      <c r="G108" s="646"/>
      <c r="H108" s="645"/>
      <c r="I108" s="645"/>
      <c r="J108" s="645"/>
      <c r="K108" s="645"/>
      <c r="L108" s="645"/>
      <c r="M108" s="645"/>
      <c r="N108" s="645"/>
      <c r="O108" s="645"/>
      <c r="P108" s="645"/>
      <c r="Q108" s="645"/>
      <c r="R108" s="645"/>
      <c r="S108" s="645"/>
      <c r="T108" s="645"/>
      <c r="U108" s="645"/>
      <c r="V108" s="645"/>
      <c r="W108" s="645"/>
      <c r="X108" s="645"/>
    </row>
    <row r="109" ht="15.75" customHeight="1">
      <c r="A109" s="645"/>
      <c r="B109" s="645"/>
      <c r="C109" s="645"/>
      <c r="D109" s="645"/>
      <c r="E109" s="645"/>
      <c r="F109" s="645"/>
      <c r="G109" s="646"/>
      <c r="H109" s="645"/>
      <c r="I109" s="645"/>
      <c r="J109" s="645"/>
      <c r="K109" s="645"/>
      <c r="L109" s="645"/>
      <c r="M109" s="645"/>
      <c r="N109" s="645"/>
      <c r="O109" s="645"/>
      <c r="P109" s="645"/>
      <c r="Q109" s="645"/>
      <c r="R109" s="645"/>
      <c r="S109" s="645"/>
      <c r="T109" s="645"/>
      <c r="U109" s="645"/>
      <c r="V109" s="645"/>
      <c r="W109" s="645"/>
      <c r="X109" s="645"/>
    </row>
    <row r="110" ht="15.75" customHeight="1">
      <c r="A110" s="645"/>
      <c r="B110" s="645"/>
      <c r="C110" s="645"/>
      <c r="D110" s="645"/>
      <c r="E110" s="645"/>
      <c r="F110" s="645"/>
      <c r="G110" s="646"/>
      <c r="H110" s="645"/>
      <c r="I110" s="645"/>
      <c r="J110" s="645"/>
      <c r="K110" s="645"/>
      <c r="L110" s="645"/>
      <c r="M110" s="645"/>
      <c r="N110" s="645"/>
      <c r="O110" s="645"/>
      <c r="P110" s="645"/>
      <c r="Q110" s="645"/>
      <c r="R110" s="645"/>
      <c r="S110" s="645"/>
      <c r="T110" s="645"/>
      <c r="U110" s="645"/>
      <c r="V110" s="645"/>
      <c r="W110" s="645"/>
      <c r="X110" s="645"/>
    </row>
    <row r="111" ht="15.75" customHeight="1">
      <c r="A111" s="645"/>
      <c r="B111" s="645"/>
      <c r="C111" s="645"/>
      <c r="D111" s="645"/>
      <c r="E111" s="645"/>
      <c r="F111" s="645"/>
      <c r="G111" s="646"/>
      <c r="H111" s="645"/>
      <c r="I111" s="645"/>
      <c r="J111" s="645"/>
      <c r="K111" s="645"/>
      <c r="L111" s="645"/>
      <c r="M111" s="645"/>
      <c r="N111" s="645"/>
      <c r="O111" s="645"/>
      <c r="P111" s="645"/>
      <c r="Q111" s="645"/>
      <c r="R111" s="645"/>
      <c r="S111" s="645"/>
      <c r="T111" s="645"/>
      <c r="U111" s="645"/>
      <c r="V111" s="645"/>
      <c r="W111" s="645"/>
      <c r="X111" s="645"/>
    </row>
    <row r="112" ht="15.75" customHeight="1">
      <c r="A112" s="645"/>
      <c r="B112" s="645"/>
      <c r="C112" s="645"/>
      <c r="D112" s="645"/>
      <c r="E112" s="645"/>
      <c r="F112" s="645"/>
      <c r="G112" s="646"/>
      <c r="H112" s="645"/>
      <c r="I112" s="645"/>
      <c r="J112" s="645"/>
      <c r="K112" s="645"/>
      <c r="L112" s="645"/>
      <c r="M112" s="645"/>
      <c r="N112" s="645"/>
      <c r="O112" s="645"/>
      <c r="P112" s="645"/>
      <c r="Q112" s="645"/>
      <c r="R112" s="645"/>
      <c r="S112" s="645"/>
      <c r="T112" s="645"/>
      <c r="U112" s="645"/>
      <c r="V112" s="645"/>
      <c r="W112" s="645"/>
      <c r="X112" s="645"/>
    </row>
    <row r="113" ht="15.75" customHeight="1">
      <c r="A113" s="645"/>
      <c r="B113" s="645"/>
      <c r="C113" s="645"/>
      <c r="D113" s="645"/>
      <c r="E113" s="645"/>
      <c r="F113" s="645"/>
      <c r="G113" s="646"/>
      <c r="H113" s="645"/>
      <c r="I113" s="645"/>
      <c r="J113" s="645"/>
      <c r="K113" s="645"/>
      <c r="L113" s="645"/>
      <c r="M113" s="645"/>
      <c r="N113" s="645"/>
      <c r="O113" s="645"/>
      <c r="P113" s="645"/>
      <c r="Q113" s="645"/>
      <c r="R113" s="645"/>
      <c r="S113" s="645"/>
      <c r="T113" s="645"/>
      <c r="U113" s="645"/>
      <c r="V113" s="645"/>
      <c r="W113" s="645"/>
      <c r="X113" s="645"/>
    </row>
    <row r="114" ht="15.75" customHeight="1">
      <c r="A114" s="645"/>
      <c r="B114" s="645"/>
      <c r="C114" s="645"/>
      <c r="D114" s="645"/>
      <c r="E114" s="645"/>
      <c r="F114" s="645"/>
      <c r="G114" s="646"/>
      <c r="H114" s="645"/>
      <c r="I114" s="645"/>
      <c r="J114" s="645"/>
      <c r="K114" s="645"/>
      <c r="L114" s="645"/>
      <c r="M114" s="645"/>
      <c r="N114" s="645"/>
      <c r="O114" s="645"/>
      <c r="P114" s="645"/>
      <c r="Q114" s="645"/>
      <c r="R114" s="645"/>
      <c r="S114" s="645"/>
      <c r="T114" s="645"/>
      <c r="U114" s="645"/>
      <c r="V114" s="645"/>
      <c r="W114" s="645"/>
      <c r="X114" s="645"/>
    </row>
    <row r="115" ht="15.75" customHeight="1">
      <c r="A115" s="645"/>
      <c r="B115" s="645"/>
      <c r="C115" s="645"/>
      <c r="D115" s="645"/>
      <c r="E115" s="645"/>
      <c r="F115" s="645"/>
      <c r="G115" s="646"/>
      <c r="H115" s="645"/>
      <c r="I115" s="645"/>
      <c r="J115" s="645"/>
      <c r="K115" s="645"/>
      <c r="L115" s="645"/>
      <c r="M115" s="645"/>
      <c r="N115" s="645"/>
      <c r="O115" s="645"/>
      <c r="P115" s="645"/>
      <c r="Q115" s="645"/>
      <c r="R115" s="645"/>
      <c r="S115" s="645"/>
      <c r="T115" s="645"/>
      <c r="U115" s="645"/>
      <c r="V115" s="645"/>
      <c r="W115" s="645"/>
      <c r="X115" s="645"/>
    </row>
    <row r="116" ht="15.75" customHeight="1">
      <c r="A116" s="645"/>
      <c r="B116" s="645"/>
      <c r="C116" s="645"/>
      <c r="D116" s="645"/>
      <c r="E116" s="645"/>
      <c r="F116" s="645"/>
      <c r="G116" s="646"/>
      <c r="H116" s="645"/>
      <c r="I116" s="645"/>
      <c r="J116" s="645"/>
      <c r="K116" s="645"/>
      <c r="L116" s="645"/>
      <c r="M116" s="645"/>
      <c r="N116" s="645"/>
      <c r="O116" s="645"/>
      <c r="P116" s="645"/>
      <c r="Q116" s="645"/>
      <c r="R116" s="645"/>
      <c r="S116" s="645"/>
      <c r="T116" s="645"/>
      <c r="U116" s="645"/>
      <c r="V116" s="645"/>
      <c r="W116" s="645"/>
      <c r="X116" s="645"/>
    </row>
    <row r="117" ht="15.75" customHeight="1">
      <c r="A117" s="645"/>
      <c r="B117" s="645"/>
      <c r="C117" s="645"/>
      <c r="D117" s="645"/>
      <c r="E117" s="645"/>
      <c r="F117" s="645"/>
      <c r="G117" s="646"/>
      <c r="H117" s="645"/>
      <c r="I117" s="645"/>
      <c r="J117" s="645"/>
      <c r="K117" s="645"/>
      <c r="L117" s="645"/>
      <c r="M117" s="645"/>
      <c r="N117" s="645"/>
      <c r="O117" s="645"/>
      <c r="P117" s="645"/>
      <c r="Q117" s="645"/>
      <c r="R117" s="645"/>
      <c r="S117" s="645"/>
      <c r="T117" s="645"/>
      <c r="U117" s="645"/>
      <c r="V117" s="645"/>
      <c r="W117" s="645"/>
      <c r="X117" s="645"/>
    </row>
    <row r="118" ht="15.75" customHeight="1">
      <c r="A118" s="645"/>
      <c r="B118" s="645"/>
      <c r="C118" s="645"/>
      <c r="D118" s="645"/>
      <c r="E118" s="645"/>
      <c r="F118" s="645"/>
      <c r="G118" s="646"/>
      <c r="H118" s="645"/>
      <c r="I118" s="645"/>
      <c r="J118" s="645"/>
      <c r="K118" s="645"/>
      <c r="L118" s="645"/>
      <c r="M118" s="645"/>
      <c r="N118" s="645"/>
      <c r="O118" s="645"/>
      <c r="P118" s="645"/>
      <c r="Q118" s="645"/>
      <c r="R118" s="645"/>
      <c r="S118" s="645"/>
      <c r="T118" s="645"/>
      <c r="U118" s="645"/>
      <c r="V118" s="645"/>
      <c r="W118" s="645"/>
      <c r="X118" s="645"/>
    </row>
    <row r="119" ht="15.75" customHeight="1">
      <c r="A119" s="645"/>
      <c r="B119" s="645"/>
      <c r="C119" s="645"/>
      <c r="D119" s="645"/>
      <c r="E119" s="645"/>
      <c r="F119" s="645"/>
      <c r="G119" s="646"/>
      <c r="H119" s="645"/>
      <c r="I119" s="645"/>
      <c r="J119" s="645"/>
      <c r="K119" s="645"/>
      <c r="L119" s="645"/>
      <c r="M119" s="645"/>
      <c r="N119" s="645"/>
      <c r="O119" s="645"/>
      <c r="P119" s="645"/>
      <c r="Q119" s="645"/>
      <c r="R119" s="645"/>
      <c r="S119" s="645"/>
      <c r="T119" s="645"/>
      <c r="U119" s="645"/>
      <c r="V119" s="645"/>
      <c r="W119" s="645"/>
      <c r="X119" s="645"/>
    </row>
    <row r="120" ht="15.75" customHeight="1">
      <c r="A120" s="645"/>
      <c r="B120" s="645"/>
      <c r="C120" s="645"/>
      <c r="D120" s="645"/>
      <c r="E120" s="645"/>
      <c r="F120" s="645"/>
      <c r="G120" s="646"/>
      <c r="H120" s="645"/>
      <c r="I120" s="645"/>
      <c r="J120" s="645"/>
      <c r="K120" s="645"/>
      <c r="L120" s="645"/>
      <c r="M120" s="645"/>
      <c r="N120" s="645"/>
      <c r="O120" s="645"/>
      <c r="P120" s="645"/>
      <c r="Q120" s="645"/>
      <c r="R120" s="645"/>
      <c r="S120" s="645"/>
      <c r="T120" s="645"/>
      <c r="U120" s="645"/>
      <c r="V120" s="645"/>
      <c r="W120" s="645"/>
      <c r="X120" s="645"/>
    </row>
    <row r="121" ht="15.75" customHeight="1">
      <c r="A121" s="645"/>
      <c r="B121" s="645"/>
      <c r="C121" s="645"/>
      <c r="D121" s="645"/>
      <c r="E121" s="645"/>
      <c r="F121" s="645"/>
      <c r="G121" s="646"/>
      <c r="H121" s="645"/>
      <c r="I121" s="645"/>
      <c r="J121" s="645"/>
      <c r="K121" s="645"/>
      <c r="L121" s="645"/>
      <c r="M121" s="645"/>
      <c r="N121" s="645"/>
      <c r="O121" s="645"/>
      <c r="P121" s="645"/>
      <c r="Q121" s="645"/>
      <c r="R121" s="645"/>
      <c r="S121" s="645"/>
      <c r="T121" s="645"/>
      <c r="U121" s="645"/>
      <c r="V121" s="645"/>
      <c r="W121" s="645"/>
      <c r="X121" s="645"/>
    </row>
    <row r="122" ht="15.75" customHeight="1">
      <c r="A122" s="645"/>
      <c r="B122" s="645"/>
      <c r="C122" s="645"/>
      <c r="D122" s="645"/>
      <c r="E122" s="645"/>
      <c r="F122" s="645"/>
      <c r="G122" s="646"/>
      <c r="H122" s="645"/>
      <c r="I122" s="645"/>
      <c r="J122" s="645"/>
      <c r="K122" s="645"/>
      <c r="L122" s="645"/>
      <c r="M122" s="645"/>
      <c r="N122" s="645"/>
      <c r="O122" s="645"/>
      <c r="P122" s="645"/>
      <c r="Q122" s="645"/>
      <c r="R122" s="645"/>
      <c r="S122" s="645"/>
      <c r="T122" s="645"/>
      <c r="U122" s="645"/>
      <c r="V122" s="645"/>
      <c r="W122" s="645"/>
      <c r="X122" s="645"/>
    </row>
    <row r="123" ht="15.75" customHeight="1">
      <c r="A123" s="645"/>
      <c r="B123" s="645"/>
      <c r="C123" s="645"/>
      <c r="D123" s="645"/>
      <c r="E123" s="645"/>
      <c r="F123" s="645"/>
      <c r="G123" s="646"/>
      <c r="H123" s="645"/>
      <c r="I123" s="645"/>
      <c r="J123" s="645"/>
      <c r="K123" s="645"/>
      <c r="L123" s="645"/>
      <c r="M123" s="645"/>
      <c r="N123" s="645"/>
      <c r="O123" s="645"/>
      <c r="P123" s="645"/>
      <c r="Q123" s="645"/>
      <c r="R123" s="645"/>
      <c r="S123" s="645"/>
      <c r="T123" s="645"/>
      <c r="U123" s="645"/>
      <c r="V123" s="645"/>
      <c r="W123" s="645"/>
      <c r="X123" s="645"/>
    </row>
    <row r="124" ht="15.75" customHeight="1">
      <c r="A124" s="645"/>
      <c r="B124" s="645"/>
      <c r="C124" s="645"/>
      <c r="D124" s="645"/>
      <c r="E124" s="645"/>
      <c r="F124" s="645"/>
      <c r="G124" s="646"/>
      <c r="H124" s="645"/>
      <c r="I124" s="645"/>
      <c r="J124" s="645"/>
      <c r="K124" s="645"/>
      <c r="L124" s="645"/>
      <c r="M124" s="645"/>
      <c r="N124" s="645"/>
      <c r="O124" s="645"/>
      <c r="P124" s="645"/>
      <c r="Q124" s="645"/>
      <c r="R124" s="645"/>
      <c r="S124" s="645"/>
      <c r="T124" s="645"/>
      <c r="U124" s="645"/>
      <c r="V124" s="645"/>
      <c r="W124" s="645"/>
      <c r="X124" s="645"/>
    </row>
    <row r="125" ht="15.75" customHeight="1">
      <c r="A125" s="645"/>
      <c r="B125" s="645"/>
      <c r="C125" s="645"/>
      <c r="D125" s="645"/>
      <c r="E125" s="645"/>
      <c r="F125" s="645"/>
      <c r="G125" s="646"/>
      <c r="H125" s="645"/>
      <c r="I125" s="645"/>
      <c r="J125" s="645"/>
      <c r="K125" s="645"/>
      <c r="L125" s="645"/>
      <c r="M125" s="645"/>
      <c r="N125" s="645"/>
      <c r="O125" s="645"/>
      <c r="P125" s="645"/>
      <c r="Q125" s="645"/>
      <c r="R125" s="645"/>
      <c r="S125" s="645"/>
      <c r="T125" s="645"/>
      <c r="U125" s="645"/>
      <c r="V125" s="645"/>
      <c r="W125" s="645"/>
      <c r="X125" s="645"/>
    </row>
    <row r="126" ht="15.75" customHeight="1">
      <c r="A126" s="645"/>
      <c r="B126" s="645"/>
      <c r="C126" s="645"/>
      <c r="D126" s="645"/>
      <c r="E126" s="645"/>
      <c r="F126" s="645"/>
      <c r="G126" s="646"/>
      <c r="H126" s="645"/>
      <c r="I126" s="645"/>
      <c r="J126" s="645"/>
      <c r="K126" s="645"/>
      <c r="L126" s="645"/>
      <c r="M126" s="645"/>
      <c r="N126" s="645"/>
      <c r="O126" s="645"/>
      <c r="P126" s="645"/>
      <c r="Q126" s="645"/>
      <c r="R126" s="645"/>
      <c r="S126" s="645"/>
      <c r="T126" s="645"/>
      <c r="U126" s="645"/>
      <c r="V126" s="645"/>
      <c r="W126" s="645"/>
      <c r="X126" s="645"/>
    </row>
    <row r="127" ht="15.75" customHeight="1">
      <c r="A127" s="645"/>
      <c r="B127" s="645"/>
      <c r="C127" s="645"/>
      <c r="D127" s="645"/>
      <c r="E127" s="645"/>
      <c r="F127" s="645"/>
      <c r="G127" s="646"/>
      <c r="H127" s="645"/>
      <c r="I127" s="645"/>
      <c r="J127" s="645"/>
      <c r="K127" s="645"/>
      <c r="L127" s="645"/>
      <c r="M127" s="645"/>
      <c r="N127" s="645"/>
      <c r="O127" s="645"/>
      <c r="P127" s="645"/>
      <c r="Q127" s="645"/>
      <c r="R127" s="645"/>
      <c r="S127" s="645"/>
      <c r="T127" s="645"/>
      <c r="U127" s="645"/>
      <c r="V127" s="645"/>
      <c r="W127" s="645"/>
      <c r="X127" s="645"/>
    </row>
    <row r="128" ht="15.75" customHeight="1">
      <c r="A128" s="645"/>
      <c r="B128" s="645"/>
      <c r="C128" s="645"/>
      <c r="D128" s="645"/>
      <c r="E128" s="645"/>
      <c r="F128" s="645"/>
      <c r="G128" s="646"/>
      <c r="H128" s="645"/>
      <c r="I128" s="645"/>
      <c r="J128" s="645"/>
      <c r="K128" s="645"/>
      <c r="L128" s="645"/>
      <c r="M128" s="645"/>
      <c r="N128" s="645"/>
      <c r="O128" s="645"/>
      <c r="P128" s="645"/>
      <c r="Q128" s="645"/>
      <c r="R128" s="645"/>
      <c r="S128" s="645"/>
      <c r="T128" s="645"/>
      <c r="U128" s="645"/>
      <c r="V128" s="645"/>
      <c r="W128" s="645"/>
      <c r="X128" s="645"/>
    </row>
    <row r="129" ht="15.75" customHeight="1">
      <c r="A129" s="645"/>
      <c r="B129" s="645"/>
      <c r="C129" s="645"/>
      <c r="D129" s="645"/>
      <c r="E129" s="645"/>
      <c r="F129" s="645"/>
      <c r="G129" s="646"/>
      <c r="H129" s="645"/>
      <c r="I129" s="645"/>
      <c r="J129" s="645"/>
      <c r="K129" s="645"/>
      <c r="L129" s="645"/>
      <c r="M129" s="645"/>
      <c r="N129" s="645"/>
      <c r="O129" s="645"/>
      <c r="P129" s="645"/>
      <c r="Q129" s="645"/>
      <c r="R129" s="645"/>
      <c r="S129" s="645"/>
      <c r="T129" s="645"/>
      <c r="U129" s="645"/>
      <c r="V129" s="645"/>
      <c r="W129" s="645"/>
      <c r="X129" s="645"/>
    </row>
    <row r="130" ht="15.75" customHeight="1">
      <c r="A130" s="645"/>
      <c r="B130" s="645"/>
      <c r="C130" s="645"/>
      <c r="D130" s="645"/>
      <c r="E130" s="645"/>
      <c r="F130" s="645"/>
      <c r="G130" s="646"/>
      <c r="H130" s="645"/>
      <c r="I130" s="645"/>
      <c r="J130" s="645"/>
      <c r="K130" s="645"/>
      <c r="L130" s="645"/>
      <c r="M130" s="645"/>
      <c r="N130" s="645"/>
      <c r="O130" s="645"/>
      <c r="P130" s="645"/>
      <c r="Q130" s="645"/>
      <c r="R130" s="645"/>
      <c r="S130" s="645"/>
      <c r="T130" s="645"/>
      <c r="U130" s="645"/>
      <c r="V130" s="645"/>
      <c r="W130" s="645"/>
      <c r="X130" s="645"/>
    </row>
    <row r="131" ht="15.75" customHeight="1">
      <c r="A131" s="645"/>
      <c r="B131" s="645"/>
      <c r="C131" s="645"/>
      <c r="D131" s="645"/>
      <c r="E131" s="645"/>
      <c r="F131" s="645"/>
      <c r="G131" s="646"/>
      <c r="H131" s="645"/>
      <c r="I131" s="645"/>
      <c r="J131" s="645"/>
      <c r="K131" s="645"/>
      <c r="L131" s="645"/>
      <c r="M131" s="645"/>
      <c r="N131" s="645"/>
      <c r="O131" s="645"/>
      <c r="P131" s="645"/>
      <c r="Q131" s="645"/>
      <c r="R131" s="645"/>
      <c r="S131" s="645"/>
      <c r="T131" s="645"/>
      <c r="U131" s="645"/>
      <c r="V131" s="645"/>
      <c r="W131" s="645"/>
      <c r="X131" s="645"/>
    </row>
    <row r="132" ht="15.75" customHeight="1">
      <c r="A132" s="645"/>
      <c r="B132" s="645"/>
      <c r="C132" s="645"/>
      <c r="D132" s="645"/>
      <c r="E132" s="645"/>
      <c r="F132" s="645"/>
      <c r="G132" s="646"/>
      <c r="H132" s="645"/>
      <c r="I132" s="645"/>
      <c r="J132" s="645"/>
      <c r="K132" s="645"/>
      <c r="L132" s="645"/>
      <c r="M132" s="645"/>
      <c r="N132" s="645"/>
      <c r="O132" s="645"/>
      <c r="P132" s="645"/>
      <c r="Q132" s="645"/>
      <c r="R132" s="645"/>
      <c r="S132" s="645"/>
      <c r="T132" s="645"/>
      <c r="U132" s="645"/>
      <c r="V132" s="645"/>
      <c r="W132" s="645"/>
      <c r="X132" s="645"/>
    </row>
    <row r="133" ht="15.75" customHeight="1">
      <c r="A133" s="645"/>
      <c r="B133" s="645"/>
      <c r="C133" s="645"/>
      <c r="D133" s="645"/>
      <c r="E133" s="645"/>
      <c r="F133" s="645"/>
      <c r="G133" s="646"/>
      <c r="H133" s="645"/>
      <c r="I133" s="645"/>
      <c r="J133" s="645"/>
      <c r="K133" s="645"/>
      <c r="L133" s="645"/>
      <c r="M133" s="645"/>
      <c r="N133" s="645"/>
      <c r="O133" s="645"/>
      <c r="P133" s="645"/>
      <c r="Q133" s="645"/>
      <c r="R133" s="645"/>
      <c r="S133" s="645"/>
      <c r="T133" s="645"/>
      <c r="U133" s="645"/>
      <c r="V133" s="645"/>
      <c r="W133" s="645"/>
      <c r="X133" s="645"/>
    </row>
    <row r="134" ht="15.75" customHeight="1">
      <c r="A134" s="645"/>
      <c r="B134" s="645"/>
      <c r="C134" s="645"/>
      <c r="D134" s="645"/>
      <c r="E134" s="645"/>
      <c r="F134" s="645"/>
      <c r="G134" s="646"/>
      <c r="H134" s="645"/>
      <c r="I134" s="645"/>
      <c r="J134" s="645"/>
      <c r="K134" s="645"/>
      <c r="L134" s="645"/>
      <c r="M134" s="645"/>
      <c r="N134" s="645"/>
      <c r="O134" s="645"/>
      <c r="P134" s="645"/>
      <c r="Q134" s="645"/>
      <c r="R134" s="645"/>
      <c r="S134" s="645"/>
      <c r="T134" s="645"/>
      <c r="U134" s="645"/>
      <c r="V134" s="645"/>
      <c r="W134" s="645"/>
      <c r="X134" s="645"/>
    </row>
    <row r="135" ht="15.75" customHeight="1">
      <c r="A135" s="645"/>
      <c r="B135" s="645"/>
      <c r="C135" s="645"/>
      <c r="D135" s="645"/>
      <c r="E135" s="645"/>
      <c r="F135" s="645"/>
      <c r="G135" s="646"/>
      <c r="H135" s="645"/>
      <c r="I135" s="645"/>
      <c r="J135" s="645"/>
      <c r="K135" s="645"/>
      <c r="L135" s="645"/>
      <c r="M135" s="645"/>
      <c r="N135" s="645"/>
      <c r="O135" s="645"/>
      <c r="P135" s="645"/>
      <c r="Q135" s="645"/>
      <c r="R135" s="645"/>
      <c r="S135" s="645"/>
      <c r="T135" s="645"/>
      <c r="U135" s="645"/>
      <c r="V135" s="645"/>
      <c r="W135" s="645"/>
      <c r="X135" s="645"/>
    </row>
    <row r="136" ht="15.75" customHeight="1">
      <c r="A136" s="645"/>
      <c r="B136" s="645"/>
      <c r="C136" s="645"/>
      <c r="D136" s="645"/>
      <c r="E136" s="645"/>
      <c r="F136" s="645"/>
      <c r="G136" s="646"/>
      <c r="H136" s="645"/>
      <c r="I136" s="645"/>
      <c r="J136" s="645"/>
      <c r="K136" s="645"/>
      <c r="L136" s="645"/>
      <c r="M136" s="645"/>
      <c r="N136" s="645"/>
      <c r="O136" s="645"/>
      <c r="P136" s="645"/>
      <c r="Q136" s="645"/>
      <c r="R136" s="645"/>
      <c r="S136" s="645"/>
      <c r="T136" s="645"/>
      <c r="U136" s="645"/>
      <c r="V136" s="645"/>
      <c r="W136" s="645"/>
      <c r="X136" s="645"/>
    </row>
    <row r="137" ht="15.75" customHeight="1">
      <c r="A137" s="645"/>
      <c r="B137" s="645"/>
      <c r="C137" s="645"/>
      <c r="D137" s="645"/>
      <c r="E137" s="645"/>
      <c r="F137" s="645"/>
      <c r="G137" s="646"/>
      <c r="H137" s="645"/>
      <c r="I137" s="645"/>
      <c r="J137" s="645"/>
      <c r="K137" s="645"/>
      <c r="L137" s="645"/>
      <c r="M137" s="645"/>
      <c r="N137" s="645"/>
      <c r="O137" s="645"/>
      <c r="P137" s="645"/>
      <c r="Q137" s="645"/>
      <c r="R137" s="645"/>
      <c r="S137" s="645"/>
      <c r="T137" s="645"/>
      <c r="U137" s="645"/>
      <c r="V137" s="645"/>
      <c r="W137" s="645"/>
      <c r="X137" s="645"/>
    </row>
    <row r="138" ht="15.75" customHeight="1">
      <c r="A138" s="645"/>
      <c r="B138" s="645"/>
      <c r="C138" s="645"/>
      <c r="D138" s="645"/>
      <c r="E138" s="645"/>
      <c r="F138" s="645"/>
      <c r="G138" s="646"/>
      <c r="H138" s="645"/>
      <c r="I138" s="645"/>
      <c r="J138" s="645"/>
      <c r="K138" s="645"/>
      <c r="L138" s="645"/>
      <c r="M138" s="645"/>
      <c r="N138" s="645"/>
      <c r="O138" s="645"/>
      <c r="P138" s="645"/>
      <c r="Q138" s="645"/>
      <c r="R138" s="645"/>
      <c r="S138" s="645"/>
      <c r="T138" s="645"/>
      <c r="U138" s="645"/>
      <c r="V138" s="645"/>
      <c r="W138" s="645"/>
      <c r="X138" s="645"/>
    </row>
    <row r="139" ht="15.75" customHeight="1">
      <c r="A139" s="645"/>
      <c r="B139" s="645"/>
      <c r="C139" s="645"/>
      <c r="D139" s="645"/>
      <c r="E139" s="645"/>
      <c r="F139" s="645"/>
      <c r="G139" s="646"/>
      <c r="H139" s="645"/>
      <c r="I139" s="645"/>
      <c r="J139" s="645"/>
      <c r="K139" s="645"/>
      <c r="L139" s="645"/>
      <c r="M139" s="645"/>
      <c r="N139" s="645"/>
      <c r="O139" s="645"/>
      <c r="P139" s="645"/>
      <c r="Q139" s="645"/>
      <c r="R139" s="645"/>
      <c r="S139" s="645"/>
      <c r="T139" s="645"/>
      <c r="U139" s="645"/>
      <c r="V139" s="645"/>
      <c r="W139" s="645"/>
      <c r="X139" s="645"/>
    </row>
    <row r="140" ht="15.75" customHeight="1">
      <c r="A140" s="645"/>
      <c r="B140" s="645"/>
      <c r="C140" s="645"/>
      <c r="D140" s="645"/>
      <c r="E140" s="645"/>
      <c r="F140" s="645"/>
      <c r="G140" s="646"/>
      <c r="H140" s="645"/>
      <c r="I140" s="645"/>
      <c r="J140" s="645"/>
      <c r="K140" s="645"/>
      <c r="L140" s="645"/>
      <c r="M140" s="645"/>
      <c r="N140" s="645"/>
      <c r="O140" s="645"/>
      <c r="P140" s="645"/>
      <c r="Q140" s="645"/>
      <c r="R140" s="645"/>
      <c r="S140" s="645"/>
      <c r="T140" s="645"/>
      <c r="U140" s="645"/>
      <c r="V140" s="645"/>
      <c r="W140" s="645"/>
      <c r="X140" s="645"/>
    </row>
    <row r="141" ht="15.75" customHeight="1">
      <c r="A141" s="645"/>
      <c r="B141" s="645"/>
      <c r="C141" s="645"/>
      <c r="D141" s="645"/>
      <c r="E141" s="645"/>
      <c r="F141" s="645"/>
      <c r="G141" s="646"/>
      <c r="H141" s="645"/>
      <c r="I141" s="645"/>
      <c r="J141" s="645"/>
      <c r="K141" s="645"/>
      <c r="L141" s="645"/>
      <c r="M141" s="645"/>
      <c r="N141" s="645"/>
      <c r="O141" s="645"/>
      <c r="P141" s="645"/>
      <c r="Q141" s="645"/>
      <c r="R141" s="645"/>
      <c r="S141" s="645"/>
      <c r="T141" s="645"/>
      <c r="U141" s="645"/>
      <c r="V141" s="645"/>
      <c r="W141" s="645"/>
      <c r="X141" s="645"/>
    </row>
    <row r="142" ht="15.75" customHeight="1">
      <c r="A142" s="645"/>
      <c r="B142" s="645"/>
      <c r="C142" s="645"/>
      <c r="D142" s="645"/>
      <c r="E142" s="645"/>
      <c r="F142" s="645"/>
      <c r="G142" s="646"/>
      <c r="H142" s="645"/>
      <c r="I142" s="645"/>
      <c r="J142" s="645"/>
      <c r="K142" s="645"/>
      <c r="L142" s="645"/>
      <c r="M142" s="645"/>
      <c r="N142" s="645"/>
      <c r="O142" s="645"/>
      <c r="P142" s="645"/>
      <c r="Q142" s="645"/>
      <c r="R142" s="645"/>
      <c r="S142" s="645"/>
      <c r="T142" s="645"/>
      <c r="U142" s="645"/>
      <c r="V142" s="645"/>
      <c r="W142" s="645"/>
      <c r="X142" s="645"/>
    </row>
    <row r="143" ht="15.75" customHeight="1">
      <c r="A143" s="645"/>
      <c r="B143" s="645"/>
      <c r="C143" s="645"/>
      <c r="D143" s="645"/>
      <c r="E143" s="645"/>
      <c r="F143" s="645"/>
      <c r="G143" s="646"/>
      <c r="H143" s="645"/>
      <c r="I143" s="645"/>
      <c r="J143" s="645"/>
      <c r="K143" s="645"/>
      <c r="L143" s="645"/>
      <c r="M143" s="645"/>
      <c r="N143" s="645"/>
      <c r="O143" s="645"/>
      <c r="P143" s="645"/>
      <c r="Q143" s="645"/>
      <c r="R143" s="645"/>
      <c r="S143" s="645"/>
      <c r="T143" s="645"/>
      <c r="U143" s="645"/>
      <c r="V143" s="645"/>
      <c r="W143" s="645"/>
      <c r="X143" s="645"/>
    </row>
    <row r="144" ht="15.75" customHeight="1">
      <c r="A144" s="645"/>
      <c r="B144" s="645"/>
      <c r="C144" s="645"/>
      <c r="D144" s="645"/>
      <c r="E144" s="645"/>
      <c r="F144" s="645"/>
      <c r="G144" s="646"/>
      <c r="H144" s="645"/>
      <c r="I144" s="645"/>
      <c r="J144" s="645"/>
      <c r="K144" s="645"/>
      <c r="L144" s="645"/>
      <c r="M144" s="645"/>
      <c r="N144" s="645"/>
      <c r="O144" s="645"/>
      <c r="P144" s="645"/>
      <c r="Q144" s="645"/>
      <c r="R144" s="645"/>
      <c r="S144" s="645"/>
      <c r="T144" s="645"/>
      <c r="U144" s="645"/>
      <c r="V144" s="645"/>
      <c r="W144" s="645"/>
      <c r="X144" s="645"/>
    </row>
    <row r="145" ht="15.75" customHeight="1">
      <c r="A145" s="645"/>
      <c r="B145" s="645"/>
      <c r="C145" s="645"/>
      <c r="D145" s="645"/>
      <c r="E145" s="645"/>
      <c r="F145" s="645"/>
      <c r="G145" s="646"/>
      <c r="H145" s="645"/>
      <c r="I145" s="645"/>
      <c r="J145" s="645"/>
      <c r="K145" s="645"/>
      <c r="L145" s="645"/>
      <c r="M145" s="645"/>
      <c r="N145" s="645"/>
      <c r="O145" s="645"/>
      <c r="P145" s="645"/>
      <c r="Q145" s="645"/>
      <c r="R145" s="645"/>
      <c r="S145" s="645"/>
      <c r="T145" s="645"/>
      <c r="U145" s="645"/>
      <c r="V145" s="645"/>
      <c r="W145" s="645"/>
      <c r="X145" s="645"/>
    </row>
    <row r="146" ht="15.75" customHeight="1">
      <c r="A146" s="645"/>
      <c r="B146" s="645"/>
      <c r="C146" s="645"/>
      <c r="D146" s="645"/>
      <c r="E146" s="645"/>
      <c r="F146" s="645"/>
      <c r="G146" s="646"/>
      <c r="H146" s="645"/>
      <c r="I146" s="645"/>
      <c r="J146" s="645"/>
      <c r="K146" s="645"/>
      <c r="L146" s="645"/>
      <c r="M146" s="645"/>
      <c r="N146" s="645"/>
      <c r="O146" s="645"/>
      <c r="P146" s="645"/>
      <c r="Q146" s="645"/>
      <c r="R146" s="645"/>
      <c r="S146" s="645"/>
      <c r="T146" s="645"/>
      <c r="U146" s="645"/>
      <c r="V146" s="645"/>
      <c r="W146" s="645"/>
      <c r="X146" s="645"/>
    </row>
    <row r="147" ht="15.75" customHeight="1">
      <c r="A147" s="645"/>
      <c r="B147" s="645"/>
      <c r="C147" s="645"/>
      <c r="D147" s="645"/>
      <c r="E147" s="645"/>
      <c r="F147" s="645"/>
      <c r="G147" s="646"/>
      <c r="H147" s="645"/>
      <c r="I147" s="645"/>
      <c r="J147" s="645"/>
      <c r="K147" s="645"/>
      <c r="L147" s="645"/>
      <c r="M147" s="645"/>
      <c r="N147" s="645"/>
      <c r="O147" s="645"/>
      <c r="P147" s="645"/>
      <c r="Q147" s="645"/>
      <c r="R147" s="645"/>
      <c r="S147" s="645"/>
      <c r="T147" s="645"/>
      <c r="U147" s="645"/>
      <c r="V147" s="645"/>
      <c r="W147" s="645"/>
      <c r="X147" s="645"/>
    </row>
    <row r="148" ht="15.75" customHeight="1">
      <c r="A148" s="645"/>
      <c r="B148" s="645"/>
      <c r="C148" s="645"/>
      <c r="D148" s="645"/>
      <c r="E148" s="645"/>
      <c r="F148" s="645"/>
      <c r="G148" s="646"/>
      <c r="H148" s="645"/>
      <c r="I148" s="645"/>
      <c r="J148" s="645"/>
      <c r="K148" s="645"/>
      <c r="L148" s="645"/>
      <c r="M148" s="645"/>
      <c r="N148" s="645"/>
      <c r="O148" s="645"/>
      <c r="P148" s="645"/>
      <c r="Q148" s="645"/>
      <c r="R148" s="645"/>
      <c r="S148" s="645"/>
      <c r="T148" s="645"/>
      <c r="U148" s="645"/>
      <c r="V148" s="645"/>
      <c r="W148" s="645"/>
      <c r="X148" s="645"/>
    </row>
    <row r="149" ht="15.75" customHeight="1">
      <c r="A149" s="645"/>
      <c r="B149" s="645"/>
      <c r="C149" s="645"/>
      <c r="D149" s="645"/>
      <c r="E149" s="645"/>
      <c r="F149" s="645"/>
      <c r="G149" s="646"/>
      <c r="H149" s="645"/>
      <c r="I149" s="645"/>
      <c r="J149" s="645"/>
      <c r="K149" s="645"/>
      <c r="L149" s="645"/>
      <c r="M149" s="645"/>
      <c r="N149" s="645"/>
      <c r="O149" s="645"/>
      <c r="P149" s="645"/>
      <c r="Q149" s="645"/>
      <c r="R149" s="645"/>
      <c r="S149" s="645"/>
      <c r="T149" s="645"/>
      <c r="U149" s="645"/>
      <c r="V149" s="645"/>
      <c r="W149" s="645"/>
      <c r="X149" s="645"/>
    </row>
    <row r="150" ht="15.75" customHeight="1">
      <c r="A150" s="645"/>
      <c r="B150" s="645"/>
      <c r="C150" s="645"/>
      <c r="D150" s="645"/>
      <c r="E150" s="645"/>
      <c r="F150" s="645"/>
      <c r="G150" s="646"/>
      <c r="H150" s="645"/>
      <c r="I150" s="645"/>
      <c r="J150" s="645"/>
      <c r="K150" s="645"/>
      <c r="L150" s="645"/>
      <c r="M150" s="645"/>
      <c r="N150" s="645"/>
      <c r="O150" s="645"/>
      <c r="P150" s="645"/>
      <c r="Q150" s="645"/>
      <c r="R150" s="645"/>
      <c r="S150" s="645"/>
      <c r="T150" s="645"/>
      <c r="U150" s="645"/>
      <c r="V150" s="645"/>
      <c r="W150" s="645"/>
      <c r="X150" s="645"/>
    </row>
    <row r="151" ht="15.75" customHeight="1">
      <c r="A151" s="645"/>
      <c r="B151" s="645"/>
      <c r="C151" s="645"/>
      <c r="D151" s="645"/>
      <c r="E151" s="645"/>
      <c r="F151" s="645"/>
      <c r="G151" s="646"/>
      <c r="H151" s="645"/>
      <c r="I151" s="645"/>
      <c r="J151" s="645"/>
      <c r="K151" s="645"/>
      <c r="L151" s="645"/>
      <c r="M151" s="645"/>
      <c r="N151" s="645"/>
      <c r="O151" s="645"/>
      <c r="P151" s="645"/>
      <c r="Q151" s="645"/>
      <c r="R151" s="645"/>
      <c r="S151" s="645"/>
      <c r="T151" s="645"/>
      <c r="U151" s="645"/>
      <c r="V151" s="645"/>
      <c r="W151" s="645"/>
      <c r="X151" s="645"/>
    </row>
    <row r="152" ht="15.75" customHeight="1">
      <c r="A152" s="645"/>
      <c r="B152" s="645"/>
      <c r="C152" s="645"/>
      <c r="D152" s="645"/>
      <c r="E152" s="645"/>
      <c r="F152" s="645"/>
      <c r="G152" s="646"/>
      <c r="H152" s="645"/>
      <c r="I152" s="645"/>
      <c r="J152" s="645"/>
      <c r="K152" s="645"/>
      <c r="L152" s="645"/>
      <c r="M152" s="645"/>
      <c r="N152" s="645"/>
      <c r="O152" s="645"/>
      <c r="P152" s="645"/>
      <c r="Q152" s="645"/>
      <c r="R152" s="645"/>
      <c r="S152" s="645"/>
      <c r="T152" s="645"/>
      <c r="U152" s="645"/>
      <c r="V152" s="645"/>
      <c r="W152" s="645"/>
      <c r="X152" s="645"/>
    </row>
    <row r="153" ht="15.75" customHeight="1">
      <c r="A153" s="645"/>
      <c r="B153" s="645"/>
      <c r="C153" s="645"/>
      <c r="D153" s="645"/>
      <c r="E153" s="645"/>
      <c r="F153" s="645"/>
      <c r="G153" s="646"/>
      <c r="H153" s="645"/>
      <c r="I153" s="645"/>
      <c r="J153" s="645"/>
      <c r="K153" s="645"/>
      <c r="L153" s="645"/>
      <c r="M153" s="645"/>
      <c r="N153" s="645"/>
      <c r="O153" s="645"/>
      <c r="P153" s="645"/>
      <c r="Q153" s="645"/>
      <c r="R153" s="645"/>
      <c r="S153" s="645"/>
      <c r="T153" s="645"/>
      <c r="U153" s="645"/>
      <c r="V153" s="645"/>
      <c r="W153" s="645"/>
      <c r="X153" s="645"/>
    </row>
    <row r="154" ht="15.75" customHeight="1">
      <c r="A154" s="645"/>
      <c r="B154" s="645"/>
      <c r="C154" s="645"/>
      <c r="D154" s="645"/>
      <c r="E154" s="645"/>
      <c r="F154" s="645"/>
      <c r="G154" s="646"/>
      <c r="H154" s="645"/>
      <c r="I154" s="645"/>
      <c r="J154" s="645"/>
      <c r="K154" s="645"/>
      <c r="L154" s="645"/>
      <c r="M154" s="645"/>
      <c r="N154" s="645"/>
      <c r="O154" s="645"/>
      <c r="P154" s="645"/>
      <c r="Q154" s="645"/>
      <c r="R154" s="645"/>
      <c r="S154" s="645"/>
      <c r="T154" s="645"/>
      <c r="U154" s="645"/>
      <c r="V154" s="645"/>
      <c r="W154" s="645"/>
      <c r="X154" s="645"/>
    </row>
    <row r="155" ht="15.75" customHeight="1">
      <c r="A155" s="645"/>
      <c r="B155" s="645"/>
      <c r="C155" s="645"/>
      <c r="D155" s="645"/>
      <c r="E155" s="645"/>
      <c r="F155" s="645"/>
      <c r="G155" s="646"/>
      <c r="H155" s="645"/>
      <c r="I155" s="645"/>
      <c r="J155" s="645"/>
      <c r="K155" s="645"/>
      <c r="L155" s="645"/>
      <c r="M155" s="645"/>
      <c r="N155" s="645"/>
      <c r="O155" s="645"/>
      <c r="P155" s="645"/>
      <c r="Q155" s="645"/>
      <c r="R155" s="645"/>
      <c r="S155" s="645"/>
      <c r="T155" s="645"/>
      <c r="U155" s="645"/>
      <c r="V155" s="645"/>
      <c r="W155" s="645"/>
      <c r="X155" s="645"/>
    </row>
    <row r="156" ht="15.75" customHeight="1">
      <c r="A156" s="645"/>
      <c r="B156" s="645"/>
      <c r="C156" s="645"/>
      <c r="D156" s="645"/>
      <c r="E156" s="645"/>
      <c r="F156" s="645"/>
      <c r="G156" s="646"/>
      <c r="H156" s="645"/>
      <c r="I156" s="645"/>
      <c r="J156" s="645"/>
      <c r="K156" s="645"/>
      <c r="L156" s="645"/>
      <c r="M156" s="645"/>
      <c r="N156" s="645"/>
      <c r="O156" s="645"/>
      <c r="P156" s="645"/>
      <c r="Q156" s="645"/>
      <c r="R156" s="645"/>
      <c r="S156" s="645"/>
      <c r="T156" s="645"/>
      <c r="U156" s="645"/>
      <c r="V156" s="645"/>
      <c r="W156" s="645"/>
      <c r="X156" s="645"/>
    </row>
    <row r="157" ht="15.75" customHeight="1">
      <c r="A157" s="645"/>
      <c r="B157" s="645"/>
      <c r="C157" s="645"/>
      <c r="D157" s="645"/>
      <c r="E157" s="645"/>
      <c r="F157" s="645"/>
      <c r="G157" s="646"/>
      <c r="H157" s="645"/>
      <c r="I157" s="645"/>
      <c r="J157" s="645"/>
      <c r="K157" s="645"/>
      <c r="L157" s="645"/>
      <c r="M157" s="645"/>
      <c r="N157" s="645"/>
      <c r="O157" s="645"/>
      <c r="P157" s="645"/>
      <c r="Q157" s="645"/>
      <c r="R157" s="645"/>
      <c r="S157" s="645"/>
      <c r="T157" s="645"/>
      <c r="U157" s="645"/>
      <c r="V157" s="645"/>
      <c r="W157" s="645"/>
      <c r="X157" s="645"/>
    </row>
    <row r="158" ht="15.75" customHeight="1">
      <c r="A158" s="645"/>
      <c r="B158" s="645"/>
      <c r="C158" s="645"/>
      <c r="D158" s="645"/>
      <c r="E158" s="645"/>
      <c r="F158" s="645"/>
      <c r="G158" s="646"/>
      <c r="H158" s="645"/>
      <c r="I158" s="645"/>
      <c r="J158" s="645"/>
      <c r="K158" s="645"/>
      <c r="L158" s="645"/>
      <c r="M158" s="645"/>
      <c r="N158" s="645"/>
      <c r="O158" s="645"/>
      <c r="P158" s="645"/>
      <c r="Q158" s="645"/>
      <c r="R158" s="645"/>
      <c r="S158" s="645"/>
      <c r="T158" s="645"/>
      <c r="U158" s="645"/>
      <c r="V158" s="645"/>
      <c r="W158" s="645"/>
      <c r="X158" s="645"/>
    </row>
    <row r="159" ht="15.75" customHeight="1">
      <c r="A159" s="645"/>
      <c r="B159" s="645"/>
      <c r="C159" s="645"/>
      <c r="D159" s="645"/>
      <c r="E159" s="645"/>
      <c r="F159" s="645"/>
      <c r="G159" s="646"/>
      <c r="H159" s="645"/>
      <c r="I159" s="645"/>
      <c r="J159" s="645"/>
      <c r="K159" s="645"/>
      <c r="L159" s="645"/>
      <c r="M159" s="645"/>
      <c r="N159" s="645"/>
      <c r="O159" s="645"/>
      <c r="P159" s="645"/>
      <c r="Q159" s="645"/>
      <c r="R159" s="645"/>
      <c r="S159" s="645"/>
      <c r="T159" s="645"/>
      <c r="U159" s="645"/>
      <c r="V159" s="645"/>
      <c r="W159" s="645"/>
      <c r="X159" s="645"/>
    </row>
    <row r="160" ht="15.75" customHeight="1">
      <c r="A160" s="645"/>
      <c r="B160" s="645"/>
      <c r="C160" s="645"/>
      <c r="D160" s="645"/>
      <c r="E160" s="645"/>
      <c r="F160" s="645"/>
      <c r="G160" s="646"/>
      <c r="H160" s="645"/>
      <c r="I160" s="645"/>
      <c r="J160" s="645"/>
      <c r="K160" s="645"/>
      <c r="L160" s="645"/>
      <c r="M160" s="645"/>
      <c r="N160" s="645"/>
      <c r="O160" s="645"/>
      <c r="P160" s="645"/>
      <c r="Q160" s="645"/>
      <c r="R160" s="645"/>
      <c r="S160" s="645"/>
      <c r="T160" s="645"/>
      <c r="U160" s="645"/>
      <c r="V160" s="645"/>
      <c r="W160" s="645"/>
      <c r="X160" s="645"/>
    </row>
    <row r="161" ht="15.75" customHeight="1">
      <c r="A161" s="645"/>
      <c r="B161" s="645"/>
      <c r="C161" s="645"/>
      <c r="D161" s="645"/>
      <c r="E161" s="645"/>
      <c r="F161" s="645"/>
      <c r="G161" s="646"/>
      <c r="H161" s="645"/>
      <c r="I161" s="645"/>
      <c r="J161" s="645"/>
      <c r="K161" s="645"/>
      <c r="L161" s="645"/>
      <c r="M161" s="645"/>
      <c r="N161" s="645"/>
      <c r="O161" s="645"/>
      <c r="P161" s="645"/>
      <c r="Q161" s="645"/>
      <c r="R161" s="645"/>
      <c r="S161" s="645"/>
      <c r="T161" s="645"/>
      <c r="U161" s="645"/>
      <c r="V161" s="645"/>
      <c r="W161" s="645"/>
      <c r="X161" s="645"/>
    </row>
    <row r="162" ht="15.75" customHeight="1">
      <c r="A162" s="645"/>
      <c r="B162" s="645"/>
      <c r="C162" s="645"/>
      <c r="D162" s="645"/>
      <c r="E162" s="645"/>
      <c r="F162" s="645"/>
      <c r="G162" s="646"/>
      <c r="H162" s="645"/>
      <c r="I162" s="645"/>
      <c r="J162" s="645"/>
      <c r="K162" s="645"/>
      <c r="L162" s="645"/>
      <c r="M162" s="645"/>
      <c r="N162" s="645"/>
      <c r="O162" s="645"/>
      <c r="P162" s="645"/>
      <c r="Q162" s="645"/>
      <c r="R162" s="645"/>
      <c r="S162" s="645"/>
      <c r="T162" s="645"/>
      <c r="U162" s="645"/>
      <c r="V162" s="645"/>
      <c r="W162" s="645"/>
      <c r="X162" s="645"/>
    </row>
    <row r="163" ht="15.75" customHeight="1">
      <c r="A163" s="645"/>
      <c r="B163" s="645"/>
      <c r="C163" s="645"/>
      <c r="D163" s="645"/>
      <c r="E163" s="645"/>
      <c r="F163" s="645"/>
      <c r="G163" s="646"/>
      <c r="H163" s="645"/>
      <c r="I163" s="645"/>
      <c r="J163" s="645"/>
      <c r="K163" s="645"/>
      <c r="L163" s="645"/>
      <c r="M163" s="645"/>
      <c r="N163" s="645"/>
      <c r="O163" s="645"/>
      <c r="P163" s="645"/>
      <c r="Q163" s="645"/>
      <c r="R163" s="645"/>
      <c r="S163" s="645"/>
      <c r="T163" s="645"/>
      <c r="U163" s="645"/>
      <c r="V163" s="645"/>
      <c r="W163" s="645"/>
      <c r="X163" s="645"/>
    </row>
    <row r="164" ht="15.75" customHeight="1">
      <c r="A164" s="645"/>
      <c r="B164" s="645"/>
      <c r="C164" s="645"/>
      <c r="D164" s="645"/>
      <c r="E164" s="645"/>
      <c r="F164" s="645"/>
      <c r="G164" s="646"/>
      <c r="H164" s="645"/>
      <c r="I164" s="645"/>
      <c r="J164" s="645"/>
      <c r="K164" s="645"/>
      <c r="L164" s="645"/>
      <c r="M164" s="645"/>
      <c r="N164" s="645"/>
      <c r="O164" s="645"/>
      <c r="P164" s="645"/>
      <c r="Q164" s="645"/>
      <c r="R164" s="645"/>
      <c r="S164" s="645"/>
      <c r="T164" s="645"/>
      <c r="U164" s="645"/>
      <c r="V164" s="645"/>
      <c r="W164" s="645"/>
      <c r="X164" s="645"/>
    </row>
    <row r="165" ht="15.75" customHeight="1">
      <c r="A165" s="645"/>
      <c r="B165" s="645"/>
      <c r="C165" s="645"/>
      <c r="D165" s="645"/>
      <c r="E165" s="645"/>
      <c r="F165" s="645"/>
      <c r="G165" s="646"/>
      <c r="H165" s="645"/>
      <c r="I165" s="645"/>
      <c r="J165" s="645"/>
      <c r="K165" s="645"/>
      <c r="L165" s="645"/>
      <c r="M165" s="645"/>
      <c r="N165" s="645"/>
      <c r="O165" s="645"/>
      <c r="P165" s="645"/>
      <c r="Q165" s="645"/>
      <c r="R165" s="645"/>
      <c r="S165" s="645"/>
      <c r="T165" s="645"/>
      <c r="U165" s="645"/>
      <c r="V165" s="645"/>
      <c r="W165" s="645"/>
      <c r="X165" s="645"/>
    </row>
    <row r="166" ht="15.75" customHeight="1">
      <c r="A166" s="645"/>
      <c r="B166" s="645"/>
      <c r="C166" s="645"/>
      <c r="D166" s="645"/>
      <c r="E166" s="645"/>
      <c r="F166" s="645"/>
      <c r="G166" s="646"/>
      <c r="H166" s="645"/>
      <c r="I166" s="645"/>
      <c r="J166" s="645"/>
      <c r="K166" s="645"/>
      <c r="L166" s="645"/>
      <c r="M166" s="645"/>
      <c r="N166" s="645"/>
      <c r="O166" s="645"/>
      <c r="P166" s="645"/>
      <c r="Q166" s="645"/>
      <c r="R166" s="645"/>
      <c r="S166" s="645"/>
      <c r="T166" s="645"/>
      <c r="U166" s="645"/>
      <c r="V166" s="645"/>
      <c r="W166" s="645"/>
      <c r="X166" s="645"/>
    </row>
    <row r="167" ht="15.75" customHeight="1">
      <c r="A167" s="645"/>
      <c r="B167" s="645"/>
      <c r="C167" s="645"/>
      <c r="D167" s="645"/>
      <c r="E167" s="645"/>
      <c r="F167" s="645"/>
      <c r="G167" s="646"/>
      <c r="H167" s="645"/>
      <c r="I167" s="645"/>
      <c r="J167" s="645"/>
      <c r="K167" s="645"/>
      <c r="L167" s="645"/>
      <c r="M167" s="645"/>
      <c r="N167" s="645"/>
      <c r="O167" s="645"/>
      <c r="P167" s="645"/>
      <c r="Q167" s="645"/>
      <c r="R167" s="645"/>
      <c r="S167" s="645"/>
      <c r="T167" s="645"/>
      <c r="U167" s="645"/>
      <c r="V167" s="645"/>
      <c r="W167" s="645"/>
      <c r="X167" s="645"/>
    </row>
    <row r="168" ht="15.75" customHeight="1">
      <c r="A168" s="645"/>
      <c r="B168" s="645"/>
      <c r="C168" s="645"/>
      <c r="D168" s="645"/>
      <c r="E168" s="645"/>
      <c r="F168" s="645"/>
      <c r="G168" s="646"/>
      <c r="H168" s="645"/>
      <c r="I168" s="645"/>
      <c r="J168" s="645"/>
      <c r="K168" s="645"/>
      <c r="L168" s="645"/>
      <c r="M168" s="645"/>
      <c r="N168" s="645"/>
      <c r="O168" s="645"/>
      <c r="P168" s="645"/>
      <c r="Q168" s="645"/>
      <c r="R168" s="645"/>
      <c r="S168" s="645"/>
      <c r="T168" s="645"/>
      <c r="U168" s="645"/>
      <c r="V168" s="645"/>
      <c r="W168" s="645"/>
      <c r="X168" s="645"/>
    </row>
    <row r="169" ht="15.75" customHeight="1">
      <c r="A169" s="645"/>
      <c r="B169" s="645"/>
      <c r="C169" s="645"/>
      <c r="D169" s="645"/>
      <c r="E169" s="645"/>
      <c r="F169" s="645"/>
      <c r="G169" s="646"/>
      <c r="H169" s="645"/>
      <c r="I169" s="645"/>
      <c r="J169" s="645"/>
      <c r="K169" s="645"/>
      <c r="L169" s="645"/>
      <c r="M169" s="645"/>
      <c r="N169" s="645"/>
      <c r="O169" s="645"/>
      <c r="P169" s="645"/>
      <c r="Q169" s="645"/>
      <c r="R169" s="645"/>
      <c r="S169" s="645"/>
      <c r="T169" s="645"/>
      <c r="U169" s="645"/>
      <c r="V169" s="645"/>
      <c r="W169" s="645"/>
      <c r="X169" s="645"/>
    </row>
    <row r="170" ht="15.75" customHeight="1">
      <c r="A170" s="645"/>
      <c r="B170" s="645"/>
      <c r="C170" s="645"/>
      <c r="D170" s="645"/>
      <c r="E170" s="645"/>
      <c r="F170" s="645"/>
      <c r="G170" s="646"/>
      <c r="H170" s="645"/>
      <c r="I170" s="645"/>
      <c r="J170" s="645"/>
      <c r="K170" s="645"/>
      <c r="L170" s="645"/>
      <c r="M170" s="645"/>
      <c r="N170" s="645"/>
      <c r="O170" s="645"/>
      <c r="P170" s="645"/>
      <c r="Q170" s="645"/>
      <c r="R170" s="645"/>
      <c r="S170" s="645"/>
      <c r="T170" s="645"/>
      <c r="U170" s="645"/>
      <c r="V170" s="645"/>
      <c r="W170" s="645"/>
      <c r="X170" s="645"/>
    </row>
    <row r="171" ht="15.75" customHeight="1">
      <c r="A171" s="645"/>
      <c r="B171" s="645"/>
      <c r="C171" s="645"/>
      <c r="D171" s="645"/>
      <c r="E171" s="645"/>
      <c r="F171" s="645"/>
      <c r="G171" s="646"/>
      <c r="H171" s="645"/>
      <c r="I171" s="645"/>
      <c r="J171" s="645"/>
      <c r="K171" s="645"/>
      <c r="L171" s="645"/>
      <c r="M171" s="645"/>
      <c r="N171" s="645"/>
      <c r="O171" s="645"/>
      <c r="P171" s="645"/>
      <c r="Q171" s="645"/>
      <c r="R171" s="645"/>
      <c r="S171" s="645"/>
      <c r="T171" s="645"/>
      <c r="U171" s="645"/>
      <c r="V171" s="645"/>
      <c r="W171" s="645"/>
      <c r="X171" s="645"/>
    </row>
    <row r="172" ht="15.75" customHeight="1">
      <c r="A172" s="645"/>
      <c r="B172" s="645"/>
      <c r="C172" s="645"/>
      <c r="D172" s="645"/>
      <c r="E172" s="645"/>
      <c r="F172" s="645"/>
      <c r="G172" s="646"/>
      <c r="H172" s="645"/>
      <c r="I172" s="645"/>
      <c r="J172" s="645"/>
      <c r="K172" s="645"/>
      <c r="L172" s="645"/>
      <c r="M172" s="645"/>
      <c r="N172" s="645"/>
      <c r="O172" s="645"/>
      <c r="P172" s="645"/>
      <c r="Q172" s="645"/>
      <c r="R172" s="645"/>
      <c r="S172" s="645"/>
      <c r="T172" s="645"/>
      <c r="U172" s="645"/>
      <c r="V172" s="645"/>
      <c r="W172" s="645"/>
      <c r="X172" s="645"/>
    </row>
    <row r="173" ht="15.75" customHeight="1">
      <c r="A173" s="645"/>
      <c r="B173" s="645"/>
      <c r="C173" s="645"/>
      <c r="D173" s="645"/>
      <c r="E173" s="645"/>
      <c r="F173" s="645"/>
      <c r="G173" s="646"/>
      <c r="H173" s="645"/>
      <c r="I173" s="645"/>
      <c r="J173" s="645"/>
      <c r="K173" s="645"/>
      <c r="L173" s="645"/>
      <c r="M173" s="645"/>
      <c r="N173" s="645"/>
      <c r="O173" s="645"/>
      <c r="P173" s="645"/>
      <c r="Q173" s="645"/>
      <c r="R173" s="645"/>
      <c r="S173" s="645"/>
      <c r="T173" s="645"/>
      <c r="U173" s="645"/>
      <c r="V173" s="645"/>
      <c r="W173" s="645"/>
      <c r="X173" s="645"/>
    </row>
    <row r="174" ht="15.75" customHeight="1">
      <c r="A174" s="645"/>
      <c r="B174" s="645"/>
      <c r="C174" s="645"/>
      <c r="D174" s="645"/>
      <c r="E174" s="645"/>
      <c r="F174" s="645"/>
      <c r="G174" s="646"/>
      <c r="H174" s="645"/>
      <c r="I174" s="645"/>
      <c r="J174" s="645"/>
      <c r="K174" s="645"/>
      <c r="L174" s="645"/>
      <c r="M174" s="645"/>
      <c r="N174" s="645"/>
      <c r="O174" s="645"/>
      <c r="P174" s="645"/>
      <c r="Q174" s="645"/>
      <c r="R174" s="645"/>
      <c r="S174" s="645"/>
      <c r="T174" s="645"/>
      <c r="U174" s="645"/>
      <c r="V174" s="645"/>
      <c r="W174" s="645"/>
      <c r="X174" s="645"/>
    </row>
    <row r="175" ht="15.75" customHeight="1">
      <c r="A175" s="645"/>
      <c r="B175" s="645"/>
      <c r="C175" s="645"/>
      <c r="D175" s="645"/>
      <c r="E175" s="645"/>
      <c r="F175" s="645"/>
      <c r="G175" s="646"/>
      <c r="H175" s="645"/>
      <c r="I175" s="645"/>
      <c r="J175" s="645"/>
      <c r="K175" s="645"/>
      <c r="L175" s="645"/>
      <c r="M175" s="645"/>
      <c r="N175" s="645"/>
      <c r="O175" s="645"/>
      <c r="P175" s="645"/>
      <c r="Q175" s="645"/>
      <c r="R175" s="645"/>
      <c r="S175" s="645"/>
      <c r="T175" s="645"/>
      <c r="U175" s="645"/>
      <c r="V175" s="645"/>
      <c r="W175" s="645"/>
      <c r="X175" s="645"/>
    </row>
    <row r="176" ht="15.75" customHeight="1">
      <c r="A176" s="645"/>
      <c r="B176" s="645"/>
      <c r="C176" s="645"/>
      <c r="D176" s="645"/>
      <c r="E176" s="645"/>
      <c r="F176" s="645"/>
      <c r="G176" s="646"/>
      <c r="H176" s="645"/>
      <c r="I176" s="645"/>
      <c r="J176" s="645"/>
      <c r="K176" s="645"/>
      <c r="L176" s="645"/>
      <c r="M176" s="645"/>
      <c r="N176" s="645"/>
      <c r="O176" s="645"/>
      <c r="P176" s="645"/>
      <c r="Q176" s="645"/>
      <c r="R176" s="645"/>
      <c r="S176" s="645"/>
      <c r="T176" s="645"/>
      <c r="U176" s="645"/>
      <c r="V176" s="645"/>
      <c r="W176" s="645"/>
      <c r="X176" s="645"/>
    </row>
    <row r="177" ht="15.75" customHeight="1">
      <c r="A177" s="645"/>
      <c r="B177" s="645"/>
      <c r="C177" s="645"/>
      <c r="D177" s="645"/>
      <c r="E177" s="645"/>
      <c r="F177" s="645"/>
      <c r="G177" s="646"/>
      <c r="H177" s="645"/>
      <c r="I177" s="645"/>
      <c r="J177" s="645"/>
      <c r="K177" s="645"/>
      <c r="L177" s="645"/>
      <c r="M177" s="645"/>
      <c r="N177" s="645"/>
      <c r="O177" s="645"/>
      <c r="P177" s="645"/>
      <c r="Q177" s="645"/>
      <c r="R177" s="645"/>
      <c r="S177" s="645"/>
      <c r="T177" s="645"/>
      <c r="U177" s="645"/>
      <c r="V177" s="645"/>
      <c r="W177" s="645"/>
      <c r="X177" s="645"/>
    </row>
    <row r="178" ht="15.75" customHeight="1">
      <c r="A178" s="645"/>
      <c r="B178" s="645"/>
      <c r="C178" s="645"/>
      <c r="D178" s="645"/>
      <c r="E178" s="645"/>
      <c r="F178" s="645"/>
      <c r="G178" s="646"/>
      <c r="H178" s="645"/>
      <c r="I178" s="645"/>
      <c r="J178" s="645"/>
      <c r="K178" s="645"/>
      <c r="L178" s="645"/>
      <c r="M178" s="645"/>
      <c r="N178" s="645"/>
      <c r="O178" s="645"/>
      <c r="P178" s="645"/>
      <c r="Q178" s="645"/>
      <c r="R178" s="645"/>
      <c r="S178" s="645"/>
      <c r="T178" s="645"/>
      <c r="U178" s="645"/>
      <c r="V178" s="645"/>
      <c r="W178" s="645"/>
      <c r="X178" s="645"/>
    </row>
    <row r="179" ht="15.75" customHeight="1">
      <c r="A179" s="645"/>
      <c r="B179" s="645"/>
      <c r="C179" s="645"/>
      <c r="D179" s="645"/>
      <c r="E179" s="645"/>
      <c r="F179" s="645"/>
      <c r="G179" s="646"/>
      <c r="H179" s="645"/>
      <c r="I179" s="645"/>
      <c r="J179" s="645"/>
      <c r="K179" s="645"/>
      <c r="L179" s="645"/>
      <c r="M179" s="645"/>
      <c r="N179" s="645"/>
      <c r="O179" s="645"/>
      <c r="P179" s="645"/>
      <c r="Q179" s="645"/>
      <c r="R179" s="645"/>
      <c r="S179" s="645"/>
      <c r="T179" s="645"/>
      <c r="U179" s="645"/>
      <c r="V179" s="645"/>
      <c r="W179" s="645"/>
      <c r="X179" s="645"/>
    </row>
    <row r="180" ht="15.75" customHeight="1">
      <c r="A180" s="645"/>
      <c r="B180" s="645"/>
      <c r="C180" s="645"/>
      <c r="D180" s="645"/>
      <c r="E180" s="645"/>
      <c r="F180" s="645"/>
      <c r="G180" s="646"/>
      <c r="H180" s="645"/>
      <c r="I180" s="645"/>
      <c r="J180" s="645"/>
      <c r="K180" s="645"/>
      <c r="L180" s="645"/>
      <c r="M180" s="645"/>
      <c r="N180" s="645"/>
      <c r="O180" s="645"/>
      <c r="P180" s="645"/>
      <c r="Q180" s="645"/>
      <c r="R180" s="645"/>
      <c r="S180" s="645"/>
      <c r="T180" s="645"/>
      <c r="U180" s="645"/>
      <c r="V180" s="645"/>
      <c r="W180" s="645"/>
      <c r="X180" s="645"/>
    </row>
    <row r="181" ht="15.75" customHeight="1">
      <c r="A181" s="645"/>
      <c r="B181" s="645"/>
      <c r="C181" s="645"/>
      <c r="D181" s="645"/>
      <c r="E181" s="645"/>
      <c r="F181" s="645"/>
      <c r="G181" s="646"/>
      <c r="H181" s="645"/>
      <c r="I181" s="645"/>
      <c r="J181" s="645"/>
      <c r="K181" s="645"/>
      <c r="L181" s="645"/>
      <c r="M181" s="645"/>
      <c r="N181" s="645"/>
      <c r="O181" s="645"/>
      <c r="P181" s="645"/>
      <c r="Q181" s="645"/>
      <c r="R181" s="645"/>
      <c r="S181" s="645"/>
      <c r="T181" s="645"/>
      <c r="U181" s="645"/>
      <c r="V181" s="645"/>
      <c r="W181" s="645"/>
      <c r="X181" s="645"/>
    </row>
    <row r="182" ht="15.75" customHeight="1">
      <c r="A182" s="645"/>
      <c r="B182" s="645"/>
      <c r="C182" s="645"/>
      <c r="D182" s="645"/>
      <c r="E182" s="645"/>
      <c r="F182" s="645"/>
      <c r="G182" s="646"/>
      <c r="H182" s="645"/>
      <c r="I182" s="645"/>
      <c r="J182" s="645"/>
      <c r="K182" s="645"/>
      <c r="L182" s="645"/>
      <c r="M182" s="645"/>
      <c r="N182" s="645"/>
      <c r="O182" s="645"/>
      <c r="P182" s="645"/>
      <c r="Q182" s="645"/>
      <c r="R182" s="645"/>
      <c r="S182" s="645"/>
      <c r="T182" s="645"/>
      <c r="U182" s="645"/>
      <c r="V182" s="645"/>
      <c r="W182" s="645"/>
      <c r="X182" s="645"/>
    </row>
    <row r="183" ht="15.75" customHeight="1">
      <c r="A183" s="645"/>
      <c r="B183" s="645"/>
      <c r="C183" s="645"/>
      <c r="D183" s="645"/>
      <c r="E183" s="645"/>
      <c r="F183" s="645"/>
      <c r="G183" s="646"/>
      <c r="H183" s="645"/>
      <c r="I183" s="645"/>
      <c r="J183" s="645"/>
      <c r="K183" s="645"/>
      <c r="L183" s="645"/>
      <c r="M183" s="645"/>
      <c r="N183" s="645"/>
      <c r="O183" s="645"/>
      <c r="P183" s="645"/>
      <c r="Q183" s="645"/>
      <c r="R183" s="645"/>
      <c r="S183" s="645"/>
      <c r="T183" s="645"/>
      <c r="U183" s="645"/>
      <c r="V183" s="645"/>
      <c r="W183" s="645"/>
      <c r="X183" s="645"/>
    </row>
    <row r="184" ht="15.75" customHeight="1">
      <c r="A184" s="645"/>
      <c r="B184" s="645"/>
      <c r="C184" s="645"/>
      <c r="D184" s="645"/>
      <c r="E184" s="645"/>
      <c r="F184" s="645"/>
      <c r="G184" s="646"/>
      <c r="H184" s="645"/>
      <c r="I184" s="645"/>
      <c r="J184" s="645"/>
      <c r="K184" s="645"/>
      <c r="L184" s="645"/>
      <c r="M184" s="645"/>
      <c r="N184" s="645"/>
      <c r="O184" s="645"/>
      <c r="P184" s="645"/>
      <c r="Q184" s="645"/>
      <c r="R184" s="645"/>
      <c r="S184" s="645"/>
      <c r="T184" s="645"/>
      <c r="U184" s="645"/>
      <c r="V184" s="645"/>
      <c r="W184" s="645"/>
      <c r="X184" s="645"/>
    </row>
    <row r="185" ht="15.75" customHeight="1">
      <c r="A185" s="645"/>
      <c r="B185" s="645"/>
      <c r="C185" s="645"/>
      <c r="D185" s="645"/>
      <c r="E185" s="645"/>
      <c r="F185" s="645"/>
      <c r="G185" s="646"/>
      <c r="H185" s="645"/>
      <c r="I185" s="645"/>
      <c r="J185" s="645"/>
      <c r="K185" s="645"/>
      <c r="L185" s="645"/>
      <c r="M185" s="645"/>
      <c r="N185" s="645"/>
      <c r="O185" s="645"/>
      <c r="P185" s="645"/>
      <c r="Q185" s="645"/>
      <c r="R185" s="645"/>
      <c r="S185" s="645"/>
      <c r="T185" s="645"/>
      <c r="U185" s="645"/>
      <c r="V185" s="645"/>
      <c r="W185" s="645"/>
      <c r="X185" s="645"/>
    </row>
    <row r="186" ht="15.75" customHeight="1">
      <c r="A186" s="645"/>
      <c r="B186" s="645"/>
      <c r="C186" s="645"/>
      <c r="D186" s="645"/>
      <c r="E186" s="645"/>
      <c r="F186" s="645"/>
      <c r="G186" s="646"/>
      <c r="H186" s="645"/>
      <c r="I186" s="645"/>
      <c r="J186" s="645"/>
      <c r="K186" s="645"/>
      <c r="L186" s="645"/>
      <c r="M186" s="645"/>
      <c r="N186" s="645"/>
      <c r="O186" s="645"/>
      <c r="P186" s="645"/>
      <c r="Q186" s="645"/>
      <c r="R186" s="645"/>
      <c r="S186" s="645"/>
      <c r="T186" s="645"/>
      <c r="U186" s="645"/>
      <c r="V186" s="645"/>
      <c r="W186" s="645"/>
      <c r="X186" s="645"/>
    </row>
    <row r="187" ht="15.75" customHeight="1">
      <c r="A187" s="645"/>
      <c r="B187" s="645"/>
      <c r="C187" s="645"/>
      <c r="D187" s="645"/>
      <c r="E187" s="645"/>
      <c r="F187" s="645"/>
      <c r="G187" s="646"/>
      <c r="H187" s="645"/>
      <c r="I187" s="645"/>
      <c r="J187" s="645"/>
      <c r="K187" s="645"/>
      <c r="L187" s="645"/>
      <c r="M187" s="645"/>
      <c r="N187" s="645"/>
      <c r="O187" s="645"/>
      <c r="P187" s="645"/>
      <c r="Q187" s="645"/>
      <c r="R187" s="645"/>
      <c r="S187" s="645"/>
      <c r="T187" s="645"/>
      <c r="U187" s="645"/>
      <c r="V187" s="645"/>
      <c r="W187" s="645"/>
      <c r="X187" s="645"/>
    </row>
    <row r="188" ht="15.75" customHeight="1">
      <c r="A188" s="645"/>
      <c r="B188" s="645"/>
      <c r="C188" s="645"/>
      <c r="D188" s="645"/>
      <c r="E188" s="645"/>
      <c r="F188" s="645"/>
      <c r="G188" s="646"/>
      <c r="H188" s="645"/>
      <c r="I188" s="645"/>
      <c r="J188" s="645"/>
      <c r="K188" s="645"/>
      <c r="L188" s="645"/>
      <c r="M188" s="645"/>
      <c r="N188" s="645"/>
      <c r="O188" s="645"/>
      <c r="P188" s="645"/>
      <c r="Q188" s="645"/>
      <c r="R188" s="645"/>
      <c r="S188" s="645"/>
      <c r="T188" s="645"/>
      <c r="U188" s="645"/>
      <c r="V188" s="645"/>
      <c r="W188" s="645"/>
      <c r="X188" s="645"/>
    </row>
    <row r="189" ht="15.75" customHeight="1">
      <c r="A189" s="645"/>
      <c r="B189" s="645"/>
      <c r="C189" s="645"/>
      <c r="D189" s="645"/>
      <c r="E189" s="645"/>
      <c r="F189" s="645"/>
      <c r="G189" s="646"/>
      <c r="H189" s="645"/>
      <c r="I189" s="645"/>
      <c r="J189" s="645"/>
      <c r="K189" s="645"/>
      <c r="L189" s="645"/>
      <c r="M189" s="645"/>
      <c r="N189" s="645"/>
      <c r="O189" s="645"/>
      <c r="P189" s="645"/>
      <c r="Q189" s="645"/>
      <c r="R189" s="645"/>
      <c r="S189" s="645"/>
      <c r="T189" s="645"/>
      <c r="U189" s="645"/>
      <c r="V189" s="645"/>
      <c r="W189" s="645"/>
      <c r="X189" s="645"/>
    </row>
    <row r="190" ht="15.75" customHeight="1">
      <c r="A190" s="645"/>
      <c r="B190" s="645"/>
      <c r="C190" s="645"/>
      <c r="D190" s="645"/>
      <c r="E190" s="645"/>
      <c r="F190" s="645"/>
      <c r="G190" s="646"/>
      <c r="H190" s="645"/>
      <c r="I190" s="645"/>
      <c r="J190" s="645"/>
      <c r="K190" s="645"/>
      <c r="L190" s="645"/>
      <c r="M190" s="645"/>
      <c r="N190" s="645"/>
      <c r="O190" s="645"/>
      <c r="P190" s="645"/>
      <c r="Q190" s="645"/>
      <c r="R190" s="645"/>
      <c r="S190" s="645"/>
      <c r="T190" s="645"/>
      <c r="U190" s="645"/>
      <c r="V190" s="645"/>
      <c r="W190" s="645"/>
      <c r="X190" s="645"/>
    </row>
    <row r="191" ht="15.75" customHeight="1">
      <c r="A191" s="645"/>
      <c r="B191" s="645"/>
      <c r="C191" s="645"/>
      <c r="D191" s="645"/>
      <c r="E191" s="645"/>
      <c r="F191" s="645"/>
      <c r="G191" s="646"/>
      <c r="H191" s="645"/>
      <c r="I191" s="645"/>
      <c r="J191" s="645"/>
      <c r="K191" s="645"/>
      <c r="L191" s="645"/>
      <c r="M191" s="645"/>
      <c r="N191" s="645"/>
      <c r="O191" s="645"/>
      <c r="P191" s="645"/>
      <c r="Q191" s="645"/>
      <c r="R191" s="645"/>
      <c r="S191" s="645"/>
      <c r="T191" s="645"/>
      <c r="U191" s="645"/>
      <c r="V191" s="645"/>
      <c r="W191" s="645"/>
      <c r="X191" s="645"/>
    </row>
    <row r="192" ht="15.75" customHeight="1">
      <c r="A192" s="645"/>
      <c r="B192" s="645"/>
      <c r="C192" s="645"/>
      <c r="D192" s="645"/>
      <c r="E192" s="645"/>
      <c r="F192" s="645"/>
      <c r="G192" s="646"/>
      <c r="H192" s="645"/>
      <c r="I192" s="645"/>
      <c r="J192" s="645"/>
      <c r="K192" s="645"/>
      <c r="L192" s="645"/>
      <c r="M192" s="645"/>
      <c r="N192" s="645"/>
      <c r="O192" s="645"/>
      <c r="P192" s="645"/>
      <c r="Q192" s="645"/>
      <c r="R192" s="645"/>
      <c r="S192" s="645"/>
      <c r="T192" s="645"/>
      <c r="U192" s="645"/>
      <c r="V192" s="645"/>
      <c r="W192" s="645"/>
      <c r="X192" s="645"/>
    </row>
    <row r="193" ht="15.75" customHeight="1">
      <c r="A193" s="645"/>
      <c r="B193" s="645"/>
      <c r="C193" s="645"/>
      <c r="D193" s="645"/>
      <c r="E193" s="645"/>
      <c r="F193" s="645"/>
      <c r="G193" s="646"/>
      <c r="H193" s="645"/>
      <c r="I193" s="645"/>
      <c r="J193" s="645"/>
      <c r="K193" s="645"/>
      <c r="L193" s="645"/>
      <c r="M193" s="645"/>
      <c r="N193" s="645"/>
      <c r="O193" s="645"/>
      <c r="P193" s="645"/>
      <c r="Q193" s="645"/>
      <c r="R193" s="645"/>
      <c r="S193" s="645"/>
      <c r="T193" s="645"/>
      <c r="U193" s="645"/>
      <c r="V193" s="645"/>
      <c r="W193" s="645"/>
      <c r="X193" s="645"/>
    </row>
    <row r="194" ht="15.75" customHeight="1">
      <c r="A194" s="645"/>
      <c r="B194" s="645"/>
      <c r="C194" s="645"/>
      <c r="D194" s="645"/>
      <c r="E194" s="645"/>
      <c r="F194" s="645"/>
      <c r="G194" s="646"/>
      <c r="H194" s="645"/>
      <c r="I194" s="645"/>
      <c r="J194" s="645"/>
      <c r="K194" s="645"/>
      <c r="L194" s="645"/>
      <c r="M194" s="645"/>
      <c r="N194" s="645"/>
      <c r="O194" s="645"/>
      <c r="P194" s="645"/>
      <c r="Q194" s="645"/>
      <c r="R194" s="645"/>
      <c r="S194" s="645"/>
      <c r="T194" s="645"/>
      <c r="U194" s="645"/>
      <c r="V194" s="645"/>
      <c r="W194" s="645"/>
      <c r="X194" s="645"/>
    </row>
    <row r="195" ht="15.75" customHeight="1">
      <c r="A195" s="645"/>
      <c r="B195" s="645"/>
      <c r="C195" s="645"/>
      <c r="D195" s="645"/>
      <c r="E195" s="645"/>
      <c r="F195" s="645"/>
      <c r="G195" s="646"/>
      <c r="H195" s="645"/>
      <c r="I195" s="645"/>
      <c r="J195" s="645"/>
      <c r="K195" s="645"/>
      <c r="L195" s="645"/>
      <c r="M195" s="645"/>
      <c r="N195" s="645"/>
      <c r="O195" s="645"/>
      <c r="P195" s="645"/>
      <c r="Q195" s="645"/>
      <c r="R195" s="645"/>
      <c r="S195" s="645"/>
      <c r="T195" s="645"/>
      <c r="U195" s="645"/>
      <c r="V195" s="645"/>
      <c r="W195" s="645"/>
      <c r="X195" s="645"/>
    </row>
    <row r="196" ht="15.75" customHeight="1">
      <c r="A196" s="645"/>
      <c r="B196" s="645"/>
      <c r="C196" s="645"/>
      <c r="D196" s="645"/>
      <c r="E196" s="645"/>
      <c r="F196" s="645"/>
      <c r="G196" s="646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</row>
    <row r="197" ht="15.75" customHeight="1">
      <c r="A197" s="645"/>
      <c r="B197" s="645"/>
      <c r="C197" s="645"/>
      <c r="D197" s="645"/>
      <c r="E197" s="645"/>
      <c r="F197" s="645"/>
      <c r="G197" s="646"/>
      <c r="H197" s="645"/>
      <c r="I197" s="645"/>
      <c r="J197" s="645"/>
      <c r="K197" s="645"/>
      <c r="L197" s="645"/>
      <c r="M197" s="645"/>
      <c r="N197" s="645"/>
      <c r="O197" s="645"/>
      <c r="P197" s="645"/>
      <c r="Q197" s="645"/>
      <c r="R197" s="645"/>
      <c r="S197" s="645"/>
      <c r="T197" s="645"/>
      <c r="U197" s="645"/>
      <c r="V197" s="645"/>
      <c r="W197" s="645"/>
      <c r="X197" s="645"/>
    </row>
    <row r="198" ht="15.75" customHeight="1">
      <c r="A198" s="645"/>
      <c r="B198" s="645"/>
      <c r="C198" s="645"/>
      <c r="D198" s="645"/>
      <c r="E198" s="645"/>
      <c r="F198" s="645"/>
      <c r="G198" s="646"/>
      <c r="H198" s="645"/>
      <c r="I198" s="645"/>
      <c r="J198" s="645"/>
      <c r="K198" s="645"/>
      <c r="L198" s="645"/>
      <c r="M198" s="645"/>
      <c r="N198" s="645"/>
      <c r="O198" s="645"/>
      <c r="P198" s="645"/>
      <c r="Q198" s="645"/>
      <c r="R198" s="645"/>
      <c r="S198" s="645"/>
      <c r="T198" s="645"/>
      <c r="U198" s="645"/>
      <c r="V198" s="645"/>
      <c r="W198" s="645"/>
      <c r="X198" s="645"/>
    </row>
    <row r="199" ht="15.75" customHeight="1">
      <c r="A199" s="645"/>
      <c r="B199" s="645"/>
      <c r="C199" s="645"/>
      <c r="D199" s="645"/>
      <c r="E199" s="645"/>
      <c r="F199" s="645"/>
      <c r="G199" s="646"/>
      <c r="H199" s="645"/>
      <c r="I199" s="645"/>
      <c r="J199" s="645"/>
      <c r="K199" s="645"/>
      <c r="L199" s="645"/>
      <c r="M199" s="645"/>
      <c r="N199" s="645"/>
      <c r="O199" s="645"/>
      <c r="P199" s="645"/>
      <c r="Q199" s="645"/>
      <c r="R199" s="645"/>
      <c r="S199" s="645"/>
      <c r="T199" s="645"/>
      <c r="U199" s="645"/>
      <c r="V199" s="645"/>
      <c r="W199" s="645"/>
      <c r="X199" s="645"/>
    </row>
    <row r="200" ht="15.75" customHeight="1">
      <c r="A200" s="645"/>
      <c r="B200" s="645"/>
      <c r="C200" s="645"/>
      <c r="D200" s="645"/>
      <c r="E200" s="645"/>
      <c r="F200" s="645"/>
      <c r="G200" s="646"/>
      <c r="H200" s="645"/>
      <c r="I200" s="645"/>
      <c r="J200" s="645"/>
      <c r="K200" s="645"/>
      <c r="L200" s="645"/>
      <c r="M200" s="645"/>
      <c r="N200" s="645"/>
      <c r="O200" s="645"/>
      <c r="P200" s="645"/>
      <c r="Q200" s="645"/>
      <c r="R200" s="645"/>
      <c r="S200" s="645"/>
      <c r="T200" s="645"/>
      <c r="U200" s="645"/>
      <c r="V200" s="645"/>
      <c r="W200" s="645"/>
      <c r="X200" s="645"/>
    </row>
    <row r="201" ht="15.75" customHeight="1">
      <c r="A201" s="645"/>
      <c r="B201" s="645"/>
      <c r="C201" s="645"/>
      <c r="D201" s="645"/>
      <c r="E201" s="645"/>
      <c r="F201" s="645"/>
      <c r="G201" s="646"/>
      <c r="H201" s="645"/>
      <c r="I201" s="645"/>
      <c r="J201" s="645"/>
      <c r="K201" s="645"/>
      <c r="L201" s="645"/>
      <c r="M201" s="645"/>
      <c r="N201" s="645"/>
      <c r="O201" s="645"/>
      <c r="P201" s="645"/>
      <c r="Q201" s="645"/>
      <c r="R201" s="645"/>
      <c r="S201" s="645"/>
      <c r="T201" s="645"/>
      <c r="U201" s="645"/>
      <c r="V201" s="645"/>
      <c r="W201" s="645"/>
      <c r="X201" s="645"/>
    </row>
    <row r="202" ht="15.75" customHeight="1">
      <c r="A202" s="645"/>
      <c r="B202" s="645"/>
      <c r="C202" s="645"/>
      <c r="D202" s="645"/>
      <c r="E202" s="645"/>
      <c r="F202" s="645"/>
      <c r="G202" s="646"/>
      <c r="H202" s="645"/>
      <c r="I202" s="645"/>
      <c r="J202" s="645"/>
      <c r="K202" s="645"/>
      <c r="L202" s="645"/>
      <c r="M202" s="645"/>
      <c r="N202" s="645"/>
      <c r="O202" s="645"/>
      <c r="P202" s="645"/>
      <c r="Q202" s="645"/>
      <c r="R202" s="645"/>
      <c r="S202" s="645"/>
      <c r="T202" s="645"/>
      <c r="U202" s="645"/>
      <c r="V202" s="645"/>
      <c r="W202" s="645"/>
      <c r="X202" s="645"/>
    </row>
    <row r="203" ht="15.75" customHeight="1">
      <c r="A203" s="645"/>
      <c r="B203" s="645"/>
      <c r="C203" s="645"/>
      <c r="D203" s="645"/>
      <c r="E203" s="645"/>
      <c r="F203" s="645"/>
      <c r="G203" s="646"/>
      <c r="H203" s="645"/>
      <c r="I203" s="645"/>
      <c r="J203" s="645"/>
      <c r="K203" s="645"/>
      <c r="L203" s="645"/>
      <c r="M203" s="645"/>
      <c r="N203" s="645"/>
      <c r="O203" s="645"/>
      <c r="P203" s="645"/>
      <c r="Q203" s="645"/>
      <c r="R203" s="645"/>
      <c r="S203" s="645"/>
      <c r="T203" s="645"/>
      <c r="U203" s="645"/>
      <c r="V203" s="645"/>
      <c r="W203" s="645"/>
      <c r="X203" s="645"/>
    </row>
    <row r="204" ht="15.75" customHeight="1">
      <c r="A204" s="645"/>
      <c r="B204" s="645"/>
      <c r="C204" s="645"/>
      <c r="D204" s="645"/>
      <c r="E204" s="645"/>
      <c r="F204" s="645"/>
      <c r="G204" s="646"/>
      <c r="H204" s="645"/>
      <c r="I204" s="645"/>
      <c r="J204" s="645"/>
      <c r="K204" s="645"/>
      <c r="L204" s="645"/>
      <c r="M204" s="645"/>
      <c r="N204" s="645"/>
      <c r="O204" s="645"/>
      <c r="P204" s="645"/>
      <c r="Q204" s="645"/>
      <c r="R204" s="645"/>
      <c r="S204" s="645"/>
      <c r="T204" s="645"/>
      <c r="U204" s="645"/>
      <c r="V204" s="645"/>
      <c r="W204" s="645"/>
      <c r="X204" s="645"/>
    </row>
    <row r="205" ht="15.75" customHeight="1">
      <c r="A205" s="645"/>
      <c r="B205" s="645"/>
      <c r="C205" s="645"/>
      <c r="D205" s="645"/>
      <c r="E205" s="645"/>
      <c r="F205" s="645"/>
      <c r="G205" s="646"/>
      <c r="H205" s="645"/>
      <c r="I205" s="645"/>
      <c r="J205" s="645"/>
      <c r="K205" s="645"/>
      <c r="L205" s="645"/>
      <c r="M205" s="645"/>
      <c r="N205" s="645"/>
      <c r="O205" s="645"/>
      <c r="P205" s="645"/>
      <c r="Q205" s="645"/>
      <c r="R205" s="645"/>
      <c r="S205" s="645"/>
      <c r="T205" s="645"/>
      <c r="U205" s="645"/>
      <c r="V205" s="645"/>
      <c r="W205" s="645"/>
      <c r="X205" s="645"/>
    </row>
    <row r="206" ht="15.75" customHeight="1">
      <c r="A206" s="645"/>
      <c r="B206" s="645"/>
      <c r="C206" s="645"/>
      <c r="D206" s="645"/>
      <c r="E206" s="645"/>
      <c r="F206" s="645"/>
      <c r="G206" s="646"/>
      <c r="H206" s="645"/>
      <c r="I206" s="645"/>
      <c r="J206" s="645"/>
      <c r="K206" s="645"/>
      <c r="L206" s="645"/>
      <c r="M206" s="645"/>
      <c r="N206" s="645"/>
      <c r="O206" s="645"/>
      <c r="P206" s="645"/>
      <c r="Q206" s="645"/>
      <c r="R206" s="645"/>
      <c r="S206" s="645"/>
      <c r="T206" s="645"/>
      <c r="U206" s="645"/>
      <c r="V206" s="645"/>
      <c r="W206" s="645"/>
      <c r="X206" s="645"/>
    </row>
    <row r="207" ht="15.75" customHeight="1">
      <c r="A207" s="645"/>
      <c r="B207" s="645"/>
      <c r="C207" s="645"/>
      <c r="D207" s="645"/>
      <c r="E207" s="645"/>
      <c r="F207" s="645"/>
      <c r="G207" s="646"/>
      <c r="H207" s="645"/>
      <c r="I207" s="645"/>
      <c r="J207" s="645"/>
      <c r="K207" s="645"/>
      <c r="L207" s="645"/>
      <c r="M207" s="645"/>
      <c r="N207" s="645"/>
      <c r="O207" s="645"/>
      <c r="P207" s="645"/>
      <c r="Q207" s="645"/>
      <c r="R207" s="645"/>
      <c r="S207" s="645"/>
      <c r="T207" s="645"/>
      <c r="U207" s="645"/>
      <c r="V207" s="645"/>
      <c r="W207" s="645"/>
      <c r="X207" s="645"/>
    </row>
    <row r="208" ht="15.75" customHeight="1">
      <c r="A208" s="645"/>
      <c r="B208" s="645"/>
      <c r="C208" s="645"/>
      <c r="D208" s="645"/>
      <c r="E208" s="645"/>
      <c r="F208" s="645"/>
      <c r="G208" s="646"/>
      <c r="H208" s="645"/>
      <c r="I208" s="645"/>
      <c r="J208" s="645"/>
      <c r="K208" s="645"/>
      <c r="L208" s="645"/>
      <c r="M208" s="645"/>
      <c r="N208" s="645"/>
      <c r="O208" s="645"/>
      <c r="P208" s="645"/>
      <c r="Q208" s="645"/>
      <c r="R208" s="645"/>
      <c r="S208" s="645"/>
      <c r="T208" s="645"/>
      <c r="U208" s="645"/>
      <c r="V208" s="645"/>
      <c r="W208" s="645"/>
      <c r="X208" s="645"/>
    </row>
    <row r="209" ht="15.75" customHeight="1">
      <c r="A209" s="645"/>
      <c r="B209" s="645"/>
      <c r="C209" s="645"/>
      <c r="D209" s="645"/>
      <c r="E209" s="645"/>
      <c r="F209" s="645"/>
      <c r="G209" s="646"/>
      <c r="H209" s="645"/>
      <c r="I209" s="645"/>
      <c r="J209" s="645"/>
      <c r="K209" s="645"/>
      <c r="L209" s="645"/>
      <c r="M209" s="645"/>
      <c r="N209" s="645"/>
      <c r="O209" s="645"/>
      <c r="P209" s="645"/>
      <c r="Q209" s="645"/>
      <c r="R209" s="645"/>
      <c r="S209" s="645"/>
      <c r="T209" s="645"/>
      <c r="U209" s="645"/>
      <c r="V209" s="645"/>
      <c r="W209" s="645"/>
      <c r="X209" s="645"/>
    </row>
    <row r="210" ht="15.75" customHeight="1">
      <c r="A210" s="645"/>
      <c r="B210" s="645"/>
      <c r="C210" s="645"/>
      <c r="D210" s="645"/>
      <c r="E210" s="645"/>
      <c r="F210" s="645"/>
      <c r="G210" s="646"/>
      <c r="H210" s="645"/>
      <c r="I210" s="645"/>
      <c r="J210" s="645"/>
      <c r="K210" s="645"/>
      <c r="L210" s="645"/>
      <c r="M210" s="645"/>
      <c r="N210" s="645"/>
      <c r="O210" s="645"/>
      <c r="P210" s="645"/>
      <c r="Q210" s="645"/>
      <c r="R210" s="645"/>
      <c r="S210" s="645"/>
      <c r="T210" s="645"/>
      <c r="U210" s="645"/>
      <c r="V210" s="645"/>
      <c r="W210" s="645"/>
      <c r="X210" s="645"/>
    </row>
    <row r="211" ht="15.75" customHeight="1">
      <c r="A211" s="645"/>
      <c r="B211" s="645"/>
      <c r="C211" s="645"/>
      <c r="D211" s="645"/>
      <c r="E211" s="645"/>
      <c r="F211" s="645"/>
      <c r="G211" s="646"/>
      <c r="H211" s="645"/>
      <c r="I211" s="645"/>
      <c r="J211" s="645"/>
      <c r="K211" s="645"/>
      <c r="L211" s="645"/>
      <c r="M211" s="645"/>
      <c r="N211" s="645"/>
      <c r="O211" s="645"/>
      <c r="P211" s="645"/>
      <c r="Q211" s="645"/>
      <c r="R211" s="645"/>
      <c r="S211" s="645"/>
      <c r="T211" s="645"/>
      <c r="U211" s="645"/>
      <c r="V211" s="645"/>
      <c r="W211" s="645"/>
      <c r="X211" s="645"/>
    </row>
    <row r="212" ht="15.75" customHeight="1">
      <c r="A212" s="645"/>
      <c r="B212" s="645"/>
      <c r="C212" s="645"/>
      <c r="D212" s="645"/>
      <c r="E212" s="645"/>
      <c r="F212" s="645"/>
      <c r="G212" s="646"/>
      <c r="H212" s="645"/>
      <c r="I212" s="645"/>
      <c r="J212" s="645"/>
      <c r="K212" s="645"/>
      <c r="L212" s="645"/>
      <c r="M212" s="645"/>
      <c r="N212" s="645"/>
      <c r="O212" s="645"/>
      <c r="P212" s="645"/>
      <c r="Q212" s="645"/>
      <c r="R212" s="645"/>
      <c r="S212" s="645"/>
      <c r="T212" s="645"/>
      <c r="U212" s="645"/>
      <c r="V212" s="645"/>
      <c r="W212" s="645"/>
      <c r="X212" s="645"/>
    </row>
    <row r="213" ht="15.75" customHeight="1">
      <c r="A213" s="645"/>
      <c r="B213" s="645"/>
      <c r="C213" s="645"/>
      <c r="D213" s="645"/>
      <c r="E213" s="645"/>
      <c r="F213" s="645"/>
      <c r="G213" s="646"/>
      <c r="H213" s="645"/>
      <c r="I213" s="645"/>
      <c r="J213" s="645"/>
      <c r="K213" s="645"/>
      <c r="L213" s="645"/>
      <c r="M213" s="645"/>
      <c r="N213" s="645"/>
      <c r="O213" s="645"/>
      <c r="P213" s="645"/>
      <c r="Q213" s="645"/>
      <c r="R213" s="645"/>
      <c r="S213" s="645"/>
      <c r="T213" s="645"/>
      <c r="U213" s="645"/>
      <c r="V213" s="645"/>
      <c r="W213" s="645"/>
      <c r="X213" s="645"/>
    </row>
    <row r="214" ht="15.75" customHeight="1">
      <c r="A214" s="645"/>
      <c r="B214" s="645"/>
      <c r="C214" s="645"/>
      <c r="D214" s="645"/>
      <c r="E214" s="645"/>
      <c r="F214" s="645"/>
      <c r="G214" s="646"/>
      <c r="H214" s="645"/>
      <c r="I214" s="645"/>
      <c r="J214" s="645"/>
      <c r="K214" s="645"/>
      <c r="L214" s="645"/>
      <c r="M214" s="645"/>
      <c r="N214" s="645"/>
      <c r="O214" s="645"/>
      <c r="P214" s="645"/>
      <c r="Q214" s="645"/>
      <c r="R214" s="645"/>
      <c r="S214" s="645"/>
      <c r="T214" s="645"/>
      <c r="U214" s="645"/>
      <c r="V214" s="645"/>
      <c r="W214" s="645"/>
      <c r="X214" s="645"/>
    </row>
    <row r="215" ht="15.75" customHeight="1">
      <c r="A215" s="645"/>
      <c r="B215" s="645"/>
      <c r="C215" s="645"/>
      <c r="D215" s="645"/>
      <c r="E215" s="645"/>
      <c r="F215" s="645"/>
      <c r="G215" s="646"/>
      <c r="H215" s="645"/>
      <c r="I215" s="645"/>
      <c r="J215" s="645"/>
      <c r="K215" s="645"/>
      <c r="L215" s="645"/>
      <c r="M215" s="645"/>
      <c r="N215" s="645"/>
      <c r="O215" s="645"/>
      <c r="P215" s="645"/>
      <c r="Q215" s="645"/>
      <c r="R215" s="645"/>
      <c r="S215" s="645"/>
      <c r="T215" s="645"/>
      <c r="U215" s="645"/>
      <c r="V215" s="645"/>
      <c r="W215" s="645"/>
      <c r="X215" s="645"/>
    </row>
    <row r="216" ht="15.75" customHeight="1">
      <c r="A216" s="645"/>
      <c r="B216" s="645"/>
      <c r="C216" s="645"/>
      <c r="D216" s="645"/>
      <c r="E216" s="645"/>
      <c r="F216" s="645"/>
      <c r="G216" s="646"/>
      <c r="H216" s="645"/>
      <c r="I216" s="645"/>
      <c r="J216" s="645"/>
      <c r="K216" s="645"/>
      <c r="L216" s="645"/>
      <c r="M216" s="645"/>
      <c r="N216" s="645"/>
      <c r="O216" s="645"/>
      <c r="P216" s="645"/>
      <c r="Q216" s="645"/>
      <c r="R216" s="645"/>
      <c r="S216" s="645"/>
      <c r="T216" s="645"/>
      <c r="U216" s="645"/>
      <c r="V216" s="645"/>
      <c r="W216" s="645"/>
      <c r="X216" s="645"/>
    </row>
    <row r="217" ht="15.75" customHeight="1">
      <c r="A217" s="645"/>
      <c r="B217" s="645"/>
      <c r="C217" s="645"/>
      <c r="D217" s="645"/>
      <c r="E217" s="645"/>
      <c r="F217" s="645"/>
      <c r="G217" s="646"/>
      <c r="H217" s="645"/>
      <c r="I217" s="645"/>
      <c r="J217" s="645"/>
      <c r="K217" s="645"/>
      <c r="L217" s="645"/>
      <c r="M217" s="645"/>
      <c r="N217" s="645"/>
      <c r="O217" s="645"/>
      <c r="P217" s="645"/>
      <c r="Q217" s="645"/>
      <c r="R217" s="645"/>
      <c r="S217" s="645"/>
      <c r="T217" s="645"/>
      <c r="U217" s="645"/>
      <c r="V217" s="645"/>
      <c r="W217" s="645"/>
      <c r="X217" s="645"/>
    </row>
    <row r="218" ht="15.75" customHeight="1">
      <c r="A218" s="645"/>
      <c r="B218" s="645"/>
      <c r="C218" s="645"/>
      <c r="D218" s="645"/>
      <c r="E218" s="645"/>
      <c r="F218" s="645"/>
      <c r="G218" s="646"/>
      <c r="H218" s="645"/>
      <c r="I218" s="645"/>
      <c r="J218" s="645"/>
      <c r="K218" s="645"/>
      <c r="L218" s="645"/>
      <c r="M218" s="645"/>
      <c r="N218" s="645"/>
      <c r="O218" s="645"/>
      <c r="P218" s="645"/>
      <c r="Q218" s="645"/>
      <c r="R218" s="645"/>
      <c r="S218" s="645"/>
      <c r="T218" s="645"/>
      <c r="U218" s="645"/>
      <c r="V218" s="645"/>
      <c r="W218" s="645"/>
      <c r="X218" s="645"/>
    </row>
    <row r="219" ht="15.75" customHeight="1">
      <c r="A219" s="645"/>
      <c r="B219" s="645"/>
      <c r="C219" s="645"/>
      <c r="D219" s="645"/>
      <c r="E219" s="645"/>
      <c r="F219" s="645"/>
      <c r="G219" s="646"/>
      <c r="H219" s="645"/>
      <c r="I219" s="645"/>
      <c r="J219" s="645"/>
      <c r="K219" s="645"/>
      <c r="L219" s="645"/>
      <c r="M219" s="645"/>
      <c r="N219" s="645"/>
      <c r="O219" s="645"/>
      <c r="P219" s="645"/>
      <c r="Q219" s="645"/>
      <c r="R219" s="645"/>
      <c r="S219" s="645"/>
      <c r="T219" s="645"/>
      <c r="U219" s="645"/>
      <c r="V219" s="645"/>
      <c r="W219" s="645"/>
      <c r="X219" s="645"/>
    </row>
    <row r="220" ht="15.75" customHeight="1">
      <c r="A220" s="645"/>
      <c r="B220" s="645"/>
      <c r="C220" s="645"/>
      <c r="D220" s="645"/>
      <c r="E220" s="645"/>
      <c r="F220" s="645"/>
      <c r="G220" s="646"/>
      <c r="H220" s="645"/>
      <c r="I220" s="645"/>
      <c r="J220" s="645"/>
      <c r="K220" s="645"/>
      <c r="L220" s="645"/>
      <c r="M220" s="645"/>
      <c r="N220" s="645"/>
      <c r="O220" s="645"/>
      <c r="P220" s="645"/>
      <c r="Q220" s="645"/>
      <c r="R220" s="645"/>
      <c r="S220" s="645"/>
      <c r="T220" s="645"/>
      <c r="U220" s="645"/>
      <c r="V220" s="645"/>
      <c r="W220" s="645"/>
      <c r="X220" s="645"/>
    </row>
    <row r="221" ht="15.75" customHeight="1">
      <c r="A221" s="645"/>
      <c r="B221" s="645"/>
      <c r="C221" s="645"/>
      <c r="D221" s="645"/>
      <c r="E221" s="645"/>
      <c r="F221" s="645"/>
      <c r="G221" s="646"/>
      <c r="H221" s="645"/>
      <c r="I221" s="645"/>
      <c r="J221" s="645"/>
      <c r="K221" s="645"/>
      <c r="L221" s="645"/>
      <c r="M221" s="645"/>
      <c r="N221" s="645"/>
      <c r="O221" s="645"/>
      <c r="P221" s="645"/>
      <c r="Q221" s="645"/>
      <c r="R221" s="645"/>
      <c r="S221" s="645"/>
      <c r="T221" s="645"/>
      <c r="U221" s="645"/>
      <c r="V221" s="645"/>
      <c r="W221" s="645"/>
      <c r="X221" s="645"/>
    </row>
    <row r="222" ht="15.75" customHeight="1">
      <c r="A222" s="645"/>
      <c r="B222" s="645"/>
      <c r="C222" s="645"/>
      <c r="D222" s="645"/>
      <c r="E222" s="645"/>
      <c r="F222" s="645"/>
      <c r="G222" s="646"/>
      <c r="H222" s="645"/>
      <c r="I222" s="645"/>
      <c r="J222" s="645"/>
      <c r="K222" s="645"/>
      <c r="L222" s="645"/>
      <c r="M222" s="645"/>
      <c r="N222" s="645"/>
      <c r="O222" s="645"/>
      <c r="P222" s="645"/>
      <c r="Q222" s="645"/>
      <c r="R222" s="645"/>
      <c r="S222" s="645"/>
      <c r="T222" s="645"/>
      <c r="U222" s="645"/>
      <c r="V222" s="645"/>
      <c r="W222" s="645"/>
      <c r="X222" s="645"/>
    </row>
    <row r="223" ht="15.75" customHeight="1">
      <c r="A223" s="645"/>
      <c r="B223" s="645"/>
      <c r="C223" s="645"/>
      <c r="D223" s="645"/>
      <c r="E223" s="645"/>
      <c r="F223" s="645"/>
      <c r="G223" s="646"/>
      <c r="H223" s="645"/>
      <c r="I223" s="645"/>
      <c r="J223" s="645"/>
      <c r="K223" s="645"/>
      <c r="L223" s="645"/>
      <c r="M223" s="645"/>
      <c r="N223" s="645"/>
      <c r="O223" s="645"/>
      <c r="P223" s="645"/>
      <c r="Q223" s="645"/>
      <c r="R223" s="645"/>
      <c r="S223" s="645"/>
      <c r="T223" s="645"/>
      <c r="U223" s="645"/>
      <c r="V223" s="645"/>
      <c r="W223" s="645"/>
      <c r="X223" s="645"/>
    </row>
    <row r="224" ht="15.75" customHeight="1">
      <c r="A224" s="645"/>
      <c r="B224" s="645"/>
      <c r="C224" s="645"/>
      <c r="D224" s="645"/>
      <c r="E224" s="645"/>
      <c r="F224" s="645"/>
      <c r="G224" s="646"/>
      <c r="H224" s="645"/>
      <c r="I224" s="645"/>
      <c r="J224" s="645"/>
      <c r="K224" s="645"/>
      <c r="L224" s="645"/>
      <c r="M224" s="645"/>
      <c r="N224" s="645"/>
      <c r="O224" s="645"/>
      <c r="P224" s="645"/>
      <c r="Q224" s="645"/>
      <c r="R224" s="645"/>
      <c r="S224" s="645"/>
      <c r="T224" s="645"/>
      <c r="U224" s="645"/>
      <c r="V224" s="645"/>
      <c r="W224" s="645"/>
      <c r="X224" s="645"/>
    </row>
    <row r="225" ht="15.75" customHeight="1">
      <c r="A225" s="645"/>
      <c r="B225" s="645"/>
      <c r="C225" s="645"/>
      <c r="D225" s="645"/>
      <c r="E225" s="645"/>
      <c r="F225" s="645"/>
      <c r="G225" s="646"/>
      <c r="H225" s="645"/>
      <c r="I225" s="645"/>
      <c r="J225" s="645"/>
      <c r="K225" s="645"/>
      <c r="L225" s="645"/>
      <c r="M225" s="645"/>
      <c r="N225" s="645"/>
      <c r="O225" s="645"/>
      <c r="P225" s="645"/>
      <c r="Q225" s="645"/>
      <c r="R225" s="645"/>
      <c r="S225" s="645"/>
      <c r="T225" s="645"/>
      <c r="U225" s="645"/>
      <c r="V225" s="645"/>
      <c r="W225" s="645"/>
      <c r="X225" s="645"/>
    </row>
    <row r="226" ht="15.75" customHeight="1">
      <c r="A226" s="645"/>
      <c r="B226" s="645"/>
      <c r="C226" s="645"/>
      <c r="D226" s="645"/>
      <c r="E226" s="645"/>
      <c r="F226" s="645"/>
      <c r="G226" s="646"/>
      <c r="H226" s="645"/>
      <c r="I226" s="645"/>
      <c r="J226" s="645"/>
      <c r="K226" s="645"/>
      <c r="L226" s="645"/>
      <c r="M226" s="645"/>
      <c r="N226" s="645"/>
      <c r="O226" s="645"/>
      <c r="P226" s="645"/>
      <c r="Q226" s="645"/>
      <c r="R226" s="645"/>
      <c r="S226" s="645"/>
      <c r="T226" s="645"/>
      <c r="U226" s="645"/>
      <c r="V226" s="645"/>
      <c r="W226" s="645"/>
      <c r="X226" s="645"/>
    </row>
    <row r="227" ht="15.75" customHeight="1">
      <c r="A227" s="645"/>
      <c r="B227" s="645"/>
      <c r="C227" s="645"/>
      <c r="D227" s="645"/>
      <c r="E227" s="645"/>
      <c r="F227" s="645"/>
      <c r="G227" s="646"/>
      <c r="H227" s="645"/>
      <c r="I227" s="645"/>
      <c r="J227" s="645"/>
      <c r="K227" s="645"/>
      <c r="L227" s="645"/>
      <c r="M227" s="645"/>
      <c r="N227" s="645"/>
      <c r="O227" s="645"/>
      <c r="P227" s="645"/>
      <c r="Q227" s="645"/>
      <c r="R227" s="645"/>
      <c r="S227" s="645"/>
      <c r="T227" s="645"/>
      <c r="U227" s="645"/>
      <c r="V227" s="645"/>
      <c r="W227" s="645"/>
      <c r="X227" s="645"/>
    </row>
    <row r="228" ht="15.75" customHeight="1">
      <c r="A228" s="645"/>
      <c r="B228" s="645"/>
      <c r="C228" s="645"/>
      <c r="D228" s="645"/>
      <c r="E228" s="645"/>
      <c r="F228" s="645"/>
      <c r="G228" s="646"/>
      <c r="H228" s="645"/>
      <c r="I228" s="645"/>
      <c r="J228" s="645"/>
      <c r="K228" s="645"/>
      <c r="L228" s="645"/>
      <c r="M228" s="645"/>
      <c r="N228" s="645"/>
      <c r="O228" s="645"/>
      <c r="P228" s="645"/>
      <c r="Q228" s="645"/>
      <c r="R228" s="645"/>
      <c r="S228" s="645"/>
      <c r="T228" s="645"/>
      <c r="U228" s="645"/>
      <c r="V228" s="645"/>
      <c r="W228" s="645"/>
      <c r="X228" s="645"/>
    </row>
    <row r="229" ht="15.75" customHeight="1">
      <c r="A229" s="645"/>
      <c r="B229" s="645"/>
      <c r="C229" s="645"/>
      <c r="D229" s="645"/>
      <c r="E229" s="645"/>
      <c r="F229" s="645"/>
      <c r="G229" s="646"/>
      <c r="H229" s="645"/>
      <c r="I229" s="645"/>
      <c r="J229" s="645"/>
      <c r="K229" s="645"/>
      <c r="L229" s="645"/>
      <c r="M229" s="645"/>
      <c r="N229" s="645"/>
      <c r="O229" s="645"/>
      <c r="P229" s="645"/>
      <c r="Q229" s="645"/>
      <c r="R229" s="645"/>
      <c r="S229" s="645"/>
      <c r="T229" s="645"/>
      <c r="U229" s="645"/>
      <c r="V229" s="645"/>
      <c r="W229" s="645"/>
      <c r="X229" s="645"/>
    </row>
    <row r="230" ht="15.75" customHeight="1">
      <c r="A230" s="645"/>
      <c r="B230" s="645"/>
      <c r="C230" s="645"/>
      <c r="D230" s="645"/>
      <c r="E230" s="645"/>
      <c r="F230" s="645"/>
      <c r="G230" s="646"/>
      <c r="H230" s="645"/>
      <c r="I230" s="645"/>
      <c r="J230" s="645"/>
      <c r="K230" s="645"/>
      <c r="L230" s="645"/>
      <c r="M230" s="645"/>
      <c r="N230" s="645"/>
      <c r="O230" s="645"/>
      <c r="P230" s="645"/>
      <c r="Q230" s="645"/>
      <c r="R230" s="645"/>
      <c r="S230" s="645"/>
      <c r="T230" s="645"/>
      <c r="U230" s="645"/>
      <c r="V230" s="645"/>
      <c r="W230" s="645"/>
      <c r="X230" s="645"/>
    </row>
    <row r="231" ht="15.75" customHeight="1">
      <c r="A231" s="645"/>
      <c r="B231" s="645"/>
      <c r="C231" s="645"/>
      <c r="D231" s="645"/>
      <c r="E231" s="645"/>
      <c r="F231" s="645"/>
      <c r="G231" s="646"/>
      <c r="H231" s="645"/>
      <c r="I231" s="645"/>
      <c r="J231" s="645"/>
      <c r="K231" s="645"/>
      <c r="L231" s="645"/>
      <c r="M231" s="645"/>
      <c r="N231" s="645"/>
      <c r="O231" s="645"/>
      <c r="P231" s="645"/>
      <c r="Q231" s="645"/>
      <c r="R231" s="645"/>
      <c r="S231" s="645"/>
      <c r="T231" s="645"/>
      <c r="U231" s="645"/>
      <c r="V231" s="645"/>
      <c r="W231" s="645"/>
      <c r="X231" s="645"/>
    </row>
    <row r="232" ht="15.75" customHeight="1">
      <c r="A232" s="645"/>
      <c r="B232" s="645"/>
      <c r="C232" s="645"/>
      <c r="D232" s="645"/>
      <c r="E232" s="645"/>
      <c r="F232" s="645"/>
      <c r="G232" s="646"/>
      <c r="H232" s="645"/>
      <c r="I232" s="645"/>
      <c r="J232" s="645"/>
      <c r="K232" s="645"/>
      <c r="L232" s="645"/>
      <c r="M232" s="645"/>
      <c r="N232" s="645"/>
      <c r="O232" s="645"/>
      <c r="P232" s="645"/>
      <c r="Q232" s="645"/>
      <c r="R232" s="645"/>
      <c r="S232" s="645"/>
      <c r="T232" s="645"/>
      <c r="U232" s="645"/>
      <c r="V232" s="645"/>
      <c r="W232" s="645"/>
      <c r="X232" s="645"/>
    </row>
    <row r="233" ht="15.75" customHeight="1">
      <c r="A233" s="645"/>
      <c r="B233" s="645"/>
      <c r="C233" s="645"/>
      <c r="D233" s="645"/>
      <c r="E233" s="645"/>
      <c r="F233" s="645"/>
      <c r="G233" s="646"/>
      <c r="H233" s="645"/>
      <c r="I233" s="645"/>
      <c r="J233" s="645"/>
      <c r="K233" s="645"/>
      <c r="L233" s="645"/>
      <c r="M233" s="645"/>
      <c r="N233" s="645"/>
      <c r="O233" s="645"/>
      <c r="P233" s="645"/>
      <c r="Q233" s="645"/>
      <c r="R233" s="645"/>
      <c r="S233" s="645"/>
      <c r="T233" s="645"/>
      <c r="U233" s="645"/>
      <c r="V233" s="645"/>
      <c r="W233" s="645"/>
      <c r="X233" s="645"/>
    </row>
    <row r="234" ht="15.75" customHeight="1">
      <c r="A234" s="645"/>
      <c r="B234" s="645"/>
      <c r="C234" s="645"/>
      <c r="D234" s="645"/>
      <c r="E234" s="645"/>
      <c r="F234" s="645"/>
      <c r="G234" s="646"/>
      <c r="H234" s="645"/>
      <c r="I234" s="645"/>
      <c r="J234" s="645"/>
      <c r="K234" s="645"/>
      <c r="L234" s="645"/>
      <c r="M234" s="645"/>
      <c r="N234" s="645"/>
      <c r="O234" s="645"/>
      <c r="P234" s="645"/>
      <c r="Q234" s="645"/>
      <c r="R234" s="645"/>
      <c r="S234" s="645"/>
      <c r="T234" s="645"/>
      <c r="U234" s="645"/>
      <c r="V234" s="645"/>
      <c r="W234" s="645"/>
      <c r="X234" s="645"/>
    </row>
    <row r="235" ht="15.75" customHeight="1">
      <c r="A235" s="645"/>
      <c r="B235" s="645"/>
      <c r="C235" s="645"/>
      <c r="D235" s="645"/>
      <c r="E235" s="645"/>
      <c r="F235" s="645"/>
      <c r="G235" s="646"/>
      <c r="H235" s="645"/>
      <c r="I235" s="645"/>
      <c r="J235" s="645"/>
      <c r="K235" s="645"/>
      <c r="L235" s="645"/>
      <c r="M235" s="645"/>
      <c r="N235" s="645"/>
      <c r="O235" s="645"/>
      <c r="P235" s="645"/>
      <c r="Q235" s="645"/>
      <c r="R235" s="645"/>
      <c r="S235" s="645"/>
      <c r="T235" s="645"/>
      <c r="U235" s="645"/>
      <c r="V235" s="645"/>
      <c r="W235" s="645"/>
      <c r="X235" s="645"/>
    </row>
    <row r="236" ht="15.75" customHeight="1">
      <c r="A236" s="645"/>
      <c r="B236" s="645"/>
      <c r="C236" s="645"/>
      <c r="D236" s="645"/>
      <c r="E236" s="645"/>
      <c r="F236" s="645"/>
      <c r="G236" s="646"/>
      <c r="H236" s="645"/>
      <c r="I236" s="645"/>
      <c r="J236" s="645"/>
      <c r="K236" s="645"/>
      <c r="L236" s="645"/>
      <c r="M236" s="645"/>
      <c r="N236" s="645"/>
      <c r="O236" s="645"/>
      <c r="P236" s="645"/>
      <c r="Q236" s="645"/>
      <c r="R236" s="645"/>
      <c r="S236" s="645"/>
      <c r="T236" s="645"/>
      <c r="U236" s="645"/>
      <c r="V236" s="645"/>
      <c r="W236" s="645"/>
      <c r="X236" s="645"/>
    </row>
    <row r="237" ht="15.75" customHeight="1">
      <c r="A237" s="645"/>
      <c r="B237" s="645"/>
      <c r="C237" s="645"/>
      <c r="D237" s="645"/>
      <c r="E237" s="645"/>
      <c r="F237" s="645"/>
      <c r="G237" s="646"/>
      <c r="H237" s="645"/>
      <c r="I237" s="645"/>
      <c r="J237" s="645"/>
      <c r="K237" s="645"/>
      <c r="L237" s="645"/>
      <c r="M237" s="645"/>
      <c r="N237" s="645"/>
      <c r="O237" s="645"/>
      <c r="P237" s="645"/>
      <c r="Q237" s="645"/>
      <c r="R237" s="645"/>
      <c r="S237" s="645"/>
      <c r="T237" s="645"/>
      <c r="U237" s="645"/>
      <c r="V237" s="645"/>
      <c r="W237" s="645"/>
      <c r="X237" s="645"/>
    </row>
    <row r="238" ht="15.75" customHeight="1">
      <c r="A238" s="645"/>
      <c r="B238" s="645"/>
      <c r="C238" s="645"/>
      <c r="D238" s="645"/>
      <c r="E238" s="645"/>
      <c r="F238" s="645"/>
      <c r="G238" s="646"/>
      <c r="H238" s="645"/>
      <c r="I238" s="645"/>
      <c r="J238" s="645"/>
      <c r="K238" s="645"/>
      <c r="L238" s="645"/>
      <c r="M238" s="645"/>
      <c r="N238" s="645"/>
      <c r="O238" s="645"/>
      <c r="P238" s="645"/>
      <c r="Q238" s="645"/>
      <c r="R238" s="645"/>
      <c r="S238" s="645"/>
      <c r="T238" s="645"/>
      <c r="U238" s="645"/>
      <c r="V238" s="645"/>
      <c r="W238" s="645"/>
      <c r="X238" s="645"/>
    </row>
    <row r="239" ht="15.75" customHeight="1">
      <c r="A239" s="645"/>
      <c r="B239" s="645"/>
      <c r="C239" s="645"/>
      <c r="D239" s="645"/>
      <c r="E239" s="645"/>
      <c r="F239" s="645"/>
      <c r="G239" s="646"/>
      <c r="H239" s="645"/>
      <c r="I239" s="645"/>
      <c r="J239" s="645"/>
      <c r="K239" s="645"/>
      <c r="L239" s="645"/>
      <c r="M239" s="645"/>
      <c r="N239" s="645"/>
      <c r="O239" s="645"/>
      <c r="P239" s="645"/>
      <c r="Q239" s="645"/>
      <c r="R239" s="645"/>
      <c r="S239" s="645"/>
      <c r="T239" s="645"/>
      <c r="U239" s="645"/>
      <c r="V239" s="645"/>
      <c r="W239" s="645"/>
      <c r="X239" s="645"/>
    </row>
    <row r="240" ht="15.75" customHeight="1">
      <c r="A240" s="645"/>
      <c r="B240" s="645"/>
      <c r="C240" s="645"/>
      <c r="D240" s="645"/>
      <c r="E240" s="645"/>
      <c r="F240" s="645"/>
      <c r="G240" s="646"/>
      <c r="H240" s="645"/>
      <c r="I240" s="645"/>
      <c r="J240" s="645"/>
      <c r="K240" s="645"/>
      <c r="L240" s="645"/>
      <c r="M240" s="645"/>
      <c r="N240" s="645"/>
      <c r="O240" s="645"/>
      <c r="P240" s="645"/>
      <c r="Q240" s="645"/>
      <c r="R240" s="645"/>
      <c r="S240" s="645"/>
      <c r="T240" s="645"/>
      <c r="U240" s="645"/>
      <c r="V240" s="645"/>
      <c r="W240" s="645"/>
      <c r="X240" s="645"/>
    </row>
    <row r="241" ht="15.75" customHeight="1">
      <c r="A241" s="645"/>
      <c r="B241" s="645"/>
      <c r="C241" s="645"/>
      <c r="D241" s="645"/>
      <c r="E241" s="645"/>
      <c r="F241" s="645"/>
      <c r="G241" s="646"/>
      <c r="H241" s="645"/>
      <c r="I241" s="645"/>
      <c r="J241" s="645"/>
      <c r="K241" s="645"/>
      <c r="L241" s="645"/>
      <c r="M241" s="645"/>
      <c r="N241" s="645"/>
      <c r="O241" s="645"/>
      <c r="P241" s="645"/>
      <c r="Q241" s="645"/>
      <c r="R241" s="645"/>
      <c r="S241" s="645"/>
      <c r="T241" s="645"/>
      <c r="U241" s="645"/>
      <c r="V241" s="645"/>
      <c r="W241" s="645"/>
      <c r="X241" s="645"/>
    </row>
    <row r="242" ht="15.75" customHeight="1">
      <c r="A242" s="645"/>
      <c r="B242" s="645"/>
      <c r="C242" s="645"/>
      <c r="D242" s="645"/>
      <c r="E242" s="645"/>
      <c r="F242" s="645"/>
      <c r="G242" s="646"/>
      <c r="H242" s="645"/>
      <c r="I242" s="645"/>
      <c r="J242" s="645"/>
      <c r="K242" s="645"/>
      <c r="L242" s="645"/>
      <c r="M242" s="645"/>
      <c r="N242" s="645"/>
      <c r="O242" s="645"/>
      <c r="P242" s="645"/>
      <c r="Q242" s="645"/>
      <c r="R242" s="645"/>
      <c r="S242" s="645"/>
      <c r="T242" s="645"/>
      <c r="U242" s="645"/>
      <c r="V242" s="645"/>
      <c r="W242" s="645"/>
      <c r="X242" s="645"/>
    </row>
    <row r="243" ht="15.75" customHeight="1">
      <c r="A243" s="645"/>
      <c r="B243" s="645"/>
      <c r="C243" s="645"/>
      <c r="D243" s="645"/>
      <c r="E243" s="645"/>
      <c r="F243" s="645"/>
      <c r="G243" s="646"/>
      <c r="H243" s="645"/>
      <c r="I243" s="645"/>
      <c r="J243" s="645"/>
      <c r="K243" s="645"/>
      <c r="L243" s="645"/>
      <c r="M243" s="645"/>
      <c r="N243" s="645"/>
      <c r="O243" s="645"/>
      <c r="P243" s="645"/>
      <c r="Q243" s="645"/>
      <c r="R243" s="645"/>
      <c r="S243" s="645"/>
      <c r="T243" s="645"/>
      <c r="U243" s="645"/>
      <c r="V243" s="645"/>
      <c r="W243" s="645"/>
      <c r="X243" s="645"/>
    </row>
    <row r="244" ht="15.75" customHeight="1">
      <c r="A244" s="645"/>
      <c r="B244" s="645"/>
      <c r="C244" s="645"/>
      <c r="D244" s="645"/>
      <c r="E244" s="645"/>
      <c r="F244" s="645"/>
      <c r="G244" s="646"/>
      <c r="H244" s="645"/>
      <c r="I244" s="645"/>
      <c r="J244" s="645"/>
      <c r="K244" s="645"/>
      <c r="L244" s="645"/>
      <c r="M244" s="645"/>
      <c r="N244" s="645"/>
      <c r="O244" s="645"/>
      <c r="P244" s="645"/>
      <c r="Q244" s="645"/>
      <c r="R244" s="645"/>
      <c r="S244" s="645"/>
      <c r="T244" s="645"/>
      <c r="U244" s="645"/>
      <c r="V244" s="645"/>
      <c r="W244" s="645"/>
      <c r="X244" s="645"/>
    </row>
    <row r="245" ht="15.75" customHeight="1">
      <c r="A245" s="645"/>
      <c r="B245" s="645"/>
      <c r="C245" s="645"/>
      <c r="D245" s="645"/>
      <c r="E245" s="645"/>
      <c r="F245" s="645"/>
      <c r="G245" s="646"/>
      <c r="H245" s="645"/>
      <c r="I245" s="645"/>
      <c r="J245" s="645"/>
      <c r="K245" s="645"/>
      <c r="L245" s="645"/>
      <c r="M245" s="645"/>
      <c r="N245" s="645"/>
      <c r="O245" s="645"/>
      <c r="P245" s="645"/>
      <c r="Q245" s="645"/>
      <c r="R245" s="645"/>
      <c r="S245" s="645"/>
      <c r="T245" s="645"/>
      <c r="U245" s="645"/>
      <c r="V245" s="645"/>
      <c r="W245" s="645"/>
      <c r="X245" s="645"/>
    </row>
    <row r="246" ht="15.75" customHeight="1">
      <c r="A246" s="645"/>
      <c r="B246" s="645"/>
      <c r="C246" s="645"/>
      <c r="D246" s="645"/>
      <c r="E246" s="645"/>
      <c r="F246" s="645"/>
      <c r="G246" s="646"/>
      <c r="H246" s="645"/>
      <c r="I246" s="645"/>
      <c r="J246" s="645"/>
      <c r="K246" s="645"/>
      <c r="L246" s="645"/>
      <c r="M246" s="645"/>
      <c r="N246" s="645"/>
      <c r="O246" s="645"/>
      <c r="P246" s="645"/>
      <c r="Q246" s="645"/>
      <c r="R246" s="645"/>
      <c r="S246" s="645"/>
      <c r="T246" s="645"/>
      <c r="U246" s="645"/>
      <c r="V246" s="645"/>
      <c r="W246" s="645"/>
      <c r="X246" s="645"/>
    </row>
    <row r="247" ht="15.75" customHeight="1">
      <c r="A247" s="645"/>
      <c r="B247" s="645"/>
      <c r="C247" s="645"/>
      <c r="D247" s="645"/>
      <c r="E247" s="645"/>
      <c r="F247" s="645"/>
      <c r="G247" s="646"/>
      <c r="H247" s="645"/>
      <c r="I247" s="645"/>
      <c r="J247" s="645"/>
      <c r="K247" s="645"/>
      <c r="L247" s="645"/>
      <c r="M247" s="645"/>
      <c r="N247" s="645"/>
      <c r="O247" s="645"/>
      <c r="P247" s="645"/>
      <c r="Q247" s="645"/>
      <c r="R247" s="645"/>
      <c r="S247" s="645"/>
      <c r="T247" s="645"/>
      <c r="U247" s="645"/>
      <c r="V247" s="645"/>
      <c r="W247" s="645"/>
      <c r="X247" s="645"/>
    </row>
    <row r="248" ht="15.75" customHeight="1">
      <c r="A248" s="645"/>
      <c r="B248" s="645"/>
      <c r="C248" s="645"/>
      <c r="D248" s="645"/>
      <c r="E248" s="645"/>
      <c r="F248" s="645"/>
      <c r="G248" s="646"/>
      <c r="H248" s="645"/>
      <c r="I248" s="645"/>
      <c r="J248" s="645"/>
      <c r="K248" s="645"/>
      <c r="L248" s="645"/>
      <c r="M248" s="645"/>
      <c r="N248" s="645"/>
      <c r="O248" s="645"/>
      <c r="P248" s="645"/>
      <c r="Q248" s="645"/>
      <c r="R248" s="645"/>
      <c r="S248" s="645"/>
      <c r="T248" s="645"/>
      <c r="U248" s="645"/>
      <c r="V248" s="645"/>
      <c r="W248" s="645"/>
      <c r="X248" s="645"/>
    </row>
    <row r="249" ht="15.75" customHeight="1">
      <c r="A249" s="645"/>
      <c r="B249" s="645"/>
      <c r="C249" s="645"/>
      <c r="D249" s="645"/>
      <c r="E249" s="645"/>
      <c r="F249" s="645"/>
      <c r="G249" s="646"/>
      <c r="H249" s="645"/>
      <c r="I249" s="645"/>
      <c r="J249" s="645"/>
      <c r="K249" s="645"/>
      <c r="L249" s="645"/>
      <c r="M249" s="645"/>
      <c r="N249" s="645"/>
      <c r="O249" s="645"/>
      <c r="P249" s="645"/>
      <c r="Q249" s="645"/>
      <c r="R249" s="645"/>
      <c r="S249" s="645"/>
      <c r="T249" s="645"/>
      <c r="U249" s="645"/>
      <c r="V249" s="645"/>
      <c r="W249" s="645"/>
      <c r="X249" s="645"/>
    </row>
    <row r="250" ht="15.75" customHeight="1">
      <c r="A250" s="645"/>
      <c r="B250" s="645"/>
      <c r="C250" s="645"/>
      <c r="D250" s="645"/>
      <c r="E250" s="645"/>
      <c r="F250" s="645"/>
      <c r="G250" s="646"/>
      <c r="H250" s="645"/>
      <c r="I250" s="645"/>
      <c r="J250" s="645"/>
      <c r="K250" s="645"/>
      <c r="L250" s="645"/>
      <c r="M250" s="645"/>
      <c r="N250" s="645"/>
      <c r="O250" s="645"/>
      <c r="P250" s="645"/>
      <c r="Q250" s="645"/>
      <c r="R250" s="645"/>
      <c r="S250" s="645"/>
      <c r="T250" s="645"/>
      <c r="U250" s="645"/>
      <c r="V250" s="645"/>
      <c r="W250" s="645"/>
      <c r="X250" s="645"/>
    </row>
    <row r="251" ht="15.75" customHeight="1">
      <c r="A251" s="645"/>
      <c r="B251" s="645"/>
      <c r="C251" s="645"/>
      <c r="D251" s="645"/>
      <c r="E251" s="645"/>
      <c r="F251" s="645"/>
      <c r="G251" s="646"/>
      <c r="H251" s="645"/>
      <c r="I251" s="645"/>
      <c r="J251" s="645"/>
      <c r="K251" s="645"/>
      <c r="L251" s="645"/>
      <c r="M251" s="645"/>
      <c r="N251" s="645"/>
      <c r="O251" s="645"/>
      <c r="P251" s="645"/>
      <c r="Q251" s="645"/>
      <c r="R251" s="645"/>
      <c r="S251" s="645"/>
      <c r="T251" s="645"/>
      <c r="U251" s="645"/>
      <c r="V251" s="645"/>
      <c r="W251" s="645"/>
      <c r="X251" s="645"/>
    </row>
    <row r="252" ht="15.75" customHeight="1">
      <c r="A252" s="645"/>
      <c r="B252" s="645"/>
      <c r="C252" s="645"/>
      <c r="D252" s="645"/>
      <c r="E252" s="645"/>
      <c r="F252" s="645"/>
      <c r="G252" s="646"/>
      <c r="H252" s="645"/>
      <c r="I252" s="645"/>
      <c r="J252" s="645"/>
      <c r="K252" s="645"/>
      <c r="L252" s="645"/>
      <c r="M252" s="645"/>
      <c r="N252" s="645"/>
      <c r="O252" s="645"/>
      <c r="P252" s="645"/>
      <c r="Q252" s="645"/>
      <c r="R252" s="645"/>
      <c r="S252" s="645"/>
      <c r="T252" s="645"/>
      <c r="U252" s="645"/>
      <c r="V252" s="645"/>
      <c r="W252" s="645"/>
      <c r="X252" s="64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5">
      <formula1>"0-9,10-19,20-39,40-99,100+"</formula1>
    </dataValidation>
    <dataValidation type="list" allowBlank="1" sqref="B8">
      <formula1>"p25,p50,p75"</formula1>
    </dataValidation>
    <dataValidation type="list" allowBlank="1" sqref="B6">
      <formula1>"NONPAYER,PAYER"</formula1>
    </dataValidation>
    <dataValidation type="list" allowBlank="1" sqref="B3">
      <formula1>"cal_curr,cal_new"</formula1>
    </dataValidation>
    <dataValidation type="list" allowBlank="1" sqref="B7">
      <formula1>"Expected,Sampled"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0"/>
  <cols>
    <col customWidth="1" min="2" max="14" width="6.38"/>
  </cols>
  <sheetData>
    <row r="2">
      <c r="B2" s="655" t="s">
        <v>76</v>
      </c>
      <c r="C2" s="656" t="s">
        <v>46</v>
      </c>
      <c r="D2" s="246" t="s">
        <v>121</v>
      </c>
      <c r="E2" s="246" t="s">
        <v>47</v>
      </c>
      <c r="F2" s="246" t="s">
        <v>48</v>
      </c>
      <c r="G2" s="246" t="s">
        <v>50</v>
      </c>
      <c r="H2" s="246" t="s">
        <v>54</v>
      </c>
      <c r="I2" s="246" t="s">
        <v>53</v>
      </c>
      <c r="J2" s="246" t="s">
        <v>52</v>
      </c>
      <c r="K2" s="246" t="s">
        <v>55</v>
      </c>
      <c r="L2" s="246" t="s">
        <v>56</v>
      </c>
      <c r="M2" s="246" t="s">
        <v>57</v>
      </c>
      <c r="N2" s="246" t="s">
        <v>58</v>
      </c>
    </row>
    <row r="3">
      <c r="B3" s="157">
        <v>1.0</v>
      </c>
      <c r="C3" s="157">
        <v>0.0</v>
      </c>
      <c r="D3" s="157">
        <v>0.0</v>
      </c>
      <c r="E3" s="157">
        <v>33.0</v>
      </c>
      <c r="F3" s="157">
        <v>50.0</v>
      </c>
      <c r="G3" s="157">
        <v>67.0</v>
      </c>
      <c r="H3" s="157">
        <v>167.0</v>
      </c>
      <c r="I3" s="157">
        <v>67.0</v>
      </c>
      <c r="J3" s="157">
        <v>50.0</v>
      </c>
      <c r="K3" s="157">
        <v>4.17</v>
      </c>
      <c r="L3" s="157">
        <v>7.56</v>
      </c>
      <c r="M3" s="157">
        <v>12.17</v>
      </c>
      <c r="N3" s="157">
        <v>16.22</v>
      </c>
    </row>
    <row r="4">
      <c r="B4" s="157" t="s">
        <v>2162</v>
      </c>
      <c r="C4" s="157" t="s">
        <v>2163</v>
      </c>
      <c r="D4" s="157" t="s">
        <v>2163</v>
      </c>
      <c r="E4" s="157" t="s">
        <v>2164</v>
      </c>
      <c r="F4" s="157" t="s">
        <v>2165</v>
      </c>
      <c r="G4" s="157" t="s">
        <v>2166</v>
      </c>
      <c r="H4" s="157" t="s">
        <v>2167</v>
      </c>
      <c r="I4" s="157" t="s">
        <v>2165</v>
      </c>
      <c r="J4" s="157" t="s">
        <v>2166</v>
      </c>
      <c r="K4" s="157" t="s">
        <v>2168</v>
      </c>
      <c r="L4" s="157" t="s">
        <v>2169</v>
      </c>
      <c r="M4" s="157" t="s">
        <v>2170</v>
      </c>
      <c r="N4" s="157" t="s">
        <v>2171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2.38"/>
    <col customWidth="1" min="3" max="3" width="9.0"/>
    <col customWidth="1" min="4" max="4" width="12.38"/>
    <col customWidth="1" min="5" max="5" width="16.0"/>
    <col customWidth="1" min="6" max="6" width="15.88"/>
    <col customWidth="1" min="7" max="7" width="15.0"/>
    <col customWidth="1" min="8" max="8" width="17.63"/>
    <col customWidth="1" min="9" max="9" width="23.0"/>
    <col customWidth="1" min="10" max="10" width="14.38"/>
    <col customWidth="1" min="11" max="11" width="18.75"/>
    <col customWidth="1" min="12" max="12" width="16.38"/>
    <col customWidth="1" min="13" max="13" width="18.13"/>
  </cols>
  <sheetData>
    <row r="1">
      <c r="A1" s="659" t="s">
        <v>2176</v>
      </c>
      <c r="B1" s="659" t="s">
        <v>2177</v>
      </c>
      <c r="C1" s="659" t="s">
        <v>2178</v>
      </c>
      <c r="D1" s="659" t="s">
        <v>2179</v>
      </c>
      <c r="E1" s="659" t="s">
        <v>2180</v>
      </c>
      <c r="F1" s="659" t="s">
        <v>2181</v>
      </c>
      <c r="G1" s="659" t="s">
        <v>2182</v>
      </c>
      <c r="H1" s="659" t="s">
        <v>2183</v>
      </c>
      <c r="I1" s="659" t="s">
        <v>2184</v>
      </c>
      <c r="J1" s="659" t="s">
        <v>2185</v>
      </c>
      <c r="K1" s="659" t="s">
        <v>2186</v>
      </c>
      <c r="L1" s="659" t="s">
        <v>2187</v>
      </c>
      <c r="M1" s="659" t="s">
        <v>2188</v>
      </c>
      <c r="N1" s="660" t="s">
        <v>2189</v>
      </c>
      <c r="O1" s="661" t="s">
        <v>2190</v>
      </c>
      <c r="P1" s="661" t="s">
        <v>2191</v>
      </c>
      <c r="Q1" s="661" t="s">
        <v>2192</v>
      </c>
      <c r="R1" s="661" t="s">
        <v>2193</v>
      </c>
      <c r="S1" s="661" t="s">
        <v>2194</v>
      </c>
      <c r="T1" s="661" t="s">
        <v>2195</v>
      </c>
      <c r="U1" s="661" t="s">
        <v>2196</v>
      </c>
      <c r="V1" s="661" t="s">
        <v>2197</v>
      </c>
      <c r="W1" s="662"/>
      <c r="X1" s="662"/>
      <c r="Y1" s="662"/>
      <c r="Z1" s="662"/>
    </row>
    <row r="2">
      <c r="A2" s="663" t="s">
        <v>2173</v>
      </c>
      <c r="B2" s="663" t="s">
        <v>180</v>
      </c>
      <c r="C2" s="663" t="s">
        <v>50</v>
      </c>
      <c r="D2" s="663" t="s">
        <v>599</v>
      </c>
      <c r="E2" s="664" t="s">
        <v>411</v>
      </c>
      <c r="F2" s="665">
        <v>5461.0</v>
      </c>
      <c r="G2" s="665">
        <v>3510.0</v>
      </c>
      <c r="H2" s="665">
        <v>64.27</v>
      </c>
      <c r="I2" s="665">
        <v>33.99</v>
      </c>
      <c r="J2" s="665">
        <v>52.47</v>
      </c>
      <c r="K2" s="665">
        <v>4968.0</v>
      </c>
      <c r="L2" s="665">
        <v>14616.0</v>
      </c>
      <c r="M2" s="665">
        <v>0.91</v>
      </c>
      <c r="N2" s="1">
        <v>1.4154</v>
      </c>
      <c r="O2" s="1">
        <v>4968.0</v>
      </c>
      <c r="P2" s="1">
        <v>14616.0</v>
      </c>
      <c r="Q2" s="1">
        <v>0.9097</v>
      </c>
      <c r="R2" s="1">
        <v>87321.0</v>
      </c>
      <c r="S2" s="1">
        <v>-88.7778</v>
      </c>
      <c r="T2" s="1">
        <v>2.3256</v>
      </c>
      <c r="U2" s="1">
        <v>61.04</v>
      </c>
      <c r="V2" s="1">
        <v>173.7151</v>
      </c>
    </row>
    <row r="3">
      <c r="A3" s="663" t="s">
        <v>2173</v>
      </c>
      <c r="B3" s="663" t="s">
        <v>180</v>
      </c>
      <c r="C3" s="663" t="s">
        <v>50</v>
      </c>
      <c r="D3" s="663" t="s">
        <v>599</v>
      </c>
      <c r="E3" s="664" t="s">
        <v>14</v>
      </c>
      <c r="F3" s="665">
        <v>5461.0</v>
      </c>
      <c r="G3" s="665">
        <v>532.0</v>
      </c>
      <c r="H3" s="665">
        <v>9.74</v>
      </c>
      <c r="I3" s="665">
        <v>13.32</v>
      </c>
      <c r="J3" s="665">
        <v>2.74</v>
      </c>
      <c r="K3" s="665">
        <v>1947.0</v>
      </c>
      <c r="L3" s="665">
        <v>14616.0</v>
      </c>
      <c r="M3" s="665">
        <v>0.36</v>
      </c>
      <c r="N3" s="1">
        <v>3.6598</v>
      </c>
      <c r="O3" s="1">
        <v>1947.0</v>
      </c>
      <c r="P3" s="1">
        <v>14616.0</v>
      </c>
      <c r="Q3" s="1">
        <v>0.3565</v>
      </c>
      <c r="R3" s="1">
        <v>87321.0</v>
      </c>
      <c r="S3" s="1">
        <v>-1.1803</v>
      </c>
      <c r="T3" s="1">
        <v>0.0</v>
      </c>
      <c r="U3" s="1">
        <v>0.972</v>
      </c>
      <c r="V3" s="1">
        <v>2.6642</v>
      </c>
    </row>
    <row r="4">
      <c r="A4" s="663" t="s">
        <v>2173</v>
      </c>
      <c r="B4" s="663" t="s">
        <v>180</v>
      </c>
      <c r="C4" s="663" t="s">
        <v>50</v>
      </c>
      <c r="D4" s="663" t="s">
        <v>599</v>
      </c>
      <c r="E4" s="664" t="s">
        <v>51</v>
      </c>
      <c r="F4" s="665">
        <v>5461.0</v>
      </c>
      <c r="G4" s="665">
        <v>679.0</v>
      </c>
      <c r="H4" s="665">
        <v>12.43</v>
      </c>
      <c r="I4" s="665">
        <v>10.29</v>
      </c>
      <c r="J4" s="665">
        <v>5.16</v>
      </c>
      <c r="K4" s="665">
        <v>1504.0</v>
      </c>
      <c r="L4" s="665">
        <v>14616.0</v>
      </c>
      <c r="M4" s="665">
        <v>0.28</v>
      </c>
      <c r="N4" s="1">
        <v>2.215</v>
      </c>
      <c r="O4" s="1">
        <v>1504.0</v>
      </c>
      <c r="P4" s="1">
        <v>14616.0</v>
      </c>
      <c r="Q4" s="1">
        <v>0.2754</v>
      </c>
      <c r="R4" s="1">
        <v>87321.0</v>
      </c>
      <c r="S4" s="1">
        <v>-0.9977</v>
      </c>
      <c r="T4" s="1">
        <v>0.0</v>
      </c>
      <c r="U4" s="1">
        <v>0.98</v>
      </c>
      <c r="V4" s="1">
        <v>2.3546</v>
      </c>
    </row>
    <row r="5">
      <c r="A5" s="663" t="s">
        <v>2173</v>
      </c>
      <c r="B5" s="663" t="s">
        <v>180</v>
      </c>
      <c r="C5" s="663" t="s">
        <v>50</v>
      </c>
      <c r="D5" s="663" t="s">
        <v>599</v>
      </c>
      <c r="E5" s="664" t="s">
        <v>9</v>
      </c>
      <c r="F5" s="665">
        <v>5461.0</v>
      </c>
      <c r="G5" s="665">
        <v>873.0</v>
      </c>
      <c r="H5" s="665">
        <v>15.99</v>
      </c>
      <c r="I5" s="665">
        <v>9.61</v>
      </c>
      <c r="J5" s="665">
        <v>7.51</v>
      </c>
      <c r="K5" s="665">
        <v>1404.0</v>
      </c>
      <c r="L5" s="665">
        <v>14616.0</v>
      </c>
      <c r="M5" s="665">
        <v>0.26</v>
      </c>
      <c r="N5" s="1">
        <v>1.6082</v>
      </c>
      <c r="O5" s="1">
        <v>1404.0</v>
      </c>
      <c r="P5" s="1">
        <v>14616.0</v>
      </c>
      <c r="Q5" s="1">
        <v>0.2571</v>
      </c>
      <c r="R5" s="1">
        <v>87321.0</v>
      </c>
      <c r="S5" s="1">
        <v>-0.1637</v>
      </c>
      <c r="T5" s="1">
        <v>0.0</v>
      </c>
      <c r="U5" s="1">
        <v>0.3426</v>
      </c>
      <c r="V5" s="1">
        <v>1.5878</v>
      </c>
    </row>
    <row r="6">
      <c r="A6" s="663" t="s">
        <v>2173</v>
      </c>
      <c r="B6" s="663" t="s">
        <v>180</v>
      </c>
      <c r="C6" s="663" t="s">
        <v>50</v>
      </c>
      <c r="D6" s="663" t="s">
        <v>599</v>
      </c>
      <c r="E6" s="664" t="s">
        <v>396</v>
      </c>
      <c r="F6" s="665">
        <v>5461.0</v>
      </c>
      <c r="G6" s="665">
        <v>732.0</v>
      </c>
      <c r="H6" s="665">
        <v>13.4</v>
      </c>
      <c r="I6" s="665">
        <v>8.07</v>
      </c>
      <c r="J6" s="665">
        <v>8.48</v>
      </c>
      <c r="K6" s="665">
        <v>1179.0</v>
      </c>
      <c r="L6" s="665">
        <v>14616.0</v>
      </c>
      <c r="M6" s="665">
        <v>0.22</v>
      </c>
      <c r="N6" s="1">
        <v>1.6107</v>
      </c>
      <c r="O6" s="1">
        <v>1179.0</v>
      </c>
      <c r="P6" s="1">
        <v>14616.0</v>
      </c>
      <c r="Q6" s="1">
        <v>0.2159</v>
      </c>
      <c r="R6" s="1">
        <v>87321.0</v>
      </c>
      <c r="S6" s="1">
        <v>-1.8143</v>
      </c>
      <c r="T6" s="1">
        <v>0.0017</v>
      </c>
      <c r="U6" s="1">
        <v>1.6377</v>
      </c>
      <c r="V6" s="1">
        <v>4.8191</v>
      </c>
    </row>
    <row r="7">
      <c r="A7" s="663" t="s">
        <v>2173</v>
      </c>
      <c r="B7" s="663" t="s">
        <v>180</v>
      </c>
      <c r="C7" s="663" t="s">
        <v>50</v>
      </c>
      <c r="D7" s="663" t="s">
        <v>599</v>
      </c>
      <c r="E7" s="664" t="s">
        <v>42</v>
      </c>
      <c r="F7" s="665">
        <v>5461.0</v>
      </c>
      <c r="G7" s="665">
        <v>595.0</v>
      </c>
      <c r="H7" s="665">
        <v>10.9</v>
      </c>
      <c r="I7" s="665">
        <v>6.44</v>
      </c>
      <c r="J7" s="665">
        <v>3.67</v>
      </c>
      <c r="K7" s="665">
        <v>942.0</v>
      </c>
      <c r="L7" s="665">
        <v>14616.0</v>
      </c>
      <c r="M7" s="665">
        <v>0.17</v>
      </c>
      <c r="N7" s="1">
        <v>1.5832</v>
      </c>
      <c r="O7" s="1">
        <v>942.0</v>
      </c>
      <c r="P7" s="1">
        <v>14616.0</v>
      </c>
      <c r="Q7" s="1">
        <v>0.1725</v>
      </c>
      <c r="R7" s="1">
        <v>87321.0</v>
      </c>
      <c r="S7" s="1">
        <v>-1.5309</v>
      </c>
      <c r="T7" s="1">
        <v>0.0082</v>
      </c>
      <c r="U7" s="1">
        <v>1.984</v>
      </c>
      <c r="V7" s="1">
        <v>4.9593</v>
      </c>
    </row>
    <row r="8">
      <c r="A8" s="663" t="s">
        <v>2173</v>
      </c>
      <c r="B8" s="663" t="s">
        <v>180</v>
      </c>
      <c r="C8" s="663" t="s">
        <v>50</v>
      </c>
      <c r="D8" s="663" t="s">
        <v>599</v>
      </c>
      <c r="E8" s="664" t="s">
        <v>16</v>
      </c>
      <c r="F8" s="665">
        <v>5461.0</v>
      </c>
      <c r="G8" s="665">
        <v>738.0</v>
      </c>
      <c r="H8" s="665">
        <v>13.51</v>
      </c>
      <c r="I8" s="665">
        <v>5.65</v>
      </c>
      <c r="J8" s="665">
        <v>11.29</v>
      </c>
      <c r="K8" s="665">
        <v>826.0</v>
      </c>
      <c r="L8" s="665">
        <v>14616.0</v>
      </c>
      <c r="M8" s="665">
        <v>0.15</v>
      </c>
      <c r="N8" s="1">
        <v>1.1192</v>
      </c>
      <c r="O8" s="1">
        <v>826.0</v>
      </c>
      <c r="P8" s="1">
        <v>14616.0</v>
      </c>
      <c r="Q8" s="1">
        <v>0.1513</v>
      </c>
      <c r="R8" s="1">
        <v>87321.0</v>
      </c>
      <c r="S8" s="1">
        <v>-0.7973</v>
      </c>
      <c r="T8" s="1">
        <v>0.0</v>
      </c>
      <c r="U8" s="1">
        <v>1.0001</v>
      </c>
      <c r="V8" s="1">
        <v>2.5344</v>
      </c>
    </row>
    <row r="9">
      <c r="A9" s="663" t="s">
        <v>2173</v>
      </c>
      <c r="B9" s="663" t="s">
        <v>180</v>
      </c>
      <c r="C9" s="663" t="s">
        <v>50</v>
      </c>
      <c r="D9" s="663" t="s">
        <v>599</v>
      </c>
      <c r="E9" s="664" t="s">
        <v>413</v>
      </c>
      <c r="F9" s="665">
        <v>5461.0</v>
      </c>
      <c r="G9" s="665">
        <v>494.0</v>
      </c>
      <c r="H9" s="665">
        <v>9.05</v>
      </c>
      <c r="I9" s="665">
        <v>4.6</v>
      </c>
      <c r="J9" s="665">
        <v>3.48</v>
      </c>
      <c r="K9" s="665">
        <v>672.0</v>
      </c>
      <c r="L9" s="665">
        <v>14616.0</v>
      </c>
      <c r="M9" s="665">
        <v>0.12</v>
      </c>
      <c r="N9" s="1">
        <v>1.3603</v>
      </c>
      <c r="O9" s="1">
        <v>672.0</v>
      </c>
      <c r="P9" s="1">
        <v>14616.0</v>
      </c>
      <c r="Q9" s="1">
        <v>0.1231</v>
      </c>
      <c r="R9" s="1">
        <v>87321.0</v>
      </c>
      <c r="S9" s="1">
        <v>0.0</v>
      </c>
      <c r="T9" s="1">
        <v>0.0</v>
      </c>
      <c r="U9" s="1">
        <v>0.0016</v>
      </c>
      <c r="V9" s="1">
        <v>20.2134</v>
      </c>
    </row>
    <row r="10">
      <c r="A10" s="663" t="s">
        <v>2173</v>
      </c>
      <c r="B10" s="663" t="s">
        <v>180</v>
      </c>
      <c r="C10" s="663" t="s">
        <v>50</v>
      </c>
      <c r="D10" s="663" t="s">
        <v>599</v>
      </c>
      <c r="E10" s="664" t="s">
        <v>63</v>
      </c>
      <c r="F10" s="665">
        <v>5461.0</v>
      </c>
      <c r="G10" s="665">
        <v>483.0</v>
      </c>
      <c r="H10" s="665">
        <v>8.84</v>
      </c>
      <c r="I10" s="665">
        <v>4.17</v>
      </c>
      <c r="J10" s="665">
        <v>3.16</v>
      </c>
      <c r="K10" s="665">
        <v>610.0</v>
      </c>
      <c r="L10" s="665">
        <v>14616.0</v>
      </c>
      <c r="M10" s="665">
        <v>0.11</v>
      </c>
      <c r="N10" s="1">
        <v>1.2629</v>
      </c>
      <c r="O10" s="1">
        <v>610.0</v>
      </c>
      <c r="P10" s="1">
        <v>14616.0</v>
      </c>
      <c r="Q10" s="1">
        <v>0.1117</v>
      </c>
      <c r="R10" s="1">
        <v>87321.0</v>
      </c>
      <c r="S10" s="1">
        <v>0.0</v>
      </c>
      <c r="T10" s="1">
        <v>10.3622</v>
      </c>
      <c r="U10" s="1">
        <v>24.6248</v>
      </c>
      <c r="V10" s="1">
        <v>64.4962</v>
      </c>
    </row>
    <row r="11">
      <c r="A11" s="663" t="s">
        <v>2173</v>
      </c>
      <c r="B11" s="663" t="s">
        <v>180</v>
      </c>
      <c r="C11" s="663" t="s">
        <v>50</v>
      </c>
      <c r="D11" s="663" t="s">
        <v>599</v>
      </c>
      <c r="E11" s="664" t="s">
        <v>401</v>
      </c>
      <c r="F11" s="665">
        <v>5461.0</v>
      </c>
      <c r="G11" s="665">
        <v>185.0</v>
      </c>
      <c r="H11" s="665">
        <v>3.39</v>
      </c>
      <c r="I11" s="665">
        <v>1.31</v>
      </c>
      <c r="J11" s="665">
        <v>0.29</v>
      </c>
      <c r="K11" s="665">
        <v>191.0</v>
      </c>
      <c r="L11" s="665">
        <v>14616.0</v>
      </c>
      <c r="M11" s="665">
        <v>0.04</v>
      </c>
      <c r="N11" s="1">
        <v>1.0324</v>
      </c>
      <c r="O11" s="1">
        <v>191.0</v>
      </c>
      <c r="P11" s="1">
        <v>14616.0</v>
      </c>
      <c r="Q11" s="1">
        <v>0.035</v>
      </c>
      <c r="R11" s="1">
        <v>87321.0</v>
      </c>
      <c r="S11" s="1">
        <v>0.0879</v>
      </c>
      <c r="T11" s="1">
        <v>10.716</v>
      </c>
      <c r="U11" s="1">
        <v>31.3505</v>
      </c>
      <c r="V11" s="1">
        <v>77.0699</v>
      </c>
    </row>
    <row r="12">
      <c r="A12" s="663" t="s">
        <v>2173</v>
      </c>
      <c r="B12" s="663" t="s">
        <v>180</v>
      </c>
      <c r="C12" s="663" t="s">
        <v>50</v>
      </c>
      <c r="D12" s="663" t="s">
        <v>599</v>
      </c>
      <c r="E12" s="664" t="s">
        <v>73</v>
      </c>
      <c r="F12" s="665">
        <v>5461.0</v>
      </c>
      <c r="G12" s="665">
        <v>137.0</v>
      </c>
      <c r="H12" s="665">
        <v>2.51</v>
      </c>
      <c r="I12" s="665">
        <v>1.0</v>
      </c>
      <c r="J12" s="665">
        <v>0.24</v>
      </c>
      <c r="K12" s="665">
        <v>146.0</v>
      </c>
      <c r="L12" s="665">
        <v>14616.0</v>
      </c>
      <c r="M12" s="665">
        <v>0.03</v>
      </c>
      <c r="N12" s="1">
        <v>1.0657</v>
      </c>
      <c r="O12" s="1">
        <v>146.0</v>
      </c>
      <c r="P12" s="1">
        <v>14616.0</v>
      </c>
      <c r="Q12" s="1">
        <v>0.0267</v>
      </c>
      <c r="R12" s="1">
        <v>87321.0</v>
      </c>
      <c r="S12" s="1">
        <v>85.7697</v>
      </c>
      <c r="T12" s="1">
        <v>334.3265</v>
      </c>
      <c r="U12" s="1">
        <v>1064.048</v>
      </c>
      <c r="V12" s="1">
        <v>1999.1632</v>
      </c>
    </row>
    <row r="13">
      <c r="A13" s="663" t="s">
        <v>2173</v>
      </c>
      <c r="B13" s="663" t="s">
        <v>180</v>
      </c>
      <c r="C13" s="663" t="s">
        <v>50</v>
      </c>
      <c r="D13" s="663" t="s">
        <v>599</v>
      </c>
      <c r="E13" s="664" t="s">
        <v>206</v>
      </c>
      <c r="F13" s="665">
        <v>5461.0</v>
      </c>
      <c r="G13" s="665">
        <v>101.0</v>
      </c>
      <c r="H13" s="665">
        <v>1.85</v>
      </c>
      <c r="I13" s="665">
        <v>0.7</v>
      </c>
      <c r="J13" s="665">
        <v>0.11</v>
      </c>
      <c r="K13" s="665">
        <v>102.0</v>
      </c>
      <c r="L13" s="665">
        <v>14616.0</v>
      </c>
      <c r="M13" s="665">
        <v>0.02</v>
      </c>
      <c r="N13" s="1">
        <v>1.0099</v>
      </c>
      <c r="O13" s="1">
        <v>102.0</v>
      </c>
      <c r="P13" s="1">
        <v>14616.0</v>
      </c>
      <c r="Q13" s="1">
        <v>0.0187</v>
      </c>
      <c r="R13" s="1">
        <v>87321.0</v>
      </c>
      <c r="S13" s="1">
        <v>74.419</v>
      </c>
      <c r="T13" s="1">
        <v>322.0928</v>
      </c>
      <c r="U13" s="1">
        <v>1209.8024</v>
      </c>
      <c r="V13" s="1">
        <v>2554.7747</v>
      </c>
    </row>
    <row r="14">
      <c r="A14" s="663" t="s">
        <v>2173</v>
      </c>
      <c r="B14" s="663" t="s">
        <v>180</v>
      </c>
      <c r="C14" s="663" t="s">
        <v>50</v>
      </c>
      <c r="D14" s="663" t="s">
        <v>599</v>
      </c>
      <c r="E14" s="664" t="s">
        <v>418</v>
      </c>
      <c r="F14" s="665">
        <v>5461.0</v>
      </c>
      <c r="G14" s="665">
        <v>62.0</v>
      </c>
      <c r="H14" s="665">
        <v>1.14</v>
      </c>
      <c r="I14" s="665">
        <v>0.44</v>
      </c>
      <c r="J14" s="665">
        <v>0.86</v>
      </c>
      <c r="K14" s="665">
        <v>64.0</v>
      </c>
      <c r="L14" s="665">
        <v>14616.0</v>
      </c>
      <c r="M14" s="665">
        <v>0.01</v>
      </c>
      <c r="N14" s="1">
        <v>1.0323</v>
      </c>
      <c r="O14" s="1">
        <v>64.0</v>
      </c>
      <c r="P14" s="1">
        <v>14616.0</v>
      </c>
      <c r="Q14" s="1">
        <v>0.0117</v>
      </c>
      <c r="R14" s="1">
        <v>87321.0</v>
      </c>
      <c r="S14" s="1">
        <v>0.0</v>
      </c>
      <c r="T14" s="1">
        <v>0.0</v>
      </c>
      <c r="U14" s="1">
        <v>0.0</v>
      </c>
      <c r="V14" s="1">
        <v>0.0</v>
      </c>
    </row>
    <row r="15">
      <c r="A15" s="663" t="s">
        <v>2173</v>
      </c>
      <c r="B15" s="663" t="s">
        <v>180</v>
      </c>
      <c r="C15" s="663" t="s">
        <v>50</v>
      </c>
      <c r="D15" s="663" t="s">
        <v>599</v>
      </c>
      <c r="E15" s="664" t="s">
        <v>7</v>
      </c>
      <c r="F15" s="665">
        <v>5461.0</v>
      </c>
      <c r="G15" s="665">
        <v>56.0</v>
      </c>
      <c r="H15" s="665">
        <v>1.03</v>
      </c>
      <c r="I15" s="665">
        <v>0.4</v>
      </c>
      <c r="J15" s="665">
        <v>0.49</v>
      </c>
      <c r="K15" s="665">
        <v>58.0</v>
      </c>
      <c r="L15" s="665">
        <v>14616.0</v>
      </c>
      <c r="M15" s="665">
        <v>0.01</v>
      </c>
      <c r="N15" s="1">
        <v>1.0357</v>
      </c>
      <c r="O15" s="1">
        <v>58.0</v>
      </c>
      <c r="P15" s="1">
        <v>14616.0</v>
      </c>
      <c r="Q15" s="1">
        <v>0.0106</v>
      </c>
      <c r="R15" s="1">
        <v>87321.0</v>
      </c>
      <c r="S15" s="1">
        <v>-107.5489</v>
      </c>
      <c r="T15" s="1">
        <v>-12.736</v>
      </c>
      <c r="U15" s="1">
        <v>50.7029</v>
      </c>
      <c r="V15" s="1">
        <v>159.0822</v>
      </c>
    </row>
    <row r="16">
      <c r="A16" s="663" t="s">
        <v>2173</v>
      </c>
      <c r="B16" s="663" t="s">
        <v>180</v>
      </c>
      <c r="C16" s="663" t="s">
        <v>50</v>
      </c>
      <c r="D16" s="663" t="s">
        <v>599</v>
      </c>
      <c r="E16" s="664" t="s">
        <v>398</v>
      </c>
      <c r="F16" s="665">
        <v>5461.0</v>
      </c>
      <c r="G16" s="665">
        <v>1.0</v>
      </c>
      <c r="H16" s="665">
        <v>0.02</v>
      </c>
      <c r="I16" s="665">
        <v>0.01</v>
      </c>
      <c r="J16" s="665">
        <v>0.02</v>
      </c>
      <c r="K16" s="665">
        <v>1.0</v>
      </c>
      <c r="L16" s="665">
        <v>14616.0</v>
      </c>
      <c r="M16" s="665">
        <v>0.0</v>
      </c>
      <c r="N16" s="1">
        <v>1.0</v>
      </c>
      <c r="O16" s="1">
        <v>1.0</v>
      </c>
      <c r="P16" s="1">
        <v>14616.0</v>
      </c>
      <c r="Q16" s="1">
        <v>2.0E-4</v>
      </c>
      <c r="R16" s="1">
        <v>87321.0</v>
      </c>
      <c r="S16" s="1">
        <v>-2.1838</v>
      </c>
      <c r="T16" s="1">
        <v>-0.091</v>
      </c>
      <c r="U16" s="1">
        <v>0.5864</v>
      </c>
      <c r="V16" s="1">
        <v>2.0184</v>
      </c>
    </row>
    <row r="17">
      <c r="A17" s="663" t="s">
        <v>2173</v>
      </c>
      <c r="B17" s="663" t="s">
        <v>180</v>
      </c>
      <c r="C17" s="663" t="s">
        <v>50</v>
      </c>
      <c r="D17" s="663" t="s">
        <v>599</v>
      </c>
      <c r="E17" s="664" t="s">
        <v>151</v>
      </c>
      <c r="F17" s="665">
        <v>5461.0</v>
      </c>
      <c r="G17" s="665">
        <v>2.0</v>
      </c>
      <c r="H17" s="665">
        <v>0.04</v>
      </c>
      <c r="I17" s="665">
        <v>0.01</v>
      </c>
      <c r="J17" s="665">
        <v>0.04</v>
      </c>
      <c r="K17" s="665">
        <v>2.0</v>
      </c>
      <c r="L17" s="665">
        <v>14616.0</v>
      </c>
      <c r="M17" s="665">
        <v>0.0</v>
      </c>
      <c r="N17" s="1">
        <v>1.0</v>
      </c>
      <c r="O17" s="1">
        <v>2.0</v>
      </c>
      <c r="P17" s="1">
        <v>14616.0</v>
      </c>
      <c r="Q17" s="1">
        <v>4.0E-4</v>
      </c>
      <c r="R17" s="1">
        <v>87321.0</v>
      </c>
      <c r="S17" s="1">
        <v>-1.892</v>
      </c>
      <c r="T17" s="1">
        <v>-4.0E-4</v>
      </c>
      <c r="U17" s="1">
        <v>0.555</v>
      </c>
      <c r="V17" s="1">
        <v>2.0123</v>
      </c>
    </row>
    <row r="18">
      <c r="A18" s="663" t="s">
        <v>2173</v>
      </c>
      <c r="B18" s="663" t="s">
        <v>180</v>
      </c>
      <c r="C18" s="663" t="s">
        <v>48</v>
      </c>
      <c r="D18" s="663" t="s">
        <v>599</v>
      </c>
      <c r="E18" s="664" t="s">
        <v>411</v>
      </c>
      <c r="F18" s="665">
        <v>8611.0</v>
      </c>
      <c r="G18" s="665">
        <v>3574.0</v>
      </c>
      <c r="H18" s="665">
        <v>41.51</v>
      </c>
      <c r="I18" s="665">
        <v>23.37</v>
      </c>
      <c r="J18" s="665">
        <v>30.22</v>
      </c>
      <c r="K18" s="665">
        <v>5035.0</v>
      </c>
      <c r="L18" s="665">
        <v>21541.0</v>
      </c>
      <c r="M18" s="665">
        <v>0.58</v>
      </c>
      <c r="N18" s="1">
        <v>1.4088</v>
      </c>
      <c r="O18" s="1">
        <v>5035.0</v>
      </c>
      <c r="P18" s="1">
        <v>21541.0</v>
      </c>
      <c r="Q18" s="1">
        <v>0.5847</v>
      </c>
      <c r="R18" s="1">
        <v>87321.0</v>
      </c>
      <c r="S18" s="1">
        <v>-1.0003</v>
      </c>
      <c r="T18" s="1">
        <v>0.0</v>
      </c>
      <c r="U18" s="1">
        <v>0.0061</v>
      </c>
      <c r="V18" s="1">
        <v>1.0119</v>
      </c>
    </row>
    <row r="19">
      <c r="A19" s="663" t="s">
        <v>2173</v>
      </c>
      <c r="B19" s="663" t="s">
        <v>180</v>
      </c>
      <c r="C19" s="663" t="s">
        <v>48</v>
      </c>
      <c r="D19" s="663" t="s">
        <v>599</v>
      </c>
      <c r="E19" s="664" t="s">
        <v>413</v>
      </c>
      <c r="F19" s="665">
        <v>8611.0</v>
      </c>
      <c r="G19" s="665">
        <v>2086.0</v>
      </c>
      <c r="H19" s="665">
        <v>24.22</v>
      </c>
      <c r="I19" s="665">
        <v>14.67</v>
      </c>
      <c r="J19" s="665">
        <v>18.33</v>
      </c>
      <c r="K19" s="665">
        <v>3161.0</v>
      </c>
      <c r="L19" s="665">
        <v>21541.0</v>
      </c>
      <c r="M19" s="665">
        <v>0.37</v>
      </c>
      <c r="N19" s="1">
        <v>1.5153</v>
      </c>
      <c r="O19" s="1">
        <v>3161.0</v>
      </c>
      <c r="P19" s="1">
        <v>21541.0</v>
      </c>
      <c r="Q19" s="1">
        <v>0.3671</v>
      </c>
      <c r="R19" s="1">
        <v>87321.0</v>
      </c>
      <c r="S19" s="1">
        <v>-3.6425</v>
      </c>
      <c r="T19" s="1">
        <v>-0.8469</v>
      </c>
      <c r="U19" s="1">
        <v>0.9422</v>
      </c>
      <c r="V19" s="1">
        <v>3.0013</v>
      </c>
    </row>
    <row r="20">
      <c r="A20" s="663" t="s">
        <v>2173</v>
      </c>
      <c r="B20" s="663" t="s">
        <v>180</v>
      </c>
      <c r="C20" s="663" t="s">
        <v>48</v>
      </c>
      <c r="D20" s="663" t="s">
        <v>599</v>
      </c>
      <c r="E20" s="664" t="s">
        <v>14</v>
      </c>
      <c r="F20" s="665">
        <v>8611.0</v>
      </c>
      <c r="G20" s="665">
        <v>724.0</v>
      </c>
      <c r="H20" s="665">
        <v>8.41</v>
      </c>
      <c r="I20" s="665">
        <v>9.0</v>
      </c>
      <c r="J20" s="665">
        <v>4.27</v>
      </c>
      <c r="K20" s="665">
        <v>1939.0</v>
      </c>
      <c r="L20" s="665">
        <v>21541.0</v>
      </c>
      <c r="M20" s="665">
        <v>0.23</v>
      </c>
      <c r="N20" s="1">
        <v>2.6782</v>
      </c>
      <c r="O20" s="1">
        <v>1939.0</v>
      </c>
      <c r="P20" s="1">
        <v>21541.0</v>
      </c>
      <c r="Q20" s="1">
        <v>0.2252</v>
      </c>
      <c r="R20" s="1">
        <v>87321.0</v>
      </c>
      <c r="S20" s="1">
        <v>-2.9682</v>
      </c>
      <c r="T20" s="1">
        <v>-0.5251</v>
      </c>
      <c r="U20" s="1">
        <v>1.0336</v>
      </c>
      <c r="V20" s="1">
        <v>3.2613</v>
      </c>
    </row>
    <row r="21">
      <c r="A21" s="663" t="s">
        <v>2173</v>
      </c>
      <c r="B21" s="663" t="s">
        <v>180</v>
      </c>
      <c r="C21" s="663" t="s">
        <v>48</v>
      </c>
      <c r="D21" s="663" t="s">
        <v>599</v>
      </c>
      <c r="E21" s="664" t="s">
        <v>401</v>
      </c>
      <c r="F21" s="665">
        <v>8611.0</v>
      </c>
      <c r="G21" s="665">
        <v>1606.0</v>
      </c>
      <c r="H21" s="665">
        <v>18.65</v>
      </c>
      <c r="I21" s="665">
        <v>8.7</v>
      </c>
      <c r="J21" s="665">
        <v>10.81</v>
      </c>
      <c r="K21" s="665">
        <v>1875.0</v>
      </c>
      <c r="L21" s="665">
        <v>21541.0</v>
      </c>
      <c r="M21" s="665">
        <v>0.22</v>
      </c>
      <c r="N21" s="1">
        <v>1.1675</v>
      </c>
      <c r="O21" s="1">
        <v>1875.0</v>
      </c>
      <c r="P21" s="1">
        <v>21541.0</v>
      </c>
      <c r="Q21" s="1">
        <v>0.2177</v>
      </c>
      <c r="R21" s="1">
        <v>87321.0</v>
      </c>
      <c r="S21" s="1">
        <v>-1.6271</v>
      </c>
      <c r="T21" s="1">
        <v>-0.002</v>
      </c>
      <c r="U21" s="1">
        <v>0.6243</v>
      </c>
      <c r="V21" s="1">
        <v>1.9549</v>
      </c>
    </row>
    <row r="22">
      <c r="A22" s="663" t="s">
        <v>2173</v>
      </c>
      <c r="B22" s="663" t="s">
        <v>180</v>
      </c>
      <c r="C22" s="663" t="s">
        <v>48</v>
      </c>
      <c r="D22" s="663" t="s">
        <v>599</v>
      </c>
      <c r="E22" s="664" t="s">
        <v>9</v>
      </c>
      <c r="F22" s="665">
        <v>8611.0</v>
      </c>
      <c r="G22" s="665">
        <v>1233.0</v>
      </c>
      <c r="H22" s="665">
        <v>14.32</v>
      </c>
      <c r="I22" s="665">
        <v>7.9</v>
      </c>
      <c r="J22" s="665">
        <v>8.1</v>
      </c>
      <c r="K22" s="665">
        <v>1702.0</v>
      </c>
      <c r="L22" s="665">
        <v>21541.0</v>
      </c>
      <c r="M22" s="665">
        <v>0.2</v>
      </c>
      <c r="N22" s="1">
        <v>1.3804</v>
      </c>
      <c r="O22" s="1">
        <v>1702.0</v>
      </c>
      <c r="P22" s="1">
        <v>21541.0</v>
      </c>
      <c r="Q22" s="1">
        <v>0.1977</v>
      </c>
      <c r="R22" s="1">
        <v>87321.0</v>
      </c>
      <c r="S22" s="1">
        <v>0.0</v>
      </c>
      <c r="T22" s="1">
        <v>0.0</v>
      </c>
      <c r="U22" s="1">
        <v>2.3434</v>
      </c>
      <c r="V22" s="1">
        <v>22.7556</v>
      </c>
    </row>
    <row r="23">
      <c r="A23" s="663" t="s">
        <v>2173</v>
      </c>
      <c r="B23" s="663" t="s">
        <v>180</v>
      </c>
      <c r="C23" s="663" t="s">
        <v>48</v>
      </c>
      <c r="D23" s="663" t="s">
        <v>599</v>
      </c>
      <c r="E23" s="664" t="s">
        <v>51</v>
      </c>
      <c r="F23" s="665">
        <v>8611.0</v>
      </c>
      <c r="G23" s="665">
        <v>679.0</v>
      </c>
      <c r="H23" s="665">
        <v>7.89</v>
      </c>
      <c r="I23" s="665">
        <v>6.98</v>
      </c>
      <c r="J23" s="665">
        <v>2.94</v>
      </c>
      <c r="K23" s="665">
        <v>1504.0</v>
      </c>
      <c r="L23" s="665">
        <v>21541.0</v>
      </c>
      <c r="M23" s="665">
        <v>0.17</v>
      </c>
      <c r="N23" s="1">
        <v>2.215</v>
      </c>
      <c r="O23" s="1">
        <v>1504.0</v>
      </c>
      <c r="P23" s="1">
        <v>21541.0</v>
      </c>
      <c r="Q23" s="1">
        <v>0.1747</v>
      </c>
      <c r="R23" s="1">
        <v>87321.0</v>
      </c>
      <c r="S23" s="1">
        <v>0.0174</v>
      </c>
      <c r="T23" s="1">
        <v>12.0444</v>
      </c>
      <c r="U23" s="1">
        <v>33.6644</v>
      </c>
      <c r="V23" s="1">
        <v>69.5474</v>
      </c>
    </row>
    <row r="24">
      <c r="A24" s="663" t="s">
        <v>2173</v>
      </c>
      <c r="B24" s="663" t="s">
        <v>180</v>
      </c>
      <c r="C24" s="663" t="s">
        <v>48</v>
      </c>
      <c r="D24" s="663" t="s">
        <v>599</v>
      </c>
      <c r="E24" s="664" t="s">
        <v>396</v>
      </c>
      <c r="F24" s="665">
        <v>8611.0</v>
      </c>
      <c r="G24" s="665">
        <v>857.0</v>
      </c>
      <c r="H24" s="665">
        <v>9.95</v>
      </c>
      <c r="I24" s="665">
        <v>6.79</v>
      </c>
      <c r="J24" s="665">
        <v>6.34</v>
      </c>
      <c r="K24" s="665">
        <v>1462.0</v>
      </c>
      <c r="L24" s="665">
        <v>21541.0</v>
      </c>
      <c r="M24" s="665">
        <v>0.17</v>
      </c>
      <c r="N24" s="1">
        <v>1.706</v>
      </c>
      <c r="O24" s="1">
        <v>1462.0</v>
      </c>
      <c r="P24" s="1">
        <v>21541.0</v>
      </c>
      <c r="Q24" s="1">
        <v>0.1698</v>
      </c>
      <c r="R24" s="1">
        <v>87321.0</v>
      </c>
      <c r="S24" s="1">
        <v>1.6655</v>
      </c>
      <c r="T24" s="1">
        <v>13.7028</v>
      </c>
      <c r="U24" s="1">
        <v>40.6734</v>
      </c>
      <c r="V24" s="1">
        <v>80.4961</v>
      </c>
    </row>
    <row r="25">
      <c r="A25" s="663" t="s">
        <v>2173</v>
      </c>
      <c r="B25" s="663" t="s">
        <v>180</v>
      </c>
      <c r="C25" s="663" t="s">
        <v>48</v>
      </c>
      <c r="D25" s="663" t="s">
        <v>599</v>
      </c>
      <c r="E25" s="664" t="s">
        <v>398</v>
      </c>
      <c r="F25" s="665">
        <v>8611.0</v>
      </c>
      <c r="G25" s="665">
        <v>497.0</v>
      </c>
      <c r="H25" s="665">
        <v>5.77</v>
      </c>
      <c r="I25" s="665">
        <v>5.67</v>
      </c>
      <c r="J25" s="665">
        <v>1.46</v>
      </c>
      <c r="K25" s="665">
        <v>1222.0</v>
      </c>
      <c r="L25" s="665">
        <v>21541.0</v>
      </c>
      <c r="M25" s="665">
        <v>0.14</v>
      </c>
      <c r="N25" s="1">
        <v>2.4588</v>
      </c>
      <c r="O25" s="1">
        <v>1222.0</v>
      </c>
      <c r="P25" s="1">
        <v>21541.0</v>
      </c>
      <c r="Q25" s="1">
        <v>0.1419</v>
      </c>
      <c r="R25" s="1">
        <v>87321.0</v>
      </c>
      <c r="S25" s="1">
        <v>167.1153</v>
      </c>
      <c r="T25" s="1">
        <v>673.111</v>
      </c>
      <c r="U25" s="1">
        <v>1612.8772</v>
      </c>
      <c r="V25" s="1">
        <v>2478.3947</v>
      </c>
    </row>
    <row r="26">
      <c r="A26" s="663" t="s">
        <v>2173</v>
      </c>
      <c r="B26" s="663" t="s">
        <v>180</v>
      </c>
      <c r="C26" s="663" t="s">
        <v>48</v>
      </c>
      <c r="D26" s="663" t="s">
        <v>599</v>
      </c>
      <c r="E26" s="664" t="s">
        <v>206</v>
      </c>
      <c r="F26" s="665">
        <v>8611.0</v>
      </c>
      <c r="G26" s="665">
        <v>1037.0</v>
      </c>
      <c r="H26" s="665">
        <v>12.04</v>
      </c>
      <c r="I26" s="665">
        <v>4.97</v>
      </c>
      <c r="J26" s="665">
        <v>5.31</v>
      </c>
      <c r="K26" s="665">
        <v>1070.0</v>
      </c>
      <c r="L26" s="665">
        <v>21541.0</v>
      </c>
      <c r="M26" s="665">
        <v>0.12</v>
      </c>
      <c r="N26" s="1">
        <v>1.0318</v>
      </c>
      <c r="O26" s="1">
        <v>1070.0</v>
      </c>
      <c r="P26" s="1">
        <v>21541.0</v>
      </c>
      <c r="Q26" s="1">
        <v>0.1243</v>
      </c>
      <c r="R26" s="1">
        <v>87321.0</v>
      </c>
      <c r="S26" s="1">
        <v>152.1087</v>
      </c>
      <c r="T26" s="1">
        <v>700.1187</v>
      </c>
      <c r="U26" s="1">
        <v>1800.8768</v>
      </c>
      <c r="V26" s="1">
        <v>2954.2142</v>
      </c>
    </row>
    <row r="27">
      <c r="A27" s="663" t="s">
        <v>2173</v>
      </c>
      <c r="B27" s="663" t="s">
        <v>180</v>
      </c>
      <c r="C27" s="663" t="s">
        <v>48</v>
      </c>
      <c r="D27" s="663" t="s">
        <v>599</v>
      </c>
      <c r="E27" s="664" t="s">
        <v>63</v>
      </c>
      <c r="F27" s="665">
        <v>8611.0</v>
      </c>
      <c r="G27" s="665">
        <v>896.0</v>
      </c>
      <c r="H27" s="665">
        <v>10.41</v>
      </c>
      <c r="I27" s="665">
        <v>4.91</v>
      </c>
      <c r="J27" s="665">
        <v>5.87</v>
      </c>
      <c r="K27" s="665">
        <v>1058.0</v>
      </c>
      <c r="L27" s="665">
        <v>21541.0</v>
      </c>
      <c r="M27" s="665">
        <v>0.12</v>
      </c>
      <c r="N27" s="1">
        <v>1.1808</v>
      </c>
      <c r="O27" s="1">
        <v>1058.0</v>
      </c>
      <c r="P27" s="1">
        <v>21541.0</v>
      </c>
      <c r="Q27" s="1">
        <v>0.1229</v>
      </c>
      <c r="R27" s="1">
        <v>87321.0</v>
      </c>
      <c r="S27" s="1">
        <v>0.0</v>
      </c>
      <c r="T27" s="1">
        <v>0.0</v>
      </c>
      <c r="U27" s="1">
        <v>0.0</v>
      </c>
      <c r="V27" s="1">
        <v>0.0</v>
      </c>
    </row>
    <row r="28">
      <c r="A28" s="663" t="s">
        <v>2173</v>
      </c>
      <c r="B28" s="663" t="s">
        <v>180</v>
      </c>
      <c r="C28" s="663" t="s">
        <v>48</v>
      </c>
      <c r="D28" s="663" t="s">
        <v>599</v>
      </c>
      <c r="E28" s="664" t="s">
        <v>73</v>
      </c>
      <c r="F28" s="665">
        <v>8611.0</v>
      </c>
      <c r="G28" s="665">
        <v>506.0</v>
      </c>
      <c r="H28" s="665">
        <v>5.88</v>
      </c>
      <c r="I28" s="665">
        <v>2.51</v>
      </c>
      <c r="J28" s="665">
        <v>0.74</v>
      </c>
      <c r="K28" s="665">
        <v>540.0</v>
      </c>
      <c r="L28" s="665">
        <v>21541.0</v>
      </c>
      <c r="M28" s="665">
        <v>0.06</v>
      </c>
      <c r="N28" s="1">
        <v>1.0672</v>
      </c>
      <c r="O28" s="1">
        <v>540.0</v>
      </c>
      <c r="P28" s="1">
        <v>21541.0</v>
      </c>
      <c r="Q28" s="1">
        <v>0.0627</v>
      </c>
      <c r="R28" s="1">
        <v>87321.0</v>
      </c>
      <c r="S28" s="1">
        <v>-92.7325</v>
      </c>
      <c r="T28" s="1">
        <v>11.8681</v>
      </c>
      <c r="U28" s="1">
        <v>111.9956</v>
      </c>
      <c r="V28" s="1">
        <v>314.734</v>
      </c>
    </row>
    <row r="29">
      <c r="A29" s="663" t="s">
        <v>2173</v>
      </c>
      <c r="B29" s="663" t="s">
        <v>180</v>
      </c>
      <c r="C29" s="663" t="s">
        <v>48</v>
      </c>
      <c r="D29" s="663" t="s">
        <v>599</v>
      </c>
      <c r="E29" s="664" t="s">
        <v>16</v>
      </c>
      <c r="F29" s="665">
        <v>8611.0</v>
      </c>
      <c r="G29" s="665">
        <v>340.0</v>
      </c>
      <c r="H29" s="665">
        <v>3.95</v>
      </c>
      <c r="I29" s="665">
        <v>1.7</v>
      </c>
      <c r="J29" s="665">
        <v>2.75</v>
      </c>
      <c r="K29" s="665">
        <v>367.0</v>
      </c>
      <c r="L29" s="665">
        <v>21541.0</v>
      </c>
      <c r="M29" s="665">
        <v>0.04</v>
      </c>
      <c r="N29" s="1">
        <v>1.0794</v>
      </c>
      <c r="O29" s="1">
        <v>367.0</v>
      </c>
      <c r="P29" s="1">
        <v>21541.0</v>
      </c>
      <c r="Q29" s="1">
        <v>0.0426</v>
      </c>
      <c r="R29" s="1">
        <v>87321.0</v>
      </c>
      <c r="S29" s="1">
        <v>-1.5896</v>
      </c>
      <c r="T29" s="1">
        <v>1.0E-4</v>
      </c>
      <c r="U29" s="1">
        <v>1.2969</v>
      </c>
      <c r="V29" s="1">
        <v>3.8106</v>
      </c>
    </row>
    <row r="30">
      <c r="A30" s="663" t="s">
        <v>2173</v>
      </c>
      <c r="B30" s="663" t="s">
        <v>180</v>
      </c>
      <c r="C30" s="663" t="s">
        <v>48</v>
      </c>
      <c r="D30" s="663" t="s">
        <v>599</v>
      </c>
      <c r="E30" s="664" t="s">
        <v>42</v>
      </c>
      <c r="F30" s="665">
        <v>8611.0</v>
      </c>
      <c r="G30" s="665">
        <v>286.0</v>
      </c>
      <c r="H30" s="665">
        <v>3.32</v>
      </c>
      <c r="I30" s="665">
        <v>1.58</v>
      </c>
      <c r="J30" s="665">
        <v>0.88</v>
      </c>
      <c r="K30" s="665">
        <v>340.0</v>
      </c>
      <c r="L30" s="665">
        <v>21541.0</v>
      </c>
      <c r="M30" s="665">
        <v>0.04</v>
      </c>
      <c r="N30" s="1">
        <v>1.1888</v>
      </c>
      <c r="O30" s="1">
        <v>340.0</v>
      </c>
      <c r="P30" s="1">
        <v>21541.0</v>
      </c>
      <c r="Q30" s="1">
        <v>0.0395</v>
      </c>
      <c r="R30" s="1">
        <v>87321.0</v>
      </c>
      <c r="S30" s="1">
        <v>-1.2633</v>
      </c>
      <c r="T30" s="1">
        <v>0.003</v>
      </c>
      <c r="U30" s="1">
        <v>1.4216</v>
      </c>
      <c r="V30" s="1">
        <v>4.0304</v>
      </c>
    </row>
    <row r="31">
      <c r="A31" s="663" t="s">
        <v>2173</v>
      </c>
      <c r="B31" s="663" t="s">
        <v>180</v>
      </c>
      <c r="C31" s="663" t="s">
        <v>48</v>
      </c>
      <c r="D31" s="663" t="s">
        <v>599</v>
      </c>
      <c r="E31" s="664" t="s">
        <v>418</v>
      </c>
      <c r="F31" s="665">
        <v>8611.0</v>
      </c>
      <c r="G31" s="665">
        <v>164.0</v>
      </c>
      <c r="H31" s="665">
        <v>1.9</v>
      </c>
      <c r="I31" s="665">
        <v>0.84</v>
      </c>
      <c r="J31" s="665">
        <v>1.46</v>
      </c>
      <c r="K31" s="665">
        <v>180.0</v>
      </c>
      <c r="L31" s="665">
        <v>21541.0</v>
      </c>
      <c r="M31" s="665">
        <v>0.02</v>
      </c>
      <c r="N31" s="1">
        <v>1.0976</v>
      </c>
      <c r="O31" s="1">
        <v>180.0</v>
      </c>
      <c r="P31" s="1">
        <v>21541.0</v>
      </c>
      <c r="Q31" s="1">
        <v>0.0209</v>
      </c>
      <c r="R31" s="1">
        <v>87321.0</v>
      </c>
      <c r="S31" s="1">
        <v>-0.8313</v>
      </c>
      <c r="T31" s="1">
        <v>0.0</v>
      </c>
      <c r="U31" s="1">
        <v>0.9995</v>
      </c>
      <c r="V31" s="1">
        <v>2.3255</v>
      </c>
    </row>
    <row r="32">
      <c r="A32" s="663" t="s">
        <v>2173</v>
      </c>
      <c r="B32" s="663" t="s">
        <v>180</v>
      </c>
      <c r="C32" s="663" t="s">
        <v>48</v>
      </c>
      <c r="D32" s="663" t="s">
        <v>599</v>
      </c>
      <c r="E32" s="664" t="s">
        <v>7</v>
      </c>
      <c r="F32" s="665">
        <v>8611.0</v>
      </c>
      <c r="G32" s="665">
        <v>76.0</v>
      </c>
      <c r="H32" s="665">
        <v>0.88</v>
      </c>
      <c r="I32" s="665">
        <v>0.36</v>
      </c>
      <c r="J32" s="665">
        <v>0.46</v>
      </c>
      <c r="K32" s="665">
        <v>78.0</v>
      </c>
      <c r="L32" s="665">
        <v>21541.0</v>
      </c>
      <c r="M32" s="665">
        <v>0.01</v>
      </c>
      <c r="N32" s="1">
        <v>1.0263</v>
      </c>
      <c r="O32" s="1">
        <v>78.0</v>
      </c>
      <c r="P32" s="1">
        <v>21541.0</v>
      </c>
      <c r="Q32" s="1">
        <v>0.0091</v>
      </c>
      <c r="R32" s="1">
        <v>87321.0</v>
      </c>
      <c r="S32" s="1">
        <v>-3.8488</v>
      </c>
      <c r="T32" s="1">
        <v>-0.1524</v>
      </c>
      <c r="U32" s="1">
        <v>2.8436</v>
      </c>
      <c r="V32" s="1">
        <v>8.23</v>
      </c>
    </row>
    <row r="33">
      <c r="A33" s="663" t="s">
        <v>2173</v>
      </c>
      <c r="B33" s="663" t="s">
        <v>180</v>
      </c>
      <c r="C33" s="663" t="s">
        <v>48</v>
      </c>
      <c r="D33" s="663" t="s">
        <v>599</v>
      </c>
      <c r="E33" s="664" t="s">
        <v>151</v>
      </c>
      <c r="F33" s="665">
        <v>8611.0</v>
      </c>
      <c r="G33" s="665">
        <v>1.0</v>
      </c>
      <c r="H33" s="665">
        <v>0.01</v>
      </c>
      <c r="I33" s="665">
        <v>0.01</v>
      </c>
      <c r="J33" s="665">
        <v>0.0</v>
      </c>
      <c r="K33" s="665">
        <v>3.0</v>
      </c>
      <c r="L33" s="665">
        <v>21541.0</v>
      </c>
      <c r="M33" s="665">
        <v>0.0</v>
      </c>
      <c r="N33" s="1">
        <v>3.0</v>
      </c>
      <c r="O33" s="1">
        <v>3.0</v>
      </c>
      <c r="P33" s="1">
        <v>21541.0</v>
      </c>
      <c r="Q33" s="1">
        <v>3.0E-4</v>
      </c>
      <c r="R33" s="1">
        <v>87321.0</v>
      </c>
      <c r="S33" s="1">
        <v>-2.9415</v>
      </c>
      <c r="T33" s="1">
        <v>0.1639</v>
      </c>
      <c r="U33" s="1">
        <v>3.2639</v>
      </c>
      <c r="V33" s="1">
        <v>8.5928</v>
      </c>
    </row>
    <row r="34">
      <c r="A34" s="663" t="s">
        <v>2173</v>
      </c>
      <c r="B34" s="663" t="s">
        <v>180</v>
      </c>
      <c r="C34" s="663" t="s">
        <v>48</v>
      </c>
      <c r="D34" s="663" t="s">
        <v>599</v>
      </c>
      <c r="E34" s="664" t="s">
        <v>397</v>
      </c>
      <c r="F34" s="665">
        <v>8611.0</v>
      </c>
      <c r="G34" s="665">
        <v>1.0</v>
      </c>
      <c r="H34" s="665">
        <v>0.01</v>
      </c>
      <c r="I34" s="665">
        <v>0.01</v>
      </c>
      <c r="J34" s="665">
        <v>0.01</v>
      </c>
      <c r="K34" s="665">
        <v>2.0</v>
      </c>
      <c r="L34" s="665">
        <v>21541.0</v>
      </c>
      <c r="M34" s="665">
        <v>0.0</v>
      </c>
      <c r="N34" s="1">
        <v>2.0</v>
      </c>
      <c r="O34" s="1">
        <v>2.0</v>
      </c>
      <c r="P34" s="1">
        <v>21541.0</v>
      </c>
      <c r="Q34" s="1">
        <v>2.0E-4</v>
      </c>
      <c r="R34" s="1">
        <v>87321.0</v>
      </c>
      <c r="S34" s="1">
        <v>-1.0421</v>
      </c>
      <c r="T34" s="1">
        <v>0.0403</v>
      </c>
      <c r="U34" s="1">
        <v>1.8866</v>
      </c>
      <c r="V34" s="1">
        <v>5.1018</v>
      </c>
    </row>
    <row r="35">
      <c r="A35" s="663" t="s">
        <v>2173</v>
      </c>
      <c r="B35" s="663" t="s">
        <v>180</v>
      </c>
      <c r="C35" s="663" t="s">
        <v>48</v>
      </c>
      <c r="D35" s="663" t="s">
        <v>599</v>
      </c>
      <c r="E35" s="664" t="s">
        <v>338</v>
      </c>
      <c r="F35" s="665">
        <v>8611.0</v>
      </c>
      <c r="G35" s="665">
        <v>2.0</v>
      </c>
      <c r="H35" s="665">
        <v>0.02</v>
      </c>
      <c r="I35" s="665">
        <v>0.01</v>
      </c>
      <c r="J35" s="665">
        <v>0.02</v>
      </c>
      <c r="K35" s="665">
        <v>3.0</v>
      </c>
      <c r="L35" s="665">
        <v>21541.0</v>
      </c>
      <c r="M35" s="665">
        <v>0.0</v>
      </c>
      <c r="N35" s="1">
        <v>1.5</v>
      </c>
      <c r="O35" s="1">
        <v>3.0</v>
      </c>
      <c r="P35" s="1">
        <v>21541.0</v>
      </c>
      <c r="Q35" s="1">
        <v>3.0E-4</v>
      </c>
      <c r="R35" s="1">
        <v>87321.0</v>
      </c>
      <c r="S35" s="1">
        <v>0.0</v>
      </c>
      <c r="T35" s="1">
        <v>0.0</v>
      </c>
      <c r="U35" s="1">
        <v>11.2636</v>
      </c>
      <c r="V35" s="1">
        <v>26.5305</v>
      </c>
    </row>
    <row r="36">
      <c r="A36" s="663" t="s">
        <v>2173</v>
      </c>
      <c r="B36" s="663" t="s">
        <v>180</v>
      </c>
      <c r="C36" s="663" t="s">
        <v>54</v>
      </c>
      <c r="D36" s="663" t="s">
        <v>599</v>
      </c>
      <c r="E36" s="664" t="s">
        <v>14</v>
      </c>
      <c r="F36" s="665">
        <v>3845.0</v>
      </c>
      <c r="G36" s="665">
        <v>347.0</v>
      </c>
      <c r="H36" s="665">
        <v>9.02</v>
      </c>
      <c r="I36" s="665">
        <v>54.55</v>
      </c>
      <c r="J36" s="665">
        <v>2.78</v>
      </c>
      <c r="K36" s="665">
        <v>14421.0</v>
      </c>
      <c r="L36" s="665">
        <v>26434.0</v>
      </c>
      <c r="M36" s="665">
        <v>3.75</v>
      </c>
      <c r="N36" s="1">
        <v>41.5591</v>
      </c>
      <c r="O36" s="1">
        <v>14421.0</v>
      </c>
      <c r="P36" s="1">
        <v>26434.0</v>
      </c>
      <c r="Q36" s="1">
        <v>3.7506</v>
      </c>
      <c r="R36" s="1">
        <v>87321.0</v>
      </c>
      <c r="S36" s="1">
        <v>3.9586</v>
      </c>
      <c r="T36" s="1">
        <v>15.7201</v>
      </c>
      <c r="U36" s="1">
        <v>40.0722</v>
      </c>
      <c r="V36" s="1">
        <v>75.0022</v>
      </c>
    </row>
    <row r="37">
      <c r="A37" s="663" t="s">
        <v>2173</v>
      </c>
      <c r="B37" s="663" t="s">
        <v>180</v>
      </c>
      <c r="C37" s="663" t="s">
        <v>54</v>
      </c>
      <c r="D37" s="663" t="s">
        <v>599</v>
      </c>
      <c r="E37" s="664" t="s">
        <v>16</v>
      </c>
      <c r="F37" s="665">
        <v>3845.0</v>
      </c>
      <c r="G37" s="665">
        <v>1662.0</v>
      </c>
      <c r="H37" s="665">
        <v>43.22</v>
      </c>
      <c r="I37" s="665">
        <v>7.4</v>
      </c>
      <c r="J37" s="665">
        <v>39.83</v>
      </c>
      <c r="K37" s="665">
        <v>1955.0</v>
      </c>
      <c r="L37" s="665">
        <v>26434.0</v>
      </c>
      <c r="M37" s="665">
        <v>0.51</v>
      </c>
      <c r="N37" s="1">
        <v>1.1763</v>
      </c>
      <c r="O37" s="1">
        <v>1955.0</v>
      </c>
      <c r="P37" s="1">
        <v>26434.0</v>
      </c>
      <c r="Q37" s="1">
        <v>0.5085</v>
      </c>
      <c r="R37" s="1">
        <v>87321.0</v>
      </c>
      <c r="S37" s="1">
        <v>5.1856</v>
      </c>
      <c r="T37" s="1">
        <v>22.3438</v>
      </c>
      <c r="U37" s="1">
        <v>59.0261</v>
      </c>
      <c r="V37" s="1">
        <v>99.4161</v>
      </c>
    </row>
    <row r="38">
      <c r="A38" s="663" t="s">
        <v>2173</v>
      </c>
      <c r="B38" s="663" t="s">
        <v>180</v>
      </c>
      <c r="C38" s="663" t="s">
        <v>54</v>
      </c>
      <c r="D38" s="663" t="s">
        <v>599</v>
      </c>
      <c r="E38" s="664" t="s">
        <v>393</v>
      </c>
      <c r="F38" s="665">
        <v>3845.0</v>
      </c>
      <c r="G38" s="665">
        <v>722.0</v>
      </c>
      <c r="H38" s="665">
        <v>18.78</v>
      </c>
      <c r="I38" s="665">
        <v>6.81</v>
      </c>
      <c r="J38" s="665">
        <v>9.57</v>
      </c>
      <c r="K38" s="665">
        <v>1799.0</v>
      </c>
      <c r="L38" s="665">
        <v>26434.0</v>
      </c>
      <c r="M38" s="665">
        <v>0.47</v>
      </c>
      <c r="N38" s="1">
        <v>2.4917</v>
      </c>
      <c r="O38" s="1">
        <v>1799.0</v>
      </c>
      <c r="P38" s="1">
        <v>26434.0</v>
      </c>
      <c r="Q38" s="1">
        <v>0.4679</v>
      </c>
      <c r="R38" s="1">
        <v>87321.0</v>
      </c>
      <c r="S38" s="1">
        <v>216.7328</v>
      </c>
      <c r="T38" s="1">
        <v>761.9016</v>
      </c>
      <c r="U38" s="1">
        <v>2120.0142</v>
      </c>
      <c r="V38" s="1">
        <v>3241.3516</v>
      </c>
    </row>
    <row r="39">
      <c r="A39" s="663" t="s">
        <v>2173</v>
      </c>
      <c r="B39" s="663" t="s">
        <v>180</v>
      </c>
      <c r="C39" s="663" t="s">
        <v>54</v>
      </c>
      <c r="D39" s="663" t="s">
        <v>599</v>
      </c>
      <c r="E39" s="664" t="s">
        <v>42</v>
      </c>
      <c r="F39" s="665">
        <v>3845.0</v>
      </c>
      <c r="G39" s="665">
        <v>669.0</v>
      </c>
      <c r="H39" s="665">
        <v>17.4</v>
      </c>
      <c r="I39" s="665">
        <v>5.95</v>
      </c>
      <c r="J39" s="665">
        <v>6.46</v>
      </c>
      <c r="K39" s="665">
        <v>1574.0</v>
      </c>
      <c r="L39" s="665">
        <v>26434.0</v>
      </c>
      <c r="M39" s="665">
        <v>0.41</v>
      </c>
      <c r="N39" s="1">
        <v>2.3528</v>
      </c>
      <c r="O39" s="1">
        <v>1574.0</v>
      </c>
      <c r="P39" s="1">
        <v>26434.0</v>
      </c>
      <c r="Q39" s="1">
        <v>0.4094</v>
      </c>
      <c r="R39" s="1">
        <v>87321.0</v>
      </c>
      <c r="S39" s="1">
        <v>278.6614</v>
      </c>
      <c r="T39" s="1">
        <v>1189.2438</v>
      </c>
      <c r="U39" s="1">
        <v>3622.8426</v>
      </c>
      <c r="V39" s="1">
        <v>5205.3493</v>
      </c>
    </row>
    <row r="40">
      <c r="A40" s="663" t="s">
        <v>2173</v>
      </c>
      <c r="B40" s="663" t="s">
        <v>180</v>
      </c>
      <c r="C40" s="663" t="s">
        <v>54</v>
      </c>
      <c r="D40" s="663" t="s">
        <v>599</v>
      </c>
      <c r="E40" s="664" t="s">
        <v>9</v>
      </c>
      <c r="F40" s="665">
        <v>3845.0</v>
      </c>
      <c r="G40" s="665">
        <v>821.0</v>
      </c>
      <c r="H40" s="665">
        <v>21.35</v>
      </c>
      <c r="I40" s="665">
        <v>5.08</v>
      </c>
      <c r="J40" s="665">
        <v>10.66</v>
      </c>
      <c r="K40" s="665">
        <v>1343.0</v>
      </c>
      <c r="L40" s="665">
        <v>26434.0</v>
      </c>
      <c r="M40" s="665">
        <v>0.35</v>
      </c>
      <c r="N40" s="1">
        <v>1.6358</v>
      </c>
      <c r="O40" s="1">
        <v>1343.0</v>
      </c>
      <c r="P40" s="1">
        <v>26434.0</v>
      </c>
      <c r="Q40" s="1">
        <v>0.3493</v>
      </c>
      <c r="R40" s="1">
        <v>87321.0</v>
      </c>
      <c r="S40" s="1">
        <v>0.0</v>
      </c>
      <c r="T40" s="1">
        <v>0.0</v>
      </c>
      <c r="U40" s="1">
        <v>0.0</v>
      </c>
      <c r="V40" s="1">
        <v>0.4012</v>
      </c>
    </row>
    <row r="41">
      <c r="A41" s="663" t="s">
        <v>2173</v>
      </c>
      <c r="B41" s="663" t="s">
        <v>180</v>
      </c>
      <c r="C41" s="663" t="s">
        <v>54</v>
      </c>
      <c r="D41" s="663" t="s">
        <v>599</v>
      </c>
      <c r="E41" s="664" t="s">
        <v>15</v>
      </c>
      <c r="F41" s="665">
        <v>3845.0</v>
      </c>
      <c r="G41" s="665">
        <v>585.0</v>
      </c>
      <c r="H41" s="665">
        <v>15.21</v>
      </c>
      <c r="I41" s="665">
        <v>4.29</v>
      </c>
      <c r="J41" s="665">
        <v>10.36</v>
      </c>
      <c r="K41" s="665">
        <v>1133.0</v>
      </c>
      <c r="L41" s="665">
        <v>26434.0</v>
      </c>
      <c r="M41" s="665">
        <v>0.29</v>
      </c>
      <c r="N41" s="1">
        <v>1.9368</v>
      </c>
      <c r="O41" s="1">
        <v>1133.0</v>
      </c>
      <c r="P41" s="1">
        <v>26434.0</v>
      </c>
      <c r="Q41" s="1">
        <v>0.2947</v>
      </c>
      <c r="R41" s="1">
        <v>87321.0</v>
      </c>
      <c r="S41" s="1">
        <v>-92.9648</v>
      </c>
      <c r="T41" s="1">
        <v>1.5185</v>
      </c>
      <c r="U41" s="1">
        <v>91.9856</v>
      </c>
      <c r="V41" s="1">
        <v>251.1518</v>
      </c>
    </row>
    <row r="42">
      <c r="A42" s="663" t="s">
        <v>2173</v>
      </c>
      <c r="B42" s="663" t="s">
        <v>180</v>
      </c>
      <c r="C42" s="663" t="s">
        <v>54</v>
      </c>
      <c r="D42" s="663" t="s">
        <v>599</v>
      </c>
      <c r="E42" s="664" t="s">
        <v>398</v>
      </c>
      <c r="F42" s="665">
        <v>3845.0</v>
      </c>
      <c r="G42" s="665">
        <v>274.0</v>
      </c>
      <c r="H42" s="665">
        <v>7.13</v>
      </c>
      <c r="I42" s="665">
        <v>3.34</v>
      </c>
      <c r="J42" s="665">
        <v>1.12</v>
      </c>
      <c r="K42" s="665">
        <v>883.0</v>
      </c>
      <c r="L42" s="665">
        <v>26434.0</v>
      </c>
      <c r="M42" s="665">
        <v>0.23</v>
      </c>
      <c r="N42" s="1">
        <v>3.2226</v>
      </c>
      <c r="O42" s="1">
        <v>883.0</v>
      </c>
      <c r="P42" s="1">
        <v>26434.0</v>
      </c>
      <c r="Q42" s="1">
        <v>0.2296</v>
      </c>
      <c r="R42" s="1">
        <v>87321.0</v>
      </c>
      <c r="S42" s="1">
        <v>-3.1968</v>
      </c>
      <c r="T42" s="1">
        <v>-0.3857</v>
      </c>
      <c r="U42" s="1">
        <v>0.9797</v>
      </c>
      <c r="V42" s="1">
        <v>2.4288</v>
      </c>
    </row>
    <row r="43">
      <c r="A43" s="663" t="s">
        <v>2173</v>
      </c>
      <c r="B43" s="663" t="s">
        <v>180</v>
      </c>
      <c r="C43" s="663" t="s">
        <v>54</v>
      </c>
      <c r="D43" s="663" t="s">
        <v>599</v>
      </c>
      <c r="E43" s="664" t="s">
        <v>63</v>
      </c>
      <c r="F43" s="665">
        <v>3845.0</v>
      </c>
      <c r="G43" s="665">
        <v>467.0</v>
      </c>
      <c r="H43" s="665">
        <v>12.15</v>
      </c>
      <c r="I43" s="665">
        <v>3.33</v>
      </c>
      <c r="J43" s="665">
        <v>3.14</v>
      </c>
      <c r="K43" s="665">
        <v>879.0</v>
      </c>
      <c r="L43" s="665">
        <v>26434.0</v>
      </c>
      <c r="M43" s="665">
        <v>0.23</v>
      </c>
      <c r="N43" s="1">
        <v>1.8822</v>
      </c>
      <c r="O43" s="1">
        <v>879.0</v>
      </c>
      <c r="P43" s="1">
        <v>26434.0</v>
      </c>
      <c r="Q43" s="1">
        <v>0.2286</v>
      </c>
      <c r="R43" s="1">
        <v>87321.0</v>
      </c>
      <c r="S43" s="1">
        <v>-2.9004</v>
      </c>
      <c r="T43" s="1">
        <v>-0.1843</v>
      </c>
      <c r="U43" s="1">
        <v>0.9705</v>
      </c>
      <c r="V43" s="1">
        <v>2.3861</v>
      </c>
    </row>
    <row r="44">
      <c r="A44" s="663" t="s">
        <v>2173</v>
      </c>
      <c r="B44" s="663" t="s">
        <v>180</v>
      </c>
      <c r="C44" s="663" t="s">
        <v>54</v>
      </c>
      <c r="D44" s="663" t="s">
        <v>599</v>
      </c>
      <c r="E44" s="664" t="s">
        <v>397</v>
      </c>
      <c r="F44" s="665">
        <v>3845.0</v>
      </c>
      <c r="G44" s="665">
        <v>606.0</v>
      </c>
      <c r="H44" s="665">
        <v>15.76</v>
      </c>
      <c r="I44" s="665">
        <v>2.5</v>
      </c>
      <c r="J44" s="665">
        <v>8.47</v>
      </c>
      <c r="K44" s="665">
        <v>661.0</v>
      </c>
      <c r="L44" s="665">
        <v>26434.0</v>
      </c>
      <c r="M44" s="665">
        <v>0.17</v>
      </c>
      <c r="N44" s="1">
        <v>1.0908</v>
      </c>
      <c r="O44" s="1">
        <v>661.0</v>
      </c>
      <c r="P44" s="1">
        <v>26434.0</v>
      </c>
      <c r="Q44" s="1">
        <v>0.1719</v>
      </c>
      <c r="R44" s="1">
        <v>87321.0</v>
      </c>
      <c r="S44" s="1">
        <v>-1.8618</v>
      </c>
      <c r="T44" s="1">
        <v>0.0</v>
      </c>
      <c r="U44" s="1">
        <v>0.2963</v>
      </c>
      <c r="V44" s="1">
        <v>1.5581</v>
      </c>
    </row>
    <row r="45">
      <c r="A45" s="663" t="s">
        <v>2173</v>
      </c>
      <c r="B45" s="663" t="s">
        <v>180</v>
      </c>
      <c r="C45" s="663" t="s">
        <v>54</v>
      </c>
      <c r="D45" s="663" t="s">
        <v>599</v>
      </c>
      <c r="E45" s="664" t="s">
        <v>396</v>
      </c>
      <c r="F45" s="665">
        <v>3845.0</v>
      </c>
      <c r="G45" s="665">
        <v>387.0</v>
      </c>
      <c r="H45" s="665">
        <v>10.07</v>
      </c>
      <c r="I45" s="665">
        <v>1.75</v>
      </c>
      <c r="J45" s="665">
        <v>1.82</v>
      </c>
      <c r="K45" s="665">
        <v>462.0</v>
      </c>
      <c r="L45" s="665">
        <v>26434.0</v>
      </c>
      <c r="M45" s="665">
        <v>0.12</v>
      </c>
      <c r="N45" s="1">
        <v>1.1938</v>
      </c>
      <c r="O45" s="1">
        <v>462.0</v>
      </c>
      <c r="P45" s="1">
        <v>26434.0</v>
      </c>
      <c r="Q45" s="1">
        <v>0.1202</v>
      </c>
      <c r="R45" s="1">
        <v>87321.0</v>
      </c>
      <c r="S45" s="1">
        <v>-7.6379</v>
      </c>
      <c r="T45" s="1">
        <v>-2.1073</v>
      </c>
      <c r="U45" s="1">
        <v>1.095</v>
      </c>
      <c r="V45" s="1">
        <v>4.051</v>
      </c>
    </row>
    <row r="46">
      <c r="A46" s="663" t="s">
        <v>2173</v>
      </c>
      <c r="B46" s="663" t="s">
        <v>180</v>
      </c>
      <c r="C46" s="663" t="s">
        <v>54</v>
      </c>
      <c r="D46" s="663" t="s">
        <v>599</v>
      </c>
      <c r="E46" s="664" t="s">
        <v>341</v>
      </c>
      <c r="F46" s="665">
        <v>3845.0</v>
      </c>
      <c r="G46" s="665">
        <v>253.0</v>
      </c>
      <c r="H46" s="665">
        <v>6.58</v>
      </c>
      <c r="I46" s="665">
        <v>1.21</v>
      </c>
      <c r="J46" s="665">
        <v>1.5</v>
      </c>
      <c r="K46" s="665">
        <v>320.0</v>
      </c>
      <c r="L46" s="665">
        <v>26434.0</v>
      </c>
      <c r="M46" s="665">
        <v>0.08</v>
      </c>
      <c r="N46" s="1">
        <v>1.2648</v>
      </c>
      <c r="O46" s="1">
        <v>320.0</v>
      </c>
      <c r="P46" s="1">
        <v>26434.0</v>
      </c>
      <c r="Q46" s="1">
        <v>0.0832</v>
      </c>
      <c r="R46" s="1">
        <v>87321.0</v>
      </c>
      <c r="S46" s="1">
        <v>-6.7391</v>
      </c>
      <c r="T46" s="1">
        <v>-1.5635</v>
      </c>
      <c r="U46" s="1">
        <v>1.6459</v>
      </c>
      <c r="V46" s="1">
        <v>4.6347</v>
      </c>
    </row>
    <row r="47">
      <c r="A47" s="663" t="s">
        <v>2173</v>
      </c>
      <c r="B47" s="663" t="s">
        <v>180</v>
      </c>
      <c r="C47" s="663" t="s">
        <v>54</v>
      </c>
      <c r="D47" s="663" t="s">
        <v>599</v>
      </c>
      <c r="E47" s="664" t="s">
        <v>338</v>
      </c>
      <c r="F47" s="665">
        <v>3845.0</v>
      </c>
      <c r="G47" s="665">
        <v>213.0</v>
      </c>
      <c r="H47" s="665">
        <v>5.54</v>
      </c>
      <c r="I47" s="665">
        <v>1.04</v>
      </c>
      <c r="J47" s="665">
        <v>1.11</v>
      </c>
      <c r="K47" s="665">
        <v>275.0</v>
      </c>
      <c r="L47" s="665">
        <v>26434.0</v>
      </c>
      <c r="M47" s="665">
        <v>0.07</v>
      </c>
      <c r="N47" s="1">
        <v>1.2911</v>
      </c>
      <c r="O47" s="1">
        <v>275.0</v>
      </c>
      <c r="P47" s="1">
        <v>26434.0</v>
      </c>
      <c r="Q47" s="1">
        <v>0.0715</v>
      </c>
      <c r="R47" s="1">
        <v>87321.0</v>
      </c>
      <c r="S47" s="1">
        <v>-4.3657</v>
      </c>
      <c r="T47" s="1">
        <v>-0.7039</v>
      </c>
      <c r="U47" s="1">
        <v>0.9772</v>
      </c>
      <c r="V47" s="1">
        <v>2.3888</v>
      </c>
    </row>
    <row r="48">
      <c r="A48" s="663" t="s">
        <v>2173</v>
      </c>
      <c r="B48" s="663" t="s">
        <v>180</v>
      </c>
      <c r="C48" s="663" t="s">
        <v>54</v>
      </c>
      <c r="D48" s="663" t="s">
        <v>599</v>
      </c>
      <c r="E48" s="664" t="s">
        <v>329</v>
      </c>
      <c r="F48" s="665">
        <v>3845.0</v>
      </c>
      <c r="G48" s="665">
        <v>220.0</v>
      </c>
      <c r="H48" s="665">
        <v>5.72</v>
      </c>
      <c r="I48" s="665">
        <v>1.04</v>
      </c>
      <c r="J48" s="665">
        <v>1.14</v>
      </c>
      <c r="K48" s="665">
        <v>276.0</v>
      </c>
      <c r="L48" s="665">
        <v>26434.0</v>
      </c>
      <c r="M48" s="665">
        <v>0.07</v>
      </c>
      <c r="N48" s="1">
        <v>1.2545</v>
      </c>
      <c r="O48" s="1">
        <v>276.0</v>
      </c>
      <c r="P48" s="1">
        <v>26434.0</v>
      </c>
      <c r="Q48" s="1">
        <v>0.0718</v>
      </c>
      <c r="R48" s="1">
        <v>87321.0</v>
      </c>
      <c r="S48" s="1">
        <v>-0.7102</v>
      </c>
      <c r="T48" s="1">
        <v>0.0</v>
      </c>
      <c r="U48" s="1">
        <v>4.1359</v>
      </c>
      <c r="V48" s="1">
        <v>21.5048</v>
      </c>
    </row>
    <row r="49">
      <c r="A49" s="663" t="s">
        <v>2173</v>
      </c>
      <c r="B49" s="663" t="s">
        <v>180</v>
      </c>
      <c r="C49" s="663" t="s">
        <v>54</v>
      </c>
      <c r="D49" s="663" t="s">
        <v>599</v>
      </c>
      <c r="E49" s="664" t="s">
        <v>401</v>
      </c>
      <c r="F49" s="665">
        <v>3845.0</v>
      </c>
      <c r="G49" s="665">
        <v>185.0</v>
      </c>
      <c r="H49" s="665">
        <v>4.81</v>
      </c>
      <c r="I49" s="665">
        <v>0.72</v>
      </c>
      <c r="J49" s="665">
        <v>0.31</v>
      </c>
      <c r="K49" s="665">
        <v>191.0</v>
      </c>
      <c r="L49" s="665">
        <v>26434.0</v>
      </c>
      <c r="M49" s="665">
        <v>0.05</v>
      </c>
      <c r="N49" s="1">
        <v>1.0324</v>
      </c>
      <c r="O49" s="1">
        <v>191.0</v>
      </c>
      <c r="P49" s="1">
        <v>26434.0</v>
      </c>
      <c r="Q49" s="1">
        <v>0.0497</v>
      </c>
      <c r="R49" s="1">
        <v>87321.0</v>
      </c>
      <c r="S49" s="1">
        <v>0.3684</v>
      </c>
      <c r="T49" s="1">
        <v>11.5756</v>
      </c>
      <c r="U49" s="1">
        <v>33.6699</v>
      </c>
      <c r="V49" s="1">
        <v>69.2523</v>
      </c>
    </row>
    <row r="50">
      <c r="A50" s="663" t="s">
        <v>2173</v>
      </c>
      <c r="B50" s="663" t="s">
        <v>180</v>
      </c>
      <c r="C50" s="663" t="s">
        <v>54</v>
      </c>
      <c r="D50" s="663" t="s">
        <v>599</v>
      </c>
      <c r="E50" s="664" t="s">
        <v>206</v>
      </c>
      <c r="F50" s="665">
        <v>3845.0</v>
      </c>
      <c r="G50" s="665">
        <v>101.0</v>
      </c>
      <c r="H50" s="665">
        <v>2.63</v>
      </c>
      <c r="I50" s="665">
        <v>0.39</v>
      </c>
      <c r="J50" s="665">
        <v>0.12</v>
      </c>
      <c r="K50" s="665">
        <v>102.0</v>
      </c>
      <c r="L50" s="665">
        <v>26434.0</v>
      </c>
      <c r="M50" s="665">
        <v>0.03</v>
      </c>
      <c r="N50" s="1">
        <v>1.0099</v>
      </c>
      <c r="O50" s="1">
        <v>102.0</v>
      </c>
      <c r="P50" s="1">
        <v>26434.0</v>
      </c>
      <c r="Q50" s="1">
        <v>0.0265</v>
      </c>
      <c r="R50" s="1">
        <v>87321.0</v>
      </c>
      <c r="S50" s="1">
        <v>2.1163</v>
      </c>
      <c r="T50" s="1">
        <v>14.7989</v>
      </c>
      <c r="U50" s="1">
        <v>43.6737</v>
      </c>
      <c r="V50" s="1">
        <v>85.7405</v>
      </c>
    </row>
    <row r="51">
      <c r="A51" s="663" t="s">
        <v>2173</v>
      </c>
      <c r="B51" s="663" t="s">
        <v>180</v>
      </c>
      <c r="C51" s="663" t="s">
        <v>54</v>
      </c>
      <c r="D51" s="663" t="s">
        <v>599</v>
      </c>
      <c r="E51" s="664" t="s">
        <v>7</v>
      </c>
      <c r="F51" s="665">
        <v>3845.0</v>
      </c>
      <c r="G51" s="665">
        <v>89.0</v>
      </c>
      <c r="H51" s="665">
        <v>2.31</v>
      </c>
      <c r="I51" s="665">
        <v>0.34</v>
      </c>
      <c r="J51" s="665">
        <v>0.25</v>
      </c>
      <c r="K51" s="665">
        <v>91.0</v>
      </c>
      <c r="L51" s="665">
        <v>26434.0</v>
      </c>
      <c r="M51" s="665">
        <v>0.02</v>
      </c>
      <c r="N51" s="1">
        <v>1.0225</v>
      </c>
      <c r="O51" s="1">
        <v>91.0</v>
      </c>
      <c r="P51" s="1">
        <v>26434.0</v>
      </c>
      <c r="Q51" s="1">
        <v>0.0237</v>
      </c>
      <c r="R51" s="1">
        <v>87321.0</v>
      </c>
      <c r="S51" s="1">
        <v>269.3843</v>
      </c>
      <c r="T51" s="1">
        <v>1004.3371</v>
      </c>
      <c r="U51" s="1">
        <v>2588.6526</v>
      </c>
      <c r="V51" s="1">
        <v>3742.0635</v>
      </c>
    </row>
    <row r="52">
      <c r="A52" s="663" t="s">
        <v>2173</v>
      </c>
      <c r="B52" s="663" t="s">
        <v>180</v>
      </c>
      <c r="C52" s="663" t="s">
        <v>54</v>
      </c>
      <c r="D52" s="663" t="s">
        <v>599</v>
      </c>
      <c r="E52" s="664" t="s">
        <v>411</v>
      </c>
      <c r="F52" s="665">
        <v>3845.0</v>
      </c>
      <c r="G52" s="665">
        <v>41.0</v>
      </c>
      <c r="H52" s="665">
        <v>1.07</v>
      </c>
      <c r="I52" s="665">
        <v>0.17</v>
      </c>
      <c r="J52" s="665">
        <v>0.79</v>
      </c>
      <c r="K52" s="665">
        <v>44.0</v>
      </c>
      <c r="L52" s="665">
        <v>26434.0</v>
      </c>
      <c r="M52" s="665">
        <v>0.01</v>
      </c>
      <c r="N52" s="1">
        <v>1.0732</v>
      </c>
      <c r="O52" s="1">
        <v>44.0</v>
      </c>
      <c r="P52" s="1">
        <v>26434.0</v>
      </c>
      <c r="Q52" s="1">
        <v>0.0114</v>
      </c>
      <c r="R52" s="1">
        <v>87321.0</v>
      </c>
      <c r="S52" s="1">
        <v>354.0981</v>
      </c>
      <c r="T52" s="1">
        <v>1537.1599</v>
      </c>
      <c r="U52" s="1">
        <v>3866.7244</v>
      </c>
      <c r="V52" s="1">
        <v>5354.0824</v>
      </c>
    </row>
    <row r="53">
      <c r="A53" s="663" t="s">
        <v>2173</v>
      </c>
      <c r="B53" s="663" t="s">
        <v>180</v>
      </c>
      <c r="C53" s="663" t="s">
        <v>54</v>
      </c>
      <c r="D53" s="663" t="s">
        <v>599</v>
      </c>
      <c r="E53" s="664" t="s">
        <v>418</v>
      </c>
      <c r="F53" s="665">
        <v>3845.0</v>
      </c>
      <c r="G53" s="665">
        <v>21.0</v>
      </c>
      <c r="H53" s="665">
        <v>0.55</v>
      </c>
      <c r="I53" s="665">
        <v>0.08</v>
      </c>
      <c r="J53" s="665">
        <v>0.5</v>
      </c>
      <c r="K53" s="665">
        <v>21.0</v>
      </c>
      <c r="L53" s="665">
        <v>26434.0</v>
      </c>
      <c r="M53" s="665">
        <v>0.01</v>
      </c>
      <c r="N53" s="1">
        <v>1.0</v>
      </c>
      <c r="O53" s="1">
        <v>21.0</v>
      </c>
      <c r="P53" s="1">
        <v>26434.0</v>
      </c>
      <c r="Q53" s="1">
        <v>0.0055</v>
      </c>
      <c r="R53" s="1">
        <v>87321.0</v>
      </c>
      <c r="S53" s="1">
        <v>0.0</v>
      </c>
      <c r="T53" s="1">
        <v>0.0</v>
      </c>
      <c r="U53" s="1">
        <v>0.0</v>
      </c>
      <c r="V53" s="1">
        <v>5.1492</v>
      </c>
    </row>
    <row r="54">
      <c r="A54" s="663" t="s">
        <v>2173</v>
      </c>
      <c r="B54" s="663" t="s">
        <v>180</v>
      </c>
      <c r="C54" s="663" t="s">
        <v>54</v>
      </c>
      <c r="D54" s="663" t="s">
        <v>599</v>
      </c>
      <c r="E54" s="664" t="s">
        <v>151</v>
      </c>
      <c r="F54" s="665">
        <v>3845.0</v>
      </c>
      <c r="G54" s="665">
        <v>4.0</v>
      </c>
      <c r="H54" s="665">
        <v>0.1</v>
      </c>
      <c r="I54" s="665">
        <v>0.02</v>
      </c>
      <c r="J54" s="665">
        <v>0.08</v>
      </c>
      <c r="K54" s="665">
        <v>4.0</v>
      </c>
      <c r="L54" s="665">
        <v>26434.0</v>
      </c>
      <c r="M54" s="665">
        <v>0.0</v>
      </c>
      <c r="N54" s="1">
        <v>1.0</v>
      </c>
      <c r="O54" s="1">
        <v>4.0</v>
      </c>
      <c r="P54" s="1">
        <v>26434.0</v>
      </c>
      <c r="Q54" s="1">
        <v>0.001</v>
      </c>
      <c r="R54" s="1">
        <v>87321.0</v>
      </c>
      <c r="S54" s="1">
        <v>-122.5981</v>
      </c>
      <c r="T54" s="1">
        <v>13.2508</v>
      </c>
      <c r="U54" s="1">
        <v>157.2914</v>
      </c>
      <c r="V54" s="1">
        <v>461.1138</v>
      </c>
    </row>
    <row r="55">
      <c r="A55" s="663" t="s">
        <v>2173</v>
      </c>
      <c r="B55" s="663" t="s">
        <v>180</v>
      </c>
      <c r="C55" s="663" t="s">
        <v>1205</v>
      </c>
      <c r="D55" s="663" t="s">
        <v>1205</v>
      </c>
      <c r="E55" s="664" t="s">
        <v>398</v>
      </c>
      <c r="F55" s="665">
        <v>18395.0</v>
      </c>
      <c r="G55" s="665">
        <v>1046.0</v>
      </c>
      <c r="H55" s="665">
        <v>5.69</v>
      </c>
      <c r="I55" s="665">
        <v>29.72</v>
      </c>
      <c r="J55" s="665">
        <v>2.39</v>
      </c>
      <c r="K55" s="665">
        <v>1002960.0</v>
      </c>
      <c r="L55" s="665">
        <v>3374879.23</v>
      </c>
      <c r="M55" s="665">
        <v>54.52</v>
      </c>
      <c r="N55" s="1">
        <v>958.8528</v>
      </c>
      <c r="O55" s="1">
        <v>1002960.0</v>
      </c>
      <c r="P55" s="1">
        <v>5301525.0</v>
      </c>
      <c r="Q55" s="1">
        <v>54.5235</v>
      </c>
      <c r="R55" s="1">
        <v>87321.0</v>
      </c>
      <c r="S55" s="1">
        <v>-2.0017</v>
      </c>
      <c r="T55" s="1">
        <v>4.0E-4</v>
      </c>
      <c r="U55" s="1">
        <v>1.6894</v>
      </c>
      <c r="V55" s="1">
        <v>4.2082</v>
      </c>
    </row>
    <row r="56">
      <c r="A56" s="663" t="s">
        <v>2173</v>
      </c>
      <c r="B56" s="663" t="s">
        <v>180</v>
      </c>
      <c r="C56" s="663" t="s">
        <v>1205</v>
      </c>
      <c r="D56" s="663" t="s">
        <v>1205</v>
      </c>
      <c r="E56" s="664" t="s">
        <v>397</v>
      </c>
      <c r="F56" s="665">
        <v>18395.0</v>
      </c>
      <c r="G56" s="665">
        <v>13997.0</v>
      </c>
      <c r="H56" s="665">
        <v>76.09</v>
      </c>
      <c r="I56" s="665">
        <v>17.28</v>
      </c>
      <c r="J56" s="665">
        <v>55.02</v>
      </c>
      <c r="K56" s="665">
        <v>583280.0</v>
      </c>
      <c r="L56" s="665">
        <v>3374879.23</v>
      </c>
      <c r="M56" s="665">
        <v>31.71</v>
      </c>
      <c r="N56" s="1">
        <v>41.6718</v>
      </c>
      <c r="O56" s="1">
        <v>583280.0</v>
      </c>
      <c r="P56" s="1">
        <v>5301525.0</v>
      </c>
      <c r="Q56" s="1">
        <v>31.7086</v>
      </c>
      <c r="R56" s="1">
        <v>87321.0</v>
      </c>
      <c r="S56" s="1">
        <v>-1.7277</v>
      </c>
      <c r="T56" s="1">
        <v>0.0579</v>
      </c>
      <c r="U56" s="1">
        <v>2.0111</v>
      </c>
      <c r="V56" s="1">
        <v>5.2716</v>
      </c>
    </row>
    <row r="57">
      <c r="A57" s="663" t="s">
        <v>2173</v>
      </c>
      <c r="B57" s="663" t="s">
        <v>180</v>
      </c>
      <c r="C57" s="663" t="s">
        <v>1205</v>
      </c>
      <c r="D57" s="663" t="s">
        <v>1205</v>
      </c>
      <c r="E57" s="664" t="s">
        <v>15</v>
      </c>
      <c r="F57" s="665">
        <v>18395.0</v>
      </c>
      <c r="G57" s="665">
        <v>2257.0</v>
      </c>
      <c r="H57" s="665">
        <v>12.27</v>
      </c>
      <c r="I57" s="665">
        <v>10.42</v>
      </c>
      <c r="J57" s="665">
        <v>6.49</v>
      </c>
      <c r="K57" s="665">
        <v>351500.0</v>
      </c>
      <c r="L57" s="665">
        <v>3374879.23</v>
      </c>
      <c r="M57" s="665">
        <v>19.11</v>
      </c>
      <c r="N57" s="1">
        <v>155.7377</v>
      </c>
      <c r="O57" s="1">
        <v>351500.0</v>
      </c>
      <c r="P57" s="1">
        <v>5301525.0</v>
      </c>
      <c r="Q57" s="1">
        <v>19.1085</v>
      </c>
      <c r="R57" s="1">
        <v>87321.0</v>
      </c>
      <c r="S57" s="1">
        <v>-0.987</v>
      </c>
      <c r="T57" s="1">
        <v>0.0</v>
      </c>
      <c r="U57" s="1">
        <v>1.0738</v>
      </c>
      <c r="V57" s="1">
        <v>3.1514</v>
      </c>
    </row>
    <row r="58">
      <c r="A58" s="663" t="s">
        <v>2173</v>
      </c>
      <c r="B58" s="663" t="s">
        <v>180</v>
      </c>
      <c r="C58" s="663" t="s">
        <v>1205</v>
      </c>
      <c r="D58" s="663" t="s">
        <v>1205</v>
      </c>
      <c r="E58" s="664" t="s">
        <v>393</v>
      </c>
      <c r="F58" s="665">
        <v>18395.0</v>
      </c>
      <c r="G58" s="665">
        <v>1822.0</v>
      </c>
      <c r="H58" s="665">
        <v>9.9</v>
      </c>
      <c r="I58" s="665">
        <v>5.18</v>
      </c>
      <c r="J58" s="665">
        <v>3.4</v>
      </c>
      <c r="K58" s="665">
        <v>174870.0</v>
      </c>
      <c r="L58" s="665">
        <v>3374879.23</v>
      </c>
      <c r="M58" s="665">
        <v>9.51</v>
      </c>
      <c r="N58" s="1">
        <v>95.9769</v>
      </c>
      <c r="O58" s="1">
        <v>174870.0</v>
      </c>
      <c r="P58" s="1">
        <v>5301525.0</v>
      </c>
      <c r="Q58" s="1">
        <v>9.5064</v>
      </c>
      <c r="R58" s="1">
        <v>87321.0</v>
      </c>
      <c r="S58" s="1">
        <v>-5.3203</v>
      </c>
      <c r="T58" s="1">
        <v>-0.0592</v>
      </c>
      <c r="U58" s="1">
        <v>4.293</v>
      </c>
      <c r="V58" s="1">
        <v>12.0017</v>
      </c>
    </row>
    <row r="59">
      <c r="A59" s="663" t="s">
        <v>2173</v>
      </c>
      <c r="B59" s="663" t="s">
        <v>180</v>
      </c>
      <c r="C59" s="663" t="s">
        <v>1205</v>
      </c>
      <c r="D59" s="663" t="s">
        <v>1205</v>
      </c>
      <c r="E59" s="664" t="s">
        <v>396</v>
      </c>
      <c r="F59" s="665">
        <v>18395.0</v>
      </c>
      <c r="G59" s="665">
        <v>2245.0</v>
      </c>
      <c r="H59" s="665">
        <v>12.2</v>
      </c>
      <c r="I59" s="665">
        <v>4.23</v>
      </c>
      <c r="J59" s="665">
        <v>7.4</v>
      </c>
      <c r="K59" s="665">
        <v>142815.0</v>
      </c>
      <c r="L59" s="665">
        <v>3374879.23</v>
      </c>
      <c r="M59" s="665">
        <v>7.76</v>
      </c>
      <c r="N59" s="1">
        <v>63.6147</v>
      </c>
      <c r="O59" s="1">
        <v>142815.0</v>
      </c>
      <c r="P59" s="1">
        <v>5301525.0</v>
      </c>
      <c r="Q59" s="1">
        <v>7.7638</v>
      </c>
      <c r="R59" s="1">
        <v>87321.0</v>
      </c>
      <c r="S59" s="1">
        <v>-4.2749</v>
      </c>
      <c r="T59" s="1">
        <v>0.2232</v>
      </c>
      <c r="U59" s="1">
        <v>4.7624</v>
      </c>
      <c r="V59" s="1">
        <v>12.42</v>
      </c>
    </row>
    <row r="60">
      <c r="A60" s="663" t="s">
        <v>2173</v>
      </c>
      <c r="B60" s="663" t="s">
        <v>180</v>
      </c>
      <c r="C60" s="663" t="s">
        <v>1205</v>
      </c>
      <c r="D60" s="663" t="s">
        <v>1205</v>
      </c>
      <c r="E60" s="664" t="s">
        <v>63</v>
      </c>
      <c r="F60" s="665">
        <v>18395.0</v>
      </c>
      <c r="G60" s="665">
        <v>955.0</v>
      </c>
      <c r="H60" s="665">
        <v>5.19</v>
      </c>
      <c r="I60" s="665">
        <v>4.22</v>
      </c>
      <c r="J60" s="665">
        <v>1.34</v>
      </c>
      <c r="K60" s="665">
        <v>142445.0</v>
      </c>
      <c r="L60" s="665">
        <v>3374879.23</v>
      </c>
      <c r="M60" s="665">
        <v>7.74</v>
      </c>
      <c r="N60" s="1">
        <v>149.1571</v>
      </c>
      <c r="O60" s="1">
        <v>142445.0</v>
      </c>
      <c r="P60" s="1">
        <v>5301525.0</v>
      </c>
      <c r="Q60" s="1">
        <v>7.7437</v>
      </c>
      <c r="R60" s="1">
        <v>87321.0</v>
      </c>
      <c r="S60" s="1">
        <v>-1.9081</v>
      </c>
      <c r="T60" s="1">
        <v>0.2039</v>
      </c>
      <c r="U60" s="1">
        <v>2.6527</v>
      </c>
      <c r="V60" s="1">
        <v>7.9363</v>
      </c>
    </row>
    <row r="61">
      <c r="A61" s="663" t="s">
        <v>2173</v>
      </c>
      <c r="B61" s="663" t="s">
        <v>180</v>
      </c>
      <c r="C61" s="663" t="s">
        <v>1205</v>
      </c>
      <c r="D61" s="663" t="s">
        <v>1205</v>
      </c>
      <c r="E61" s="664" t="s">
        <v>16</v>
      </c>
      <c r="F61" s="665">
        <v>18395.0</v>
      </c>
      <c r="G61" s="665">
        <v>1745.0</v>
      </c>
      <c r="H61" s="665">
        <v>9.49</v>
      </c>
      <c r="I61" s="665">
        <v>4.06</v>
      </c>
      <c r="J61" s="665">
        <v>6.4</v>
      </c>
      <c r="K61" s="665">
        <v>136860.0</v>
      </c>
      <c r="L61" s="665">
        <v>3374879.23</v>
      </c>
      <c r="M61" s="665">
        <v>7.44</v>
      </c>
      <c r="N61" s="1">
        <v>78.4298</v>
      </c>
      <c r="O61" s="1">
        <v>136860.0</v>
      </c>
      <c r="P61" s="1">
        <v>5301525.0</v>
      </c>
      <c r="Q61" s="1">
        <v>7.4401</v>
      </c>
      <c r="R61" s="1">
        <v>87321.0</v>
      </c>
      <c r="S61" s="1">
        <v>0.0</v>
      </c>
      <c r="T61" s="1">
        <v>0.5603</v>
      </c>
      <c r="U61" s="1">
        <v>15.028</v>
      </c>
      <c r="V61" s="1">
        <v>32.8091</v>
      </c>
    </row>
    <row r="62">
      <c r="A62" s="663" t="s">
        <v>2173</v>
      </c>
      <c r="B62" s="663" t="s">
        <v>180</v>
      </c>
      <c r="C62" s="663" t="s">
        <v>1205</v>
      </c>
      <c r="D62" s="663" t="s">
        <v>1205</v>
      </c>
      <c r="E62" s="664" t="s">
        <v>42</v>
      </c>
      <c r="F62" s="665">
        <v>18395.0</v>
      </c>
      <c r="G62" s="665">
        <v>1103.0</v>
      </c>
      <c r="H62" s="665">
        <v>6.0</v>
      </c>
      <c r="I62" s="665">
        <v>3.66</v>
      </c>
      <c r="J62" s="665">
        <v>1.58</v>
      </c>
      <c r="K62" s="665">
        <v>123355.0</v>
      </c>
      <c r="L62" s="665">
        <v>3374879.23</v>
      </c>
      <c r="M62" s="665">
        <v>6.71</v>
      </c>
      <c r="N62" s="1">
        <v>111.8359</v>
      </c>
      <c r="O62" s="1">
        <v>123355.0</v>
      </c>
      <c r="P62" s="1">
        <v>5301525.0</v>
      </c>
      <c r="Q62" s="1">
        <v>6.7059</v>
      </c>
      <c r="R62" s="1">
        <v>87321.0</v>
      </c>
      <c r="S62" s="1">
        <v>4.4402</v>
      </c>
      <c r="T62" s="1">
        <v>16.3852</v>
      </c>
      <c r="U62" s="1">
        <v>42.2999</v>
      </c>
      <c r="V62" s="1">
        <v>79.7423</v>
      </c>
    </row>
    <row r="63">
      <c r="A63" s="663" t="s">
        <v>2173</v>
      </c>
      <c r="B63" s="663" t="s">
        <v>180</v>
      </c>
      <c r="C63" s="663" t="s">
        <v>1205</v>
      </c>
      <c r="D63" s="663" t="s">
        <v>1205</v>
      </c>
      <c r="E63" s="664" t="s">
        <v>14</v>
      </c>
      <c r="F63" s="665">
        <v>18395.0</v>
      </c>
      <c r="G63" s="665">
        <v>1198.0</v>
      </c>
      <c r="H63" s="665">
        <v>6.51</v>
      </c>
      <c r="I63" s="665">
        <v>3.35</v>
      </c>
      <c r="J63" s="665">
        <v>1.54</v>
      </c>
      <c r="K63" s="665">
        <v>113034.23</v>
      </c>
      <c r="L63" s="665">
        <v>3374879.23</v>
      </c>
      <c r="M63" s="665">
        <v>6.14</v>
      </c>
      <c r="N63" s="1">
        <v>94.3524</v>
      </c>
      <c r="O63" s="1">
        <v>2039680.0</v>
      </c>
      <c r="P63" s="1">
        <v>5301525.0</v>
      </c>
      <c r="Q63" s="1">
        <v>110.8823</v>
      </c>
      <c r="R63" s="1">
        <v>87321.0</v>
      </c>
      <c r="S63" s="1">
        <v>7.0515</v>
      </c>
      <c r="T63" s="1">
        <v>25.6252</v>
      </c>
      <c r="U63" s="1">
        <v>67.8584</v>
      </c>
      <c r="V63" s="1">
        <v>117.1815</v>
      </c>
    </row>
    <row r="64">
      <c r="A64" s="663" t="s">
        <v>2173</v>
      </c>
      <c r="B64" s="663" t="s">
        <v>180</v>
      </c>
      <c r="C64" s="663" t="s">
        <v>1205</v>
      </c>
      <c r="D64" s="663" t="s">
        <v>1205</v>
      </c>
      <c r="E64" s="664" t="s">
        <v>341</v>
      </c>
      <c r="F64" s="665">
        <v>18395.0</v>
      </c>
      <c r="G64" s="665">
        <v>540.0</v>
      </c>
      <c r="H64" s="665">
        <v>2.94</v>
      </c>
      <c r="I64" s="665">
        <v>2.84</v>
      </c>
      <c r="J64" s="665">
        <v>0.75</v>
      </c>
      <c r="K64" s="665">
        <v>95900.0</v>
      </c>
      <c r="L64" s="665">
        <v>3374879.23</v>
      </c>
      <c r="M64" s="665">
        <v>5.21</v>
      </c>
      <c r="N64" s="1">
        <v>177.5926</v>
      </c>
      <c r="O64" s="1">
        <v>95900.0</v>
      </c>
      <c r="P64" s="1">
        <v>5301525.0</v>
      </c>
      <c r="Q64" s="1">
        <v>5.2134</v>
      </c>
      <c r="R64" s="1">
        <v>87321.0</v>
      </c>
      <c r="S64" s="1">
        <v>316.2523</v>
      </c>
      <c r="T64" s="1">
        <v>893.2258</v>
      </c>
      <c r="U64" s="1">
        <v>2550.7305</v>
      </c>
      <c r="V64" s="1">
        <v>4345.9954</v>
      </c>
    </row>
    <row r="65">
      <c r="A65" s="663" t="s">
        <v>2173</v>
      </c>
      <c r="B65" s="663" t="s">
        <v>180</v>
      </c>
      <c r="C65" s="663" t="s">
        <v>1205</v>
      </c>
      <c r="D65" s="663" t="s">
        <v>1205</v>
      </c>
      <c r="E65" s="664" t="s">
        <v>338</v>
      </c>
      <c r="F65" s="665">
        <v>18395.0</v>
      </c>
      <c r="G65" s="665">
        <v>565.0</v>
      </c>
      <c r="H65" s="665">
        <v>3.07</v>
      </c>
      <c r="I65" s="665">
        <v>2.76</v>
      </c>
      <c r="J65" s="665">
        <v>0.67</v>
      </c>
      <c r="K65" s="665">
        <v>93125.0</v>
      </c>
      <c r="L65" s="665">
        <v>3374879.23</v>
      </c>
      <c r="M65" s="665">
        <v>5.06</v>
      </c>
      <c r="N65" s="1">
        <v>164.823</v>
      </c>
      <c r="O65" s="1">
        <v>93125.0</v>
      </c>
      <c r="P65" s="1">
        <v>5301525.0</v>
      </c>
      <c r="Q65" s="1">
        <v>5.0625</v>
      </c>
      <c r="R65" s="1">
        <v>87321.0</v>
      </c>
      <c r="S65" s="1">
        <v>521.475</v>
      </c>
      <c r="T65" s="1">
        <v>1662.8128</v>
      </c>
      <c r="U65" s="1">
        <v>4593.5769</v>
      </c>
      <c r="V65" s="1">
        <v>7909.7069</v>
      </c>
    </row>
    <row r="66">
      <c r="A66" s="663" t="s">
        <v>2173</v>
      </c>
      <c r="B66" s="663" t="s">
        <v>180</v>
      </c>
      <c r="C66" s="663" t="s">
        <v>1205</v>
      </c>
      <c r="D66" s="663" t="s">
        <v>1205</v>
      </c>
      <c r="E66" s="664" t="s">
        <v>329</v>
      </c>
      <c r="F66" s="665">
        <v>18395.0</v>
      </c>
      <c r="G66" s="665">
        <v>526.0</v>
      </c>
      <c r="H66" s="665">
        <v>2.86</v>
      </c>
      <c r="I66" s="665">
        <v>2.69</v>
      </c>
      <c r="J66" s="665">
        <v>0.6</v>
      </c>
      <c r="K66" s="665">
        <v>90800.0</v>
      </c>
      <c r="L66" s="665">
        <v>3374879.23</v>
      </c>
      <c r="M66" s="665">
        <v>4.94</v>
      </c>
      <c r="N66" s="1">
        <v>172.6236</v>
      </c>
      <c r="O66" s="1">
        <v>90800.0</v>
      </c>
      <c r="P66" s="1">
        <v>5301525.0</v>
      </c>
      <c r="Q66" s="1">
        <v>4.9361</v>
      </c>
      <c r="R66" s="1">
        <v>87321.0</v>
      </c>
      <c r="S66" s="1">
        <v>0.0</v>
      </c>
      <c r="T66" s="1">
        <v>0.0</v>
      </c>
      <c r="U66" s="1">
        <v>0.0</v>
      </c>
      <c r="V66" s="1">
        <v>10.0</v>
      </c>
    </row>
    <row r="67">
      <c r="A67" s="663" t="s">
        <v>2173</v>
      </c>
      <c r="B67" s="663" t="s">
        <v>180</v>
      </c>
      <c r="C67" s="663" t="s">
        <v>1205</v>
      </c>
      <c r="D67" s="663" t="s">
        <v>1205</v>
      </c>
      <c r="E67" s="664" t="s">
        <v>9</v>
      </c>
      <c r="F67" s="665">
        <v>18395.0</v>
      </c>
      <c r="G67" s="665">
        <v>1569.0</v>
      </c>
      <c r="H67" s="665">
        <v>8.53</v>
      </c>
      <c r="I67" s="665">
        <v>2.17</v>
      </c>
      <c r="J67" s="665">
        <v>2.23</v>
      </c>
      <c r="K67" s="665">
        <v>73105.0</v>
      </c>
      <c r="L67" s="665">
        <v>3374879.23</v>
      </c>
      <c r="M67" s="665">
        <v>3.97</v>
      </c>
      <c r="N67" s="1">
        <v>46.5934</v>
      </c>
      <c r="O67" s="1">
        <v>73105.0</v>
      </c>
      <c r="P67" s="1">
        <v>5301525.0</v>
      </c>
      <c r="Q67" s="1">
        <v>3.9742</v>
      </c>
      <c r="R67" s="1">
        <v>87321.0</v>
      </c>
      <c r="S67" s="1">
        <v>-106.043</v>
      </c>
      <c r="T67" s="1">
        <v>2.7509</v>
      </c>
      <c r="U67" s="1">
        <v>110.2813</v>
      </c>
      <c r="V67" s="1">
        <v>304.2378</v>
      </c>
    </row>
    <row r="68">
      <c r="A68" s="663" t="s">
        <v>2173</v>
      </c>
      <c r="B68" s="663" t="s">
        <v>180</v>
      </c>
      <c r="C68" s="663" t="s">
        <v>1205</v>
      </c>
      <c r="D68" s="663" t="s">
        <v>1205</v>
      </c>
      <c r="E68" s="664" t="s">
        <v>413</v>
      </c>
      <c r="F68" s="665">
        <v>18395.0</v>
      </c>
      <c r="G68" s="665">
        <v>2416.0</v>
      </c>
      <c r="H68" s="665">
        <v>13.13</v>
      </c>
      <c r="I68" s="665">
        <v>1.84</v>
      </c>
      <c r="J68" s="665">
        <v>6.05</v>
      </c>
      <c r="K68" s="665">
        <v>61945.0</v>
      </c>
      <c r="L68" s="665">
        <v>3374879.23</v>
      </c>
      <c r="M68" s="665">
        <v>3.37</v>
      </c>
      <c r="N68" s="1">
        <v>25.6395</v>
      </c>
      <c r="O68" s="1">
        <v>61945.0</v>
      </c>
      <c r="P68" s="1">
        <v>5301525.0</v>
      </c>
      <c r="Q68" s="1">
        <v>3.3675</v>
      </c>
      <c r="R68" s="1">
        <v>87321.0</v>
      </c>
      <c r="S68" s="1">
        <v>-4.4872</v>
      </c>
      <c r="T68" s="1">
        <v>-0.8774</v>
      </c>
      <c r="U68" s="1">
        <v>0.9713</v>
      </c>
      <c r="V68" s="1">
        <v>2.7033</v>
      </c>
    </row>
    <row r="69">
      <c r="A69" s="663" t="s">
        <v>2173</v>
      </c>
      <c r="B69" s="663" t="s">
        <v>180</v>
      </c>
      <c r="C69" s="663" t="s">
        <v>1205</v>
      </c>
      <c r="D69" s="663" t="s">
        <v>1205</v>
      </c>
      <c r="E69" s="664" t="s">
        <v>7</v>
      </c>
      <c r="F69" s="665">
        <v>18395.0</v>
      </c>
      <c r="G69" s="665">
        <v>298.0</v>
      </c>
      <c r="H69" s="665">
        <v>1.62</v>
      </c>
      <c r="I69" s="665">
        <v>1.75</v>
      </c>
      <c r="J69" s="665">
        <v>0.3</v>
      </c>
      <c r="K69" s="665">
        <v>59000.0</v>
      </c>
      <c r="L69" s="665">
        <v>3374879.23</v>
      </c>
      <c r="M69" s="665">
        <v>3.21</v>
      </c>
      <c r="N69" s="1">
        <v>197.9866</v>
      </c>
      <c r="O69" s="1">
        <v>59000.0</v>
      </c>
      <c r="P69" s="1">
        <v>5301525.0</v>
      </c>
      <c r="Q69" s="1">
        <v>3.2074</v>
      </c>
      <c r="R69" s="1">
        <v>87321.0</v>
      </c>
      <c r="S69" s="1">
        <v>-4.2033</v>
      </c>
      <c r="T69" s="1">
        <v>-0.6124</v>
      </c>
      <c r="U69" s="1">
        <v>1.0174</v>
      </c>
      <c r="V69" s="1">
        <v>3.0534</v>
      </c>
    </row>
    <row r="70">
      <c r="A70" s="663" t="s">
        <v>2173</v>
      </c>
      <c r="B70" s="663" t="s">
        <v>180</v>
      </c>
      <c r="C70" s="663" t="s">
        <v>1205</v>
      </c>
      <c r="D70" s="663" t="s">
        <v>1205</v>
      </c>
      <c r="E70" s="664" t="s">
        <v>401</v>
      </c>
      <c r="F70" s="665">
        <v>18395.0</v>
      </c>
      <c r="G70" s="665">
        <v>635.0</v>
      </c>
      <c r="H70" s="665">
        <v>3.45</v>
      </c>
      <c r="I70" s="665">
        <v>1.03</v>
      </c>
      <c r="J70" s="665">
        <v>0.49</v>
      </c>
      <c r="K70" s="665">
        <v>34800.0</v>
      </c>
      <c r="L70" s="665">
        <v>3374879.23</v>
      </c>
      <c r="M70" s="665">
        <v>1.89</v>
      </c>
      <c r="N70" s="1">
        <v>54.8031</v>
      </c>
      <c r="O70" s="1">
        <v>34800.0</v>
      </c>
      <c r="P70" s="1">
        <v>5301525.0</v>
      </c>
      <c r="Q70" s="1">
        <v>1.8918</v>
      </c>
      <c r="R70" s="1">
        <v>87321.0</v>
      </c>
      <c r="S70" s="1">
        <v>-2.8839</v>
      </c>
      <c r="T70" s="1">
        <v>-0.1524</v>
      </c>
      <c r="U70" s="1">
        <v>0.4446</v>
      </c>
      <c r="V70" s="1">
        <v>1.9263</v>
      </c>
    </row>
    <row r="71">
      <c r="A71" s="663" t="s">
        <v>2173</v>
      </c>
      <c r="B71" s="663" t="s">
        <v>180</v>
      </c>
      <c r="C71" s="663" t="s">
        <v>1205</v>
      </c>
      <c r="D71" s="663" t="s">
        <v>1205</v>
      </c>
      <c r="E71" s="664" t="s">
        <v>411</v>
      </c>
      <c r="F71" s="665">
        <v>18395.0</v>
      </c>
      <c r="G71" s="665">
        <v>1456.0</v>
      </c>
      <c r="H71" s="665">
        <v>7.92</v>
      </c>
      <c r="I71" s="665">
        <v>0.92</v>
      </c>
      <c r="J71" s="665">
        <v>1.63</v>
      </c>
      <c r="K71" s="665">
        <v>31010.0</v>
      </c>
      <c r="L71" s="665">
        <v>3374879.23</v>
      </c>
      <c r="M71" s="665">
        <v>1.69</v>
      </c>
      <c r="N71" s="1">
        <v>21.2981</v>
      </c>
      <c r="O71" s="1">
        <v>31010.0</v>
      </c>
      <c r="P71" s="1">
        <v>5301525.0</v>
      </c>
      <c r="Q71" s="1">
        <v>1.6858</v>
      </c>
      <c r="R71" s="1">
        <v>87321.0</v>
      </c>
      <c r="S71" s="1">
        <v>-10.6563</v>
      </c>
      <c r="T71" s="1">
        <v>-2.6878</v>
      </c>
      <c r="U71" s="1">
        <v>1.8379</v>
      </c>
      <c r="V71" s="1">
        <v>6.0693</v>
      </c>
    </row>
    <row r="72">
      <c r="A72" s="663" t="s">
        <v>2173</v>
      </c>
      <c r="B72" s="663" t="s">
        <v>180</v>
      </c>
      <c r="C72" s="663" t="s">
        <v>1205</v>
      </c>
      <c r="D72" s="663" t="s">
        <v>1205</v>
      </c>
      <c r="E72" s="664" t="s">
        <v>206</v>
      </c>
      <c r="F72" s="665">
        <v>18395.0</v>
      </c>
      <c r="G72" s="665">
        <v>581.0</v>
      </c>
      <c r="H72" s="665">
        <v>3.16</v>
      </c>
      <c r="I72" s="665">
        <v>0.82</v>
      </c>
      <c r="J72" s="665">
        <v>0.21</v>
      </c>
      <c r="K72" s="665">
        <v>27600.0</v>
      </c>
      <c r="L72" s="665">
        <v>3374879.23</v>
      </c>
      <c r="M72" s="665">
        <v>1.5</v>
      </c>
      <c r="N72" s="1">
        <v>47.5043</v>
      </c>
      <c r="O72" s="1">
        <v>27600.0</v>
      </c>
      <c r="P72" s="1">
        <v>5301525.0</v>
      </c>
      <c r="Q72" s="1">
        <v>1.5004</v>
      </c>
      <c r="R72" s="1">
        <v>87321.0</v>
      </c>
      <c r="S72" s="1">
        <v>-9.5442</v>
      </c>
      <c r="T72" s="1">
        <v>-2.0886</v>
      </c>
      <c r="U72" s="1">
        <v>2.2996</v>
      </c>
      <c r="V72" s="1">
        <v>6.4805</v>
      </c>
    </row>
    <row r="73">
      <c r="A73" s="663" t="s">
        <v>2173</v>
      </c>
      <c r="B73" s="663" t="s">
        <v>180</v>
      </c>
      <c r="C73" s="663" t="s">
        <v>1205</v>
      </c>
      <c r="D73" s="663" t="s">
        <v>1205</v>
      </c>
      <c r="E73" s="664" t="s">
        <v>73</v>
      </c>
      <c r="F73" s="665">
        <v>18395.0</v>
      </c>
      <c r="G73" s="665">
        <v>482.0</v>
      </c>
      <c r="H73" s="665">
        <v>2.62</v>
      </c>
      <c r="I73" s="665">
        <v>0.81</v>
      </c>
      <c r="J73" s="665">
        <v>0.08</v>
      </c>
      <c r="K73" s="665">
        <v>27450.0</v>
      </c>
      <c r="L73" s="665">
        <v>3374879.23</v>
      </c>
      <c r="M73" s="665">
        <v>1.49</v>
      </c>
      <c r="N73" s="1">
        <v>56.9502</v>
      </c>
      <c r="O73" s="1">
        <v>27450.0</v>
      </c>
      <c r="P73" s="1">
        <v>5301525.0</v>
      </c>
      <c r="Q73" s="1">
        <v>1.4923</v>
      </c>
      <c r="R73" s="1">
        <v>87321.0</v>
      </c>
      <c r="S73" s="1">
        <v>-6.3102</v>
      </c>
      <c r="T73" s="1">
        <v>-1.0851</v>
      </c>
      <c r="U73" s="1">
        <v>1.0004</v>
      </c>
      <c r="V73" s="1">
        <v>3.3876</v>
      </c>
    </row>
    <row r="74">
      <c r="A74" s="663" t="s">
        <v>2173</v>
      </c>
      <c r="B74" s="663" t="s">
        <v>180</v>
      </c>
      <c r="C74" s="663" t="s">
        <v>1205</v>
      </c>
      <c r="D74" s="663" t="s">
        <v>1205</v>
      </c>
      <c r="E74" s="664" t="s">
        <v>418</v>
      </c>
      <c r="F74" s="665">
        <v>18395.0</v>
      </c>
      <c r="G74" s="665">
        <v>474.0</v>
      </c>
      <c r="H74" s="665">
        <v>2.58</v>
      </c>
      <c r="I74" s="665">
        <v>0.26</v>
      </c>
      <c r="J74" s="665">
        <v>1.4</v>
      </c>
      <c r="K74" s="665">
        <v>8810.0</v>
      </c>
      <c r="L74" s="665">
        <v>3374879.23</v>
      </c>
      <c r="M74" s="665">
        <v>0.48</v>
      </c>
      <c r="N74" s="1">
        <v>18.5865</v>
      </c>
      <c r="O74" s="1">
        <v>8810.0</v>
      </c>
      <c r="P74" s="1">
        <v>5301525.0</v>
      </c>
      <c r="Q74" s="1">
        <v>0.4789</v>
      </c>
      <c r="R74" s="1">
        <v>87321.0</v>
      </c>
      <c r="S74" s="1">
        <v>-3.3092</v>
      </c>
      <c r="T74" s="1">
        <v>0.0</v>
      </c>
      <c r="U74" s="1">
        <v>7.032</v>
      </c>
      <c r="V74" s="1">
        <v>23.3485</v>
      </c>
    </row>
    <row r="75">
      <c r="A75" s="663" t="s">
        <v>2173</v>
      </c>
      <c r="B75" s="663" t="s">
        <v>180</v>
      </c>
      <c r="C75" s="663" t="s">
        <v>1205</v>
      </c>
      <c r="D75" s="663" t="s">
        <v>1205</v>
      </c>
      <c r="E75" s="664" t="s">
        <v>151</v>
      </c>
      <c r="F75" s="665">
        <v>18395.0</v>
      </c>
      <c r="G75" s="665">
        <v>4.0</v>
      </c>
      <c r="H75" s="665">
        <v>0.02</v>
      </c>
      <c r="I75" s="665">
        <v>0.01</v>
      </c>
      <c r="J75" s="665">
        <v>0.01</v>
      </c>
      <c r="K75" s="665">
        <v>215.0</v>
      </c>
      <c r="L75" s="665">
        <v>3374879.23</v>
      </c>
      <c r="M75" s="665">
        <v>0.01</v>
      </c>
      <c r="N75" s="1">
        <v>53.75</v>
      </c>
      <c r="O75" s="1">
        <v>215.0</v>
      </c>
      <c r="P75" s="1">
        <v>5301525.0</v>
      </c>
      <c r="Q75" s="1">
        <v>0.0117</v>
      </c>
      <c r="R75" s="1">
        <v>87321.0</v>
      </c>
      <c r="S75" s="1">
        <v>0.2987</v>
      </c>
      <c r="T75" s="1">
        <v>10.6659</v>
      </c>
      <c r="U75" s="1">
        <v>30.772</v>
      </c>
      <c r="V75" s="1">
        <v>66.5272</v>
      </c>
    </row>
    <row r="76">
      <c r="A76" s="663" t="s">
        <v>2173</v>
      </c>
      <c r="B76" s="663" t="s">
        <v>180</v>
      </c>
      <c r="C76" s="663" t="s">
        <v>47</v>
      </c>
      <c r="D76" s="663" t="s">
        <v>599</v>
      </c>
      <c r="E76" s="664" t="s">
        <v>411</v>
      </c>
      <c r="F76" s="665">
        <v>7669.0</v>
      </c>
      <c r="G76" s="665">
        <v>3728.0</v>
      </c>
      <c r="H76" s="665">
        <v>48.61</v>
      </c>
      <c r="I76" s="665">
        <v>23.68</v>
      </c>
      <c r="J76" s="665">
        <v>35.73</v>
      </c>
      <c r="K76" s="665">
        <v>5213.0</v>
      </c>
      <c r="L76" s="665">
        <v>22015.0</v>
      </c>
      <c r="M76" s="665">
        <v>0.68</v>
      </c>
      <c r="N76" s="1">
        <v>1.3983</v>
      </c>
      <c r="O76" s="1">
        <v>5213.0</v>
      </c>
      <c r="P76" s="1">
        <v>22015.0</v>
      </c>
      <c r="Q76" s="1">
        <v>0.6797</v>
      </c>
      <c r="R76" s="1">
        <v>87321.0</v>
      </c>
      <c r="S76" s="1">
        <v>2.3529</v>
      </c>
      <c r="T76" s="1">
        <v>15.1822</v>
      </c>
      <c r="U76" s="1">
        <v>43.9256</v>
      </c>
      <c r="V76" s="1">
        <v>88.1434</v>
      </c>
    </row>
    <row r="77">
      <c r="A77" s="663" t="s">
        <v>2173</v>
      </c>
      <c r="B77" s="663" t="s">
        <v>180</v>
      </c>
      <c r="C77" s="663" t="s">
        <v>47</v>
      </c>
      <c r="D77" s="663" t="s">
        <v>599</v>
      </c>
      <c r="E77" s="664" t="s">
        <v>398</v>
      </c>
      <c r="F77" s="665">
        <v>7669.0</v>
      </c>
      <c r="G77" s="665">
        <v>781.0</v>
      </c>
      <c r="H77" s="665">
        <v>10.18</v>
      </c>
      <c r="I77" s="665">
        <v>17.83</v>
      </c>
      <c r="J77" s="665">
        <v>3.69</v>
      </c>
      <c r="K77" s="665">
        <v>3926.0</v>
      </c>
      <c r="L77" s="665">
        <v>22015.0</v>
      </c>
      <c r="M77" s="665">
        <v>0.51</v>
      </c>
      <c r="N77" s="1">
        <v>5.0269</v>
      </c>
      <c r="O77" s="1">
        <v>3926.0</v>
      </c>
      <c r="P77" s="1">
        <v>22015.0</v>
      </c>
      <c r="Q77" s="1">
        <v>0.5119</v>
      </c>
      <c r="R77" s="1">
        <v>87321.0</v>
      </c>
      <c r="S77" s="1">
        <v>360.0917</v>
      </c>
      <c r="T77" s="1">
        <v>997.4824</v>
      </c>
      <c r="U77" s="1">
        <v>2917.3014</v>
      </c>
      <c r="V77" s="1">
        <v>4906.3075</v>
      </c>
    </row>
    <row r="78">
      <c r="A78" s="663" t="s">
        <v>2173</v>
      </c>
      <c r="B78" s="663" t="s">
        <v>180</v>
      </c>
      <c r="C78" s="663" t="s">
        <v>47</v>
      </c>
      <c r="D78" s="663" t="s">
        <v>599</v>
      </c>
      <c r="E78" s="664" t="s">
        <v>9</v>
      </c>
      <c r="F78" s="665">
        <v>7669.0</v>
      </c>
      <c r="G78" s="665">
        <v>2089.0</v>
      </c>
      <c r="H78" s="665">
        <v>27.24</v>
      </c>
      <c r="I78" s="665">
        <v>12.25</v>
      </c>
      <c r="J78" s="665">
        <v>17.67</v>
      </c>
      <c r="K78" s="665">
        <v>2696.0</v>
      </c>
      <c r="L78" s="665">
        <v>22015.0</v>
      </c>
      <c r="M78" s="665">
        <v>0.35</v>
      </c>
      <c r="N78" s="1">
        <v>1.2906</v>
      </c>
      <c r="O78" s="1">
        <v>2696.0</v>
      </c>
      <c r="P78" s="1">
        <v>22015.0</v>
      </c>
      <c r="Q78" s="1">
        <v>0.3515</v>
      </c>
      <c r="R78" s="1">
        <v>87321.0</v>
      </c>
      <c r="S78" s="1">
        <v>603.2666</v>
      </c>
      <c r="T78" s="1">
        <v>1830.5962</v>
      </c>
      <c r="U78" s="1">
        <v>4599.7967</v>
      </c>
      <c r="V78" s="1">
        <v>7567.7716</v>
      </c>
    </row>
    <row r="79">
      <c r="A79" s="663" t="s">
        <v>2173</v>
      </c>
      <c r="B79" s="663" t="s">
        <v>180</v>
      </c>
      <c r="C79" s="663" t="s">
        <v>47</v>
      </c>
      <c r="D79" s="663" t="s">
        <v>599</v>
      </c>
      <c r="E79" s="664" t="s">
        <v>14</v>
      </c>
      <c r="F79" s="665">
        <v>7669.0</v>
      </c>
      <c r="G79" s="665">
        <v>875.0</v>
      </c>
      <c r="H79" s="665">
        <v>11.41</v>
      </c>
      <c r="I79" s="665">
        <v>11.51</v>
      </c>
      <c r="J79" s="665">
        <v>5.25</v>
      </c>
      <c r="K79" s="665">
        <v>2535.0</v>
      </c>
      <c r="L79" s="665">
        <v>22015.0</v>
      </c>
      <c r="M79" s="665">
        <v>0.33</v>
      </c>
      <c r="N79" s="1">
        <v>2.8971</v>
      </c>
      <c r="O79" s="1">
        <v>2535.0</v>
      </c>
      <c r="P79" s="1">
        <v>22015.0</v>
      </c>
      <c r="Q79" s="1">
        <v>0.3306</v>
      </c>
      <c r="R79" s="1">
        <v>87321.0</v>
      </c>
      <c r="S79" s="1">
        <v>0.0</v>
      </c>
      <c r="T79" s="1">
        <v>0.0</v>
      </c>
      <c r="U79" s="1">
        <v>0.0</v>
      </c>
      <c r="V79" s="1">
        <v>10.1193</v>
      </c>
    </row>
    <row r="80">
      <c r="A80" s="663" t="s">
        <v>2173</v>
      </c>
      <c r="B80" s="663" t="s">
        <v>180</v>
      </c>
      <c r="C80" s="663" t="s">
        <v>47</v>
      </c>
      <c r="D80" s="663" t="s">
        <v>599</v>
      </c>
      <c r="E80" s="664" t="s">
        <v>413</v>
      </c>
      <c r="F80" s="665">
        <v>7669.0</v>
      </c>
      <c r="G80" s="665">
        <v>1223.0</v>
      </c>
      <c r="H80" s="665">
        <v>15.95</v>
      </c>
      <c r="I80" s="665">
        <v>8.57</v>
      </c>
      <c r="J80" s="665">
        <v>11.7</v>
      </c>
      <c r="K80" s="665">
        <v>1887.0</v>
      </c>
      <c r="L80" s="665">
        <v>22015.0</v>
      </c>
      <c r="M80" s="665">
        <v>0.25</v>
      </c>
      <c r="N80" s="1">
        <v>1.5429</v>
      </c>
      <c r="O80" s="1">
        <v>1887.0</v>
      </c>
      <c r="P80" s="1">
        <v>22015.0</v>
      </c>
      <c r="Q80" s="1">
        <v>0.2461</v>
      </c>
      <c r="R80" s="1">
        <v>87321.0</v>
      </c>
      <c r="S80" s="1">
        <v>-189.1433</v>
      </c>
      <c r="T80" s="1">
        <v>5.4833</v>
      </c>
      <c r="U80" s="1">
        <v>210.102</v>
      </c>
      <c r="V80" s="1">
        <v>708.363</v>
      </c>
    </row>
    <row r="81">
      <c r="A81" s="663" t="s">
        <v>2173</v>
      </c>
      <c r="B81" s="663" t="s">
        <v>180</v>
      </c>
      <c r="C81" s="663" t="s">
        <v>47</v>
      </c>
      <c r="D81" s="663" t="s">
        <v>599</v>
      </c>
      <c r="E81" s="664" t="s">
        <v>63</v>
      </c>
      <c r="F81" s="665">
        <v>7669.0</v>
      </c>
      <c r="G81" s="665">
        <v>1369.0</v>
      </c>
      <c r="H81" s="665">
        <v>17.85</v>
      </c>
      <c r="I81" s="665">
        <v>6.95</v>
      </c>
      <c r="J81" s="665">
        <v>12.51</v>
      </c>
      <c r="K81" s="665">
        <v>1529.0</v>
      </c>
      <c r="L81" s="665">
        <v>22015.0</v>
      </c>
      <c r="M81" s="665">
        <v>0.2</v>
      </c>
      <c r="N81" s="1">
        <v>1.1169</v>
      </c>
      <c r="O81" s="1">
        <v>1529.0</v>
      </c>
      <c r="P81" s="1">
        <v>22015.0</v>
      </c>
      <c r="Q81" s="1">
        <v>0.1994</v>
      </c>
      <c r="R81" s="1">
        <v>87321.0</v>
      </c>
      <c r="S81" s="1">
        <v>-3.4974</v>
      </c>
      <c r="T81" s="1">
        <v>-0.348</v>
      </c>
      <c r="U81" s="1">
        <v>1.8914</v>
      </c>
      <c r="V81" s="1">
        <v>5.0214</v>
      </c>
    </row>
    <row r="82">
      <c r="A82" s="663" t="s">
        <v>2173</v>
      </c>
      <c r="B82" s="663" t="s">
        <v>180</v>
      </c>
      <c r="C82" s="663" t="s">
        <v>47</v>
      </c>
      <c r="D82" s="663" t="s">
        <v>599</v>
      </c>
      <c r="E82" s="664" t="s">
        <v>51</v>
      </c>
      <c r="F82" s="665">
        <v>7669.0</v>
      </c>
      <c r="G82" s="665">
        <v>679.0</v>
      </c>
      <c r="H82" s="665">
        <v>8.85</v>
      </c>
      <c r="I82" s="665">
        <v>6.83</v>
      </c>
      <c r="J82" s="665">
        <v>3.07</v>
      </c>
      <c r="K82" s="665">
        <v>1504.0</v>
      </c>
      <c r="L82" s="665">
        <v>22015.0</v>
      </c>
      <c r="M82" s="665">
        <v>0.2</v>
      </c>
      <c r="N82" s="1">
        <v>2.215</v>
      </c>
      <c r="O82" s="1">
        <v>1504.0</v>
      </c>
      <c r="P82" s="1">
        <v>22015.0</v>
      </c>
      <c r="Q82" s="1">
        <v>0.1961</v>
      </c>
      <c r="R82" s="1">
        <v>87321.0</v>
      </c>
      <c r="S82" s="1">
        <v>-2.8</v>
      </c>
      <c r="T82" s="1">
        <v>-0.0025</v>
      </c>
      <c r="U82" s="1">
        <v>2.6629</v>
      </c>
      <c r="V82" s="1">
        <v>6.9561</v>
      </c>
    </row>
    <row r="83">
      <c r="A83" s="663" t="s">
        <v>2173</v>
      </c>
      <c r="B83" s="663" t="s">
        <v>180</v>
      </c>
      <c r="C83" s="663" t="s">
        <v>47</v>
      </c>
      <c r="D83" s="663" t="s">
        <v>599</v>
      </c>
      <c r="E83" s="664" t="s">
        <v>396</v>
      </c>
      <c r="F83" s="665">
        <v>7669.0</v>
      </c>
      <c r="G83" s="665">
        <v>478.0</v>
      </c>
      <c r="H83" s="665">
        <v>6.23</v>
      </c>
      <c r="I83" s="665">
        <v>2.46</v>
      </c>
      <c r="J83" s="665">
        <v>2.82</v>
      </c>
      <c r="K83" s="665">
        <v>541.0</v>
      </c>
      <c r="L83" s="665">
        <v>22015.0</v>
      </c>
      <c r="M83" s="665">
        <v>0.07</v>
      </c>
      <c r="N83" s="1">
        <v>1.1318</v>
      </c>
      <c r="O83" s="1">
        <v>541.0</v>
      </c>
      <c r="P83" s="1">
        <v>22015.0</v>
      </c>
      <c r="Q83" s="1">
        <v>0.0705</v>
      </c>
      <c r="R83" s="1">
        <v>87321.0</v>
      </c>
      <c r="S83" s="1">
        <v>-1.4727</v>
      </c>
      <c r="T83" s="1">
        <v>0.0015</v>
      </c>
      <c r="U83" s="1">
        <v>1.566</v>
      </c>
      <c r="V83" s="1">
        <v>4.3176</v>
      </c>
    </row>
    <row r="84">
      <c r="A84" s="663" t="s">
        <v>2173</v>
      </c>
      <c r="B84" s="663" t="s">
        <v>180</v>
      </c>
      <c r="C84" s="663" t="s">
        <v>47</v>
      </c>
      <c r="D84" s="663" t="s">
        <v>599</v>
      </c>
      <c r="E84" s="664" t="s">
        <v>401</v>
      </c>
      <c r="F84" s="665">
        <v>7669.0</v>
      </c>
      <c r="G84" s="665">
        <v>520.0</v>
      </c>
      <c r="H84" s="665">
        <v>6.78</v>
      </c>
      <c r="I84" s="665">
        <v>2.44</v>
      </c>
      <c r="J84" s="665">
        <v>0.94</v>
      </c>
      <c r="K84" s="665">
        <v>538.0</v>
      </c>
      <c r="L84" s="665">
        <v>22015.0</v>
      </c>
      <c r="M84" s="665">
        <v>0.07</v>
      </c>
      <c r="N84" s="1">
        <v>1.0346</v>
      </c>
      <c r="O84" s="1">
        <v>538.0</v>
      </c>
      <c r="P84" s="1">
        <v>22015.0</v>
      </c>
      <c r="Q84" s="1">
        <v>0.0702</v>
      </c>
      <c r="R84" s="1">
        <v>87321.0</v>
      </c>
      <c r="S84" s="1">
        <v>-7.7401</v>
      </c>
      <c r="T84" s="1">
        <v>-0.6465</v>
      </c>
      <c r="U84" s="1">
        <v>6.2992</v>
      </c>
      <c r="V84" s="1">
        <v>18.0911</v>
      </c>
    </row>
    <row r="85">
      <c r="A85" s="663" t="s">
        <v>2173</v>
      </c>
      <c r="B85" s="663" t="s">
        <v>180</v>
      </c>
      <c r="C85" s="663" t="s">
        <v>47</v>
      </c>
      <c r="D85" s="663" t="s">
        <v>599</v>
      </c>
      <c r="E85" s="664" t="s">
        <v>206</v>
      </c>
      <c r="F85" s="665">
        <v>7669.0</v>
      </c>
      <c r="G85" s="665">
        <v>476.0</v>
      </c>
      <c r="H85" s="665">
        <v>6.21</v>
      </c>
      <c r="I85" s="665">
        <v>2.2</v>
      </c>
      <c r="J85" s="665">
        <v>0.63</v>
      </c>
      <c r="K85" s="665">
        <v>485.0</v>
      </c>
      <c r="L85" s="665">
        <v>22015.0</v>
      </c>
      <c r="M85" s="665">
        <v>0.06</v>
      </c>
      <c r="N85" s="1">
        <v>1.0189</v>
      </c>
      <c r="O85" s="1">
        <v>485.0</v>
      </c>
      <c r="P85" s="1">
        <v>22015.0</v>
      </c>
      <c r="Q85" s="1">
        <v>0.0632</v>
      </c>
      <c r="R85" s="1">
        <v>87321.0</v>
      </c>
      <c r="S85" s="1">
        <v>-7.6245</v>
      </c>
      <c r="T85" s="1">
        <v>-0.5791</v>
      </c>
      <c r="U85" s="1">
        <v>6.3707</v>
      </c>
      <c r="V85" s="1">
        <v>18.4412</v>
      </c>
    </row>
    <row r="86">
      <c r="A86" s="663" t="s">
        <v>2173</v>
      </c>
      <c r="B86" s="663" t="s">
        <v>180</v>
      </c>
      <c r="C86" s="663" t="s">
        <v>47</v>
      </c>
      <c r="D86" s="663" t="s">
        <v>599</v>
      </c>
      <c r="E86" s="664" t="s">
        <v>73</v>
      </c>
      <c r="F86" s="665">
        <v>7669.0</v>
      </c>
      <c r="G86" s="665">
        <v>392.0</v>
      </c>
      <c r="H86" s="665">
        <v>5.11</v>
      </c>
      <c r="I86" s="665">
        <v>1.93</v>
      </c>
      <c r="J86" s="665">
        <v>0.4</v>
      </c>
      <c r="K86" s="665">
        <v>424.0</v>
      </c>
      <c r="L86" s="665">
        <v>22015.0</v>
      </c>
      <c r="M86" s="665">
        <v>0.06</v>
      </c>
      <c r="N86" s="1">
        <v>1.0816</v>
      </c>
      <c r="O86" s="1">
        <v>424.0</v>
      </c>
      <c r="P86" s="1">
        <v>22015.0</v>
      </c>
      <c r="Q86" s="1">
        <v>0.0553</v>
      </c>
      <c r="R86" s="1">
        <v>87321.0</v>
      </c>
      <c r="S86" s="1">
        <v>-3.3984</v>
      </c>
      <c r="T86" s="1">
        <v>0.0935</v>
      </c>
      <c r="U86" s="1">
        <v>3.9465</v>
      </c>
      <c r="V86" s="1">
        <v>12.2451</v>
      </c>
    </row>
    <row r="87">
      <c r="A87" s="663" t="s">
        <v>2173</v>
      </c>
      <c r="B87" s="663" t="s">
        <v>180</v>
      </c>
      <c r="C87" s="663" t="s">
        <v>47</v>
      </c>
      <c r="D87" s="663" t="s">
        <v>599</v>
      </c>
      <c r="E87" s="664" t="s">
        <v>418</v>
      </c>
      <c r="F87" s="665">
        <v>7669.0</v>
      </c>
      <c r="G87" s="665">
        <v>207.0</v>
      </c>
      <c r="H87" s="665">
        <v>2.7</v>
      </c>
      <c r="I87" s="665">
        <v>1.1</v>
      </c>
      <c r="J87" s="665">
        <v>2.27</v>
      </c>
      <c r="K87" s="665">
        <v>242.0</v>
      </c>
      <c r="L87" s="665">
        <v>22015.0</v>
      </c>
      <c r="M87" s="665">
        <v>0.03</v>
      </c>
      <c r="N87" s="1">
        <v>1.1691</v>
      </c>
      <c r="O87" s="1">
        <v>242.0</v>
      </c>
      <c r="P87" s="1">
        <v>22015.0</v>
      </c>
      <c r="Q87" s="1">
        <v>0.0316</v>
      </c>
      <c r="R87" s="1">
        <v>87321.0</v>
      </c>
      <c r="S87" s="1">
        <v>0.0</v>
      </c>
      <c r="T87" s="1">
        <v>3.049</v>
      </c>
      <c r="U87" s="1">
        <v>16.6336</v>
      </c>
      <c r="V87" s="1">
        <v>40.3309</v>
      </c>
    </row>
    <row r="88">
      <c r="A88" s="663" t="s">
        <v>2173</v>
      </c>
      <c r="B88" s="663" t="s">
        <v>180</v>
      </c>
      <c r="C88" s="663" t="s">
        <v>47</v>
      </c>
      <c r="D88" s="663" t="s">
        <v>599</v>
      </c>
      <c r="E88" s="664" t="s">
        <v>16</v>
      </c>
      <c r="F88" s="665">
        <v>7669.0</v>
      </c>
      <c r="G88" s="665">
        <v>218.0</v>
      </c>
      <c r="H88" s="665">
        <v>2.84</v>
      </c>
      <c r="I88" s="665">
        <v>1.04</v>
      </c>
      <c r="J88" s="665">
        <v>2.19</v>
      </c>
      <c r="K88" s="665">
        <v>230.0</v>
      </c>
      <c r="L88" s="665">
        <v>22015.0</v>
      </c>
      <c r="M88" s="665">
        <v>0.03</v>
      </c>
      <c r="N88" s="1">
        <v>1.055</v>
      </c>
      <c r="O88" s="1">
        <v>230.0</v>
      </c>
      <c r="P88" s="1">
        <v>22015.0</v>
      </c>
      <c r="Q88" s="1">
        <v>0.03</v>
      </c>
      <c r="R88" s="1">
        <v>87321.0</v>
      </c>
      <c r="S88" s="1">
        <v>3.6026</v>
      </c>
      <c r="T88" s="1">
        <v>14.9433</v>
      </c>
      <c r="U88" s="1">
        <v>45.7268</v>
      </c>
      <c r="V88" s="1">
        <v>95.9362</v>
      </c>
    </row>
    <row r="89">
      <c r="A89" s="663" t="s">
        <v>2173</v>
      </c>
      <c r="B89" s="663" t="s">
        <v>180</v>
      </c>
      <c r="C89" s="663" t="s">
        <v>47</v>
      </c>
      <c r="D89" s="663" t="s">
        <v>599</v>
      </c>
      <c r="E89" s="664" t="s">
        <v>42</v>
      </c>
      <c r="F89" s="665">
        <v>7669.0</v>
      </c>
      <c r="G89" s="665">
        <v>155.0</v>
      </c>
      <c r="H89" s="665">
        <v>2.02</v>
      </c>
      <c r="I89" s="665">
        <v>0.79</v>
      </c>
      <c r="J89" s="665">
        <v>0.45</v>
      </c>
      <c r="K89" s="665">
        <v>174.0</v>
      </c>
      <c r="L89" s="665">
        <v>22015.0</v>
      </c>
      <c r="M89" s="665">
        <v>0.02</v>
      </c>
      <c r="N89" s="1">
        <v>1.1226</v>
      </c>
      <c r="O89" s="1">
        <v>174.0</v>
      </c>
      <c r="P89" s="1">
        <v>22015.0</v>
      </c>
      <c r="Q89" s="1">
        <v>0.0227</v>
      </c>
      <c r="R89" s="1">
        <v>87321.0</v>
      </c>
      <c r="S89" s="1">
        <v>8.9676</v>
      </c>
      <c r="T89" s="1">
        <v>31.0798</v>
      </c>
      <c r="U89" s="1">
        <v>75.5802</v>
      </c>
      <c r="V89" s="1">
        <v>132.7636</v>
      </c>
    </row>
    <row r="90">
      <c r="A90" s="663" t="s">
        <v>2173</v>
      </c>
      <c r="B90" s="663" t="s">
        <v>180</v>
      </c>
      <c r="C90" s="663" t="s">
        <v>47</v>
      </c>
      <c r="D90" s="663" t="s">
        <v>599</v>
      </c>
      <c r="E90" s="664" t="s">
        <v>7</v>
      </c>
      <c r="F90" s="665">
        <v>7669.0</v>
      </c>
      <c r="G90" s="665">
        <v>84.0</v>
      </c>
      <c r="H90" s="665">
        <v>1.1</v>
      </c>
      <c r="I90" s="665">
        <v>0.4</v>
      </c>
      <c r="J90" s="665">
        <v>0.66</v>
      </c>
      <c r="K90" s="665">
        <v>87.0</v>
      </c>
      <c r="L90" s="665">
        <v>22015.0</v>
      </c>
      <c r="M90" s="665">
        <v>0.01</v>
      </c>
      <c r="N90" s="1">
        <v>1.0357</v>
      </c>
      <c r="O90" s="1">
        <v>87.0</v>
      </c>
      <c r="P90" s="1">
        <v>22015.0</v>
      </c>
      <c r="Q90" s="1">
        <v>0.0113</v>
      </c>
      <c r="R90" s="1">
        <v>87321.0</v>
      </c>
      <c r="S90" s="1">
        <v>503.2021</v>
      </c>
      <c r="T90" s="1">
        <v>1128.9114</v>
      </c>
      <c r="U90" s="1">
        <v>2992.1592</v>
      </c>
      <c r="V90" s="1">
        <v>6300.7262</v>
      </c>
    </row>
    <row r="91">
      <c r="A91" s="663" t="s">
        <v>2173</v>
      </c>
      <c r="B91" s="663" t="s">
        <v>180</v>
      </c>
      <c r="C91" s="663" t="s">
        <v>47</v>
      </c>
      <c r="D91" s="663" t="s">
        <v>599</v>
      </c>
      <c r="E91" s="664" t="s">
        <v>151</v>
      </c>
      <c r="F91" s="665">
        <v>7669.0</v>
      </c>
      <c r="G91" s="665">
        <v>2.0</v>
      </c>
      <c r="H91" s="665">
        <v>0.03</v>
      </c>
      <c r="I91" s="665">
        <v>0.01</v>
      </c>
      <c r="J91" s="665">
        <v>0.01</v>
      </c>
      <c r="K91" s="665">
        <v>2.0</v>
      </c>
      <c r="L91" s="665">
        <v>22015.0</v>
      </c>
      <c r="M91" s="665">
        <v>0.0</v>
      </c>
      <c r="N91" s="1">
        <v>1.0</v>
      </c>
      <c r="O91" s="1">
        <v>2.0</v>
      </c>
      <c r="P91" s="1">
        <v>22015.0</v>
      </c>
      <c r="Q91" s="1">
        <v>3.0E-4</v>
      </c>
      <c r="R91" s="1">
        <v>87321.0</v>
      </c>
      <c r="S91" s="1">
        <v>1077.0562</v>
      </c>
      <c r="T91" s="1">
        <v>2433.9307</v>
      </c>
      <c r="U91" s="1">
        <v>5766.0238</v>
      </c>
      <c r="V91" s="1">
        <v>12839.1047</v>
      </c>
    </row>
    <row r="92">
      <c r="A92" s="663" t="s">
        <v>2173</v>
      </c>
      <c r="B92" s="663" t="s">
        <v>180</v>
      </c>
      <c r="C92" s="663" t="s">
        <v>47</v>
      </c>
      <c r="D92" s="663" t="s">
        <v>599</v>
      </c>
      <c r="E92" s="664" t="s">
        <v>338</v>
      </c>
      <c r="F92" s="665">
        <v>7669.0</v>
      </c>
      <c r="G92" s="665">
        <v>2.0</v>
      </c>
      <c r="H92" s="665">
        <v>0.03</v>
      </c>
      <c r="I92" s="665">
        <v>0.01</v>
      </c>
      <c r="J92" s="665">
        <v>0.03</v>
      </c>
      <c r="K92" s="665">
        <v>2.0</v>
      </c>
      <c r="L92" s="665">
        <v>22015.0</v>
      </c>
      <c r="M92" s="665">
        <v>0.0</v>
      </c>
      <c r="N92" s="1">
        <v>1.0</v>
      </c>
      <c r="O92" s="1">
        <v>2.0</v>
      </c>
      <c r="P92" s="1">
        <v>22015.0</v>
      </c>
      <c r="Q92" s="1">
        <v>3.0E-4</v>
      </c>
      <c r="R92" s="1">
        <v>87321.0</v>
      </c>
      <c r="S92" s="1">
        <v>0.0</v>
      </c>
      <c r="T92" s="1">
        <v>0.0</v>
      </c>
      <c r="U92" s="1">
        <v>0.0907</v>
      </c>
      <c r="V92" s="1">
        <v>15.5305</v>
      </c>
    </row>
    <row r="93">
      <c r="A93" s="663" t="s">
        <v>2173</v>
      </c>
      <c r="B93" s="663" t="s">
        <v>180</v>
      </c>
      <c r="C93" s="663" t="s">
        <v>46</v>
      </c>
      <c r="D93" s="663" t="s">
        <v>599</v>
      </c>
      <c r="E93" s="664" t="s">
        <v>14</v>
      </c>
      <c r="F93" s="665">
        <v>4576.0</v>
      </c>
      <c r="G93" s="665">
        <v>1227.0</v>
      </c>
      <c r="H93" s="665">
        <v>26.81</v>
      </c>
      <c r="I93" s="665">
        <v>50.11</v>
      </c>
      <c r="J93" s="665">
        <v>18.48</v>
      </c>
      <c r="K93" s="665">
        <v>570877.61</v>
      </c>
      <c r="L93" s="665">
        <v>1139297.61</v>
      </c>
      <c r="M93" s="665">
        <v>124.75</v>
      </c>
      <c r="N93" s="1">
        <v>465.2629</v>
      </c>
      <c r="O93" s="1">
        <v>633420.0</v>
      </c>
      <c r="P93" s="1">
        <v>1201840.0</v>
      </c>
      <c r="Q93" s="1">
        <v>138.4222</v>
      </c>
      <c r="R93" s="1">
        <v>87321.0</v>
      </c>
      <c r="S93" s="1">
        <v>-148.5372</v>
      </c>
      <c r="T93" s="1">
        <v>-1.685</v>
      </c>
      <c r="U93" s="1">
        <v>127.6331</v>
      </c>
      <c r="V93" s="1">
        <v>385.321</v>
      </c>
    </row>
    <row r="94">
      <c r="A94" s="663" t="s">
        <v>2173</v>
      </c>
      <c r="B94" s="663" t="s">
        <v>180</v>
      </c>
      <c r="C94" s="663" t="s">
        <v>46</v>
      </c>
      <c r="D94" s="663" t="s">
        <v>599</v>
      </c>
      <c r="E94" s="664" t="s">
        <v>42</v>
      </c>
      <c r="F94" s="665">
        <v>4576.0</v>
      </c>
      <c r="G94" s="665">
        <v>1242.0</v>
      </c>
      <c r="H94" s="665">
        <v>27.14</v>
      </c>
      <c r="I94" s="665">
        <v>21.18</v>
      </c>
      <c r="J94" s="665">
        <v>16.21</v>
      </c>
      <c r="K94" s="665">
        <v>241320.0</v>
      </c>
      <c r="L94" s="665">
        <v>1139297.61</v>
      </c>
      <c r="M94" s="665">
        <v>52.74</v>
      </c>
      <c r="N94" s="1">
        <v>194.2995</v>
      </c>
      <c r="O94" s="1">
        <v>241320.0</v>
      </c>
      <c r="P94" s="1">
        <v>1201840.0</v>
      </c>
      <c r="Q94" s="1">
        <v>52.736</v>
      </c>
      <c r="R94" s="1">
        <v>87321.0</v>
      </c>
      <c r="S94" s="1">
        <v>-6.5406</v>
      </c>
      <c r="T94" s="1">
        <v>-1.454</v>
      </c>
      <c r="U94" s="1">
        <v>0.819</v>
      </c>
      <c r="V94" s="1">
        <v>2.9448</v>
      </c>
    </row>
    <row r="95">
      <c r="A95" s="663" t="s">
        <v>2173</v>
      </c>
      <c r="B95" s="663" t="s">
        <v>180</v>
      </c>
      <c r="C95" s="663" t="s">
        <v>46</v>
      </c>
      <c r="D95" s="663" t="s">
        <v>599</v>
      </c>
      <c r="E95" s="664" t="s">
        <v>411</v>
      </c>
      <c r="F95" s="665">
        <v>4576.0</v>
      </c>
      <c r="G95" s="665">
        <v>3045.0</v>
      </c>
      <c r="H95" s="665">
        <v>66.54</v>
      </c>
      <c r="I95" s="665">
        <v>15.54</v>
      </c>
      <c r="J95" s="665">
        <v>52.23</v>
      </c>
      <c r="K95" s="665">
        <v>177080.0</v>
      </c>
      <c r="L95" s="665">
        <v>1139297.61</v>
      </c>
      <c r="M95" s="665">
        <v>38.7</v>
      </c>
      <c r="N95" s="1">
        <v>58.1544</v>
      </c>
      <c r="O95" s="1">
        <v>177080.0</v>
      </c>
      <c r="P95" s="1">
        <v>1201840.0</v>
      </c>
      <c r="Q95" s="1">
        <v>38.6976</v>
      </c>
      <c r="R95" s="1">
        <v>87321.0</v>
      </c>
      <c r="S95" s="1">
        <v>-6.1934</v>
      </c>
      <c r="T95" s="1">
        <v>-1.0771</v>
      </c>
      <c r="U95" s="1">
        <v>1.0363</v>
      </c>
      <c r="V95" s="1">
        <v>3.9034</v>
      </c>
    </row>
    <row r="96">
      <c r="A96" s="663" t="s">
        <v>2173</v>
      </c>
      <c r="B96" s="663" t="s">
        <v>180</v>
      </c>
      <c r="C96" s="663" t="s">
        <v>46</v>
      </c>
      <c r="D96" s="663" t="s">
        <v>599</v>
      </c>
      <c r="E96" s="664" t="s">
        <v>7</v>
      </c>
      <c r="F96" s="665">
        <v>4576.0</v>
      </c>
      <c r="G96" s="665">
        <v>839.0</v>
      </c>
      <c r="H96" s="665">
        <v>18.33</v>
      </c>
      <c r="I96" s="665">
        <v>10.75</v>
      </c>
      <c r="J96" s="665">
        <v>9.65</v>
      </c>
      <c r="K96" s="665">
        <v>122470.0</v>
      </c>
      <c r="L96" s="665">
        <v>1139297.61</v>
      </c>
      <c r="M96" s="665">
        <v>26.76</v>
      </c>
      <c r="N96" s="1">
        <v>145.9714</v>
      </c>
      <c r="O96" s="1">
        <v>122470.0</v>
      </c>
      <c r="P96" s="1">
        <v>1201840.0</v>
      </c>
      <c r="Q96" s="1">
        <v>26.7635</v>
      </c>
      <c r="R96" s="1">
        <v>87321.0</v>
      </c>
      <c r="S96" s="1">
        <v>-4.4003</v>
      </c>
      <c r="T96" s="1">
        <v>-0.9263</v>
      </c>
      <c r="U96" s="1">
        <v>0.3769</v>
      </c>
      <c r="V96" s="1">
        <v>2.0</v>
      </c>
    </row>
    <row r="97">
      <c r="A97" s="663" t="s">
        <v>2173</v>
      </c>
      <c r="B97" s="663" t="s">
        <v>180</v>
      </c>
      <c r="C97" s="663" t="s">
        <v>46</v>
      </c>
      <c r="D97" s="663" t="s">
        <v>599</v>
      </c>
      <c r="E97" s="664" t="s">
        <v>51</v>
      </c>
      <c r="F97" s="665">
        <v>4576.0</v>
      </c>
      <c r="G97" s="665">
        <v>619.0</v>
      </c>
      <c r="H97" s="665">
        <v>13.53</v>
      </c>
      <c r="I97" s="665">
        <v>2.42</v>
      </c>
      <c r="J97" s="665">
        <v>3.41</v>
      </c>
      <c r="K97" s="665">
        <v>27520.0</v>
      </c>
      <c r="L97" s="665">
        <v>1139297.61</v>
      </c>
      <c r="M97" s="665">
        <v>6.01</v>
      </c>
      <c r="N97" s="1">
        <v>44.4588</v>
      </c>
      <c r="O97" s="1">
        <v>27520.0</v>
      </c>
      <c r="P97" s="1">
        <v>1201840.0</v>
      </c>
      <c r="Q97" s="1">
        <v>6.014</v>
      </c>
      <c r="R97" s="1">
        <v>87321.0</v>
      </c>
      <c r="S97" s="1">
        <v>-14.7813</v>
      </c>
      <c r="T97" s="1">
        <v>-4.6003</v>
      </c>
      <c r="U97" s="1">
        <v>1.8779</v>
      </c>
      <c r="V97" s="1">
        <v>8.7863</v>
      </c>
    </row>
    <row r="98">
      <c r="A98" s="663" t="s">
        <v>2173</v>
      </c>
      <c r="B98" s="663" t="s">
        <v>180</v>
      </c>
      <c r="C98" s="663" t="s">
        <v>46</v>
      </c>
      <c r="D98" s="663" t="s">
        <v>599</v>
      </c>
      <c r="E98" s="664" t="s">
        <v>151</v>
      </c>
      <c r="F98" s="665">
        <v>4576.0</v>
      </c>
      <c r="G98" s="665">
        <v>1.0</v>
      </c>
      <c r="H98" s="665">
        <v>0.02</v>
      </c>
      <c r="I98" s="665">
        <v>0.0</v>
      </c>
      <c r="J98" s="665">
        <v>0.02</v>
      </c>
      <c r="K98" s="665">
        <v>30.0</v>
      </c>
      <c r="L98" s="665">
        <v>1139297.61</v>
      </c>
      <c r="M98" s="665">
        <v>0.01</v>
      </c>
      <c r="N98" s="1">
        <v>30.0</v>
      </c>
      <c r="O98" s="1">
        <v>30.0</v>
      </c>
      <c r="P98" s="1">
        <v>1201840.0</v>
      </c>
      <c r="Q98" s="1">
        <v>0.0066</v>
      </c>
      <c r="R98" s="1">
        <v>87321.0</v>
      </c>
      <c r="S98" s="1">
        <v>-14.4005</v>
      </c>
      <c r="T98" s="1">
        <v>-4.2744</v>
      </c>
      <c r="U98" s="1">
        <v>2.0957</v>
      </c>
      <c r="V98" s="1">
        <v>8.9072</v>
      </c>
    </row>
    <row r="99">
      <c r="A99" s="663" t="s">
        <v>2173</v>
      </c>
      <c r="B99" s="663" t="s">
        <v>180</v>
      </c>
      <c r="C99" s="663" t="s">
        <v>1213</v>
      </c>
      <c r="D99" s="663" t="s">
        <v>2234</v>
      </c>
      <c r="E99" s="664" t="s">
        <v>14</v>
      </c>
      <c r="F99" s="665">
        <v>648.0</v>
      </c>
      <c r="G99" s="665">
        <v>622.0</v>
      </c>
      <c r="H99" s="665">
        <v>95.99</v>
      </c>
      <c r="I99" s="665">
        <v>97.61</v>
      </c>
      <c r="J99" s="665">
        <v>95.99</v>
      </c>
      <c r="K99" s="665">
        <v>17380.0</v>
      </c>
      <c r="L99" s="665">
        <v>17805.0</v>
      </c>
      <c r="M99" s="665">
        <v>26.82</v>
      </c>
      <c r="N99" s="1">
        <v>27.9421</v>
      </c>
      <c r="O99" s="1">
        <v>17380.0</v>
      </c>
      <c r="P99" s="1">
        <v>17805.0</v>
      </c>
      <c r="Q99" s="1">
        <v>26.821</v>
      </c>
      <c r="R99" s="1">
        <v>87321.0</v>
      </c>
      <c r="S99" s="1">
        <v>-9.0129</v>
      </c>
      <c r="T99" s="1">
        <v>-2.0406</v>
      </c>
      <c r="U99" s="1">
        <v>1.1865</v>
      </c>
      <c r="V99" s="1">
        <v>5.4536</v>
      </c>
    </row>
    <row r="100">
      <c r="A100" s="663" t="s">
        <v>2173</v>
      </c>
      <c r="B100" s="663" t="s">
        <v>180</v>
      </c>
      <c r="C100" s="663" t="s">
        <v>1213</v>
      </c>
      <c r="D100" s="663" t="s">
        <v>2234</v>
      </c>
      <c r="E100" s="664" t="s">
        <v>397</v>
      </c>
      <c r="F100" s="665">
        <v>648.0</v>
      </c>
      <c r="G100" s="665">
        <v>23.0</v>
      </c>
      <c r="H100" s="665">
        <v>3.55</v>
      </c>
      <c r="I100" s="665">
        <v>2.19</v>
      </c>
      <c r="J100" s="665">
        <v>3.55</v>
      </c>
      <c r="K100" s="665">
        <v>390.0</v>
      </c>
      <c r="L100" s="665">
        <v>17805.0</v>
      </c>
      <c r="M100" s="665">
        <v>0.6</v>
      </c>
      <c r="N100" s="1">
        <v>16.9565</v>
      </c>
      <c r="O100" s="1">
        <v>390.0</v>
      </c>
      <c r="P100" s="1">
        <v>17805.0</v>
      </c>
      <c r="Q100" s="1">
        <v>0.6019</v>
      </c>
      <c r="R100" s="1">
        <v>87321.0</v>
      </c>
      <c r="S100" s="1">
        <v>-5.1082</v>
      </c>
      <c r="T100" s="1">
        <v>0.0587</v>
      </c>
      <c r="U100" s="1">
        <v>9.9068</v>
      </c>
      <c r="V100" s="1">
        <v>26.2305</v>
      </c>
    </row>
    <row r="101">
      <c r="A101" s="663" t="s">
        <v>2173</v>
      </c>
      <c r="B101" s="663" t="s">
        <v>180</v>
      </c>
      <c r="C101" s="663" t="s">
        <v>1213</v>
      </c>
      <c r="D101" s="663" t="s">
        <v>2234</v>
      </c>
      <c r="E101" s="664" t="s">
        <v>151</v>
      </c>
      <c r="F101" s="665">
        <v>648.0</v>
      </c>
      <c r="G101" s="665">
        <v>3.0</v>
      </c>
      <c r="H101" s="665">
        <v>0.46</v>
      </c>
      <c r="I101" s="665">
        <v>0.2</v>
      </c>
      <c r="J101" s="665">
        <v>0.46</v>
      </c>
      <c r="K101" s="665">
        <v>35.0</v>
      </c>
      <c r="L101" s="665">
        <v>17805.0</v>
      </c>
      <c r="M101" s="665">
        <v>0.05</v>
      </c>
      <c r="N101" s="1">
        <v>11.6667</v>
      </c>
      <c r="O101" s="1">
        <v>35.0</v>
      </c>
      <c r="P101" s="1">
        <v>17805.0</v>
      </c>
      <c r="Q101" s="1">
        <v>0.054</v>
      </c>
      <c r="R101" s="1">
        <v>87321.0</v>
      </c>
      <c r="S101" s="1">
        <v>0.4346</v>
      </c>
      <c r="T101" s="1">
        <v>12.0256</v>
      </c>
      <c r="U101" s="1">
        <v>35.3507</v>
      </c>
      <c r="V101" s="1">
        <v>73.5772</v>
      </c>
    </row>
    <row r="102">
      <c r="A102" s="663" t="s">
        <v>2173</v>
      </c>
      <c r="B102" s="663" t="s">
        <v>180</v>
      </c>
      <c r="C102" s="663" t="s">
        <v>53</v>
      </c>
      <c r="D102" s="663" t="s">
        <v>599</v>
      </c>
      <c r="E102" s="664" t="s">
        <v>14</v>
      </c>
      <c r="F102" s="665">
        <v>6549.0</v>
      </c>
      <c r="G102" s="665">
        <v>689.0</v>
      </c>
      <c r="H102" s="665">
        <v>10.52</v>
      </c>
      <c r="I102" s="665">
        <v>42.33</v>
      </c>
      <c r="J102" s="665">
        <v>2.81</v>
      </c>
      <c r="K102" s="665">
        <v>15545.0</v>
      </c>
      <c r="L102" s="665">
        <v>36724.0</v>
      </c>
      <c r="M102" s="665">
        <v>2.37</v>
      </c>
      <c r="N102" s="1">
        <v>22.5617</v>
      </c>
      <c r="O102" s="1">
        <v>15545.0</v>
      </c>
      <c r="P102" s="1">
        <v>36724.0</v>
      </c>
      <c r="Q102" s="1">
        <v>2.3736</v>
      </c>
      <c r="R102" s="1">
        <v>87321.0</v>
      </c>
      <c r="S102" s="1">
        <v>4.1758</v>
      </c>
      <c r="T102" s="1">
        <v>20.5866</v>
      </c>
      <c r="U102" s="1">
        <v>54.1899</v>
      </c>
      <c r="V102" s="1">
        <v>99.3783</v>
      </c>
    </row>
    <row r="103">
      <c r="A103" s="663" t="s">
        <v>2173</v>
      </c>
      <c r="B103" s="663" t="s">
        <v>180</v>
      </c>
      <c r="C103" s="663" t="s">
        <v>53</v>
      </c>
      <c r="D103" s="663" t="s">
        <v>599</v>
      </c>
      <c r="E103" s="664" t="s">
        <v>397</v>
      </c>
      <c r="F103" s="665">
        <v>6549.0</v>
      </c>
      <c r="G103" s="665">
        <v>3454.0</v>
      </c>
      <c r="H103" s="665">
        <v>52.74</v>
      </c>
      <c r="I103" s="665">
        <v>14.41</v>
      </c>
      <c r="J103" s="665">
        <v>38.06</v>
      </c>
      <c r="K103" s="665">
        <v>5292.0</v>
      </c>
      <c r="L103" s="665">
        <v>36724.0</v>
      </c>
      <c r="M103" s="665">
        <v>0.81</v>
      </c>
      <c r="N103" s="1">
        <v>1.5321</v>
      </c>
      <c r="O103" s="1">
        <v>5292.0</v>
      </c>
      <c r="P103" s="1">
        <v>36724.0</v>
      </c>
      <c r="Q103" s="1">
        <v>0.8081</v>
      </c>
      <c r="R103" s="1">
        <v>87321.0</v>
      </c>
      <c r="S103" s="1">
        <v>592.9265</v>
      </c>
      <c r="T103" s="1">
        <v>1407.667</v>
      </c>
      <c r="U103" s="1">
        <v>3339.5701</v>
      </c>
      <c r="V103" s="1">
        <v>6539.7705</v>
      </c>
    </row>
    <row r="104">
      <c r="A104" s="663" t="s">
        <v>2173</v>
      </c>
      <c r="B104" s="663" t="s">
        <v>180</v>
      </c>
      <c r="C104" s="663" t="s">
        <v>53</v>
      </c>
      <c r="D104" s="663" t="s">
        <v>599</v>
      </c>
      <c r="E104" s="664" t="s">
        <v>393</v>
      </c>
      <c r="F104" s="665">
        <v>6549.0</v>
      </c>
      <c r="G104" s="665">
        <v>1063.0</v>
      </c>
      <c r="H104" s="665">
        <v>16.23</v>
      </c>
      <c r="I104" s="665">
        <v>10.73</v>
      </c>
      <c r="J104" s="665">
        <v>7.98</v>
      </c>
      <c r="K104" s="665">
        <v>3941.0</v>
      </c>
      <c r="L104" s="665">
        <v>36724.0</v>
      </c>
      <c r="M104" s="665">
        <v>0.6</v>
      </c>
      <c r="N104" s="1">
        <v>3.7074</v>
      </c>
      <c r="O104" s="1">
        <v>3941.0</v>
      </c>
      <c r="P104" s="1">
        <v>36724.0</v>
      </c>
      <c r="Q104" s="1">
        <v>0.6018</v>
      </c>
      <c r="R104" s="1">
        <v>87321.0</v>
      </c>
      <c r="S104" s="1">
        <v>1211.8421</v>
      </c>
      <c r="T104" s="1">
        <v>2908.4947</v>
      </c>
      <c r="U104" s="1">
        <v>6041.8414</v>
      </c>
      <c r="V104" s="1">
        <v>11550.4889</v>
      </c>
    </row>
    <row r="105">
      <c r="A105" s="663" t="s">
        <v>2173</v>
      </c>
      <c r="B105" s="663" t="s">
        <v>180</v>
      </c>
      <c r="C105" s="663" t="s">
        <v>53</v>
      </c>
      <c r="D105" s="663" t="s">
        <v>599</v>
      </c>
      <c r="E105" s="664" t="s">
        <v>15</v>
      </c>
      <c r="F105" s="665">
        <v>6549.0</v>
      </c>
      <c r="G105" s="665">
        <v>623.0</v>
      </c>
      <c r="H105" s="665">
        <v>9.51</v>
      </c>
      <c r="I105" s="665">
        <v>4.94</v>
      </c>
      <c r="J105" s="665">
        <v>6.13</v>
      </c>
      <c r="K105" s="665">
        <v>1816.0</v>
      </c>
      <c r="L105" s="665">
        <v>36724.0</v>
      </c>
      <c r="M105" s="665">
        <v>0.28</v>
      </c>
      <c r="N105" s="1">
        <v>2.9149</v>
      </c>
      <c r="O105" s="1">
        <v>1816.0</v>
      </c>
      <c r="P105" s="1">
        <v>36724.0</v>
      </c>
      <c r="Q105" s="1">
        <v>0.2773</v>
      </c>
      <c r="R105" s="1">
        <v>87321.0</v>
      </c>
      <c r="S105" s="1">
        <v>0.0</v>
      </c>
      <c r="T105" s="1">
        <v>0.0</v>
      </c>
      <c r="U105" s="1">
        <v>4.0993</v>
      </c>
      <c r="V105" s="1">
        <v>19.6126</v>
      </c>
    </row>
    <row r="106">
      <c r="A106" s="663" t="s">
        <v>2173</v>
      </c>
      <c r="B106" s="663" t="s">
        <v>180</v>
      </c>
      <c r="C106" s="663" t="s">
        <v>53</v>
      </c>
      <c r="D106" s="663" t="s">
        <v>599</v>
      </c>
      <c r="E106" s="664" t="s">
        <v>16</v>
      </c>
      <c r="F106" s="665">
        <v>6549.0</v>
      </c>
      <c r="G106" s="665">
        <v>1152.0</v>
      </c>
      <c r="H106" s="665">
        <v>17.59</v>
      </c>
      <c r="I106" s="665">
        <v>3.73</v>
      </c>
      <c r="J106" s="665">
        <v>13.86</v>
      </c>
      <c r="K106" s="665">
        <v>1371.0</v>
      </c>
      <c r="L106" s="665">
        <v>36724.0</v>
      </c>
      <c r="M106" s="665">
        <v>0.21</v>
      </c>
      <c r="N106" s="1">
        <v>1.1901</v>
      </c>
      <c r="O106" s="1">
        <v>1371.0</v>
      </c>
      <c r="P106" s="1">
        <v>36724.0</v>
      </c>
      <c r="Q106" s="1">
        <v>0.2093</v>
      </c>
      <c r="R106" s="1">
        <v>87321.0</v>
      </c>
      <c r="S106" s="1">
        <v>-267.7718</v>
      </c>
      <c r="T106" s="1">
        <v>-69.0516</v>
      </c>
      <c r="U106" s="1">
        <v>191.1964</v>
      </c>
      <c r="V106" s="1">
        <v>845.6537</v>
      </c>
    </row>
    <row r="107">
      <c r="A107" s="663" t="s">
        <v>2173</v>
      </c>
      <c r="B107" s="663" t="s">
        <v>180</v>
      </c>
      <c r="C107" s="663" t="s">
        <v>53</v>
      </c>
      <c r="D107" s="663" t="s">
        <v>599</v>
      </c>
      <c r="E107" s="664" t="s">
        <v>396</v>
      </c>
      <c r="F107" s="665">
        <v>6549.0</v>
      </c>
      <c r="G107" s="665">
        <v>804.0</v>
      </c>
      <c r="H107" s="665">
        <v>12.28</v>
      </c>
      <c r="I107" s="665">
        <v>3.64</v>
      </c>
      <c r="J107" s="665">
        <v>4.16</v>
      </c>
      <c r="K107" s="665">
        <v>1335.0</v>
      </c>
      <c r="L107" s="665">
        <v>36724.0</v>
      </c>
      <c r="M107" s="665">
        <v>0.2</v>
      </c>
      <c r="N107" s="1">
        <v>1.6604</v>
      </c>
      <c r="O107" s="1">
        <v>1335.0</v>
      </c>
      <c r="P107" s="1">
        <v>36724.0</v>
      </c>
      <c r="Q107" s="1">
        <v>0.2038</v>
      </c>
      <c r="R107" s="1">
        <v>87321.0</v>
      </c>
      <c r="S107" s="1">
        <v>-5.0</v>
      </c>
      <c r="T107" s="1">
        <v>-1.9814</v>
      </c>
      <c r="U107" s="1">
        <v>1.5436</v>
      </c>
      <c r="V107" s="1">
        <v>5.7875</v>
      </c>
    </row>
    <row r="108">
      <c r="A108" s="663" t="s">
        <v>2173</v>
      </c>
      <c r="B108" s="663" t="s">
        <v>180</v>
      </c>
      <c r="C108" s="663" t="s">
        <v>53</v>
      </c>
      <c r="D108" s="663" t="s">
        <v>599</v>
      </c>
      <c r="E108" s="664" t="s">
        <v>9</v>
      </c>
      <c r="F108" s="665">
        <v>6549.0</v>
      </c>
      <c r="G108" s="665">
        <v>771.0</v>
      </c>
      <c r="H108" s="665">
        <v>11.77</v>
      </c>
      <c r="I108" s="665">
        <v>3.61</v>
      </c>
      <c r="J108" s="665">
        <v>3.03</v>
      </c>
      <c r="K108" s="665">
        <v>1327.0</v>
      </c>
      <c r="L108" s="665">
        <v>36724.0</v>
      </c>
      <c r="M108" s="665">
        <v>0.2</v>
      </c>
      <c r="N108" s="1">
        <v>1.7211</v>
      </c>
      <c r="O108" s="1">
        <v>1327.0</v>
      </c>
      <c r="P108" s="1">
        <v>36724.0</v>
      </c>
      <c r="Q108" s="1">
        <v>0.2026</v>
      </c>
      <c r="R108" s="1">
        <v>87321.0</v>
      </c>
      <c r="S108" s="1">
        <v>-4.3647</v>
      </c>
      <c r="T108" s="1">
        <v>-1.0398</v>
      </c>
      <c r="U108" s="1">
        <v>2.3122</v>
      </c>
      <c r="V108" s="1">
        <v>7.5845</v>
      </c>
    </row>
    <row r="109">
      <c r="A109" s="663" t="s">
        <v>2173</v>
      </c>
      <c r="B109" s="663" t="s">
        <v>180</v>
      </c>
      <c r="C109" s="663" t="s">
        <v>53</v>
      </c>
      <c r="D109" s="663" t="s">
        <v>599</v>
      </c>
      <c r="E109" s="664" t="s">
        <v>42</v>
      </c>
      <c r="F109" s="665">
        <v>6549.0</v>
      </c>
      <c r="G109" s="665">
        <v>693.0</v>
      </c>
      <c r="H109" s="665">
        <v>10.58</v>
      </c>
      <c r="I109" s="665">
        <v>3.5</v>
      </c>
      <c r="J109" s="665">
        <v>2.8</v>
      </c>
      <c r="K109" s="665">
        <v>1285.0</v>
      </c>
      <c r="L109" s="665">
        <v>36724.0</v>
      </c>
      <c r="M109" s="665">
        <v>0.2</v>
      </c>
      <c r="N109" s="1">
        <v>1.8543</v>
      </c>
      <c r="O109" s="1">
        <v>1285.0</v>
      </c>
      <c r="P109" s="1">
        <v>36724.0</v>
      </c>
      <c r="Q109" s="1">
        <v>0.1962</v>
      </c>
      <c r="R109" s="1">
        <v>87321.0</v>
      </c>
      <c r="S109" s="1">
        <v>-3.9195</v>
      </c>
      <c r="T109" s="1">
        <v>-1.0</v>
      </c>
      <c r="U109" s="1">
        <v>1.0084</v>
      </c>
      <c r="V109" s="1">
        <v>4.2251</v>
      </c>
    </row>
    <row r="110">
      <c r="A110" s="663" t="s">
        <v>2173</v>
      </c>
      <c r="B110" s="663" t="s">
        <v>180</v>
      </c>
      <c r="C110" s="663" t="s">
        <v>53</v>
      </c>
      <c r="D110" s="663" t="s">
        <v>599</v>
      </c>
      <c r="E110" s="664" t="s">
        <v>338</v>
      </c>
      <c r="F110" s="665">
        <v>6549.0</v>
      </c>
      <c r="G110" s="665">
        <v>706.0</v>
      </c>
      <c r="H110" s="665">
        <v>10.78</v>
      </c>
      <c r="I110" s="665">
        <v>2.4</v>
      </c>
      <c r="J110" s="665">
        <v>3.74</v>
      </c>
      <c r="K110" s="665">
        <v>880.0</v>
      </c>
      <c r="L110" s="665">
        <v>36724.0</v>
      </c>
      <c r="M110" s="665">
        <v>0.13</v>
      </c>
      <c r="N110" s="1">
        <v>1.2465</v>
      </c>
      <c r="O110" s="1">
        <v>880.0</v>
      </c>
      <c r="P110" s="1">
        <v>36724.0</v>
      </c>
      <c r="Q110" s="1">
        <v>0.1344</v>
      </c>
      <c r="R110" s="1">
        <v>87321.0</v>
      </c>
      <c r="S110" s="1">
        <v>-7.502</v>
      </c>
      <c r="T110" s="1">
        <v>-0.8279</v>
      </c>
      <c r="U110" s="1">
        <v>9.4186</v>
      </c>
      <c r="V110" s="1">
        <v>21.5926</v>
      </c>
    </row>
    <row r="111">
      <c r="A111" s="663" t="s">
        <v>2173</v>
      </c>
      <c r="B111" s="663" t="s">
        <v>180</v>
      </c>
      <c r="C111" s="663" t="s">
        <v>53</v>
      </c>
      <c r="D111" s="663" t="s">
        <v>599</v>
      </c>
      <c r="E111" s="664" t="s">
        <v>329</v>
      </c>
      <c r="F111" s="665">
        <v>6549.0</v>
      </c>
      <c r="G111" s="665">
        <v>680.0</v>
      </c>
      <c r="H111" s="665">
        <v>10.38</v>
      </c>
      <c r="I111" s="665">
        <v>2.33</v>
      </c>
      <c r="J111" s="665">
        <v>3.79</v>
      </c>
      <c r="K111" s="665">
        <v>856.0</v>
      </c>
      <c r="L111" s="665">
        <v>36724.0</v>
      </c>
      <c r="M111" s="665">
        <v>0.13</v>
      </c>
      <c r="N111" s="1">
        <v>1.2588</v>
      </c>
      <c r="O111" s="1">
        <v>856.0</v>
      </c>
      <c r="P111" s="1">
        <v>36724.0</v>
      </c>
      <c r="Q111" s="1">
        <v>0.1307</v>
      </c>
      <c r="R111" s="1">
        <v>87321.0</v>
      </c>
      <c r="S111" s="1">
        <v>-7.8966</v>
      </c>
      <c r="T111" s="1">
        <v>-0.8232</v>
      </c>
      <c r="U111" s="1">
        <v>9.8986</v>
      </c>
      <c r="V111" s="1">
        <v>22.971</v>
      </c>
    </row>
    <row r="112">
      <c r="A112" s="663" t="s">
        <v>2173</v>
      </c>
      <c r="B112" s="663" t="s">
        <v>180</v>
      </c>
      <c r="C112" s="663" t="s">
        <v>53</v>
      </c>
      <c r="D112" s="663" t="s">
        <v>599</v>
      </c>
      <c r="E112" s="664" t="s">
        <v>63</v>
      </c>
      <c r="F112" s="665">
        <v>6549.0</v>
      </c>
      <c r="G112" s="665">
        <v>538.0</v>
      </c>
      <c r="H112" s="665">
        <v>8.21</v>
      </c>
      <c r="I112" s="665">
        <v>2.15</v>
      </c>
      <c r="J112" s="665">
        <v>2.17</v>
      </c>
      <c r="K112" s="665">
        <v>790.0</v>
      </c>
      <c r="L112" s="665">
        <v>36724.0</v>
      </c>
      <c r="M112" s="665">
        <v>0.12</v>
      </c>
      <c r="N112" s="1">
        <v>1.4684</v>
      </c>
      <c r="O112" s="1">
        <v>790.0</v>
      </c>
      <c r="P112" s="1">
        <v>36724.0</v>
      </c>
      <c r="Q112" s="1">
        <v>0.1206</v>
      </c>
      <c r="R112" s="1">
        <v>87321.0</v>
      </c>
      <c r="S112" s="1">
        <v>-4.2453</v>
      </c>
      <c r="T112" s="1">
        <v>-0.0124</v>
      </c>
      <c r="U112" s="1">
        <v>5.8837</v>
      </c>
      <c r="V112" s="1">
        <v>14.9019</v>
      </c>
    </row>
    <row r="113">
      <c r="A113" s="663" t="s">
        <v>2173</v>
      </c>
      <c r="B113" s="663" t="s">
        <v>180</v>
      </c>
      <c r="C113" s="663" t="s">
        <v>53</v>
      </c>
      <c r="D113" s="663" t="s">
        <v>599</v>
      </c>
      <c r="E113" s="664" t="s">
        <v>341</v>
      </c>
      <c r="F113" s="665">
        <v>6549.0</v>
      </c>
      <c r="G113" s="665">
        <v>640.0</v>
      </c>
      <c r="H113" s="665">
        <v>9.77</v>
      </c>
      <c r="I113" s="665">
        <v>2.07</v>
      </c>
      <c r="J113" s="665">
        <v>3.71</v>
      </c>
      <c r="K113" s="665">
        <v>759.0</v>
      </c>
      <c r="L113" s="665">
        <v>36724.0</v>
      </c>
      <c r="M113" s="665">
        <v>0.12</v>
      </c>
      <c r="N113" s="1">
        <v>1.1859</v>
      </c>
      <c r="O113" s="1">
        <v>759.0</v>
      </c>
      <c r="P113" s="1">
        <v>36724.0</v>
      </c>
      <c r="Q113" s="1">
        <v>0.1159</v>
      </c>
      <c r="R113" s="1">
        <v>87321.0</v>
      </c>
      <c r="S113" s="1">
        <v>0.0</v>
      </c>
      <c r="T113" s="1">
        <v>0.0335</v>
      </c>
      <c r="U113" s="1">
        <v>7.8416</v>
      </c>
      <c r="V113" s="1">
        <v>22.517</v>
      </c>
    </row>
    <row r="114">
      <c r="A114" s="663" t="s">
        <v>2173</v>
      </c>
      <c r="B114" s="663" t="s">
        <v>180</v>
      </c>
      <c r="C114" s="663" t="s">
        <v>53</v>
      </c>
      <c r="D114" s="663" t="s">
        <v>599</v>
      </c>
      <c r="E114" s="664" t="s">
        <v>413</v>
      </c>
      <c r="F114" s="665">
        <v>6549.0</v>
      </c>
      <c r="G114" s="665">
        <v>607.0</v>
      </c>
      <c r="H114" s="665">
        <v>9.27</v>
      </c>
      <c r="I114" s="665">
        <v>1.97</v>
      </c>
      <c r="J114" s="665">
        <v>4.07</v>
      </c>
      <c r="K114" s="665">
        <v>725.0</v>
      </c>
      <c r="L114" s="665">
        <v>36724.0</v>
      </c>
      <c r="M114" s="665">
        <v>0.11</v>
      </c>
      <c r="N114" s="1">
        <v>1.1944</v>
      </c>
      <c r="O114" s="1">
        <v>725.0</v>
      </c>
      <c r="P114" s="1">
        <v>36724.0</v>
      </c>
      <c r="Q114" s="1">
        <v>0.1107</v>
      </c>
      <c r="R114" s="1">
        <v>87321.0</v>
      </c>
      <c r="S114" s="1">
        <v>0.0607</v>
      </c>
      <c r="T114" s="1">
        <v>6.5195</v>
      </c>
      <c r="U114" s="1">
        <v>20.4325</v>
      </c>
      <c r="V114" s="1">
        <v>66.4941</v>
      </c>
    </row>
    <row r="115">
      <c r="A115" s="663" t="s">
        <v>2173</v>
      </c>
      <c r="B115" s="663" t="s">
        <v>180</v>
      </c>
      <c r="C115" s="663" t="s">
        <v>53</v>
      </c>
      <c r="D115" s="663" t="s">
        <v>599</v>
      </c>
      <c r="E115" s="664" t="s">
        <v>411</v>
      </c>
      <c r="F115" s="665">
        <v>6549.0</v>
      </c>
      <c r="G115" s="665">
        <v>188.0</v>
      </c>
      <c r="H115" s="665">
        <v>2.87</v>
      </c>
      <c r="I115" s="665">
        <v>0.63</v>
      </c>
      <c r="J115" s="665">
        <v>1.95</v>
      </c>
      <c r="K115" s="665">
        <v>230.0</v>
      </c>
      <c r="L115" s="665">
        <v>36724.0</v>
      </c>
      <c r="M115" s="665">
        <v>0.04</v>
      </c>
      <c r="N115" s="1">
        <v>1.2234</v>
      </c>
      <c r="O115" s="1">
        <v>230.0</v>
      </c>
      <c r="P115" s="1">
        <v>36724.0</v>
      </c>
      <c r="Q115" s="1">
        <v>0.0351</v>
      </c>
      <c r="R115" s="1">
        <v>87321.0</v>
      </c>
      <c r="S115" s="1">
        <v>3.3892</v>
      </c>
      <c r="T115" s="1">
        <v>13.8395</v>
      </c>
      <c r="U115" s="1">
        <v>39.1734</v>
      </c>
      <c r="V115" s="1">
        <v>111.743</v>
      </c>
    </row>
    <row r="116">
      <c r="A116" s="663" t="s">
        <v>2173</v>
      </c>
      <c r="B116" s="663" t="s">
        <v>180</v>
      </c>
      <c r="C116" s="663" t="s">
        <v>53</v>
      </c>
      <c r="D116" s="663" t="s">
        <v>599</v>
      </c>
      <c r="E116" s="664" t="s">
        <v>7</v>
      </c>
      <c r="F116" s="665">
        <v>6549.0</v>
      </c>
      <c r="G116" s="665">
        <v>197.0</v>
      </c>
      <c r="H116" s="665">
        <v>3.01</v>
      </c>
      <c r="I116" s="665">
        <v>0.55</v>
      </c>
      <c r="J116" s="665">
        <v>0.59</v>
      </c>
      <c r="K116" s="665">
        <v>203.0</v>
      </c>
      <c r="L116" s="665">
        <v>36724.0</v>
      </c>
      <c r="M116" s="665">
        <v>0.03</v>
      </c>
      <c r="N116" s="1">
        <v>1.0305</v>
      </c>
      <c r="O116" s="1">
        <v>203.0</v>
      </c>
      <c r="P116" s="1">
        <v>36724.0</v>
      </c>
      <c r="Q116" s="1">
        <v>0.031</v>
      </c>
      <c r="R116" s="1">
        <v>87321.0</v>
      </c>
      <c r="S116" s="1">
        <v>688.1426</v>
      </c>
      <c r="T116" s="1">
        <v>1158.0748</v>
      </c>
      <c r="U116" s="1">
        <v>2404.882</v>
      </c>
      <c r="V116" s="1">
        <v>7384.9679</v>
      </c>
    </row>
    <row r="117">
      <c r="A117" s="663" t="s">
        <v>2173</v>
      </c>
      <c r="B117" s="663" t="s">
        <v>180</v>
      </c>
      <c r="C117" s="663" t="s">
        <v>53</v>
      </c>
      <c r="D117" s="663" t="s">
        <v>599</v>
      </c>
      <c r="E117" s="664" t="s">
        <v>73</v>
      </c>
      <c r="F117" s="665">
        <v>6549.0</v>
      </c>
      <c r="G117" s="665">
        <v>183.0</v>
      </c>
      <c r="H117" s="665">
        <v>2.79</v>
      </c>
      <c r="I117" s="665">
        <v>0.52</v>
      </c>
      <c r="J117" s="665">
        <v>0.14</v>
      </c>
      <c r="K117" s="665">
        <v>190.0</v>
      </c>
      <c r="L117" s="665">
        <v>36724.0</v>
      </c>
      <c r="M117" s="665">
        <v>0.03</v>
      </c>
      <c r="N117" s="1">
        <v>1.0383</v>
      </c>
      <c r="O117" s="1">
        <v>190.0</v>
      </c>
      <c r="P117" s="1">
        <v>36724.0</v>
      </c>
      <c r="Q117" s="1">
        <v>0.029</v>
      </c>
      <c r="R117" s="1">
        <v>87321.0</v>
      </c>
      <c r="S117" s="1">
        <v>1872.926</v>
      </c>
      <c r="T117" s="1">
        <v>3040.7637</v>
      </c>
      <c r="U117" s="1">
        <v>5723.3562</v>
      </c>
      <c r="V117" s="1">
        <v>15082.2673</v>
      </c>
    </row>
    <row r="118">
      <c r="A118" s="663" t="s">
        <v>2173</v>
      </c>
      <c r="B118" s="663" t="s">
        <v>180</v>
      </c>
      <c r="C118" s="663" t="s">
        <v>53</v>
      </c>
      <c r="D118" s="663" t="s">
        <v>599</v>
      </c>
      <c r="E118" s="664" t="s">
        <v>206</v>
      </c>
      <c r="F118" s="665">
        <v>6549.0</v>
      </c>
      <c r="G118" s="665">
        <v>102.0</v>
      </c>
      <c r="H118" s="665">
        <v>1.56</v>
      </c>
      <c r="I118" s="665">
        <v>0.28</v>
      </c>
      <c r="J118" s="665">
        <v>0.05</v>
      </c>
      <c r="K118" s="665">
        <v>102.0</v>
      </c>
      <c r="L118" s="665">
        <v>36724.0</v>
      </c>
      <c r="M118" s="665">
        <v>0.02</v>
      </c>
      <c r="N118" s="1">
        <v>1.0</v>
      </c>
      <c r="O118" s="1">
        <v>102.0</v>
      </c>
      <c r="P118" s="1">
        <v>36724.0</v>
      </c>
      <c r="Q118" s="1">
        <v>0.0156</v>
      </c>
      <c r="R118" s="1">
        <v>87321.0</v>
      </c>
      <c r="S118" s="1">
        <v>0.0</v>
      </c>
      <c r="T118" s="1">
        <v>0.0</v>
      </c>
      <c r="U118" s="1">
        <v>0.0</v>
      </c>
      <c r="V118" s="1">
        <v>15.0965</v>
      </c>
    </row>
    <row r="119">
      <c r="A119" s="663" t="s">
        <v>2173</v>
      </c>
      <c r="B119" s="663" t="s">
        <v>180</v>
      </c>
      <c r="C119" s="663" t="s">
        <v>53</v>
      </c>
      <c r="D119" s="663" t="s">
        <v>599</v>
      </c>
      <c r="E119" s="664" t="s">
        <v>418</v>
      </c>
      <c r="F119" s="665">
        <v>6549.0</v>
      </c>
      <c r="G119" s="665">
        <v>67.0</v>
      </c>
      <c r="H119" s="665">
        <v>1.02</v>
      </c>
      <c r="I119" s="665">
        <v>0.19</v>
      </c>
      <c r="J119" s="665">
        <v>0.91</v>
      </c>
      <c r="K119" s="665">
        <v>70.0</v>
      </c>
      <c r="L119" s="665">
        <v>36724.0</v>
      </c>
      <c r="M119" s="665">
        <v>0.01</v>
      </c>
      <c r="N119" s="1">
        <v>1.0448</v>
      </c>
      <c r="O119" s="1">
        <v>70.0</v>
      </c>
      <c r="P119" s="1">
        <v>36724.0</v>
      </c>
      <c r="Q119" s="1">
        <v>0.0107</v>
      </c>
      <c r="R119" s="1">
        <v>87321.0</v>
      </c>
      <c r="S119" s="1">
        <v>-246.0478</v>
      </c>
      <c r="T119" s="1">
        <v>-53.7723</v>
      </c>
      <c r="U119" s="1">
        <v>112.2148</v>
      </c>
      <c r="V119" s="1">
        <v>462.2661</v>
      </c>
    </row>
    <row r="120">
      <c r="A120" s="663" t="s">
        <v>2173</v>
      </c>
      <c r="B120" s="663" t="s">
        <v>180</v>
      </c>
      <c r="C120" s="663" t="s">
        <v>53</v>
      </c>
      <c r="D120" s="663" t="s">
        <v>599</v>
      </c>
      <c r="E120" s="664" t="s">
        <v>398</v>
      </c>
      <c r="F120" s="665">
        <v>6549.0</v>
      </c>
      <c r="G120" s="665">
        <v>1.0</v>
      </c>
      <c r="H120" s="665">
        <v>0.02</v>
      </c>
      <c r="I120" s="665">
        <v>0.01</v>
      </c>
      <c r="J120" s="665">
        <v>0.02</v>
      </c>
      <c r="K120" s="665">
        <v>2.0</v>
      </c>
      <c r="L120" s="665">
        <v>36724.0</v>
      </c>
      <c r="M120" s="665">
        <v>0.0</v>
      </c>
      <c r="N120" s="1">
        <v>2.0</v>
      </c>
      <c r="O120" s="1">
        <v>2.0</v>
      </c>
      <c r="P120" s="1">
        <v>36724.0</v>
      </c>
      <c r="Q120" s="1">
        <v>3.0E-4</v>
      </c>
      <c r="R120" s="1">
        <v>87321.0</v>
      </c>
      <c r="S120" s="1">
        <v>-9.4917</v>
      </c>
      <c r="T120" s="1">
        <v>-3.6825</v>
      </c>
      <c r="U120" s="1">
        <v>0.0</v>
      </c>
      <c r="V120" s="1">
        <v>2.9761</v>
      </c>
    </row>
    <row r="121">
      <c r="A121" s="663" t="s">
        <v>2173</v>
      </c>
      <c r="B121" s="663" t="s">
        <v>180</v>
      </c>
      <c r="C121" s="663" t="s">
        <v>53</v>
      </c>
      <c r="D121" s="663" t="s">
        <v>599</v>
      </c>
      <c r="E121" s="664" t="s">
        <v>151</v>
      </c>
      <c r="F121" s="665">
        <v>6549.0</v>
      </c>
      <c r="G121" s="665">
        <v>4.0</v>
      </c>
      <c r="H121" s="665">
        <v>0.06</v>
      </c>
      <c r="I121" s="665">
        <v>0.01</v>
      </c>
      <c r="J121" s="665">
        <v>0.05</v>
      </c>
      <c r="K121" s="665">
        <v>5.0</v>
      </c>
      <c r="L121" s="665">
        <v>36724.0</v>
      </c>
      <c r="M121" s="665">
        <v>0.0</v>
      </c>
      <c r="N121" s="1">
        <v>1.25</v>
      </c>
      <c r="O121" s="1">
        <v>5.0</v>
      </c>
      <c r="P121" s="1">
        <v>36724.0</v>
      </c>
      <c r="Q121" s="1">
        <v>8.0E-4</v>
      </c>
      <c r="R121" s="1">
        <v>87321.0</v>
      </c>
      <c r="S121" s="1">
        <v>-9.2676</v>
      </c>
      <c r="T121" s="1">
        <v>-3.0285</v>
      </c>
      <c r="U121" s="1">
        <v>0.7148</v>
      </c>
      <c r="V121" s="1">
        <v>4.5583</v>
      </c>
    </row>
    <row r="122">
      <c r="A122" s="663" t="s">
        <v>2173</v>
      </c>
      <c r="B122" s="663" t="s">
        <v>180</v>
      </c>
      <c r="C122" s="663" t="s">
        <v>52</v>
      </c>
      <c r="D122" s="663" t="s">
        <v>599</v>
      </c>
      <c r="E122" s="664" t="s">
        <v>14</v>
      </c>
      <c r="F122" s="665">
        <v>8798.0</v>
      </c>
      <c r="G122" s="665">
        <v>800.0</v>
      </c>
      <c r="H122" s="665">
        <v>9.09</v>
      </c>
      <c r="I122" s="665">
        <v>34.52</v>
      </c>
      <c r="J122" s="665">
        <v>3.42</v>
      </c>
      <c r="K122" s="665">
        <v>15178.0</v>
      </c>
      <c r="L122" s="665">
        <v>43969.0</v>
      </c>
      <c r="M122" s="665">
        <v>1.73</v>
      </c>
      <c r="N122" s="1">
        <v>18.9725</v>
      </c>
      <c r="O122" s="1">
        <v>15178.0</v>
      </c>
      <c r="P122" s="1">
        <v>43969.0</v>
      </c>
      <c r="Q122" s="1">
        <v>1.7252</v>
      </c>
      <c r="R122" s="1">
        <v>87321.0</v>
      </c>
      <c r="S122" s="1">
        <v>-6.9202</v>
      </c>
      <c r="T122" s="1">
        <v>-2.7013</v>
      </c>
      <c r="U122" s="1">
        <v>0.0</v>
      </c>
      <c r="V122" s="1">
        <v>2.0</v>
      </c>
    </row>
    <row r="123">
      <c r="A123" s="663" t="s">
        <v>2173</v>
      </c>
      <c r="B123" s="663" t="s">
        <v>180</v>
      </c>
      <c r="C123" s="663" t="s">
        <v>52</v>
      </c>
      <c r="D123" s="663" t="s">
        <v>599</v>
      </c>
      <c r="E123" s="664" t="s">
        <v>397</v>
      </c>
      <c r="F123" s="665">
        <v>8798.0</v>
      </c>
      <c r="G123" s="665">
        <v>4665.0</v>
      </c>
      <c r="H123" s="665">
        <v>53.02</v>
      </c>
      <c r="I123" s="665">
        <v>17.8</v>
      </c>
      <c r="J123" s="665">
        <v>38.07</v>
      </c>
      <c r="K123" s="665">
        <v>7828.0</v>
      </c>
      <c r="L123" s="665">
        <v>43969.0</v>
      </c>
      <c r="M123" s="665">
        <v>0.89</v>
      </c>
      <c r="N123" s="1">
        <v>1.678</v>
      </c>
      <c r="O123" s="1">
        <v>7828.0</v>
      </c>
      <c r="P123" s="1">
        <v>43969.0</v>
      </c>
      <c r="Q123" s="1">
        <v>0.8897</v>
      </c>
      <c r="R123" s="1">
        <v>87321.0</v>
      </c>
      <c r="S123" s="1">
        <v>-16.375</v>
      </c>
      <c r="T123" s="1">
        <v>-6.4627</v>
      </c>
      <c r="U123" s="1">
        <v>2.1784</v>
      </c>
      <c r="V123" s="1">
        <v>14.2845</v>
      </c>
    </row>
    <row r="124">
      <c r="A124" s="663" t="s">
        <v>2173</v>
      </c>
      <c r="B124" s="663" t="s">
        <v>180</v>
      </c>
      <c r="C124" s="663" t="s">
        <v>52</v>
      </c>
      <c r="D124" s="663" t="s">
        <v>599</v>
      </c>
      <c r="E124" s="664" t="s">
        <v>15</v>
      </c>
      <c r="F124" s="665">
        <v>8798.0</v>
      </c>
      <c r="G124" s="665">
        <v>1799.0</v>
      </c>
      <c r="H124" s="665">
        <v>20.45</v>
      </c>
      <c r="I124" s="665">
        <v>9.12</v>
      </c>
      <c r="J124" s="665">
        <v>11.26</v>
      </c>
      <c r="K124" s="665">
        <v>4008.0</v>
      </c>
      <c r="L124" s="665">
        <v>43969.0</v>
      </c>
      <c r="M124" s="665">
        <v>0.46</v>
      </c>
      <c r="N124" s="1">
        <v>2.2279</v>
      </c>
      <c r="O124" s="1">
        <v>4008.0</v>
      </c>
      <c r="P124" s="1">
        <v>43969.0</v>
      </c>
      <c r="Q124" s="1">
        <v>0.4556</v>
      </c>
      <c r="R124" s="1">
        <v>87321.0</v>
      </c>
      <c r="S124" s="1">
        <v>-16.7754</v>
      </c>
      <c r="T124" s="1">
        <v>-6.4098</v>
      </c>
      <c r="U124" s="1">
        <v>2.2055</v>
      </c>
      <c r="V124" s="1">
        <v>14.1038</v>
      </c>
    </row>
    <row r="125">
      <c r="A125" s="663" t="s">
        <v>2173</v>
      </c>
      <c r="B125" s="663" t="s">
        <v>180</v>
      </c>
      <c r="C125" s="663" t="s">
        <v>52</v>
      </c>
      <c r="D125" s="663" t="s">
        <v>599</v>
      </c>
      <c r="E125" s="664" t="s">
        <v>393</v>
      </c>
      <c r="F125" s="665">
        <v>8798.0</v>
      </c>
      <c r="G125" s="665">
        <v>1101.0</v>
      </c>
      <c r="H125" s="665">
        <v>12.51</v>
      </c>
      <c r="I125" s="665">
        <v>9.1</v>
      </c>
      <c r="J125" s="665">
        <v>5.28</v>
      </c>
      <c r="K125" s="665">
        <v>4001.0</v>
      </c>
      <c r="L125" s="665">
        <v>43969.0</v>
      </c>
      <c r="M125" s="665">
        <v>0.45</v>
      </c>
      <c r="N125" s="1">
        <v>3.634</v>
      </c>
      <c r="O125" s="1">
        <v>4001.0</v>
      </c>
      <c r="P125" s="1">
        <v>43969.0</v>
      </c>
      <c r="Q125" s="1">
        <v>0.4548</v>
      </c>
      <c r="R125" s="1">
        <v>87321.0</v>
      </c>
      <c r="S125" s="1">
        <v>-11.1178</v>
      </c>
      <c r="T125" s="1">
        <v>-3.6197</v>
      </c>
      <c r="U125" s="1">
        <v>1.4133</v>
      </c>
      <c r="V125" s="1">
        <v>8.689</v>
      </c>
    </row>
    <row r="126">
      <c r="A126" s="663" t="s">
        <v>2173</v>
      </c>
      <c r="B126" s="663" t="s">
        <v>180</v>
      </c>
      <c r="C126" s="663" t="s">
        <v>52</v>
      </c>
      <c r="D126" s="663" t="s">
        <v>599</v>
      </c>
      <c r="E126" s="664" t="s">
        <v>398</v>
      </c>
      <c r="F126" s="665">
        <v>8798.0</v>
      </c>
      <c r="G126" s="665">
        <v>674.0</v>
      </c>
      <c r="H126" s="665">
        <v>7.66</v>
      </c>
      <c r="I126" s="665">
        <v>4.79</v>
      </c>
      <c r="J126" s="665">
        <v>1.4</v>
      </c>
      <c r="K126" s="665">
        <v>2106.0</v>
      </c>
      <c r="L126" s="665">
        <v>43969.0</v>
      </c>
      <c r="M126" s="665">
        <v>0.24</v>
      </c>
      <c r="N126" s="1">
        <v>3.1246</v>
      </c>
      <c r="O126" s="1">
        <v>2106.0</v>
      </c>
      <c r="P126" s="1">
        <v>43969.0</v>
      </c>
      <c r="Q126" s="1">
        <v>0.2394</v>
      </c>
      <c r="R126" s="1">
        <v>87321.0</v>
      </c>
      <c r="S126" s="1">
        <v>-5.6245</v>
      </c>
      <c r="T126" s="1">
        <v>0.0699</v>
      </c>
      <c r="U126" s="1">
        <v>8.9433</v>
      </c>
      <c r="V126" s="1">
        <v>22.01</v>
      </c>
    </row>
    <row r="127">
      <c r="A127" s="663" t="s">
        <v>2173</v>
      </c>
      <c r="B127" s="663" t="s">
        <v>180</v>
      </c>
      <c r="C127" s="663" t="s">
        <v>52</v>
      </c>
      <c r="D127" s="663" t="s">
        <v>599</v>
      </c>
      <c r="E127" s="664" t="s">
        <v>51</v>
      </c>
      <c r="F127" s="665">
        <v>8798.0</v>
      </c>
      <c r="G127" s="665">
        <v>679.0</v>
      </c>
      <c r="H127" s="665">
        <v>7.72</v>
      </c>
      <c r="I127" s="665">
        <v>3.42</v>
      </c>
      <c r="J127" s="665">
        <v>2.26</v>
      </c>
      <c r="K127" s="665">
        <v>1504.0</v>
      </c>
      <c r="L127" s="665">
        <v>43969.0</v>
      </c>
      <c r="M127" s="665">
        <v>0.17</v>
      </c>
      <c r="N127" s="1">
        <v>2.215</v>
      </c>
      <c r="O127" s="1">
        <v>1504.0</v>
      </c>
      <c r="P127" s="1">
        <v>43969.0</v>
      </c>
      <c r="Q127" s="1">
        <v>0.1709</v>
      </c>
      <c r="R127" s="1">
        <v>87321.0</v>
      </c>
      <c r="S127" s="1">
        <v>0.0</v>
      </c>
      <c r="T127" s="1">
        <v>9.7755</v>
      </c>
      <c r="U127" s="1">
        <v>30.174</v>
      </c>
      <c r="V127" s="1">
        <v>62.5401</v>
      </c>
    </row>
    <row r="128">
      <c r="A128" s="663" t="s">
        <v>2173</v>
      </c>
      <c r="B128" s="663" t="s">
        <v>180</v>
      </c>
      <c r="C128" s="663" t="s">
        <v>52</v>
      </c>
      <c r="D128" s="663" t="s">
        <v>599</v>
      </c>
      <c r="E128" s="664" t="s">
        <v>9</v>
      </c>
      <c r="F128" s="665">
        <v>8798.0</v>
      </c>
      <c r="G128" s="665">
        <v>649.0</v>
      </c>
      <c r="H128" s="665">
        <v>7.38</v>
      </c>
      <c r="I128" s="665">
        <v>2.83</v>
      </c>
      <c r="J128" s="665">
        <v>1.02</v>
      </c>
      <c r="K128" s="665">
        <v>1244.0</v>
      </c>
      <c r="L128" s="665">
        <v>43969.0</v>
      </c>
      <c r="M128" s="665">
        <v>0.14</v>
      </c>
      <c r="N128" s="1">
        <v>1.9168</v>
      </c>
      <c r="O128" s="1">
        <v>1244.0</v>
      </c>
      <c r="P128" s="1">
        <v>43969.0</v>
      </c>
      <c r="Q128" s="1">
        <v>0.1414</v>
      </c>
      <c r="R128" s="1">
        <v>87321.0</v>
      </c>
      <c r="S128" s="1">
        <v>2.8047</v>
      </c>
      <c r="T128" s="1">
        <v>19.5611</v>
      </c>
      <c r="U128" s="1">
        <v>48.193</v>
      </c>
      <c r="V128" s="1">
        <v>97.4415</v>
      </c>
    </row>
    <row r="129">
      <c r="A129" s="663" t="s">
        <v>2173</v>
      </c>
      <c r="B129" s="663" t="s">
        <v>180</v>
      </c>
      <c r="C129" s="663" t="s">
        <v>52</v>
      </c>
      <c r="D129" s="663" t="s">
        <v>599</v>
      </c>
      <c r="E129" s="664" t="s">
        <v>63</v>
      </c>
      <c r="F129" s="665">
        <v>8798.0</v>
      </c>
      <c r="G129" s="665">
        <v>914.0</v>
      </c>
      <c r="H129" s="665">
        <v>10.39</v>
      </c>
      <c r="I129" s="665">
        <v>2.71</v>
      </c>
      <c r="J129" s="665">
        <v>4.39</v>
      </c>
      <c r="K129" s="665">
        <v>1192.0</v>
      </c>
      <c r="L129" s="665">
        <v>43969.0</v>
      </c>
      <c r="M129" s="665">
        <v>0.14</v>
      </c>
      <c r="N129" s="1">
        <v>1.3042</v>
      </c>
      <c r="O129" s="1">
        <v>1192.0</v>
      </c>
      <c r="P129" s="1">
        <v>43969.0</v>
      </c>
      <c r="Q129" s="1">
        <v>0.1355</v>
      </c>
      <c r="R129" s="1">
        <v>87321.0</v>
      </c>
      <c r="S129" s="1">
        <v>913.777</v>
      </c>
      <c r="T129" s="1">
        <v>1780.1065</v>
      </c>
      <c r="U129" s="1">
        <v>3585.6441</v>
      </c>
      <c r="V129" s="1">
        <v>7716.2742</v>
      </c>
    </row>
    <row r="130">
      <c r="A130" s="663" t="s">
        <v>2173</v>
      </c>
      <c r="B130" s="663" t="s">
        <v>180</v>
      </c>
      <c r="C130" s="663" t="s">
        <v>52</v>
      </c>
      <c r="D130" s="663" t="s">
        <v>599</v>
      </c>
      <c r="E130" s="664" t="s">
        <v>16</v>
      </c>
      <c r="F130" s="665">
        <v>8798.0</v>
      </c>
      <c r="G130" s="665">
        <v>869.0</v>
      </c>
      <c r="H130" s="665">
        <v>9.88</v>
      </c>
      <c r="I130" s="665">
        <v>2.4</v>
      </c>
      <c r="J130" s="665">
        <v>6.81</v>
      </c>
      <c r="K130" s="665">
        <v>1056.0</v>
      </c>
      <c r="L130" s="665">
        <v>43969.0</v>
      </c>
      <c r="M130" s="665">
        <v>0.12</v>
      </c>
      <c r="N130" s="1">
        <v>1.2152</v>
      </c>
      <c r="O130" s="1">
        <v>1056.0</v>
      </c>
      <c r="P130" s="1">
        <v>43969.0</v>
      </c>
      <c r="Q130" s="1">
        <v>0.12</v>
      </c>
      <c r="R130" s="1">
        <v>87321.0</v>
      </c>
      <c r="S130" s="1">
        <v>2248.347</v>
      </c>
      <c r="T130" s="1">
        <v>3821.1218</v>
      </c>
      <c r="U130" s="1">
        <v>7785.724</v>
      </c>
      <c r="V130" s="1">
        <v>16591.588</v>
      </c>
    </row>
    <row r="131">
      <c r="A131" s="663" t="s">
        <v>2173</v>
      </c>
      <c r="B131" s="663" t="s">
        <v>180</v>
      </c>
      <c r="C131" s="663" t="s">
        <v>52</v>
      </c>
      <c r="D131" s="663" t="s">
        <v>599</v>
      </c>
      <c r="E131" s="664" t="s">
        <v>396</v>
      </c>
      <c r="F131" s="665">
        <v>8798.0</v>
      </c>
      <c r="G131" s="665">
        <v>786.0</v>
      </c>
      <c r="H131" s="665">
        <v>8.93</v>
      </c>
      <c r="I131" s="665">
        <v>2.36</v>
      </c>
      <c r="J131" s="665">
        <v>3.31</v>
      </c>
      <c r="K131" s="665">
        <v>1039.0</v>
      </c>
      <c r="L131" s="665">
        <v>43969.0</v>
      </c>
      <c r="M131" s="665">
        <v>0.12</v>
      </c>
      <c r="N131" s="1">
        <v>1.3219</v>
      </c>
      <c r="O131" s="1">
        <v>1039.0</v>
      </c>
      <c r="P131" s="1">
        <v>43969.0</v>
      </c>
      <c r="Q131" s="1">
        <v>0.1181</v>
      </c>
      <c r="R131" s="1">
        <v>87321.0</v>
      </c>
      <c r="S131" s="1">
        <v>0.0</v>
      </c>
      <c r="T131" s="1">
        <v>0.0</v>
      </c>
      <c r="U131" s="1">
        <v>0.0</v>
      </c>
      <c r="V131" s="1">
        <v>27.1296</v>
      </c>
    </row>
    <row r="132">
      <c r="A132" s="663" t="s">
        <v>2173</v>
      </c>
      <c r="B132" s="663" t="s">
        <v>180</v>
      </c>
      <c r="C132" s="663" t="s">
        <v>52</v>
      </c>
      <c r="D132" s="663" t="s">
        <v>599</v>
      </c>
      <c r="E132" s="664" t="s">
        <v>338</v>
      </c>
      <c r="F132" s="665">
        <v>8798.0</v>
      </c>
      <c r="G132" s="665">
        <v>870.0</v>
      </c>
      <c r="H132" s="665">
        <v>9.89</v>
      </c>
      <c r="I132" s="665">
        <v>2.18</v>
      </c>
      <c r="J132" s="665">
        <v>5.51</v>
      </c>
      <c r="K132" s="665">
        <v>957.0</v>
      </c>
      <c r="L132" s="665">
        <v>43969.0</v>
      </c>
      <c r="M132" s="665">
        <v>0.11</v>
      </c>
      <c r="N132" s="1">
        <v>1.1</v>
      </c>
      <c r="O132" s="1">
        <v>957.0</v>
      </c>
      <c r="P132" s="1">
        <v>43969.0</v>
      </c>
      <c r="Q132" s="1">
        <v>0.1088</v>
      </c>
      <c r="R132" s="1">
        <v>87321.0</v>
      </c>
    </row>
    <row r="133">
      <c r="A133" s="663" t="s">
        <v>2173</v>
      </c>
      <c r="B133" s="663" t="s">
        <v>180</v>
      </c>
      <c r="C133" s="663" t="s">
        <v>52</v>
      </c>
      <c r="D133" s="663" t="s">
        <v>599</v>
      </c>
      <c r="E133" s="664" t="s">
        <v>329</v>
      </c>
      <c r="F133" s="665">
        <v>8798.0</v>
      </c>
      <c r="G133" s="665">
        <v>820.0</v>
      </c>
      <c r="H133" s="665">
        <v>9.32</v>
      </c>
      <c r="I133" s="665">
        <v>2.0</v>
      </c>
      <c r="J133" s="665">
        <v>5.27</v>
      </c>
      <c r="K133" s="665">
        <v>881.0</v>
      </c>
      <c r="L133" s="665">
        <v>43969.0</v>
      </c>
      <c r="M133" s="665">
        <v>0.1</v>
      </c>
      <c r="N133" s="1">
        <v>1.0744</v>
      </c>
      <c r="O133" s="1">
        <v>881.0</v>
      </c>
      <c r="P133" s="1">
        <v>43969.0</v>
      </c>
      <c r="Q133" s="1">
        <v>0.1001</v>
      </c>
      <c r="R133" s="1">
        <v>87321.0</v>
      </c>
    </row>
    <row r="134">
      <c r="A134" s="663" t="s">
        <v>2173</v>
      </c>
      <c r="B134" s="663" t="s">
        <v>180</v>
      </c>
      <c r="C134" s="663" t="s">
        <v>52</v>
      </c>
      <c r="D134" s="663" t="s">
        <v>599</v>
      </c>
      <c r="E134" s="664" t="s">
        <v>341</v>
      </c>
      <c r="F134" s="665">
        <v>8798.0</v>
      </c>
      <c r="G134" s="665">
        <v>766.0</v>
      </c>
      <c r="H134" s="665">
        <v>8.71</v>
      </c>
      <c r="I134" s="665">
        <v>1.87</v>
      </c>
      <c r="J134" s="665">
        <v>5.16</v>
      </c>
      <c r="K134" s="665">
        <v>821.0</v>
      </c>
      <c r="L134" s="665">
        <v>43969.0</v>
      </c>
      <c r="M134" s="665">
        <v>0.09</v>
      </c>
      <c r="N134" s="1">
        <v>1.0718</v>
      </c>
      <c r="O134" s="1">
        <v>821.0</v>
      </c>
      <c r="P134" s="1">
        <v>43969.0</v>
      </c>
      <c r="Q134" s="1">
        <v>0.0933</v>
      </c>
      <c r="R134" s="1">
        <v>87321.0</v>
      </c>
    </row>
    <row r="135">
      <c r="A135" s="663" t="s">
        <v>2173</v>
      </c>
      <c r="B135" s="663" t="s">
        <v>180</v>
      </c>
      <c r="C135" s="663" t="s">
        <v>52</v>
      </c>
      <c r="D135" s="663" t="s">
        <v>599</v>
      </c>
      <c r="E135" s="664" t="s">
        <v>42</v>
      </c>
      <c r="F135" s="665">
        <v>8798.0</v>
      </c>
      <c r="G135" s="665">
        <v>465.0</v>
      </c>
      <c r="H135" s="665">
        <v>5.29</v>
      </c>
      <c r="I135" s="665">
        <v>1.56</v>
      </c>
      <c r="J135" s="665">
        <v>1.26</v>
      </c>
      <c r="K135" s="665">
        <v>686.0</v>
      </c>
      <c r="L135" s="665">
        <v>43969.0</v>
      </c>
      <c r="M135" s="665">
        <v>0.08</v>
      </c>
      <c r="N135" s="1">
        <v>1.4753</v>
      </c>
      <c r="O135" s="1">
        <v>686.0</v>
      </c>
      <c r="P135" s="1">
        <v>43969.0</v>
      </c>
      <c r="Q135" s="1">
        <v>0.078</v>
      </c>
      <c r="R135" s="1">
        <v>87321.0</v>
      </c>
    </row>
    <row r="136">
      <c r="A136" s="663" t="s">
        <v>2173</v>
      </c>
      <c r="B136" s="663" t="s">
        <v>180</v>
      </c>
      <c r="C136" s="663" t="s">
        <v>52</v>
      </c>
      <c r="D136" s="663" t="s">
        <v>599</v>
      </c>
      <c r="E136" s="664" t="s">
        <v>411</v>
      </c>
      <c r="F136" s="665">
        <v>8798.0</v>
      </c>
      <c r="G136" s="665">
        <v>342.0</v>
      </c>
      <c r="H136" s="665">
        <v>3.89</v>
      </c>
      <c r="I136" s="665">
        <v>0.85</v>
      </c>
      <c r="J136" s="665">
        <v>2.81</v>
      </c>
      <c r="K136" s="665">
        <v>373.0</v>
      </c>
      <c r="L136" s="665">
        <v>43969.0</v>
      </c>
      <c r="M136" s="665">
        <v>0.04</v>
      </c>
      <c r="N136" s="1">
        <v>1.0906</v>
      </c>
      <c r="O136" s="1">
        <v>373.0</v>
      </c>
      <c r="P136" s="1">
        <v>43969.0</v>
      </c>
      <c r="Q136" s="1">
        <v>0.0424</v>
      </c>
      <c r="R136" s="1">
        <v>87321.0</v>
      </c>
    </row>
    <row r="137">
      <c r="A137" s="663" t="s">
        <v>2173</v>
      </c>
      <c r="B137" s="663" t="s">
        <v>180</v>
      </c>
      <c r="C137" s="663" t="s">
        <v>52</v>
      </c>
      <c r="D137" s="663" t="s">
        <v>599</v>
      </c>
      <c r="E137" s="664" t="s">
        <v>413</v>
      </c>
      <c r="F137" s="665">
        <v>8798.0</v>
      </c>
      <c r="G137" s="665">
        <v>330.0</v>
      </c>
      <c r="H137" s="665">
        <v>3.75</v>
      </c>
      <c r="I137" s="665">
        <v>0.83</v>
      </c>
      <c r="J137" s="665">
        <v>0.77</v>
      </c>
      <c r="K137" s="665">
        <v>363.0</v>
      </c>
      <c r="L137" s="665">
        <v>43969.0</v>
      </c>
      <c r="M137" s="665">
        <v>0.04</v>
      </c>
      <c r="N137" s="1">
        <v>1.1</v>
      </c>
      <c r="O137" s="1">
        <v>363.0</v>
      </c>
      <c r="P137" s="1">
        <v>43969.0</v>
      </c>
      <c r="Q137" s="1">
        <v>0.0413</v>
      </c>
      <c r="R137" s="1">
        <v>87321.0</v>
      </c>
    </row>
    <row r="138">
      <c r="A138" s="663" t="s">
        <v>2173</v>
      </c>
      <c r="B138" s="663" t="s">
        <v>180</v>
      </c>
      <c r="C138" s="663" t="s">
        <v>52</v>
      </c>
      <c r="D138" s="663" t="s">
        <v>599</v>
      </c>
      <c r="E138" s="664" t="s">
        <v>401</v>
      </c>
      <c r="F138" s="665">
        <v>8798.0</v>
      </c>
      <c r="G138" s="665">
        <v>231.0</v>
      </c>
      <c r="H138" s="665">
        <v>2.63</v>
      </c>
      <c r="I138" s="665">
        <v>0.55</v>
      </c>
      <c r="J138" s="665">
        <v>0.16</v>
      </c>
      <c r="K138" s="665">
        <v>240.0</v>
      </c>
      <c r="L138" s="665">
        <v>43969.0</v>
      </c>
      <c r="M138" s="665">
        <v>0.03</v>
      </c>
      <c r="N138" s="1">
        <v>1.039</v>
      </c>
      <c r="O138" s="1">
        <v>240.0</v>
      </c>
      <c r="P138" s="1">
        <v>43969.0</v>
      </c>
      <c r="Q138" s="1">
        <v>0.0273</v>
      </c>
      <c r="R138" s="1">
        <v>87321.0</v>
      </c>
    </row>
    <row r="139">
      <c r="A139" s="663" t="s">
        <v>2173</v>
      </c>
      <c r="B139" s="663" t="s">
        <v>180</v>
      </c>
      <c r="C139" s="663" t="s">
        <v>52</v>
      </c>
      <c r="D139" s="663" t="s">
        <v>599</v>
      </c>
      <c r="E139" s="664" t="s">
        <v>7</v>
      </c>
      <c r="F139" s="665">
        <v>8798.0</v>
      </c>
      <c r="G139" s="665">
        <v>208.0</v>
      </c>
      <c r="H139" s="665">
        <v>2.36</v>
      </c>
      <c r="I139" s="665">
        <v>0.5</v>
      </c>
      <c r="J139" s="665">
        <v>0.87</v>
      </c>
      <c r="K139" s="665">
        <v>218.0</v>
      </c>
      <c r="L139" s="665">
        <v>43969.0</v>
      </c>
      <c r="M139" s="665">
        <v>0.02</v>
      </c>
      <c r="N139" s="1">
        <v>1.0481</v>
      </c>
      <c r="O139" s="1">
        <v>218.0</v>
      </c>
      <c r="P139" s="1">
        <v>43969.0</v>
      </c>
      <c r="Q139" s="1">
        <v>0.0248</v>
      </c>
      <c r="R139" s="1">
        <v>87321.0</v>
      </c>
    </row>
    <row r="140">
      <c r="A140" s="663" t="s">
        <v>2173</v>
      </c>
      <c r="B140" s="663" t="s">
        <v>180</v>
      </c>
      <c r="C140" s="663" t="s">
        <v>52</v>
      </c>
      <c r="D140" s="663" t="s">
        <v>599</v>
      </c>
      <c r="E140" s="664" t="s">
        <v>206</v>
      </c>
      <c r="F140" s="665">
        <v>8798.0</v>
      </c>
      <c r="G140" s="665">
        <v>166.0</v>
      </c>
      <c r="H140" s="665">
        <v>1.89</v>
      </c>
      <c r="I140" s="665">
        <v>0.38</v>
      </c>
      <c r="J140" s="665">
        <v>0.08</v>
      </c>
      <c r="K140" s="665">
        <v>168.0</v>
      </c>
      <c r="L140" s="665">
        <v>43969.0</v>
      </c>
      <c r="M140" s="665">
        <v>0.02</v>
      </c>
      <c r="N140" s="1">
        <v>1.012</v>
      </c>
      <c r="O140" s="1">
        <v>168.0</v>
      </c>
      <c r="P140" s="1">
        <v>43969.0</v>
      </c>
      <c r="Q140" s="1">
        <v>0.0191</v>
      </c>
      <c r="R140" s="1">
        <v>87321.0</v>
      </c>
    </row>
    <row r="141">
      <c r="A141" s="663" t="s">
        <v>2173</v>
      </c>
      <c r="B141" s="663" t="s">
        <v>180</v>
      </c>
      <c r="C141" s="663" t="s">
        <v>52</v>
      </c>
      <c r="D141" s="663" t="s">
        <v>599</v>
      </c>
      <c r="E141" s="664" t="s">
        <v>418</v>
      </c>
      <c r="F141" s="665">
        <v>8798.0</v>
      </c>
      <c r="G141" s="665">
        <v>98.0</v>
      </c>
      <c r="H141" s="665">
        <v>1.11</v>
      </c>
      <c r="I141" s="665">
        <v>0.24</v>
      </c>
      <c r="J141" s="665">
        <v>0.87</v>
      </c>
      <c r="K141" s="665">
        <v>104.0</v>
      </c>
      <c r="L141" s="665">
        <v>43969.0</v>
      </c>
      <c r="M141" s="665">
        <v>0.01</v>
      </c>
      <c r="N141" s="1">
        <v>1.0612</v>
      </c>
      <c r="O141" s="1">
        <v>104.0</v>
      </c>
      <c r="P141" s="1">
        <v>43969.0</v>
      </c>
      <c r="Q141" s="1">
        <v>0.0118</v>
      </c>
      <c r="R141" s="1">
        <v>87321.0</v>
      </c>
    </row>
    <row r="142">
      <c r="A142" s="663" t="s">
        <v>2173</v>
      </c>
      <c r="B142" s="663" t="s">
        <v>180</v>
      </c>
      <c r="C142" s="663" t="s">
        <v>52</v>
      </c>
      <c r="D142" s="663" t="s">
        <v>599</v>
      </c>
      <c r="E142" s="664" t="s">
        <v>151</v>
      </c>
      <c r="F142" s="665">
        <v>8798.0</v>
      </c>
      <c r="G142" s="665">
        <v>2.0</v>
      </c>
      <c r="H142" s="665">
        <v>0.02</v>
      </c>
      <c r="I142" s="665">
        <v>0.0</v>
      </c>
      <c r="J142" s="665">
        <v>0.01</v>
      </c>
      <c r="K142" s="665">
        <v>2.0</v>
      </c>
      <c r="L142" s="665">
        <v>43969.0</v>
      </c>
      <c r="M142" s="665">
        <v>0.0</v>
      </c>
      <c r="N142" s="1">
        <v>1.0</v>
      </c>
      <c r="O142" s="1">
        <v>2.0</v>
      </c>
      <c r="P142" s="1">
        <v>43969.0</v>
      </c>
      <c r="Q142" s="1">
        <v>2.0E-4</v>
      </c>
      <c r="R142" s="1">
        <v>87321.0</v>
      </c>
    </row>
    <row r="143">
      <c r="A143" s="663" t="s">
        <v>2173</v>
      </c>
      <c r="B143" s="663" t="s">
        <v>180</v>
      </c>
      <c r="C143" s="663" t="s">
        <v>1209</v>
      </c>
      <c r="D143" s="663" t="s">
        <v>2234</v>
      </c>
      <c r="E143" s="664" t="s">
        <v>397</v>
      </c>
      <c r="F143" s="665">
        <v>1040.0</v>
      </c>
      <c r="G143" s="665">
        <v>489.0</v>
      </c>
      <c r="H143" s="665">
        <v>47.02</v>
      </c>
      <c r="I143" s="665">
        <v>41.6</v>
      </c>
      <c r="J143" s="665">
        <v>36.9</v>
      </c>
      <c r="K143" s="665">
        <v>15930.0</v>
      </c>
      <c r="L143" s="665">
        <v>38295.0</v>
      </c>
      <c r="M143" s="665">
        <v>15.32</v>
      </c>
      <c r="N143" s="1">
        <v>32.5767</v>
      </c>
      <c r="O143" s="1">
        <v>15930.0</v>
      </c>
      <c r="P143" s="1">
        <v>38295.0</v>
      </c>
      <c r="Q143" s="1">
        <v>15.3173</v>
      </c>
      <c r="R143" s="1">
        <v>87321.0</v>
      </c>
    </row>
    <row r="144">
      <c r="A144" s="663" t="s">
        <v>2173</v>
      </c>
      <c r="B144" s="663" t="s">
        <v>180</v>
      </c>
      <c r="C144" s="663" t="s">
        <v>1209</v>
      </c>
      <c r="D144" s="663" t="s">
        <v>2234</v>
      </c>
      <c r="E144" s="664" t="s">
        <v>206</v>
      </c>
      <c r="F144" s="665">
        <v>1040.0</v>
      </c>
      <c r="G144" s="665">
        <v>518.0</v>
      </c>
      <c r="H144" s="665">
        <v>49.81</v>
      </c>
      <c r="I144" s="665">
        <v>21.35</v>
      </c>
      <c r="J144" s="665">
        <v>23.96</v>
      </c>
      <c r="K144" s="665">
        <v>8175.0</v>
      </c>
      <c r="L144" s="665">
        <v>38295.0</v>
      </c>
      <c r="M144" s="665">
        <v>7.86</v>
      </c>
      <c r="N144" s="1">
        <v>15.7819</v>
      </c>
      <c r="O144" s="1">
        <v>8175.0</v>
      </c>
      <c r="P144" s="1">
        <v>38295.0</v>
      </c>
      <c r="Q144" s="1">
        <v>7.8606</v>
      </c>
      <c r="R144" s="1">
        <v>87321.0</v>
      </c>
    </row>
    <row r="145">
      <c r="A145" s="663" t="s">
        <v>2173</v>
      </c>
      <c r="B145" s="663" t="s">
        <v>180</v>
      </c>
      <c r="C145" s="663" t="s">
        <v>1209</v>
      </c>
      <c r="D145" s="663" t="s">
        <v>2234</v>
      </c>
      <c r="E145" s="664" t="s">
        <v>401</v>
      </c>
      <c r="F145" s="665">
        <v>1040.0</v>
      </c>
      <c r="G145" s="665">
        <v>524.0</v>
      </c>
      <c r="H145" s="665">
        <v>50.38</v>
      </c>
      <c r="I145" s="665">
        <v>21.33</v>
      </c>
      <c r="J145" s="665">
        <v>24.77</v>
      </c>
      <c r="K145" s="665">
        <v>8170.0</v>
      </c>
      <c r="L145" s="665">
        <v>38295.0</v>
      </c>
      <c r="M145" s="665">
        <v>7.86</v>
      </c>
      <c r="N145" s="1">
        <v>15.5916</v>
      </c>
      <c r="O145" s="1">
        <v>8170.0</v>
      </c>
      <c r="P145" s="1">
        <v>38295.0</v>
      </c>
      <c r="Q145" s="1">
        <v>7.8558</v>
      </c>
      <c r="R145" s="1">
        <v>87321.0</v>
      </c>
    </row>
    <row r="146">
      <c r="A146" s="663" t="s">
        <v>2173</v>
      </c>
      <c r="B146" s="663" t="s">
        <v>180</v>
      </c>
      <c r="C146" s="663" t="s">
        <v>1209</v>
      </c>
      <c r="D146" s="663" t="s">
        <v>2234</v>
      </c>
      <c r="E146" s="664" t="s">
        <v>73</v>
      </c>
      <c r="F146" s="665">
        <v>1040.0</v>
      </c>
      <c r="G146" s="665">
        <v>218.0</v>
      </c>
      <c r="H146" s="665">
        <v>20.96</v>
      </c>
      <c r="I146" s="665">
        <v>8.89</v>
      </c>
      <c r="J146" s="665">
        <v>6.96</v>
      </c>
      <c r="K146" s="665">
        <v>3405.0</v>
      </c>
      <c r="L146" s="665">
        <v>38295.0</v>
      </c>
      <c r="M146" s="665">
        <v>3.27</v>
      </c>
      <c r="N146" s="1">
        <v>15.6193</v>
      </c>
      <c r="O146" s="1">
        <v>3405.0</v>
      </c>
      <c r="P146" s="1">
        <v>38295.0</v>
      </c>
      <c r="Q146" s="1">
        <v>3.274</v>
      </c>
      <c r="R146" s="1">
        <v>87321.0</v>
      </c>
    </row>
    <row r="147">
      <c r="A147" s="663" t="s">
        <v>2173</v>
      </c>
      <c r="B147" s="663" t="s">
        <v>180</v>
      </c>
      <c r="C147" s="663" t="s">
        <v>1209</v>
      </c>
      <c r="D147" s="663" t="s">
        <v>2234</v>
      </c>
      <c r="E147" s="664" t="s">
        <v>411</v>
      </c>
      <c r="F147" s="665">
        <v>1040.0</v>
      </c>
      <c r="G147" s="665">
        <v>58.0</v>
      </c>
      <c r="H147" s="665">
        <v>5.58</v>
      </c>
      <c r="I147" s="665">
        <v>6.19</v>
      </c>
      <c r="J147" s="665">
        <v>5.53</v>
      </c>
      <c r="K147" s="665">
        <v>2370.0</v>
      </c>
      <c r="L147" s="665">
        <v>38295.0</v>
      </c>
      <c r="M147" s="665">
        <v>2.28</v>
      </c>
      <c r="N147" s="1">
        <v>40.8621</v>
      </c>
      <c r="O147" s="1">
        <v>2370.0</v>
      </c>
      <c r="P147" s="1">
        <v>38295.0</v>
      </c>
      <c r="Q147" s="1">
        <v>2.2788</v>
      </c>
      <c r="R147" s="1">
        <v>87321.0</v>
      </c>
    </row>
    <row r="148">
      <c r="A148" s="663" t="s">
        <v>2173</v>
      </c>
      <c r="B148" s="663" t="s">
        <v>180</v>
      </c>
      <c r="C148" s="663" t="s">
        <v>1209</v>
      </c>
      <c r="D148" s="663" t="s">
        <v>2234</v>
      </c>
      <c r="E148" s="664" t="s">
        <v>413</v>
      </c>
      <c r="F148" s="665">
        <v>1040.0</v>
      </c>
      <c r="G148" s="665">
        <v>18.0</v>
      </c>
      <c r="H148" s="665">
        <v>1.73</v>
      </c>
      <c r="I148" s="665">
        <v>0.55</v>
      </c>
      <c r="J148" s="665">
        <v>1.73</v>
      </c>
      <c r="K148" s="665">
        <v>210.0</v>
      </c>
      <c r="L148" s="665">
        <v>38295.0</v>
      </c>
      <c r="M148" s="665">
        <v>0.2</v>
      </c>
      <c r="N148" s="1">
        <v>11.6667</v>
      </c>
      <c r="O148" s="1">
        <v>210.0</v>
      </c>
      <c r="P148" s="1">
        <v>38295.0</v>
      </c>
      <c r="Q148" s="1">
        <v>0.2019</v>
      </c>
      <c r="R148" s="1">
        <v>87321.0</v>
      </c>
    </row>
    <row r="149">
      <c r="A149" s="663" t="s">
        <v>2173</v>
      </c>
      <c r="B149" s="663" t="s">
        <v>180</v>
      </c>
      <c r="C149" s="663" t="s">
        <v>1209</v>
      </c>
      <c r="D149" s="663" t="s">
        <v>2234</v>
      </c>
      <c r="E149" s="664" t="s">
        <v>151</v>
      </c>
      <c r="F149" s="665">
        <v>1040.0</v>
      </c>
      <c r="G149" s="665">
        <v>2.0</v>
      </c>
      <c r="H149" s="665">
        <v>0.19</v>
      </c>
      <c r="I149" s="665">
        <v>0.09</v>
      </c>
      <c r="J149" s="665">
        <v>0.15</v>
      </c>
      <c r="K149" s="665">
        <v>35.0</v>
      </c>
      <c r="L149" s="665">
        <v>38295.0</v>
      </c>
      <c r="M149" s="665">
        <v>0.03</v>
      </c>
      <c r="N149" s="1">
        <v>17.5</v>
      </c>
      <c r="O149" s="1">
        <v>35.0</v>
      </c>
      <c r="P149" s="1">
        <v>38295.0</v>
      </c>
      <c r="Q149" s="1">
        <v>0.0337</v>
      </c>
      <c r="R149" s="1">
        <v>87321.0</v>
      </c>
    </row>
    <row r="150">
      <c r="A150" s="663" t="s">
        <v>2173</v>
      </c>
      <c r="B150" s="663" t="s">
        <v>180</v>
      </c>
      <c r="C150" s="663" t="s">
        <v>1210</v>
      </c>
      <c r="D150" s="663" t="s">
        <v>2234</v>
      </c>
      <c r="E150" s="664" t="s">
        <v>397</v>
      </c>
      <c r="F150" s="665">
        <v>2510.0</v>
      </c>
      <c r="G150" s="665">
        <v>526.0</v>
      </c>
      <c r="H150" s="665">
        <v>20.96</v>
      </c>
      <c r="I150" s="665">
        <v>32.04</v>
      </c>
      <c r="J150" s="665">
        <v>15.46</v>
      </c>
      <c r="K150" s="665">
        <v>32820.0</v>
      </c>
      <c r="L150" s="665">
        <v>102425.0</v>
      </c>
      <c r="M150" s="665">
        <v>13.08</v>
      </c>
      <c r="N150" s="1">
        <v>62.3954</v>
      </c>
      <c r="O150" s="1">
        <v>32820.0</v>
      </c>
      <c r="P150" s="1">
        <v>102425.0</v>
      </c>
      <c r="Q150" s="1">
        <v>13.0757</v>
      </c>
      <c r="R150" s="1">
        <v>87321.0</v>
      </c>
    </row>
    <row r="151">
      <c r="A151" s="663" t="s">
        <v>2173</v>
      </c>
      <c r="B151" s="663" t="s">
        <v>180</v>
      </c>
      <c r="C151" s="663" t="s">
        <v>1210</v>
      </c>
      <c r="D151" s="663" t="s">
        <v>2234</v>
      </c>
      <c r="E151" s="664" t="s">
        <v>413</v>
      </c>
      <c r="F151" s="665">
        <v>2510.0</v>
      </c>
      <c r="G151" s="665">
        <v>1017.0</v>
      </c>
      <c r="H151" s="665">
        <v>40.52</v>
      </c>
      <c r="I151" s="665">
        <v>16.31</v>
      </c>
      <c r="J151" s="665">
        <v>37.85</v>
      </c>
      <c r="K151" s="665">
        <v>16710.0</v>
      </c>
      <c r="L151" s="665">
        <v>102425.0</v>
      </c>
      <c r="M151" s="665">
        <v>6.66</v>
      </c>
      <c r="N151" s="1">
        <v>16.4307</v>
      </c>
      <c r="O151" s="1">
        <v>16710.0</v>
      </c>
      <c r="P151" s="1">
        <v>102425.0</v>
      </c>
      <c r="Q151" s="1">
        <v>6.6574</v>
      </c>
      <c r="R151" s="1">
        <v>87321.0</v>
      </c>
    </row>
    <row r="152">
      <c r="A152" s="663" t="s">
        <v>2173</v>
      </c>
      <c r="B152" s="663" t="s">
        <v>180</v>
      </c>
      <c r="C152" s="663" t="s">
        <v>1210</v>
      </c>
      <c r="D152" s="663" t="s">
        <v>2234</v>
      </c>
      <c r="E152" s="664" t="s">
        <v>401</v>
      </c>
      <c r="F152" s="665">
        <v>2510.0</v>
      </c>
      <c r="G152" s="665">
        <v>933.0</v>
      </c>
      <c r="H152" s="665">
        <v>37.17</v>
      </c>
      <c r="I152" s="665">
        <v>13.92</v>
      </c>
      <c r="J152" s="665">
        <v>19.64</v>
      </c>
      <c r="K152" s="665">
        <v>14255.0</v>
      </c>
      <c r="L152" s="665">
        <v>102425.0</v>
      </c>
      <c r="M152" s="665">
        <v>5.68</v>
      </c>
      <c r="N152" s="1">
        <v>15.2787</v>
      </c>
      <c r="O152" s="1">
        <v>14255.0</v>
      </c>
      <c r="P152" s="1">
        <v>102425.0</v>
      </c>
      <c r="Q152" s="1">
        <v>5.6793</v>
      </c>
      <c r="R152" s="1">
        <v>87321.0</v>
      </c>
    </row>
    <row r="153">
      <c r="A153" s="663" t="s">
        <v>2173</v>
      </c>
      <c r="B153" s="663" t="s">
        <v>180</v>
      </c>
      <c r="C153" s="663" t="s">
        <v>1210</v>
      </c>
      <c r="D153" s="663" t="s">
        <v>2234</v>
      </c>
      <c r="E153" s="664" t="s">
        <v>9</v>
      </c>
      <c r="F153" s="665">
        <v>2510.0</v>
      </c>
      <c r="G153" s="665">
        <v>632.0</v>
      </c>
      <c r="H153" s="665">
        <v>25.18</v>
      </c>
      <c r="I153" s="665">
        <v>11.73</v>
      </c>
      <c r="J153" s="665">
        <v>8.15</v>
      </c>
      <c r="K153" s="665">
        <v>12010.0</v>
      </c>
      <c r="L153" s="665">
        <v>102425.0</v>
      </c>
      <c r="M153" s="665">
        <v>4.78</v>
      </c>
      <c r="N153" s="1">
        <v>19.0032</v>
      </c>
      <c r="O153" s="1">
        <v>12010.0</v>
      </c>
      <c r="P153" s="1">
        <v>102425.0</v>
      </c>
      <c r="Q153" s="1">
        <v>4.7849</v>
      </c>
      <c r="R153" s="1">
        <v>87321.0</v>
      </c>
    </row>
    <row r="154">
      <c r="A154" s="663" t="s">
        <v>2173</v>
      </c>
      <c r="B154" s="663" t="s">
        <v>180</v>
      </c>
      <c r="C154" s="663" t="s">
        <v>1210</v>
      </c>
      <c r="D154" s="663" t="s">
        <v>2234</v>
      </c>
      <c r="E154" s="664" t="s">
        <v>206</v>
      </c>
      <c r="F154" s="665">
        <v>2510.0</v>
      </c>
      <c r="G154" s="665">
        <v>668.0</v>
      </c>
      <c r="H154" s="665">
        <v>26.61</v>
      </c>
      <c r="I154" s="665">
        <v>10.17</v>
      </c>
      <c r="J154" s="665">
        <v>10.34</v>
      </c>
      <c r="K154" s="665">
        <v>10415.0</v>
      </c>
      <c r="L154" s="665">
        <v>102425.0</v>
      </c>
      <c r="M154" s="665">
        <v>4.15</v>
      </c>
      <c r="N154" s="1">
        <v>15.5913</v>
      </c>
      <c r="O154" s="1">
        <v>10415.0</v>
      </c>
      <c r="P154" s="1">
        <v>102425.0</v>
      </c>
      <c r="Q154" s="1">
        <v>4.1494</v>
      </c>
      <c r="R154" s="1">
        <v>87321.0</v>
      </c>
    </row>
    <row r="155">
      <c r="A155" s="663" t="s">
        <v>2173</v>
      </c>
      <c r="B155" s="663" t="s">
        <v>180</v>
      </c>
      <c r="C155" s="663" t="s">
        <v>1210</v>
      </c>
      <c r="D155" s="663" t="s">
        <v>2234</v>
      </c>
      <c r="E155" s="664" t="s">
        <v>14</v>
      </c>
      <c r="F155" s="665">
        <v>2510.0</v>
      </c>
      <c r="G155" s="665">
        <v>413.0</v>
      </c>
      <c r="H155" s="665">
        <v>16.45</v>
      </c>
      <c r="I155" s="665">
        <v>8.38</v>
      </c>
      <c r="J155" s="665">
        <v>3.58</v>
      </c>
      <c r="K155" s="665">
        <v>8580.0</v>
      </c>
      <c r="L155" s="665">
        <v>102425.0</v>
      </c>
      <c r="M155" s="665">
        <v>3.42</v>
      </c>
      <c r="N155" s="1">
        <v>20.7748</v>
      </c>
      <c r="O155" s="1">
        <v>8580.0</v>
      </c>
      <c r="P155" s="1">
        <v>102425.0</v>
      </c>
      <c r="Q155" s="1">
        <v>3.4183</v>
      </c>
      <c r="R155" s="1">
        <v>87321.0</v>
      </c>
    </row>
    <row r="156">
      <c r="A156" s="663" t="s">
        <v>2173</v>
      </c>
      <c r="B156" s="663" t="s">
        <v>180</v>
      </c>
      <c r="C156" s="663" t="s">
        <v>1210</v>
      </c>
      <c r="D156" s="663" t="s">
        <v>2234</v>
      </c>
      <c r="E156" s="664" t="s">
        <v>73</v>
      </c>
      <c r="F156" s="665">
        <v>2510.0</v>
      </c>
      <c r="G156" s="665">
        <v>329.0</v>
      </c>
      <c r="H156" s="665">
        <v>13.11</v>
      </c>
      <c r="I156" s="665">
        <v>5.13</v>
      </c>
      <c r="J156" s="665">
        <v>2.68</v>
      </c>
      <c r="K156" s="665">
        <v>5250.0</v>
      </c>
      <c r="L156" s="665">
        <v>102425.0</v>
      </c>
      <c r="M156" s="665">
        <v>2.09</v>
      </c>
      <c r="N156" s="1">
        <v>15.9574</v>
      </c>
      <c r="O156" s="1">
        <v>5250.0</v>
      </c>
      <c r="P156" s="1">
        <v>102425.0</v>
      </c>
      <c r="Q156" s="1">
        <v>2.0916</v>
      </c>
      <c r="R156" s="1">
        <v>87321.0</v>
      </c>
    </row>
    <row r="157">
      <c r="A157" s="663" t="s">
        <v>2173</v>
      </c>
      <c r="B157" s="663" t="s">
        <v>180</v>
      </c>
      <c r="C157" s="663" t="s">
        <v>1210</v>
      </c>
      <c r="D157" s="663" t="s">
        <v>2234</v>
      </c>
      <c r="E157" s="664" t="s">
        <v>411</v>
      </c>
      <c r="F157" s="665">
        <v>2510.0</v>
      </c>
      <c r="G157" s="665">
        <v>58.0</v>
      </c>
      <c r="H157" s="665">
        <v>2.31</v>
      </c>
      <c r="I157" s="665">
        <v>2.31</v>
      </c>
      <c r="J157" s="665">
        <v>2.25</v>
      </c>
      <c r="K157" s="665">
        <v>2370.0</v>
      </c>
      <c r="L157" s="665">
        <v>102425.0</v>
      </c>
      <c r="M157" s="665">
        <v>0.94</v>
      </c>
      <c r="N157" s="1">
        <v>40.8621</v>
      </c>
      <c r="O157" s="1">
        <v>2370.0</v>
      </c>
      <c r="P157" s="1">
        <v>102425.0</v>
      </c>
      <c r="Q157" s="1">
        <v>0.9442</v>
      </c>
      <c r="R157" s="1">
        <v>87321.0</v>
      </c>
    </row>
    <row r="158">
      <c r="A158" s="663" t="s">
        <v>2173</v>
      </c>
      <c r="B158" s="663" t="s">
        <v>180</v>
      </c>
      <c r="C158" s="663" t="s">
        <v>1210</v>
      </c>
      <c r="D158" s="663" t="s">
        <v>2234</v>
      </c>
      <c r="E158" s="664" t="s">
        <v>16</v>
      </c>
      <c r="F158" s="665">
        <v>2510.0</v>
      </c>
      <c r="G158" s="665">
        <v>1.0</v>
      </c>
      <c r="H158" s="665">
        <v>0.04</v>
      </c>
      <c r="I158" s="665">
        <v>0.01</v>
      </c>
      <c r="J158" s="665">
        <v>0.04</v>
      </c>
      <c r="K158" s="665">
        <v>15.0</v>
      </c>
      <c r="L158" s="665">
        <v>102425.0</v>
      </c>
      <c r="M158" s="665">
        <v>0.01</v>
      </c>
      <c r="N158" s="1">
        <v>15.0</v>
      </c>
      <c r="O158" s="1">
        <v>15.0</v>
      </c>
      <c r="P158" s="1">
        <v>102425.0</v>
      </c>
      <c r="Q158" s="1">
        <v>0.006</v>
      </c>
      <c r="R158" s="1">
        <v>87321.0</v>
      </c>
    </row>
    <row r="159">
      <c r="A159" s="663" t="s">
        <v>2173</v>
      </c>
      <c r="B159" s="663" t="s">
        <v>180</v>
      </c>
      <c r="C159" s="663" t="s">
        <v>1211</v>
      </c>
      <c r="D159" s="663" t="s">
        <v>2234</v>
      </c>
      <c r="E159" s="664" t="s">
        <v>397</v>
      </c>
      <c r="F159" s="665">
        <v>3729.0</v>
      </c>
      <c r="G159" s="665">
        <v>630.0</v>
      </c>
      <c r="H159" s="665">
        <v>16.89</v>
      </c>
      <c r="I159" s="665">
        <v>32.86</v>
      </c>
      <c r="J159" s="665">
        <v>13.26</v>
      </c>
      <c r="K159" s="665">
        <v>39060.0</v>
      </c>
      <c r="L159" s="665">
        <v>118850.0</v>
      </c>
      <c r="M159" s="665">
        <v>10.47</v>
      </c>
      <c r="N159" s="1">
        <v>62.0</v>
      </c>
      <c r="O159" s="1">
        <v>39060.0</v>
      </c>
      <c r="P159" s="1">
        <v>118850.0</v>
      </c>
      <c r="Q159" s="1">
        <v>10.4747</v>
      </c>
      <c r="R159" s="1">
        <v>87321.0</v>
      </c>
    </row>
    <row r="160">
      <c r="A160" s="663" t="s">
        <v>2173</v>
      </c>
      <c r="B160" s="663" t="s">
        <v>180</v>
      </c>
      <c r="C160" s="663" t="s">
        <v>1211</v>
      </c>
      <c r="D160" s="663" t="s">
        <v>2234</v>
      </c>
      <c r="E160" s="664" t="s">
        <v>413</v>
      </c>
      <c r="F160" s="665">
        <v>3729.0</v>
      </c>
      <c r="G160" s="665">
        <v>1829.0</v>
      </c>
      <c r="H160" s="665">
        <v>49.05</v>
      </c>
      <c r="I160" s="665">
        <v>20.13</v>
      </c>
      <c r="J160" s="665">
        <v>43.13</v>
      </c>
      <c r="K160" s="665">
        <v>23920.0</v>
      </c>
      <c r="L160" s="665">
        <v>118850.0</v>
      </c>
      <c r="M160" s="665">
        <v>6.41</v>
      </c>
      <c r="N160" s="1">
        <v>13.0782</v>
      </c>
      <c r="O160" s="1">
        <v>23920.0</v>
      </c>
      <c r="P160" s="1">
        <v>118850.0</v>
      </c>
      <c r="Q160" s="1">
        <v>6.4146</v>
      </c>
      <c r="R160" s="1">
        <v>87321.0</v>
      </c>
    </row>
    <row r="161">
      <c r="A161" s="663" t="s">
        <v>2173</v>
      </c>
      <c r="B161" s="663" t="s">
        <v>180</v>
      </c>
      <c r="C161" s="663" t="s">
        <v>1211</v>
      </c>
      <c r="D161" s="663" t="s">
        <v>2234</v>
      </c>
      <c r="E161" s="664" t="s">
        <v>401</v>
      </c>
      <c r="F161" s="665">
        <v>3729.0</v>
      </c>
      <c r="G161" s="665">
        <v>1203.0</v>
      </c>
      <c r="H161" s="665">
        <v>32.26</v>
      </c>
      <c r="I161" s="665">
        <v>16.15</v>
      </c>
      <c r="J161" s="665">
        <v>20.15</v>
      </c>
      <c r="K161" s="665">
        <v>19190.0</v>
      </c>
      <c r="L161" s="665">
        <v>118850.0</v>
      </c>
      <c r="M161" s="665">
        <v>5.15</v>
      </c>
      <c r="N161" s="1">
        <v>15.9518</v>
      </c>
      <c r="O161" s="1">
        <v>19190.0</v>
      </c>
      <c r="P161" s="1">
        <v>118850.0</v>
      </c>
      <c r="Q161" s="1">
        <v>5.1462</v>
      </c>
      <c r="R161" s="1">
        <v>87321.0</v>
      </c>
    </row>
    <row r="162">
      <c r="A162" s="663" t="s">
        <v>2173</v>
      </c>
      <c r="B162" s="663" t="s">
        <v>180</v>
      </c>
      <c r="C162" s="663" t="s">
        <v>1211</v>
      </c>
      <c r="D162" s="663" t="s">
        <v>2234</v>
      </c>
      <c r="E162" s="664" t="s">
        <v>206</v>
      </c>
      <c r="F162" s="665">
        <v>3729.0</v>
      </c>
      <c r="G162" s="665">
        <v>777.0</v>
      </c>
      <c r="H162" s="665">
        <v>20.84</v>
      </c>
      <c r="I162" s="665">
        <v>11.06</v>
      </c>
      <c r="J162" s="665">
        <v>9.68</v>
      </c>
      <c r="K162" s="665">
        <v>13140.0</v>
      </c>
      <c r="L162" s="665">
        <v>118850.0</v>
      </c>
      <c r="M162" s="665">
        <v>3.52</v>
      </c>
      <c r="N162" s="1">
        <v>16.9112</v>
      </c>
      <c r="O162" s="1">
        <v>13140.0</v>
      </c>
      <c r="P162" s="1">
        <v>118850.0</v>
      </c>
      <c r="Q162" s="1">
        <v>3.5237</v>
      </c>
      <c r="R162" s="1">
        <v>87321.0</v>
      </c>
    </row>
    <row r="163">
      <c r="A163" s="663" t="s">
        <v>2173</v>
      </c>
      <c r="B163" s="663" t="s">
        <v>180</v>
      </c>
      <c r="C163" s="663" t="s">
        <v>1211</v>
      </c>
      <c r="D163" s="663" t="s">
        <v>2234</v>
      </c>
      <c r="E163" s="664" t="s">
        <v>9</v>
      </c>
      <c r="F163" s="665">
        <v>3729.0</v>
      </c>
      <c r="G163" s="665">
        <v>733.0</v>
      </c>
      <c r="H163" s="665">
        <v>19.66</v>
      </c>
      <c r="I163" s="665">
        <v>10.64</v>
      </c>
      <c r="J163" s="665">
        <v>8.07</v>
      </c>
      <c r="K163" s="665">
        <v>12640.0</v>
      </c>
      <c r="L163" s="665">
        <v>118850.0</v>
      </c>
      <c r="M163" s="665">
        <v>3.39</v>
      </c>
      <c r="N163" s="1">
        <v>17.2442</v>
      </c>
      <c r="O163" s="1">
        <v>12640.0</v>
      </c>
      <c r="P163" s="1">
        <v>118850.0</v>
      </c>
      <c r="Q163" s="1">
        <v>3.3896</v>
      </c>
      <c r="R163" s="1">
        <v>87321.0</v>
      </c>
    </row>
    <row r="164">
      <c r="A164" s="663" t="s">
        <v>2173</v>
      </c>
      <c r="B164" s="663" t="s">
        <v>180</v>
      </c>
      <c r="C164" s="663" t="s">
        <v>1211</v>
      </c>
      <c r="D164" s="663" t="s">
        <v>2234</v>
      </c>
      <c r="E164" s="664" t="s">
        <v>73</v>
      </c>
      <c r="F164" s="665">
        <v>3729.0</v>
      </c>
      <c r="G164" s="665">
        <v>429.0</v>
      </c>
      <c r="H164" s="665">
        <v>11.5</v>
      </c>
      <c r="I164" s="665">
        <v>5.76</v>
      </c>
      <c r="J164" s="665">
        <v>2.65</v>
      </c>
      <c r="K164" s="665">
        <v>6840.0</v>
      </c>
      <c r="L164" s="665">
        <v>118850.0</v>
      </c>
      <c r="M164" s="665">
        <v>1.83</v>
      </c>
      <c r="N164" s="1">
        <v>15.9441</v>
      </c>
      <c r="O164" s="1">
        <v>6840.0</v>
      </c>
      <c r="P164" s="1">
        <v>118850.0</v>
      </c>
      <c r="Q164" s="1">
        <v>1.8343</v>
      </c>
      <c r="R164" s="1">
        <v>87321.0</v>
      </c>
    </row>
    <row r="165">
      <c r="A165" s="663" t="s">
        <v>2173</v>
      </c>
      <c r="B165" s="663" t="s">
        <v>180</v>
      </c>
      <c r="C165" s="663" t="s">
        <v>1211</v>
      </c>
      <c r="D165" s="663" t="s">
        <v>2234</v>
      </c>
      <c r="E165" s="664" t="s">
        <v>411</v>
      </c>
      <c r="F165" s="665">
        <v>3729.0</v>
      </c>
      <c r="G165" s="665">
        <v>60.0</v>
      </c>
      <c r="H165" s="665">
        <v>1.61</v>
      </c>
      <c r="I165" s="665">
        <v>2.04</v>
      </c>
      <c r="J165" s="665">
        <v>1.52</v>
      </c>
      <c r="K165" s="665">
        <v>2425.0</v>
      </c>
      <c r="L165" s="665">
        <v>118850.0</v>
      </c>
      <c r="M165" s="665">
        <v>0.65</v>
      </c>
      <c r="N165" s="1">
        <v>40.4167</v>
      </c>
      <c r="O165" s="1">
        <v>2425.0</v>
      </c>
      <c r="P165" s="1">
        <v>118850.0</v>
      </c>
      <c r="Q165" s="1">
        <v>0.6503</v>
      </c>
      <c r="R165" s="1">
        <v>87321.0</v>
      </c>
    </row>
    <row r="166">
      <c r="A166" s="663" t="s">
        <v>2173</v>
      </c>
      <c r="B166" s="663" t="s">
        <v>180</v>
      </c>
      <c r="C166" s="663" t="s">
        <v>1211</v>
      </c>
      <c r="D166" s="663" t="s">
        <v>2234</v>
      </c>
      <c r="E166" s="664" t="s">
        <v>14</v>
      </c>
      <c r="F166" s="665">
        <v>3729.0</v>
      </c>
      <c r="G166" s="665">
        <v>105.0</v>
      </c>
      <c r="H166" s="665">
        <v>2.82</v>
      </c>
      <c r="I166" s="665">
        <v>1.35</v>
      </c>
      <c r="J166" s="665">
        <v>1.5</v>
      </c>
      <c r="K166" s="665">
        <v>1600.0</v>
      </c>
      <c r="L166" s="665">
        <v>118850.0</v>
      </c>
      <c r="M166" s="665">
        <v>0.43</v>
      </c>
      <c r="N166" s="1">
        <v>15.2381</v>
      </c>
      <c r="O166" s="1">
        <v>1600.0</v>
      </c>
      <c r="P166" s="1">
        <v>118850.0</v>
      </c>
      <c r="Q166" s="1">
        <v>0.4291</v>
      </c>
      <c r="R166" s="1">
        <v>87321.0</v>
      </c>
    </row>
    <row r="167">
      <c r="A167" s="663" t="s">
        <v>2173</v>
      </c>
      <c r="B167" s="663" t="s">
        <v>180</v>
      </c>
      <c r="C167" s="663" t="s">
        <v>1211</v>
      </c>
      <c r="D167" s="663" t="s">
        <v>2234</v>
      </c>
      <c r="E167" s="664" t="s">
        <v>398</v>
      </c>
      <c r="F167" s="665">
        <v>3729.0</v>
      </c>
      <c r="G167" s="665">
        <v>1.0</v>
      </c>
      <c r="H167" s="665">
        <v>0.03</v>
      </c>
      <c r="I167" s="665">
        <v>0.02</v>
      </c>
      <c r="J167" s="665">
        <v>0.03</v>
      </c>
      <c r="K167" s="665">
        <v>20.0</v>
      </c>
      <c r="L167" s="665">
        <v>118850.0</v>
      </c>
      <c r="M167" s="665">
        <v>0.01</v>
      </c>
      <c r="N167" s="1">
        <v>20.0</v>
      </c>
      <c r="O167" s="1">
        <v>20.0</v>
      </c>
      <c r="P167" s="1">
        <v>118850.0</v>
      </c>
      <c r="Q167" s="1">
        <v>0.0054</v>
      </c>
      <c r="R167" s="1">
        <v>87321.0</v>
      </c>
    </row>
    <row r="168">
      <c r="A168" s="663" t="s">
        <v>2173</v>
      </c>
      <c r="B168" s="663" t="s">
        <v>180</v>
      </c>
      <c r="C168" s="663" t="s">
        <v>1211</v>
      </c>
      <c r="D168" s="663" t="s">
        <v>2234</v>
      </c>
      <c r="E168" s="664" t="s">
        <v>418</v>
      </c>
      <c r="F168" s="665">
        <v>3729.0</v>
      </c>
      <c r="G168" s="665">
        <v>1.0</v>
      </c>
      <c r="H168" s="665">
        <v>0.03</v>
      </c>
      <c r="I168" s="665">
        <v>0.01</v>
      </c>
      <c r="J168" s="665">
        <v>0.01</v>
      </c>
      <c r="K168" s="665">
        <v>15.0</v>
      </c>
      <c r="L168" s="665">
        <v>118850.0</v>
      </c>
      <c r="M168" s="665">
        <v>0.0</v>
      </c>
      <c r="N168" s="1">
        <v>15.0</v>
      </c>
      <c r="O168" s="1">
        <v>15.0</v>
      </c>
      <c r="P168" s="1">
        <v>118850.0</v>
      </c>
      <c r="Q168" s="1">
        <v>0.004</v>
      </c>
      <c r="R168" s="1">
        <v>87321.0</v>
      </c>
    </row>
    <row r="169">
      <c r="A169" s="663" t="s">
        <v>2173</v>
      </c>
      <c r="B169" s="663" t="s">
        <v>180</v>
      </c>
      <c r="C169" s="663" t="s">
        <v>55</v>
      </c>
      <c r="D169" s="663" t="s">
        <v>2234</v>
      </c>
      <c r="E169" s="664" t="s">
        <v>397</v>
      </c>
      <c r="F169" s="665">
        <v>16445.0</v>
      </c>
      <c r="G169" s="665">
        <v>12336.0</v>
      </c>
      <c r="H169" s="665">
        <v>75.01</v>
      </c>
      <c r="I169" s="665">
        <v>30.52</v>
      </c>
      <c r="J169" s="665">
        <v>54.08</v>
      </c>
      <c r="K169" s="665">
        <v>704855.0</v>
      </c>
      <c r="L169" s="665">
        <v>2309345.0</v>
      </c>
      <c r="M169" s="665">
        <v>42.86</v>
      </c>
      <c r="N169" s="1">
        <v>57.1381</v>
      </c>
      <c r="O169" s="1">
        <v>704855.0</v>
      </c>
      <c r="P169" s="1">
        <v>2309345.0</v>
      </c>
      <c r="Q169" s="1">
        <v>42.8614</v>
      </c>
      <c r="R169" s="1">
        <v>87321.0</v>
      </c>
    </row>
    <row r="170">
      <c r="A170" s="663" t="s">
        <v>2173</v>
      </c>
      <c r="B170" s="663" t="s">
        <v>180</v>
      </c>
      <c r="C170" s="663" t="s">
        <v>55</v>
      </c>
      <c r="D170" s="663" t="s">
        <v>2234</v>
      </c>
      <c r="E170" s="664" t="s">
        <v>51</v>
      </c>
      <c r="F170" s="665">
        <v>16445.0</v>
      </c>
      <c r="G170" s="665">
        <v>3569.0</v>
      </c>
      <c r="H170" s="665">
        <v>21.7</v>
      </c>
      <c r="I170" s="665">
        <v>17.67</v>
      </c>
      <c r="J170" s="665">
        <v>13.65</v>
      </c>
      <c r="K170" s="665">
        <v>408100.0</v>
      </c>
      <c r="L170" s="665">
        <v>2309345.0</v>
      </c>
      <c r="M170" s="665">
        <v>24.82</v>
      </c>
      <c r="N170" s="1">
        <v>114.3458</v>
      </c>
      <c r="O170" s="1">
        <v>408100.0</v>
      </c>
      <c r="P170" s="1">
        <v>2309345.0</v>
      </c>
      <c r="Q170" s="1">
        <v>24.8161</v>
      </c>
      <c r="R170" s="1">
        <v>87321.0</v>
      </c>
    </row>
    <row r="171">
      <c r="A171" s="663" t="s">
        <v>2173</v>
      </c>
      <c r="B171" s="663" t="s">
        <v>180</v>
      </c>
      <c r="C171" s="663" t="s">
        <v>55</v>
      </c>
      <c r="D171" s="663" t="s">
        <v>2234</v>
      </c>
      <c r="E171" s="664" t="s">
        <v>398</v>
      </c>
      <c r="F171" s="665">
        <v>16445.0</v>
      </c>
      <c r="G171" s="665">
        <v>1700.0</v>
      </c>
      <c r="H171" s="665">
        <v>10.34</v>
      </c>
      <c r="I171" s="665">
        <v>8.98</v>
      </c>
      <c r="J171" s="665">
        <v>4.0</v>
      </c>
      <c r="K171" s="665">
        <v>207320.0</v>
      </c>
      <c r="L171" s="665">
        <v>2309345.0</v>
      </c>
      <c r="M171" s="665">
        <v>12.61</v>
      </c>
      <c r="N171" s="1">
        <v>121.9529</v>
      </c>
      <c r="O171" s="1">
        <v>207320.0</v>
      </c>
      <c r="P171" s="1">
        <v>2309345.0</v>
      </c>
      <c r="Q171" s="1">
        <v>12.6069</v>
      </c>
      <c r="R171" s="1">
        <v>87321.0</v>
      </c>
    </row>
    <row r="172">
      <c r="A172" s="663" t="s">
        <v>2173</v>
      </c>
      <c r="B172" s="663" t="s">
        <v>180</v>
      </c>
      <c r="C172" s="663" t="s">
        <v>55</v>
      </c>
      <c r="D172" s="663" t="s">
        <v>2234</v>
      </c>
      <c r="E172" s="664" t="s">
        <v>9</v>
      </c>
      <c r="F172" s="665">
        <v>16445.0</v>
      </c>
      <c r="G172" s="665">
        <v>2296.0</v>
      </c>
      <c r="H172" s="665">
        <v>13.96</v>
      </c>
      <c r="I172" s="665">
        <v>8.83</v>
      </c>
      <c r="J172" s="665">
        <v>7.77</v>
      </c>
      <c r="K172" s="665">
        <v>203880.0</v>
      </c>
      <c r="L172" s="665">
        <v>2309345.0</v>
      </c>
      <c r="M172" s="665">
        <v>12.4</v>
      </c>
      <c r="N172" s="1">
        <v>88.7979</v>
      </c>
      <c r="O172" s="1">
        <v>203880.0</v>
      </c>
      <c r="P172" s="1">
        <v>2309345.0</v>
      </c>
      <c r="Q172" s="1">
        <v>12.3977</v>
      </c>
      <c r="R172" s="1">
        <v>87321.0</v>
      </c>
    </row>
    <row r="173">
      <c r="A173" s="663" t="s">
        <v>2173</v>
      </c>
      <c r="B173" s="663" t="s">
        <v>180</v>
      </c>
      <c r="C173" s="663" t="s">
        <v>55</v>
      </c>
      <c r="D173" s="663" t="s">
        <v>2234</v>
      </c>
      <c r="E173" s="664" t="s">
        <v>413</v>
      </c>
      <c r="F173" s="665">
        <v>16445.0</v>
      </c>
      <c r="G173" s="665">
        <v>2120.0</v>
      </c>
      <c r="H173" s="665">
        <v>12.89</v>
      </c>
      <c r="I173" s="665">
        <v>5.74</v>
      </c>
      <c r="J173" s="665">
        <v>7.59</v>
      </c>
      <c r="K173" s="665">
        <v>132590.0</v>
      </c>
      <c r="L173" s="665">
        <v>2309345.0</v>
      </c>
      <c r="M173" s="665">
        <v>8.06</v>
      </c>
      <c r="N173" s="1">
        <v>62.5425</v>
      </c>
      <c r="O173" s="1">
        <v>132590.0</v>
      </c>
      <c r="P173" s="1">
        <v>2309345.0</v>
      </c>
      <c r="Q173" s="1">
        <v>8.0626</v>
      </c>
      <c r="R173" s="1">
        <v>87321.0</v>
      </c>
    </row>
    <row r="174">
      <c r="A174" s="663" t="s">
        <v>2173</v>
      </c>
      <c r="B174" s="663" t="s">
        <v>180</v>
      </c>
      <c r="C174" s="663" t="s">
        <v>55</v>
      </c>
      <c r="D174" s="663" t="s">
        <v>2234</v>
      </c>
      <c r="E174" s="664" t="s">
        <v>63</v>
      </c>
      <c r="F174" s="665">
        <v>16445.0</v>
      </c>
      <c r="G174" s="665">
        <v>783.0</v>
      </c>
      <c r="H174" s="665">
        <v>4.76</v>
      </c>
      <c r="I174" s="665">
        <v>4.72</v>
      </c>
      <c r="J174" s="665">
        <v>0.66</v>
      </c>
      <c r="K174" s="665">
        <v>108980.0</v>
      </c>
      <c r="L174" s="665">
        <v>2309345.0</v>
      </c>
      <c r="M174" s="665">
        <v>6.63</v>
      </c>
      <c r="N174" s="1">
        <v>139.1826</v>
      </c>
      <c r="O174" s="1">
        <v>108980.0</v>
      </c>
      <c r="P174" s="1">
        <v>2309345.0</v>
      </c>
      <c r="Q174" s="1">
        <v>6.6269</v>
      </c>
      <c r="R174" s="1">
        <v>87321.0</v>
      </c>
    </row>
    <row r="175">
      <c r="A175" s="663" t="s">
        <v>2173</v>
      </c>
      <c r="B175" s="663" t="s">
        <v>180</v>
      </c>
      <c r="C175" s="663" t="s">
        <v>55</v>
      </c>
      <c r="D175" s="663" t="s">
        <v>2234</v>
      </c>
      <c r="E175" s="664" t="s">
        <v>14</v>
      </c>
      <c r="F175" s="665">
        <v>16445.0</v>
      </c>
      <c r="G175" s="665">
        <v>991.0</v>
      </c>
      <c r="H175" s="665">
        <v>6.03</v>
      </c>
      <c r="I175" s="665">
        <v>4.66</v>
      </c>
      <c r="J175" s="665">
        <v>1.55</v>
      </c>
      <c r="K175" s="665">
        <v>107605.0</v>
      </c>
      <c r="L175" s="665">
        <v>2309345.0</v>
      </c>
      <c r="M175" s="665">
        <v>6.54</v>
      </c>
      <c r="N175" s="1">
        <v>108.5822</v>
      </c>
      <c r="O175" s="1">
        <v>107605.0</v>
      </c>
      <c r="P175" s="1">
        <v>2309345.0</v>
      </c>
      <c r="Q175" s="1">
        <v>6.5433</v>
      </c>
      <c r="R175" s="1">
        <v>87321.0</v>
      </c>
    </row>
    <row r="176">
      <c r="A176" s="663" t="s">
        <v>2173</v>
      </c>
      <c r="B176" s="663" t="s">
        <v>180</v>
      </c>
      <c r="C176" s="663" t="s">
        <v>55</v>
      </c>
      <c r="D176" s="663" t="s">
        <v>2234</v>
      </c>
      <c r="E176" s="664" t="s">
        <v>396</v>
      </c>
      <c r="F176" s="665">
        <v>16445.0</v>
      </c>
      <c r="G176" s="665">
        <v>949.0</v>
      </c>
      <c r="H176" s="665">
        <v>5.77</v>
      </c>
      <c r="I176" s="665">
        <v>3.35</v>
      </c>
      <c r="J176" s="665">
        <v>1.66</v>
      </c>
      <c r="K176" s="665">
        <v>77460.0</v>
      </c>
      <c r="L176" s="665">
        <v>2309345.0</v>
      </c>
      <c r="M176" s="665">
        <v>4.71</v>
      </c>
      <c r="N176" s="1">
        <v>81.6228</v>
      </c>
      <c r="O176" s="1">
        <v>77460.0</v>
      </c>
      <c r="P176" s="1">
        <v>2309345.0</v>
      </c>
      <c r="Q176" s="1">
        <v>4.7102</v>
      </c>
      <c r="R176" s="1">
        <v>87321.0</v>
      </c>
    </row>
    <row r="177">
      <c r="A177" s="663" t="s">
        <v>2173</v>
      </c>
      <c r="B177" s="663" t="s">
        <v>180</v>
      </c>
      <c r="C177" s="663" t="s">
        <v>55</v>
      </c>
      <c r="D177" s="663" t="s">
        <v>2234</v>
      </c>
      <c r="E177" s="664" t="s">
        <v>73</v>
      </c>
      <c r="F177" s="665">
        <v>16445.0</v>
      </c>
      <c r="G177" s="665">
        <v>508.0</v>
      </c>
      <c r="H177" s="665">
        <v>3.09</v>
      </c>
      <c r="I177" s="665">
        <v>3.09</v>
      </c>
      <c r="J177" s="665">
        <v>0.34</v>
      </c>
      <c r="K177" s="665">
        <v>71250.0</v>
      </c>
      <c r="L177" s="665">
        <v>2309345.0</v>
      </c>
      <c r="M177" s="665">
        <v>4.33</v>
      </c>
      <c r="N177" s="1">
        <v>140.2559</v>
      </c>
      <c r="O177" s="1">
        <v>71250.0</v>
      </c>
      <c r="P177" s="1">
        <v>2309345.0</v>
      </c>
      <c r="Q177" s="1">
        <v>4.3326</v>
      </c>
      <c r="R177" s="1">
        <v>87321.0</v>
      </c>
    </row>
    <row r="178">
      <c r="A178" s="663" t="s">
        <v>2173</v>
      </c>
      <c r="B178" s="663" t="s">
        <v>180</v>
      </c>
      <c r="C178" s="663" t="s">
        <v>55</v>
      </c>
      <c r="D178" s="663" t="s">
        <v>2234</v>
      </c>
      <c r="E178" s="664" t="s">
        <v>7</v>
      </c>
      <c r="F178" s="665">
        <v>16445.0</v>
      </c>
      <c r="G178" s="665">
        <v>971.0</v>
      </c>
      <c r="H178" s="665">
        <v>5.9</v>
      </c>
      <c r="I178" s="665">
        <v>2.89</v>
      </c>
      <c r="J178" s="665">
        <v>1.39</v>
      </c>
      <c r="K178" s="665">
        <v>66680.0</v>
      </c>
      <c r="L178" s="665">
        <v>2309345.0</v>
      </c>
      <c r="M178" s="665">
        <v>4.05</v>
      </c>
      <c r="N178" s="1">
        <v>68.6715</v>
      </c>
      <c r="O178" s="1">
        <v>66680.0</v>
      </c>
      <c r="P178" s="1">
        <v>2309345.0</v>
      </c>
      <c r="Q178" s="1">
        <v>4.0547</v>
      </c>
      <c r="R178" s="1">
        <v>87321.0</v>
      </c>
    </row>
    <row r="179">
      <c r="A179" s="663" t="s">
        <v>2173</v>
      </c>
      <c r="B179" s="663" t="s">
        <v>180</v>
      </c>
      <c r="C179" s="663" t="s">
        <v>55</v>
      </c>
      <c r="D179" s="663" t="s">
        <v>2234</v>
      </c>
      <c r="E179" s="664" t="s">
        <v>401</v>
      </c>
      <c r="F179" s="665">
        <v>16445.0</v>
      </c>
      <c r="G179" s="665">
        <v>743.0</v>
      </c>
      <c r="H179" s="665">
        <v>4.52</v>
      </c>
      <c r="I179" s="665">
        <v>2.76</v>
      </c>
      <c r="J179" s="665">
        <v>1.07</v>
      </c>
      <c r="K179" s="665">
        <v>63720.0</v>
      </c>
      <c r="L179" s="665">
        <v>2309345.0</v>
      </c>
      <c r="M179" s="665">
        <v>3.87</v>
      </c>
      <c r="N179" s="1">
        <v>85.7604</v>
      </c>
      <c r="O179" s="1">
        <v>63720.0</v>
      </c>
      <c r="P179" s="1">
        <v>2309345.0</v>
      </c>
      <c r="Q179" s="1">
        <v>3.8747</v>
      </c>
      <c r="R179" s="1">
        <v>87321.0</v>
      </c>
    </row>
    <row r="180">
      <c r="A180" s="663" t="s">
        <v>2173</v>
      </c>
      <c r="B180" s="663" t="s">
        <v>180</v>
      </c>
      <c r="C180" s="663" t="s">
        <v>55</v>
      </c>
      <c r="D180" s="663" t="s">
        <v>2234</v>
      </c>
      <c r="E180" s="664" t="s">
        <v>393</v>
      </c>
      <c r="F180" s="665">
        <v>16445.0</v>
      </c>
      <c r="G180" s="665">
        <v>1158.0</v>
      </c>
      <c r="H180" s="665">
        <v>7.04</v>
      </c>
      <c r="I180" s="665">
        <v>2.5</v>
      </c>
      <c r="J180" s="665">
        <v>1.24</v>
      </c>
      <c r="K180" s="665">
        <v>57795.0</v>
      </c>
      <c r="L180" s="665">
        <v>2309345.0</v>
      </c>
      <c r="M180" s="665">
        <v>3.51</v>
      </c>
      <c r="N180" s="1">
        <v>49.9093</v>
      </c>
      <c r="O180" s="1">
        <v>57795.0</v>
      </c>
      <c r="P180" s="1">
        <v>2309345.0</v>
      </c>
      <c r="Q180" s="1">
        <v>3.5144</v>
      </c>
      <c r="R180" s="1">
        <v>87321.0</v>
      </c>
    </row>
    <row r="181">
      <c r="A181" s="663" t="s">
        <v>2173</v>
      </c>
      <c r="B181" s="663" t="s">
        <v>180</v>
      </c>
      <c r="C181" s="663" t="s">
        <v>55</v>
      </c>
      <c r="D181" s="663" t="s">
        <v>2234</v>
      </c>
      <c r="E181" s="664" t="s">
        <v>206</v>
      </c>
      <c r="F181" s="665">
        <v>16445.0</v>
      </c>
      <c r="G181" s="665">
        <v>634.0</v>
      </c>
      <c r="H181" s="665">
        <v>3.86</v>
      </c>
      <c r="I181" s="665">
        <v>2.28</v>
      </c>
      <c r="J181" s="665">
        <v>0.54</v>
      </c>
      <c r="K181" s="665">
        <v>52710.0</v>
      </c>
      <c r="L181" s="665">
        <v>2309345.0</v>
      </c>
      <c r="M181" s="665">
        <v>3.21</v>
      </c>
      <c r="N181" s="1">
        <v>83.1388</v>
      </c>
      <c r="O181" s="1">
        <v>52710.0</v>
      </c>
      <c r="P181" s="1">
        <v>2309345.0</v>
      </c>
      <c r="Q181" s="1">
        <v>3.2052</v>
      </c>
      <c r="R181" s="1">
        <v>87321.0</v>
      </c>
    </row>
    <row r="182">
      <c r="A182" s="663" t="s">
        <v>2173</v>
      </c>
      <c r="B182" s="663" t="s">
        <v>180</v>
      </c>
      <c r="C182" s="663" t="s">
        <v>55</v>
      </c>
      <c r="D182" s="663" t="s">
        <v>2234</v>
      </c>
      <c r="E182" s="664" t="s">
        <v>411</v>
      </c>
      <c r="F182" s="665">
        <v>16445.0</v>
      </c>
      <c r="G182" s="665">
        <v>659.0</v>
      </c>
      <c r="H182" s="665">
        <v>4.01</v>
      </c>
      <c r="I182" s="665">
        <v>1.18</v>
      </c>
      <c r="J182" s="665">
        <v>2.27</v>
      </c>
      <c r="K182" s="665">
        <v>27150.0</v>
      </c>
      <c r="L182" s="665">
        <v>2309345.0</v>
      </c>
      <c r="M182" s="665">
        <v>1.65</v>
      </c>
      <c r="N182" s="1">
        <v>41.1988</v>
      </c>
      <c r="O182" s="1">
        <v>27150.0</v>
      </c>
      <c r="P182" s="1">
        <v>2309345.0</v>
      </c>
      <c r="Q182" s="1">
        <v>1.651</v>
      </c>
      <c r="R182" s="1">
        <v>87321.0</v>
      </c>
    </row>
    <row r="183">
      <c r="A183" s="663" t="s">
        <v>2173</v>
      </c>
      <c r="B183" s="663" t="s">
        <v>180</v>
      </c>
      <c r="C183" s="663" t="s">
        <v>55</v>
      </c>
      <c r="D183" s="663" t="s">
        <v>2234</v>
      </c>
      <c r="E183" s="664" t="s">
        <v>418</v>
      </c>
      <c r="F183" s="665">
        <v>16445.0</v>
      </c>
      <c r="G183" s="665">
        <v>561.0</v>
      </c>
      <c r="H183" s="665">
        <v>3.41</v>
      </c>
      <c r="I183" s="665">
        <v>0.6</v>
      </c>
      <c r="J183" s="665">
        <v>1.86</v>
      </c>
      <c r="K183" s="665">
        <v>13900.0</v>
      </c>
      <c r="L183" s="665">
        <v>2309345.0</v>
      </c>
      <c r="M183" s="665">
        <v>0.85</v>
      </c>
      <c r="N183" s="1">
        <v>24.7772</v>
      </c>
      <c r="O183" s="1">
        <v>13900.0</v>
      </c>
      <c r="P183" s="1">
        <v>2309345.0</v>
      </c>
      <c r="Q183" s="1">
        <v>0.8452</v>
      </c>
      <c r="R183" s="1">
        <v>87321.0</v>
      </c>
    </row>
    <row r="184">
      <c r="A184" s="663" t="s">
        <v>2173</v>
      </c>
      <c r="B184" s="663" t="s">
        <v>180</v>
      </c>
      <c r="C184" s="663" t="s">
        <v>55</v>
      </c>
      <c r="D184" s="663" t="s">
        <v>2234</v>
      </c>
      <c r="E184" s="664" t="s">
        <v>42</v>
      </c>
      <c r="F184" s="665">
        <v>16445.0</v>
      </c>
      <c r="G184" s="665">
        <v>100.0</v>
      </c>
      <c r="H184" s="665">
        <v>0.61</v>
      </c>
      <c r="I184" s="665">
        <v>0.23</v>
      </c>
      <c r="J184" s="665">
        <v>0.33</v>
      </c>
      <c r="K184" s="665">
        <v>5290.0</v>
      </c>
      <c r="L184" s="665">
        <v>2309345.0</v>
      </c>
      <c r="M184" s="665">
        <v>0.32</v>
      </c>
      <c r="N184" s="1">
        <v>52.9</v>
      </c>
      <c r="O184" s="1">
        <v>5290.0</v>
      </c>
      <c r="P184" s="1">
        <v>2309345.0</v>
      </c>
      <c r="Q184" s="1">
        <v>0.3217</v>
      </c>
      <c r="R184" s="1">
        <v>87321.0</v>
      </c>
    </row>
    <row r="185">
      <c r="A185" s="663" t="s">
        <v>2173</v>
      </c>
      <c r="B185" s="663" t="s">
        <v>180</v>
      </c>
      <c r="C185" s="663" t="s">
        <v>55</v>
      </c>
      <c r="D185" s="663" t="s">
        <v>2234</v>
      </c>
      <c r="E185" s="664" t="s">
        <v>16</v>
      </c>
      <c r="F185" s="665">
        <v>16445.0</v>
      </c>
      <c r="G185" s="665">
        <v>1.0</v>
      </c>
      <c r="H185" s="665">
        <v>0.01</v>
      </c>
      <c r="I185" s="665">
        <v>0.0</v>
      </c>
      <c r="J185" s="665">
        <v>0.0</v>
      </c>
      <c r="K185" s="665">
        <v>60.0</v>
      </c>
      <c r="L185" s="665">
        <v>2309345.0</v>
      </c>
      <c r="M185" s="665">
        <v>0.0</v>
      </c>
      <c r="N185" s="1">
        <v>60.0</v>
      </c>
      <c r="O185" s="1">
        <v>60.0</v>
      </c>
      <c r="P185" s="1">
        <v>2309345.0</v>
      </c>
      <c r="Q185" s="1">
        <v>0.0036</v>
      </c>
      <c r="R185" s="1">
        <v>87321.0</v>
      </c>
    </row>
    <row r="186">
      <c r="A186" s="663" t="s">
        <v>2173</v>
      </c>
      <c r="B186" s="663" t="s">
        <v>1192</v>
      </c>
      <c r="C186" s="663" t="s">
        <v>50</v>
      </c>
      <c r="D186" s="663" t="s">
        <v>599</v>
      </c>
      <c r="E186" s="664" t="s">
        <v>411</v>
      </c>
      <c r="F186" s="665">
        <v>1434.0</v>
      </c>
      <c r="G186" s="665">
        <v>1015.0</v>
      </c>
      <c r="H186" s="665">
        <v>70.78</v>
      </c>
      <c r="I186" s="665">
        <v>36.21</v>
      </c>
      <c r="J186" s="665">
        <v>53.54</v>
      </c>
      <c r="K186" s="665">
        <v>1743.0</v>
      </c>
      <c r="L186" s="665">
        <v>4813.0</v>
      </c>
      <c r="M186" s="665">
        <v>1.22</v>
      </c>
      <c r="N186" s="1">
        <v>1.7172</v>
      </c>
      <c r="O186" s="1">
        <v>1743.0</v>
      </c>
      <c r="P186" s="1">
        <v>4813.0</v>
      </c>
      <c r="Q186" s="1">
        <v>1.2155</v>
      </c>
      <c r="R186" s="1">
        <v>15915.0</v>
      </c>
    </row>
    <row r="187">
      <c r="A187" s="663" t="s">
        <v>2173</v>
      </c>
      <c r="B187" s="663" t="s">
        <v>1192</v>
      </c>
      <c r="C187" s="663" t="s">
        <v>50</v>
      </c>
      <c r="D187" s="663" t="s">
        <v>599</v>
      </c>
      <c r="E187" s="664" t="s">
        <v>14</v>
      </c>
      <c r="F187" s="665">
        <v>1434.0</v>
      </c>
      <c r="G187" s="665">
        <v>190.0</v>
      </c>
      <c r="H187" s="665">
        <v>13.25</v>
      </c>
      <c r="I187" s="665">
        <v>14.61</v>
      </c>
      <c r="J187" s="665">
        <v>3.4</v>
      </c>
      <c r="K187" s="665">
        <v>703.0</v>
      </c>
      <c r="L187" s="665">
        <v>4813.0</v>
      </c>
      <c r="M187" s="665">
        <v>0.49</v>
      </c>
      <c r="N187" s="1">
        <v>3.7</v>
      </c>
      <c r="O187" s="1">
        <v>703.0</v>
      </c>
      <c r="P187" s="1">
        <v>4813.0</v>
      </c>
      <c r="Q187" s="1">
        <v>0.4902</v>
      </c>
      <c r="R187" s="1">
        <v>15915.0</v>
      </c>
    </row>
    <row r="188">
      <c r="A188" s="663" t="s">
        <v>2173</v>
      </c>
      <c r="B188" s="663" t="s">
        <v>1192</v>
      </c>
      <c r="C188" s="663" t="s">
        <v>50</v>
      </c>
      <c r="D188" s="663" t="s">
        <v>599</v>
      </c>
      <c r="E188" s="664" t="s">
        <v>51</v>
      </c>
      <c r="F188" s="665">
        <v>1434.0</v>
      </c>
      <c r="G188" s="665">
        <v>260.0</v>
      </c>
      <c r="H188" s="665">
        <v>18.13</v>
      </c>
      <c r="I188" s="665">
        <v>10.64</v>
      </c>
      <c r="J188" s="665">
        <v>6.89</v>
      </c>
      <c r="K188" s="665">
        <v>512.0</v>
      </c>
      <c r="L188" s="665">
        <v>4813.0</v>
      </c>
      <c r="M188" s="665">
        <v>0.36</v>
      </c>
      <c r="N188" s="1">
        <v>1.9692</v>
      </c>
      <c r="O188" s="1">
        <v>512.0</v>
      </c>
      <c r="P188" s="1">
        <v>4813.0</v>
      </c>
      <c r="Q188" s="1">
        <v>0.357</v>
      </c>
      <c r="R188" s="1">
        <v>15915.0</v>
      </c>
    </row>
    <row r="189">
      <c r="A189" s="663" t="s">
        <v>2173</v>
      </c>
      <c r="B189" s="663" t="s">
        <v>1192</v>
      </c>
      <c r="C189" s="663" t="s">
        <v>50</v>
      </c>
      <c r="D189" s="663" t="s">
        <v>599</v>
      </c>
      <c r="E189" s="664" t="s">
        <v>413</v>
      </c>
      <c r="F189" s="665">
        <v>1434.0</v>
      </c>
      <c r="G189" s="665">
        <v>212.0</v>
      </c>
      <c r="H189" s="665">
        <v>14.78</v>
      </c>
      <c r="I189" s="665">
        <v>9.02</v>
      </c>
      <c r="J189" s="665">
        <v>5.4</v>
      </c>
      <c r="K189" s="665">
        <v>434.0</v>
      </c>
      <c r="L189" s="665">
        <v>4813.0</v>
      </c>
      <c r="M189" s="665">
        <v>0.3</v>
      </c>
      <c r="N189" s="1">
        <v>2.0472</v>
      </c>
      <c r="O189" s="1">
        <v>434.0</v>
      </c>
      <c r="P189" s="1">
        <v>4813.0</v>
      </c>
      <c r="Q189" s="1">
        <v>0.3026</v>
      </c>
      <c r="R189" s="1">
        <v>15915.0</v>
      </c>
    </row>
    <row r="190">
      <c r="A190" s="663" t="s">
        <v>2173</v>
      </c>
      <c r="B190" s="663" t="s">
        <v>1192</v>
      </c>
      <c r="C190" s="663" t="s">
        <v>50</v>
      </c>
      <c r="D190" s="663" t="s">
        <v>599</v>
      </c>
      <c r="E190" s="664" t="s">
        <v>9</v>
      </c>
      <c r="F190" s="665">
        <v>1434.0</v>
      </c>
      <c r="G190" s="665">
        <v>249.0</v>
      </c>
      <c r="H190" s="665">
        <v>17.36</v>
      </c>
      <c r="I190" s="665">
        <v>8.56</v>
      </c>
      <c r="J190" s="665">
        <v>5.75</v>
      </c>
      <c r="K190" s="665">
        <v>412.0</v>
      </c>
      <c r="L190" s="665">
        <v>4813.0</v>
      </c>
      <c r="M190" s="665">
        <v>0.29</v>
      </c>
      <c r="N190" s="1">
        <v>1.6546</v>
      </c>
      <c r="O190" s="1">
        <v>412.0</v>
      </c>
      <c r="P190" s="1">
        <v>4813.0</v>
      </c>
      <c r="Q190" s="1">
        <v>0.2873</v>
      </c>
      <c r="R190" s="1">
        <v>15915.0</v>
      </c>
    </row>
    <row r="191">
      <c r="A191" s="663" t="s">
        <v>2173</v>
      </c>
      <c r="B191" s="663" t="s">
        <v>1192</v>
      </c>
      <c r="C191" s="663" t="s">
        <v>50</v>
      </c>
      <c r="D191" s="663" t="s">
        <v>599</v>
      </c>
      <c r="E191" s="664" t="s">
        <v>16</v>
      </c>
      <c r="F191" s="665">
        <v>1434.0</v>
      </c>
      <c r="G191" s="665">
        <v>291.0</v>
      </c>
      <c r="H191" s="665">
        <v>20.29</v>
      </c>
      <c r="I191" s="665">
        <v>6.77</v>
      </c>
      <c r="J191" s="665">
        <v>16.28</v>
      </c>
      <c r="K191" s="665">
        <v>326.0</v>
      </c>
      <c r="L191" s="665">
        <v>4813.0</v>
      </c>
      <c r="M191" s="665">
        <v>0.23</v>
      </c>
      <c r="N191" s="1">
        <v>1.1203</v>
      </c>
      <c r="O191" s="1">
        <v>326.0</v>
      </c>
      <c r="P191" s="1">
        <v>4813.0</v>
      </c>
      <c r="Q191" s="1">
        <v>0.2273</v>
      </c>
      <c r="R191" s="1">
        <v>15915.0</v>
      </c>
    </row>
    <row r="192">
      <c r="A192" s="663" t="s">
        <v>2173</v>
      </c>
      <c r="B192" s="663" t="s">
        <v>1192</v>
      </c>
      <c r="C192" s="663" t="s">
        <v>50</v>
      </c>
      <c r="D192" s="663" t="s">
        <v>599</v>
      </c>
      <c r="E192" s="664" t="s">
        <v>42</v>
      </c>
      <c r="F192" s="665">
        <v>1434.0</v>
      </c>
      <c r="G192" s="665">
        <v>151.0</v>
      </c>
      <c r="H192" s="665">
        <v>10.53</v>
      </c>
      <c r="I192" s="665">
        <v>4.38</v>
      </c>
      <c r="J192" s="665">
        <v>2.47</v>
      </c>
      <c r="K192" s="665">
        <v>211.0</v>
      </c>
      <c r="L192" s="665">
        <v>4813.0</v>
      </c>
      <c r="M192" s="665">
        <v>0.15</v>
      </c>
      <c r="N192" s="1">
        <v>1.3974</v>
      </c>
      <c r="O192" s="1">
        <v>211.0</v>
      </c>
      <c r="P192" s="1">
        <v>4813.0</v>
      </c>
      <c r="Q192" s="1">
        <v>0.1471</v>
      </c>
      <c r="R192" s="1">
        <v>15915.0</v>
      </c>
    </row>
    <row r="193">
      <c r="A193" s="663" t="s">
        <v>2173</v>
      </c>
      <c r="B193" s="663" t="s">
        <v>1192</v>
      </c>
      <c r="C193" s="663" t="s">
        <v>50</v>
      </c>
      <c r="D193" s="663" t="s">
        <v>599</v>
      </c>
      <c r="E193" s="664" t="s">
        <v>63</v>
      </c>
      <c r="F193" s="665">
        <v>1434.0</v>
      </c>
      <c r="G193" s="665">
        <v>167.0</v>
      </c>
      <c r="H193" s="665">
        <v>11.65</v>
      </c>
      <c r="I193" s="665">
        <v>4.13</v>
      </c>
      <c r="J193" s="665">
        <v>3.81</v>
      </c>
      <c r="K193" s="665">
        <v>199.0</v>
      </c>
      <c r="L193" s="665">
        <v>4813.0</v>
      </c>
      <c r="M193" s="665">
        <v>0.14</v>
      </c>
      <c r="N193" s="1">
        <v>1.1916</v>
      </c>
      <c r="O193" s="1">
        <v>199.0</v>
      </c>
      <c r="P193" s="1">
        <v>4813.0</v>
      </c>
      <c r="Q193" s="1">
        <v>0.1388</v>
      </c>
      <c r="R193" s="1">
        <v>15915.0</v>
      </c>
    </row>
    <row r="194">
      <c r="A194" s="663" t="s">
        <v>2173</v>
      </c>
      <c r="B194" s="663" t="s">
        <v>1192</v>
      </c>
      <c r="C194" s="663" t="s">
        <v>50</v>
      </c>
      <c r="D194" s="663" t="s">
        <v>599</v>
      </c>
      <c r="E194" s="664" t="s">
        <v>396</v>
      </c>
      <c r="F194" s="665">
        <v>1434.0</v>
      </c>
      <c r="G194" s="665">
        <v>91.0</v>
      </c>
      <c r="H194" s="665">
        <v>6.35</v>
      </c>
      <c r="I194" s="665">
        <v>2.08</v>
      </c>
      <c r="J194" s="665">
        <v>0.79</v>
      </c>
      <c r="K194" s="665">
        <v>100.0</v>
      </c>
      <c r="L194" s="665">
        <v>4813.0</v>
      </c>
      <c r="M194" s="665">
        <v>0.07</v>
      </c>
      <c r="N194" s="1">
        <v>1.0989</v>
      </c>
      <c r="O194" s="1">
        <v>100.0</v>
      </c>
      <c r="P194" s="1">
        <v>4813.0</v>
      </c>
      <c r="Q194" s="1">
        <v>0.0697</v>
      </c>
      <c r="R194" s="1">
        <v>15915.0</v>
      </c>
    </row>
    <row r="195">
      <c r="A195" s="663" t="s">
        <v>2173</v>
      </c>
      <c r="B195" s="663" t="s">
        <v>1192</v>
      </c>
      <c r="C195" s="663" t="s">
        <v>50</v>
      </c>
      <c r="D195" s="663" t="s">
        <v>599</v>
      </c>
      <c r="E195" s="664" t="s">
        <v>401</v>
      </c>
      <c r="F195" s="665">
        <v>1434.0</v>
      </c>
      <c r="G195" s="665">
        <v>64.0</v>
      </c>
      <c r="H195" s="665">
        <v>4.46</v>
      </c>
      <c r="I195" s="665">
        <v>1.35</v>
      </c>
      <c r="J195" s="665">
        <v>0.35</v>
      </c>
      <c r="K195" s="665">
        <v>65.0</v>
      </c>
      <c r="L195" s="665">
        <v>4813.0</v>
      </c>
      <c r="M195" s="665">
        <v>0.05</v>
      </c>
      <c r="N195" s="1">
        <v>1.0156</v>
      </c>
      <c r="O195" s="1">
        <v>65.0</v>
      </c>
      <c r="P195" s="1">
        <v>4813.0</v>
      </c>
      <c r="Q195" s="1">
        <v>0.0453</v>
      </c>
      <c r="R195" s="1">
        <v>15915.0</v>
      </c>
    </row>
    <row r="196">
      <c r="A196" s="663" t="s">
        <v>2173</v>
      </c>
      <c r="B196" s="663" t="s">
        <v>1192</v>
      </c>
      <c r="C196" s="663" t="s">
        <v>50</v>
      </c>
      <c r="D196" s="663" t="s">
        <v>599</v>
      </c>
      <c r="E196" s="664" t="s">
        <v>206</v>
      </c>
      <c r="F196" s="665">
        <v>1434.0</v>
      </c>
      <c r="G196" s="665">
        <v>41.0</v>
      </c>
      <c r="H196" s="665">
        <v>2.86</v>
      </c>
      <c r="I196" s="665">
        <v>0.87</v>
      </c>
      <c r="J196" s="665">
        <v>0.2</v>
      </c>
      <c r="K196" s="665">
        <v>42.0</v>
      </c>
      <c r="L196" s="665">
        <v>4813.0</v>
      </c>
      <c r="M196" s="665">
        <v>0.03</v>
      </c>
      <c r="N196" s="1">
        <v>1.0244</v>
      </c>
      <c r="O196" s="1">
        <v>42.0</v>
      </c>
      <c r="P196" s="1">
        <v>4813.0</v>
      </c>
      <c r="Q196" s="1">
        <v>0.0293</v>
      </c>
      <c r="R196" s="1">
        <v>15915.0</v>
      </c>
    </row>
    <row r="197">
      <c r="A197" s="663" t="s">
        <v>2173</v>
      </c>
      <c r="B197" s="663" t="s">
        <v>1192</v>
      </c>
      <c r="C197" s="663" t="s">
        <v>50</v>
      </c>
      <c r="D197" s="663" t="s">
        <v>599</v>
      </c>
      <c r="E197" s="664" t="s">
        <v>73</v>
      </c>
      <c r="F197" s="665">
        <v>1434.0</v>
      </c>
      <c r="G197" s="665">
        <v>40.0</v>
      </c>
      <c r="H197" s="665">
        <v>2.79</v>
      </c>
      <c r="I197" s="665">
        <v>0.83</v>
      </c>
      <c r="J197" s="665">
        <v>0.28</v>
      </c>
      <c r="K197" s="665">
        <v>40.0</v>
      </c>
      <c r="L197" s="665">
        <v>4813.0</v>
      </c>
      <c r="M197" s="665">
        <v>0.03</v>
      </c>
      <c r="N197" s="1">
        <v>1.0</v>
      </c>
      <c r="O197" s="1">
        <v>40.0</v>
      </c>
      <c r="P197" s="1">
        <v>4813.0</v>
      </c>
      <c r="Q197" s="1">
        <v>0.0279</v>
      </c>
      <c r="R197" s="1">
        <v>15915.0</v>
      </c>
    </row>
    <row r="198">
      <c r="A198" s="663" t="s">
        <v>2173</v>
      </c>
      <c r="B198" s="663" t="s">
        <v>1192</v>
      </c>
      <c r="C198" s="663" t="s">
        <v>50</v>
      </c>
      <c r="D198" s="663" t="s">
        <v>599</v>
      </c>
      <c r="E198" s="664" t="s">
        <v>7</v>
      </c>
      <c r="F198" s="665">
        <v>1434.0</v>
      </c>
      <c r="G198" s="665">
        <v>14.0</v>
      </c>
      <c r="H198" s="665">
        <v>0.98</v>
      </c>
      <c r="I198" s="665">
        <v>0.33</v>
      </c>
      <c r="J198" s="665">
        <v>0.45</v>
      </c>
      <c r="K198" s="665">
        <v>16.0</v>
      </c>
      <c r="L198" s="665">
        <v>4813.0</v>
      </c>
      <c r="M198" s="665">
        <v>0.01</v>
      </c>
      <c r="N198" s="1">
        <v>1.1429</v>
      </c>
      <c r="O198" s="1">
        <v>16.0</v>
      </c>
      <c r="P198" s="1">
        <v>4813.0</v>
      </c>
      <c r="Q198" s="1">
        <v>0.0112</v>
      </c>
      <c r="R198" s="1">
        <v>15915.0</v>
      </c>
    </row>
    <row r="199">
      <c r="A199" s="663" t="s">
        <v>2173</v>
      </c>
      <c r="B199" s="663" t="s">
        <v>1192</v>
      </c>
      <c r="C199" s="663" t="s">
        <v>50</v>
      </c>
      <c r="D199" s="663" t="s">
        <v>599</v>
      </c>
      <c r="E199" s="664" t="s">
        <v>418</v>
      </c>
      <c r="F199" s="665">
        <v>1434.0</v>
      </c>
      <c r="G199" s="665">
        <v>10.0</v>
      </c>
      <c r="H199" s="665">
        <v>0.7</v>
      </c>
      <c r="I199" s="665">
        <v>0.21</v>
      </c>
      <c r="J199" s="665">
        <v>0.38</v>
      </c>
      <c r="K199" s="665">
        <v>10.0</v>
      </c>
      <c r="L199" s="665">
        <v>4813.0</v>
      </c>
      <c r="M199" s="665">
        <v>0.01</v>
      </c>
      <c r="N199" s="1">
        <v>1.0</v>
      </c>
      <c r="O199" s="1">
        <v>10.0</v>
      </c>
      <c r="P199" s="1">
        <v>4813.0</v>
      </c>
      <c r="Q199" s="1">
        <v>0.007</v>
      </c>
      <c r="R199" s="1">
        <v>15915.0</v>
      </c>
    </row>
    <row r="200">
      <c r="A200" s="663" t="s">
        <v>2173</v>
      </c>
      <c r="B200" s="663" t="s">
        <v>1192</v>
      </c>
      <c r="C200" s="663" t="s">
        <v>48</v>
      </c>
      <c r="D200" s="663" t="s">
        <v>599</v>
      </c>
      <c r="E200" s="664" t="s">
        <v>411</v>
      </c>
      <c r="F200" s="665">
        <v>1790.0</v>
      </c>
      <c r="G200" s="665">
        <v>1022.0</v>
      </c>
      <c r="H200" s="665">
        <v>57.09</v>
      </c>
      <c r="I200" s="665">
        <v>28.72</v>
      </c>
      <c r="J200" s="665">
        <v>37.9</v>
      </c>
      <c r="K200" s="665">
        <v>1748.0</v>
      </c>
      <c r="L200" s="665">
        <v>6086.0</v>
      </c>
      <c r="M200" s="665">
        <v>0.98</v>
      </c>
      <c r="N200" s="1">
        <v>1.7104</v>
      </c>
      <c r="O200" s="1">
        <v>1748.0</v>
      </c>
      <c r="P200" s="1">
        <v>6086.0</v>
      </c>
      <c r="Q200" s="1">
        <v>0.9765</v>
      </c>
      <c r="R200" s="1">
        <v>15915.0</v>
      </c>
    </row>
    <row r="201">
      <c r="A201" s="663" t="s">
        <v>2173</v>
      </c>
      <c r="B201" s="663" t="s">
        <v>1192</v>
      </c>
      <c r="C201" s="663" t="s">
        <v>48</v>
      </c>
      <c r="D201" s="663" t="s">
        <v>599</v>
      </c>
      <c r="E201" s="664" t="s">
        <v>413</v>
      </c>
      <c r="F201" s="665">
        <v>1790.0</v>
      </c>
      <c r="G201" s="665">
        <v>420.0</v>
      </c>
      <c r="H201" s="665">
        <v>23.46</v>
      </c>
      <c r="I201" s="665">
        <v>12.39</v>
      </c>
      <c r="J201" s="665">
        <v>13.2</v>
      </c>
      <c r="K201" s="665">
        <v>754.0</v>
      </c>
      <c r="L201" s="665">
        <v>6086.0</v>
      </c>
      <c r="M201" s="665">
        <v>0.42</v>
      </c>
      <c r="N201" s="1">
        <v>1.7952</v>
      </c>
      <c r="O201" s="1">
        <v>754.0</v>
      </c>
      <c r="P201" s="1">
        <v>6086.0</v>
      </c>
      <c r="Q201" s="1">
        <v>0.4212</v>
      </c>
      <c r="R201" s="1">
        <v>15915.0</v>
      </c>
    </row>
    <row r="202">
      <c r="A202" s="663" t="s">
        <v>2173</v>
      </c>
      <c r="B202" s="663" t="s">
        <v>1192</v>
      </c>
      <c r="C202" s="663" t="s">
        <v>48</v>
      </c>
      <c r="D202" s="663" t="s">
        <v>599</v>
      </c>
      <c r="E202" s="664" t="s">
        <v>14</v>
      </c>
      <c r="F202" s="665">
        <v>1790.0</v>
      </c>
      <c r="G202" s="665">
        <v>213.0</v>
      </c>
      <c r="H202" s="665">
        <v>11.9</v>
      </c>
      <c r="I202" s="665">
        <v>9.32</v>
      </c>
      <c r="J202" s="665">
        <v>5.13</v>
      </c>
      <c r="K202" s="665">
        <v>567.0</v>
      </c>
      <c r="L202" s="665">
        <v>6086.0</v>
      </c>
      <c r="M202" s="665">
        <v>0.32</v>
      </c>
      <c r="N202" s="1">
        <v>2.662</v>
      </c>
      <c r="O202" s="1">
        <v>567.0</v>
      </c>
      <c r="P202" s="1">
        <v>6086.0</v>
      </c>
      <c r="Q202" s="1">
        <v>0.3168</v>
      </c>
      <c r="R202" s="1">
        <v>15915.0</v>
      </c>
    </row>
    <row r="203">
      <c r="A203" s="663" t="s">
        <v>2173</v>
      </c>
      <c r="B203" s="663" t="s">
        <v>1192</v>
      </c>
      <c r="C203" s="663" t="s">
        <v>48</v>
      </c>
      <c r="D203" s="663" t="s">
        <v>599</v>
      </c>
      <c r="E203" s="664" t="s">
        <v>51</v>
      </c>
      <c r="F203" s="665">
        <v>1790.0</v>
      </c>
      <c r="G203" s="665">
        <v>260.0</v>
      </c>
      <c r="H203" s="665">
        <v>14.53</v>
      </c>
      <c r="I203" s="665">
        <v>8.41</v>
      </c>
      <c r="J203" s="665">
        <v>5.21</v>
      </c>
      <c r="K203" s="665">
        <v>512.0</v>
      </c>
      <c r="L203" s="665">
        <v>6086.0</v>
      </c>
      <c r="M203" s="665">
        <v>0.29</v>
      </c>
      <c r="N203" s="1">
        <v>1.9692</v>
      </c>
      <c r="O203" s="1">
        <v>512.0</v>
      </c>
      <c r="P203" s="1">
        <v>6086.0</v>
      </c>
      <c r="Q203" s="1">
        <v>0.286</v>
      </c>
      <c r="R203" s="1">
        <v>15915.0</v>
      </c>
    </row>
    <row r="204">
      <c r="A204" s="663" t="s">
        <v>2173</v>
      </c>
      <c r="B204" s="663" t="s">
        <v>1192</v>
      </c>
      <c r="C204" s="663" t="s">
        <v>48</v>
      </c>
      <c r="D204" s="663" t="s">
        <v>599</v>
      </c>
      <c r="E204" s="664" t="s">
        <v>9</v>
      </c>
      <c r="F204" s="665">
        <v>1790.0</v>
      </c>
      <c r="G204" s="665">
        <v>309.0</v>
      </c>
      <c r="H204" s="665">
        <v>17.26</v>
      </c>
      <c r="I204" s="665">
        <v>7.1</v>
      </c>
      <c r="J204" s="665">
        <v>7.48</v>
      </c>
      <c r="K204" s="665">
        <v>432.0</v>
      </c>
      <c r="L204" s="665">
        <v>6086.0</v>
      </c>
      <c r="M204" s="665">
        <v>0.24</v>
      </c>
      <c r="N204" s="1">
        <v>1.3981</v>
      </c>
      <c r="O204" s="1">
        <v>432.0</v>
      </c>
      <c r="P204" s="1">
        <v>6086.0</v>
      </c>
      <c r="Q204" s="1">
        <v>0.2413</v>
      </c>
      <c r="R204" s="1">
        <v>15915.0</v>
      </c>
    </row>
    <row r="205">
      <c r="A205" s="663" t="s">
        <v>2173</v>
      </c>
      <c r="B205" s="663" t="s">
        <v>1192</v>
      </c>
      <c r="C205" s="663" t="s">
        <v>48</v>
      </c>
      <c r="D205" s="663" t="s">
        <v>599</v>
      </c>
      <c r="E205" s="664" t="s">
        <v>401</v>
      </c>
      <c r="F205" s="665">
        <v>1790.0</v>
      </c>
      <c r="G205" s="665">
        <v>375.0</v>
      </c>
      <c r="H205" s="665">
        <v>20.95</v>
      </c>
      <c r="I205" s="665">
        <v>6.92</v>
      </c>
      <c r="J205" s="665">
        <v>7.96</v>
      </c>
      <c r="K205" s="665">
        <v>421.0</v>
      </c>
      <c r="L205" s="665">
        <v>6086.0</v>
      </c>
      <c r="M205" s="665">
        <v>0.24</v>
      </c>
      <c r="N205" s="1">
        <v>1.1227</v>
      </c>
      <c r="O205" s="1">
        <v>421.0</v>
      </c>
      <c r="P205" s="1">
        <v>6086.0</v>
      </c>
      <c r="Q205" s="1">
        <v>0.2352</v>
      </c>
      <c r="R205" s="1">
        <v>15915.0</v>
      </c>
    </row>
    <row r="206">
      <c r="A206" s="663" t="s">
        <v>2173</v>
      </c>
      <c r="B206" s="663" t="s">
        <v>1192</v>
      </c>
      <c r="C206" s="663" t="s">
        <v>48</v>
      </c>
      <c r="D206" s="663" t="s">
        <v>599</v>
      </c>
      <c r="E206" s="664" t="s">
        <v>398</v>
      </c>
      <c r="F206" s="665">
        <v>1790.0</v>
      </c>
      <c r="G206" s="665">
        <v>173.0</v>
      </c>
      <c r="H206" s="665">
        <v>9.66</v>
      </c>
      <c r="I206" s="665">
        <v>6.24</v>
      </c>
      <c r="J206" s="665">
        <v>2.04</v>
      </c>
      <c r="K206" s="665">
        <v>380.0</v>
      </c>
      <c r="L206" s="665">
        <v>6086.0</v>
      </c>
      <c r="M206" s="665">
        <v>0.21</v>
      </c>
      <c r="N206" s="1">
        <v>2.1965</v>
      </c>
      <c r="O206" s="1">
        <v>380.0</v>
      </c>
      <c r="P206" s="1">
        <v>6086.0</v>
      </c>
      <c r="Q206" s="1">
        <v>0.2123</v>
      </c>
      <c r="R206" s="1">
        <v>15915.0</v>
      </c>
    </row>
    <row r="207">
      <c r="A207" s="663" t="s">
        <v>2173</v>
      </c>
      <c r="B207" s="663" t="s">
        <v>1192</v>
      </c>
      <c r="C207" s="663" t="s">
        <v>48</v>
      </c>
      <c r="D207" s="663" t="s">
        <v>599</v>
      </c>
      <c r="E207" s="664" t="s">
        <v>63</v>
      </c>
      <c r="F207" s="665">
        <v>1790.0</v>
      </c>
      <c r="G207" s="665">
        <v>286.0</v>
      </c>
      <c r="H207" s="665">
        <v>15.98</v>
      </c>
      <c r="I207" s="665">
        <v>5.78</v>
      </c>
      <c r="J207" s="665">
        <v>7.69</v>
      </c>
      <c r="K207" s="665">
        <v>352.0</v>
      </c>
      <c r="L207" s="665">
        <v>6086.0</v>
      </c>
      <c r="M207" s="665">
        <v>0.2</v>
      </c>
      <c r="N207" s="1">
        <v>1.2308</v>
      </c>
      <c r="O207" s="1">
        <v>352.0</v>
      </c>
      <c r="P207" s="1">
        <v>6086.0</v>
      </c>
      <c r="Q207" s="1">
        <v>0.1966</v>
      </c>
      <c r="R207" s="1">
        <v>15915.0</v>
      </c>
    </row>
    <row r="208">
      <c r="A208" s="663" t="s">
        <v>2173</v>
      </c>
      <c r="B208" s="663" t="s">
        <v>1192</v>
      </c>
      <c r="C208" s="663" t="s">
        <v>48</v>
      </c>
      <c r="D208" s="663" t="s">
        <v>599</v>
      </c>
      <c r="E208" s="664" t="s">
        <v>206</v>
      </c>
      <c r="F208" s="665">
        <v>1790.0</v>
      </c>
      <c r="G208" s="665">
        <v>293.0</v>
      </c>
      <c r="H208" s="665">
        <v>16.37</v>
      </c>
      <c r="I208" s="665">
        <v>5.0</v>
      </c>
      <c r="J208" s="665">
        <v>4.2</v>
      </c>
      <c r="K208" s="665">
        <v>304.0</v>
      </c>
      <c r="L208" s="665">
        <v>6086.0</v>
      </c>
      <c r="M208" s="665">
        <v>0.17</v>
      </c>
      <c r="N208" s="1">
        <v>1.0375</v>
      </c>
      <c r="O208" s="1">
        <v>304.0</v>
      </c>
      <c r="P208" s="1">
        <v>6086.0</v>
      </c>
      <c r="Q208" s="1">
        <v>0.1698</v>
      </c>
      <c r="R208" s="1">
        <v>15915.0</v>
      </c>
    </row>
    <row r="209">
      <c r="A209" s="663" t="s">
        <v>2173</v>
      </c>
      <c r="B209" s="663" t="s">
        <v>1192</v>
      </c>
      <c r="C209" s="663" t="s">
        <v>48</v>
      </c>
      <c r="D209" s="663" t="s">
        <v>599</v>
      </c>
      <c r="E209" s="664" t="s">
        <v>73</v>
      </c>
      <c r="F209" s="665">
        <v>1790.0</v>
      </c>
      <c r="G209" s="665">
        <v>183.0</v>
      </c>
      <c r="H209" s="665">
        <v>10.22</v>
      </c>
      <c r="I209" s="665">
        <v>3.12</v>
      </c>
      <c r="J209" s="665">
        <v>1.15</v>
      </c>
      <c r="K209" s="665">
        <v>190.0</v>
      </c>
      <c r="L209" s="665">
        <v>6086.0</v>
      </c>
      <c r="M209" s="665">
        <v>0.11</v>
      </c>
      <c r="N209" s="1">
        <v>1.0383</v>
      </c>
      <c r="O209" s="1">
        <v>190.0</v>
      </c>
      <c r="P209" s="1">
        <v>6086.0</v>
      </c>
      <c r="Q209" s="1">
        <v>0.1061</v>
      </c>
      <c r="R209" s="1">
        <v>15915.0</v>
      </c>
    </row>
    <row r="210">
      <c r="A210" s="663" t="s">
        <v>2173</v>
      </c>
      <c r="B210" s="663" t="s">
        <v>1192</v>
      </c>
      <c r="C210" s="663" t="s">
        <v>48</v>
      </c>
      <c r="D210" s="663" t="s">
        <v>599</v>
      </c>
      <c r="E210" s="664" t="s">
        <v>16</v>
      </c>
      <c r="F210" s="665">
        <v>1790.0</v>
      </c>
      <c r="G210" s="665">
        <v>149.0</v>
      </c>
      <c r="H210" s="665">
        <v>8.32</v>
      </c>
      <c r="I210" s="665">
        <v>2.66</v>
      </c>
      <c r="J210" s="665">
        <v>5.67</v>
      </c>
      <c r="K210" s="665">
        <v>162.0</v>
      </c>
      <c r="L210" s="665">
        <v>6086.0</v>
      </c>
      <c r="M210" s="665">
        <v>0.09</v>
      </c>
      <c r="N210" s="1">
        <v>1.0872</v>
      </c>
      <c r="O210" s="1">
        <v>162.0</v>
      </c>
      <c r="P210" s="1">
        <v>6086.0</v>
      </c>
      <c r="Q210" s="1">
        <v>0.0905</v>
      </c>
      <c r="R210" s="1">
        <v>15915.0</v>
      </c>
    </row>
    <row r="211">
      <c r="A211" s="663" t="s">
        <v>2173</v>
      </c>
      <c r="B211" s="663" t="s">
        <v>1192</v>
      </c>
      <c r="C211" s="663" t="s">
        <v>48</v>
      </c>
      <c r="D211" s="663" t="s">
        <v>599</v>
      </c>
      <c r="E211" s="664" t="s">
        <v>396</v>
      </c>
      <c r="F211" s="665">
        <v>1790.0</v>
      </c>
      <c r="G211" s="665">
        <v>111.0</v>
      </c>
      <c r="H211" s="665">
        <v>6.2</v>
      </c>
      <c r="I211" s="665">
        <v>2.35</v>
      </c>
      <c r="J211" s="665">
        <v>0.8</v>
      </c>
      <c r="K211" s="665">
        <v>143.0</v>
      </c>
      <c r="L211" s="665">
        <v>6086.0</v>
      </c>
      <c r="M211" s="665">
        <v>0.08</v>
      </c>
      <c r="N211" s="1">
        <v>1.2883</v>
      </c>
      <c r="O211" s="1">
        <v>143.0</v>
      </c>
      <c r="P211" s="1">
        <v>6086.0</v>
      </c>
      <c r="Q211" s="1">
        <v>0.0799</v>
      </c>
      <c r="R211" s="1">
        <v>15915.0</v>
      </c>
    </row>
    <row r="212">
      <c r="A212" s="663" t="s">
        <v>2173</v>
      </c>
      <c r="B212" s="663" t="s">
        <v>1192</v>
      </c>
      <c r="C212" s="663" t="s">
        <v>48</v>
      </c>
      <c r="D212" s="663" t="s">
        <v>599</v>
      </c>
      <c r="E212" s="664" t="s">
        <v>42</v>
      </c>
      <c r="F212" s="665">
        <v>1790.0</v>
      </c>
      <c r="G212" s="665">
        <v>77.0</v>
      </c>
      <c r="H212" s="665">
        <v>4.3</v>
      </c>
      <c r="I212" s="665">
        <v>1.58</v>
      </c>
      <c r="J212" s="665">
        <v>0.85</v>
      </c>
      <c r="K212" s="665">
        <v>96.0</v>
      </c>
      <c r="L212" s="665">
        <v>6086.0</v>
      </c>
      <c r="M212" s="665">
        <v>0.05</v>
      </c>
      <c r="N212" s="1">
        <v>1.2468</v>
      </c>
      <c r="O212" s="1">
        <v>96.0</v>
      </c>
      <c r="P212" s="1">
        <v>6086.0</v>
      </c>
      <c r="Q212" s="1">
        <v>0.0536</v>
      </c>
      <c r="R212" s="1">
        <v>15915.0</v>
      </c>
    </row>
    <row r="213">
      <c r="A213" s="663" t="s">
        <v>2173</v>
      </c>
      <c r="B213" s="663" t="s">
        <v>1192</v>
      </c>
      <c r="C213" s="663" t="s">
        <v>48</v>
      </c>
      <c r="D213" s="663" t="s">
        <v>599</v>
      </c>
      <c r="E213" s="664" t="s">
        <v>7</v>
      </c>
      <c r="F213" s="665">
        <v>1790.0</v>
      </c>
      <c r="G213" s="665">
        <v>17.0</v>
      </c>
      <c r="H213" s="665">
        <v>0.95</v>
      </c>
      <c r="I213" s="665">
        <v>0.28</v>
      </c>
      <c r="J213" s="665">
        <v>0.52</v>
      </c>
      <c r="K213" s="665">
        <v>17.0</v>
      </c>
      <c r="L213" s="665">
        <v>6086.0</v>
      </c>
      <c r="M213" s="665">
        <v>0.01</v>
      </c>
      <c r="N213" s="1">
        <v>1.0</v>
      </c>
      <c r="O213" s="1">
        <v>17.0</v>
      </c>
      <c r="P213" s="1">
        <v>6086.0</v>
      </c>
      <c r="Q213" s="1">
        <v>0.0095</v>
      </c>
      <c r="R213" s="1">
        <v>15915.0</v>
      </c>
    </row>
    <row r="214">
      <c r="A214" s="663" t="s">
        <v>2173</v>
      </c>
      <c r="B214" s="663" t="s">
        <v>1192</v>
      </c>
      <c r="C214" s="663" t="s">
        <v>48</v>
      </c>
      <c r="D214" s="663" t="s">
        <v>599</v>
      </c>
      <c r="E214" s="664" t="s">
        <v>418</v>
      </c>
      <c r="F214" s="665">
        <v>1790.0</v>
      </c>
      <c r="G214" s="665">
        <v>7.0</v>
      </c>
      <c r="H214" s="665">
        <v>0.39</v>
      </c>
      <c r="I214" s="665">
        <v>0.13</v>
      </c>
      <c r="J214" s="665">
        <v>0.2</v>
      </c>
      <c r="K214" s="665">
        <v>8.0</v>
      </c>
      <c r="L214" s="665">
        <v>6086.0</v>
      </c>
      <c r="M214" s="665">
        <v>0.0</v>
      </c>
      <c r="N214" s="1">
        <v>1.1429</v>
      </c>
      <c r="O214" s="1">
        <v>8.0</v>
      </c>
      <c r="P214" s="1">
        <v>6086.0</v>
      </c>
      <c r="Q214" s="1">
        <v>0.0045</v>
      </c>
      <c r="R214" s="1">
        <v>15915.0</v>
      </c>
    </row>
    <row r="215">
      <c r="A215" s="663" t="s">
        <v>2173</v>
      </c>
      <c r="B215" s="663" t="s">
        <v>1192</v>
      </c>
      <c r="C215" s="663" t="s">
        <v>54</v>
      </c>
      <c r="D215" s="663" t="s">
        <v>599</v>
      </c>
      <c r="E215" s="664" t="s">
        <v>14</v>
      </c>
      <c r="F215" s="665">
        <v>1174.0</v>
      </c>
      <c r="G215" s="665">
        <v>105.0</v>
      </c>
      <c r="H215" s="665">
        <v>8.94</v>
      </c>
      <c r="I215" s="665">
        <v>64.8</v>
      </c>
      <c r="J215" s="665">
        <v>2.67</v>
      </c>
      <c r="K215" s="665">
        <v>8478.0</v>
      </c>
      <c r="L215" s="665">
        <v>13084.0</v>
      </c>
      <c r="M215" s="665">
        <v>7.22</v>
      </c>
      <c r="N215" s="1">
        <v>80.7429</v>
      </c>
      <c r="O215" s="1">
        <v>8478.0</v>
      </c>
      <c r="P215" s="1">
        <v>13084.0</v>
      </c>
      <c r="Q215" s="1">
        <v>7.2215</v>
      </c>
      <c r="R215" s="1">
        <v>15915.0</v>
      </c>
    </row>
    <row r="216">
      <c r="A216" s="663" t="s">
        <v>2173</v>
      </c>
      <c r="B216" s="663" t="s">
        <v>1192</v>
      </c>
      <c r="C216" s="663" t="s">
        <v>54</v>
      </c>
      <c r="D216" s="663" t="s">
        <v>599</v>
      </c>
      <c r="E216" s="664" t="s">
        <v>393</v>
      </c>
      <c r="F216" s="665">
        <v>1174.0</v>
      </c>
      <c r="G216" s="665">
        <v>368.0</v>
      </c>
      <c r="H216" s="665">
        <v>31.35</v>
      </c>
      <c r="I216" s="665">
        <v>5.61</v>
      </c>
      <c r="J216" s="665">
        <v>17.19</v>
      </c>
      <c r="K216" s="665">
        <v>734.0</v>
      </c>
      <c r="L216" s="665">
        <v>13084.0</v>
      </c>
      <c r="M216" s="665">
        <v>0.63</v>
      </c>
      <c r="N216" s="1">
        <v>1.9946</v>
      </c>
      <c r="O216" s="1">
        <v>734.0</v>
      </c>
      <c r="P216" s="1">
        <v>13084.0</v>
      </c>
      <c r="Q216" s="1">
        <v>0.6252</v>
      </c>
      <c r="R216" s="1">
        <v>15915.0</v>
      </c>
    </row>
    <row r="217">
      <c r="A217" s="663" t="s">
        <v>2173</v>
      </c>
      <c r="B217" s="663" t="s">
        <v>1192</v>
      </c>
      <c r="C217" s="663" t="s">
        <v>54</v>
      </c>
      <c r="D217" s="663" t="s">
        <v>599</v>
      </c>
      <c r="E217" s="664" t="s">
        <v>42</v>
      </c>
      <c r="F217" s="665">
        <v>1174.0</v>
      </c>
      <c r="G217" s="665">
        <v>253.0</v>
      </c>
      <c r="H217" s="665">
        <v>21.55</v>
      </c>
      <c r="I217" s="665">
        <v>5.36</v>
      </c>
      <c r="J217" s="665">
        <v>6.53</v>
      </c>
      <c r="K217" s="665">
        <v>701.0</v>
      </c>
      <c r="L217" s="665">
        <v>13084.0</v>
      </c>
      <c r="M217" s="665">
        <v>0.6</v>
      </c>
      <c r="N217" s="1">
        <v>2.7708</v>
      </c>
      <c r="O217" s="1">
        <v>701.0</v>
      </c>
      <c r="P217" s="1">
        <v>13084.0</v>
      </c>
      <c r="Q217" s="1">
        <v>0.5971</v>
      </c>
      <c r="R217" s="1">
        <v>15915.0</v>
      </c>
    </row>
    <row r="218">
      <c r="A218" s="663" t="s">
        <v>2173</v>
      </c>
      <c r="B218" s="663" t="s">
        <v>1192</v>
      </c>
      <c r="C218" s="663" t="s">
        <v>54</v>
      </c>
      <c r="D218" s="663" t="s">
        <v>599</v>
      </c>
      <c r="E218" s="664" t="s">
        <v>16</v>
      </c>
      <c r="F218" s="665">
        <v>1174.0</v>
      </c>
      <c r="G218" s="665">
        <v>539.0</v>
      </c>
      <c r="H218" s="665">
        <v>45.91</v>
      </c>
      <c r="I218" s="665">
        <v>5.03</v>
      </c>
      <c r="J218" s="665">
        <v>39.88</v>
      </c>
      <c r="K218" s="665">
        <v>658.0</v>
      </c>
      <c r="L218" s="665">
        <v>13084.0</v>
      </c>
      <c r="M218" s="665">
        <v>0.56</v>
      </c>
      <c r="N218" s="1">
        <v>1.2208</v>
      </c>
      <c r="O218" s="1">
        <v>658.0</v>
      </c>
      <c r="P218" s="1">
        <v>13084.0</v>
      </c>
      <c r="Q218" s="1">
        <v>0.5605</v>
      </c>
      <c r="R218" s="1">
        <v>15915.0</v>
      </c>
    </row>
    <row r="219">
      <c r="A219" s="663" t="s">
        <v>2173</v>
      </c>
      <c r="B219" s="663" t="s">
        <v>1192</v>
      </c>
      <c r="C219" s="663" t="s">
        <v>54</v>
      </c>
      <c r="D219" s="663" t="s">
        <v>599</v>
      </c>
      <c r="E219" s="664" t="s">
        <v>15</v>
      </c>
      <c r="F219" s="665">
        <v>1174.0</v>
      </c>
      <c r="G219" s="665">
        <v>217.0</v>
      </c>
      <c r="H219" s="665">
        <v>18.48</v>
      </c>
      <c r="I219" s="665">
        <v>3.76</v>
      </c>
      <c r="J219" s="665">
        <v>8.61</v>
      </c>
      <c r="K219" s="665">
        <v>492.0</v>
      </c>
      <c r="L219" s="665">
        <v>13084.0</v>
      </c>
      <c r="M219" s="665">
        <v>0.42</v>
      </c>
      <c r="N219" s="1">
        <v>2.2673</v>
      </c>
      <c r="O219" s="1">
        <v>492.0</v>
      </c>
      <c r="P219" s="1">
        <v>13084.0</v>
      </c>
      <c r="Q219" s="1">
        <v>0.4191</v>
      </c>
      <c r="R219" s="1">
        <v>15915.0</v>
      </c>
    </row>
    <row r="220">
      <c r="A220" s="663" t="s">
        <v>2173</v>
      </c>
      <c r="B220" s="663" t="s">
        <v>1192</v>
      </c>
      <c r="C220" s="663" t="s">
        <v>54</v>
      </c>
      <c r="D220" s="663" t="s">
        <v>599</v>
      </c>
      <c r="E220" s="664" t="s">
        <v>9</v>
      </c>
      <c r="F220" s="665">
        <v>1174.0</v>
      </c>
      <c r="G220" s="665">
        <v>242.0</v>
      </c>
      <c r="H220" s="665">
        <v>20.61</v>
      </c>
      <c r="I220" s="665">
        <v>3.08</v>
      </c>
      <c r="J220" s="665">
        <v>7.02</v>
      </c>
      <c r="K220" s="665">
        <v>403.0</v>
      </c>
      <c r="L220" s="665">
        <v>13084.0</v>
      </c>
      <c r="M220" s="665">
        <v>0.34</v>
      </c>
      <c r="N220" s="1">
        <v>1.6653</v>
      </c>
      <c r="O220" s="1">
        <v>403.0</v>
      </c>
      <c r="P220" s="1">
        <v>13084.0</v>
      </c>
      <c r="Q220" s="1">
        <v>0.3433</v>
      </c>
      <c r="R220" s="1">
        <v>15915.0</v>
      </c>
    </row>
    <row r="221">
      <c r="A221" s="663" t="s">
        <v>2173</v>
      </c>
      <c r="B221" s="663" t="s">
        <v>1192</v>
      </c>
      <c r="C221" s="663" t="s">
        <v>54</v>
      </c>
      <c r="D221" s="663" t="s">
        <v>599</v>
      </c>
      <c r="E221" s="664" t="s">
        <v>63</v>
      </c>
      <c r="F221" s="665">
        <v>1174.0</v>
      </c>
      <c r="G221" s="665">
        <v>162.0</v>
      </c>
      <c r="H221" s="665">
        <v>13.8</v>
      </c>
      <c r="I221" s="665">
        <v>2.38</v>
      </c>
      <c r="J221" s="665">
        <v>2.72</v>
      </c>
      <c r="K221" s="665">
        <v>312.0</v>
      </c>
      <c r="L221" s="665">
        <v>13084.0</v>
      </c>
      <c r="M221" s="665">
        <v>0.27</v>
      </c>
      <c r="N221" s="1">
        <v>1.9259</v>
      </c>
      <c r="O221" s="1">
        <v>312.0</v>
      </c>
      <c r="P221" s="1">
        <v>13084.0</v>
      </c>
      <c r="Q221" s="1">
        <v>0.2658</v>
      </c>
      <c r="R221" s="1">
        <v>15915.0</v>
      </c>
    </row>
    <row r="222">
      <c r="A222" s="663" t="s">
        <v>2173</v>
      </c>
      <c r="B222" s="663" t="s">
        <v>1192</v>
      </c>
      <c r="C222" s="663" t="s">
        <v>54</v>
      </c>
      <c r="D222" s="663" t="s">
        <v>599</v>
      </c>
      <c r="E222" s="664" t="s">
        <v>398</v>
      </c>
      <c r="F222" s="665">
        <v>1174.0</v>
      </c>
      <c r="G222" s="665">
        <v>99.0</v>
      </c>
      <c r="H222" s="665">
        <v>8.43</v>
      </c>
      <c r="I222" s="665">
        <v>2.19</v>
      </c>
      <c r="J222" s="665">
        <v>1.08</v>
      </c>
      <c r="K222" s="665">
        <v>286.0</v>
      </c>
      <c r="L222" s="665">
        <v>13084.0</v>
      </c>
      <c r="M222" s="665">
        <v>0.24</v>
      </c>
      <c r="N222" s="1">
        <v>2.8889</v>
      </c>
      <c r="O222" s="1">
        <v>286.0</v>
      </c>
      <c r="P222" s="1">
        <v>13084.0</v>
      </c>
      <c r="Q222" s="1">
        <v>0.2436</v>
      </c>
      <c r="R222" s="1">
        <v>15915.0</v>
      </c>
    </row>
    <row r="223">
      <c r="A223" s="663" t="s">
        <v>2173</v>
      </c>
      <c r="B223" s="663" t="s">
        <v>1192</v>
      </c>
      <c r="C223" s="663" t="s">
        <v>54</v>
      </c>
      <c r="D223" s="663" t="s">
        <v>599</v>
      </c>
      <c r="E223" s="664" t="s">
        <v>413</v>
      </c>
      <c r="F223" s="665">
        <v>1174.0</v>
      </c>
      <c r="G223" s="665">
        <v>92.0</v>
      </c>
      <c r="H223" s="665">
        <v>7.84</v>
      </c>
      <c r="I223" s="665">
        <v>1.54</v>
      </c>
      <c r="J223" s="665">
        <v>2.21</v>
      </c>
      <c r="K223" s="665">
        <v>202.0</v>
      </c>
      <c r="L223" s="665">
        <v>13084.0</v>
      </c>
      <c r="M223" s="665">
        <v>0.17</v>
      </c>
      <c r="N223" s="1">
        <v>2.1957</v>
      </c>
      <c r="O223" s="1">
        <v>202.0</v>
      </c>
      <c r="P223" s="1">
        <v>13084.0</v>
      </c>
      <c r="Q223" s="1">
        <v>0.1721</v>
      </c>
      <c r="R223" s="1">
        <v>15915.0</v>
      </c>
    </row>
    <row r="224">
      <c r="A224" s="663" t="s">
        <v>2173</v>
      </c>
      <c r="B224" s="663" t="s">
        <v>1192</v>
      </c>
      <c r="C224" s="663" t="s">
        <v>54</v>
      </c>
      <c r="D224" s="663" t="s">
        <v>599</v>
      </c>
      <c r="E224" s="664" t="s">
        <v>397</v>
      </c>
      <c r="F224" s="665">
        <v>1174.0</v>
      </c>
      <c r="G224" s="665">
        <v>186.0</v>
      </c>
      <c r="H224" s="665">
        <v>15.84</v>
      </c>
      <c r="I224" s="665">
        <v>1.54</v>
      </c>
      <c r="J224" s="665">
        <v>6.82</v>
      </c>
      <c r="K224" s="665">
        <v>202.0</v>
      </c>
      <c r="L224" s="665">
        <v>13084.0</v>
      </c>
      <c r="M224" s="665">
        <v>0.17</v>
      </c>
      <c r="N224" s="1">
        <v>1.086</v>
      </c>
      <c r="O224" s="1">
        <v>202.0</v>
      </c>
      <c r="P224" s="1">
        <v>13084.0</v>
      </c>
      <c r="Q224" s="1">
        <v>0.1721</v>
      </c>
      <c r="R224" s="1">
        <v>15915.0</v>
      </c>
    </row>
    <row r="225">
      <c r="A225" s="663" t="s">
        <v>2173</v>
      </c>
      <c r="B225" s="663" t="s">
        <v>1192</v>
      </c>
      <c r="C225" s="663" t="s">
        <v>54</v>
      </c>
      <c r="D225" s="663" t="s">
        <v>599</v>
      </c>
      <c r="E225" s="664" t="s">
        <v>396</v>
      </c>
      <c r="F225" s="665">
        <v>1174.0</v>
      </c>
      <c r="G225" s="665">
        <v>108.0</v>
      </c>
      <c r="H225" s="665">
        <v>9.2</v>
      </c>
      <c r="I225" s="665">
        <v>0.95</v>
      </c>
      <c r="J225" s="665">
        <v>0.94</v>
      </c>
      <c r="K225" s="665">
        <v>124.0</v>
      </c>
      <c r="L225" s="665">
        <v>13084.0</v>
      </c>
      <c r="M225" s="665">
        <v>0.11</v>
      </c>
      <c r="N225" s="1">
        <v>1.1481</v>
      </c>
      <c r="O225" s="1">
        <v>124.0</v>
      </c>
      <c r="P225" s="1">
        <v>13084.0</v>
      </c>
      <c r="Q225" s="1">
        <v>0.1056</v>
      </c>
      <c r="R225" s="1">
        <v>15915.0</v>
      </c>
    </row>
    <row r="226">
      <c r="A226" s="663" t="s">
        <v>2173</v>
      </c>
      <c r="B226" s="663" t="s">
        <v>1192</v>
      </c>
      <c r="C226" s="663" t="s">
        <v>54</v>
      </c>
      <c r="D226" s="663" t="s">
        <v>599</v>
      </c>
      <c r="E226" s="664" t="s">
        <v>329</v>
      </c>
      <c r="F226" s="665">
        <v>1174.0</v>
      </c>
      <c r="G226" s="665">
        <v>84.0</v>
      </c>
      <c r="H226" s="665">
        <v>7.16</v>
      </c>
      <c r="I226" s="665">
        <v>0.86</v>
      </c>
      <c r="J226" s="665">
        <v>1.08</v>
      </c>
      <c r="K226" s="665">
        <v>112.0</v>
      </c>
      <c r="L226" s="665">
        <v>13084.0</v>
      </c>
      <c r="M226" s="665">
        <v>0.1</v>
      </c>
      <c r="N226" s="1">
        <v>1.3333</v>
      </c>
      <c r="O226" s="1">
        <v>112.0</v>
      </c>
      <c r="P226" s="1">
        <v>13084.0</v>
      </c>
      <c r="Q226" s="1">
        <v>0.0954</v>
      </c>
      <c r="R226" s="1">
        <v>15915.0</v>
      </c>
    </row>
    <row r="227">
      <c r="A227" s="663" t="s">
        <v>2173</v>
      </c>
      <c r="B227" s="663" t="s">
        <v>1192</v>
      </c>
      <c r="C227" s="663" t="s">
        <v>54</v>
      </c>
      <c r="D227" s="663" t="s">
        <v>599</v>
      </c>
      <c r="E227" s="664" t="s">
        <v>341</v>
      </c>
      <c r="F227" s="665">
        <v>1174.0</v>
      </c>
      <c r="G227" s="665">
        <v>72.0</v>
      </c>
      <c r="H227" s="665">
        <v>6.13</v>
      </c>
      <c r="I227" s="665">
        <v>0.68</v>
      </c>
      <c r="J227" s="665">
        <v>0.98</v>
      </c>
      <c r="K227" s="665">
        <v>89.0</v>
      </c>
      <c r="L227" s="665">
        <v>13084.0</v>
      </c>
      <c r="M227" s="665">
        <v>0.08</v>
      </c>
      <c r="N227" s="1">
        <v>1.2361</v>
      </c>
      <c r="O227" s="1">
        <v>89.0</v>
      </c>
      <c r="P227" s="1">
        <v>13084.0</v>
      </c>
      <c r="Q227" s="1">
        <v>0.0758</v>
      </c>
      <c r="R227" s="1">
        <v>15915.0</v>
      </c>
    </row>
    <row r="228">
      <c r="A228" s="663" t="s">
        <v>2173</v>
      </c>
      <c r="B228" s="663" t="s">
        <v>1192</v>
      </c>
      <c r="C228" s="663" t="s">
        <v>54</v>
      </c>
      <c r="D228" s="663" t="s">
        <v>599</v>
      </c>
      <c r="E228" s="664" t="s">
        <v>338</v>
      </c>
      <c r="F228" s="665">
        <v>1174.0</v>
      </c>
      <c r="G228" s="665">
        <v>69.0</v>
      </c>
      <c r="H228" s="665">
        <v>5.88</v>
      </c>
      <c r="I228" s="665">
        <v>0.63</v>
      </c>
      <c r="J228" s="665">
        <v>0.88</v>
      </c>
      <c r="K228" s="665">
        <v>83.0</v>
      </c>
      <c r="L228" s="665">
        <v>13084.0</v>
      </c>
      <c r="M228" s="665">
        <v>0.07</v>
      </c>
      <c r="N228" s="1">
        <v>1.2029</v>
      </c>
      <c r="O228" s="1">
        <v>83.0</v>
      </c>
      <c r="P228" s="1">
        <v>13084.0</v>
      </c>
      <c r="Q228" s="1">
        <v>0.0707</v>
      </c>
      <c r="R228" s="1">
        <v>15915.0</v>
      </c>
    </row>
    <row r="229">
      <c r="A229" s="663" t="s">
        <v>2173</v>
      </c>
      <c r="B229" s="663" t="s">
        <v>1192</v>
      </c>
      <c r="C229" s="663" t="s">
        <v>54</v>
      </c>
      <c r="D229" s="663" t="s">
        <v>599</v>
      </c>
      <c r="E229" s="664" t="s">
        <v>411</v>
      </c>
      <c r="F229" s="665">
        <v>1174.0</v>
      </c>
      <c r="G229" s="665">
        <v>34.0</v>
      </c>
      <c r="H229" s="665">
        <v>2.9</v>
      </c>
      <c r="I229" s="665">
        <v>0.56</v>
      </c>
      <c r="J229" s="665">
        <v>0.69</v>
      </c>
      <c r="K229" s="665">
        <v>73.0</v>
      </c>
      <c r="L229" s="665">
        <v>13084.0</v>
      </c>
      <c r="M229" s="665">
        <v>0.06</v>
      </c>
      <c r="N229" s="1">
        <v>2.1471</v>
      </c>
      <c r="O229" s="1">
        <v>73.0</v>
      </c>
      <c r="P229" s="1">
        <v>13084.0</v>
      </c>
      <c r="Q229" s="1">
        <v>0.0622</v>
      </c>
      <c r="R229" s="1">
        <v>15915.0</v>
      </c>
    </row>
    <row r="230">
      <c r="A230" s="663" t="s">
        <v>2173</v>
      </c>
      <c r="B230" s="663" t="s">
        <v>1192</v>
      </c>
      <c r="C230" s="663" t="s">
        <v>54</v>
      </c>
      <c r="D230" s="663" t="s">
        <v>599</v>
      </c>
      <c r="E230" s="664" t="s">
        <v>401</v>
      </c>
      <c r="F230" s="665">
        <v>1174.0</v>
      </c>
      <c r="G230" s="665">
        <v>64.0</v>
      </c>
      <c r="H230" s="665">
        <v>5.45</v>
      </c>
      <c r="I230" s="665">
        <v>0.5</v>
      </c>
      <c r="J230" s="665">
        <v>0.26</v>
      </c>
      <c r="K230" s="665">
        <v>65.0</v>
      </c>
      <c r="L230" s="665">
        <v>13084.0</v>
      </c>
      <c r="M230" s="665">
        <v>0.06</v>
      </c>
      <c r="N230" s="1">
        <v>1.0156</v>
      </c>
      <c r="O230" s="1">
        <v>65.0</v>
      </c>
      <c r="P230" s="1">
        <v>13084.0</v>
      </c>
      <c r="Q230" s="1">
        <v>0.0554</v>
      </c>
      <c r="R230" s="1">
        <v>15915.0</v>
      </c>
    </row>
    <row r="231">
      <c r="A231" s="663" t="s">
        <v>2173</v>
      </c>
      <c r="B231" s="663" t="s">
        <v>1192</v>
      </c>
      <c r="C231" s="663" t="s">
        <v>54</v>
      </c>
      <c r="D231" s="663" t="s">
        <v>599</v>
      </c>
      <c r="E231" s="664" t="s">
        <v>206</v>
      </c>
      <c r="F231" s="665">
        <v>1174.0</v>
      </c>
      <c r="G231" s="665">
        <v>41.0</v>
      </c>
      <c r="H231" s="665">
        <v>3.49</v>
      </c>
      <c r="I231" s="665">
        <v>0.32</v>
      </c>
      <c r="J231" s="665">
        <v>0.13</v>
      </c>
      <c r="K231" s="665">
        <v>42.0</v>
      </c>
      <c r="L231" s="665">
        <v>13084.0</v>
      </c>
      <c r="M231" s="665">
        <v>0.04</v>
      </c>
      <c r="N231" s="1">
        <v>1.0244</v>
      </c>
      <c r="O231" s="1">
        <v>42.0</v>
      </c>
      <c r="P231" s="1">
        <v>13084.0</v>
      </c>
      <c r="Q231" s="1">
        <v>0.0358</v>
      </c>
      <c r="R231" s="1">
        <v>15915.0</v>
      </c>
    </row>
    <row r="232">
      <c r="A232" s="663" t="s">
        <v>2173</v>
      </c>
      <c r="B232" s="663" t="s">
        <v>1192</v>
      </c>
      <c r="C232" s="663" t="s">
        <v>54</v>
      </c>
      <c r="D232" s="663" t="s">
        <v>599</v>
      </c>
      <c r="E232" s="664" t="s">
        <v>7</v>
      </c>
      <c r="F232" s="665">
        <v>1174.0</v>
      </c>
      <c r="G232" s="665">
        <v>25.0</v>
      </c>
      <c r="H232" s="665">
        <v>2.13</v>
      </c>
      <c r="I232" s="665">
        <v>0.2</v>
      </c>
      <c r="J232" s="665">
        <v>0.13</v>
      </c>
      <c r="K232" s="665">
        <v>26.0</v>
      </c>
      <c r="L232" s="665">
        <v>13084.0</v>
      </c>
      <c r="M232" s="665">
        <v>0.02</v>
      </c>
      <c r="N232" s="1">
        <v>1.04</v>
      </c>
      <c r="O232" s="1">
        <v>26.0</v>
      </c>
      <c r="P232" s="1">
        <v>13084.0</v>
      </c>
      <c r="Q232" s="1">
        <v>0.0221</v>
      </c>
      <c r="R232" s="1">
        <v>15915.0</v>
      </c>
    </row>
    <row r="233">
      <c r="A233" s="663" t="s">
        <v>2173</v>
      </c>
      <c r="B233" s="663" t="s">
        <v>1192</v>
      </c>
      <c r="C233" s="663" t="s">
        <v>54</v>
      </c>
      <c r="D233" s="663" t="s">
        <v>599</v>
      </c>
      <c r="E233" s="664" t="s">
        <v>418</v>
      </c>
      <c r="F233" s="665">
        <v>1174.0</v>
      </c>
      <c r="G233" s="665">
        <v>2.0</v>
      </c>
      <c r="H233" s="665">
        <v>0.17</v>
      </c>
      <c r="I233" s="665">
        <v>0.02</v>
      </c>
      <c r="J233" s="665">
        <v>0.17</v>
      </c>
      <c r="K233" s="665">
        <v>2.0</v>
      </c>
      <c r="L233" s="665">
        <v>13084.0</v>
      </c>
      <c r="M233" s="665">
        <v>0.0</v>
      </c>
      <c r="N233" s="1">
        <v>1.0</v>
      </c>
      <c r="O233" s="1">
        <v>2.0</v>
      </c>
      <c r="P233" s="1">
        <v>13084.0</v>
      </c>
      <c r="Q233" s="1">
        <v>0.0017</v>
      </c>
      <c r="R233" s="1">
        <v>15915.0</v>
      </c>
    </row>
    <row r="234">
      <c r="A234" s="663" t="s">
        <v>2173</v>
      </c>
      <c r="B234" s="663" t="s">
        <v>1192</v>
      </c>
      <c r="C234" s="663" t="s">
        <v>1205</v>
      </c>
      <c r="D234" s="663" t="s">
        <v>1205</v>
      </c>
      <c r="E234" s="664" t="s">
        <v>398</v>
      </c>
      <c r="F234" s="665">
        <v>3473.0</v>
      </c>
      <c r="G234" s="665">
        <v>327.0</v>
      </c>
      <c r="H234" s="665">
        <v>9.42</v>
      </c>
      <c r="I234" s="665">
        <v>28.33</v>
      </c>
      <c r="J234" s="665">
        <v>3.11</v>
      </c>
      <c r="K234" s="665">
        <v>311700.0</v>
      </c>
      <c r="L234" s="665">
        <v>1100250.55</v>
      </c>
      <c r="M234" s="665">
        <v>89.75</v>
      </c>
      <c r="N234" s="1">
        <v>953.211</v>
      </c>
      <c r="O234" s="1">
        <v>311700.0</v>
      </c>
      <c r="P234" s="1">
        <v>2163195.0</v>
      </c>
      <c r="Q234" s="1">
        <v>89.7495</v>
      </c>
      <c r="R234" s="1">
        <v>15915.0</v>
      </c>
    </row>
    <row r="235">
      <c r="A235" s="663" t="s">
        <v>2173</v>
      </c>
      <c r="B235" s="663" t="s">
        <v>1192</v>
      </c>
      <c r="C235" s="663" t="s">
        <v>1205</v>
      </c>
      <c r="D235" s="663" t="s">
        <v>1205</v>
      </c>
      <c r="E235" s="664" t="s">
        <v>397</v>
      </c>
      <c r="F235" s="665">
        <v>3473.0</v>
      </c>
      <c r="G235" s="665">
        <v>2807.0</v>
      </c>
      <c r="H235" s="665">
        <v>80.82</v>
      </c>
      <c r="I235" s="665">
        <v>14.86</v>
      </c>
      <c r="J235" s="665">
        <v>47.54</v>
      </c>
      <c r="K235" s="665">
        <v>163475.0</v>
      </c>
      <c r="L235" s="665">
        <v>1100250.55</v>
      </c>
      <c r="M235" s="665">
        <v>47.07</v>
      </c>
      <c r="N235" s="1">
        <v>58.2383</v>
      </c>
      <c r="O235" s="1">
        <v>163475.0</v>
      </c>
      <c r="P235" s="1">
        <v>2163195.0</v>
      </c>
      <c r="Q235" s="1">
        <v>47.0703</v>
      </c>
      <c r="R235" s="1">
        <v>15915.0</v>
      </c>
    </row>
    <row r="236">
      <c r="A236" s="663" t="s">
        <v>2173</v>
      </c>
      <c r="B236" s="663" t="s">
        <v>1192</v>
      </c>
      <c r="C236" s="663" t="s">
        <v>1205</v>
      </c>
      <c r="D236" s="663" t="s">
        <v>1205</v>
      </c>
      <c r="E236" s="664" t="s">
        <v>15</v>
      </c>
      <c r="F236" s="665">
        <v>3473.0</v>
      </c>
      <c r="G236" s="665">
        <v>759.0</v>
      </c>
      <c r="H236" s="665">
        <v>21.85</v>
      </c>
      <c r="I236" s="665">
        <v>12.49</v>
      </c>
      <c r="J236" s="665">
        <v>9.74</v>
      </c>
      <c r="K236" s="665">
        <v>137370.0</v>
      </c>
      <c r="L236" s="665">
        <v>1100250.55</v>
      </c>
      <c r="M236" s="665">
        <v>39.55</v>
      </c>
      <c r="N236" s="1">
        <v>180.9881</v>
      </c>
      <c r="O236" s="1">
        <v>137370.0</v>
      </c>
      <c r="P236" s="1">
        <v>2163195.0</v>
      </c>
      <c r="Q236" s="1">
        <v>39.5537</v>
      </c>
      <c r="R236" s="1">
        <v>15915.0</v>
      </c>
    </row>
    <row r="237">
      <c r="A237" s="663" t="s">
        <v>2173</v>
      </c>
      <c r="B237" s="663" t="s">
        <v>1192</v>
      </c>
      <c r="C237" s="663" t="s">
        <v>1205</v>
      </c>
      <c r="D237" s="663" t="s">
        <v>1205</v>
      </c>
      <c r="E237" s="664" t="s">
        <v>393</v>
      </c>
      <c r="F237" s="665">
        <v>3473.0</v>
      </c>
      <c r="G237" s="665">
        <v>963.0</v>
      </c>
      <c r="H237" s="665">
        <v>27.73</v>
      </c>
      <c r="I237" s="665">
        <v>6.65</v>
      </c>
      <c r="J237" s="665">
        <v>10.08</v>
      </c>
      <c r="K237" s="665">
        <v>73125.0</v>
      </c>
      <c r="L237" s="665">
        <v>1100250.55</v>
      </c>
      <c r="M237" s="665">
        <v>21.06</v>
      </c>
      <c r="N237" s="1">
        <v>75.9346</v>
      </c>
      <c r="O237" s="1">
        <v>73125.0</v>
      </c>
      <c r="P237" s="1">
        <v>2163195.0</v>
      </c>
      <c r="Q237" s="1">
        <v>21.0553</v>
      </c>
      <c r="R237" s="1">
        <v>15915.0</v>
      </c>
    </row>
    <row r="238">
      <c r="A238" s="663" t="s">
        <v>2173</v>
      </c>
      <c r="B238" s="663" t="s">
        <v>1192</v>
      </c>
      <c r="C238" s="663" t="s">
        <v>1205</v>
      </c>
      <c r="D238" s="663" t="s">
        <v>1205</v>
      </c>
      <c r="E238" s="664" t="s">
        <v>63</v>
      </c>
      <c r="F238" s="665">
        <v>3473.0</v>
      </c>
      <c r="G238" s="665">
        <v>322.0</v>
      </c>
      <c r="H238" s="665">
        <v>9.27</v>
      </c>
      <c r="I238" s="665">
        <v>4.26</v>
      </c>
      <c r="J238" s="665">
        <v>1.92</v>
      </c>
      <c r="K238" s="665">
        <v>46875.0</v>
      </c>
      <c r="L238" s="665">
        <v>1100250.55</v>
      </c>
      <c r="M238" s="665">
        <v>13.5</v>
      </c>
      <c r="N238" s="1">
        <v>145.5745</v>
      </c>
      <c r="O238" s="1">
        <v>46875.0</v>
      </c>
      <c r="P238" s="1">
        <v>2163195.0</v>
      </c>
      <c r="Q238" s="1">
        <v>13.497</v>
      </c>
      <c r="R238" s="1">
        <v>15915.0</v>
      </c>
    </row>
    <row r="239">
      <c r="A239" s="663" t="s">
        <v>2173</v>
      </c>
      <c r="B239" s="663" t="s">
        <v>1192</v>
      </c>
      <c r="C239" s="663" t="s">
        <v>1205</v>
      </c>
      <c r="D239" s="663" t="s">
        <v>1205</v>
      </c>
      <c r="E239" s="664" t="s">
        <v>42</v>
      </c>
      <c r="F239" s="665">
        <v>3473.0</v>
      </c>
      <c r="G239" s="665">
        <v>325.0</v>
      </c>
      <c r="H239" s="665">
        <v>9.36</v>
      </c>
      <c r="I239" s="665">
        <v>4.24</v>
      </c>
      <c r="J239" s="665">
        <v>1.28</v>
      </c>
      <c r="K239" s="665">
        <v>46675.0</v>
      </c>
      <c r="L239" s="665">
        <v>1100250.55</v>
      </c>
      <c r="M239" s="665">
        <v>13.44</v>
      </c>
      <c r="N239" s="1">
        <v>143.6154</v>
      </c>
      <c r="O239" s="1">
        <v>46675.0</v>
      </c>
      <c r="P239" s="1">
        <v>2163195.0</v>
      </c>
      <c r="Q239" s="1">
        <v>13.4394</v>
      </c>
      <c r="R239" s="1">
        <v>15915.0</v>
      </c>
    </row>
    <row r="240">
      <c r="A240" s="663" t="s">
        <v>2173</v>
      </c>
      <c r="B240" s="663" t="s">
        <v>1192</v>
      </c>
      <c r="C240" s="663" t="s">
        <v>1205</v>
      </c>
      <c r="D240" s="663" t="s">
        <v>1205</v>
      </c>
      <c r="E240" s="664" t="s">
        <v>16</v>
      </c>
      <c r="F240" s="665">
        <v>3473.0</v>
      </c>
      <c r="G240" s="665">
        <v>595.0</v>
      </c>
      <c r="H240" s="665">
        <v>17.13</v>
      </c>
      <c r="I240" s="665">
        <v>4.15</v>
      </c>
      <c r="J240" s="665">
        <v>10.38</v>
      </c>
      <c r="K240" s="665">
        <v>45675.0</v>
      </c>
      <c r="L240" s="665">
        <v>1100250.55</v>
      </c>
      <c r="M240" s="665">
        <v>13.15</v>
      </c>
      <c r="N240" s="1">
        <v>76.7647</v>
      </c>
      <c r="O240" s="1">
        <v>45675.0</v>
      </c>
      <c r="P240" s="1">
        <v>2163195.0</v>
      </c>
      <c r="Q240" s="1">
        <v>13.1515</v>
      </c>
      <c r="R240" s="1">
        <v>15915.0</v>
      </c>
    </row>
    <row r="241">
      <c r="A241" s="663" t="s">
        <v>2173</v>
      </c>
      <c r="B241" s="663" t="s">
        <v>1192</v>
      </c>
      <c r="C241" s="663" t="s">
        <v>1205</v>
      </c>
      <c r="D241" s="663" t="s">
        <v>1205</v>
      </c>
      <c r="E241" s="664" t="s">
        <v>14</v>
      </c>
      <c r="F241" s="665">
        <v>3473.0</v>
      </c>
      <c r="G241" s="665">
        <v>357.0</v>
      </c>
      <c r="H241" s="665">
        <v>10.28</v>
      </c>
      <c r="I241" s="665">
        <v>3.66</v>
      </c>
      <c r="J241" s="665">
        <v>1.54</v>
      </c>
      <c r="K241" s="665">
        <v>40315.55</v>
      </c>
      <c r="L241" s="665">
        <v>1100250.55</v>
      </c>
      <c r="M241" s="665">
        <v>11.61</v>
      </c>
      <c r="N241" s="1">
        <v>112.9287</v>
      </c>
      <c r="O241" s="1">
        <v>1103260.0</v>
      </c>
      <c r="P241" s="1">
        <v>2163195.0</v>
      </c>
      <c r="Q241" s="1">
        <v>317.6677</v>
      </c>
      <c r="R241" s="1">
        <v>15915.0</v>
      </c>
    </row>
    <row r="242">
      <c r="A242" s="663" t="s">
        <v>2173</v>
      </c>
      <c r="B242" s="663" t="s">
        <v>1192</v>
      </c>
      <c r="C242" s="663" t="s">
        <v>1205</v>
      </c>
      <c r="D242" s="663" t="s">
        <v>1205</v>
      </c>
      <c r="E242" s="664" t="s">
        <v>329</v>
      </c>
      <c r="F242" s="665">
        <v>3473.0</v>
      </c>
      <c r="G242" s="665">
        <v>178.0</v>
      </c>
      <c r="H242" s="665">
        <v>5.13</v>
      </c>
      <c r="I242" s="665">
        <v>3.06</v>
      </c>
      <c r="J242" s="665">
        <v>0.73</v>
      </c>
      <c r="K242" s="665">
        <v>33650.0</v>
      </c>
      <c r="L242" s="665">
        <v>1100250.55</v>
      </c>
      <c r="M242" s="665">
        <v>9.69</v>
      </c>
      <c r="N242" s="1">
        <v>189.0449</v>
      </c>
      <c r="O242" s="1">
        <v>33650.0</v>
      </c>
      <c r="P242" s="1">
        <v>2163195.0</v>
      </c>
      <c r="Q242" s="1">
        <v>9.689</v>
      </c>
      <c r="R242" s="1">
        <v>15915.0</v>
      </c>
    </row>
    <row r="243">
      <c r="A243" s="663" t="s">
        <v>2173</v>
      </c>
      <c r="B243" s="663" t="s">
        <v>1192</v>
      </c>
      <c r="C243" s="663" t="s">
        <v>1205</v>
      </c>
      <c r="D243" s="663" t="s">
        <v>1205</v>
      </c>
      <c r="E243" s="664" t="s">
        <v>413</v>
      </c>
      <c r="F243" s="665">
        <v>3473.0</v>
      </c>
      <c r="G243" s="665">
        <v>554.0</v>
      </c>
      <c r="H243" s="665">
        <v>15.95</v>
      </c>
      <c r="I243" s="665">
        <v>2.83</v>
      </c>
      <c r="J243" s="665">
        <v>4.86</v>
      </c>
      <c r="K243" s="665">
        <v>31085.0</v>
      </c>
      <c r="L243" s="665">
        <v>1100250.55</v>
      </c>
      <c r="M243" s="665">
        <v>8.95</v>
      </c>
      <c r="N243" s="1">
        <v>56.1101</v>
      </c>
      <c r="O243" s="1">
        <v>31085.0</v>
      </c>
      <c r="P243" s="1">
        <v>2163195.0</v>
      </c>
      <c r="Q243" s="1">
        <v>8.9505</v>
      </c>
      <c r="R243" s="1">
        <v>15915.0</v>
      </c>
    </row>
    <row r="244">
      <c r="A244" s="663" t="s">
        <v>2173</v>
      </c>
      <c r="B244" s="663" t="s">
        <v>1192</v>
      </c>
      <c r="C244" s="663" t="s">
        <v>1205</v>
      </c>
      <c r="D244" s="663" t="s">
        <v>1205</v>
      </c>
      <c r="E244" s="664" t="s">
        <v>396</v>
      </c>
      <c r="F244" s="665">
        <v>3473.0</v>
      </c>
      <c r="G244" s="665">
        <v>276.0</v>
      </c>
      <c r="H244" s="665">
        <v>7.95</v>
      </c>
      <c r="I244" s="665">
        <v>2.71</v>
      </c>
      <c r="J244" s="665">
        <v>0.63</v>
      </c>
      <c r="K244" s="665">
        <v>29800.0</v>
      </c>
      <c r="L244" s="665">
        <v>1100250.55</v>
      </c>
      <c r="M244" s="665">
        <v>8.58</v>
      </c>
      <c r="N244" s="1">
        <v>107.971</v>
      </c>
      <c r="O244" s="1">
        <v>29800.0</v>
      </c>
      <c r="P244" s="1">
        <v>2163195.0</v>
      </c>
      <c r="Q244" s="1">
        <v>8.5805</v>
      </c>
      <c r="R244" s="1">
        <v>15915.0</v>
      </c>
    </row>
    <row r="245">
      <c r="A245" s="663" t="s">
        <v>2173</v>
      </c>
      <c r="B245" s="663" t="s">
        <v>1192</v>
      </c>
      <c r="C245" s="663" t="s">
        <v>1205</v>
      </c>
      <c r="D245" s="663" t="s">
        <v>1205</v>
      </c>
      <c r="E245" s="664" t="s">
        <v>341</v>
      </c>
      <c r="F245" s="665">
        <v>3473.0</v>
      </c>
      <c r="G245" s="665">
        <v>160.0</v>
      </c>
      <c r="H245" s="665">
        <v>4.61</v>
      </c>
      <c r="I245" s="665">
        <v>2.5</v>
      </c>
      <c r="J245" s="665">
        <v>0.92</v>
      </c>
      <c r="K245" s="665">
        <v>27550.0</v>
      </c>
      <c r="L245" s="665">
        <v>1100250.55</v>
      </c>
      <c r="M245" s="665">
        <v>7.93</v>
      </c>
      <c r="N245" s="1">
        <v>172.1875</v>
      </c>
      <c r="O245" s="1">
        <v>27550.0</v>
      </c>
      <c r="P245" s="1">
        <v>2163195.0</v>
      </c>
      <c r="Q245" s="1">
        <v>7.9326</v>
      </c>
      <c r="R245" s="1">
        <v>15915.0</v>
      </c>
    </row>
    <row r="246">
      <c r="A246" s="663" t="s">
        <v>2173</v>
      </c>
      <c r="B246" s="663" t="s">
        <v>1192</v>
      </c>
      <c r="C246" s="663" t="s">
        <v>1205</v>
      </c>
      <c r="D246" s="663" t="s">
        <v>1205</v>
      </c>
      <c r="E246" s="664" t="s">
        <v>338</v>
      </c>
      <c r="F246" s="665">
        <v>3473.0</v>
      </c>
      <c r="G246" s="665">
        <v>163.0</v>
      </c>
      <c r="H246" s="665">
        <v>4.69</v>
      </c>
      <c r="I246" s="665">
        <v>2.44</v>
      </c>
      <c r="J246" s="665">
        <v>0.76</v>
      </c>
      <c r="K246" s="665">
        <v>26850.0</v>
      </c>
      <c r="L246" s="665">
        <v>1100250.55</v>
      </c>
      <c r="M246" s="665">
        <v>7.73</v>
      </c>
      <c r="N246" s="1">
        <v>164.7239</v>
      </c>
      <c r="O246" s="1">
        <v>26850.0</v>
      </c>
      <c r="P246" s="1">
        <v>2163195.0</v>
      </c>
      <c r="Q246" s="1">
        <v>7.7311</v>
      </c>
      <c r="R246" s="1">
        <v>15915.0</v>
      </c>
    </row>
    <row r="247">
      <c r="A247" s="663" t="s">
        <v>2173</v>
      </c>
      <c r="B247" s="663" t="s">
        <v>1192</v>
      </c>
      <c r="C247" s="663" t="s">
        <v>1205</v>
      </c>
      <c r="D247" s="663" t="s">
        <v>1205</v>
      </c>
      <c r="E247" s="664" t="s">
        <v>9</v>
      </c>
      <c r="F247" s="665">
        <v>3473.0</v>
      </c>
      <c r="G247" s="665">
        <v>420.0</v>
      </c>
      <c r="H247" s="665">
        <v>12.09</v>
      </c>
      <c r="I247" s="665">
        <v>1.97</v>
      </c>
      <c r="J247" s="665">
        <v>1.65</v>
      </c>
      <c r="K247" s="665">
        <v>21690.0</v>
      </c>
      <c r="L247" s="665">
        <v>1100250.55</v>
      </c>
      <c r="M247" s="665">
        <v>6.25</v>
      </c>
      <c r="N247" s="1">
        <v>51.6429</v>
      </c>
      <c r="O247" s="1">
        <v>21690.0</v>
      </c>
      <c r="P247" s="1">
        <v>2163195.0</v>
      </c>
      <c r="Q247" s="1">
        <v>6.2453</v>
      </c>
      <c r="R247" s="1">
        <v>15915.0</v>
      </c>
    </row>
    <row r="248">
      <c r="A248" s="663" t="s">
        <v>2173</v>
      </c>
      <c r="B248" s="663" t="s">
        <v>1192</v>
      </c>
      <c r="C248" s="663" t="s">
        <v>1205</v>
      </c>
      <c r="D248" s="663" t="s">
        <v>1205</v>
      </c>
      <c r="E248" s="664" t="s">
        <v>7</v>
      </c>
      <c r="F248" s="665">
        <v>3473.0</v>
      </c>
      <c r="G248" s="665">
        <v>90.0</v>
      </c>
      <c r="H248" s="665">
        <v>2.59</v>
      </c>
      <c r="I248" s="665">
        <v>1.62</v>
      </c>
      <c r="J248" s="665">
        <v>0.29</v>
      </c>
      <c r="K248" s="665">
        <v>17800.0</v>
      </c>
      <c r="L248" s="665">
        <v>1100250.55</v>
      </c>
      <c r="M248" s="665">
        <v>5.13</v>
      </c>
      <c r="N248" s="1">
        <v>197.7778</v>
      </c>
      <c r="O248" s="1">
        <v>17800.0</v>
      </c>
      <c r="P248" s="1">
        <v>2163195.0</v>
      </c>
      <c r="Q248" s="1">
        <v>5.1253</v>
      </c>
      <c r="R248" s="1">
        <v>15915.0</v>
      </c>
    </row>
    <row r="249">
      <c r="A249" s="663" t="s">
        <v>2173</v>
      </c>
      <c r="B249" s="663" t="s">
        <v>1192</v>
      </c>
      <c r="C249" s="663" t="s">
        <v>1205</v>
      </c>
      <c r="D249" s="663" t="s">
        <v>1205</v>
      </c>
      <c r="E249" s="664" t="s">
        <v>411</v>
      </c>
      <c r="F249" s="665">
        <v>3473.0</v>
      </c>
      <c r="G249" s="665">
        <v>806.0</v>
      </c>
      <c r="H249" s="665">
        <v>23.21</v>
      </c>
      <c r="I249" s="665">
        <v>1.36</v>
      </c>
      <c r="J249" s="665">
        <v>3.41</v>
      </c>
      <c r="K249" s="665">
        <v>15005.0</v>
      </c>
      <c r="L249" s="665">
        <v>1100250.55</v>
      </c>
      <c r="M249" s="665">
        <v>4.32</v>
      </c>
      <c r="N249" s="1">
        <v>18.6166</v>
      </c>
      <c r="O249" s="1">
        <v>15005.0</v>
      </c>
      <c r="P249" s="1">
        <v>2163195.0</v>
      </c>
      <c r="Q249" s="1">
        <v>4.3205</v>
      </c>
      <c r="R249" s="1">
        <v>15915.0</v>
      </c>
    </row>
    <row r="250">
      <c r="A250" s="663" t="s">
        <v>2173</v>
      </c>
      <c r="B250" s="663" t="s">
        <v>1192</v>
      </c>
      <c r="C250" s="663" t="s">
        <v>1205</v>
      </c>
      <c r="D250" s="663" t="s">
        <v>1205</v>
      </c>
      <c r="E250" s="664" t="s">
        <v>401</v>
      </c>
      <c r="F250" s="665">
        <v>3473.0</v>
      </c>
      <c r="G250" s="665">
        <v>222.0</v>
      </c>
      <c r="H250" s="665">
        <v>6.39</v>
      </c>
      <c r="I250" s="665">
        <v>1.07</v>
      </c>
      <c r="J250" s="665">
        <v>0.42</v>
      </c>
      <c r="K250" s="665">
        <v>11800.0</v>
      </c>
      <c r="L250" s="665">
        <v>1100250.55</v>
      </c>
      <c r="M250" s="665">
        <v>3.4</v>
      </c>
      <c r="N250" s="1">
        <v>53.1532</v>
      </c>
      <c r="O250" s="1">
        <v>11800.0</v>
      </c>
      <c r="P250" s="1">
        <v>2163195.0</v>
      </c>
      <c r="Q250" s="1">
        <v>3.3976</v>
      </c>
      <c r="R250" s="1">
        <v>15915.0</v>
      </c>
    </row>
    <row r="251">
      <c r="A251" s="663" t="s">
        <v>2173</v>
      </c>
      <c r="B251" s="663" t="s">
        <v>1192</v>
      </c>
      <c r="C251" s="663" t="s">
        <v>1205</v>
      </c>
      <c r="D251" s="663" t="s">
        <v>1205</v>
      </c>
      <c r="E251" s="664" t="s">
        <v>206</v>
      </c>
      <c r="F251" s="665">
        <v>3473.0</v>
      </c>
      <c r="G251" s="665">
        <v>222.0</v>
      </c>
      <c r="H251" s="665">
        <v>6.39</v>
      </c>
      <c r="I251" s="665">
        <v>0.96</v>
      </c>
      <c r="J251" s="665">
        <v>0.23</v>
      </c>
      <c r="K251" s="665">
        <v>10525.0</v>
      </c>
      <c r="L251" s="665">
        <v>1100250.55</v>
      </c>
      <c r="M251" s="665">
        <v>3.03</v>
      </c>
      <c r="N251" s="1">
        <v>47.4099</v>
      </c>
      <c r="O251" s="1">
        <v>10525.0</v>
      </c>
      <c r="P251" s="1">
        <v>2163195.0</v>
      </c>
      <c r="Q251" s="1">
        <v>3.0305</v>
      </c>
      <c r="R251" s="1">
        <v>15915.0</v>
      </c>
    </row>
    <row r="252">
      <c r="A252" s="663" t="s">
        <v>2173</v>
      </c>
      <c r="B252" s="663" t="s">
        <v>1192</v>
      </c>
      <c r="C252" s="663" t="s">
        <v>1205</v>
      </c>
      <c r="D252" s="663" t="s">
        <v>1205</v>
      </c>
      <c r="E252" s="664" t="s">
        <v>73</v>
      </c>
      <c r="F252" s="665">
        <v>3473.0</v>
      </c>
      <c r="G252" s="665">
        <v>165.0</v>
      </c>
      <c r="H252" s="665">
        <v>4.75</v>
      </c>
      <c r="I252" s="665">
        <v>0.78</v>
      </c>
      <c r="J252" s="665">
        <v>0.1</v>
      </c>
      <c r="K252" s="665">
        <v>8550.0</v>
      </c>
      <c r="L252" s="665">
        <v>1100250.55</v>
      </c>
      <c r="M252" s="665">
        <v>2.46</v>
      </c>
      <c r="N252" s="1">
        <v>51.8182</v>
      </c>
      <c r="O252" s="1">
        <v>8550.0</v>
      </c>
      <c r="P252" s="1">
        <v>2163195.0</v>
      </c>
      <c r="Q252" s="1">
        <v>2.4618</v>
      </c>
      <c r="R252" s="1">
        <v>15915.0</v>
      </c>
    </row>
    <row r="253">
      <c r="A253" s="663" t="s">
        <v>2173</v>
      </c>
      <c r="B253" s="663" t="s">
        <v>1192</v>
      </c>
      <c r="C253" s="663" t="s">
        <v>1205</v>
      </c>
      <c r="D253" s="663" t="s">
        <v>1205</v>
      </c>
      <c r="E253" s="664" t="s">
        <v>418</v>
      </c>
      <c r="F253" s="665">
        <v>3473.0</v>
      </c>
      <c r="G253" s="665">
        <v>37.0</v>
      </c>
      <c r="H253" s="665">
        <v>1.07</v>
      </c>
      <c r="I253" s="665">
        <v>0.06</v>
      </c>
      <c r="J253" s="665">
        <v>0.4</v>
      </c>
      <c r="K253" s="665">
        <v>685.0</v>
      </c>
      <c r="L253" s="665">
        <v>1100250.55</v>
      </c>
      <c r="M253" s="665">
        <v>0.2</v>
      </c>
      <c r="N253" s="1">
        <v>18.5135</v>
      </c>
      <c r="O253" s="1">
        <v>685.0</v>
      </c>
      <c r="P253" s="1">
        <v>2163195.0</v>
      </c>
      <c r="Q253" s="1">
        <v>0.1972</v>
      </c>
      <c r="R253" s="1">
        <v>15915.0</v>
      </c>
    </row>
    <row r="254">
      <c r="A254" s="663" t="s">
        <v>2173</v>
      </c>
      <c r="B254" s="663" t="s">
        <v>1192</v>
      </c>
      <c r="C254" s="663" t="s">
        <v>1205</v>
      </c>
      <c r="D254" s="663" t="s">
        <v>1205</v>
      </c>
      <c r="E254" s="664" t="s">
        <v>151</v>
      </c>
      <c r="F254" s="665">
        <v>3473.0</v>
      </c>
      <c r="G254" s="665">
        <v>1.0</v>
      </c>
      <c r="H254" s="665">
        <v>0.03</v>
      </c>
      <c r="I254" s="665">
        <v>0.0</v>
      </c>
      <c r="J254" s="665">
        <v>0.0</v>
      </c>
      <c r="K254" s="665">
        <v>50.0</v>
      </c>
      <c r="L254" s="665">
        <v>1100250.55</v>
      </c>
      <c r="M254" s="665">
        <v>0.01</v>
      </c>
      <c r="N254" s="1">
        <v>50.0</v>
      </c>
      <c r="O254" s="1">
        <v>50.0</v>
      </c>
      <c r="P254" s="1">
        <v>2163195.0</v>
      </c>
      <c r="Q254" s="1">
        <v>0.0144</v>
      </c>
      <c r="R254" s="1">
        <v>15915.0</v>
      </c>
    </row>
    <row r="255">
      <c r="A255" s="663" t="s">
        <v>2173</v>
      </c>
      <c r="B255" s="663" t="s">
        <v>1192</v>
      </c>
      <c r="C255" s="663" t="s">
        <v>47</v>
      </c>
      <c r="D255" s="663" t="s">
        <v>599</v>
      </c>
      <c r="E255" s="664" t="s">
        <v>411</v>
      </c>
      <c r="F255" s="665">
        <v>1805.0</v>
      </c>
      <c r="G255" s="665">
        <v>1028.0</v>
      </c>
      <c r="H255" s="665">
        <v>56.95</v>
      </c>
      <c r="I255" s="665">
        <v>24.8</v>
      </c>
      <c r="J255" s="665">
        <v>36.86</v>
      </c>
      <c r="K255" s="665">
        <v>1674.0</v>
      </c>
      <c r="L255" s="665">
        <v>6750.0</v>
      </c>
      <c r="M255" s="665">
        <v>0.93</v>
      </c>
      <c r="N255" s="1">
        <v>1.6284</v>
      </c>
      <c r="O255" s="1">
        <v>1674.0</v>
      </c>
      <c r="P255" s="1">
        <v>6750.0</v>
      </c>
      <c r="Q255" s="1">
        <v>0.9274</v>
      </c>
      <c r="R255" s="1">
        <v>15915.0</v>
      </c>
    </row>
    <row r="256">
      <c r="A256" s="663" t="s">
        <v>2173</v>
      </c>
      <c r="B256" s="663" t="s">
        <v>1192</v>
      </c>
      <c r="C256" s="663" t="s">
        <v>47</v>
      </c>
      <c r="D256" s="663" t="s">
        <v>599</v>
      </c>
      <c r="E256" s="664" t="s">
        <v>398</v>
      </c>
      <c r="F256" s="665">
        <v>1805.0</v>
      </c>
      <c r="G256" s="665">
        <v>289.0</v>
      </c>
      <c r="H256" s="665">
        <v>16.01</v>
      </c>
      <c r="I256" s="665">
        <v>18.12</v>
      </c>
      <c r="J256" s="665">
        <v>4.97</v>
      </c>
      <c r="K256" s="665">
        <v>1223.0</v>
      </c>
      <c r="L256" s="665">
        <v>6750.0</v>
      </c>
      <c r="M256" s="665">
        <v>0.68</v>
      </c>
      <c r="N256" s="1">
        <v>4.2318</v>
      </c>
      <c r="O256" s="1">
        <v>1223.0</v>
      </c>
      <c r="P256" s="1">
        <v>6750.0</v>
      </c>
      <c r="Q256" s="1">
        <v>0.6776</v>
      </c>
      <c r="R256" s="1">
        <v>15915.0</v>
      </c>
    </row>
    <row r="257">
      <c r="A257" s="663" t="s">
        <v>2173</v>
      </c>
      <c r="B257" s="663" t="s">
        <v>1192</v>
      </c>
      <c r="C257" s="663" t="s">
        <v>47</v>
      </c>
      <c r="D257" s="663" t="s">
        <v>599</v>
      </c>
      <c r="E257" s="664" t="s">
        <v>14</v>
      </c>
      <c r="F257" s="665">
        <v>1805.0</v>
      </c>
      <c r="G257" s="665">
        <v>268.0</v>
      </c>
      <c r="H257" s="665">
        <v>14.85</v>
      </c>
      <c r="I257" s="665">
        <v>10.92</v>
      </c>
      <c r="J257" s="665">
        <v>5.97</v>
      </c>
      <c r="K257" s="665">
        <v>737.0</v>
      </c>
      <c r="L257" s="665">
        <v>6750.0</v>
      </c>
      <c r="M257" s="665">
        <v>0.41</v>
      </c>
      <c r="N257" s="1">
        <v>2.75</v>
      </c>
      <c r="O257" s="1">
        <v>737.0</v>
      </c>
      <c r="P257" s="1">
        <v>6750.0</v>
      </c>
      <c r="Q257" s="1">
        <v>0.4083</v>
      </c>
      <c r="R257" s="1">
        <v>15915.0</v>
      </c>
    </row>
    <row r="258">
      <c r="A258" s="663" t="s">
        <v>2173</v>
      </c>
      <c r="B258" s="663" t="s">
        <v>1192</v>
      </c>
      <c r="C258" s="663" t="s">
        <v>47</v>
      </c>
      <c r="D258" s="663" t="s">
        <v>599</v>
      </c>
      <c r="E258" s="664" t="s">
        <v>9</v>
      </c>
      <c r="F258" s="665">
        <v>1805.0</v>
      </c>
      <c r="G258" s="665">
        <v>541.0</v>
      </c>
      <c r="H258" s="665">
        <v>29.97</v>
      </c>
      <c r="I258" s="665">
        <v>10.71</v>
      </c>
      <c r="J258" s="665">
        <v>15.7</v>
      </c>
      <c r="K258" s="665">
        <v>723.0</v>
      </c>
      <c r="L258" s="665">
        <v>6750.0</v>
      </c>
      <c r="M258" s="665">
        <v>0.4</v>
      </c>
      <c r="N258" s="1">
        <v>1.3364</v>
      </c>
      <c r="O258" s="1">
        <v>723.0</v>
      </c>
      <c r="P258" s="1">
        <v>6750.0</v>
      </c>
      <c r="Q258" s="1">
        <v>0.4006</v>
      </c>
      <c r="R258" s="1">
        <v>15915.0</v>
      </c>
    </row>
    <row r="259">
      <c r="A259" s="663" t="s">
        <v>2173</v>
      </c>
      <c r="B259" s="663" t="s">
        <v>1192</v>
      </c>
      <c r="C259" s="663" t="s">
        <v>47</v>
      </c>
      <c r="D259" s="663" t="s">
        <v>599</v>
      </c>
      <c r="E259" s="664" t="s">
        <v>413</v>
      </c>
      <c r="F259" s="665">
        <v>1805.0</v>
      </c>
      <c r="G259" s="665">
        <v>360.0</v>
      </c>
      <c r="H259" s="665">
        <v>19.94</v>
      </c>
      <c r="I259" s="665">
        <v>9.35</v>
      </c>
      <c r="J259" s="665">
        <v>10.55</v>
      </c>
      <c r="K259" s="665">
        <v>631.0</v>
      </c>
      <c r="L259" s="665">
        <v>6750.0</v>
      </c>
      <c r="M259" s="665">
        <v>0.35</v>
      </c>
      <c r="N259" s="1">
        <v>1.7528</v>
      </c>
      <c r="O259" s="1">
        <v>631.0</v>
      </c>
      <c r="P259" s="1">
        <v>6750.0</v>
      </c>
      <c r="Q259" s="1">
        <v>0.3496</v>
      </c>
      <c r="R259" s="1">
        <v>15915.0</v>
      </c>
    </row>
    <row r="260">
      <c r="A260" s="663" t="s">
        <v>2173</v>
      </c>
      <c r="B260" s="663" t="s">
        <v>1192</v>
      </c>
      <c r="C260" s="663" t="s">
        <v>47</v>
      </c>
      <c r="D260" s="663" t="s">
        <v>599</v>
      </c>
      <c r="E260" s="664" t="s">
        <v>51</v>
      </c>
      <c r="F260" s="665">
        <v>1805.0</v>
      </c>
      <c r="G260" s="665">
        <v>260.0</v>
      </c>
      <c r="H260" s="665">
        <v>14.4</v>
      </c>
      <c r="I260" s="665">
        <v>7.59</v>
      </c>
      <c r="J260" s="665">
        <v>4.55</v>
      </c>
      <c r="K260" s="665">
        <v>512.0</v>
      </c>
      <c r="L260" s="665">
        <v>6750.0</v>
      </c>
      <c r="M260" s="665">
        <v>0.28</v>
      </c>
      <c r="N260" s="1">
        <v>1.9692</v>
      </c>
      <c r="O260" s="1">
        <v>512.0</v>
      </c>
      <c r="P260" s="1">
        <v>6750.0</v>
      </c>
      <c r="Q260" s="1">
        <v>0.2837</v>
      </c>
      <c r="R260" s="1">
        <v>15915.0</v>
      </c>
    </row>
    <row r="261">
      <c r="A261" s="663" t="s">
        <v>2173</v>
      </c>
      <c r="B261" s="663" t="s">
        <v>1192</v>
      </c>
      <c r="C261" s="663" t="s">
        <v>47</v>
      </c>
      <c r="D261" s="663" t="s">
        <v>599</v>
      </c>
      <c r="E261" s="664" t="s">
        <v>63</v>
      </c>
      <c r="F261" s="665">
        <v>1805.0</v>
      </c>
      <c r="G261" s="665">
        <v>402.0</v>
      </c>
      <c r="H261" s="665">
        <v>22.27</v>
      </c>
      <c r="I261" s="665">
        <v>7.04</v>
      </c>
      <c r="J261" s="665">
        <v>13.75</v>
      </c>
      <c r="K261" s="665">
        <v>475.0</v>
      </c>
      <c r="L261" s="665">
        <v>6750.0</v>
      </c>
      <c r="M261" s="665">
        <v>0.26</v>
      </c>
      <c r="N261" s="1">
        <v>1.1816</v>
      </c>
      <c r="O261" s="1">
        <v>475.0</v>
      </c>
      <c r="P261" s="1">
        <v>6750.0</v>
      </c>
      <c r="Q261" s="1">
        <v>0.2632</v>
      </c>
      <c r="R261" s="1">
        <v>15915.0</v>
      </c>
    </row>
    <row r="262">
      <c r="A262" s="663" t="s">
        <v>2173</v>
      </c>
      <c r="B262" s="663" t="s">
        <v>1192</v>
      </c>
      <c r="C262" s="663" t="s">
        <v>47</v>
      </c>
      <c r="D262" s="663" t="s">
        <v>599</v>
      </c>
      <c r="E262" s="664" t="s">
        <v>206</v>
      </c>
      <c r="F262" s="665">
        <v>1805.0</v>
      </c>
      <c r="G262" s="665">
        <v>181.0</v>
      </c>
      <c r="H262" s="665">
        <v>10.03</v>
      </c>
      <c r="I262" s="665">
        <v>2.79</v>
      </c>
      <c r="J262" s="665">
        <v>0.74</v>
      </c>
      <c r="K262" s="665">
        <v>188.0</v>
      </c>
      <c r="L262" s="665">
        <v>6750.0</v>
      </c>
      <c r="M262" s="665">
        <v>0.1</v>
      </c>
      <c r="N262" s="1">
        <v>1.0387</v>
      </c>
      <c r="O262" s="1">
        <v>188.0</v>
      </c>
      <c r="P262" s="1">
        <v>6750.0</v>
      </c>
      <c r="Q262" s="1">
        <v>0.1042</v>
      </c>
      <c r="R262" s="1">
        <v>15915.0</v>
      </c>
    </row>
    <row r="263">
      <c r="A263" s="663" t="s">
        <v>2173</v>
      </c>
      <c r="B263" s="663" t="s">
        <v>1192</v>
      </c>
      <c r="C263" s="663" t="s">
        <v>47</v>
      </c>
      <c r="D263" s="663" t="s">
        <v>599</v>
      </c>
      <c r="E263" s="664" t="s">
        <v>401</v>
      </c>
      <c r="F263" s="665">
        <v>1805.0</v>
      </c>
      <c r="G263" s="665">
        <v>175.0</v>
      </c>
      <c r="H263" s="665">
        <v>9.7</v>
      </c>
      <c r="I263" s="665">
        <v>2.71</v>
      </c>
      <c r="J263" s="665">
        <v>0.87</v>
      </c>
      <c r="K263" s="665">
        <v>183.0</v>
      </c>
      <c r="L263" s="665">
        <v>6750.0</v>
      </c>
      <c r="M263" s="665">
        <v>0.1</v>
      </c>
      <c r="N263" s="1">
        <v>1.0457</v>
      </c>
      <c r="O263" s="1">
        <v>183.0</v>
      </c>
      <c r="P263" s="1">
        <v>6750.0</v>
      </c>
      <c r="Q263" s="1">
        <v>0.1014</v>
      </c>
      <c r="R263" s="1">
        <v>15915.0</v>
      </c>
    </row>
    <row r="264">
      <c r="A264" s="663" t="s">
        <v>2173</v>
      </c>
      <c r="B264" s="663" t="s">
        <v>1192</v>
      </c>
      <c r="C264" s="663" t="s">
        <v>47</v>
      </c>
      <c r="D264" s="663" t="s">
        <v>599</v>
      </c>
      <c r="E264" s="664" t="s">
        <v>73</v>
      </c>
      <c r="F264" s="665">
        <v>1805.0</v>
      </c>
      <c r="G264" s="665">
        <v>129.0</v>
      </c>
      <c r="H264" s="665">
        <v>7.15</v>
      </c>
      <c r="I264" s="665">
        <v>1.96</v>
      </c>
      <c r="J264" s="665">
        <v>0.58</v>
      </c>
      <c r="K264" s="665">
        <v>132.0</v>
      </c>
      <c r="L264" s="665">
        <v>6750.0</v>
      </c>
      <c r="M264" s="665">
        <v>0.07</v>
      </c>
      <c r="N264" s="1">
        <v>1.0233</v>
      </c>
      <c r="O264" s="1">
        <v>132.0</v>
      </c>
      <c r="P264" s="1">
        <v>6750.0</v>
      </c>
      <c r="Q264" s="1">
        <v>0.0731</v>
      </c>
      <c r="R264" s="1">
        <v>15915.0</v>
      </c>
    </row>
    <row r="265">
      <c r="A265" s="663" t="s">
        <v>2173</v>
      </c>
      <c r="B265" s="663" t="s">
        <v>1192</v>
      </c>
      <c r="C265" s="663" t="s">
        <v>47</v>
      </c>
      <c r="D265" s="663" t="s">
        <v>599</v>
      </c>
      <c r="E265" s="664" t="s">
        <v>396</v>
      </c>
      <c r="F265" s="665">
        <v>1805.0</v>
      </c>
      <c r="G265" s="665">
        <v>75.0</v>
      </c>
      <c r="H265" s="665">
        <v>4.16</v>
      </c>
      <c r="I265" s="665">
        <v>1.35</v>
      </c>
      <c r="J265" s="665">
        <v>0.35</v>
      </c>
      <c r="K265" s="665">
        <v>91.0</v>
      </c>
      <c r="L265" s="665">
        <v>6750.0</v>
      </c>
      <c r="M265" s="665">
        <v>0.05</v>
      </c>
      <c r="N265" s="1">
        <v>1.2133</v>
      </c>
      <c r="O265" s="1">
        <v>91.0</v>
      </c>
      <c r="P265" s="1">
        <v>6750.0</v>
      </c>
      <c r="Q265" s="1">
        <v>0.0504</v>
      </c>
      <c r="R265" s="1">
        <v>15915.0</v>
      </c>
    </row>
    <row r="266">
      <c r="A266" s="663" t="s">
        <v>2173</v>
      </c>
      <c r="B266" s="663" t="s">
        <v>1192</v>
      </c>
      <c r="C266" s="663" t="s">
        <v>47</v>
      </c>
      <c r="D266" s="663" t="s">
        <v>599</v>
      </c>
      <c r="E266" s="664" t="s">
        <v>16</v>
      </c>
      <c r="F266" s="665">
        <v>1805.0</v>
      </c>
      <c r="G266" s="665">
        <v>80.0</v>
      </c>
      <c r="H266" s="665">
        <v>4.43</v>
      </c>
      <c r="I266" s="665">
        <v>1.23</v>
      </c>
      <c r="J266" s="665">
        <v>3.23</v>
      </c>
      <c r="K266" s="665">
        <v>83.0</v>
      </c>
      <c r="L266" s="665">
        <v>6750.0</v>
      </c>
      <c r="M266" s="665">
        <v>0.05</v>
      </c>
      <c r="N266" s="1">
        <v>1.0375</v>
      </c>
      <c r="O266" s="1">
        <v>83.0</v>
      </c>
      <c r="P266" s="1">
        <v>6750.0</v>
      </c>
      <c r="Q266" s="1">
        <v>0.046</v>
      </c>
      <c r="R266" s="1">
        <v>15915.0</v>
      </c>
    </row>
    <row r="267">
      <c r="A267" s="663" t="s">
        <v>2173</v>
      </c>
      <c r="B267" s="663" t="s">
        <v>1192</v>
      </c>
      <c r="C267" s="663" t="s">
        <v>47</v>
      </c>
      <c r="D267" s="663" t="s">
        <v>599</v>
      </c>
      <c r="E267" s="664" t="s">
        <v>42</v>
      </c>
      <c r="F267" s="665">
        <v>1805.0</v>
      </c>
      <c r="G267" s="665">
        <v>57.0</v>
      </c>
      <c r="H267" s="665">
        <v>3.16</v>
      </c>
      <c r="I267" s="665">
        <v>0.89</v>
      </c>
      <c r="J267" s="665">
        <v>0.74</v>
      </c>
      <c r="K267" s="665">
        <v>60.0</v>
      </c>
      <c r="L267" s="665">
        <v>6750.0</v>
      </c>
      <c r="M267" s="665">
        <v>0.03</v>
      </c>
      <c r="N267" s="1">
        <v>1.0526</v>
      </c>
      <c r="O267" s="1">
        <v>60.0</v>
      </c>
      <c r="P267" s="1">
        <v>6750.0</v>
      </c>
      <c r="Q267" s="1">
        <v>0.0332</v>
      </c>
      <c r="R267" s="1">
        <v>15915.0</v>
      </c>
    </row>
    <row r="268">
      <c r="A268" s="663" t="s">
        <v>2173</v>
      </c>
      <c r="B268" s="663" t="s">
        <v>1192</v>
      </c>
      <c r="C268" s="663" t="s">
        <v>47</v>
      </c>
      <c r="D268" s="663" t="s">
        <v>599</v>
      </c>
      <c r="E268" s="664" t="s">
        <v>7</v>
      </c>
      <c r="F268" s="665">
        <v>1805.0</v>
      </c>
      <c r="G268" s="665">
        <v>24.0</v>
      </c>
      <c r="H268" s="665">
        <v>1.33</v>
      </c>
      <c r="I268" s="665">
        <v>0.36</v>
      </c>
      <c r="J268" s="665">
        <v>0.54</v>
      </c>
      <c r="K268" s="665">
        <v>24.0</v>
      </c>
      <c r="L268" s="665">
        <v>6750.0</v>
      </c>
      <c r="M268" s="665">
        <v>0.01</v>
      </c>
      <c r="N268" s="1">
        <v>1.0</v>
      </c>
      <c r="O268" s="1">
        <v>24.0</v>
      </c>
      <c r="P268" s="1">
        <v>6750.0</v>
      </c>
      <c r="Q268" s="1">
        <v>0.0133</v>
      </c>
      <c r="R268" s="1">
        <v>15915.0</v>
      </c>
    </row>
    <row r="269">
      <c r="A269" s="663" t="s">
        <v>2173</v>
      </c>
      <c r="B269" s="663" t="s">
        <v>1192</v>
      </c>
      <c r="C269" s="663" t="s">
        <v>47</v>
      </c>
      <c r="D269" s="663" t="s">
        <v>599</v>
      </c>
      <c r="E269" s="664" t="s">
        <v>418</v>
      </c>
      <c r="F269" s="665">
        <v>1805.0</v>
      </c>
      <c r="G269" s="665">
        <v>13.0</v>
      </c>
      <c r="H269" s="665">
        <v>0.72</v>
      </c>
      <c r="I269" s="665">
        <v>0.21</v>
      </c>
      <c r="J269" s="665">
        <v>0.61</v>
      </c>
      <c r="K269" s="665">
        <v>14.0</v>
      </c>
      <c r="L269" s="665">
        <v>6750.0</v>
      </c>
      <c r="M269" s="665">
        <v>0.01</v>
      </c>
      <c r="N269" s="1">
        <v>1.0769</v>
      </c>
      <c r="O269" s="1">
        <v>14.0</v>
      </c>
      <c r="P269" s="1">
        <v>6750.0</v>
      </c>
      <c r="Q269" s="1">
        <v>0.0078</v>
      </c>
      <c r="R269" s="1">
        <v>15915.0</v>
      </c>
    </row>
    <row r="270">
      <c r="A270" s="663" t="s">
        <v>2173</v>
      </c>
      <c r="B270" s="663" t="s">
        <v>1192</v>
      </c>
      <c r="C270" s="663" t="s">
        <v>46</v>
      </c>
      <c r="D270" s="663" t="s">
        <v>599</v>
      </c>
      <c r="E270" s="664" t="s">
        <v>14</v>
      </c>
      <c r="F270" s="665">
        <v>1247.0</v>
      </c>
      <c r="G270" s="665">
        <v>397.0</v>
      </c>
      <c r="H270" s="665">
        <v>31.84</v>
      </c>
      <c r="I270" s="665">
        <v>44.11</v>
      </c>
      <c r="J270" s="665">
        <v>19.03</v>
      </c>
      <c r="K270" s="665">
        <v>170356.46</v>
      </c>
      <c r="L270" s="665">
        <v>386196.46</v>
      </c>
      <c r="M270" s="665">
        <v>136.61</v>
      </c>
      <c r="N270" s="1">
        <v>429.1095</v>
      </c>
      <c r="O270" s="1">
        <v>192825.0</v>
      </c>
      <c r="P270" s="1">
        <v>408665.0</v>
      </c>
      <c r="Q270" s="1">
        <v>154.6311</v>
      </c>
      <c r="R270" s="1">
        <v>15915.0</v>
      </c>
    </row>
    <row r="271">
      <c r="A271" s="663" t="s">
        <v>2173</v>
      </c>
      <c r="B271" s="663" t="s">
        <v>1192</v>
      </c>
      <c r="C271" s="663" t="s">
        <v>46</v>
      </c>
      <c r="D271" s="663" t="s">
        <v>599</v>
      </c>
      <c r="E271" s="664" t="s">
        <v>411</v>
      </c>
      <c r="F271" s="665">
        <v>1247.0</v>
      </c>
      <c r="G271" s="665">
        <v>916.0</v>
      </c>
      <c r="H271" s="665">
        <v>73.46</v>
      </c>
      <c r="I271" s="665">
        <v>23.63</v>
      </c>
      <c r="J271" s="665">
        <v>53.61</v>
      </c>
      <c r="K271" s="665">
        <v>91260.0</v>
      </c>
      <c r="L271" s="665">
        <v>386196.46</v>
      </c>
      <c r="M271" s="665">
        <v>73.18</v>
      </c>
      <c r="N271" s="1">
        <v>99.6288</v>
      </c>
      <c r="O271" s="1">
        <v>91260.0</v>
      </c>
      <c r="P271" s="1">
        <v>408665.0</v>
      </c>
      <c r="Q271" s="1">
        <v>73.1836</v>
      </c>
      <c r="R271" s="1">
        <v>15915.0</v>
      </c>
    </row>
    <row r="272">
      <c r="A272" s="663" t="s">
        <v>2173</v>
      </c>
      <c r="B272" s="663" t="s">
        <v>1192</v>
      </c>
      <c r="C272" s="663" t="s">
        <v>46</v>
      </c>
      <c r="D272" s="663" t="s">
        <v>599</v>
      </c>
      <c r="E272" s="664" t="s">
        <v>42</v>
      </c>
      <c r="F272" s="665">
        <v>1247.0</v>
      </c>
      <c r="G272" s="665">
        <v>362.0</v>
      </c>
      <c r="H272" s="665">
        <v>29.03</v>
      </c>
      <c r="I272" s="665">
        <v>20.4</v>
      </c>
      <c r="J272" s="665">
        <v>14.03</v>
      </c>
      <c r="K272" s="665">
        <v>78780.0</v>
      </c>
      <c r="L272" s="665">
        <v>386196.46</v>
      </c>
      <c r="M272" s="665">
        <v>63.18</v>
      </c>
      <c r="N272" s="1">
        <v>217.6243</v>
      </c>
      <c r="O272" s="1">
        <v>78780.0</v>
      </c>
      <c r="P272" s="1">
        <v>408665.0</v>
      </c>
      <c r="Q272" s="1">
        <v>63.1756</v>
      </c>
      <c r="R272" s="1">
        <v>15915.0</v>
      </c>
    </row>
    <row r="273">
      <c r="A273" s="663" t="s">
        <v>2173</v>
      </c>
      <c r="B273" s="663" t="s">
        <v>1192</v>
      </c>
      <c r="C273" s="663" t="s">
        <v>46</v>
      </c>
      <c r="D273" s="663" t="s">
        <v>599</v>
      </c>
      <c r="E273" s="664" t="s">
        <v>7</v>
      </c>
      <c r="F273" s="665">
        <v>1247.0</v>
      </c>
      <c r="G273" s="665">
        <v>244.0</v>
      </c>
      <c r="H273" s="665">
        <v>19.57</v>
      </c>
      <c r="I273" s="665">
        <v>9.45</v>
      </c>
      <c r="J273" s="665">
        <v>8.75</v>
      </c>
      <c r="K273" s="665">
        <v>36500.0</v>
      </c>
      <c r="L273" s="665">
        <v>386196.46</v>
      </c>
      <c r="M273" s="665">
        <v>29.27</v>
      </c>
      <c r="N273" s="1">
        <v>149.5902</v>
      </c>
      <c r="O273" s="1">
        <v>36500.0</v>
      </c>
      <c r="P273" s="1">
        <v>408665.0</v>
      </c>
      <c r="Q273" s="1">
        <v>29.2702</v>
      </c>
      <c r="R273" s="1">
        <v>15915.0</v>
      </c>
    </row>
    <row r="274">
      <c r="A274" s="663" t="s">
        <v>2173</v>
      </c>
      <c r="B274" s="663" t="s">
        <v>1192</v>
      </c>
      <c r="C274" s="663" t="s">
        <v>46</v>
      </c>
      <c r="D274" s="663" t="s">
        <v>599</v>
      </c>
      <c r="E274" s="664" t="s">
        <v>51</v>
      </c>
      <c r="F274" s="665">
        <v>1247.0</v>
      </c>
      <c r="G274" s="665">
        <v>232.0</v>
      </c>
      <c r="H274" s="665">
        <v>18.6</v>
      </c>
      <c r="I274" s="665">
        <v>2.41</v>
      </c>
      <c r="J274" s="665">
        <v>4.59</v>
      </c>
      <c r="K274" s="665">
        <v>9300.0</v>
      </c>
      <c r="L274" s="665">
        <v>386196.46</v>
      </c>
      <c r="M274" s="665">
        <v>7.46</v>
      </c>
      <c r="N274" s="1">
        <v>40.0862</v>
      </c>
      <c r="O274" s="1">
        <v>9300.0</v>
      </c>
      <c r="P274" s="1">
        <v>408665.0</v>
      </c>
      <c r="Q274" s="1">
        <v>7.4579</v>
      </c>
      <c r="R274" s="1">
        <v>15915.0</v>
      </c>
    </row>
    <row r="275">
      <c r="A275" s="663" t="s">
        <v>2173</v>
      </c>
      <c r="B275" s="663" t="s">
        <v>1192</v>
      </c>
      <c r="C275" s="663" t="s">
        <v>1213</v>
      </c>
      <c r="D275" s="663" t="s">
        <v>2234</v>
      </c>
      <c r="E275" s="664" t="s">
        <v>14</v>
      </c>
      <c r="F275" s="665">
        <v>182.0</v>
      </c>
      <c r="G275" s="665">
        <v>181.0</v>
      </c>
      <c r="H275" s="665">
        <v>99.45</v>
      </c>
      <c r="I275" s="665">
        <v>99.73</v>
      </c>
      <c r="J275" s="665">
        <v>99.45</v>
      </c>
      <c r="K275" s="665">
        <v>5460.0</v>
      </c>
      <c r="L275" s="665">
        <v>5475.0</v>
      </c>
      <c r="M275" s="665">
        <v>30.0</v>
      </c>
      <c r="N275" s="1">
        <v>30.1657</v>
      </c>
      <c r="O275" s="1">
        <v>5460.0</v>
      </c>
      <c r="P275" s="1">
        <v>5475.0</v>
      </c>
      <c r="Q275" s="1">
        <v>30.0</v>
      </c>
      <c r="R275" s="1">
        <v>15915.0</v>
      </c>
    </row>
    <row r="276">
      <c r="A276" s="663" t="s">
        <v>2173</v>
      </c>
      <c r="B276" s="663" t="s">
        <v>1192</v>
      </c>
      <c r="C276" s="663" t="s">
        <v>1213</v>
      </c>
      <c r="D276" s="663" t="s">
        <v>2234</v>
      </c>
      <c r="E276" s="664" t="s">
        <v>397</v>
      </c>
      <c r="F276" s="665">
        <v>182.0</v>
      </c>
      <c r="G276" s="665">
        <v>1.0</v>
      </c>
      <c r="H276" s="665">
        <v>0.55</v>
      </c>
      <c r="I276" s="665">
        <v>0.27</v>
      </c>
      <c r="J276" s="665">
        <v>0.55</v>
      </c>
      <c r="K276" s="665">
        <v>15.0</v>
      </c>
      <c r="L276" s="665">
        <v>5475.0</v>
      </c>
      <c r="M276" s="665">
        <v>0.08</v>
      </c>
      <c r="N276" s="1">
        <v>15.0</v>
      </c>
      <c r="O276" s="1">
        <v>15.0</v>
      </c>
      <c r="P276" s="1">
        <v>5475.0</v>
      </c>
      <c r="Q276" s="1">
        <v>0.0824</v>
      </c>
      <c r="R276" s="1">
        <v>15915.0</v>
      </c>
    </row>
    <row r="277">
      <c r="A277" s="663" t="s">
        <v>2173</v>
      </c>
      <c r="B277" s="663" t="s">
        <v>1192</v>
      </c>
      <c r="C277" s="663" t="s">
        <v>53</v>
      </c>
      <c r="D277" s="663" t="s">
        <v>599</v>
      </c>
      <c r="E277" s="664" t="s">
        <v>14</v>
      </c>
      <c r="F277" s="665">
        <v>1917.0</v>
      </c>
      <c r="G277" s="665">
        <v>227.0</v>
      </c>
      <c r="H277" s="665">
        <v>11.84</v>
      </c>
      <c r="I277" s="665">
        <v>54.53</v>
      </c>
      <c r="J277" s="665">
        <v>2.84</v>
      </c>
      <c r="K277" s="665">
        <v>8794.0</v>
      </c>
      <c r="L277" s="665">
        <v>16128.0</v>
      </c>
      <c r="M277" s="665">
        <v>4.59</v>
      </c>
      <c r="N277" s="1">
        <v>38.7401</v>
      </c>
      <c r="O277" s="1">
        <v>8794.0</v>
      </c>
      <c r="P277" s="1">
        <v>16128.0</v>
      </c>
      <c r="Q277" s="1">
        <v>4.5874</v>
      </c>
      <c r="R277" s="1">
        <v>15915.0</v>
      </c>
    </row>
    <row r="278">
      <c r="A278" s="663" t="s">
        <v>2173</v>
      </c>
      <c r="B278" s="663" t="s">
        <v>1192</v>
      </c>
      <c r="C278" s="663" t="s">
        <v>53</v>
      </c>
      <c r="D278" s="663" t="s">
        <v>599</v>
      </c>
      <c r="E278" s="664" t="s">
        <v>397</v>
      </c>
      <c r="F278" s="665">
        <v>1917.0</v>
      </c>
      <c r="G278" s="665">
        <v>1170.0</v>
      </c>
      <c r="H278" s="665">
        <v>61.03</v>
      </c>
      <c r="I278" s="665">
        <v>11.37</v>
      </c>
      <c r="J278" s="665">
        <v>39.65</v>
      </c>
      <c r="K278" s="665">
        <v>1833.0</v>
      </c>
      <c r="L278" s="665">
        <v>16128.0</v>
      </c>
      <c r="M278" s="665">
        <v>0.96</v>
      </c>
      <c r="N278" s="1">
        <v>1.5667</v>
      </c>
      <c r="O278" s="1">
        <v>1833.0</v>
      </c>
      <c r="P278" s="1">
        <v>16128.0</v>
      </c>
      <c r="Q278" s="1">
        <v>0.9562</v>
      </c>
      <c r="R278" s="1">
        <v>15915.0</v>
      </c>
    </row>
    <row r="279">
      <c r="A279" s="663" t="s">
        <v>2173</v>
      </c>
      <c r="B279" s="663" t="s">
        <v>1192</v>
      </c>
      <c r="C279" s="663" t="s">
        <v>53</v>
      </c>
      <c r="D279" s="663" t="s">
        <v>599</v>
      </c>
      <c r="E279" s="664" t="s">
        <v>393</v>
      </c>
      <c r="F279" s="665">
        <v>1917.0</v>
      </c>
      <c r="G279" s="665">
        <v>589.0</v>
      </c>
      <c r="H279" s="665">
        <v>30.73</v>
      </c>
      <c r="I279" s="665">
        <v>10.44</v>
      </c>
      <c r="J279" s="665">
        <v>16.0</v>
      </c>
      <c r="K279" s="665">
        <v>1684.0</v>
      </c>
      <c r="L279" s="665">
        <v>16128.0</v>
      </c>
      <c r="M279" s="665">
        <v>0.88</v>
      </c>
      <c r="N279" s="1">
        <v>2.8591</v>
      </c>
      <c r="O279" s="1">
        <v>1684.0</v>
      </c>
      <c r="P279" s="1">
        <v>16128.0</v>
      </c>
      <c r="Q279" s="1">
        <v>0.8785</v>
      </c>
      <c r="R279" s="1">
        <v>15915.0</v>
      </c>
    </row>
    <row r="280">
      <c r="A280" s="663" t="s">
        <v>2173</v>
      </c>
      <c r="B280" s="663" t="s">
        <v>1192</v>
      </c>
      <c r="C280" s="663" t="s">
        <v>53</v>
      </c>
      <c r="D280" s="663" t="s">
        <v>599</v>
      </c>
      <c r="E280" s="664" t="s">
        <v>15</v>
      </c>
      <c r="F280" s="665">
        <v>1917.0</v>
      </c>
      <c r="G280" s="665">
        <v>185.0</v>
      </c>
      <c r="H280" s="665">
        <v>9.65</v>
      </c>
      <c r="I280" s="665">
        <v>3.39</v>
      </c>
      <c r="J280" s="665">
        <v>5.45</v>
      </c>
      <c r="K280" s="665">
        <v>546.0</v>
      </c>
      <c r="L280" s="665">
        <v>16128.0</v>
      </c>
      <c r="M280" s="665">
        <v>0.28</v>
      </c>
      <c r="N280" s="1">
        <v>2.9514</v>
      </c>
      <c r="O280" s="1">
        <v>546.0</v>
      </c>
      <c r="P280" s="1">
        <v>16128.0</v>
      </c>
      <c r="Q280" s="1">
        <v>0.2848</v>
      </c>
      <c r="R280" s="1">
        <v>15915.0</v>
      </c>
    </row>
    <row r="281">
      <c r="A281" s="663" t="s">
        <v>2173</v>
      </c>
      <c r="B281" s="663" t="s">
        <v>1192</v>
      </c>
      <c r="C281" s="663" t="s">
        <v>53</v>
      </c>
      <c r="D281" s="663" t="s">
        <v>599</v>
      </c>
      <c r="E281" s="664" t="s">
        <v>16</v>
      </c>
      <c r="F281" s="665">
        <v>1917.0</v>
      </c>
      <c r="G281" s="665">
        <v>383.0</v>
      </c>
      <c r="H281" s="665">
        <v>19.98</v>
      </c>
      <c r="I281" s="665">
        <v>2.94</v>
      </c>
      <c r="J281" s="665">
        <v>13.67</v>
      </c>
      <c r="K281" s="665">
        <v>474.0</v>
      </c>
      <c r="L281" s="665">
        <v>16128.0</v>
      </c>
      <c r="M281" s="665">
        <v>0.25</v>
      </c>
      <c r="N281" s="1">
        <v>1.2376</v>
      </c>
      <c r="O281" s="1">
        <v>474.0</v>
      </c>
      <c r="P281" s="1">
        <v>16128.0</v>
      </c>
      <c r="Q281" s="1">
        <v>0.2473</v>
      </c>
      <c r="R281" s="1">
        <v>15915.0</v>
      </c>
    </row>
    <row r="282">
      <c r="A282" s="663" t="s">
        <v>2173</v>
      </c>
      <c r="B282" s="663" t="s">
        <v>1192</v>
      </c>
      <c r="C282" s="663" t="s">
        <v>53</v>
      </c>
      <c r="D282" s="663" t="s">
        <v>599</v>
      </c>
      <c r="E282" s="664" t="s">
        <v>413</v>
      </c>
      <c r="F282" s="665">
        <v>1917.0</v>
      </c>
      <c r="G282" s="665">
        <v>247.0</v>
      </c>
      <c r="H282" s="665">
        <v>12.88</v>
      </c>
      <c r="I282" s="665">
        <v>2.63</v>
      </c>
      <c r="J282" s="665">
        <v>4.64</v>
      </c>
      <c r="K282" s="665">
        <v>424.0</v>
      </c>
      <c r="L282" s="665">
        <v>16128.0</v>
      </c>
      <c r="M282" s="665">
        <v>0.22</v>
      </c>
      <c r="N282" s="1">
        <v>1.7166</v>
      </c>
      <c r="O282" s="1">
        <v>424.0</v>
      </c>
      <c r="P282" s="1">
        <v>16128.0</v>
      </c>
      <c r="Q282" s="1">
        <v>0.2212</v>
      </c>
      <c r="R282" s="1">
        <v>15915.0</v>
      </c>
    </row>
    <row r="283">
      <c r="A283" s="663" t="s">
        <v>2173</v>
      </c>
      <c r="B283" s="663" t="s">
        <v>1192</v>
      </c>
      <c r="C283" s="663" t="s">
        <v>53</v>
      </c>
      <c r="D283" s="663" t="s">
        <v>599</v>
      </c>
      <c r="E283" s="664" t="s">
        <v>9</v>
      </c>
      <c r="F283" s="665">
        <v>1917.0</v>
      </c>
      <c r="G283" s="665">
        <v>235.0</v>
      </c>
      <c r="H283" s="665">
        <v>12.26</v>
      </c>
      <c r="I283" s="665">
        <v>2.44</v>
      </c>
      <c r="J283" s="665">
        <v>2.02</v>
      </c>
      <c r="K283" s="665">
        <v>394.0</v>
      </c>
      <c r="L283" s="665">
        <v>16128.0</v>
      </c>
      <c r="M283" s="665">
        <v>0.21</v>
      </c>
      <c r="N283" s="1">
        <v>1.6766</v>
      </c>
      <c r="O283" s="1">
        <v>394.0</v>
      </c>
      <c r="P283" s="1">
        <v>16128.0</v>
      </c>
      <c r="Q283" s="1">
        <v>0.2055</v>
      </c>
      <c r="R283" s="1">
        <v>15915.0</v>
      </c>
    </row>
    <row r="284">
      <c r="A284" s="663" t="s">
        <v>2173</v>
      </c>
      <c r="B284" s="663" t="s">
        <v>1192</v>
      </c>
      <c r="C284" s="663" t="s">
        <v>53</v>
      </c>
      <c r="D284" s="663" t="s">
        <v>599</v>
      </c>
      <c r="E284" s="664" t="s">
        <v>42</v>
      </c>
      <c r="F284" s="665">
        <v>1917.0</v>
      </c>
      <c r="G284" s="665">
        <v>206.0</v>
      </c>
      <c r="H284" s="665">
        <v>10.75</v>
      </c>
      <c r="I284" s="665">
        <v>2.29</v>
      </c>
      <c r="J284" s="665">
        <v>1.98</v>
      </c>
      <c r="K284" s="665">
        <v>370.0</v>
      </c>
      <c r="L284" s="665">
        <v>16128.0</v>
      </c>
      <c r="M284" s="665">
        <v>0.19</v>
      </c>
      <c r="N284" s="1">
        <v>1.7961</v>
      </c>
      <c r="O284" s="1">
        <v>370.0</v>
      </c>
      <c r="P284" s="1">
        <v>16128.0</v>
      </c>
      <c r="Q284" s="1">
        <v>0.193</v>
      </c>
      <c r="R284" s="1">
        <v>15915.0</v>
      </c>
    </row>
    <row r="285">
      <c r="A285" s="663" t="s">
        <v>2173</v>
      </c>
      <c r="B285" s="663" t="s">
        <v>1192</v>
      </c>
      <c r="C285" s="663" t="s">
        <v>53</v>
      </c>
      <c r="D285" s="663" t="s">
        <v>599</v>
      </c>
      <c r="E285" s="664" t="s">
        <v>396</v>
      </c>
      <c r="F285" s="665">
        <v>1917.0</v>
      </c>
      <c r="G285" s="665">
        <v>207.0</v>
      </c>
      <c r="H285" s="665">
        <v>10.8</v>
      </c>
      <c r="I285" s="665">
        <v>2.09</v>
      </c>
      <c r="J285" s="665">
        <v>1.24</v>
      </c>
      <c r="K285" s="665">
        <v>337.0</v>
      </c>
      <c r="L285" s="665">
        <v>16128.0</v>
      </c>
      <c r="M285" s="665">
        <v>0.18</v>
      </c>
      <c r="N285" s="1">
        <v>1.628</v>
      </c>
      <c r="O285" s="1">
        <v>337.0</v>
      </c>
      <c r="P285" s="1">
        <v>16128.0</v>
      </c>
      <c r="Q285" s="1">
        <v>0.1758</v>
      </c>
      <c r="R285" s="1">
        <v>15915.0</v>
      </c>
    </row>
    <row r="286">
      <c r="A286" s="663" t="s">
        <v>2173</v>
      </c>
      <c r="B286" s="663" t="s">
        <v>1192</v>
      </c>
      <c r="C286" s="663" t="s">
        <v>53</v>
      </c>
      <c r="D286" s="663" t="s">
        <v>599</v>
      </c>
      <c r="E286" s="664" t="s">
        <v>329</v>
      </c>
      <c r="F286" s="665">
        <v>1917.0</v>
      </c>
      <c r="G286" s="665">
        <v>199.0</v>
      </c>
      <c r="H286" s="665">
        <v>10.38</v>
      </c>
      <c r="I286" s="665">
        <v>1.56</v>
      </c>
      <c r="J286" s="665">
        <v>2.53</v>
      </c>
      <c r="K286" s="665">
        <v>252.0</v>
      </c>
      <c r="L286" s="665">
        <v>16128.0</v>
      </c>
      <c r="M286" s="665">
        <v>0.13</v>
      </c>
      <c r="N286" s="1">
        <v>1.2663</v>
      </c>
      <c r="O286" s="1">
        <v>252.0</v>
      </c>
      <c r="P286" s="1">
        <v>16128.0</v>
      </c>
      <c r="Q286" s="1">
        <v>0.1315</v>
      </c>
      <c r="R286" s="1">
        <v>15915.0</v>
      </c>
    </row>
    <row r="287">
      <c r="A287" s="663" t="s">
        <v>2173</v>
      </c>
      <c r="B287" s="663" t="s">
        <v>1192</v>
      </c>
      <c r="C287" s="663" t="s">
        <v>53</v>
      </c>
      <c r="D287" s="663" t="s">
        <v>599</v>
      </c>
      <c r="E287" s="664" t="s">
        <v>338</v>
      </c>
      <c r="F287" s="665">
        <v>1917.0</v>
      </c>
      <c r="G287" s="665">
        <v>186.0</v>
      </c>
      <c r="H287" s="665">
        <v>9.7</v>
      </c>
      <c r="I287" s="665">
        <v>1.54</v>
      </c>
      <c r="J287" s="665">
        <v>2.43</v>
      </c>
      <c r="K287" s="665">
        <v>249.0</v>
      </c>
      <c r="L287" s="665">
        <v>16128.0</v>
      </c>
      <c r="M287" s="665">
        <v>0.13</v>
      </c>
      <c r="N287" s="1">
        <v>1.3387</v>
      </c>
      <c r="O287" s="1">
        <v>249.0</v>
      </c>
      <c r="P287" s="1">
        <v>16128.0</v>
      </c>
      <c r="Q287" s="1">
        <v>0.1299</v>
      </c>
      <c r="R287" s="1">
        <v>15915.0</v>
      </c>
    </row>
    <row r="288">
      <c r="A288" s="663" t="s">
        <v>2173</v>
      </c>
      <c r="B288" s="663" t="s">
        <v>1192</v>
      </c>
      <c r="C288" s="663" t="s">
        <v>53</v>
      </c>
      <c r="D288" s="663" t="s">
        <v>599</v>
      </c>
      <c r="E288" s="664" t="s">
        <v>341</v>
      </c>
      <c r="F288" s="665">
        <v>1917.0</v>
      </c>
      <c r="G288" s="665">
        <v>200.0</v>
      </c>
      <c r="H288" s="665">
        <v>10.43</v>
      </c>
      <c r="I288" s="665">
        <v>1.44</v>
      </c>
      <c r="J288" s="665">
        <v>3.42</v>
      </c>
      <c r="K288" s="665">
        <v>233.0</v>
      </c>
      <c r="L288" s="665">
        <v>16128.0</v>
      </c>
      <c r="M288" s="665">
        <v>0.12</v>
      </c>
      <c r="N288" s="1">
        <v>1.165</v>
      </c>
      <c r="O288" s="1">
        <v>233.0</v>
      </c>
      <c r="P288" s="1">
        <v>16128.0</v>
      </c>
      <c r="Q288" s="1">
        <v>0.1215</v>
      </c>
      <c r="R288" s="1">
        <v>15915.0</v>
      </c>
    </row>
    <row r="289">
      <c r="A289" s="663" t="s">
        <v>2173</v>
      </c>
      <c r="B289" s="663" t="s">
        <v>1192</v>
      </c>
      <c r="C289" s="663" t="s">
        <v>53</v>
      </c>
      <c r="D289" s="663" t="s">
        <v>599</v>
      </c>
      <c r="E289" s="664" t="s">
        <v>63</v>
      </c>
      <c r="F289" s="665">
        <v>1917.0</v>
      </c>
      <c r="G289" s="665">
        <v>165.0</v>
      </c>
      <c r="H289" s="665">
        <v>8.61</v>
      </c>
      <c r="I289" s="665">
        <v>1.32</v>
      </c>
      <c r="J289" s="665">
        <v>1.77</v>
      </c>
      <c r="K289" s="665">
        <v>213.0</v>
      </c>
      <c r="L289" s="665">
        <v>16128.0</v>
      </c>
      <c r="M289" s="665">
        <v>0.11</v>
      </c>
      <c r="N289" s="1">
        <v>1.2909</v>
      </c>
      <c r="O289" s="1">
        <v>213.0</v>
      </c>
      <c r="P289" s="1">
        <v>16128.0</v>
      </c>
      <c r="Q289" s="1">
        <v>0.1111</v>
      </c>
      <c r="R289" s="1">
        <v>15915.0</v>
      </c>
    </row>
    <row r="290">
      <c r="A290" s="663" t="s">
        <v>2173</v>
      </c>
      <c r="B290" s="663" t="s">
        <v>1192</v>
      </c>
      <c r="C290" s="663" t="s">
        <v>53</v>
      </c>
      <c r="D290" s="663" t="s">
        <v>599</v>
      </c>
      <c r="E290" s="664" t="s">
        <v>411</v>
      </c>
      <c r="F290" s="665">
        <v>1917.0</v>
      </c>
      <c r="G290" s="665">
        <v>64.0</v>
      </c>
      <c r="H290" s="665">
        <v>3.34</v>
      </c>
      <c r="I290" s="665">
        <v>0.97</v>
      </c>
      <c r="J290" s="665">
        <v>1.42</v>
      </c>
      <c r="K290" s="665">
        <v>156.0</v>
      </c>
      <c r="L290" s="665">
        <v>16128.0</v>
      </c>
      <c r="M290" s="665">
        <v>0.08</v>
      </c>
      <c r="N290" s="1">
        <v>2.4375</v>
      </c>
      <c r="O290" s="1">
        <v>156.0</v>
      </c>
      <c r="P290" s="1">
        <v>16128.0</v>
      </c>
      <c r="Q290" s="1">
        <v>0.0814</v>
      </c>
      <c r="R290" s="1">
        <v>15915.0</v>
      </c>
    </row>
    <row r="291">
      <c r="A291" s="663" t="s">
        <v>2173</v>
      </c>
      <c r="B291" s="663" t="s">
        <v>1192</v>
      </c>
      <c r="C291" s="663" t="s">
        <v>53</v>
      </c>
      <c r="D291" s="663" t="s">
        <v>599</v>
      </c>
      <c r="E291" s="664" t="s">
        <v>7</v>
      </c>
      <c r="F291" s="665">
        <v>1917.0</v>
      </c>
      <c r="G291" s="665">
        <v>64.0</v>
      </c>
      <c r="H291" s="665">
        <v>3.34</v>
      </c>
      <c r="I291" s="665">
        <v>0.41</v>
      </c>
      <c r="J291" s="665">
        <v>0.4</v>
      </c>
      <c r="K291" s="665">
        <v>66.0</v>
      </c>
      <c r="L291" s="665">
        <v>16128.0</v>
      </c>
      <c r="M291" s="665">
        <v>0.03</v>
      </c>
      <c r="N291" s="1">
        <v>1.0313</v>
      </c>
      <c r="O291" s="1">
        <v>66.0</v>
      </c>
      <c r="P291" s="1">
        <v>16128.0</v>
      </c>
      <c r="Q291" s="1">
        <v>0.0344</v>
      </c>
      <c r="R291" s="1">
        <v>15915.0</v>
      </c>
    </row>
    <row r="292">
      <c r="A292" s="663" t="s">
        <v>2173</v>
      </c>
      <c r="B292" s="663" t="s">
        <v>1192</v>
      </c>
      <c r="C292" s="663" t="s">
        <v>53</v>
      </c>
      <c r="D292" s="663" t="s">
        <v>599</v>
      </c>
      <c r="E292" s="664" t="s">
        <v>73</v>
      </c>
      <c r="F292" s="665">
        <v>1917.0</v>
      </c>
      <c r="G292" s="665">
        <v>52.0</v>
      </c>
      <c r="H292" s="665">
        <v>2.71</v>
      </c>
      <c r="I292" s="665">
        <v>0.33</v>
      </c>
      <c r="J292" s="665">
        <v>0.16</v>
      </c>
      <c r="K292" s="665">
        <v>53.0</v>
      </c>
      <c r="L292" s="665">
        <v>16128.0</v>
      </c>
      <c r="M292" s="665">
        <v>0.03</v>
      </c>
      <c r="N292" s="1">
        <v>1.0192</v>
      </c>
      <c r="O292" s="1">
        <v>53.0</v>
      </c>
      <c r="P292" s="1">
        <v>16128.0</v>
      </c>
      <c r="Q292" s="1">
        <v>0.0276</v>
      </c>
      <c r="R292" s="1">
        <v>15915.0</v>
      </c>
    </row>
    <row r="293">
      <c r="A293" s="663" t="s">
        <v>2173</v>
      </c>
      <c r="B293" s="663" t="s">
        <v>1192</v>
      </c>
      <c r="C293" s="663" t="s">
        <v>53</v>
      </c>
      <c r="D293" s="663" t="s">
        <v>599</v>
      </c>
      <c r="E293" s="664" t="s">
        <v>206</v>
      </c>
      <c r="F293" s="665">
        <v>1917.0</v>
      </c>
      <c r="G293" s="665">
        <v>41.0</v>
      </c>
      <c r="H293" s="665">
        <v>2.14</v>
      </c>
      <c r="I293" s="665">
        <v>0.27</v>
      </c>
      <c r="J293" s="665">
        <v>0.08</v>
      </c>
      <c r="K293" s="665">
        <v>43.0</v>
      </c>
      <c r="L293" s="665">
        <v>16128.0</v>
      </c>
      <c r="M293" s="665">
        <v>0.02</v>
      </c>
      <c r="N293" s="1">
        <v>1.0488</v>
      </c>
      <c r="O293" s="1">
        <v>43.0</v>
      </c>
      <c r="P293" s="1">
        <v>16128.0</v>
      </c>
      <c r="Q293" s="1">
        <v>0.0224</v>
      </c>
      <c r="R293" s="1">
        <v>15915.0</v>
      </c>
    </row>
    <row r="294">
      <c r="A294" s="663" t="s">
        <v>2173</v>
      </c>
      <c r="B294" s="663" t="s">
        <v>1192</v>
      </c>
      <c r="C294" s="663" t="s">
        <v>53</v>
      </c>
      <c r="D294" s="663" t="s">
        <v>599</v>
      </c>
      <c r="E294" s="664" t="s">
        <v>418</v>
      </c>
      <c r="F294" s="665">
        <v>1917.0</v>
      </c>
      <c r="G294" s="665">
        <v>7.0</v>
      </c>
      <c r="H294" s="665">
        <v>0.37</v>
      </c>
      <c r="I294" s="665">
        <v>0.04</v>
      </c>
      <c r="J294" s="665">
        <v>0.31</v>
      </c>
      <c r="K294" s="665">
        <v>7.0</v>
      </c>
      <c r="L294" s="665">
        <v>16128.0</v>
      </c>
      <c r="M294" s="665">
        <v>0.0</v>
      </c>
      <c r="N294" s="1">
        <v>1.0</v>
      </c>
      <c r="O294" s="1">
        <v>7.0</v>
      </c>
      <c r="P294" s="1">
        <v>16128.0</v>
      </c>
      <c r="Q294" s="1">
        <v>0.0037</v>
      </c>
      <c r="R294" s="1">
        <v>15915.0</v>
      </c>
    </row>
    <row r="295">
      <c r="A295" s="663" t="s">
        <v>2173</v>
      </c>
      <c r="B295" s="663" t="s">
        <v>1192</v>
      </c>
      <c r="C295" s="663" t="s">
        <v>52</v>
      </c>
      <c r="D295" s="663" t="s">
        <v>599</v>
      </c>
      <c r="E295" s="664" t="s">
        <v>14</v>
      </c>
      <c r="F295" s="665">
        <v>2252.0</v>
      </c>
      <c r="G295" s="665">
        <v>254.0</v>
      </c>
      <c r="H295" s="665">
        <v>11.28</v>
      </c>
      <c r="I295" s="665">
        <v>46.71</v>
      </c>
      <c r="J295" s="665">
        <v>3.21</v>
      </c>
      <c r="K295" s="665">
        <v>8764.0</v>
      </c>
      <c r="L295" s="665">
        <v>18764.0</v>
      </c>
      <c r="M295" s="665">
        <v>3.89</v>
      </c>
      <c r="N295" s="1">
        <v>34.5039</v>
      </c>
      <c r="O295" s="1">
        <v>8764.0</v>
      </c>
      <c r="P295" s="1">
        <v>18764.0</v>
      </c>
      <c r="Q295" s="1">
        <v>3.8917</v>
      </c>
      <c r="R295" s="1">
        <v>15915.0</v>
      </c>
    </row>
    <row r="296">
      <c r="A296" s="663" t="s">
        <v>2173</v>
      </c>
      <c r="B296" s="663" t="s">
        <v>1192</v>
      </c>
      <c r="C296" s="663" t="s">
        <v>52</v>
      </c>
      <c r="D296" s="663" t="s">
        <v>599</v>
      </c>
      <c r="E296" s="664" t="s">
        <v>397</v>
      </c>
      <c r="F296" s="665">
        <v>2252.0</v>
      </c>
      <c r="G296" s="665">
        <v>1367.0</v>
      </c>
      <c r="H296" s="665">
        <v>60.7</v>
      </c>
      <c r="I296" s="665">
        <v>12.84</v>
      </c>
      <c r="J296" s="665">
        <v>36.45</v>
      </c>
      <c r="K296" s="665">
        <v>2410.0</v>
      </c>
      <c r="L296" s="665">
        <v>18764.0</v>
      </c>
      <c r="M296" s="665">
        <v>1.07</v>
      </c>
      <c r="N296" s="1">
        <v>1.763</v>
      </c>
      <c r="O296" s="1">
        <v>2410.0</v>
      </c>
      <c r="P296" s="1">
        <v>18764.0</v>
      </c>
      <c r="Q296" s="1">
        <v>1.0702</v>
      </c>
      <c r="R296" s="1">
        <v>15915.0</v>
      </c>
    </row>
    <row r="297">
      <c r="A297" s="663" t="s">
        <v>2173</v>
      </c>
      <c r="B297" s="663" t="s">
        <v>1192</v>
      </c>
      <c r="C297" s="663" t="s">
        <v>52</v>
      </c>
      <c r="D297" s="663" t="s">
        <v>599</v>
      </c>
      <c r="E297" s="664" t="s">
        <v>393</v>
      </c>
      <c r="F297" s="665">
        <v>2252.0</v>
      </c>
      <c r="G297" s="665">
        <v>595.0</v>
      </c>
      <c r="H297" s="665">
        <v>26.42</v>
      </c>
      <c r="I297" s="665">
        <v>9.22</v>
      </c>
      <c r="J297" s="665">
        <v>11.48</v>
      </c>
      <c r="K297" s="665">
        <v>1730.0</v>
      </c>
      <c r="L297" s="665">
        <v>18764.0</v>
      </c>
      <c r="M297" s="665">
        <v>0.77</v>
      </c>
      <c r="N297" s="1">
        <v>2.9076</v>
      </c>
      <c r="O297" s="1">
        <v>1730.0</v>
      </c>
      <c r="P297" s="1">
        <v>18764.0</v>
      </c>
      <c r="Q297" s="1">
        <v>0.7682</v>
      </c>
      <c r="R297" s="1">
        <v>15915.0</v>
      </c>
    </row>
    <row r="298">
      <c r="A298" s="663" t="s">
        <v>2173</v>
      </c>
      <c r="B298" s="663" t="s">
        <v>1192</v>
      </c>
      <c r="C298" s="663" t="s">
        <v>52</v>
      </c>
      <c r="D298" s="663" t="s">
        <v>599</v>
      </c>
      <c r="E298" s="664" t="s">
        <v>15</v>
      </c>
      <c r="F298" s="665">
        <v>2252.0</v>
      </c>
      <c r="G298" s="665">
        <v>619.0</v>
      </c>
      <c r="H298" s="665">
        <v>27.49</v>
      </c>
      <c r="I298" s="665">
        <v>8.29</v>
      </c>
      <c r="J298" s="665">
        <v>12.83</v>
      </c>
      <c r="K298" s="665">
        <v>1555.0</v>
      </c>
      <c r="L298" s="665">
        <v>18764.0</v>
      </c>
      <c r="M298" s="665">
        <v>0.69</v>
      </c>
      <c r="N298" s="1">
        <v>2.5121</v>
      </c>
      <c r="O298" s="1">
        <v>1555.0</v>
      </c>
      <c r="P298" s="1">
        <v>18764.0</v>
      </c>
      <c r="Q298" s="1">
        <v>0.6905</v>
      </c>
      <c r="R298" s="1">
        <v>15915.0</v>
      </c>
    </row>
    <row r="299">
      <c r="A299" s="663" t="s">
        <v>2173</v>
      </c>
      <c r="B299" s="663" t="s">
        <v>1192</v>
      </c>
      <c r="C299" s="663" t="s">
        <v>52</v>
      </c>
      <c r="D299" s="663" t="s">
        <v>599</v>
      </c>
      <c r="E299" s="664" t="s">
        <v>398</v>
      </c>
      <c r="F299" s="665">
        <v>2252.0</v>
      </c>
      <c r="G299" s="665">
        <v>233.0</v>
      </c>
      <c r="H299" s="665">
        <v>10.35</v>
      </c>
      <c r="I299" s="665">
        <v>3.55</v>
      </c>
      <c r="J299" s="665">
        <v>1.57</v>
      </c>
      <c r="K299" s="665">
        <v>666.0</v>
      </c>
      <c r="L299" s="665">
        <v>18764.0</v>
      </c>
      <c r="M299" s="665">
        <v>0.3</v>
      </c>
      <c r="N299" s="1">
        <v>2.8584</v>
      </c>
      <c r="O299" s="1">
        <v>666.0</v>
      </c>
      <c r="P299" s="1">
        <v>18764.0</v>
      </c>
      <c r="Q299" s="1">
        <v>0.2957</v>
      </c>
      <c r="R299" s="1">
        <v>15915.0</v>
      </c>
    </row>
    <row r="300">
      <c r="A300" s="663" t="s">
        <v>2173</v>
      </c>
      <c r="B300" s="663" t="s">
        <v>1192</v>
      </c>
      <c r="C300" s="663" t="s">
        <v>52</v>
      </c>
      <c r="D300" s="663" t="s">
        <v>599</v>
      </c>
      <c r="E300" s="664" t="s">
        <v>51</v>
      </c>
      <c r="F300" s="665">
        <v>2252.0</v>
      </c>
      <c r="G300" s="665">
        <v>260.0</v>
      </c>
      <c r="H300" s="665">
        <v>11.55</v>
      </c>
      <c r="I300" s="665">
        <v>2.73</v>
      </c>
      <c r="J300" s="665">
        <v>2.93</v>
      </c>
      <c r="K300" s="665">
        <v>512.0</v>
      </c>
      <c r="L300" s="665">
        <v>18764.0</v>
      </c>
      <c r="M300" s="665">
        <v>0.23</v>
      </c>
      <c r="N300" s="1">
        <v>1.9692</v>
      </c>
      <c r="O300" s="1">
        <v>512.0</v>
      </c>
      <c r="P300" s="1">
        <v>18764.0</v>
      </c>
      <c r="Q300" s="1">
        <v>0.2274</v>
      </c>
      <c r="R300" s="1">
        <v>15915.0</v>
      </c>
    </row>
    <row r="301">
      <c r="A301" s="663" t="s">
        <v>2173</v>
      </c>
      <c r="B301" s="663" t="s">
        <v>1192</v>
      </c>
      <c r="C301" s="663" t="s">
        <v>52</v>
      </c>
      <c r="D301" s="663" t="s">
        <v>599</v>
      </c>
      <c r="E301" s="664" t="s">
        <v>9</v>
      </c>
      <c r="F301" s="665">
        <v>2252.0</v>
      </c>
      <c r="G301" s="665">
        <v>221.0</v>
      </c>
      <c r="H301" s="665">
        <v>9.81</v>
      </c>
      <c r="I301" s="665">
        <v>2.06</v>
      </c>
      <c r="J301" s="665">
        <v>0.96</v>
      </c>
      <c r="K301" s="665">
        <v>386.0</v>
      </c>
      <c r="L301" s="665">
        <v>18764.0</v>
      </c>
      <c r="M301" s="665">
        <v>0.17</v>
      </c>
      <c r="N301" s="1">
        <v>1.7466</v>
      </c>
      <c r="O301" s="1">
        <v>386.0</v>
      </c>
      <c r="P301" s="1">
        <v>18764.0</v>
      </c>
      <c r="Q301" s="1">
        <v>0.1714</v>
      </c>
      <c r="R301" s="1">
        <v>15915.0</v>
      </c>
    </row>
    <row r="302">
      <c r="A302" s="663" t="s">
        <v>2173</v>
      </c>
      <c r="B302" s="663" t="s">
        <v>1192</v>
      </c>
      <c r="C302" s="663" t="s">
        <v>52</v>
      </c>
      <c r="D302" s="663" t="s">
        <v>599</v>
      </c>
      <c r="E302" s="664" t="s">
        <v>63</v>
      </c>
      <c r="F302" s="665">
        <v>2252.0</v>
      </c>
      <c r="G302" s="665">
        <v>284.0</v>
      </c>
      <c r="H302" s="665">
        <v>12.61</v>
      </c>
      <c r="I302" s="665">
        <v>2.05</v>
      </c>
      <c r="J302" s="665">
        <v>4.31</v>
      </c>
      <c r="K302" s="665">
        <v>385.0</v>
      </c>
      <c r="L302" s="665">
        <v>18764.0</v>
      </c>
      <c r="M302" s="665">
        <v>0.17</v>
      </c>
      <c r="N302" s="1">
        <v>1.3556</v>
      </c>
      <c r="O302" s="1">
        <v>385.0</v>
      </c>
      <c r="P302" s="1">
        <v>18764.0</v>
      </c>
      <c r="Q302" s="1">
        <v>0.171</v>
      </c>
      <c r="R302" s="1">
        <v>15915.0</v>
      </c>
    </row>
    <row r="303">
      <c r="A303" s="663" t="s">
        <v>2173</v>
      </c>
      <c r="B303" s="663" t="s">
        <v>1192</v>
      </c>
      <c r="C303" s="663" t="s">
        <v>52</v>
      </c>
      <c r="D303" s="663" t="s">
        <v>599</v>
      </c>
      <c r="E303" s="664" t="s">
        <v>16</v>
      </c>
      <c r="F303" s="665">
        <v>2252.0</v>
      </c>
      <c r="G303" s="665">
        <v>324.0</v>
      </c>
      <c r="H303" s="665">
        <v>14.39</v>
      </c>
      <c r="I303" s="665">
        <v>2.05</v>
      </c>
      <c r="J303" s="665">
        <v>8.74</v>
      </c>
      <c r="K303" s="665">
        <v>385.0</v>
      </c>
      <c r="L303" s="665">
        <v>18764.0</v>
      </c>
      <c r="M303" s="665">
        <v>0.17</v>
      </c>
      <c r="N303" s="1">
        <v>1.1883</v>
      </c>
      <c r="O303" s="1">
        <v>385.0</v>
      </c>
      <c r="P303" s="1">
        <v>18764.0</v>
      </c>
      <c r="Q303" s="1">
        <v>0.171</v>
      </c>
      <c r="R303" s="1">
        <v>15915.0</v>
      </c>
    </row>
    <row r="304">
      <c r="A304" s="663" t="s">
        <v>2173</v>
      </c>
      <c r="B304" s="663" t="s">
        <v>1192</v>
      </c>
      <c r="C304" s="663" t="s">
        <v>52</v>
      </c>
      <c r="D304" s="663" t="s">
        <v>599</v>
      </c>
      <c r="E304" s="664" t="s">
        <v>413</v>
      </c>
      <c r="F304" s="665">
        <v>2252.0</v>
      </c>
      <c r="G304" s="665">
        <v>170.0</v>
      </c>
      <c r="H304" s="665">
        <v>7.55</v>
      </c>
      <c r="I304" s="665">
        <v>1.7</v>
      </c>
      <c r="J304" s="665">
        <v>1.58</v>
      </c>
      <c r="K304" s="665">
        <v>319.0</v>
      </c>
      <c r="L304" s="665">
        <v>18764.0</v>
      </c>
      <c r="M304" s="665">
        <v>0.14</v>
      </c>
      <c r="N304" s="1">
        <v>1.8765</v>
      </c>
      <c r="O304" s="1">
        <v>319.0</v>
      </c>
      <c r="P304" s="1">
        <v>18764.0</v>
      </c>
      <c r="Q304" s="1">
        <v>0.1417</v>
      </c>
      <c r="R304" s="1">
        <v>15915.0</v>
      </c>
    </row>
    <row r="305">
      <c r="A305" s="663" t="s">
        <v>2173</v>
      </c>
      <c r="B305" s="663" t="s">
        <v>1192</v>
      </c>
      <c r="C305" s="663" t="s">
        <v>52</v>
      </c>
      <c r="D305" s="663" t="s">
        <v>599</v>
      </c>
      <c r="E305" s="664" t="s">
        <v>411</v>
      </c>
      <c r="F305" s="665">
        <v>2252.0</v>
      </c>
      <c r="G305" s="665">
        <v>137.0</v>
      </c>
      <c r="H305" s="665">
        <v>6.08</v>
      </c>
      <c r="I305" s="665">
        <v>1.61</v>
      </c>
      <c r="J305" s="665">
        <v>2.37</v>
      </c>
      <c r="K305" s="665">
        <v>302.0</v>
      </c>
      <c r="L305" s="665">
        <v>18764.0</v>
      </c>
      <c r="M305" s="665">
        <v>0.13</v>
      </c>
      <c r="N305" s="1">
        <v>2.2044</v>
      </c>
      <c r="O305" s="1">
        <v>302.0</v>
      </c>
      <c r="P305" s="1">
        <v>18764.0</v>
      </c>
      <c r="Q305" s="1">
        <v>0.1341</v>
      </c>
      <c r="R305" s="1">
        <v>15915.0</v>
      </c>
    </row>
    <row r="306">
      <c r="A306" s="663" t="s">
        <v>2173</v>
      </c>
      <c r="B306" s="663" t="s">
        <v>1192</v>
      </c>
      <c r="C306" s="663" t="s">
        <v>52</v>
      </c>
      <c r="D306" s="663" t="s">
        <v>599</v>
      </c>
      <c r="E306" s="664" t="s">
        <v>338</v>
      </c>
      <c r="F306" s="665">
        <v>2252.0</v>
      </c>
      <c r="G306" s="665">
        <v>230.0</v>
      </c>
      <c r="H306" s="665">
        <v>10.21</v>
      </c>
      <c r="I306" s="665">
        <v>1.38</v>
      </c>
      <c r="J306" s="665">
        <v>3.41</v>
      </c>
      <c r="K306" s="665">
        <v>259.0</v>
      </c>
      <c r="L306" s="665">
        <v>18764.0</v>
      </c>
      <c r="M306" s="665">
        <v>0.12</v>
      </c>
      <c r="N306" s="1">
        <v>1.1261</v>
      </c>
      <c r="O306" s="1">
        <v>259.0</v>
      </c>
      <c r="P306" s="1">
        <v>18764.0</v>
      </c>
      <c r="Q306" s="1">
        <v>0.115</v>
      </c>
      <c r="R306" s="1">
        <v>15915.0</v>
      </c>
    </row>
    <row r="307">
      <c r="A307" s="663" t="s">
        <v>2173</v>
      </c>
      <c r="B307" s="663" t="s">
        <v>1192</v>
      </c>
      <c r="C307" s="663" t="s">
        <v>52</v>
      </c>
      <c r="D307" s="663" t="s">
        <v>599</v>
      </c>
      <c r="E307" s="664" t="s">
        <v>396</v>
      </c>
      <c r="F307" s="665">
        <v>2252.0</v>
      </c>
      <c r="G307" s="665">
        <v>175.0</v>
      </c>
      <c r="H307" s="665">
        <v>7.77</v>
      </c>
      <c r="I307" s="665">
        <v>1.32</v>
      </c>
      <c r="J307" s="665">
        <v>0.65</v>
      </c>
      <c r="K307" s="665">
        <v>248.0</v>
      </c>
      <c r="L307" s="665">
        <v>18764.0</v>
      </c>
      <c r="M307" s="665">
        <v>0.11</v>
      </c>
      <c r="N307" s="1">
        <v>1.4171</v>
      </c>
      <c r="O307" s="1">
        <v>248.0</v>
      </c>
      <c r="P307" s="1">
        <v>18764.0</v>
      </c>
      <c r="Q307" s="1">
        <v>0.1101</v>
      </c>
      <c r="R307" s="1">
        <v>15915.0</v>
      </c>
    </row>
    <row r="308">
      <c r="A308" s="663" t="s">
        <v>2173</v>
      </c>
      <c r="B308" s="663" t="s">
        <v>1192</v>
      </c>
      <c r="C308" s="663" t="s">
        <v>52</v>
      </c>
      <c r="D308" s="663" t="s">
        <v>599</v>
      </c>
      <c r="E308" s="664" t="s">
        <v>341</v>
      </c>
      <c r="F308" s="665">
        <v>2252.0</v>
      </c>
      <c r="G308" s="665">
        <v>219.0</v>
      </c>
      <c r="H308" s="665">
        <v>9.72</v>
      </c>
      <c r="I308" s="665">
        <v>1.27</v>
      </c>
      <c r="J308" s="665">
        <v>4.13</v>
      </c>
      <c r="K308" s="665">
        <v>239.0</v>
      </c>
      <c r="L308" s="665">
        <v>18764.0</v>
      </c>
      <c r="M308" s="665">
        <v>0.11</v>
      </c>
      <c r="N308" s="1">
        <v>1.0913</v>
      </c>
      <c r="O308" s="1">
        <v>239.0</v>
      </c>
      <c r="P308" s="1">
        <v>18764.0</v>
      </c>
      <c r="Q308" s="1">
        <v>0.1061</v>
      </c>
      <c r="R308" s="1">
        <v>15915.0</v>
      </c>
    </row>
    <row r="309">
      <c r="A309" s="663" t="s">
        <v>2173</v>
      </c>
      <c r="B309" s="663" t="s">
        <v>1192</v>
      </c>
      <c r="C309" s="663" t="s">
        <v>52</v>
      </c>
      <c r="D309" s="663" t="s">
        <v>599</v>
      </c>
      <c r="E309" s="664" t="s">
        <v>329</v>
      </c>
      <c r="F309" s="665">
        <v>2252.0</v>
      </c>
      <c r="G309" s="665">
        <v>201.0</v>
      </c>
      <c r="H309" s="665">
        <v>8.93</v>
      </c>
      <c r="I309" s="665">
        <v>1.22</v>
      </c>
      <c r="J309" s="665">
        <v>3.68</v>
      </c>
      <c r="K309" s="665">
        <v>229.0</v>
      </c>
      <c r="L309" s="665">
        <v>18764.0</v>
      </c>
      <c r="M309" s="665">
        <v>0.1</v>
      </c>
      <c r="N309" s="1">
        <v>1.1393</v>
      </c>
      <c r="O309" s="1">
        <v>229.0</v>
      </c>
      <c r="P309" s="1">
        <v>18764.0</v>
      </c>
      <c r="Q309" s="1">
        <v>0.1017</v>
      </c>
      <c r="R309" s="1">
        <v>15915.0</v>
      </c>
    </row>
    <row r="310">
      <c r="A310" s="663" t="s">
        <v>2173</v>
      </c>
      <c r="B310" s="663" t="s">
        <v>1192</v>
      </c>
      <c r="C310" s="663" t="s">
        <v>52</v>
      </c>
      <c r="D310" s="663" t="s">
        <v>599</v>
      </c>
      <c r="E310" s="664" t="s">
        <v>42</v>
      </c>
      <c r="F310" s="665">
        <v>2252.0</v>
      </c>
      <c r="G310" s="665">
        <v>125.0</v>
      </c>
      <c r="H310" s="665">
        <v>5.55</v>
      </c>
      <c r="I310" s="665">
        <v>0.93</v>
      </c>
      <c r="J310" s="665">
        <v>0.7</v>
      </c>
      <c r="K310" s="665">
        <v>174.0</v>
      </c>
      <c r="L310" s="665">
        <v>18764.0</v>
      </c>
      <c r="M310" s="665">
        <v>0.08</v>
      </c>
      <c r="N310" s="1">
        <v>1.392</v>
      </c>
      <c r="O310" s="1">
        <v>174.0</v>
      </c>
      <c r="P310" s="1">
        <v>18764.0</v>
      </c>
      <c r="Q310" s="1">
        <v>0.0773</v>
      </c>
      <c r="R310" s="1">
        <v>15915.0</v>
      </c>
    </row>
    <row r="311">
      <c r="A311" s="663" t="s">
        <v>2173</v>
      </c>
      <c r="B311" s="663" t="s">
        <v>1192</v>
      </c>
      <c r="C311" s="663" t="s">
        <v>52</v>
      </c>
      <c r="D311" s="663" t="s">
        <v>599</v>
      </c>
      <c r="E311" s="664" t="s">
        <v>401</v>
      </c>
      <c r="F311" s="665">
        <v>2252.0</v>
      </c>
      <c r="G311" s="665">
        <v>69.0</v>
      </c>
      <c r="H311" s="665">
        <v>3.06</v>
      </c>
      <c r="I311" s="665">
        <v>0.37</v>
      </c>
      <c r="J311" s="665">
        <v>0.11</v>
      </c>
      <c r="K311" s="665">
        <v>70.0</v>
      </c>
      <c r="L311" s="665">
        <v>18764.0</v>
      </c>
      <c r="M311" s="665">
        <v>0.03</v>
      </c>
      <c r="N311" s="1">
        <v>1.0145</v>
      </c>
      <c r="O311" s="1">
        <v>70.0</v>
      </c>
      <c r="P311" s="1">
        <v>18764.0</v>
      </c>
      <c r="Q311" s="1">
        <v>0.0311</v>
      </c>
      <c r="R311" s="1">
        <v>15915.0</v>
      </c>
    </row>
    <row r="312">
      <c r="A312" s="663" t="s">
        <v>2173</v>
      </c>
      <c r="B312" s="663" t="s">
        <v>1192</v>
      </c>
      <c r="C312" s="663" t="s">
        <v>52</v>
      </c>
      <c r="D312" s="663" t="s">
        <v>599</v>
      </c>
      <c r="E312" s="664" t="s">
        <v>7</v>
      </c>
      <c r="F312" s="665">
        <v>2252.0</v>
      </c>
      <c r="G312" s="665">
        <v>59.0</v>
      </c>
      <c r="H312" s="665">
        <v>2.62</v>
      </c>
      <c r="I312" s="665">
        <v>0.34</v>
      </c>
      <c r="J312" s="665">
        <v>0.65</v>
      </c>
      <c r="K312" s="665">
        <v>64.0</v>
      </c>
      <c r="L312" s="665">
        <v>18764.0</v>
      </c>
      <c r="M312" s="665">
        <v>0.03</v>
      </c>
      <c r="N312" s="1">
        <v>1.0847</v>
      </c>
      <c r="O312" s="1">
        <v>64.0</v>
      </c>
      <c r="P312" s="1">
        <v>18764.0</v>
      </c>
      <c r="Q312" s="1">
        <v>0.0284</v>
      </c>
      <c r="R312" s="1">
        <v>15915.0</v>
      </c>
    </row>
    <row r="313">
      <c r="A313" s="663" t="s">
        <v>2173</v>
      </c>
      <c r="B313" s="663" t="s">
        <v>1192</v>
      </c>
      <c r="C313" s="663" t="s">
        <v>52</v>
      </c>
      <c r="D313" s="663" t="s">
        <v>599</v>
      </c>
      <c r="E313" s="664" t="s">
        <v>206</v>
      </c>
      <c r="F313" s="665">
        <v>2252.0</v>
      </c>
      <c r="G313" s="665">
        <v>57.0</v>
      </c>
      <c r="H313" s="665">
        <v>2.53</v>
      </c>
      <c r="I313" s="665">
        <v>0.31</v>
      </c>
      <c r="J313" s="665">
        <v>0.09</v>
      </c>
      <c r="K313" s="665">
        <v>59.0</v>
      </c>
      <c r="L313" s="665">
        <v>18764.0</v>
      </c>
      <c r="M313" s="665">
        <v>0.03</v>
      </c>
      <c r="N313" s="1">
        <v>1.0351</v>
      </c>
      <c r="O313" s="1">
        <v>59.0</v>
      </c>
      <c r="P313" s="1">
        <v>18764.0</v>
      </c>
      <c r="Q313" s="1">
        <v>0.0262</v>
      </c>
      <c r="R313" s="1">
        <v>15915.0</v>
      </c>
    </row>
    <row r="314">
      <c r="A314" s="663" t="s">
        <v>2173</v>
      </c>
      <c r="B314" s="663" t="s">
        <v>1192</v>
      </c>
      <c r="C314" s="663" t="s">
        <v>52</v>
      </c>
      <c r="D314" s="663" t="s">
        <v>599</v>
      </c>
      <c r="E314" s="664" t="s">
        <v>418</v>
      </c>
      <c r="F314" s="665">
        <v>2252.0</v>
      </c>
      <c r="G314" s="665">
        <v>7.0</v>
      </c>
      <c r="H314" s="665">
        <v>0.31</v>
      </c>
      <c r="I314" s="665">
        <v>0.04</v>
      </c>
      <c r="J314" s="665">
        <v>0.13</v>
      </c>
      <c r="K314" s="665">
        <v>8.0</v>
      </c>
      <c r="L314" s="665">
        <v>18764.0</v>
      </c>
      <c r="M314" s="665">
        <v>0.0</v>
      </c>
      <c r="N314" s="1">
        <v>1.1429</v>
      </c>
      <c r="O314" s="1">
        <v>8.0</v>
      </c>
      <c r="P314" s="1">
        <v>18764.0</v>
      </c>
      <c r="Q314" s="1">
        <v>0.0036</v>
      </c>
      <c r="R314" s="1">
        <v>15915.0</v>
      </c>
    </row>
    <row r="315">
      <c r="A315" s="663" t="s">
        <v>2173</v>
      </c>
      <c r="B315" s="663" t="s">
        <v>1192</v>
      </c>
      <c r="C315" s="663" t="s">
        <v>1209</v>
      </c>
      <c r="D315" s="663" t="s">
        <v>2234</v>
      </c>
      <c r="E315" s="664" t="s">
        <v>397</v>
      </c>
      <c r="F315" s="665">
        <v>350.0</v>
      </c>
      <c r="G315" s="665">
        <v>173.0</v>
      </c>
      <c r="H315" s="665">
        <v>49.43</v>
      </c>
      <c r="I315" s="665">
        <v>38.79</v>
      </c>
      <c r="J315" s="665">
        <v>36.77</v>
      </c>
      <c r="K315" s="665">
        <v>5430.0</v>
      </c>
      <c r="L315" s="665">
        <v>14000.0</v>
      </c>
      <c r="M315" s="665">
        <v>15.51</v>
      </c>
      <c r="N315" s="1">
        <v>31.3873</v>
      </c>
      <c r="O315" s="1">
        <v>5430.0</v>
      </c>
      <c r="P315" s="1">
        <v>14000.0</v>
      </c>
      <c r="Q315" s="1">
        <v>15.5143</v>
      </c>
      <c r="R315" s="1">
        <v>15915.0</v>
      </c>
    </row>
    <row r="316">
      <c r="A316" s="663" t="s">
        <v>2173</v>
      </c>
      <c r="B316" s="663" t="s">
        <v>1192</v>
      </c>
      <c r="C316" s="663" t="s">
        <v>1209</v>
      </c>
      <c r="D316" s="663" t="s">
        <v>2234</v>
      </c>
      <c r="E316" s="664" t="s">
        <v>206</v>
      </c>
      <c r="F316" s="665">
        <v>350.0</v>
      </c>
      <c r="G316" s="665">
        <v>195.0</v>
      </c>
      <c r="H316" s="665">
        <v>55.71</v>
      </c>
      <c r="I316" s="665">
        <v>21.5</v>
      </c>
      <c r="J316" s="665">
        <v>23.57</v>
      </c>
      <c r="K316" s="665">
        <v>3010.0</v>
      </c>
      <c r="L316" s="665">
        <v>14000.0</v>
      </c>
      <c r="M316" s="665">
        <v>8.6</v>
      </c>
      <c r="N316" s="1">
        <v>15.4359</v>
      </c>
      <c r="O316" s="1">
        <v>3010.0</v>
      </c>
      <c r="P316" s="1">
        <v>14000.0</v>
      </c>
      <c r="Q316" s="1">
        <v>8.6</v>
      </c>
      <c r="R316" s="1">
        <v>15915.0</v>
      </c>
    </row>
    <row r="317">
      <c r="A317" s="663" t="s">
        <v>2173</v>
      </c>
      <c r="B317" s="663" t="s">
        <v>1192</v>
      </c>
      <c r="C317" s="663" t="s">
        <v>1209</v>
      </c>
      <c r="D317" s="663" t="s">
        <v>2234</v>
      </c>
      <c r="E317" s="664" t="s">
        <v>401</v>
      </c>
      <c r="F317" s="665">
        <v>350.0</v>
      </c>
      <c r="G317" s="665">
        <v>178.0</v>
      </c>
      <c r="H317" s="665">
        <v>50.86</v>
      </c>
      <c r="I317" s="665">
        <v>19.64</v>
      </c>
      <c r="J317" s="665">
        <v>21.08</v>
      </c>
      <c r="K317" s="665">
        <v>2750.0</v>
      </c>
      <c r="L317" s="665">
        <v>14000.0</v>
      </c>
      <c r="M317" s="665">
        <v>7.86</v>
      </c>
      <c r="N317" s="1">
        <v>15.4494</v>
      </c>
      <c r="O317" s="1">
        <v>2750.0</v>
      </c>
      <c r="P317" s="1">
        <v>14000.0</v>
      </c>
      <c r="Q317" s="1">
        <v>7.8571</v>
      </c>
      <c r="R317" s="1">
        <v>15915.0</v>
      </c>
    </row>
    <row r="318">
      <c r="A318" s="663" t="s">
        <v>2173</v>
      </c>
      <c r="B318" s="663" t="s">
        <v>1192</v>
      </c>
      <c r="C318" s="663" t="s">
        <v>1209</v>
      </c>
      <c r="D318" s="663" t="s">
        <v>2234</v>
      </c>
      <c r="E318" s="664" t="s">
        <v>413</v>
      </c>
      <c r="F318" s="665">
        <v>350.0</v>
      </c>
      <c r="G318" s="665">
        <v>91.0</v>
      </c>
      <c r="H318" s="665">
        <v>26.0</v>
      </c>
      <c r="I318" s="665">
        <v>12.46</v>
      </c>
      <c r="J318" s="665">
        <v>11.95</v>
      </c>
      <c r="K318" s="665">
        <v>1745.0</v>
      </c>
      <c r="L318" s="665">
        <v>14000.0</v>
      </c>
      <c r="M318" s="665">
        <v>4.99</v>
      </c>
      <c r="N318" s="1">
        <v>19.1758</v>
      </c>
      <c r="O318" s="1">
        <v>1745.0</v>
      </c>
      <c r="P318" s="1">
        <v>14000.0</v>
      </c>
      <c r="Q318" s="1">
        <v>4.9857</v>
      </c>
      <c r="R318" s="1">
        <v>15915.0</v>
      </c>
    </row>
    <row r="319">
      <c r="A319" s="663" t="s">
        <v>2173</v>
      </c>
      <c r="B319" s="663" t="s">
        <v>1192</v>
      </c>
      <c r="C319" s="663" t="s">
        <v>1209</v>
      </c>
      <c r="D319" s="663" t="s">
        <v>2234</v>
      </c>
      <c r="E319" s="664" t="s">
        <v>73</v>
      </c>
      <c r="F319" s="665">
        <v>350.0</v>
      </c>
      <c r="G319" s="665">
        <v>65.0</v>
      </c>
      <c r="H319" s="665">
        <v>18.57</v>
      </c>
      <c r="I319" s="665">
        <v>6.96</v>
      </c>
      <c r="J319" s="665">
        <v>5.78</v>
      </c>
      <c r="K319" s="665">
        <v>975.0</v>
      </c>
      <c r="L319" s="665">
        <v>14000.0</v>
      </c>
      <c r="M319" s="665">
        <v>2.79</v>
      </c>
      <c r="N319" s="1">
        <v>15.0</v>
      </c>
      <c r="O319" s="1">
        <v>975.0</v>
      </c>
      <c r="P319" s="1">
        <v>14000.0</v>
      </c>
      <c r="Q319" s="1">
        <v>2.7857</v>
      </c>
      <c r="R319" s="1">
        <v>15915.0</v>
      </c>
    </row>
    <row r="320">
      <c r="A320" s="663" t="s">
        <v>2173</v>
      </c>
      <c r="B320" s="663" t="s">
        <v>1192</v>
      </c>
      <c r="C320" s="663" t="s">
        <v>1209</v>
      </c>
      <c r="D320" s="663" t="s">
        <v>2234</v>
      </c>
      <c r="E320" s="664" t="s">
        <v>411</v>
      </c>
      <c r="F320" s="665">
        <v>350.0</v>
      </c>
      <c r="G320" s="665">
        <v>3.0</v>
      </c>
      <c r="H320" s="665">
        <v>0.86</v>
      </c>
      <c r="I320" s="665">
        <v>0.64</v>
      </c>
      <c r="J320" s="665">
        <v>0.86</v>
      </c>
      <c r="K320" s="665">
        <v>90.0</v>
      </c>
      <c r="L320" s="665">
        <v>14000.0</v>
      </c>
      <c r="M320" s="665">
        <v>0.26</v>
      </c>
      <c r="N320" s="1">
        <v>30.0</v>
      </c>
      <c r="O320" s="1">
        <v>90.0</v>
      </c>
      <c r="P320" s="1">
        <v>14000.0</v>
      </c>
      <c r="Q320" s="1">
        <v>0.2571</v>
      </c>
      <c r="R320" s="1">
        <v>15915.0</v>
      </c>
    </row>
    <row r="321">
      <c r="A321" s="663" t="s">
        <v>2173</v>
      </c>
      <c r="B321" s="663" t="s">
        <v>1192</v>
      </c>
      <c r="C321" s="663" t="s">
        <v>1210</v>
      </c>
      <c r="D321" s="663" t="s">
        <v>2234</v>
      </c>
      <c r="E321" s="664" t="s">
        <v>397</v>
      </c>
      <c r="F321" s="665">
        <v>572.0</v>
      </c>
      <c r="G321" s="665">
        <v>186.0</v>
      </c>
      <c r="H321" s="665">
        <v>32.52</v>
      </c>
      <c r="I321" s="665">
        <v>35.26</v>
      </c>
      <c r="J321" s="665">
        <v>23.29</v>
      </c>
      <c r="K321" s="665">
        <v>11580.0</v>
      </c>
      <c r="L321" s="665">
        <v>32840.0</v>
      </c>
      <c r="M321" s="665">
        <v>20.24</v>
      </c>
      <c r="N321" s="1">
        <v>62.2581</v>
      </c>
      <c r="O321" s="1">
        <v>11580.0</v>
      </c>
      <c r="P321" s="1">
        <v>32840.0</v>
      </c>
      <c r="Q321" s="1">
        <v>20.2448</v>
      </c>
      <c r="R321" s="1">
        <v>15915.0</v>
      </c>
    </row>
    <row r="322">
      <c r="A322" s="663" t="s">
        <v>2173</v>
      </c>
      <c r="B322" s="663" t="s">
        <v>1192</v>
      </c>
      <c r="C322" s="663" t="s">
        <v>1210</v>
      </c>
      <c r="D322" s="663" t="s">
        <v>2234</v>
      </c>
      <c r="E322" s="664" t="s">
        <v>413</v>
      </c>
      <c r="F322" s="665">
        <v>572.0</v>
      </c>
      <c r="G322" s="665">
        <v>246.0</v>
      </c>
      <c r="H322" s="665">
        <v>43.01</v>
      </c>
      <c r="I322" s="665">
        <v>16.73</v>
      </c>
      <c r="J322" s="665">
        <v>29.14</v>
      </c>
      <c r="K322" s="665">
        <v>5495.0</v>
      </c>
      <c r="L322" s="665">
        <v>32840.0</v>
      </c>
      <c r="M322" s="665">
        <v>9.61</v>
      </c>
      <c r="N322" s="1">
        <v>22.3374</v>
      </c>
      <c r="O322" s="1">
        <v>5495.0</v>
      </c>
      <c r="P322" s="1">
        <v>32840.0</v>
      </c>
      <c r="Q322" s="1">
        <v>9.6066</v>
      </c>
      <c r="R322" s="1">
        <v>15915.0</v>
      </c>
    </row>
    <row r="323">
      <c r="A323" s="663" t="s">
        <v>2173</v>
      </c>
      <c r="B323" s="663" t="s">
        <v>1192</v>
      </c>
      <c r="C323" s="663" t="s">
        <v>1210</v>
      </c>
      <c r="D323" s="663" t="s">
        <v>2234</v>
      </c>
      <c r="E323" s="664" t="s">
        <v>401</v>
      </c>
      <c r="F323" s="665">
        <v>572.0</v>
      </c>
      <c r="G323" s="665">
        <v>263.0</v>
      </c>
      <c r="H323" s="665">
        <v>45.98</v>
      </c>
      <c r="I323" s="665">
        <v>11.71</v>
      </c>
      <c r="J323" s="665">
        <v>16.35</v>
      </c>
      <c r="K323" s="665">
        <v>3845.0</v>
      </c>
      <c r="L323" s="665">
        <v>32840.0</v>
      </c>
      <c r="M323" s="665">
        <v>6.72</v>
      </c>
      <c r="N323" s="1">
        <v>14.6198</v>
      </c>
      <c r="O323" s="1">
        <v>3845.0</v>
      </c>
      <c r="P323" s="1">
        <v>32840.0</v>
      </c>
      <c r="Q323" s="1">
        <v>6.722</v>
      </c>
      <c r="R323" s="1">
        <v>15915.0</v>
      </c>
    </row>
    <row r="324">
      <c r="A324" s="663" t="s">
        <v>2173</v>
      </c>
      <c r="B324" s="663" t="s">
        <v>1192</v>
      </c>
      <c r="C324" s="663" t="s">
        <v>1210</v>
      </c>
      <c r="D324" s="663" t="s">
        <v>2234</v>
      </c>
      <c r="E324" s="664" t="s">
        <v>9</v>
      </c>
      <c r="F324" s="665">
        <v>572.0</v>
      </c>
      <c r="G324" s="665">
        <v>220.0</v>
      </c>
      <c r="H324" s="665">
        <v>38.46</v>
      </c>
      <c r="I324" s="665">
        <v>11.54</v>
      </c>
      <c r="J324" s="665">
        <v>9.96</v>
      </c>
      <c r="K324" s="665">
        <v>3790.0</v>
      </c>
      <c r="L324" s="665">
        <v>32840.0</v>
      </c>
      <c r="M324" s="665">
        <v>6.63</v>
      </c>
      <c r="N324" s="1">
        <v>17.2273</v>
      </c>
      <c r="O324" s="1">
        <v>3790.0</v>
      </c>
      <c r="P324" s="1">
        <v>32840.0</v>
      </c>
      <c r="Q324" s="1">
        <v>6.6259</v>
      </c>
      <c r="R324" s="1">
        <v>15915.0</v>
      </c>
    </row>
    <row r="325">
      <c r="A325" s="663" t="s">
        <v>2173</v>
      </c>
      <c r="B325" s="663" t="s">
        <v>1192</v>
      </c>
      <c r="C325" s="663" t="s">
        <v>1210</v>
      </c>
      <c r="D325" s="663" t="s">
        <v>2234</v>
      </c>
      <c r="E325" s="664" t="s">
        <v>206</v>
      </c>
      <c r="F325" s="665">
        <v>572.0</v>
      </c>
      <c r="G325" s="665">
        <v>235.0</v>
      </c>
      <c r="H325" s="665">
        <v>41.08</v>
      </c>
      <c r="I325" s="665">
        <v>11.04</v>
      </c>
      <c r="J325" s="665">
        <v>12.16</v>
      </c>
      <c r="K325" s="665">
        <v>3625.0</v>
      </c>
      <c r="L325" s="665">
        <v>32840.0</v>
      </c>
      <c r="M325" s="665">
        <v>6.34</v>
      </c>
      <c r="N325" s="1">
        <v>15.4255</v>
      </c>
      <c r="O325" s="1">
        <v>3625.0</v>
      </c>
      <c r="P325" s="1">
        <v>32840.0</v>
      </c>
      <c r="Q325" s="1">
        <v>6.3374</v>
      </c>
      <c r="R325" s="1">
        <v>15915.0</v>
      </c>
    </row>
    <row r="326">
      <c r="A326" s="663" t="s">
        <v>2173</v>
      </c>
      <c r="B326" s="663" t="s">
        <v>1192</v>
      </c>
      <c r="C326" s="663" t="s">
        <v>1210</v>
      </c>
      <c r="D326" s="663" t="s">
        <v>2234</v>
      </c>
      <c r="E326" s="664" t="s">
        <v>14</v>
      </c>
      <c r="F326" s="665">
        <v>572.0</v>
      </c>
      <c r="G326" s="665">
        <v>120.0</v>
      </c>
      <c r="H326" s="665">
        <v>20.98</v>
      </c>
      <c r="I326" s="665">
        <v>8.71</v>
      </c>
      <c r="J326" s="665">
        <v>4.32</v>
      </c>
      <c r="K326" s="665">
        <v>2860.0</v>
      </c>
      <c r="L326" s="665">
        <v>32840.0</v>
      </c>
      <c r="M326" s="665">
        <v>5.0</v>
      </c>
      <c r="N326" s="1">
        <v>23.8333</v>
      </c>
      <c r="O326" s="1">
        <v>2860.0</v>
      </c>
      <c r="P326" s="1">
        <v>32840.0</v>
      </c>
      <c r="Q326" s="1">
        <v>5.0</v>
      </c>
      <c r="R326" s="1">
        <v>15915.0</v>
      </c>
    </row>
    <row r="327">
      <c r="A327" s="663" t="s">
        <v>2173</v>
      </c>
      <c r="B327" s="663" t="s">
        <v>1192</v>
      </c>
      <c r="C327" s="663" t="s">
        <v>1210</v>
      </c>
      <c r="D327" s="663" t="s">
        <v>2234</v>
      </c>
      <c r="E327" s="664" t="s">
        <v>73</v>
      </c>
      <c r="F327" s="665">
        <v>572.0</v>
      </c>
      <c r="G327" s="665">
        <v>103.0</v>
      </c>
      <c r="H327" s="665">
        <v>18.01</v>
      </c>
      <c r="I327" s="665">
        <v>4.7</v>
      </c>
      <c r="J327" s="665">
        <v>4.14</v>
      </c>
      <c r="K327" s="665">
        <v>1545.0</v>
      </c>
      <c r="L327" s="665">
        <v>32840.0</v>
      </c>
      <c r="M327" s="665">
        <v>2.7</v>
      </c>
      <c r="N327" s="1">
        <v>15.0</v>
      </c>
      <c r="O327" s="1">
        <v>1545.0</v>
      </c>
      <c r="P327" s="1">
        <v>32840.0</v>
      </c>
      <c r="Q327" s="1">
        <v>2.701</v>
      </c>
      <c r="R327" s="1">
        <v>15915.0</v>
      </c>
    </row>
    <row r="328">
      <c r="A328" s="663" t="s">
        <v>2173</v>
      </c>
      <c r="B328" s="663" t="s">
        <v>1192</v>
      </c>
      <c r="C328" s="663" t="s">
        <v>1210</v>
      </c>
      <c r="D328" s="663" t="s">
        <v>2234</v>
      </c>
      <c r="E328" s="664" t="s">
        <v>411</v>
      </c>
      <c r="F328" s="665">
        <v>572.0</v>
      </c>
      <c r="G328" s="665">
        <v>3.0</v>
      </c>
      <c r="H328" s="665">
        <v>0.52</v>
      </c>
      <c r="I328" s="665">
        <v>0.27</v>
      </c>
      <c r="J328" s="665">
        <v>0.47</v>
      </c>
      <c r="K328" s="665">
        <v>90.0</v>
      </c>
      <c r="L328" s="665">
        <v>32840.0</v>
      </c>
      <c r="M328" s="665">
        <v>0.16</v>
      </c>
      <c r="N328" s="1">
        <v>30.0</v>
      </c>
      <c r="O328" s="1">
        <v>90.0</v>
      </c>
      <c r="P328" s="1">
        <v>32840.0</v>
      </c>
      <c r="Q328" s="1">
        <v>0.1573</v>
      </c>
      <c r="R328" s="1">
        <v>15915.0</v>
      </c>
    </row>
    <row r="329">
      <c r="A329" s="663" t="s">
        <v>2173</v>
      </c>
      <c r="B329" s="663" t="s">
        <v>1192</v>
      </c>
      <c r="C329" s="663" t="s">
        <v>1210</v>
      </c>
      <c r="D329" s="663" t="s">
        <v>2234</v>
      </c>
      <c r="E329" s="664" t="s">
        <v>151</v>
      </c>
      <c r="F329" s="665">
        <v>572.0</v>
      </c>
      <c r="G329" s="665">
        <v>1.0</v>
      </c>
      <c r="H329" s="665">
        <v>0.17</v>
      </c>
      <c r="I329" s="665">
        <v>0.03</v>
      </c>
      <c r="J329" s="665">
        <v>0.17</v>
      </c>
      <c r="K329" s="665">
        <v>10.0</v>
      </c>
      <c r="L329" s="665">
        <v>32840.0</v>
      </c>
      <c r="M329" s="665">
        <v>0.02</v>
      </c>
      <c r="N329" s="1">
        <v>10.0</v>
      </c>
      <c r="O329" s="1">
        <v>10.0</v>
      </c>
      <c r="P329" s="1">
        <v>32840.0</v>
      </c>
      <c r="Q329" s="1">
        <v>0.0175</v>
      </c>
      <c r="R329" s="1">
        <v>15915.0</v>
      </c>
    </row>
    <row r="330">
      <c r="A330" s="663" t="s">
        <v>2173</v>
      </c>
      <c r="B330" s="663" t="s">
        <v>1192</v>
      </c>
      <c r="C330" s="663" t="s">
        <v>1211</v>
      </c>
      <c r="D330" s="663" t="s">
        <v>2234</v>
      </c>
      <c r="E330" s="664" t="s">
        <v>397</v>
      </c>
      <c r="F330" s="665">
        <v>736.0</v>
      </c>
      <c r="G330" s="665">
        <v>162.0</v>
      </c>
      <c r="H330" s="665">
        <v>22.01</v>
      </c>
      <c r="I330" s="665">
        <v>30.99</v>
      </c>
      <c r="J330" s="665">
        <v>16.54</v>
      </c>
      <c r="K330" s="665">
        <v>10320.0</v>
      </c>
      <c r="L330" s="665">
        <v>33300.0</v>
      </c>
      <c r="M330" s="665">
        <v>14.02</v>
      </c>
      <c r="N330" s="1">
        <v>63.7037</v>
      </c>
      <c r="O330" s="1">
        <v>10320.0</v>
      </c>
      <c r="P330" s="1">
        <v>33300.0</v>
      </c>
      <c r="Q330" s="1">
        <v>14.0217</v>
      </c>
      <c r="R330" s="1">
        <v>15915.0</v>
      </c>
    </row>
    <row r="331">
      <c r="A331" s="663" t="s">
        <v>2173</v>
      </c>
      <c r="B331" s="663" t="s">
        <v>1192</v>
      </c>
      <c r="C331" s="663" t="s">
        <v>1211</v>
      </c>
      <c r="D331" s="663" t="s">
        <v>2234</v>
      </c>
      <c r="E331" s="664" t="s">
        <v>413</v>
      </c>
      <c r="F331" s="665">
        <v>736.0</v>
      </c>
      <c r="G331" s="665">
        <v>368.0</v>
      </c>
      <c r="H331" s="665">
        <v>50.0</v>
      </c>
      <c r="I331" s="665">
        <v>20.3</v>
      </c>
      <c r="J331" s="665">
        <v>35.98</v>
      </c>
      <c r="K331" s="665">
        <v>6760.0</v>
      </c>
      <c r="L331" s="665">
        <v>33300.0</v>
      </c>
      <c r="M331" s="665">
        <v>9.18</v>
      </c>
      <c r="N331" s="1">
        <v>18.3696</v>
      </c>
      <c r="O331" s="1">
        <v>6760.0</v>
      </c>
      <c r="P331" s="1">
        <v>33300.0</v>
      </c>
      <c r="Q331" s="1">
        <v>9.1848</v>
      </c>
      <c r="R331" s="1">
        <v>15915.0</v>
      </c>
    </row>
    <row r="332">
      <c r="A332" s="663" t="s">
        <v>2173</v>
      </c>
      <c r="B332" s="663" t="s">
        <v>1192</v>
      </c>
      <c r="C332" s="663" t="s">
        <v>1211</v>
      </c>
      <c r="D332" s="663" t="s">
        <v>2234</v>
      </c>
      <c r="E332" s="664" t="s">
        <v>401</v>
      </c>
      <c r="F332" s="665">
        <v>736.0</v>
      </c>
      <c r="G332" s="665">
        <v>305.0</v>
      </c>
      <c r="H332" s="665">
        <v>41.44</v>
      </c>
      <c r="I332" s="665">
        <v>15.41</v>
      </c>
      <c r="J332" s="665">
        <v>17.99</v>
      </c>
      <c r="K332" s="665">
        <v>5130.0</v>
      </c>
      <c r="L332" s="665">
        <v>33300.0</v>
      </c>
      <c r="M332" s="665">
        <v>6.97</v>
      </c>
      <c r="N332" s="1">
        <v>16.8197</v>
      </c>
      <c r="O332" s="1">
        <v>5130.0</v>
      </c>
      <c r="P332" s="1">
        <v>33300.0</v>
      </c>
      <c r="Q332" s="1">
        <v>6.9701</v>
      </c>
      <c r="R332" s="1">
        <v>15915.0</v>
      </c>
    </row>
    <row r="333">
      <c r="A333" s="663" t="s">
        <v>2173</v>
      </c>
      <c r="B333" s="663" t="s">
        <v>1192</v>
      </c>
      <c r="C333" s="663" t="s">
        <v>1211</v>
      </c>
      <c r="D333" s="663" t="s">
        <v>2234</v>
      </c>
      <c r="E333" s="664" t="s">
        <v>206</v>
      </c>
      <c r="F333" s="665">
        <v>736.0</v>
      </c>
      <c r="G333" s="665">
        <v>257.0</v>
      </c>
      <c r="H333" s="665">
        <v>34.92</v>
      </c>
      <c r="I333" s="665">
        <v>13.47</v>
      </c>
      <c r="J333" s="665">
        <v>12.38</v>
      </c>
      <c r="K333" s="665">
        <v>4485.0</v>
      </c>
      <c r="L333" s="665">
        <v>33300.0</v>
      </c>
      <c r="M333" s="665">
        <v>6.09</v>
      </c>
      <c r="N333" s="1">
        <v>17.4514</v>
      </c>
      <c r="O333" s="1">
        <v>4485.0</v>
      </c>
      <c r="P333" s="1">
        <v>33300.0</v>
      </c>
      <c r="Q333" s="1">
        <v>6.0938</v>
      </c>
      <c r="R333" s="1">
        <v>15915.0</v>
      </c>
    </row>
    <row r="334">
      <c r="A334" s="663" t="s">
        <v>2173</v>
      </c>
      <c r="B334" s="663" t="s">
        <v>1192</v>
      </c>
      <c r="C334" s="663" t="s">
        <v>1211</v>
      </c>
      <c r="D334" s="663" t="s">
        <v>2234</v>
      </c>
      <c r="E334" s="664" t="s">
        <v>9</v>
      </c>
      <c r="F334" s="665">
        <v>736.0</v>
      </c>
      <c r="G334" s="665">
        <v>229.0</v>
      </c>
      <c r="H334" s="665">
        <v>31.11</v>
      </c>
      <c r="I334" s="665">
        <v>11.44</v>
      </c>
      <c r="J334" s="665">
        <v>9.12</v>
      </c>
      <c r="K334" s="665">
        <v>3810.0</v>
      </c>
      <c r="L334" s="665">
        <v>33300.0</v>
      </c>
      <c r="M334" s="665">
        <v>5.18</v>
      </c>
      <c r="N334" s="1">
        <v>16.6376</v>
      </c>
      <c r="O334" s="1">
        <v>3810.0</v>
      </c>
      <c r="P334" s="1">
        <v>33300.0</v>
      </c>
      <c r="Q334" s="1">
        <v>5.1766</v>
      </c>
      <c r="R334" s="1">
        <v>15915.0</v>
      </c>
    </row>
    <row r="335">
      <c r="A335" s="663" t="s">
        <v>2173</v>
      </c>
      <c r="B335" s="663" t="s">
        <v>1192</v>
      </c>
      <c r="C335" s="663" t="s">
        <v>1211</v>
      </c>
      <c r="D335" s="663" t="s">
        <v>2234</v>
      </c>
      <c r="E335" s="664" t="s">
        <v>73</v>
      </c>
      <c r="F335" s="665">
        <v>736.0</v>
      </c>
      <c r="G335" s="665">
        <v>144.0</v>
      </c>
      <c r="H335" s="665">
        <v>19.57</v>
      </c>
      <c r="I335" s="665">
        <v>6.58</v>
      </c>
      <c r="J335" s="665">
        <v>4.59</v>
      </c>
      <c r="K335" s="665">
        <v>2190.0</v>
      </c>
      <c r="L335" s="665">
        <v>33300.0</v>
      </c>
      <c r="M335" s="665">
        <v>2.98</v>
      </c>
      <c r="N335" s="1">
        <v>15.2083</v>
      </c>
      <c r="O335" s="1">
        <v>2190.0</v>
      </c>
      <c r="P335" s="1">
        <v>33300.0</v>
      </c>
      <c r="Q335" s="1">
        <v>2.9755</v>
      </c>
      <c r="R335" s="1">
        <v>15915.0</v>
      </c>
    </row>
    <row r="336">
      <c r="A336" s="663" t="s">
        <v>2173</v>
      </c>
      <c r="B336" s="663" t="s">
        <v>1192</v>
      </c>
      <c r="C336" s="663" t="s">
        <v>1211</v>
      </c>
      <c r="D336" s="663" t="s">
        <v>2234</v>
      </c>
      <c r="E336" s="664" t="s">
        <v>14</v>
      </c>
      <c r="F336" s="665">
        <v>736.0</v>
      </c>
      <c r="G336" s="665">
        <v>38.0</v>
      </c>
      <c r="H336" s="665">
        <v>5.16</v>
      </c>
      <c r="I336" s="665">
        <v>1.5</v>
      </c>
      <c r="J336" s="665">
        <v>2.88</v>
      </c>
      <c r="K336" s="665">
        <v>500.0</v>
      </c>
      <c r="L336" s="665">
        <v>33300.0</v>
      </c>
      <c r="M336" s="665">
        <v>0.68</v>
      </c>
      <c r="N336" s="1">
        <v>13.1579</v>
      </c>
      <c r="O336" s="1">
        <v>500.0</v>
      </c>
      <c r="P336" s="1">
        <v>33300.0</v>
      </c>
      <c r="Q336" s="1">
        <v>0.6793</v>
      </c>
      <c r="R336" s="1">
        <v>15915.0</v>
      </c>
    </row>
    <row r="337">
      <c r="A337" s="663" t="s">
        <v>2173</v>
      </c>
      <c r="B337" s="663" t="s">
        <v>1192</v>
      </c>
      <c r="C337" s="663" t="s">
        <v>1211</v>
      </c>
      <c r="D337" s="663" t="s">
        <v>2234</v>
      </c>
      <c r="E337" s="664" t="s">
        <v>411</v>
      </c>
      <c r="F337" s="665">
        <v>736.0</v>
      </c>
      <c r="G337" s="665">
        <v>3.0</v>
      </c>
      <c r="H337" s="665">
        <v>0.41</v>
      </c>
      <c r="I337" s="665">
        <v>0.27</v>
      </c>
      <c r="J337" s="665">
        <v>0.37</v>
      </c>
      <c r="K337" s="665">
        <v>90.0</v>
      </c>
      <c r="L337" s="665">
        <v>33300.0</v>
      </c>
      <c r="M337" s="665">
        <v>0.12</v>
      </c>
      <c r="N337" s="1">
        <v>30.0</v>
      </c>
      <c r="O337" s="1">
        <v>90.0</v>
      </c>
      <c r="P337" s="1">
        <v>33300.0</v>
      </c>
      <c r="Q337" s="1">
        <v>0.1223</v>
      </c>
      <c r="R337" s="1">
        <v>15915.0</v>
      </c>
    </row>
    <row r="338">
      <c r="A338" s="663" t="s">
        <v>2173</v>
      </c>
      <c r="B338" s="663" t="s">
        <v>1192</v>
      </c>
      <c r="C338" s="663" t="s">
        <v>1211</v>
      </c>
      <c r="D338" s="663" t="s">
        <v>2234</v>
      </c>
      <c r="E338" s="664" t="s">
        <v>151</v>
      </c>
      <c r="F338" s="665">
        <v>736.0</v>
      </c>
      <c r="G338" s="665">
        <v>1.0</v>
      </c>
      <c r="H338" s="665">
        <v>0.14</v>
      </c>
      <c r="I338" s="665">
        <v>0.05</v>
      </c>
      <c r="J338" s="665">
        <v>0.14</v>
      </c>
      <c r="K338" s="665">
        <v>15.0</v>
      </c>
      <c r="L338" s="665">
        <v>33300.0</v>
      </c>
      <c r="M338" s="665">
        <v>0.02</v>
      </c>
      <c r="N338" s="1">
        <v>15.0</v>
      </c>
      <c r="O338" s="1">
        <v>15.0</v>
      </c>
      <c r="P338" s="1">
        <v>33300.0</v>
      </c>
      <c r="Q338" s="1">
        <v>0.0204</v>
      </c>
      <c r="R338" s="1">
        <v>15915.0</v>
      </c>
    </row>
    <row r="339">
      <c r="A339" s="663" t="s">
        <v>2173</v>
      </c>
      <c r="B339" s="663" t="s">
        <v>1192</v>
      </c>
      <c r="C339" s="663" t="s">
        <v>55</v>
      </c>
      <c r="D339" s="663" t="s">
        <v>2234</v>
      </c>
      <c r="E339" s="664" t="s">
        <v>397</v>
      </c>
      <c r="F339" s="665">
        <v>3046.0</v>
      </c>
      <c r="G339" s="665">
        <v>2132.0</v>
      </c>
      <c r="H339" s="665">
        <v>69.99</v>
      </c>
      <c r="I339" s="665">
        <v>26.48</v>
      </c>
      <c r="J339" s="665">
        <v>41.81</v>
      </c>
      <c r="K339" s="665">
        <v>193155.0</v>
      </c>
      <c r="L339" s="665">
        <v>729451.0</v>
      </c>
      <c r="M339" s="665">
        <v>63.41</v>
      </c>
      <c r="N339" s="1">
        <v>90.598</v>
      </c>
      <c r="O339" s="1">
        <v>193155.0</v>
      </c>
      <c r="P339" s="1">
        <v>729451.0</v>
      </c>
      <c r="Q339" s="1">
        <v>63.4127</v>
      </c>
      <c r="R339" s="1">
        <v>15915.0</v>
      </c>
    </row>
    <row r="340">
      <c r="A340" s="663" t="s">
        <v>2173</v>
      </c>
      <c r="B340" s="663" t="s">
        <v>1192</v>
      </c>
      <c r="C340" s="663" t="s">
        <v>55</v>
      </c>
      <c r="D340" s="663" t="s">
        <v>2234</v>
      </c>
      <c r="E340" s="664" t="s">
        <v>51</v>
      </c>
      <c r="F340" s="665">
        <v>3046.0</v>
      </c>
      <c r="G340" s="665">
        <v>1134.0</v>
      </c>
      <c r="H340" s="665">
        <v>37.23</v>
      </c>
      <c r="I340" s="665">
        <v>18.42</v>
      </c>
      <c r="J340" s="665">
        <v>22.56</v>
      </c>
      <c r="K340" s="665">
        <v>134380.0</v>
      </c>
      <c r="L340" s="665">
        <v>729451.0</v>
      </c>
      <c r="M340" s="665">
        <v>44.12</v>
      </c>
      <c r="N340" s="1">
        <v>118.5009</v>
      </c>
      <c r="O340" s="1">
        <v>134380.0</v>
      </c>
      <c r="P340" s="1">
        <v>729451.0</v>
      </c>
      <c r="Q340" s="1">
        <v>44.1169</v>
      </c>
      <c r="R340" s="1">
        <v>15915.0</v>
      </c>
    </row>
    <row r="341">
      <c r="A341" s="663" t="s">
        <v>2173</v>
      </c>
      <c r="B341" s="663" t="s">
        <v>1192</v>
      </c>
      <c r="C341" s="663" t="s">
        <v>55</v>
      </c>
      <c r="D341" s="663" t="s">
        <v>2234</v>
      </c>
      <c r="E341" s="664" t="s">
        <v>398</v>
      </c>
      <c r="F341" s="665">
        <v>3046.0</v>
      </c>
      <c r="G341" s="665">
        <v>502.0</v>
      </c>
      <c r="H341" s="665">
        <v>16.48</v>
      </c>
      <c r="I341" s="665">
        <v>8.55</v>
      </c>
      <c r="J341" s="665">
        <v>4.92</v>
      </c>
      <c r="K341" s="665">
        <v>62360.0</v>
      </c>
      <c r="L341" s="665">
        <v>729451.0</v>
      </c>
      <c r="M341" s="665">
        <v>20.47</v>
      </c>
      <c r="N341" s="1">
        <v>124.2231</v>
      </c>
      <c r="O341" s="1">
        <v>62360.0</v>
      </c>
      <c r="P341" s="1">
        <v>729451.0</v>
      </c>
      <c r="Q341" s="1">
        <v>20.4728</v>
      </c>
      <c r="R341" s="1">
        <v>15915.0</v>
      </c>
    </row>
    <row r="342">
      <c r="A342" s="663" t="s">
        <v>2173</v>
      </c>
      <c r="B342" s="663" t="s">
        <v>1192</v>
      </c>
      <c r="C342" s="663" t="s">
        <v>55</v>
      </c>
      <c r="D342" s="663" t="s">
        <v>2234</v>
      </c>
      <c r="E342" s="664" t="s">
        <v>413</v>
      </c>
      <c r="F342" s="665">
        <v>3046.0</v>
      </c>
      <c r="G342" s="665">
        <v>529.0</v>
      </c>
      <c r="H342" s="665">
        <v>17.37</v>
      </c>
      <c r="I342" s="665">
        <v>8.27</v>
      </c>
      <c r="J342" s="665">
        <v>7.29</v>
      </c>
      <c r="K342" s="665">
        <v>60325.0</v>
      </c>
      <c r="L342" s="665">
        <v>729451.0</v>
      </c>
      <c r="M342" s="665">
        <v>19.8</v>
      </c>
      <c r="N342" s="1">
        <v>114.0359</v>
      </c>
      <c r="O342" s="1">
        <v>60325.0</v>
      </c>
      <c r="P342" s="1">
        <v>729451.0</v>
      </c>
      <c r="Q342" s="1">
        <v>19.8047</v>
      </c>
      <c r="R342" s="1">
        <v>15915.0</v>
      </c>
    </row>
    <row r="343">
      <c r="A343" s="663" t="s">
        <v>2173</v>
      </c>
      <c r="B343" s="663" t="s">
        <v>1192</v>
      </c>
      <c r="C343" s="663" t="s">
        <v>55</v>
      </c>
      <c r="D343" s="663" t="s">
        <v>2234</v>
      </c>
      <c r="E343" s="664" t="s">
        <v>9</v>
      </c>
      <c r="F343" s="665">
        <v>3046.0</v>
      </c>
      <c r="G343" s="665">
        <v>602.0</v>
      </c>
      <c r="H343" s="665">
        <v>19.76</v>
      </c>
      <c r="I343" s="665">
        <v>7.64</v>
      </c>
      <c r="J343" s="665">
        <v>8.43</v>
      </c>
      <c r="K343" s="665">
        <v>55740.0</v>
      </c>
      <c r="L343" s="665">
        <v>729451.0</v>
      </c>
      <c r="M343" s="665">
        <v>18.3</v>
      </c>
      <c r="N343" s="1">
        <v>92.5914</v>
      </c>
      <c r="O343" s="1">
        <v>55740.0</v>
      </c>
      <c r="P343" s="1">
        <v>729451.0</v>
      </c>
      <c r="Q343" s="1">
        <v>18.2994</v>
      </c>
      <c r="R343" s="1">
        <v>15915.0</v>
      </c>
    </row>
    <row r="344">
      <c r="A344" s="663" t="s">
        <v>2173</v>
      </c>
      <c r="B344" s="663" t="s">
        <v>1192</v>
      </c>
      <c r="C344" s="663" t="s">
        <v>55</v>
      </c>
      <c r="D344" s="663" t="s">
        <v>2234</v>
      </c>
      <c r="E344" s="664" t="s">
        <v>63</v>
      </c>
      <c r="F344" s="665">
        <v>3046.0</v>
      </c>
      <c r="G344" s="665">
        <v>296.0</v>
      </c>
      <c r="H344" s="665">
        <v>9.72</v>
      </c>
      <c r="I344" s="665">
        <v>5.11</v>
      </c>
      <c r="J344" s="665">
        <v>1.09</v>
      </c>
      <c r="K344" s="665">
        <v>37260.0</v>
      </c>
      <c r="L344" s="665">
        <v>729451.0</v>
      </c>
      <c r="M344" s="665">
        <v>12.23</v>
      </c>
      <c r="N344" s="1">
        <v>125.8784</v>
      </c>
      <c r="O344" s="1">
        <v>37260.0</v>
      </c>
      <c r="P344" s="1">
        <v>729451.0</v>
      </c>
      <c r="Q344" s="1">
        <v>12.2324</v>
      </c>
      <c r="R344" s="1">
        <v>15915.0</v>
      </c>
    </row>
    <row r="345">
      <c r="A345" s="663" t="s">
        <v>2173</v>
      </c>
      <c r="B345" s="663" t="s">
        <v>1192</v>
      </c>
      <c r="C345" s="663" t="s">
        <v>55</v>
      </c>
      <c r="D345" s="663" t="s">
        <v>2234</v>
      </c>
      <c r="E345" s="664" t="s">
        <v>14</v>
      </c>
      <c r="F345" s="665">
        <v>3046.0</v>
      </c>
      <c r="G345" s="665">
        <v>303.0</v>
      </c>
      <c r="H345" s="665">
        <v>9.95</v>
      </c>
      <c r="I345" s="665">
        <v>4.35</v>
      </c>
      <c r="J345" s="665">
        <v>1.75</v>
      </c>
      <c r="K345" s="665">
        <v>31725.0</v>
      </c>
      <c r="L345" s="665">
        <v>729451.0</v>
      </c>
      <c r="M345" s="665">
        <v>10.42</v>
      </c>
      <c r="N345" s="1">
        <v>104.703</v>
      </c>
      <c r="O345" s="1">
        <v>31725.0</v>
      </c>
      <c r="P345" s="1">
        <v>729451.0</v>
      </c>
      <c r="Q345" s="1">
        <v>10.4153</v>
      </c>
      <c r="R345" s="1">
        <v>15915.0</v>
      </c>
    </row>
    <row r="346">
      <c r="A346" s="663" t="s">
        <v>2173</v>
      </c>
      <c r="B346" s="663" t="s">
        <v>1192</v>
      </c>
      <c r="C346" s="663" t="s">
        <v>55</v>
      </c>
      <c r="D346" s="663" t="s">
        <v>2234</v>
      </c>
      <c r="E346" s="664" t="s">
        <v>393</v>
      </c>
      <c r="F346" s="665">
        <v>3046.0</v>
      </c>
      <c r="G346" s="665">
        <v>654.0</v>
      </c>
      <c r="H346" s="665">
        <v>21.47</v>
      </c>
      <c r="I346" s="665">
        <v>3.43</v>
      </c>
      <c r="J346" s="665">
        <v>4.42</v>
      </c>
      <c r="K346" s="665">
        <v>25045.0</v>
      </c>
      <c r="L346" s="665">
        <v>729451.0</v>
      </c>
      <c r="M346" s="665">
        <v>8.22</v>
      </c>
      <c r="N346" s="1">
        <v>38.2951</v>
      </c>
      <c r="O346" s="1">
        <v>25045.0</v>
      </c>
      <c r="P346" s="1">
        <v>729451.0</v>
      </c>
      <c r="Q346" s="1">
        <v>8.2223</v>
      </c>
      <c r="R346" s="1">
        <v>15915.0</v>
      </c>
    </row>
    <row r="347">
      <c r="A347" s="663" t="s">
        <v>2173</v>
      </c>
      <c r="B347" s="663" t="s">
        <v>1192</v>
      </c>
      <c r="C347" s="663" t="s">
        <v>55</v>
      </c>
      <c r="D347" s="663" t="s">
        <v>2234</v>
      </c>
      <c r="E347" s="664" t="s">
        <v>411</v>
      </c>
      <c r="F347" s="665">
        <v>3046.0</v>
      </c>
      <c r="G347" s="665">
        <v>196.0</v>
      </c>
      <c r="H347" s="665">
        <v>6.43</v>
      </c>
      <c r="I347" s="665">
        <v>3.24</v>
      </c>
      <c r="J347" s="665">
        <v>2.35</v>
      </c>
      <c r="K347" s="665">
        <v>23666.0</v>
      </c>
      <c r="L347" s="665">
        <v>729451.0</v>
      </c>
      <c r="M347" s="665">
        <v>7.77</v>
      </c>
      <c r="N347" s="1">
        <v>120.7449</v>
      </c>
      <c r="O347" s="1">
        <v>23666.0</v>
      </c>
      <c r="P347" s="1">
        <v>729451.0</v>
      </c>
      <c r="Q347" s="1">
        <v>7.7695</v>
      </c>
      <c r="R347" s="1">
        <v>15915.0</v>
      </c>
    </row>
    <row r="348">
      <c r="A348" s="663" t="s">
        <v>2173</v>
      </c>
      <c r="B348" s="663" t="s">
        <v>1192</v>
      </c>
      <c r="C348" s="663" t="s">
        <v>55</v>
      </c>
      <c r="D348" s="663" t="s">
        <v>2234</v>
      </c>
      <c r="E348" s="664" t="s">
        <v>7</v>
      </c>
      <c r="F348" s="665">
        <v>3046.0</v>
      </c>
      <c r="G348" s="665">
        <v>322.0</v>
      </c>
      <c r="H348" s="665">
        <v>10.57</v>
      </c>
      <c r="I348" s="665">
        <v>3.03</v>
      </c>
      <c r="J348" s="665">
        <v>1.55</v>
      </c>
      <c r="K348" s="665">
        <v>22080.0</v>
      </c>
      <c r="L348" s="665">
        <v>729451.0</v>
      </c>
      <c r="M348" s="665">
        <v>7.25</v>
      </c>
      <c r="N348" s="1">
        <v>68.5714</v>
      </c>
      <c r="O348" s="1">
        <v>22080.0</v>
      </c>
      <c r="P348" s="1">
        <v>729451.0</v>
      </c>
      <c r="Q348" s="1">
        <v>7.2489</v>
      </c>
      <c r="R348" s="1">
        <v>15915.0</v>
      </c>
    </row>
    <row r="349">
      <c r="A349" s="663" t="s">
        <v>2173</v>
      </c>
      <c r="B349" s="663" t="s">
        <v>1192</v>
      </c>
      <c r="C349" s="663" t="s">
        <v>55</v>
      </c>
      <c r="D349" s="663" t="s">
        <v>2234</v>
      </c>
      <c r="E349" s="664" t="s">
        <v>73</v>
      </c>
      <c r="F349" s="665">
        <v>3046.0</v>
      </c>
      <c r="G349" s="665">
        <v>179.0</v>
      </c>
      <c r="H349" s="665">
        <v>5.88</v>
      </c>
      <c r="I349" s="665">
        <v>2.99</v>
      </c>
      <c r="J349" s="665">
        <v>0.51</v>
      </c>
      <c r="K349" s="665">
        <v>21780.0</v>
      </c>
      <c r="L349" s="665">
        <v>729451.0</v>
      </c>
      <c r="M349" s="665">
        <v>7.15</v>
      </c>
      <c r="N349" s="1">
        <v>121.676</v>
      </c>
      <c r="O349" s="1">
        <v>21780.0</v>
      </c>
      <c r="P349" s="1">
        <v>729451.0</v>
      </c>
      <c r="Q349" s="1">
        <v>7.1504</v>
      </c>
      <c r="R349" s="1">
        <v>15915.0</v>
      </c>
    </row>
    <row r="350">
      <c r="A350" s="663" t="s">
        <v>2173</v>
      </c>
      <c r="B350" s="663" t="s">
        <v>1192</v>
      </c>
      <c r="C350" s="663" t="s">
        <v>55</v>
      </c>
      <c r="D350" s="663" t="s">
        <v>2234</v>
      </c>
      <c r="E350" s="664" t="s">
        <v>401</v>
      </c>
      <c r="F350" s="665">
        <v>3046.0</v>
      </c>
      <c r="G350" s="665">
        <v>242.0</v>
      </c>
      <c r="H350" s="665">
        <v>7.94</v>
      </c>
      <c r="I350" s="665">
        <v>2.87</v>
      </c>
      <c r="J350" s="665">
        <v>1.05</v>
      </c>
      <c r="K350" s="665">
        <v>20910.0</v>
      </c>
      <c r="L350" s="665">
        <v>729451.0</v>
      </c>
      <c r="M350" s="665">
        <v>6.86</v>
      </c>
      <c r="N350" s="1">
        <v>86.405</v>
      </c>
      <c r="O350" s="1">
        <v>20910.0</v>
      </c>
      <c r="P350" s="1">
        <v>729451.0</v>
      </c>
      <c r="Q350" s="1">
        <v>6.8647</v>
      </c>
      <c r="R350" s="1">
        <v>15915.0</v>
      </c>
    </row>
    <row r="351">
      <c r="A351" s="663" t="s">
        <v>2173</v>
      </c>
      <c r="B351" s="663" t="s">
        <v>1192</v>
      </c>
      <c r="C351" s="663" t="s">
        <v>55</v>
      </c>
      <c r="D351" s="663" t="s">
        <v>2234</v>
      </c>
      <c r="E351" s="664" t="s">
        <v>206</v>
      </c>
      <c r="F351" s="665">
        <v>3046.0</v>
      </c>
      <c r="G351" s="665">
        <v>241.0</v>
      </c>
      <c r="H351" s="665">
        <v>7.91</v>
      </c>
      <c r="I351" s="665">
        <v>2.73</v>
      </c>
      <c r="J351" s="665">
        <v>0.78</v>
      </c>
      <c r="K351" s="665">
        <v>19950.0</v>
      </c>
      <c r="L351" s="665">
        <v>729451.0</v>
      </c>
      <c r="M351" s="665">
        <v>6.55</v>
      </c>
      <c r="N351" s="1">
        <v>82.7801</v>
      </c>
      <c r="O351" s="1">
        <v>19950.0</v>
      </c>
      <c r="P351" s="1">
        <v>729451.0</v>
      </c>
      <c r="Q351" s="1">
        <v>6.5496</v>
      </c>
      <c r="R351" s="1">
        <v>15915.0</v>
      </c>
    </row>
    <row r="352">
      <c r="A352" s="663" t="s">
        <v>2173</v>
      </c>
      <c r="B352" s="663" t="s">
        <v>1192</v>
      </c>
      <c r="C352" s="663" t="s">
        <v>55</v>
      </c>
      <c r="D352" s="663" t="s">
        <v>2234</v>
      </c>
      <c r="E352" s="664" t="s">
        <v>396</v>
      </c>
      <c r="F352" s="665">
        <v>3046.0</v>
      </c>
      <c r="G352" s="665">
        <v>226.0</v>
      </c>
      <c r="H352" s="665">
        <v>7.42</v>
      </c>
      <c r="I352" s="665">
        <v>2.57</v>
      </c>
      <c r="J352" s="665">
        <v>0.6</v>
      </c>
      <c r="K352" s="665">
        <v>18720.0</v>
      </c>
      <c r="L352" s="665">
        <v>729451.0</v>
      </c>
      <c r="M352" s="665">
        <v>6.15</v>
      </c>
      <c r="N352" s="1">
        <v>82.8319</v>
      </c>
      <c r="O352" s="1">
        <v>18720.0</v>
      </c>
      <c r="P352" s="1">
        <v>729451.0</v>
      </c>
      <c r="Q352" s="1">
        <v>6.1458</v>
      </c>
      <c r="R352" s="1">
        <v>15915.0</v>
      </c>
    </row>
    <row r="353">
      <c r="A353" s="663" t="s">
        <v>2173</v>
      </c>
      <c r="B353" s="663" t="s">
        <v>1192</v>
      </c>
      <c r="C353" s="663" t="s">
        <v>55</v>
      </c>
      <c r="D353" s="663" t="s">
        <v>2234</v>
      </c>
      <c r="E353" s="664" t="s">
        <v>418</v>
      </c>
      <c r="F353" s="665">
        <v>3046.0</v>
      </c>
      <c r="G353" s="665">
        <v>56.0</v>
      </c>
      <c r="H353" s="665">
        <v>1.84</v>
      </c>
      <c r="I353" s="665">
        <v>0.22</v>
      </c>
      <c r="J353" s="665">
        <v>0.77</v>
      </c>
      <c r="K353" s="665">
        <v>1615.0</v>
      </c>
      <c r="L353" s="665">
        <v>729451.0</v>
      </c>
      <c r="M353" s="665">
        <v>0.53</v>
      </c>
      <c r="N353" s="1">
        <v>28.8393</v>
      </c>
      <c r="O353" s="1">
        <v>1615.0</v>
      </c>
      <c r="P353" s="1">
        <v>729451.0</v>
      </c>
      <c r="Q353" s="1">
        <v>0.5302</v>
      </c>
      <c r="R353" s="1">
        <v>15915.0</v>
      </c>
    </row>
    <row r="354">
      <c r="A354" s="663" t="s">
        <v>2173</v>
      </c>
      <c r="B354" s="663" t="s">
        <v>1192</v>
      </c>
      <c r="C354" s="663" t="s">
        <v>55</v>
      </c>
      <c r="D354" s="663" t="s">
        <v>2234</v>
      </c>
      <c r="E354" s="664" t="s">
        <v>42</v>
      </c>
      <c r="F354" s="665">
        <v>3046.0</v>
      </c>
      <c r="G354" s="665">
        <v>12.0</v>
      </c>
      <c r="H354" s="665">
        <v>0.39</v>
      </c>
      <c r="I354" s="665">
        <v>0.1</v>
      </c>
      <c r="J354" s="665">
        <v>0.13</v>
      </c>
      <c r="K354" s="665">
        <v>740.0</v>
      </c>
      <c r="L354" s="665">
        <v>729451.0</v>
      </c>
      <c r="M354" s="665">
        <v>0.24</v>
      </c>
      <c r="N354" s="1">
        <v>61.6667</v>
      </c>
      <c r="O354" s="1">
        <v>740.0</v>
      </c>
      <c r="P354" s="1">
        <v>729451.0</v>
      </c>
      <c r="Q354" s="1">
        <v>0.2429</v>
      </c>
      <c r="R354" s="1">
        <v>15915.0</v>
      </c>
    </row>
    <row r="355">
      <c r="A355" s="663" t="s">
        <v>2270</v>
      </c>
      <c r="B355" s="663" t="s">
        <v>180</v>
      </c>
      <c r="C355" s="663" t="s">
        <v>50</v>
      </c>
      <c r="D355" s="663" t="s">
        <v>599</v>
      </c>
      <c r="E355" s="664" t="s">
        <v>411</v>
      </c>
      <c r="F355" s="665">
        <v>17824.0</v>
      </c>
      <c r="G355" s="665">
        <v>10822.0</v>
      </c>
      <c r="H355" s="665">
        <v>60.72</v>
      </c>
      <c r="I355" s="665">
        <v>40.65</v>
      </c>
      <c r="J355" s="665">
        <v>47.11</v>
      </c>
      <c r="K355" s="665">
        <v>14305.0</v>
      </c>
      <c r="L355" s="665">
        <v>35190.0</v>
      </c>
      <c r="M355" s="665">
        <v>0.8</v>
      </c>
      <c r="N355" s="1">
        <v>1.3218</v>
      </c>
      <c r="O355" s="1">
        <v>14305.0</v>
      </c>
      <c r="P355" s="1">
        <v>35190.0</v>
      </c>
      <c r="Q355" s="1">
        <v>0.8026</v>
      </c>
      <c r="R355" s="1">
        <v>129761.0</v>
      </c>
    </row>
    <row r="356">
      <c r="A356" s="663" t="s">
        <v>2270</v>
      </c>
      <c r="B356" s="663" t="s">
        <v>180</v>
      </c>
      <c r="C356" s="663" t="s">
        <v>50</v>
      </c>
      <c r="D356" s="663" t="s">
        <v>599</v>
      </c>
      <c r="E356" s="664" t="s">
        <v>396</v>
      </c>
      <c r="F356" s="665">
        <v>17824.0</v>
      </c>
      <c r="G356" s="665">
        <v>4640.0</v>
      </c>
      <c r="H356" s="665">
        <v>26.03</v>
      </c>
      <c r="I356" s="665">
        <v>22.97</v>
      </c>
      <c r="J356" s="665">
        <v>22.06</v>
      </c>
      <c r="K356" s="665">
        <v>8084.0</v>
      </c>
      <c r="L356" s="665">
        <v>35190.0</v>
      </c>
      <c r="M356" s="665">
        <v>0.45</v>
      </c>
      <c r="N356" s="1">
        <v>1.7422</v>
      </c>
      <c r="O356" s="1">
        <v>8084.0</v>
      </c>
      <c r="P356" s="1">
        <v>35190.0</v>
      </c>
      <c r="Q356" s="1">
        <v>0.4535</v>
      </c>
      <c r="R356" s="1">
        <v>129761.0</v>
      </c>
    </row>
    <row r="357">
      <c r="A357" s="663" t="s">
        <v>2270</v>
      </c>
      <c r="B357" s="663" t="s">
        <v>180</v>
      </c>
      <c r="C357" s="663" t="s">
        <v>50</v>
      </c>
      <c r="D357" s="663" t="s">
        <v>599</v>
      </c>
      <c r="E357" s="664" t="s">
        <v>418</v>
      </c>
      <c r="F357" s="665">
        <v>17824.0</v>
      </c>
      <c r="G357" s="665">
        <v>4371.0</v>
      </c>
      <c r="H357" s="665">
        <v>24.52</v>
      </c>
      <c r="I357" s="665">
        <v>13.36</v>
      </c>
      <c r="J357" s="665">
        <v>13.09</v>
      </c>
      <c r="K357" s="665">
        <v>4703.0</v>
      </c>
      <c r="L357" s="665">
        <v>35190.0</v>
      </c>
      <c r="M357" s="665">
        <v>0.26</v>
      </c>
      <c r="N357" s="1">
        <v>1.076</v>
      </c>
      <c r="O357" s="1">
        <v>4703.0</v>
      </c>
      <c r="P357" s="1">
        <v>35190.0</v>
      </c>
      <c r="Q357" s="1">
        <v>0.2639</v>
      </c>
      <c r="R357" s="1">
        <v>129761.0</v>
      </c>
    </row>
    <row r="358">
      <c r="A358" s="663" t="s">
        <v>2270</v>
      </c>
      <c r="B358" s="663" t="s">
        <v>180</v>
      </c>
      <c r="C358" s="663" t="s">
        <v>50</v>
      </c>
      <c r="D358" s="663" t="s">
        <v>599</v>
      </c>
      <c r="E358" s="664" t="s">
        <v>16</v>
      </c>
      <c r="F358" s="665">
        <v>17824.0</v>
      </c>
      <c r="G358" s="665">
        <v>2501.0</v>
      </c>
      <c r="H358" s="665">
        <v>14.03</v>
      </c>
      <c r="I358" s="665">
        <v>10.19</v>
      </c>
      <c r="J358" s="665">
        <v>8.39</v>
      </c>
      <c r="K358" s="665">
        <v>3586.0</v>
      </c>
      <c r="L358" s="665">
        <v>35190.0</v>
      </c>
      <c r="M358" s="665">
        <v>0.2</v>
      </c>
      <c r="N358" s="1">
        <v>1.4338</v>
      </c>
      <c r="O358" s="1">
        <v>3586.0</v>
      </c>
      <c r="P358" s="1">
        <v>35190.0</v>
      </c>
      <c r="Q358" s="1">
        <v>0.2012</v>
      </c>
      <c r="R358" s="1">
        <v>129761.0</v>
      </c>
    </row>
    <row r="359">
      <c r="A359" s="663" t="s">
        <v>2270</v>
      </c>
      <c r="B359" s="663" t="s">
        <v>180</v>
      </c>
      <c r="C359" s="663" t="s">
        <v>50</v>
      </c>
      <c r="D359" s="663" t="s">
        <v>599</v>
      </c>
      <c r="E359" s="664" t="s">
        <v>413</v>
      </c>
      <c r="F359" s="665">
        <v>17824.0</v>
      </c>
      <c r="G359" s="665">
        <v>1397.0</v>
      </c>
      <c r="H359" s="665">
        <v>7.84</v>
      </c>
      <c r="I359" s="665">
        <v>4.49</v>
      </c>
      <c r="J359" s="665">
        <v>3.12</v>
      </c>
      <c r="K359" s="665">
        <v>1579.0</v>
      </c>
      <c r="L359" s="665">
        <v>35190.0</v>
      </c>
      <c r="M359" s="665">
        <v>0.09</v>
      </c>
      <c r="N359" s="1">
        <v>1.1303</v>
      </c>
      <c r="O359" s="1">
        <v>1579.0</v>
      </c>
      <c r="P359" s="1">
        <v>35190.0</v>
      </c>
      <c r="Q359" s="1">
        <v>0.0886</v>
      </c>
      <c r="R359" s="1">
        <v>129761.0</v>
      </c>
    </row>
    <row r="360">
      <c r="A360" s="663" t="s">
        <v>2270</v>
      </c>
      <c r="B360" s="663" t="s">
        <v>180</v>
      </c>
      <c r="C360" s="663" t="s">
        <v>50</v>
      </c>
      <c r="D360" s="663" t="s">
        <v>599</v>
      </c>
      <c r="E360" s="664" t="s">
        <v>51</v>
      </c>
      <c r="F360" s="665">
        <v>17824.0</v>
      </c>
      <c r="G360" s="665">
        <v>1014.0</v>
      </c>
      <c r="H360" s="665">
        <v>5.69</v>
      </c>
      <c r="I360" s="665">
        <v>3.41</v>
      </c>
      <c r="J360" s="665">
        <v>2.56</v>
      </c>
      <c r="K360" s="665">
        <v>1200.0</v>
      </c>
      <c r="L360" s="665">
        <v>35190.0</v>
      </c>
      <c r="M360" s="665">
        <v>0.07</v>
      </c>
      <c r="N360" s="1">
        <v>1.1834</v>
      </c>
      <c r="O360" s="1">
        <v>1200.0</v>
      </c>
      <c r="P360" s="1">
        <v>35190.0</v>
      </c>
      <c r="Q360" s="1">
        <v>0.0673</v>
      </c>
      <c r="R360" s="1">
        <v>129761.0</v>
      </c>
    </row>
    <row r="361">
      <c r="A361" s="663" t="s">
        <v>2270</v>
      </c>
      <c r="B361" s="663" t="s">
        <v>180</v>
      </c>
      <c r="C361" s="663" t="s">
        <v>50</v>
      </c>
      <c r="D361" s="663" t="s">
        <v>599</v>
      </c>
      <c r="E361" s="664" t="s">
        <v>42</v>
      </c>
      <c r="F361" s="665">
        <v>17824.0</v>
      </c>
      <c r="G361" s="665">
        <v>687.0</v>
      </c>
      <c r="H361" s="665">
        <v>3.85</v>
      </c>
      <c r="I361" s="665">
        <v>2.15</v>
      </c>
      <c r="J361" s="665">
        <v>1.52</v>
      </c>
      <c r="K361" s="665">
        <v>755.0</v>
      </c>
      <c r="L361" s="665">
        <v>35190.0</v>
      </c>
      <c r="M361" s="665">
        <v>0.04</v>
      </c>
      <c r="N361" s="1">
        <v>1.099</v>
      </c>
      <c r="O361" s="1">
        <v>755.0</v>
      </c>
      <c r="P361" s="1">
        <v>35190.0</v>
      </c>
      <c r="Q361" s="1">
        <v>0.0424</v>
      </c>
      <c r="R361" s="1">
        <v>129761.0</v>
      </c>
    </row>
    <row r="362">
      <c r="A362" s="663" t="s">
        <v>2270</v>
      </c>
      <c r="B362" s="663" t="s">
        <v>180</v>
      </c>
      <c r="C362" s="663" t="s">
        <v>50</v>
      </c>
      <c r="D362" s="663" t="s">
        <v>599</v>
      </c>
      <c r="E362" s="664" t="s">
        <v>9</v>
      </c>
      <c r="F362" s="665">
        <v>17824.0</v>
      </c>
      <c r="G362" s="665">
        <v>585.0</v>
      </c>
      <c r="H362" s="665">
        <v>3.28</v>
      </c>
      <c r="I362" s="665">
        <v>1.8</v>
      </c>
      <c r="J362" s="665">
        <v>1.38</v>
      </c>
      <c r="K362" s="665">
        <v>633.0</v>
      </c>
      <c r="L362" s="665">
        <v>35190.0</v>
      </c>
      <c r="M362" s="665">
        <v>0.04</v>
      </c>
      <c r="N362" s="1">
        <v>1.0821</v>
      </c>
      <c r="O362" s="1">
        <v>633.0</v>
      </c>
      <c r="P362" s="1">
        <v>35190.0</v>
      </c>
      <c r="Q362" s="1">
        <v>0.0355</v>
      </c>
      <c r="R362" s="1">
        <v>129761.0</v>
      </c>
    </row>
    <row r="363">
      <c r="A363" s="663" t="s">
        <v>2270</v>
      </c>
      <c r="B363" s="663" t="s">
        <v>180</v>
      </c>
      <c r="C363" s="663" t="s">
        <v>50</v>
      </c>
      <c r="D363" s="663" t="s">
        <v>599</v>
      </c>
      <c r="E363" s="664" t="s">
        <v>63</v>
      </c>
      <c r="F363" s="665">
        <v>17824.0</v>
      </c>
      <c r="G363" s="665">
        <v>190.0</v>
      </c>
      <c r="H363" s="665">
        <v>1.07</v>
      </c>
      <c r="I363" s="665">
        <v>0.57</v>
      </c>
      <c r="J363" s="665">
        <v>0.47</v>
      </c>
      <c r="K363" s="665">
        <v>201.0</v>
      </c>
      <c r="L363" s="665">
        <v>35190.0</v>
      </c>
      <c r="M363" s="665">
        <v>0.01</v>
      </c>
      <c r="N363" s="1">
        <v>1.0579</v>
      </c>
      <c r="O363" s="1">
        <v>201.0</v>
      </c>
      <c r="P363" s="1">
        <v>35190.0</v>
      </c>
      <c r="Q363" s="1">
        <v>0.0113</v>
      </c>
      <c r="R363" s="1">
        <v>129761.0</v>
      </c>
    </row>
    <row r="364">
      <c r="A364" s="663" t="s">
        <v>2270</v>
      </c>
      <c r="B364" s="663" t="s">
        <v>180</v>
      </c>
      <c r="C364" s="663" t="s">
        <v>50</v>
      </c>
      <c r="D364" s="663" t="s">
        <v>599</v>
      </c>
      <c r="E364" s="664" t="s">
        <v>14</v>
      </c>
      <c r="F364" s="665">
        <v>17824.0</v>
      </c>
      <c r="G364" s="665">
        <v>54.0</v>
      </c>
      <c r="H364" s="665">
        <v>0.3</v>
      </c>
      <c r="I364" s="665">
        <v>0.19</v>
      </c>
      <c r="J364" s="665">
        <v>0.09</v>
      </c>
      <c r="K364" s="665">
        <v>67.0</v>
      </c>
      <c r="L364" s="665">
        <v>35190.0</v>
      </c>
      <c r="M364" s="665">
        <v>0.0</v>
      </c>
      <c r="N364" s="1">
        <v>1.2407</v>
      </c>
      <c r="O364" s="1">
        <v>67.0</v>
      </c>
      <c r="P364" s="1">
        <v>35190.0</v>
      </c>
      <c r="Q364" s="1">
        <v>0.0038</v>
      </c>
      <c r="R364" s="1">
        <v>129761.0</v>
      </c>
    </row>
    <row r="365">
      <c r="A365" s="663" t="s">
        <v>2270</v>
      </c>
      <c r="B365" s="663" t="s">
        <v>180</v>
      </c>
      <c r="C365" s="663" t="s">
        <v>50</v>
      </c>
      <c r="D365" s="663" t="s">
        <v>599</v>
      </c>
      <c r="E365" s="664" t="s">
        <v>7</v>
      </c>
      <c r="F365" s="665">
        <v>17824.0</v>
      </c>
      <c r="G365" s="665">
        <v>54.0</v>
      </c>
      <c r="H365" s="665">
        <v>0.3</v>
      </c>
      <c r="I365" s="665">
        <v>0.16</v>
      </c>
      <c r="J365" s="665">
        <v>0.15</v>
      </c>
      <c r="K365" s="665">
        <v>56.0</v>
      </c>
      <c r="L365" s="665">
        <v>35190.0</v>
      </c>
      <c r="M365" s="665">
        <v>0.0</v>
      </c>
      <c r="N365" s="1">
        <v>1.037</v>
      </c>
      <c r="O365" s="1">
        <v>56.0</v>
      </c>
      <c r="P365" s="1">
        <v>35190.0</v>
      </c>
      <c r="Q365" s="1">
        <v>0.0031</v>
      </c>
      <c r="R365" s="1">
        <v>129761.0</v>
      </c>
    </row>
    <row r="366">
      <c r="A366" s="663" t="s">
        <v>2270</v>
      </c>
      <c r="B366" s="663" t="s">
        <v>180</v>
      </c>
      <c r="C366" s="663" t="s">
        <v>50</v>
      </c>
      <c r="D366" s="663" t="s">
        <v>599</v>
      </c>
      <c r="E366" s="664" t="s">
        <v>401</v>
      </c>
      <c r="F366" s="665">
        <v>17824.0</v>
      </c>
      <c r="G366" s="665">
        <v>3.0</v>
      </c>
      <c r="H366" s="665">
        <v>0.02</v>
      </c>
      <c r="I366" s="665">
        <v>0.02</v>
      </c>
      <c r="J366" s="665">
        <v>0.01</v>
      </c>
      <c r="K366" s="665">
        <v>7.0</v>
      </c>
      <c r="L366" s="665">
        <v>35190.0</v>
      </c>
      <c r="M366" s="665">
        <v>0.0</v>
      </c>
      <c r="N366" s="1">
        <v>2.3333</v>
      </c>
      <c r="O366" s="1">
        <v>7.0</v>
      </c>
      <c r="P366" s="1">
        <v>35190.0</v>
      </c>
      <c r="Q366" s="1">
        <v>4.0E-4</v>
      </c>
      <c r="R366" s="1">
        <v>129761.0</v>
      </c>
    </row>
    <row r="367">
      <c r="A367" s="663" t="s">
        <v>2270</v>
      </c>
      <c r="B367" s="663" t="s">
        <v>180</v>
      </c>
      <c r="C367" s="663" t="s">
        <v>50</v>
      </c>
      <c r="D367" s="663" t="s">
        <v>599</v>
      </c>
      <c r="E367" s="664" t="s">
        <v>151</v>
      </c>
      <c r="F367" s="665">
        <v>17824.0</v>
      </c>
      <c r="G367" s="665">
        <v>3.0</v>
      </c>
      <c r="H367" s="665">
        <v>0.02</v>
      </c>
      <c r="I367" s="665">
        <v>0.01</v>
      </c>
      <c r="J367" s="665">
        <v>0.01</v>
      </c>
      <c r="K367" s="665">
        <v>3.0</v>
      </c>
      <c r="L367" s="665">
        <v>35190.0</v>
      </c>
      <c r="M367" s="665">
        <v>0.0</v>
      </c>
      <c r="N367" s="1">
        <v>1.0</v>
      </c>
      <c r="O367" s="1">
        <v>3.0</v>
      </c>
      <c r="P367" s="1">
        <v>35190.0</v>
      </c>
      <c r="Q367" s="1">
        <v>2.0E-4</v>
      </c>
      <c r="R367" s="1">
        <v>129761.0</v>
      </c>
    </row>
    <row r="368">
      <c r="A368" s="663" t="s">
        <v>2270</v>
      </c>
      <c r="B368" s="663" t="s">
        <v>180</v>
      </c>
      <c r="C368" s="663" t="s">
        <v>50</v>
      </c>
      <c r="D368" s="663" t="s">
        <v>599</v>
      </c>
      <c r="E368" s="664" t="s">
        <v>393</v>
      </c>
      <c r="F368" s="665">
        <v>17824.0</v>
      </c>
      <c r="G368" s="665">
        <v>4.0</v>
      </c>
      <c r="H368" s="665">
        <v>0.02</v>
      </c>
      <c r="I368" s="665">
        <v>0.01</v>
      </c>
      <c r="J368" s="665">
        <v>0.01</v>
      </c>
      <c r="K368" s="665">
        <v>4.0</v>
      </c>
      <c r="L368" s="665">
        <v>35190.0</v>
      </c>
      <c r="M368" s="665">
        <v>0.0</v>
      </c>
      <c r="N368" s="1">
        <v>1.0</v>
      </c>
      <c r="O368" s="1">
        <v>4.0</v>
      </c>
      <c r="P368" s="1">
        <v>35190.0</v>
      </c>
      <c r="Q368" s="1">
        <v>2.0E-4</v>
      </c>
      <c r="R368" s="1">
        <v>129761.0</v>
      </c>
    </row>
    <row r="369">
      <c r="A369" s="663" t="s">
        <v>2270</v>
      </c>
      <c r="B369" s="663" t="s">
        <v>180</v>
      </c>
      <c r="C369" s="663" t="s">
        <v>50</v>
      </c>
      <c r="D369" s="663" t="s">
        <v>599</v>
      </c>
      <c r="E369" s="664" t="s">
        <v>398</v>
      </c>
      <c r="F369" s="665">
        <v>17824.0</v>
      </c>
      <c r="G369" s="665">
        <v>1.0</v>
      </c>
      <c r="H369" s="665">
        <v>0.01</v>
      </c>
      <c r="I369" s="665">
        <v>0.01</v>
      </c>
      <c r="J369" s="665">
        <v>0.01</v>
      </c>
      <c r="K369" s="665">
        <v>2.0</v>
      </c>
      <c r="L369" s="665">
        <v>35190.0</v>
      </c>
      <c r="M369" s="665">
        <v>0.0</v>
      </c>
      <c r="N369" s="1">
        <v>2.0</v>
      </c>
      <c r="O369" s="1">
        <v>2.0</v>
      </c>
      <c r="P369" s="1">
        <v>35190.0</v>
      </c>
      <c r="Q369" s="1">
        <v>1.0E-4</v>
      </c>
      <c r="R369" s="1">
        <v>129761.0</v>
      </c>
    </row>
    <row r="370">
      <c r="A370" s="663" t="s">
        <v>2270</v>
      </c>
      <c r="B370" s="663" t="s">
        <v>180</v>
      </c>
      <c r="C370" s="663" t="s">
        <v>50</v>
      </c>
      <c r="D370" s="663" t="s">
        <v>599</v>
      </c>
      <c r="E370" s="664" t="s">
        <v>414</v>
      </c>
      <c r="F370" s="665">
        <v>17824.0</v>
      </c>
      <c r="G370" s="665">
        <v>2.0</v>
      </c>
      <c r="H370" s="665">
        <v>0.01</v>
      </c>
      <c r="I370" s="665">
        <v>0.01</v>
      </c>
      <c r="J370" s="665">
        <v>0.01</v>
      </c>
      <c r="K370" s="665">
        <v>4.0</v>
      </c>
      <c r="L370" s="665">
        <v>35190.0</v>
      </c>
      <c r="M370" s="665">
        <v>0.0</v>
      </c>
      <c r="N370" s="1">
        <v>2.0</v>
      </c>
      <c r="O370" s="1">
        <v>4.0</v>
      </c>
      <c r="P370" s="1">
        <v>35190.0</v>
      </c>
      <c r="Q370" s="1">
        <v>2.0E-4</v>
      </c>
      <c r="R370" s="1">
        <v>129761.0</v>
      </c>
    </row>
    <row r="371">
      <c r="A371" s="663" t="s">
        <v>2270</v>
      </c>
      <c r="B371" s="663" t="s">
        <v>180</v>
      </c>
      <c r="C371" s="663" t="s">
        <v>50</v>
      </c>
      <c r="D371" s="663" t="s">
        <v>599</v>
      </c>
      <c r="E371" s="664" t="s">
        <v>206</v>
      </c>
      <c r="F371" s="665">
        <v>17824.0</v>
      </c>
      <c r="G371" s="665">
        <v>1.0</v>
      </c>
      <c r="H371" s="665">
        <v>0.01</v>
      </c>
      <c r="I371" s="665">
        <v>0.0</v>
      </c>
      <c r="J371" s="665">
        <v>0.0</v>
      </c>
      <c r="K371" s="665">
        <v>1.0</v>
      </c>
      <c r="L371" s="665">
        <v>35190.0</v>
      </c>
      <c r="M371" s="665">
        <v>0.0</v>
      </c>
      <c r="N371" s="1">
        <v>1.0</v>
      </c>
      <c r="O371" s="1">
        <v>1.0</v>
      </c>
      <c r="P371" s="1">
        <v>35190.0</v>
      </c>
      <c r="Q371" s="1">
        <v>1.0E-4</v>
      </c>
      <c r="R371" s="1">
        <v>129761.0</v>
      </c>
    </row>
    <row r="372">
      <c r="A372" s="663" t="s">
        <v>2270</v>
      </c>
      <c r="B372" s="663" t="s">
        <v>180</v>
      </c>
      <c r="C372" s="663" t="s">
        <v>48</v>
      </c>
      <c r="D372" s="663" t="s">
        <v>599</v>
      </c>
      <c r="E372" s="664" t="s">
        <v>396</v>
      </c>
      <c r="F372" s="665">
        <v>27728.0</v>
      </c>
      <c r="G372" s="665">
        <v>9158.0</v>
      </c>
      <c r="H372" s="665">
        <v>33.03</v>
      </c>
      <c r="I372" s="665">
        <v>18.58</v>
      </c>
      <c r="J372" s="665">
        <v>26.67</v>
      </c>
      <c r="K372" s="665">
        <v>16345.0</v>
      </c>
      <c r="L372" s="665">
        <v>87992.0</v>
      </c>
      <c r="M372" s="665">
        <v>0.59</v>
      </c>
      <c r="N372" s="1">
        <v>1.7848</v>
      </c>
      <c r="O372" s="1">
        <v>16345.0</v>
      </c>
      <c r="P372" s="1">
        <v>87992.0</v>
      </c>
      <c r="Q372" s="1">
        <v>0.5895</v>
      </c>
      <c r="R372" s="1">
        <v>129761.0</v>
      </c>
    </row>
    <row r="373">
      <c r="A373" s="663" t="s">
        <v>2270</v>
      </c>
      <c r="B373" s="663" t="s">
        <v>180</v>
      </c>
      <c r="C373" s="663" t="s">
        <v>48</v>
      </c>
      <c r="D373" s="663" t="s">
        <v>599</v>
      </c>
      <c r="E373" s="664" t="s">
        <v>411</v>
      </c>
      <c r="F373" s="665">
        <v>27728.0</v>
      </c>
      <c r="G373" s="665">
        <v>10942.0</v>
      </c>
      <c r="H373" s="665">
        <v>39.46</v>
      </c>
      <c r="I373" s="665">
        <v>16.44</v>
      </c>
      <c r="J373" s="665">
        <v>18.74</v>
      </c>
      <c r="K373" s="665">
        <v>14463.0</v>
      </c>
      <c r="L373" s="665">
        <v>87992.0</v>
      </c>
      <c r="M373" s="665">
        <v>0.52</v>
      </c>
      <c r="N373" s="1">
        <v>1.3218</v>
      </c>
      <c r="O373" s="1">
        <v>14463.0</v>
      </c>
      <c r="P373" s="1">
        <v>87992.0</v>
      </c>
      <c r="Q373" s="1">
        <v>0.5216</v>
      </c>
      <c r="R373" s="1">
        <v>129761.0</v>
      </c>
    </row>
    <row r="374">
      <c r="A374" s="663" t="s">
        <v>2270</v>
      </c>
      <c r="B374" s="663" t="s">
        <v>180</v>
      </c>
      <c r="C374" s="663" t="s">
        <v>48</v>
      </c>
      <c r="D374" s="663" t="s">
        <v>599</v>
      </c>
      <c r="E374" s="664" t="s">
        <v>14</v>
      </c>
      <c r="F374" s="665">
        <v>27728.0</v>
      </c>
      <c r="G374" s="665">
        <v>8534.0</v>
      </c>
      <c r="H374" s="665">
        <v>30.78</v>
      </c>
      <c r="I374" s="665">
        <v>16.03</v>
      </c>
      <c r="J374" s="665">
        <v>12.1</v>
      </c>
      <c r="K374" s="665">
        <v>14101.0</v>
      </c>
      <c r="L374" s="665">
        <v>87992.0</v>
      </c>
      <c r="M374" s="665">
        <v>0.51</v>
      </c>
      <c r="N374" s="1">
        <v>1.6523</v>
      </c>
      <c r="O374" s="1">
        <v>14101.0</v>
      </c>
      <c r="P374" s="1">
        <v>87992.0</v>
      </c>
      <c r="Q374" s="1">
        <v>0.5085</v>
      </c>
      <c r="R374" s="1">
        <v>129761.0</v>
      </c>
    </row>
    <row r="375">
      <c r="A375" s="663" t="s">
        <v>2270</v>
      </c>
      <c r="B375" s="663" t="s">
        <v>180</v>
      </c>
      <c r="C375" s="663" t="s">
        <v>48</v>
      </c>
      <c r="D375" s="663" t="s">
        <v>599</v>
      </c>
      <c r="E375" s="664" t="s">
        <v>413</v>
      </c>
      <c r="F375" s="665">
        <v>27728.0</v>
      </c>
      <c r="G375" s="665">
        <v>8835.0</v>
      </c>
      <c r="H375" s="665">
        <v>31.86</v>
      </c>
      <c r="I375" s="665">
        <v>15.22</v>
      </c>
      <c r="J375" s="665">
        <v>15.91</v>
      </c>
      <c r="K375" s="665">
        <v>13388.0</v>
      </c>
      <c r="L375" s="665">
        <v>87992.0</v>
      </c>
      <c r="M375" s="665">
        <v>0.48</v>
      </c>
      <c r="N375" s="1">
        <v>1.5153</v>
      </c>
      <c r="O375" s="1">
        <v>13388.0</v>
      </c>
      <c r="P375" s="1">
        <v>87992.0</v>
      </c>
      <c r="Q375" s="1">
        <v>0.4828</v>
      </c>
      <c r="R375" s="1">
        <v>129761.0</v>
      </c>
    </row>
    <row r="376">
      <c r="A376" s="663" t="s">
        <v>2270</v>
      </c>
      <c r="B376" s="663" t="s">
        <v>180</v>
      </c>
      <c r="C376" s="663" t="s">
        <v>48</v>
      </c>
      <c r="D376" s="663" t="s">
        <v>599</v>
      </c>
      <c r="E376" s="664" t="s">
        <v>401</v>
      </c>
      <c r="F376" s="665">
        <v>27728.0</v>
      </c>
      <c r="G376" s="665">
        <v>4915.0</v>
      </c>
      <c r="H376" s="665">
        <v>17.73</v>
      </c>
      <c r="I376" s="665">
        <v>6.74</v>
      </c>
      <c r="J376" s="665">
        <v>6.39</v>
      </c>
      <c r="K376" s="665">
        <v>5930.0</v>
      </c>
      <c r="L376" s="665">
        <v>87992.0</v>
      </c>
      <c r="M376" s="665">
        <v>0.21</v>
      </c>
      <c r="N376" s="1">
        <v>1.2065</v>
      </c>
      <c r="O376" s="1">
        <v>5930.0</v>
      </c>
      <c r="P376" s="1">
        <v>87992.0</v>
      </c>
      <c r="Q376" s="1">
        <v>0.2139</v>
      </c>
      <c r="R376" s="1">
        <v>129761.0</v>
      </c>
    </row>
    <row r="377">
      <c r="A377" s="663" t="s">
        <v>2270</v>
      </c>
      <c r="B377" s="663" t="s">
        <v>180</v>
      </c>
      <c r="C377" s="663" t="s">
        <v>48</v>
      </c>
      <c r="D377" s="663" t="s">
        <v>599</v>
      </c>
      <c r="E377" s="664" t="s">
        <v>398</v>
      </c>
      <c r="F377" s="665">
        <v>27728.0</v>
      </c>
      <c r="G377" s="665">
        <v>3752.0</v>
      </c>
      <c r="H377" s="665">
        <v>13.53</v>
      </c>
      <c r="I377" s="665">
        <v>6.72</v>
      </c>
      <c r="J377" s="665">
        <v>3.26</v>
      </c>
      <c r="K377" s="665">
        <v>5914.0</v>
      </c>
      <c r="L377" s="665">
        <v>87992.0</v>
      </c>
      <c r="M377" s="665">
        <v>0.21</v>
      </c>
      <c r="N377" s="1">
        <v>1.5762</v>
      </c>
      <c r="O377" s="1">
        <v>5914.0</v>
      </c>
      <c r="P377" s="1">
        <v>87992.0</v>
      </c>
      <c r="Q377" s="1">
        <v>0.2133</v>
      </c>
      <c r="R377" s="1">
        <v>129761.0</v>
      </c>
    </row>
    <row r="378">
      <c r="A378" s="663" t="s">
        <v>2270</v>
      </c>
      <c r="B378" s="663" t="s">
        <v>180</v>
      </c>
      <c r="C378" s="663" t="s">
        <v>48</v>
      </c>
      <c r="D378" s="663" t="s">
        <v>599</v>
      </c>
      <c r="E378" s="664" t="s">
        <v>418</v>
      </c>
      <c r="F378" s="665">
        <v>27728.0</v>
      </c>
      <c r="G378" s="665">
        <v>5182.0</v>
      </c>
      <c r="H378" s="665">
        <v>18.69</v>
      </c>
      <c r="I378" s="665">
        <v>6.39</v>
      </c>
      <c r="J378" s="665">
        <v>6.18</v>
      </c>
      <c r="K378" s="665">
        <v>5626.0</v>
      </c>
      <c r="L378" s="665">
        <v>87992.0</v>
      </c>
      <c r="M378" s="665">
        <v>0.2</v>
      </c>
      <c r="N378" s="1">
        <v>1.0857</v>
      </c>
      <c r="O378" s="1">
        <v>5626.0</v>
      </c>
      <c r="P378" s="1">
        <v>87992.0</v>
      </c>
      <c r="Q378" s="1">
        <v>0.2029</v>
      </c>
      <c r="R378" s="1">
        <v>129761.0</v>
      </c>
    </row>
    <row r="379">
      <c r="A379" s="663" t="s">
        <v>2270</v>
      </c>
      <c r="B379" s="663" t="s">
        <v>180</v>
      </c>
      <c r="C379" s="663" t="s">
        <v>48</v>
      </c>
      <c r="D379" s="663" t="s">
        <v>599</v>
      </c>
      <c r="E379" s="664" t="s">
        <v>206</v>
      </c>
      <c r="F379" s="665">
        <v>27728.0</v>
      </c>
      <c r="G379" s="665">
        <v>3613.0</v>
      </c>
      <c r="H379" s="665">
        <v>13.03</v>
      </c>
      <c r="I379" s="665">
        <v>4.25</v>
      </c>
      <c r="J379" s="665">
        <v>3.91</v>
      </c>
      <c r="K379" s="665">
        <v>3740.0</v>
      </c>
      <c r="L379" s="665">
        <v>87992.0</v>
      </c>
      <c r="M379" s="665">
        <v>0.13</v>
      </c>
      <c r="N379" s="1">
        <v>1.0352</v>
      </c>
      <c r="O379" s="1">
        <v>3740.0</v>
      </c>
      <c r="P379" s="1">
        <v>87992.0</v>
      </c>
      <c r="Q379" s="1">
        <v>0.1349</v>
      </c>
      <c r="R379" s="1">
        <v>129761.0</v>
      </c>
    </row>
    <row r="380">
      <c r="A380" s="663" t="s">
        <v>2270</v>
      </c>
      <c r="B380" s="663" t="s">
        <v>180</v>
      </c>
      <c r="C380" s="663" t="s">
        <v>48</v>
      </c>
      <c r="D380" s="663" t="s">
        <v>599</v>
      </c>
      <c r="E380" s="664" t="s">
        <v>9</v>
      </c>
      <c r="F380" s="665">
        <v>27728.0</v>
      </c>
      <c r="G380" s="665">
        <v>2799.0</v>
      </c>
      <c r="H380" s="665">
        <v>10.09</v>
      </c>
      <c r="I380" s="665">
        <v>3.94</v>
      </c>
      <c r="J380" s="665">
        <v>2.77</v>
      </c>
      <c r="K380" s="665">
        <v>3470.0</v>
      </c>
      <c r="L380" s="665">
        <v>87992.0</v>
      </c>
      <c r="M380" s="665">
        <v>0.13</v>
      </c>
      <c r="N380" s="1">
        <v>1.2397</v>
      </c>
      <c r="O380" s="1">
        <v>3470.0</v>
      </c>
      <c r="P380" s="1">
        <v>87992.0</v>
      </c>
      <c r="Q380" s="1">
        <v>0.1251</v>
      </c>
      <c r="R380" s="1">
        <v>129761.0</v>
      </c>
    </row>
    <row r="381">
      <c r="A381" s="663" t="s">
        <v>2270</v>
      </c>
      <c r="B381" s="663" t="s">
        <v>180</v>
      </c>
      <c r="C381" s="663" t="s">
        <v>48</v>
      </c>
      <c r="D381" s="663" t="s">
        <v>599</v>
      </c>
      <c r="E381" s="664" t="s">
        <v>63</v>
      </c>
      <c r="F381" s="665">
        <v>27728.0</v>
      </c>
      <c r="G381" s="665">
        <v>1277.0</v>
      </c>
      <c r="H381" s="665">
        <v>4.61</v>
      </c>
      <c r="I381" s="665">
        <v>1.62</v>
      </c>
      <c r="J381" s="665">
        <v>1.18</v>
      </c>
      <c r="K381" s="665">
        <v>1422.0</v>
      </c>
      <c r="L381" s="665">
        <v>87992.0</v>
      </c>
      <c r="M381" s="665">
        <v>0.05</v>
      </c>
      <c r="N381" s="1">
        <v>1.1135</v>
      </c>
      <c r="O381" s="1">
        <v>1422.0</v>
      </c>
      <c r="P381" s="1">
        <v>87992.0</v>
      </c>
      <c r="Q381" s="1">
        <v>0.0513</v>
      </c>
      <c r="R381" s="1">
        <v>129761.0</v>
      </c>
    </row>
    <row r="382">
      <c r="A382" s="663" t="s">
        <v>2270</v>
      </c>
      <c r="B382" s="663" t="s">
        <v>180</v>
      </c>
      <c r="C382" s="663" t="s">
        <v>48</v>
      </c>
      <c r="D382" s="663" t="s">
        <v>599</v>
      </c>
      <c r="E382" s="664" t="s">
        <v>16</v>
      </c>
      <c r="F382" s="665">
        <v>27728.0</v>
      </c>
      <c r="G382" s="665">
        <v>1074.0</v>
      </c>
      <c r="H382" s="665">
        <v>3.87</v>
      </c>
      <c r="I382" s="665">
        <v>1.5</v>
      </c>
      <c r="J382" s="665">
        <v>1.17</v>
      </c>
      <c r="K382" s="665">
        <v>1319.0</v>
      </c>
      <c r="L382" s="665">
        <v>87992.0</v>
      </c>
      <c r="M382" s="665">
        <v>0.05</v>
      </c>
      <c r="N382" s="1">
        <v>1.2281</v>
      </c>
      <c r="O382" s="1">
        <v>1319.0</v>
      </c>
      <c r="P382" s="1">
        <v>87992.0</v>
      </c>
      <c r="Q382" s="1">
        <v>0.0476</v>
      </c>
      <c r="R382" s="1">
        <v>129761.0</v>
      </c>
    </row>
    <row r="383">
      <c r="A383" s="663" t="s">
        <v>2270</v>
      </c>
      <c r="B383" s="663" t="s">
        <v>180</v>
      </c>
      <c r="C383" s="663" t="s">
        <v>48</v>
      </c>
      <c r="D383" s="663" t="s">
        <v>599</v>
      </c>
      <c r="E383" s="664" t="s">
        <v>51</v>
      </c>
      <c r="F383" s="665">
        <v>27728.0</v>
      </c>
      <c r="G383" s="665">
        <v>1014.0</v>
      </c>
      <c r="H383" s="665">
        <v>3.66</v>
      </c>
      <c r="I383" s="665">
        <v>1.36</v>
      </c>
      <c r="J383" s="665">
        <v>0.92</v>
      </c>
      <c r="K383" s="665">
        <v>1200.0</v>
      </c>
      <c r="L383" s="665">
        <v>87992.0</v>
      </c>
      <c r="M383" s="665">
        <v>0.04</v>
      </c>
      <c r="N383" s="1">
        <v>1.1834</v>
      </c>
      <c r="O383" s="1">
        <v>1200.0</v>
      </c>
      <c r="P383" s="1">
        <v>87992.0</v>
      </c>
      <c r="Q383" s="1">
        <v>0.0433</v>
      </c>
      <c r="R383" s="1">
        <v>129761.0</v>
      </c>
    </row>
    <row r="384">
      <c r="A384" s="663" t="s">
        <v>2270</v>
      </c>
      <c r="B384" s="663" t="s">
        <v>180</v>
      </c>
      <c r="C384" s="663" t="s">
        <v>48</v>
      </c>
      <c r="D384" s="663" t="s">
        <v>599</v>
      </c>
      <c r="E384" s="664" t="s">
        <v>73</v>
      </c>
      <c r="F384" s="665">
        <v>27728.0</v>
      </c>
      <c r="G384" s="665">
        <v>574.0</v>
      </c>
      <c r="H384" s="665">
        <v>2.07</v>
      </c>
      <c r="I384" s="665">
        <v>0.67</v>
      </c>
      <c r="J384" s="665">
        <v>0.43</v>
      </c>
      <c r="K384" s="665">
        <v>588.0</v>
      </c>
      <c r="L384" s="665">
        <v>87992.0</v>
      </c>
      <c r="M384" s="665">
        <v>0.02</v>
      </c>
      <c r="N384" s="1">
        <v>1.0244</v>
      </c>
      <c r="O384" s="1">
        <v>588.0</v>
      </c>
      <c r="P384" s="1">
        <v>87992.0</v>
      </c>
      <c r="Q384" s="1">
        <v>0.0212</v>
      </c>
      <c r="R384" s="1">
        <v>129761.0</v>
      </c>
    </row>
    <row r="385">
      <c r="A385" s="663" t="s">
        <v>2270</v>
      </c>
      <c r="B385" s="663" t="s">
        <v>180</v>
      </c>
      <c r="C385" s="663" t="s">
        <v>48</v>
      </c>
      <c r="D385" s="663" t="s">
        <v>599</v>
      </c>
      <c r="E385" s="664" t="s">
        <v>42</v>
      </c>
      <c r="F385" s="665">
        <v>27728.0</v>
      </c>
      <c r="G385" s="665">
        <v>386.0</v>
      </c>
      <c r="H385" s="665">
        <v>1.39</v>
      </c>
      <c r="I385" s="665">
        <v>0.46</v>
      </c>
      <c r="J385" s="665">
        <v>0.26</v>
      </c>
      <c r="K385" s="665">
        <v>402.0</v>
      </c>
      <c r="L385" s="665">
        <v>87992.0</v>
      </c>
      <c r="M385" s="665">
        <v>0.01</v>
      </c>
      <c r="N385" s="1">
        <v>1.0415</v>
      </c>
      <c r="O385" s="1">
        <v>402.0</v>
      </c>
      <c r="P385" s="1">
        <v>87992.0</v>
      </c>
      <c r="Q385" s="1">
        <v>0.0145</v>
      </c>
      <c r="R385" s="1">
        <v>129761.0</v>
      </c>
    </row>
    <row r="386">
      <c r="A386" s="663" t="s">
        <v>2270</v>
      </c>
      <c r="B386" s="663" t="s">
        <v>180</v>
      </c>
      <c r="C386" s="663" t="s">
        <v>48</v>
      </c>
      <c r="D386" s="663" t="s">
        <v>599</v>
      </c>
      <c r="E386" s="664" t="s">
        <v>7</v>
      </c>
      <c r="F386" s="665">
        <v>27728.0</v>
      </c>
      <c r="G386" s="665">
        <v>62.0</v>
      </c>
      <c r="H386" s="665">
        <v>0.22</v>
      </c>
      <c r="I386" s="665">
        <v>0.08</v>
      </c>
      <c r="J386" s="665">
        <v>0.08</v>
      </c>
      <c r="K386" s="665">
        <v>68.0</v>
      </c>
      <c r="L386" s="665">
        <v>87992.0</v>
      </c>
      <c r="M386" s="665">
        <v>0.0</v>
      </c>
      <c r="N386" s="1">
        <v>1.0968</v>
      </c>
      <c r="O386" s="1">
        <v>68.0</v>
      </c>
      <c r="P386" s="1">
        <v>87992.0</v>
      </c>
      <c r="Q386" s="1">
        <v>0.0025</v>
      </c>
      <c r="R386" s="1">
        <v>129761.0</v>
      </c>
    </row>
    <row r="387">
      <c r="A387" s="663" t="s">
        <v>2270</v>
      </c>
      <c r="B387" s="663" t="s">
        <v>180</v>
      </c>
      <c r="C387" s="663" t="s">
        <v>48</v>
      </c>
      <c r="D387" s="663" t="s">
        <v>599</v>
      </c>
      <c r="E387" s="664" t="s">
        <v>393</v>
      </c>
      <c r="F387" s="665">
        <v>27728.0</v>
      </c>
      <c r="G387" s="665">
        <v>8.0</v>
      </c>
      <c r="H387" s="665">
        <v>0.03</v>
      </c>
      <c r="I387" s="665">
        <v>0.01</v>
      </c>
      <c r="J387" s="665">
        <v>0.02</v>
      </c>
      <c r="K387" s="665">
        <v>8.0</v>
      </c>
      <c r="L387" s="665">
        <v>87992.0</v>
      </c>
      <c r="M387" s="665">
        <v>0.0</v>
      </c>
      <c r="N387" s="1">
        <v>1.0</v>
      </c>
      <c r="O387" s="1">
        <v>8.0</v>
      </c>
      <c r="P387" s="1">
        <v>87992.0</v>
      </c>
      <c r="Q387" s="1">
        <v>3.0E-4</v>
      </c>
      <c r="R387" s="1">
        <v>129761.0</v>
      </c>
    </row>
    <row r="388">
      <c r="A388" s="663" t="s">
        <v>2270</v>
      </c>
      <c r="B388" s="663" t="s">
        <v>180</v>
      </c>
      <c r="C388" s="663" t="s">
        <v>48</v>
      </c>
      <c r="D388" s="663" t="s">
        <v>599</v>
      </c>
      <c r="E388" s="664" t="s">
        <v>414</v>
      </c>
      <c r="F388" s="665">
        <v>27728.0</v>
      </c>
      <c r="G388" s="665">
        <v>2.0</v>
      </c>
      <c r="H388" s="665">
        <v>0.01</v>
      </c>
      <c r="I388" s="665">
        <v>0.01</v>
      </c>
      <c r="J388" s="665">
        <v>0.01</v>
      </c>
      <c r="K388" s="665">
        <v>6.0</v>
      </c>
      <c r="L388" s="665">
        <v>87992.0</v>
      </c>
      <c r="M388" s="665">
        <v>0.0</v>
      </c>
      <c r="N388" s="1">
        <v>3.0</v>
      </c>
      <c r="O388" s="1">
        <v>6.0</v>
      </c>
      <c r="P388" s="1">
        <v>87992.0</v>
      </c>
      <c r="Q388" s="1">
        <v>2.0E-4</v>
      </c>
      <c r="R388" s="1">
        <v>129761.0</v>
      </c>
    </row>
    <row r="389">
      <c r="A389" s="663" t="s">
        <v>2270</v>
      </c>
      <c r="B389" s="663" t="s">
        <v>180</v>
      </c>
      <c r="C389" s="663" t="s">
        <v>48</v>
      </c>
      <c r="D389" s="663" t="s">
        <v>599</v>
      </c>
      <c r="E389" s="664" t="s">
        <v>151</v>
      </c>
      <c r="F389" s="665">
        <v>27728.0</v>
      </c>
      <c r="G389" s="665">
        <v>2.0</v>
      </c>
      <c r="H389" s="665">
        <v>0.01</v>
      </c>
      <c r="I389" s="665">
        <v>0.0</v>
      </c>
      <c r="J389" s="665">
        <v>0.01</v>
      </c>
      <c r="K389" s="665">
        <v>2.0</v>
      </c>
      <c r="L389" s="665">
        <v>87992.0</v>
      </c>
      <c r="M389" s="665">
        <v>0.0</v>
      </c>
      <c r="N389" s="1">
        <v>1.0</v>
      </c>
      <c r="O389" s="1">
        <v>2.0</v>
      </c>
      <c r="P389" s="1">
        <v>87992.0</v>
      </c>
      <c r="Q389" s="1">
        <v>1.0E-4</v>
      </c>
      <c r="R389" s="1">
        <v>129761.0</v>
      </c>
    </row>
    <row r="390">
      <c r="A390" s="663" t="s">
        <v>2270</v>
      </c>
      <c r="B390" s="663" t="s">
        <v>180</v>
      </c>
      <c r="C390" s="663" t="s">
        <v>54</v>
      </c>
      <c r="D390" s="663" t="s">
        <v>599</v>
      </c>
      <c r="E390" s="664" t="s">
        <v>16</v>
      </c>
      <c r="F390" s="665">
        <v>8805.0</v>
      </c>
      <c r="G390" s="665">
        <v>5131.0</v>
      </c>
      <c r="H390" s="665">
        <v>58.27</v>
      </c>
      <c r="I390" s="665">
        <v>43.63</v>
      </c>
      <c r="J390" s="665">
        <v>46.71</v>
      </c>
      <c r="K390" s="665">
        <v>7280.0</v>
      </c>
      <c r="L390" s="665">
        <v>16685.0</v>
      </c>
      <c r="M390" s="665">
        <v>0.83</v>
      </c>
      <c r="N390" s="1">
        <v>1.4188</v>
      </c>
      <c r="O390" s="1">
        <v>7280.0</v>
      </c>
      <c r="P390" s="1">
        <v>16685.0</v>
      </c>
      <c r="Q390" s="1">
        <v>0.8268</v>
      </c>
      <c r="R390" s="1">
        <v>129761.0</v>
      </c>
    </row>
    <row r="391">
      <c r="A391" s="663" t="s">
        <v>2270</v>
      </c>
      <c r="B391" s="663" t="s">
        <v>180</v>
      </c>
      <c r="C391" s="663" t="s">
        <v>54</v>
      </c>
      <c r="D391" s="663" t="s">
        <v>599</v>
      </c>
      <c r="E391" s="664" t="s">
        <v>396</v>
      </c>
      <c r="F391" s="665">
        <v>8805.0</v>
      </c>
      <c r="G391" s="665">
        <v>1835.0</v>
      </c>
      <c r="H391" s="665">
        <v>20.84</v>
      </c>
      <c r="I391" s="665">
        <v>11.26</v>
      </c>
      <c r="J391" s="665">
        <v>15.87</v>
      </c>
      <c r="K391" s="665">
        <v>1878.0</v>
      </c>
      <c r="L391" s="665">
        <v>16685.0</v>
      </c>
      <c r="M391" s="665">
        <v>0.21</v>
      </c>
      <c r="N391" s="1">
        <v>1.0234</v>
      </c>
      <c r="O391" s="1">
        <v>1878.0</v>
      </c>
      <c r="P391" s="1">
        <v>16685.0</v>
      </c>
      <c r="Q391" s="1">
        <v>0.2133</v>
      </c>
      <c r="R391" s="1">
        <v>129761.0</v>
      </c>
    </row>
    <row r="392">
      <c r="A392" s="663" t="s">
        <v>2270</v>
      </c>
      <c r="B392" s="663" t="s">
        <v>180</v>
      </c>
      <c r="C392" s="663" t="s">
        <v>54</v>
      </c>
      <c r="D392" s="663" t="s">
        <v>599</v>
      </c>
      <c r="E392" s="664" t="s">
        <v>15</v>
      </c>
      <c r="F392" s="665">
        <v>8805.0</v>
      </c>
      <c r="G392" s="665">
        <v>927.0</v>
      </c>
      <c r="H392" s="665">
        <v>10.53</v>
      </c>
      <c r="I392" s="665">
        <v>10.7</v>
      </c>
      <c r="J392" s="665">
        <v>8.02</v>
      </c>
      <c r="K392" s="665">
        <v>1786.0</v>
      </c>
      <c r="L392" s="665">
        <v>16685.0</v>
      </c>
      <c r="M392" s="665">
        <v>0.2</v>
      </c>
      <c r="N392" s="1">
        <v>1.9266</v>
      </c>
      <c r="O392" s="1">
        <v>1786.0</v>
      </c>
      <c r="P392" s="1">
        <v>16685.0</v>
      </c>
      <c r="Q392" s="1">
        <v>0.2028</v>
      </c>
      <c r="R392" s="1">
        <v>129761.0</v>
      </c>
    </row>
    <row r="393">
      <c r="A393" s="663" t="s">
        <v>2270</v>
      </c>
      <c r="B393" s="663" t="s">
        <v>180</v>
      </c>
      <c r="C393" s="663" t="s">
        <v>54</v>
      </c>
      <c r="D393" s="663" t="s">
        <v>599</v>
      </c>
      <c r="E393" s="664" t="s">
        <v>393</v>
      </c>
      <c r="F393" s="665">
        <v>8805.0</v>
      </c>
      <c r="G393" s="665">
        <v>1121.0</v>
      </c>
      <c r="H393" s="665">
        <v>12.73</v>
      </c>
      <c r="I393" s="665">
        <v>10.36</v>
      </c>
      <c r="J393" s="665">
        <v>7.39</v>
      </c>
      <c r="K393" s="665">
        <v>1728.0</v>
      </c>
      <c r="L393" s="665">
        <v>16685.0</v>
      </c>
      <c r="M393" s="665">
        <v>0.2</v>
      </c>
      <c r="N393" s="1">
        <v>1.5415</v>
      </c>
      <c r="O393" s="1">
        <v>1728.0</v>
      </c>
      <c r="P393" s="1">
        <v>16685.0</v>
      </c>
      <c r="Q393" s="1">
        <v>0.1963</v>
      </c>
      <c r="R393" s="1">
        <v>129761.0</v>
      </c>
    </row>
    <row r="394">
      <c r="A394" s="663" t="s">
        <v>2270</v>
      </c>
      <c r="B394" s="663" t="s">
        <v>180</v>
      </c>
      <c r="C394" s="663" t="s">
        <v>54</v>
      </c>
      <c r="D394" s="663" t="s">
        <v>599</v>
      </c>
      <c r="E394" s="664" t="s">
        <v>14</v>
      </c>
      <c r="F394" s="665">
        <v>8805.0</v>
      </c>
      <c r="G394" s="665">
        <v>1095.0</v>
      </c>
      <c r="H394" s="665">
        <v>12.44</v>
      </c>
      <c r="I394" s="665">
        <v>8.22</v>
      </c>
      <c r="J394" s="665">
        <v>5.88</v>
      </c>
      <c r="K394" s="665">
        <v>1371.0</v>
      </c>
      <c r="L394" s="665">
        <v>16685.0</v>
      </c>
      <c r="M394" s="665">
        <v>0.16</v>
      </c>
      <c r="N394" s="1">
        <v>1.2521</v>
      </c>
      <c r="O394" s="1">
        <v>1371.0</v>
      </c>
      <c r="P394" s="1">
        <v>16685.0</v>
      </c>
      <c r="Q394" s="1">
        <v>0.1557</v>
      </c>
      <c r="R394" s="1">
        <v>129761.0</v>
      </c>
    </row>
    <row r="395">
      <c r="A395" s="663" t="s">
        <v>2270</v>
      </c>
      <c r="B395" s="663" t="s">
        <v>180</v>
      </c>
      <c r="C395" s="663" t="s">
        <v>54</v>
      </c>
      <c r="D395" s="663" t="s">
        <v>599</v>
      </c>
      <c r="E395" s="664" t="s">
        <v>397</v>
      </c>
      <c r="F395" s="665">
        <v>8805.0</v>
      </c>
      <c r="G395" s="665">
        <v>944.0</v>
      </c>
      <c r="H395" s="665">
        <v>10.72</v>
      </c>
      <c r="I395" s="665">
        <v>5.85</v>
      </c>
      <c r="J395" s="665">
        <v>5.55</v>
      </c>
      <c r="K395" s="665">
        <v>976.0</v>
      </c>
      <c r="L395" s="665">
        <v>16685.0</v>
      </c>
      <c r="M395" s="665">
        <v>0.11</v>
      </c>
      <c r="N395" s="1">
        <v>1.0339</v>
      </c>
      <c r="O395" s="1">
        <v>976.0</v>
      </c>
      <c r="P395" s="1">
        <v>16685.0</v>
      </c>
      <c r="Q395" s="1">
        <v>0.1108</v>
      </c>
      <c r="R395" s="1">
        <v>129761.0</v>
      </c>
    </row>
    <row r="396">
      <c r="A396" s="663" t="s">
        <v>2270</v>
      </c>
      <c r="B396" s="663" t="s">
        <v>180</v>
      </c>
      <c r="C396" s="663" t="s">
        <v>54</v>
      </c>
      <c r="D396" s="663" t="s">
        <v>599</v>
      </c>
      <c r="E396" s="664" t="s">
        <v>9</v>
      </c>
      <c r="F396" s="665">
        <v>8805.0</v>
      </c>
      <c r="G396" s="665">
        <v>501.0</v>
      </c>
      <c r="H396" s="665">
        <v>5.69</v>
      </c>
      <c r="I396" s="665">
        <v>3.26</v>
      </c>
      <c r="J396" s="665">
        <v>2.86</v>
      </c>
      <c r="K396" s="665">
        <v>544.0</v>
      </c>
      <c r="L396" s="665">
        <v>16685.0</v>
      </c>
      <c r="M396" s="665">
        <v>0.06</v>
      </c>
      <c r="N396" s="1">
        <v>1.0858</v>
      </c>
      <c r="O396" s="1">
        <v>544.0</v>
      </c>
      <c r="P396" s="1">
        <v>16685.0</v>
      </c>
      <c r="Q396" s="1">
        <v>0.0618</v>
      </c>
      <c r="R396" s="1">
        <v>129761.0</v>
      </c>
    </row>
    <row r="397">
      <c r="A397" s="663" t="s">
        <v>2270</v>
      </c>
      <c r="B397" s="663" t="s">
        <v>180</v>
      </c>
      <c r="C397" s="663" t="s">
        <v>54</v>
      </c>
      <c r="D397" s="663" t="s">
        <v>599</v>
      </c>
      <c r="E397" s="664" t="s">
        <v>42</v>
      </c>
      <c r="F397" s="665">
        <v>8805.0</v>
      </c>
      <c r="G397" s="665">
        <v>455.0</v>
      </c>
      <c r="H397" s="665">
        <v>5.17</v>
      </c>
      <c r="I397" s="665">
        <v>3.01</v>
      </c>
      <c r="J397" s="665">
        <v>3.43</v>
      </c>
      <c r="K397" s="665">
        <v>502.0</v>
      </c>
      <c r="L397" s="665">
        <v>16685.0</v>
      </c>
      <c r="M397" s="665">
        <v>0.06</v>
      </c>
      <c r="N397" s="1">
        <v>1.1033</v>
      </c>
      <c r="O397" s="1">
        <v>502.0</v>
      </c>
      <c r="P397" s="1">
        <v>16685.0</v>
      </c>
      <c r="Q397" s="1">
        <v>0.057</v>
      </c>
      <c r="R397" s="1">
        <v>129761.0</v>
      </c>
    </row>
    <row r="398">
      <c r="A398" s="663" t="s">
        <v>2270</v>
      </c>
      <c r="B398" s="663" t="s">
        <v>180</v>
      </c>
      <c r="C398" s="663" t="s">
        <v>54</v>
      </c>
      <c r="D398" s="663" t="s">
        <v>599</v>
      </c>
      <c r="E398" s="664" t="s">
        <v>411</v>
      </c>
      <c r="F398" s="665">
        <v>8805.0</v>
      </c>
      <c r="G398" s="665">
        <v>315.0</v>
      </c>
      <c r="H398" s="665">
        <v>3.58</v>
      </c>
      <c r="I398" s="665">
        <v>1.94</v>
      </c>
      <c r="J398" s="665">
        <v>1.99</v>
      </c>
      <c r="K398" s="665">
        <v>324.0</v>
      </c>
      <c r="L398" s="665">
        <v>16685.0</v>
      </c>
      <c r="M398" s="665">
        <v>0.04</v>
      </c>
      <c r="N398" s="1">
        <v>1.0286</v>
      </c>
      <c r="O398" s="1">
        <v>324.0</v>
      </c>
      <c r="P398" s="1">
        <v>16685.0</v>
      </c>
      <c r="Q398" s="1">
        <v>0.0368</v>
      </c>
      <c r="R398" s="1">
        <v>129761.0</v>
      </c>
    </row>
    <row r="399">
      <c r="A399" s="663" t="s">
        <v>2270</v>
      </c>
      <c r="B399" s="663" t="s">
        <v>180</v>
      </c>
      <c r="C399" s="663" t="s">
        <v>54</v>
      </c>
      <c r="D399" s="663" t="s">
        <v>599</v>
      </c>
      <c r="E399" s="664" t="s">
        <v>418</v>
      </c>
      <c r="F399" s="665">
        <v>8805.0</v>
      </c>
      <c r="G399" s="665">
        <v>95.0</v>
      </c>
      <c r="H399" s="665">
        <v>1.08</v>
      </c>
      <c r="I399" s="665">
        <v>0.59</v>
      </c>
      <c r="J399" s="665">
        <v>0.96</v>
      </c>
      <c r="K399" s="665">
        <v>98.0</v>
      </c>
      <c r="L399" s="665">
        <v>16685.0</v>
      </c>
      <c r="M399" s="665">
        <v>0.01</v>
      </c>
      <c r="N399" s="1">
        <v>1.0316</v>
      </c>
      <c r="O399" s="1">
        <v>98.0</v>
      </c>
      <c r="P399" s="1">
        <v>16685.0</v>
      </c>
      <c r="Q399" s="1">
        <v>0.0111</v>
      </c>
      <c r="R399" s="1">
        <v>129761.0</v>
      </c>
    </row>
    <row r="400">
      <c r="A400" s="663" t="s">
        <v>2270</v>
      </c>
      <c r="B400" s="663" t="s">
        <v>180</v>
      </c>
      <c r="C400" s="663" t="s">
        <v>54</v>
      </c>
      <c r="D400" s="663" t="s">
        <v>599</v>
      </c>
      <c r="E400" s="664" t="s">
        <v>63</v>
      </c>
      <c r="F400" s="665">
        <v>8805.0</v>
      </c>
      <c r="G400" s="665">
        <v>81.0</v>
      </c>
      <c r="H400" s="665">
        <v>0.92</v>
      </c>
      <c r="I400" s="665">
        <v>0.5</v>
      </c>
      <c r="J400" s="665">
        <v>0.51</v>
      </c>
      <c r="K400" s="665">
        <v>84.0</v>
      </c>
      <c r="L400" s="665">
        <v>16685.0</v>
      </c>
      <c r="M400" s="665">
        <v>0.01</v>
      </c>
      <c r="N400" s="1">
        <v>1.037</v>
      </c>
      <c r="O400" s="1">
        <v>84.0</v>
      </c>
      <c r="P400" s="1">
        <v>16685.0</v>
      </c>
      <c r="Q400" s="1">
        <v>0.0095</v>
      </c>
      <c r="R400" s="1">
        <v>129761.0</v>
      </c>
    </row>
    <row r="401">
      <c r="A401" s="663" t="s">
        <v>2270</v>
      </c>
      <c r="B401" s="663" t="s">
        <v>180</v>
      </c>
      <c r="C401" s="663" t="s">
        <v>54</v>
      </c>
      <c r="D401" s="663" t="s">
        <v>599</v>
      </c>
      <c r="E401" s="664" t="s">
        <v>329</v>
      </c>
      <c r="F401" s="665">
        <v>8805.0</v>
      </c>
      <c r="G401" s="665">
        <v>28.0</v>
      </c>
      <c r="H401" s="665">
        <v>0.32</v>
      </c>
      <c r="I401" s="665">
        <v>0.17</v>
      </c>
      <c r="J401" s="665">
        <v>0.25</v>
      </c>
      <c r="K401" s="665">
        <v>28.0</v>
      </c>
      <c r="L401" s="665">
        <v>16685.0</v>
      </c>
      <c r="M401" s="665">
        <v>0.0</v>
      </c>
      <c r="N401" s="1">
        <v>1.0</v>
      </c>
      <c r="O401" s="1">
        <v>28.0</v>
      </c>
      <c r="P401" s="1">
        <v>16685.0</v>
      </c>
      <c r="Q401" s="1">
        <v>0.0032</v>
      </c>
      <c r="R401" s="1">
        <v>129761.0</v>
      </c>
    </row>
    <row r="402">
      <c r="A402" s="663" t="s">
        <v>2270</v>
      </c>
      <c r="B402" s="663" t="s">
        <v>180</v>
      </c>
      <c r="C402" s="663" t="s">
        <v>54</v>
      </c>
      <c r="D402" s="663" t="s">
        <v>599</v>
      </c>
      <c r="E402" s="664" t="s">
        <v>341</v>
      </c>
      <c r="F402" s="665">
        <v>8805.0</v>
      </c>
      <c r="G402" s="665">
        <v>27.0</v>
      </c>
      <c r="H402" s="665">
        <v>0.31</v>
      </c>
      <c r="I402" s="665">
        <v>0.17</v>
      </c>
      <c r="J402" s="665">
        <v>0.2</v>
      </c>
      <c r="K402" s="665">
        <v>28.0</v>
      </c>
      <c r="L402" s="665">
        <v>16685.0</v>
      </c>
      <c r="M402" s="665">
        <v>0.0</v>
      </c>
      <c r="N402" s="1">
        <v>1.037</v>
      </c>
      <c r="O402" s="1">
        <v>28.0</v>
      </c>
      <c r="P402" s="1">
        <v>16685.0</v>
      </c>
      <c r="Q402" s="1">
        <v>0.0032</v>
      </c>
      <c r="R402" s="1">
        <v>129761.0</v>
      </c>
    </row>
    <row r="403">
      <c r="A403" s="663" t="s">
        <v>2270</v>
      </c>
      <c r="B403" s="663" t="s">
        <v>180</v>
      </c>
      <c r="C403" s="663" t="s">
        <v>54</v>
      </c>
      <c r="D403" s="663" t="s">
        <v>599</v>
      </c>
      <c r="E403" s="664" t="s">
        <v>338</v>
      </c>
      <c r="F403" s="665">
        <v>8805.0</v>
      </c>
      <c r="G403" s="665">
        <v>18.0</v>
      </c>
      <c r="H403" s="665">
        <v>0.2</v>
      </c>
      <c r="I403" s="665">
        <v>0.12</v>
      </c>
      <c r="J403" s="665">
        <v>0.15</v>
      </c>
      <c r="K403" s="665">
        <v>20.0</v>
      </c>
      <c r="L403" s="665">
        <v>16685.0</v>
      </c>
      <c r="M403" s="665">
        <v>0.0</v>
      </c>
      <c r="N403" s="1">
        <v>1.1111</v>
      </c>
      <c r="O403" s="1">
        <v>20.0</v>
      </c>
      <c r="P403" s="1">
        <v>16685.0</v>
      </c>
      <c r="Q403" s="1">
        <v>0.0023</v>
      </c>
      <c r="R403" s="1">
        <v>129761.0</v>
      </c>
    </row>
    <row r="404">
      <c r="A404" s="663" t="s">
        <v>2270</v>
      </c>
      <c r="B404" s="663" t="s">
        <v>180</v>
      </c>
      <c r="C404" s="663" t="s">
        <v>54</v>
      </c>
      <c r="D404" s="663" t="s">
        <v>599</v>
      </c>
      <c r="E404" s="664" t="s">
        <v>7</v>
      </c>
      <c r="F404" s="665">
        <v>8805.0</v>
      </c>
      <c r="G404" s="665">
        <v>12.0</v>
      </c>
      <c r="H404" s="665">
        <v>0.14</v>
      </c>
      <c r="I404" s="665">
        <v>0.08</v>
      </c>
      <c r="J404" s="665">
        <v>0.07</v>
      </c>
      <c r="K404" s="665">
        <v>13.0</v>
      </c>
      <c r="L404" s="665">
        <v>16685.0</v>
      </c>
      <c r="M404" s="665">
        <v>0.0</v>
      </c>
      <c r="N404" s="1">
        <v>1.0833</v>
      </c>
      <c r="O404" s="1">
        <v>13.0</v>
      </c>
      <c r="P404" s="1">
        <v>16685.0</v>
      </c>
      <c r="Q404" s="1">
        <v>0.0015</v>
      </c>
      <c r="R404" s="1">
        <v>129761.0</v>
      </c>
    </row>
    <row r="405">
      <c r="A405" s="663" t="s">
        <v>2270</v>
      </c>
      <c r="B405" s="663" t="s">
        <v>180</v>
      </c>
      <c r="C405" s="663" t="s">
        <v>54</v>
      </c>
      <c r="D405" s="663" t="s">
        <v>599</v>
      </c>
      <c r="E405" s="664" t="s">
        <v>151</v>
      </c>
      <c r="F405" s="665">
        <v>8805.0</v>
      </c>
      <c r="G405" s="665">
        <v>10.0</v>
      </c>
      <c r="H405" s="665">
        <v>0.11</v>
      </c>
      <c r="I405" s="665">
        <v>0.06</v>
      </c>
      <c r="J405" s="665">
        <v>0.11</v>
      </c>
      <c r="K405" s="665">
        <v>10.0</v>
      </c>
      <c r="L405" s="665">
        <v>16685.0</v>
      </c>
      <c r="M405" s="665">
        <v>0.0</v>
      </c>
      <c r="N405" s="1">
        <v>1.0</v>
      </c>
      <c r="O405" s="1">
        <v>10.0</v>
      </c>
      <c r="P405" s="1">
        <v>16685.0</v>
      </c>
      <c r="Q405" s="1">
        <v>0.0011</v>
      </c>
      <c r="R405" s="1">
        <v>129761.0</v>
      </c>
    </row>
    <row r="406">
      <c r="A406" s="663" t="s">
        <v>2270</v>
      </c>
      <c r="B406" s="663" t="s">
        <v>180</v>
      </c>
      <c r="C406" s="663" t="s">
        <v>54</v>
      </c>
      <c r="D406" s="663" t="s">
        <v>599</v>
      </c>
      <c r="E406" s="664" t="s">
        <v>401</v>
      </c>
      <c r="F406" s="665">
        <v>8805.0</v>
      </c>
      <c r="G406" s="665">
        <v>3.0</v>
      </c>
      <c r="H406" s="665">
        <v>0.03</v>
      </c>
      <c r="I406" s="665">
        <v>0.04</v>
      </c>
      <c r="J406" s="665">
        <v>0.02</v>
      </c>
      <c r="K406" s="665">
        <v>7.0</v>
      </c>
      <c r="L406" s="665">
        <v>16685.0</v>
      </c>
      <c r="M406" s="665">
        <v>0.0</v>
      </c>
      <c r="N406" s="1">
        <v>2.3333</v>
      </c>
      <c r="O406" s="1">
        <v>7.0</v>
      </c>
      <c r="P406" s="1">
        <v>16685.0</v>
      </c>
      <c r="Q406" s="1">
        <v>8.0E-4</v>
      </c>
      <c r="R406" s="1">
        <v>129761.0</v>
      </c>
    </row>
    <row r="407">
      <c r="A407" s="663" t="s">
        <v>2270</v>
      </c>
      <c r="B407" s="663" t="s">
        <v>180</v>
      </c>
      <c r="C407" s="663" t="s">
        <v>54</v>
      </c>
      <c r="D407" s="663" t="s">
        <v>599</v>
      </c>
      <c r="E407" s="664" t="s">
        <v>414</v>
      </c>
      <c r="F407" s="665">
        <v>8805.0</v>
      </c>
      <c r="G407" s="665">
        <v>2.0</v>
      </c>
      <c r="H407" s="665">
        <v>0.02</v>
      </c>
      <c r="I407" s="665">
        <v>0.04</v>
      </c>
      <c r="J407" s="665">
        <v>0.02</v>
      </c>
      <c r="K407" s="665">
        <v>6.0</v>
      </c>
      <c r="L407" s="665">
        <v>16685.0</v>
      </c>
      <c r="M407" s="665">
        <v>0.0</v>
      </c>
      <c r="N407" s="1">
        <v>3.0</v>
      </c>
      <c r="O407" s="1">
        <v>6.0</v>
      </c>
      <c r="P407" s="1">
        <v>16685.0</v>
      </c>
      <c r="Q407" s="1">
        <v>7.0E-4</v>
      </c>
      <c r="R407" s="1">
        <v>129761.0</v>
      </c>
    </row>
    <row r="408">
      <c r="A408" s="663" t="s">
        <v>2270</v>
      </c>
      <c r="B408" s="663" t="s">
        <v>180</v>
      </c>
      <c r="C408" s="663" t="s">
        <v>54</v>
      </c>
      <c r="D408" s="663" t="s">
        <v>599</v>
      </c>
      <c r="E408" s="664" t="s">
        <v>398</v>
      </c>
      <c r="F408" s="665">
        <v>8805.0</v>
      </c>
      <c r="G408" s="665">
        <v>1.0</v>
      </c>
      <c r="H408" s="665">
        <v>0.01</v>
      </c>
      <c r="I408" s="665">
        <v>0.01</v>
      </c>
      <c r="J408" s="665">
        <v>0.01</v>
      </c>
      <c r="K408" s="665">
        <v>1.0</v>
      </c>
      <c r="L408" s="665">
        <v>16685.0</v>
      </c>
      <c r="M408" s="665">
        <v>0.0</v>
      </c>
      <c r="N408" s="1">
        <v>1.0</v>
      </c>
      <c r="O408" s="1">
        <v>1.0</v>
      </c>
      <c r="P408" s="1">
        <v>16685.0</v>
      </c>
      <c r="Q408" s="1">
        <v>1.0E-4</v>
      </c>
      <c r="R408" s="1">
        <v>129761.0</v>
      </c>
    </row>
    <row r="409">
      <c r="A409" s="663" t="s">
        <v>2270</v>
      </c>
      <c r="B409" s="663" t="s">
        <v>180</v>
      </c>
      <c r="C409" s="663" t="s">
        <v>54</v>
      </c>
      <c r="D409" s="663" t="s">
        <v>599</v>
      </c>
      <c r="E409" s="664" t="s">
        <v>206</v>
      </c>
      <c r="F409" s="665">
        <v>8805.0</v>
      </c>
      <c r="G409" s="665">
        <v>1.0</v>
      </c>
      <c r="H409" s="665">
        <v>0.01</v>
      </c>
      <c r="I409" s="665">
        <v>0.01</v>
      </c>
      <c r="J409" s="665">
        <v>0.0</v>
      </c>
      <c r="K409" s="665">
        <v>1.0</v>
      </c>
      <c r="L409" s="665">
        <v>16685.0</v>
      </c>
      <c r="M409" s="665">
        <v>0.0</v>
      </c>
      <c r="N409" s="1">
        <v>1.0</v>
      </c>
      <c r="O409" s="1">
        <v>1.0</v>
      </c>
      <c r="P409" s="1">
        <v>16685.0</v>
      </c>
      <c r="Q409" s="1">
        <v>1.0E-4</v>
      </c>
      <c r="R409" s="1">
        <v>129761.0</v>
      </c>
    </row>
    <row r="410">
      <c r="A410" s="663" t="s">
        <v>2270</v>
      </c>
      <c r="B410" s="663" t="s">
        <v>180</v>
      </c>
      <c r="C410" s="663" t="s">
        <v>1205</v>
      </c>
      <c r="D410" s="663" t="s">
        <v>1205</v>
      </c>
      <c r="E410" s="664" t="s">
        <v>397</v>
      </c>
      <c r="F410" s="665">
        <v>37747.0</v>
      </c>
      <c r="G410" s="665">
        <v>27393.0</v>
      </c>
      <c r="H410" s="665">
        <v>72.57</v>
      </c>
      <c r="I410" s="665">
        <v>22.95</v>
      </c>
      <c r="J410" s="665">
        <v>28.56</v>
      </c>
      <c r="K410" s="665">
        <v>1048265.0</v>
      </c>
      <c r="L410" s="665">
        <v>4567389.09</v>
      </c>
      <c r="M410" s="665">
        <v>27.77</v>
      </c>
      <c r="N410" s="1">
        <v>38.2676</v>
      </c>
      <c r="O410" s="1">
        <v>1048265.0</v>
      </c>
      <c r="P410" s="1">
        <v>4625211.0</v>
      </c>
      <c r="Q410" s="1">
        <v>27.7708</v>
      </c>
      <c r="R410" s="1">
        <v>129761.0</v>
      </c>
    </row>
    <row r="411">
      <c r="A411" s="663" t="s">
        <v>2270</v>
      </c>
      <c r="B411" s="663" t="s">
        <v>180</v>
      </c>
      <c r="C411" s="663" t="s">
        <v>1205</v>
      </c>
      <c r="D411" s="663" t="s">
        <v>1205</v>
      </c>
      <c r="E411" s="664" t="s">
        <v>396</v>
      </c>
      <c r="F411" s="665">
        <v>37747.0</v>
      </c>
      <c r="G411" s="665">
        <v>19710.0</v>
      </c>
      <c r="H411" s="665">
        <v>52.22</v>
      </c>
      <c r="I411" s="665">
        <v>17.13</v>
      </c>
      <c r="J411" s="665">
        <v>29.01</v>
      </c>
      <c r="K411" s="665">
        <v>782465.0</v>
      </c>
      <c r="L411" s="665">
        <v>4567389.09</v>
      </c>
      <c r="M411" s="665">
        <v>20.73</v>
      </c>
      <c r="N411" s="1">
        <v>39.6989</v>
      </c>
      <c r="O411" s="1">
        <v>782465.0</v>
      </c>
      <c r="P411" s="1">
        <v>4625211.0</v>
      </c>
      <c r="Q411" s="1">
        <v>20.7292</v>
      </c>
      <c r="R411" s="1">
        <v>129761.0</v>
      </c>
    </row>
    <row r="412">
      <c r="A412" s="663" t="s">
        <v>2270</v>
      </c>
      <c r="B412" s="663" t="s">
        <v>180</v>
      </c>
      <c r="C412" s="663" t="s">
        <v>1205</v>
      </c>
      <c r="D412" s="663" t="s">
        <v>1205</v>
      </c>
      <c r="E412" s="664" t="s">
        <v>15</v>
      </c>
      <c r="F412" s="665">
        <v>37747.0</v>
      </c>
      <c r="G412" s="665">
        <v>4064.0</v>
      </c>
      <c r="H412" s="665">
        <v>10.77</v>
      </c>
      <c r="I412" s="665">
        <v>13.22</v>
      </c>
      <c r="J412" s="665">
        <v>4.75</v>
      </c>
      <c r="K412" s="665">
        <v>604010.0</v>
      </c>
      <c r="L412" s="665">
        <v>4567389.09</v>
      </c>
      <c r="M412" s="665">
        <v>16.0</v>
      </c>
      <c r="N412" s="1">
        <v>148.6245</v>
      </c>
      <c r="O412" s="1">
        <v>604010.0</v>
      </c>
      <c r="P412" s="1">
        <v>4625211.0</v>
      </c>
      <c r="Q412" s="1">
        <v>16.0015</v>
      </c>
      <c r="R412" s="1">
        <v>129761.0</v>
      </c>
    </row>
    <row r="413">
      <c r="A413" s="663" t="s">
        <v>2270</v>
      </c>
      <c r="B413" s="663" t="s">
        <v>180</v>
      </c>
      <c r="C413" s="663" t="s">
        <v>1205</v>
      </c>
      <c r="D413" s="663" t="s">
        <v>1205</v>
      </c>
      <c r="E413" s="664" t="s">
        <v>16</v>
      </c>
      <c r="F413" s="665">
        <v>37747.0</v>
      </c>
      <c r="G413" s="665">
        <v>5341.0</v>
      </c>
      <c r="H413" s="665">
        <v>14.15</v>
      </c>
      <c r="I413" s="665">
        <v>11.44</v>
      </c>
      <c r="J413" s="665">
        <v>5.56</v>
      </c>
      <c r="K413" s="665">
        <v>522620.0</v>
      </c>
      <c r="L413" s="665">
        <v>4567389.09</v>
      </c>
      <c r="M413" s="665">
        <v>13.85</v>
      </c>
      <c r="N413" s="1">
        <v>97.8506</v>
      </c>
      <c r="O413" s="1">
        <v>522620.0</v>
      </c>
      <c r="P413" s="1">
        <v>4625211.0</v>
      </c>
      <c r="Q413" s="1">
        <v>13.8453</v>
      </c>
      <c r="R413" s="1">
        <v>129761.0</v>
      </c>
    </row>
    <row r="414">
      <c r="A414" s="663" t="s">
        <v>2270</v>
      </c>
      <c r="B414" s="663" t="s">
        <v>180</v>
      </c>
      <c r="C414" s="663" t="s">
        <v>1205</v>
      </c>
      <c r="D414" s="663" t="s">
        <v>1205</v>
      </c>
      <c r="E414" s="664" t="s">
        <v>418</v>
      </c>
      <c r="F414" s="665">
        <v>37747.0</v>
      </c>
      <c r="G414" s="665">
        <v>17650.0</v>
      </c>
      <c r="H414" s="665">
        <v>46.76</v>
      </c>
      <c r="I414" s="665">
        <v>8.13</v>
      </c>
      <c r="J414" s="665">
        <v>10.46</v>
      </c>
      <c r="K414" s="665">
        <v>371265.0</v>
      </c>
      <c r="L414" s="665">
        <v>4567389.09</v>
      </c>
      <c r="M414" s="665">
        <v>9.84</v>
      </c>
      <c r="N414" s="1">
        <v>21.0348</v>
      </c>
      <c r="O414" s="1">
        <v>371265.0</v>
      </c>
      <c r="P414" s="1">
        <v>4625211.0</v>
      </c>
      <c r="Q414" s="1">
        <v>9.8356</v>
      </c>
      <c r="R414" s="1">
        <v>129761.0</v>
      </c>
    </row>
    <row r="415">
      <c r="A415" s="663" t="s">
        <v>2270</v>
      </c>
      <c r="B415" s="663" t="s">
        <v>180</v>
      </c>
      <c r="C415" s="663" t="s">
        <v>1205</v>
      </c>
      <c r="D415" s="663" t="s">
        <v>1205</v>
      </c>
      <c r="E415" s="664" t="s">
        <v>398</v>
      </c>
      <c r="F415" s="665">
        <v>37747.0</v>
      </c>
      <c r="G415" s="665">
        <v>9955.0</v>
      </c>
      <c r="H415" s="665">
        <v>26.37</v>
      </c>
      <c r="I415" s="665">
        <v>7.27</v>
      </c>
      <c r="J415" s="665">
        <v>4.56</v>
      </c>
      <c r="K415" s="665">
        <v>331990.0</v>
      </c>
      <c r="L415" s="665">
        <v>4567389.09</v>
      </c>
      <c r="M415" s="665">
        <v>8.8</v>
      </c>
      <c r="N415" s="1">
        <v>33.3491</v>
      </c>
      <c r="O415" s="1">
        <v>331990.0</v>
      </c>
      <c r="P415" s="1">
        <v>4625211.0</v>
      </c>
      <c r="Q415" s="1">
        <v>8.7951</v>
      </c>
      <c r="R415" s="1">
        <v>129761.0</v>
      </c>
    </row>
    <row r="416">
      <c r="A416" s="663" t="s">
        <v>2270</v>
      </c>
      <c r="B416" s="663" t="s">
        <v>180</v>
      </c>
      <c r="C416" s="663" t="s">
        <v>1205</v>
      </c>
      <c r="D416" s="663" t="s">
        <v>1205</v>
      </c>
      <c r="E416" s="664" t="s">
        <v>14</v>
      </c>
      <c r="F416" s="665">
        <v>37747.0</v>
      </c>
      <c r="G416" s="665">
        <v>13223.0</v>
      </c>
      <c r="H416" s="665">
        <v>35.03</v>
      </c>
      <c r="I416" s="665">
        <v>6.05</v>
      </c>
      <c r="J416" s="665">
        <v>5.92</v>
      </c>
      <c r="K416" s="665">
        <v>276208.09</v>
      </c>
      <c r="L416" s="665">
        <v>4567389.09</v>
      </c>
      <c r="M416" s="665">
        <v>7.32</v>
      </c>
      <c r="N416" s="1">
        <v>20.8885</v>
      </c>
      <c r="O416" s="1">
        <v>334030.0</v>
      </c>
      <c r="P416" s="1">
        <v>4625211.0</v>
      </c>
      <c r="Q416" s="1">
        <v>8.8492</v>
      </c>
      <c r="R416" s="1">
        <v>129761.0</v>
      </c>
    </row>
    <row r="417">
      <c r="A417" s="663" t="s">
        <v>2270</v>
      </c>
      <c r="B417" s="663" t="s">
        <v>180</v>
      </c>
      <c r="C417" s="663" t="s">
        <v>1205</v>
      </c>
      <c r="D417" s="663" t="s">
        <v>1205</v>
      </c>
      <c r="E417" s="664" t="s">
        <v>413</v>
      </c>
      <c r="F417" s="665">
        <v>37747.0</v>
      </c>
      <c r="G417" s="665">
        <v>9701.0</v>
      </c>
      <c r="H417" s="665">
        <v>25.7</v>
      </c>
      <c r="I417" s="665">
        <v>4.63</v>
      </c>
      <c r="J417" s="665">
        <v>6.38</v>
      </c>
      <c r="K417" s="665">
        <v>211500.0</v>
      </c>
      <c r="L417" s="665">
        <v>4567389.09</v>
      </c>
      <c r="M417" s="665">
        <v>5.6</v>
      </c>
      <c r="N417" s="1">
        <v>21.8019</v>
      </c>
      <c r="O417" s="1">
        <v>211500.0</v>
      </c>
      <c r="P417" s="1">
        <v>4625211.0</v>
      </c>
      <c r="Q417" s="1">
        <v>5.6031</v>
      </c>
      <c r="R417" s="1">
        <v>129761.0</v>
      </c>
    </row>
    <row r="418">
      <c r="A418" s="663" t="s">
        <v>2270</v>
      </c>
      <c r="B418" s="663" t="s">
        <v>180</v>
      </c>
      <c r="C418" s="663" t="s">
        <v>1205</v>
      </c>
      <c r="D418" s="663" t="s">
        <v>1205</v>
      </c>
      <c r="E418" s="664" t="s">
        <v>393</v>
      </c>
      <c r="F418" s="665">
        <v>37747.0</v>
      </c>
      <c r="G418" s="665">
        <v>3194.0</v>
      </c>
      <c r="H418" s="665">
        <v>8.46</v>
      </c>
      <c r="I418" s="665">
        <v>3.66</v>
      </c>
      <c r="J418" s="665">
        <v>1.59</v>
      </c>
      <c r="K418" s="665">
        <v>167315.0</v>
      </c>
      <c r="L418" s="665">
        <v>4567389.09</v>
      </c>
      <c r="M418" s="665">
        <v>4.43</v>
      </c>
      <c r="N418" s="1">
        <v>52.3842</v>
      </c>
      <c r="O418" s="1">
        <v>167315.0</v>
      </c>
      <c r="P418" s="1">
        <v>4625211.0</v>
      </c>
      <c r="Q418" s="1">
        <v>4.4325</v>
      </c>
      <c r="R418" s="1">
        <v>129761.0</v>
      </c>
    </row>
    <row r="419">
      <c r="A419" s="663" t="s">
        <v>2270</v>
      </c>
      <c r="B419" s="663" t="s">
        <v>180</v>
      </c>
      <c r="C419" s="663" t="s">
        <v>1205</v>
      </c>
      <c r="D419" s="663" t="s">
        <v>1205</v>
      </c>
      <c r="E419" s="664" t="s">
        <v>411</v>
      </c>
      <c r="F419" s="665">
        <v>37747.0</v>
      </c>
      <c r="G419" s="665">
        <v>2519.0</v>
      </c>
      <c r="H419" s="665">
        <v>6.67</v>
      </c>
      <c r="I419" s="665">
        <v>1.64</v>
      </c>
      <c r="J419" s="665">
        <v>0.8</v>
      </c>
      <c r="K419" s="665">
        <v>74816.0</v>
      </c>
      <c r="L419" s="665">
        <v>4567389.09</v>
      </c>
      <c r="M419" s="665">
        <v>1.98</v>
      </c>
      <c r="N419" s="1">
        <v>29.7007</v>
      </c>
      <c r="O419" s="1">
        <v>74816.0</v>
      </c>
      <c r="P419" s="1">
        <v>4625211.0</v>
      </c>
      <c r="Q419" s="1">
        <v>1.982</v>
      </c>
      <c r="R419" s="1">
        <v>129761.0</v>
      </c>
    </row>
    <row r="420">
      <c r="A420" s="663" t="s">
        <v>2270</v>
      </c>
      <c r="B420" s="663" t="s">
        <v>180</v>
      </c>
      <c r="C420" s="663" t="s">
        <v>1205</v>
      </c>
      <c r="D420" s="663" t="s">
        <v>1205</v>
      </c>
      <c r="E420" s="664" t="s">
        <v>42</v>
      </c>
      <c r="F420" s="665">
        <v>37747.0</v>
      </c>
      <c r="G420" s="665">
        <v>1579.0</v>
      </c>
      <c r="H420" s="665">
        <v>4.18</v>
      </c>
      <c r="I420" s="665">
        <v>1.24</v>
      </c>
      <c r="J420" s="665">
        <v>0.76</v>
      </c>
      <c r="K420" s="665">
        <v>56820.0</v>
      </c>
      <c r="L420" s="665">
        <v>4567389.09</v>
      </c>
      <c r="M420" s="665">
        <v>1.51</v>
      </c>
      <c r="N420" s="1">
        <v>35.9848</v>
      </c>
      <c r="O420" s="1">
        <v>56820.0</v>
      </c>
      <c r="P420" s="1">
        <v>4625211.0</v>
      </c>
      <c r="Q420" s="1">
        <v>1.5053</v>
      </c>
      <c r="R420" s="1">
        <v>129761.0</v>
      </c>
    </row>
    <row r="421">
      <c r="A421" s="663" t="s">
        <v>2270</v>
      </c>
      <c r="B421" s="663" t="s">
        <v>180</v>
      </c>
      <c r="C421" s="663" t="s">
        <v>1205</v>
      </c>
      <c r="D421" s="663" t="s">
        <v>1205</v>
      </c>
      <c r="E421" s="664" t="s">
        <v>9</v>
      </c>
      <c r="F421" s="665">
        <v>37747.0</v>
      </c>
      <c r="G421" s="665">
        <v>2832.0</v>
      </c>
      <c r="H421" s="665">
        <v>7.5</v>
      </c>
      <c r="I421" s="665">
        <v>0.81</v>
      </c>
      <c r="J421" s="665">
        <v>0.63</v>
      </c>
      <c r="K421" s="665">
        <v>36835.0</v>
      </c>
      <c r="L421" s="665">
        <v>4567389.09</v>
      </c>
      <c r="M421" s="665">
        <v>0.98</v>
      </c>
      <c r="N421" s="1">
        <v>13.0067</v>
      </c>
      <c r="O421" s="1">
        <v>36835.0</v>
      </c>
      <c r="P421" s="1">
        <v>4625211.0</v>
      </c>
      <c r="Q421" s="1">
        <v>0.9758</v>
      </c>
      <c r="R421" s="1">
        <v>129761.0</v>
      </c>
    </row>
    <row r="422">
      <c r="A422" s="663" t="s">
        <v>2270</v>
      </c>
      <c r="B422" s="663" t="s">
        <v>180</v>
      </c>
      <c r="C422" s="663" t="s">
        <v>1205</v>
      </c>
      <c r="D422" s="663" t="s">
        <v>1205</v>
      </c>
      <c r="E422" s="664" t="s">
        <v>63</v>
      </c>
      <c r="F422" s="665">
        <v>37747.0</v>
      </c>
      <c r="G422" s="665">
        <v>406.0</v>
      </c>
      <c r="H422" s="665">
        <v>1.08</v>
      </c>
      <c r="I422" s="665">
        <v>0.49</v>
      </c>
      <c r="J422" s="665">
        <v>0.26</v>
      </c>
      <c r="K422" s="665">
        <v>22320.0</v>
      </c>
      <c r="L422" s="665">
        <v>4567389.09</v>
      </c>
      <c r="M422" s="665">
        <v>0.59</v>
      </c>
      <c r="N422" s="1">
        <v>54.9754</v>
      </c>
      <c r="O422" s="1">
        <v>22320.0</v>
      </c>
      <c r="P422" s="1">
        <v>4625211.0</v>
      </c>
      <c r="Q422" s="1">
        <v>0.5913</v>
      </c>
      <c r="R422" s="1">
        <v>129761.0</v>
      </c>
    </row>
    <row r="423">
      <c r="A423" s="663" t="s">
        <v>2270</v>
      </c>
      <c r="B423" s="663" t="s">
        <v>180</v>
      </c>
      <c r="C423" s="663" t="s">
        <v>1205</v>
      </c>
      <c r="D423" s="663" t="s">
        <v>1205</v>
      </c>
      <c r="E423" s="664" t="s">
        <v>329</v>
      </c>
      <c r="F423" s="665">
        <v>37747.0</v>
      </c>
      <c r="G423" s="665">
        <v>174.0</v>
      </c>
      <c r="H423" s="665">
        <v>0.46</v>
      </c>
      <c r="I423" s="665">
        <v>0.36</v>
      </c>
      <c r="J423" s="665">
        <v>0.21</v>
      </c>
      <c r="K423" s="665">
        <v>16550.0</v>
      </c>
      <c r="L423" s="665">
        <v>4567389.09</v>
      </c>
      <c r="M423" s="665">
        <v>0.44</v>
      </c>
      <c r="N423" s="1">
        <v>95.1149</v>
      </c>
      <c r="O423" s="1">
        <v>16550.0</v>
      </c>
      <c r="P423" s="1">
        <v>4625211.0</v>
      </c>
      <c r="Q423" s="1">
        <v>0.4384</v>
      </c>
      <c r="R423" s="1">
        <v>129761.0</v>
      </c>
    </row>
    <row r="424">
      <c r="A424" s="663" t="s">
        <v>2270</v>
      </c>
      <c r="B424" s="663" t="s">
        <v>180</v>
      </c>
      <c r="C424" s="663" t="s">
        <v>1205</v>
      </c>
      <c r="D424" s="663" t="s">
        <v>1205</v>
      </c>
      <c r="E424" s="664" t="s">
        <v>341</v>
      </c>
      <c r="F424" s="665">
        <v>37747.0</v>
      </c>
      <c r="G424" s="665">
        <v>152.0</v>
      </c>
      <c r="H424" s="665">
        <v>0.4</v>
      </c>
      <c r="I424" s="665">
        <v>0.33</v>
      </c>
      <c r="J424" s="665">
        <v>0.16</v>
      </c>
      <c r="K424" s="665">
        <v>14850.0</v>
      </c>
      <c r="L424" s="665">
        <v>4567389.09</v>
      </c>
      <c r="M424" s="665">
        <v>0.39</v>
      </c>
      <c r="N424" s="1">
        <v>97.6974</v>
      </c>
      <c r="O424" s="1">
        <v>14850.0</v>
      </c>
      <c r="P424" s="1">
        <v>4625211.0</v>
      </c>
      <c r="Q424" s="1">
        <v>0.3934</v>
      </c>
      <c r="R424" s="1">
        <v>129761.0</v>
      </c>
    </row>
    <row r="425">
      <c r="A425" s="663" t="s">
        <v>2270</v>
      </c>
      <c r="B425" s="663" t="s">
        <v>180</v>
      </c>
      <c r="C425" s="663" t="s">
        <v>1205</v>
      </c>
      <c r="D425" s="663" t="s">
        <v>1205</v>
      </c>
      <c r="E425" s="664" t="s">
        <v>338</v>
      </c>
      <c r="F425" s="665">
        <v>37747.0</v>
      </c>
      <c r="G425" s="665">
        <v>129.0</v>
      </c>
      <c r="H425" s="665">
        <v>0.34</v>
      </c>
      <c r="I425" s="665">
        <v>0.26</v>
      </c>
      <c r="J425" s="665">
        <v>0.15</v>
      </c>
      <c r="K425" s="665">
        <v>11900.0</v>
      </c>
      <c r="L425" s="665">
        <v>4567389.09</v>
      </c>
      <c r="M425" s="665">
        <v>0.32</v>
      </c>
      <c r="N425" s="1">
        <v>92.2481</v>
      </c>
      <c r="O425" s="1">
        <v>11900.0</v>
      </c>
      <c r="P425" s="1">
        <v>4625211.0</v>
      </c>
      <c r="Q425" s="1">
        <v>0.3153</v>
      </c>
      <c r="R425" s="1">
        <v>129761.0</v>
      </c>
    </row>
    <row r="426">
      <c r="A426" s="663" t="s">
        <v>2270</v>
      </c>
      <c r="B426" s="663" t="s">
        <v>180</v>
      </c>
      <c r="C426" s="663" t="s">
        <v>1205</v>
      </c>
      <c r="D426" s="663" t="s">
        <v>1205</v>
      </c>
      <c r="E426" s="664" t="s">
        <v>7</v>
      </c>
      <c r="F426" s="665">
        <v>37747.0</v>
      </c>
      <c r="G426" s="665">
        <v>54.0</v>
      </c>
      <c r="H426" s="665">
        <v>0.14</v>
      </c>
      <c r="I426" s="665">
        <v>0.19</v>
      </c>
      <c r="J426" s="665">
        <v>0.07</v>
      </c>
      <c r="K426" s="665">
        <v>8850.0</v>
      </c>
      <c r="L426" s="665">
        <v>4567389.09</v>
      </c>
      <c r="M426" s="665">
        <v>0.23</v>
      </c>
      <c r="N426" s="1">
        <v>163.8889</v>
      </c>
      <c r="O426" s="1">
        <v>8850.0</v>
      </c>
      <c r="P426" s="1">
        <v>4625211.0</v>
      </c>
      <c r="Q426" s="1">
        <v>0.2345</v>
      </c>
      <c r="R426" s="1">
        <v>129761.0</v>
      </c>
    </row>
    <row r="427">
      <c r="A427" s="663" t="s">
        <v>2270</v>
      </c>
      <c r="B427" s="663" t="s">
        <v>180</v>
      </c>
      <c r="C427" s="663" t="s">
        <v>1205</v>
      </c>
      <c r="D427" s="663" t="s">
        <v>1205</v>
      </c>
      <c r="E427" s="664" t="s">
        <v>401</v>
      </c>
      <c r="F427" s="665">
        <v>37747.0</v>
      </c>
      <c r="G427" s="665">
        <v>140.0</v>
      </c>
      <c r="H427" s="665">
        <v>0.37</v>
      </c>
      <c r="I427" s="665">
        <v>0.1</v>
      </c>
      <c r="J427" s="665">
        <v>0.09</v>
      </c>
      <c r="K427" s="665">
        <v>4575.0</v>
      </c>
      <c r="L427" s="665">
        <v>4567389.09</v>
      </c>
      <c r="M427" s="665">
        <v>0.12</v>
      </c>
      <c r="N427" s="1">
        <v>32.6786</v>
      </c>
      <c r="O427" s="1">
        <v>4575.0</v>
      </c>
      <c r="P427" s="1">
        <v>4625211.0</v>
      </c>
      <c r="Q427" s="1">
        <v>0.1212</v>
      </c>
      <c r="R427" s="1">
        <v>129761.0</v>
      </c>
    </row>
    <row r="428">
      <c r="A428" s="663" t="s">
        <v>2270</v>
      </c>
      <c r="B428" s="663" t="s">
        <v>180</v>
      </c>
      <c r="C428" s="663" t="s">
        <v>1205</v>
      </c>
      <c r="D428" s="663" t="s">
        <v>1205</v>
      </c>
      <c r="E428" s="664" t="s">
        <v>206</v>
      </c>
      <c r="F428" s="665">
        <v>37747.0</v>
      </c>
      <c r="G428" s="665">
        <v>97.0</v>
      </c>
      <c r="H428" s="665">
        <v>0.26</v>
      </c>
      <c r="I428" s="665">
        <v>0.06</v>
      </c>
      <c r="J428" s="665">
        <v>0.04</v>
      </c>
      <c r="K428" s="665">
        <v>2600.0</v>
      </c>
      <c r="L428" s="665">
        <v>4567389.09</v>
      </c>
      <c r="M428" s="665">
        <v>0.07</v>
      </c>
      <c r="N428" s="1">
        <v>26.8041</v>
      </c>
      <c r="O428" s="1">
        <v>2600.0</v>
      </c>
      <c r="P428" s="1">
        <v>4625211.0</v>
      </c>
      <c r="Q428" s="1">
        <v>0.0689</v>
      </c>
      <c r="R428" s="1">
        <v>129761.0</v>
      </c>
    </row>
    <row r="429">
      <c r="A429" s="663" t="s">
        <v>2270</v>
      </c>
      <c r="B429" s="663" t="s">
        <v>180</v>
      </c>
      <c r="C429" s="663" t="s">
        <v>1205</v>
      </c>
      <c r="D429" s="663" t="s">
        <v>1205</v>
      </c>
      <c r="E429" s="664" t="s">
        <v>73</v>
      </c>
      <c r="F429" s="665">
        <v>37747.0</v>
      </c>
      <c r="G429" s="665">
        <v>49.0</v>
      </c>
      <c r="H429" s="665">
        <v>0.13</v>
      </c>
      <c r="I429" s="665">
        <v>0.03</v>
      </c>
      <c r="J429" s="665">
        <v>0.01</v>
      </c>
      <c r="K429" s="665">
        <v>1300.0</v>
      </c>
      <c r="L429" s="665">
        <v>4567389.09</v>
      </c>
      <c r="M429" s="665">
        <v>0.03</v>
      </c>
      <c r="N429" s="1">
        <v>26.5306</v>
      </c>
      <c r="O429" s="1">
        <v>1300.0</v>
      </c>
      <c r="P429" s="1">
        <v>4625211.0</v>
      </c>
      <c r="Q429" s="1">
        <v>0.0344</v>
      </c>
      <c r="R429" s="1">
        <v>129761.0</v>
      </c>
    </row>
    <row r="430">
      <c r="A430" s="663" t="s">
        <v>2270</v>
      </c>
      <c r="B430" s="663" t="s">
        <v>180</v>
      </c>
      <c r="C430" s="663" t="s">
        <v>1205</v>
      </c>
      <c r="D430" s="663" t="s">
        <v>1205</v>
      </c>
      <c r="E430" s="664" t="s">
        <v>151</v>
      </c>
      <c r="F430" s="665">
        <v>37747.0</v>
      </c>
      <c r="G430" s="665">
        <v>8.0</v>
      </c>
      <c r="H430" s="665">
        <v>0.02</v>
      </c>
      <c r="I430" s="665">
        <v>0.01</v>
      </c>
      <c r="J430" s="665">
        <v>0.01</v>
      </c>
      <c r="K430" s="665">
        <v>335.0</v>
      </c>
      <c r="L430" s="665">
        <v>4567389.09</v>
      </c>
      <c r="M430" s="665">
        <v>0.01</v>
      </c>
      <c r="N430" s="1">
        <v>41.875</v>
      </c>
      <c r="O430" s="1">
        <v>335.0</v>
      </c>
      <c r="P430" s="1">
        <v>4625211.0</v>
      </c>
      <c r="Q430" s="1">
        <v>0.0089</v>
      </c>
      <c r="R430" s="1">
        <v>129761.0</v>
      </c>
    </row>
    <row r="431">
      <c r="A431" s="663" t="s">
        <v>2270</v>
      </c>
      <c r="B431" s="663" t="s">
        <v>180</v>
      </c>
      <c r="C431" s="663" t="s">
        <v>47</v>
      </c>
      <c r="D431" s="663" t="s">
        <v>599</v>
      </c>
      <c r="E431" s="664" t="s">
        <v>14</v>
      </c>
      <c r="F431" s="665">
        <v>23935.0</v>
      </c>
      <c r="G431" s="665">
        <v>13920.0</v>
      </c>
      <c r="H431" s="665">
        <v>58.16</v>
      </c>
      <c r="I431" s="665">
        <v>21.79</v>
      </c>
      <c r="J431" s="665">
        <v>25.24</v>
      </c>
      <c r="K431" s="665">
        <v>20374.0</v>
      </c>
      <c r="L431" s="665">
        <v>93512.0</v>
      </c>
      <c r="M431" s="665">
        <v>0.85</v>
      </c>
      <c r="N431" s="1">
        <v>1.4636</v>
      </c>
      <c r="O431" s="1">
        <v>20374.0</v>
      </c>
      <c r="P431" s="1">
        <v>93512.0</v>
      </c>
      <c r="Q431" s="1">
        <v>0.8512</v>
      </c>
      <c r="R431" s="1">
        <v>129761.0</v>
      </c>
    </row>
    <row r="432">
      <c r="A432" s="663" t="s">
        <v>2270</v>
      </c>
      <c r="B432" s="663" t="s">
        <v>180</v>
      </c>
      <c r="C432" s="663" t="s">
        <v>47</v>
      </c>
      <c r="D432" s="663" t="s">
        <v>599</v>
      </c>
      <c r="E432" s="664" t="s">
        <v>398</v>
      </c>
      <c r="F432" s="665">
        <v>23935.0</v>
      </c>
      <c r="G432" s="665">
        <v>8650.0</v>
      </c>
      <c r="H432" s="665">
        <v>36.14</v>
      </c>
      <c r="I432" s="665">
        <v>20.75</v>
      </c>
      <c r="J432" s="665">
        <v>12.55</v>
      </c>
      <c r="K432" s="665">
        <v>19401.0</v>
      </c>
      <c r="L432" s="665">
        <v>93512.0</v>
      </c>
      <c r="M432" s="665">
        <v>0.81</v>
      </c>
      <c r="N432" s="1">
        <v>2.2429</v>
      </c>
      <c r="O432" s="1">
        <v>19401.0</v>
      </c>
      <c r="P432" s="1">
        <v>93512.0</v>
      </c>
      <c r="Q432" s="1">
        <v>0.8106</v>
      </c>
      <c r="R432" s="1">
        <v>129761.0</v>
      </c>
    </row>
    <row r="433">
      <c r="A433" s="663" t="s">
        <v>2270</v>
      </c>
      <c r="B433" s="663" t="s">
        <v>180</v>
      </c>
      <c r="C433" s="663" t="s">
        <v>47</v>
      </c>
      <c r="D433" s="663" t="s">
        <v>599</v>
      </c>
      <c r="E433" s="664" t="s">
        <v>411</v>
      </c>
      <c r="F433" s="665">
        <v>23935.0</v>
      </c>
      <c r="G433" s="665">
        <v>11423.0</v>
      </c>
      <c r="H433" s="665">
        <v>47.73</v>
      </c>
      <c r="I433" s="665">
        <v>16.17</v>
      </c>
      <c r="J433" s="665">
        <v>20.66</v>
      </c>
      <c r="K433" s="665">
        <v>15117.0</v>
      </c>
      <c r="L433" s="665">
        <v>93512.0</v>
      </c>
      <c r="M433" s="665">
        <v>0.63</v>
      </c>
      <c r="N433" s="1">
        <v>1.3234</v>
      </c>
      <c r="O433" s="1">
        <v>15117.0</v>
      </c>
      <c r="P433" s="1">
        <v>93512.0</v>
      </c>
      <c r="Q433" s="1">
        <v>0.6316</v>
      </c>
      <c r="R433" s="1">
        <v>129761.0</v>
      </c>
    </row>
    <row r="434">
      <c r="A434" s="663" t="s">
        <v>2270</v>
      </c>
      <c r="B434" s="663" t="s">
        <v>180</v>
      </c>
      <c r="C434" s="663" t="s">
        <v>47</v>
      </c>
      <c r="D434" s="663" t="s">
        <v>599</v>
      </c>
      <c r="E434" s="664" t="s">
        <v>9</v>
      </c>
      <c r="F434" s="665">
        <v>23935.0</v>
      </c>
      <c r="G434" s="665">
        <v>8495.0</v>
      </c>
      <c r="H434" s="665">
        <v>35.49</v>
      </c>
      <c r="I434" s="665">
        <v>13.34</v>
      </c>
      <c r="J434" s="665">
        <v>12.04</v>
      </c>
      <c r="K434" s="665">
        <v>12478.0</v>
      </c>
      <c r="L434" s="665">
        <v>93512.0</v>
      </c>
      <c r="M434" s="665">
        <v>0.52</v>
      </c>
      <c r="N434" s="1">
        <v>1.4689</v>
      </c>
      <c r="O434" s="1">
        <v>12478.0</v>
      </c>
      <c r="P434" s="1">
        <v>93512.0</v>
      </c>
      <c r="Q434" s="1">
        <v>0.5213</v>
      </c>
      <c r="R434" s="1">
        <v>129761.0</v>
      </c>
    </row>
    <row r="435">
      <c r="A435" s="663" t="s">
        <v>2270</v>
      </c>
      <c r="B435" s="663" t="s">
        <v>180</v>
      </c>
      <c r="C435" s="663" t="s">
        <v>47</v>
      </c>
      <c r="D435" s="663" t="s">
        <v>599</v>
      </c>
      <c r="E435" s="664" t="s">
        <v>413</v>
      </c>
      <c r="F435" s="665">
        <v>23935.0</v>
      </c>
      <c r="G435" s="665">
        <v>6273.0</v>
      </c>
      <c r="H435" s="665">
        <v>26.21</v>
      </c>
      <c r="I435" s="665">
        <v>11.08</v>
      </c>
      <c r="J435" s="665">
        <v>8.98</v>
      </c>
      <c r="K435" s="665">
        <v>10362.0</v>
      </c>
      <c r="L435" s="665">
        <v>93512.0</v>
      </c>
      <c r="M435" s="665">
        <v>0.43</v>
      </c>
      <c r="N435" s="1">
        <v>1.6518</v>
      </c>
      <c r="O435" s="1">
        <v>10362.0</v>
      </c>
      <c r="P435" s="1">
        <v>93512.0</v>
      </c>
      <c r="Q435" s="1">
        <v>0.4329</v>
      </c>
      <c r="R435" s="1">
        <v>129761.0</v>
      </c>
    </row>
    <row r="436">
      <c r="A436" s="663" t="s">
        <v>2270</v>
      </c>
      <c r="B436" s="663" t="s">
        <v>180</v>
      </c>
      <c r="C436" s="663" t="s">
        <v>47</v>
      </c>
      <c r="D436" s="663" t="s">
        <v>599</v>
      </c>
      <c r="E436" s="664" t="s">
        <v>418</v>
      </c>
      <c r="F436" s="665">
        <v>23935.0</v>
      </c>
      <c r="G436" s="665">
        <v>6342.0</v>
      </c>
      <c r="H436" s="665">
        <v>26.5</v>
      </c>
      <c r="I436" s="665">
        <v>7.32</v>
      </c>
      <c r="J436" s="665">
        <v>9.77</v>
      </c>
      <c r="K436" s="665">
        <v>6844.0</v>
      </c>
      <c r="L436" s="665">
        <v>93512.0</v>
      </c>
      <c r="M436" s="665">
        <v>0.29</v>
      </c>
      <c r="N436" s="1">
        <v>1.0792</v>
      </c>
      <c r="O436" s="1">
        <v>6844.0</v>
      </c>
      <c r="P436" s="1">
        <v>93512.0</v>
      </c>
      <c r="Q436" s="1">
        <v>0.2859</v>
      </c>
      <c r="R436" s="1">
        <v>129761.0</v>
      </c>
    </row>
    <row r="437">
      <c r="A437" s="663" t="s">
        <v>2270</v>
      </c>
      <c r="B437" s="663" t="s">
        <v>180</v>
      </c>
      <c r="C437" s="663" t="s">
        <v>47</v>
      </c>
      <c r="D437" s="663" t="s">
        <v>599</v>
      </c>
      <c r="E437" s="664" t="s">
        <v>63</v>
      </c>
      <c r="F437" s="665">
        <v>23935.0</v>
      </c>
      <c r="G437" s="665">
        <v>2883.0</v>
      </c>
      <c r="H437" s="665">
        <v>12.05</v>
      </c>
      <c r="I437" s="665">
        <v>3.87</v>
      </c>
      <c r="J437" s="665">
        <v>2.89</v>
      </c>
      <c r="K437" s="665">
        <v>3623.0</v>
      </c>
      <c r="L437" s="665">
        <v>93512.0</v>
      </c>
      <c r="M437" s="665">
        <v>0.15</v>
      </c>
      <c r="N437" s="1">
        <v>1.2567</v>
      </c>
      <c r="O437" s="1">
        <v>3623.0</v>
      </c>
      <c r="P437" s="1">
        <v>93512.0</v>
      </c>
      <c r="Q437" s="1">
        <v>0.1514</v>
      </c>
      <c r="R437" s="1">
        <v>129761.0</v>
      </c>
    </row>
    <row r="438">
      <c r="A438" s="663" t="s">
        <v>2270</v>
      </c>
      <c r="B438" s="663" t="s">
        <v>180</v>
      </c>
      <c r="C438" s="663" t="s">
        <v>47</v>
      </c>
      <c r="D438" s="663" t="s">
        <v>599</v>
      </c>
      <c r="E438" s="664" t="s">
        <v>396</v>
      </c>
      <c r="F438" s="665">
        <v>23935.0</v>
      </c>
      <c r="G438" s="665">
        <v>2846.0</v>
      </c>
      <c r="H438" s="665">
        <v>11.89</v>
      </c>
      <c r="I438" s="665">
        <v>3.12</v>
      </c>
      <c r="J438" s="665">
        <v>5.89</v>
      </c>
      <c r="K438" s="665">
        <v>2919.0</v>
      </c>
      <c r="L438" s="665">
        <v>93512.0</v>
      </c>
      <c r="M438" s="665">
        <v>0.12</v>
      </c>
      <c r="N438" s="1">
        <v>1.0257</v>
      </c>
      <c r="O438" s="1">
        <v>2919.0</v>
      </c>
      <c r="P438" s="1">
        <v>93512.0</v>
      </c>
      <c r="Q438" s="1">
        <v>0.122</v>
      </c>
      <c r="R438" s="1">
        <v>129761.0</v>
      </c>
    </row>
    <row r="439">
      <c r="A439" s="663" t="s">
        <v>2270</v>
      </c>
      <c r="B439" s="663" t="s">
        <v>180</v>
      </c>
      <c r="C439" s="663" t="s">
        <v>47</v>
      </c>
      <c r="D439" s="663" t="s">
        <v>599</v>
      </c>
      <c r="E439" s="664" t="s">
        <v>51</v>
      </c>
      <c r="F439" s="665">
        <v>23935.0</v>
      </c>
      <c r="G439" s="665">
        <v>1014.0</v>
      </c>
      <c r="H439" s="665">
        <v>4.24</v>
      </c>
      <c r="I439" s="665">
        <v>1.28</v>
      </c>
      <c r="J439" s="665">
        <v>0.91</v>
      </c>
      <c r="K439" s="665">
        <v>1200.0</v>
      </c>
      <c r="L439" s="665">
        <v>93512.0</v>
      </c>
      <c r="M439" s="665">
        <v>0.05</v>
      </c>
      <c r="N439" s="1">
        <v>1.1834</v>
      </c>
      <c r="O439" s="1">
        <v>1200.0</v>
      </c>
      <c r="P439" s="1">
        <v>93512.0</v>
      </c>
      <c r="Q439" s="1">
        <v>0.0501</v>
      </c>
      <c r="R439" s="1">
        <v>129761.0</v>
      </c>
    </row>
    <row r="440">
      <c r="A440" s="663" t="s">
        <v>2270</v>
      </c>
      <c r="B440" s="663" t="s">
        <v>180</v>
      </c>
      <c r="C440" s="663" t="s">
        <v>47</v>
      </c>
      <c r="D440" s="663" t="s">
        <v>599</v>
      </c>
      <c r="E440" s="664" t="s">
        <v>16</v>
      </c>
      <c r="F440" s="665">
        <v>23935.0</v>
      </c>
      <c r="G440" s="665">
        <v>676.0</v>
      </c>
      <c r="H440" s="665">
        <v>2.82</v>
      </c>
      <c r="I440" s="665">
        <v>0.81</v>
      </c>
      <c r="J440" s="665">
        <v>0.66</v>
      </c>
      <c r="K440" s="665">
        <v>753.0</v>
      </c>
      <c r="L440" s="665">
        <v>93512.0</v>
      </c>
      <c r="M440" s="665">
        <v>0.03</v>
      </c>
      <c r="N440" s="1">
        <v>1.1139</v>
      </c>
      <c r="O440" s="1">
        <v>753.0</v>
      </c>
      <c r="P440" s="1">
        <v>93512.0</v>
      </c>
      <c r="Q440" s="1">
        <v>0.0315</v>
      </c>
      <c r="R440" s="1">
        <v>129761.0</v>
      </c>
    </row>
    <row r="441">
      <c r="A441" s="663" t="s">
        <v>2270</v>
      </c>
      <c r="B441" s="663" t="s">
        <v>180</v>
      </c>
      <c r="C441" s="663" t="s">
        <v>47</v>
      </c>
      <c r="D441" s="663" t="s">
        <v>599</v>
      </c>
      <c r="E441" s="664" t="s">
        <v>42</v>
      </c>
      <c r="F441" s="665">
        <v>23935.0</v>
      </c>
      <c r="G441" s="665">
        <v>225.0</v>
      </c>
      <c r="H441" s="665">
        <v>0.94</v>
      </c>
      <c r="I441" s="665">
        <v>0.25</v>
      </c>
      <c r="J441" s="665">
        <v>0.14</v>
      </c>
      <c r="K441" s="665">
        <v>238.0</v>
      </c>
      <c r="L441" s="665">
        <v>93512.0</v>
      </c>
      <c r="M441" s="665">
        <v>0.01</v>
      </c>
      <c r="N441" s="1">
        <v>1.0578</v>
      </c>
      <c r="O441" s="1">
        <v>238.0</v>
      </c>
      <c r="P441" s="1">
        <v>93512.0</v>
      </c>
      <c r="Q441" s="1">
        <v>0.0099</v>
      </c>
      <c r="R441" s="1">
        <v>129761.0</v>
      </c>
    </row>
    <row r="442">
      <c r="A442" s="663" t="s">
        <v>2270</v>
      </c>
      <c r="B442" s="663" t="s">
        <v>180</v>
      </c>
      <c r="C442" s="663" t="s">
        <v>47</v>
      </c>
      <c r="D442" s="663" t="s">
        <v>599</v>
      </c>
      <c r="E442" s="664" t="s">
        <v>7</v>
      </c>
      <c r="F442" s="665">
        <v>23935.0</v>
      </c>
      <c r="G442" s="665">
        <v>81.0</v>
      </c>
      <c r="H442" s="665">
        <v>0.34</v>
      </c>
      <c r="I442" s="665">
        <v>0.09</v>
      </c>
      <c r="J442" s="665">
        <v>0.1</v>
      </c>
      <c r="K442" s="665">
        <v>84.0</v>
      </c>
      <c r="L442" s="665">
        <v>93512.0</v>
      </c>
      <c r="M442" s="665">
        <v>0.0</v>
      </c>
      <c r="N442" s="1">
        <v>1.037</v>
      </c>
      <c r="O442" s="1">
        <v>84.0</v>
      </c>
      <c r="P442" s="1">
        <v>93512.0</v>
      </c>
      <c r="Q442" s="1">
        <v>0.0035</v>
      </c>
      <c r="R442" s="1">
        <v>129761.0</v>
      </c>
    </row>
    <row r="443">
      <c r="A443" s="663" t="s">
        <v>2270</v>
      </c>
      <c r="B443" s="663" t="s">
        <v>180</v>
      </c>
      <c r="C443" s="663" t="s">
        <v>47</v>
      </c>
      <c r="D443" s="663" t="s">
        <v>599</v>
      </c>
      <c r="E443" s="664" t="s">
        <v>401</v>
      </c>
      <c r="F443" s="665">
        <v>23935.0</v>
      </c>
      <c r="G443" s="665">
        <v>62.0</v>
      </c>
      <c r="H443" s="665">
        <v>0.26</v>
      </c>
      <c r="I443" s="665">
        <v>0.08</v>
      </c>
      <c r="J443" s="665">
        <v>0.1</v>
      </c>
      <c r="K443" s="665">
        <v>72.0</v>
      </c>
      <c r="L443" s="665">
        <v>93512.0</v>
      </c>
      <c r="M443" s="665">
        <v>0.0</v>
      </c>
      <c r="N443" s="1">
        <v>1.1613</v>
      </c>
      <c r="O443" s="1">
        <v>72.0</v>
      </c>
      <c r="P443" s="1">
        <v>93512.0</v>
      </c>
      <c r="Q443" s="1">
        <v>0.003</v>
      </c>
      <c r="R443" s="1">
        <v>129761.0</v>
      </c>
    </row>
    <row r="444">
      <c r="A444" s="663" t="s">
        <v>2270</v>
      </c>
      <c r="B444" s="663" t="s">
        <v>180</v>
      </c>
      <c r="C444" s="663" t="s">
        <v>47</v>
      </c>
      <c r="D444" s="663" t="s">
        <v>599</v>
      </c>
      <c r="E444" s="664" t="s">
        <v>206</v>
      </c>
      <c r="F444" s="665">
        <v>23935.0</v>
      </c>
      <c r="G444" s="665">
        <v>23.0</v>
      </c>
      <c r="H444" s="665">
        <v>0.1</v>
      </c>
      <c r="I444" s="665">
        <v>0.02</v>
      </c>
      <c r="J444" s="665">
        <v>0.03</v>
      </c>
      <c r="K444" s="665">
        <v>23.0</v>
      </c>
      <c r="L444" s="665">
        <v>93512.0</v>
      </c>
      <c r="M444" s="665">
        <v>0.0</v>
      </c>
      <c r="N444" s="1">
        <v>1.0</v>
      </c>
      <c r="O444" s="1">
        <v>23.0</v>
      </c>
      <c r="P444" s="1">
        <v>93512.0</v>
      </c>
      <c r="Q444" s="1">
        <v>0.001</v>
      </c>
      <c r="R444" s="1">
        <v>129761.0</v>
      </c>
    </row>
    <row r="445">
      <c r="A445" s="663" t="s">
        <v>2270</v>
      </c>
      <c r="B445" s="663" t="s">
        <v>180</v>
      </c>
      <c r="C445" s="663" t="s">
        <v>47</v>
      </c>
      <c r="D445" s="663" t="s">
        <v>599</v>
      </c>
      <c r="E445" s="664" t="s">
        <v>393</v>
      </c>
      <c r="F445" s="665">
        <v>23935.0</v>
      </c>
      <c r="G445" s="665">
        <v>15.0</v>
      </c>
      <c r="H445" s="665">
        <v>0.06</v>
      </c>
      <c r="I445" s="665">
        <v>0.02</v>
      </c>
      <c r="J445" s="665">
        <v>0.04</v>
      </c>
      <c r="K445" s="665">
        <v>15.0</v>
      </c>
      <c r="L445" s="665">
        <v>93512.0</v>
      </c>
      <c r="M445" s="665">
        <v>0.0</v>
      </c>
      <c r="N445" s="1">
        <v>1.0</v>
      </c>
      <c r="O445" s="1">
        <v>15.0</v>
      </c>
      <c r="P445" s="1">
        <v>93512.0</v>
      </c>
      <c r="Q445" s="1">
        <v>6.0E-4</v>
      </c>
      <c r="R445" s="1">
        <v>129761.0</v>
      </c>
    </row>
    <row r="446">
      <c r="A446" s="663" t="s">
        <v>2270</v>
      </c>
      <c r="B446" s="663" t="s">
        <v>180</v>
      </c>
      <c r="C446" s="663" t="s">
        <v>47</v>
      </c>
      <c r="D446" s="663" t="s">
        <v>599</v>
      </c>
      <c r="E446" s="664" t="s">
        <v>73</v>
      </c>
      <c r="F446" s="665">
        <v>23935.0</v>
      </c>
      <c r="G446" s="665">
        <v>5.0</v>
      </c>
      <c r="H446" s="665">
        <v>0.02</v>
      </c>
      <c r="I446" s="665">
        <v>0.01</v>
      </c>
      <c r="J446" s="665">
        <v>0.01</v>
      </c>
      <c r="K446" s="665">
        <v>5.0</v>
      </c>
      <c r="L446" s="665">
        <v>93512.0</v>
      </c>
      <c r="M446" s="665">
        <v>0.0</v>
      </c>
      <c r="N446" s="1">
        <v>1.0</v>
      </c>
      <c r="O446" s="1">
        <v>5.0</v>
      </c>
      <c r="P446" s="1">
        <v>93512.0</v>
      </c>
      <c r="Q446" s="1">
        <v>2.0E-4</v>
      </c>
      <c r="R446" s="1">
        <v>129761.0</v>
      </c>
    </row>
    <row r="447">
      <c r="A447" s="663" t="s">
        <v>2270</v>
      </c>
      <c r="B447" s="663" t="s">
        <v>180</v>
      </c>
      <c r="C447" s="663" t="s">
        <v>47</v>
      </c>
      <c r="D447" s="663" t="s">
        <v>599</v>
      </c>
      <c r="E447" s="664" t="s">
        <v>329</v>
      </c>
      <c r="F447" s="665">
        <v>23935.0</v>
      </c>
      <c r="G447" s="665">
        <v>2.0</v>
      </c>
      <c r="H447" s="665">
        <v>0.01</v>
      </c>
      <c r="I447" s="665">
        <v>0.0</v>
      </c>
      <c r="J447" s="665">
        <v>0.0</v>
      </c>
      <c r="K447" s="665">
        <v>2.0</v>
      </c>
      <c r="L447" s="665">
        <v>93512.0</v>
      </c>
      <c r="M447" s="665">
        <v>0.0</v>
      </c>
      <c r="N447" s="1">
        <v>1.0</v>
      </c>
      <c r="O447" s="1">
        <v>2.0</v>
      </c>
      <c r="P447" s="1">
        <v>93512.0</v>
      </c>
      <c r="Q447" s="1">
        <v>1.0E-4</v>
      </c>
      <c r="R447" s="1">
        <v>129761.0</v>
      </c>
    </row>
    <row r="448">
      <c r="A448" s="663" t="s">
        <v>2270</v>
      </c>
      <c r="B448" s="663" t="s">
        <v>180</v>
      </c>
      <c r="C448" s="663" t="s">
        <v>47</v>
      </c>
      <c r="D448" s="663" t="s">
        <v>599</v>
      </c>
      <c r="E448" s="664" t="s">
        <v>151</v>
      </c>
      <c r="F448" s="665">
        <v>23935.0</v>
      </c>
      <c r="G448" s="665">
        <v>2.0</v>
      </c>
      <c r="H448" s="665">
        <v>0.01</v>
      </c>
      <c r="I448" s="665">
        <v>0.0</v>
      </c>
      <c r="J448" s="665">
        <v>0.0</v>
      </c>
      <c r="K448" s="665">
        <v>2.0</v>
      </c>
      <c r="L448" s="665">
        <v>93512.0</v>
      </c>
      <c r="M448" s="665">
        <v>0.0</v>
      </c>
      <c r="N448" s="1">
        <v>1.0</v>
      </c>
      <c r="O448" s="1">
        <v>2.0</v>
      </c>
      <c r="P448" s="1">
        <v>93512.0</v>
      </c>
      <c r="Q448" s="1">
        <v>1.0E-4</v>
      </c>
      <c r="R448" s="1">
        <v>129761.0</v>
      </c>
    </row>
    <row r="449">
      <c r="A449" s="663" t="s">
        <v>2270</v>
      </c>
      <c r="B449" s="663" t="s">
        <v>180</v>
      </c>
      <c r="C449" s="663" t="s">
        <v>46</v>
      </c>
      <c r="D449" s="663" t="s">
        <v>599</v>
      </c>
      <c r="E449" s="664" t="s">
        <v>396</v>
      </c>
      <c r="F449" s="665">
        <v>26287.0</v>
      </c>
      <c r="G449" s="665">
        <v>25917.0</v>
      </c>
      <c r="H449" s="665">
        <v>98.59</v>
      </c>
      <c r="I449" s="665">
        <v>77.22</v>
      </c>
      <c r="J449" s="665">
        <v>80.52</v>
      </c>
      <c r="K449" s="665">
        <v>4432735.0</v>
      </c>
      <c r="L449" s="665">
        <v>5740522.37</v>
      </c>
      <c r="M449" s="665">
        <v>168.63</v>
      </c>
      <c r="N449" s="1">
        <v>171.0358</v>
      </c>
      <c r="O449" s="1">
        <v>4432735.0</v>
      </c>
      <c r="P449" s="1">
        <v>5815473.0</v>
      </c>
      <c r="Q449" s="1">
        <v>168.6284</v>
      </c>
      <c r="R449" s="1">
        <v>129761.0</v>
      </c>
    </row>
    <row r="450">
      <c r="A450" s="663" t="s">
        <v>2270</v>
      </c>
      <c r="B450" s="663" t="s">
        <v>180</v>
      </c>
      <c r="C450" s="663" t="s">
        <v>46</v>
      </c>
      <c r="D450" s="663" t="s">
        <v>599</v>
      </c>
      <c r="E450" s="664" t="s">
        <v>14</v>
      </c>
      <c r="F450" s="665">
        <v>26287.0</v>
      </c>
      <c r="G450" s="665">
        <v>9347.0</v>
      </c>
      <c r="H450" s="665">
        <v>35.56</v>
      </c>
      <c r="I450" s="665">
        <v>10.99</v>
      </c>
      <c r="J450" s="665">
        <v>5.95</v>
      </c>
      <c r="K450" s="665">
        <v>630939.37</v>
      </c>
      <c r="L450" s="665">
        <v>5740522.37</v>
      </c>
      <c r="M450" s="665">
        <v>24.0</v>
      </c>
      <c r="N450" s="1">
        <v>67.5018</v>
      </c>
      <c r="O450" s="1">
        <v>705890.0</v>
      </c>
      <c r="P450" s="1">
        <v>5815473.0</v>
      </c>
      <c r="Q450" s="1">
        <v>26.8532</v>
      </c>
      <c r="R450" s="1">
        <v>129761.0</v>
      </c>
    </row>
    <row r="451">
      <c r="A451" s="663" t="s">
        <v>2270</v>
      </c>
      <c r="B451" s="663" t="s">
        <v>180</v>
      </c>
      <c r="C451" s="663" t="s">
        <v>46</v>
      </c>
      <c r="D451" s="663" t="s">
        <v>599</v>
      </c>
      <c r="E451" s="664" t="s">
        <v>411</v>
      </c>
      <c r="F451" s="665">
        <v>26287.0</v>
      </c>
      <c r="G451" s="665">
        <v>8852.0</v>
      </c>
      <c r="H451" s="665">
        <v>33.67</v>
      </c>
      <c r="I451" s="665">
        <v>8.01</v>
      </c>
      <c r="J451" s="665">
        <v>9.71</v>
      </c>
      <c r="K451" s="665">
        <v>459590.0</v>
      </c>
      <c r="L451" s="665">
        <v>5740522.37</v>
      </c>
      <c r="M451" s="665">
        <v>17.48</v>
      </c>
      <c r="N451" s="1">
        <v>51.9193</v>
      </c>
      <c r="O451" s="1">
        <v>459590.0</v>
      </c>
      <c r="P451" s="1">
        <v>5815473.0</v>
      </c>
      <c r="Q451" s="1">
        <v>17.4835</v>
      </c>
      <c r="R451" s="1">
        <v>129761.0</v>
      </c>
    </row>
    <row r="452">
      <c r="A452" s="663" t="s">
        <v>2270</v>
      </c>
      <c r="B452" s="663" t="s">
        <v>180</v>
      </c>
      <c r="C452" s="663" t="s">
        <v>46</v>
      </c>
      <c r="D452" s="663" t="s">
        <v>599</v>
      </c>
      <c r="E452" s="664" t="s">
        <v>42</v>
      </c>
      <c r="F452" s="665">
        <v>26287.0</v>
      </c>
      <c r="G452" s="665">
        <v>2194.0</v>
      </c>
      <c r="H452" s="665">
        <v>8.35</v>
      </c>
      <c r="I452" s="665">
        <v>2.39</v>
      </c>
      <c r="J452" s="665">
        <v>1.25</v>
      </c>
      <c r="K452" s="665">
        <v>136920.0</v>
      </c>
      <c r="L452" s="665">
        <v>5740522.37</v>
      </c>
      <c r="M452" s="665">
        <v>5.21</v>
      </c>
      <c r="N452" s="1">
        <v>62.4066</v>
      </c>
      <c r="O452" s="1">
        <v>136920.0</v>
      </c>
      <c r="P452" s="1">
        <v>5815473.0</v>
      </c>
      <c r="Q452" s="1">
        <v>5.2087</v>
      </c>
      <c r="R452" s="1">
        <v>129761.0</v>
      </c>
    </row>
    <row r="453">
      <c r="A453" s="663" t="s">
        <v>2270</v>
      </c>
      <c r="B453" s="663" t="s">
        <v>180</v>
      </c>
      <c r="C453" s="663" t="s">
        <v>46</v>
      </c>
      <c r="D453" s="663" t="s">
        <v>599</v>
      </c>
      <c r="E453" s="664" t="s">
        <v>7</v>
      </c>
      <c r="F453" s="665">
        <v>26287.0</v>
      </c>
      <c r="G453" s="665">
        <v>564.0</v>
      </c>
      <c r="H453" s="665">
        <v>2.15</v>
      </c>
      <c r="I453" s="665">
        <v>0.75</v>
      </c>
      <c r="J453" s="665">
        <v>0.61</v>
      </c>
      <c r="K453" s="665">
        <v>42805.0</v>
      </c>
      <c r="L453" s="665">
        <v>5740522.37</v>
      </c>
      <c r="M453" s="665">
        <v>1.63</v>
      </c>
      <c r="N453" s="1">
        <v>75.8954</v>
      </c>
      <c r="O453" s="1">
        <v>42805.0</v>
      </c>
      <c r="P453" s="1">
        <v>5815473.0</v>
      </c>
      <c r="Q453" s="1">
        <v>1.6284</v>
      </c>
      <c r="R453" s="1">
        <v>129761.0</v>
      </c>
    </row>
    <row r="454">
      <c r="A454" s="663" t="s">
        <v>2270</v>
      </c>
      <c r="B454" s="663" t="s">
        <v>180</v>
      </c>
      <c r="C454" s="663" t="s">
        <v>46</v>
      </c>
      <c r="D454" s="663" t="s">
        <v>599</v>
      </c>
      <c r="E454" s="664" t="s">
        <v>51</v>
      </c>
      <c r="F454" s="665">
        <v>26287.0</v>
      </c>
      <c r="G454" s="665">
        <v>806.0</v>
      </c>
      <c r="H454" s="665">
        <v>3.07</v>
      </c>
      <c r="I454" s="665">
        <v>0.33</v>
      </c>
      <c r="J454" s="665">
        <v>0.27</v>
      </c>
      <c r="K454" s="665">
        <v>19120.0</v>
      </c>
      <c r="L454" s="665">
        <v>5740522.37</v>
      </c>
      <c r="M454" s="665">
        <v>0.73</v>
      </c>
      <c r="N454" s="1">
        <v>23.7221</v>
      </c>
      <c r="O454" s="1">
        <v>19120.0</v>
      </c>
      <c r="P454" s="1">
        <v>5815473.0</v>
      </c>
      <c r="Q454" s="1">
        <v>0.7274</v>
      </c>
      <c r="R454" s="1">
        <v>129761.0</v>
      </c>
    </row>
    <row r="455">
      <c r="A455" s="663" t="s">
        <v>2270</v>
      </c>
      <c r="B455" s="663" t="s">
        <v>180</v>
      </c>
      <c r="C455" s="663" t="s">
        <v>46</v>
      </c>
      <c r="D455" s="663" t="s">
        <v>599</v>
      </c>
      <c r="E455" s="664" t="s">
        <v>413</v>
      </c>
      <c r="F455" s="665">
        <v>26287.0</v>
      </c>
      <c r="G455" s="665">
        <v>962.0</v>
      </c>
      <c r="H455" s="665">
        <v>3.66</v>
      </c>
      <c r="I455" s="665">
        <v>0.32</v>
      </c>
      <c r="J455" s="665">
        <v>1.68</v>
      </c>
      <c r="K455" s="665">
        <v>18203.0</v>
      </c>
      <c r="L455" s="665">
        <v>5740522.37</v>
      </c>
      <c r="M455" s="665">
        <v>0.69</v>
      </c>
      <c r="N455" s="1">
        <v>18.922</v>
      </c>
      <c r="O455" s="1">
        <v>18203.0</v>
      </c>
      <c r="P455" s="1">
        <v>5815473.0</v>
      </c>
      <c r="Q455" s="1">
        <v>0.6925</v>
      </c>
      <c r="R455" s="1">
        <v>129761.0</v>
      </c>
    </row>
    <row r="456">
      <c r="A456" s="663" t="s">
        <v>2270</v>
      </c>
      <c r="B456" s="663" t="s">
        <v>180</v>
      </c>
      <c r="C456" s="663" t="s">
        <v>46</v>
      </c>
      <c r="D456" s="663" t="s">
        <v>599</v>
      </c>
      <c r="E456" s="664" t="s">
        <v>63</v>
      </c>
      <c r="F456" s="665">
        <v>26287.0</v>
      </c>
      <c r="G456" s="665">
        <v>11.0</v>
      </c>
      <c r="H456" s="665">
        <v>0.04</v>
      </c>
      <c r="I456" s="665">
        <v>0.0</v>
      </c>
      <c r="J456" s="665">
        <v>0.01</v>
      </c>
      <c r="K456" s="665">
        <v>110.0</v>
      </c>
      <c r="L456" s="665">
        <v>5740522.37</v>
      </c>
      <c r="M456" s="665">
        <v>0.0</v>
      </c>
      <c r="N456" s="1">
        <v>10.0</v>
      </c>
      <c r="O456" s="1">
        <v>110.0</v>
      </c>
      <c r="P456" s="1">
        <v>5815473.0</v>
      </c>
      <c r="Q456" s="1">
        <v>0.0042</v>
      </c>
      <c r="R456" s="1">
        <v>129761.0</v>
      </c>
    </row>
    <row r="457">
      <c r="A457" s="663" t="s">
        <v>2270</v>
      </c>
      <c r="B457" s="663" t="s">
        <v>180</v>
      </c>
      <c r="C457" s="663" t="s">
        <v>46</v>
      </c>
      <c r="D457" s="663" t="s">
        <v>599</v>
      </c>
      <c r="E457" s="664" t="s">
        <v>151</v>
      </c>
      <c r="F457" s="665">
        <v>26287.0</v>
      </c>
      <c r="G457" s="665">
        <v>2.0</v>
      </c>
      <c r="H457" s="665">
        <v>0.01</v>
      </c>
      <c r="I457" s="665">
        <v>0.0</v>
      </c>
      <c r="J457" s="665">
        <v>0.0</v>
      </c>
      <c r="K457" s="665">
        <v>50.0</v>
      </c>
      <c r="L457" s="665">
        <v>5740522.37</v>
      </c>
      <c r="M457" s="665">
        <v>0.0</v>
      </c>
      <c r="N457" s="1">
        <v>25.0</v>
      </c>
      <c r="O457" s="1">
        <v>50.0</v>
      </c>
      <c r="P457" s="1">
        <v>5815473.0</v>
      </c>
      <c r="Q457" s="1">
        <v>0.0019</v>
      </c>
      <c r="R457" s="1">
        <v>129761.0</v>
      </c>
    </row>
    <row r="458">
      <c r="A458" s="663" t="s">
        <v>2270</v>
      </c>
      <c r="B458" s="663" t="s">
        <v>180</v>
      </c>
      <c r="C458" s="663" t="s">
        <v>46</v>
      </c>
      <c r="D458" s="663" t="s">
        <v>599</v>
      </c>
      <c r="E458" s="664" t="s">
        <v>20</v>
      </c>
      <c r="F458" s="665">
        <v>26287.0</v>
      </c>
      <c r="G458" s="665">
        <v>1.0</v>
      </c>
      <c r="H458" s="665">
        <v>0.0</v>
      </c>
      <c r="I458" s="665">
        <v>0.0</v>
      </c>
      <c r="J458" s="665">
        <v>0.0</v>
      </c>
      <c r="K458" s="665">
        <v>50.0</v>
      </c>
      <c r="L458" s="665">
        <v>5740522.37</v>
      </c>
      <c r="M458" s="665">
        <v>0.0</v>
      </c>
      <c r="N458" s="1">
        <v>50.0</v>
      </c>
      <c r="O458" s="1">
        <v>50.0</v>
      </c>
      <c r="P458" s="1">
        <v>5815473.0</v>
      </c>
      <c r="Q458" s="1">
        <v>0.0019</v>
      </c>
      <c r="R458" s="1">
        <v>129761.0</v>
      </c>
    </row>
    <row r="459">
      <c r="A459" s="663" t="s">
        <v>2270</v>
      </c>
      <c r="B459" s="663" t="s">
        <v>180</v>
      </c>
      <c r="C459" s="663" t="s">
        <v>1213</v>
      </c>
      <c r="D459" s="663" t="s">
        <v>2234</v>
      </c>
      <c r="E459" s="664" t="s">
        <v>14</v>
      </c>
      <c r="F459" s="665">
        <v>5294.0</v>
      </c>
      <c r="G459" s="665">
        <v>5254.0</v>
      </c>
      <c r="H459" s="665">
        <v>99.24</v>
      </c>
      <c r="I459" s="665">
        <v>98.86</v>
      </c>
      <c r="J459" s="665">
        <v>99.22</v>
      </c>
      <c r="K459" s="665">
        <v>68765.0</v>
      </c>
      <c r="L459" s="665">
        <v>69555.0</v>
      </c>
      <c r="M459" s="665">
        <v>12.99</v>
      </c>
      <c r="N459" s="1">
        <v>13.0881</v>
      </c>
      <c r="O459" s="1">
        <v>68765.0</v>
      </c>
      <c r="P459" s="1">
        <v>69555.0</v>
      </c>
      <c r="Q459" s="1">
        <v>12.9892</v>
      </c>
      <c r="R459" s="1">
        <v>129761.0</v>
      </c>
    </row>
    <row r="460">
      <c r="A460" s="663" t="s">
        <v>2270</v>
      </c>
      <c r="B460" s="663" t="s">
        <v>180</v>
      </c>
      <c r="C460" s="663" t="s">
        <v>1213</v>
      </c>
      <c r="D460" s="663" t="s">
        <v>2234</v>
      </c>
      <c r="E460" s="664" t="s">
        <v>397</v>
      </c>
      <c r="F460" s="665">
        <v>5294.0</v>
      </c>
      <c r="G460" s="665">
        <v>41.0</v>
      </c>
      <c r="H460" s="665">
        <v>0.77</v>
      </c>
      <c r="I460" s="665">
        <v>1.12</v>
      </c>
      <c r="J460" s="665">
        <v>0.76</v>
      </c>
      <c r="K460" s="665">
        <v>780.0</v>
      </c>
      <c r="L460" s="665">
        <v>69555.0</v>
      </c>
      <c r="M460" s="665">
        <v>0.15</v>
      </c>
      <c r="N460" s="1">
        <v>19.0244</v>
      </c>
      <c r="O460" s="1">
        <v>780.0</v>
      </c>
      <c r="P460" s="1">
        <v>69555.0</v>
      </c>
      <c r="Q460" s="1">
        <v>0.1473</v>
      </c>
      <c r="R460" s="1">
        <v>129761.0</v>
      </c>
    </row>
    <row r="461">
      <c r="A461" s="663" t="s">
        <v>2270</v>
      </c>
      <c r="B461" s="663" t="s">
        <v>180</v>
      </c>
      <c r="C461" s="663" t="s">
        <v>1213</v>
      </c>
      <c r="D461" s="663" t="s">
        <v>2234</v>
      </c>
      <c r="E461" s="664" t="s">
        <v>151</v>
      </c>
      <c r="F461" s="665">
        <v>5294.0</v>
      </c>
      <c r="G461" s="665">
        <v>1.0</v>
      </c>
      <c r="H461" s="665">
        <v>0.02</v>
      </c>
      <c r="I461" s="665">
        <v>0.01</v>
      </c>
      <c r="J461" s="665">
        <v>0.02</v>
      </c>
      <c r="K461" s="665">
        <v>10.0</v>
      </c>
      <c r="L461" s="665">
        <v>69555.0</v>
      </c>
      <c r="M461" s="665">
        <v>0.0</v>
      </c>
      <c r="N461" s="1">
        <v>10.0</v>
      </c>
      <c r="O461" s="1">
        <v>10.0</v>
      </c>
      <c r="P461" s="1">
        <v>69555.0</v>
      </c>
      <c r="Q461" s="1">
        <v>0.0019</v>
      </c>
      <c r="R461" s="1">
        <v>129761.0</v>
      </c>
    </row>
    <row r="462">
      <c r="A462" s="663" t="s">
        <v>2270</v>
      </c>
      <c r="B462" s="663" t="s">
        <v>180</v>
      </c>
      <c r="C462" s="663" t="s">
        <v>53</v>
      </c>
      <c r="D462" s="663" t="s">
        <v>599</v>
      </c>
      <c r="E462" s="664" t="s">
        <v>397</v>
      </c>
      <c r="F462" s="665">
        <v>14155.0</v>
      </c>
      <c r="G462" s="665">
        <v>5120.0</v>
      </c>
      <c r="H462" s="665">
        <v>36.17</v>
      </c>
      <c r="I462" s="665">
        <v>18.73</v>
      </c>
      <c r="J462" s="665">
        <v>16.84</v>
      </c>
      <c r="K462" s="665">
        <v>7446.0</v>
      </c>
      <c r="L462" s="665">
        <v>39762.0</v>
      </c>
      <c r="M462" s="665">
        <v>0.53</v>
      </c>
      <c r="N462" s="1">
        <v>1.4543</v>
      </c>
      <c r="O462" s="1">
        <v>7446.0</v>
      </c>
      <c r="P462" s="1">
        <v>39762.0</v>
      </c>
      <c r="Q462" s="1">
        <v>0.526</v>
      </c>
      <c r="R462" s="1">
        <v>129761.0</v>
      </c>
    </row>
    <row r="463">
      <c r="A463" s="663" t="s">
        <v>2270</v>
      </c>
      <c r="B463" s="663" t="s">
        <v>180</v>
      </c>
      <c r="C463" s="663" t="s">
        <v>53</v>
      </c>
      <c r="D463" s="663" t="s">
        <v>599</v>
      </c>
      <c r="E463" s="664" t="s">
        <v>396</v>
      </c>
      <c r="F463" s="665">
        <v>14155.0</v>
      </c>
      <c r="G463" s="665">
        <v>5184.0</v>
      </c>
      <c r="H463" s="665">
        <v>36.62</v>
      </c>
      <c r="I463" s="665">
        <v>14.07</v>
      </c>
      <c r="J463" s="665">
        <v>21.96</v>
      </c>
      <c r="K463" s="665">
        <v>5594.0</v>
      </c>
      <c r="L463" s="665">
        <v>39762.0</v>
      </c>
      <c r="M463" s="665">
        <v>0.4</v>
      </c>
      <c r="N463" s="1">
        <v>1.0791</v>
      </c>
      <c r="O463" s="1">
        <v>5594.0</v>
      </c>
      <c r="P463" s="1">
        <v>39762.0</v>
      </c>
      <c r="Q463" s="1">
        <v>0.3952</v>
      </c>
      <c r="R463" s="1">
        <v>129761.0</v>
      </c>
    </row>
    <row r="464">
      <c r="A464" s="663" t="s">
        <v>2270</v>
      </c>
      <c r="B464" s="663" t="s">
        <v>180</v>
      </c>
      <c r="C464" s="663" t="s">
        <v>53</v>
      </c>
      <c r="D464" s="663" t="s">
        <v>599</v>
      </c>
      <c r="E464" s="664" t="s">
        <v>418</v>
      </c>
      <c r="F464" s="665">
        <v>14155.0</v>
      </c>
      <c r="G464" s="665">
        <v>4652.0</v>
      </c>
      <c r="H464" s="665">
        <v>32.86</v>
      </c>
      <c r="I464" s="665">
        <v>12.59</v>
      </c>
      <c r="J464" s="665">
        <v>14.87</v>
      </c>
      <c r="K464" s="665">
        <v>5007.0</v>
      </c>
      <c r="L464" s="665">
        <v>39762.0</v>
      </c>
      <c r="M464" s="665">
        <v>0.35</v>
      </c>
      <c r="N464" s="1">
        <v>1.0763</v>
      </c>
      <c r="O464" s="1">
        <v>5007.0</v>
      </c>
      <c r="P464" s="1">
        <v>39762.0</v>
      </c>
      <c r="Q464" s="1">
        <v>0.3537</v>
      </c>
      <c r="R464" s="1">
        <v>129761.0</v>
      </c>
    </row>
    <row r="465">
      <c r="A465" s="663" t="s">
        <v>2270</v>
      </c>
      <c r="B465" s="663" t="s">
        <v>180</v>
      </c>
      <c r="C465" s="663" t="s">
        <v>53</v>
      </c>
      <c r="D465" s="663" t="s">
        <v>599</v>
      </c>
      <c r="E465" s="664" t="s">
        <v>16</v>
      </c>
      <c r="F465" s="665">
        <v>14155.0</v>
      </c>
      <c r="G465" s="665">
        <v>3552.0</v>
      </c>
      <c r="H465" s="665">
        <v>25.09</v>
      </c>
      <c r="I465" s="665">
        <v>12.06</v>
      </c>
      <c r="J465" s="665">
        <v>13.24</v>
      </c>
      <c r="K465" s="665">
        <v>4797.0</v>
      </c>
      <c r="L465" s="665">
        <v>39762.0</v>
      </c>
      <c r="M465" s="665">
        <v>0.34</v>
      </c>
      <c r="N465" s="1">
        <v>1.3505</v>
      </c>
      <c r="O465" s="1">
        <v>4797.0</v>
      </c>
      <c r="P465" s="1">
        <v>39762.0</v>
      </c>
      <c r="Q465" s="1">
        <v>0.3389</v>
      </c>
      <c r="R465" s="1">
        <v>129761.0</v>
      </c>
    </row>
    <row r="466">
      <c r="A466" s="663" t="s">
        <v>2270</v>
      </c>
      <c r="B466" s="663" t="s">
        <v>180</v>
      </c>
      <c r="C466" s="663" t="s">
        <v>53</v>
      </c>
      <c r="D466" s="663" t="s">
        <v>599</v>
      </c>
      <c r="E466" s="664" t="s">
        <v>15</v>
      </c>
      <c r="F466" s="665">
        <v>14155.0</v>
      </c>
      <c r="G466" s="665">
        <v>1233.0</v>
      </c>
      <c r="H466" s="665">
        <v>8.71</v>
      </c>
      <c r="I466" s="665">
        <v>9.82</v>
      </c>
      <c r="J466" s="665">
        <v>5.8</v>
      </c>
      <c r="K466" s="665">
        <v>3906.0</v>
      </c>
      <c r="L466" s="665">
        <v>39762.0</v>
      </c>
      <c r="M466" s="665">
        <v>0.28</v>
      </c>
      <c r="N466" s="1">
        <v>3.1679</v>
      </c>
      <c r="O466" s="1">
        <v>3906.0</v>
      </c>
      <c r="P466" s="1">
        <v>39762.0</v>
      </c>
      <c r="Q466" s="1">
        <v>0.2759</v>
      </c>
      <c r="R466" s="1">
        <v>129761.0</v>
      </c>
    </row>
    <row r="467">
      <c r="A467" s="663" t="s">
        <v>2270</v>
      </c>
      <c r="B467" s="663" t="s">
        <v>180</v>
      </c>
      <c r="C467" s="663" t="s">
        <v>53</v>
      </c>
      <c r="D467" s="663" t="s">
        <v>599</v>
      </c>
      <c r="E467" s="664" t="s">
        <v>393</v>
      </c>
      <c r="F467" s="665">
        <v>14155.0</v>
      </c>
      <c r="G467" s="665">
        <v>1742.0</v>
      </c>
      <c r="H467" s="665">
        <v>12.31</v>
      </c>
      <c r="I467" s="665">
        <v>9.25</v>
      </c>
      <c r="J467" s="665">
        <v>5.37</v>
      </c>
      <c r="K467" s="665">
        <v>3676.0</v>
      </c>
      <c r="L467" s="665">
        <v>39762.0</v>
      </c>
      <c r="M467" s="665">
        <v>0.26</v>
      </c>
      <c r="N467" s="1">
        <v>2.1102</v>
      </c>
      <c r="O467" s="1">
        <v>3676.0</v>
      </c>
      <c r="P467" s="1">
        <v>39762.0</v>
      </c>
      <c r="Q467" s="1">
        <v>0.2597</v>
      </c>
      <c r="R467" s="1">
        <v>129761.0</v>
      </c>
    </row>
    <row r="468">
      <c r="A468" s="663" t="s">
        <v>2270</v>
      </c>
      <c r="B468" s="663" t="s">
        <v>180</v>
      </c>
      <c r="C468" s="663" t="s">
        <v>53</v>
      </c>
      <c r="D468" s="663" t="s">
        <v>599</v>
      </c>
      <c r="E468" s="664" t="s">
        <v>14</v>
      </c>
      <c r="F468" s="665">
        <v>14155.0</v>
      </c>
      <c r="G468" s="665">
        <v>2580.0</v>
      </c>
      <c r="H468" s="665">
        <v>18.23</v>
      </c>
      <c r="I468" s="665">
        <v>9.02</v>
      </c>
      <c r="J468" s="665">
        <v>5.99</v>
      </c>
      <c r="K468" s="665">
        <v>3588.0</v>
      </c>
      <c r="L468" s="665">
        <v>39762.0</v>
      </c>
      <c r="M468" s="665">
        <v>0.25</v>
      </c>
      <c r="N468" s="1">
        <v>1.3907</v>
      </c>
      <c r="O468" s="1">
        <v>3588.0</v>
      </c>
      <c r="P468" s="1">
        <v>39762.0</v>
      </c>
      <c r="Q468" s="1">
        <v>0.2535</v>
      </c>
      <c r="R468" s="1">
        <v>129761.0</v>
      </c>
    </row>
    <row r="469">
      <c r="A469" s="663" t="s">
        <v>2270</v>
      </c>
      <c r="B469" s="663" t="s">
        <v>180</v>
      </c>
      <c r="C469" s="663" t="s">
        <v>53</v>
      </c>
      <c r="D469" s="663" t="s">
        <v>599</v>
      </c>
      <c r="E469" s="664" t="s">
        <v>413</v>
      </c>
      <c r="F469" s="665">
        <v>14155.0</v>
      </c>
      <c r="G469" s="665">
        <v>2245.0</v>
      </c>
      <c r="H469" s="665">
        <v>15.86</v>
      </c>
      <c r="I469" s="665">
        <v>6.28</v>
      </c>
      <c r="J469" s="665">
        <v>5.9</v>
      </c>
      <c r="K469" s="665">
        <v>2496.0</v>
      </c>
      <c r="L469" s="665">
        <v>39762.0</v>
      </c>
      <c r="M469" s="665">
        <v>0.18</v>
      </c>
      <c r="N469" s="1">
        <v>1.1118</v>
      </c>
      <c r="O469" s="1">
        <v>2496.0</v>
      </c>
      <c r="P469" s="1">
        <v>39762.0</v>
      </c>
      <c r="Q469" s="1">
        <v>0.1763</v>
      </c>
      <c r="R469" s="1">
        <v>129761.0</v>
      </c>
    </row>
    <row r="470">
      <c r="A470" s="663" t="s">
        <v>2270</v>
      </c>
      <c r="B470" s="663" t="s">
        <v>180</v>
      </c>
      <c r="C470" s="663" t="s">
        <v>53</v>
      </c>
      <c r="D470" s="663" t="s">
        <v>599</v>
      </c>
      <c r="E470" s="664" t="s">
        <v>411</v>
      </c>
      <c r="F470" s="665">
        <v>14155.0</v>
      </c>
      <c r="G470" s="665">
        <v>731.0</v>
      </c>
      <c r="H470" s="665">
        <v>5.16</v>
      </c>
      <c r="I470" s="665">
        <v>2.4</v>
      </c>
      <c r="J470" s="665">
        <v>2.54</v>
      </c>
      <c r="K470" s="665">
        <v>955.0</v>
      </c>
      <c r="L470" s="665">
        <v>39762.0</v>
      </c>
      <c r="M470" s="665">
        <v>0.07</v>
      </c>
      <c r="N470" s="1">
        <v>1.3064</v>
      </c>
      <c r="O470" s="1">
        <v>955.0</v>
      </c>
      <c r="P470" s="1">
        <v>39762.0</v>
      </c>
      <c r="Q470" s="1">
        <v>0.0675</v>
      </c>
      <c r="R470" s="1">
        <v>129761.0</v>
      </c>
    </row>
    <row r="471">
      <c r="A471" s="663" t="s">
        <v>2270</v>
      </c>
      <c r="B471" s="663" t="s">
        <v>180</v>
      </c>
      <c r="C471" s="663" t="s">
        <v>53</v>
      </c>
      <c r="D471" s="663" t="s">
        <v>599</v>
      </c>
      <c r="E471" s="664" t="s">
        <v>42</v>
      </c>
      <c r="F471" s="665">
        <v>14155.0</v>
      </c>
      <c r="G471" s="665">
        <v>581.0</v>
      </c>
      <c r="H471" s="665">
        <v>4.1</v>
      </c>
      <c r="I471" s="665">
        <v>1.63</v>
      </c>
      <c r="J471" s="665">
        <v>1.63</v>
      </c>
      <c r="K471" s="665">
        <v>647.0</v>
      </c>
      <c r="L471" s="665">
        <v>39762.0</v>
      </c>
      <c r="M471" s="665">
        <v>0.05</v>
      </c>
      <c r="N471" s="1">
        <v>1.1136</v>
      </c>
      <c r="O471" s="1">
        <v>647.0</v>
      </c>
      <c r="P471" s="1">
        <v>39762.0</v>
      </c>
      <c r="Q471" s="1">
        <v>0.0457</v>
      </c>
      <c r="R471" s="1">
        <v>129761.0</v>
      </c>
    </row>
    <row r="472">
      <c r="A472" s="663" t="s">
        <v>2270</v>
      </c>
      <c r="B472" s="663" t="s">
        <v>180</v>
      </c>
      <c r="C472" s="663" t="s">
        <v>53</v>
      </c>
      <c r="D472" s="663" t="s">
        <v>599</v>
      </c>
      <c r="E472" s="664" t="s">
        <v>341</v>
      </c>
      <c r="F472" s="665">
        <v>14155.0</v>
      </c>
      <c r="G472" s="665">
        <v>407.0</v>
      </c>
      <c r="H472" s="665">
        <v>2.88</v>
      </c>
      <c r="I472" s="665">
        <v>1.09</v>
      </c>
      <c r="J472" s="665">
        <v>1.35</v>
      </c>
      <c r="K472" s="665">
        <v>435.0</v>
      </c>
      <c r="L472" s="665">
        <v>39762.0</v>
      </c>
      <c r="M472" s="665">
        <v>0.03</v>
      </c>
      <c r="N472" s="1">
        <v>1.0688</v>
      </c>
      <c r="O472" s="1">
        <v>435.0</v>
      </c>
      <c r="P472" s="1">
        <v>39762.0</v>
      </c>
      <c r="Q472" s="1">
        <v>0.0307</v>
      </c>
      <c r="R472" s="1">
        <v>129761.0</v>
      </c>
    </row>
    <row r="473">
      <c r="A473" s="663" t="s">
        <v>2270</v>
      </c>
      <c r="B473" s="663" t="s">
        <v>180</v>
      </c>
      <c r="C473" s="663" t="s">
        <v>53</v>
      </c>
      <c r="D473" s="663" t="s">
        <v>599</v>
      </c>
      <c r="E473" s="664" t="s">
        <v>329</v>
      </c>
      <c r="F473" s="665">
        <v>14155.0</v>
      </c>
      <c r="G473" s="665">
        <v>405.0</v>
      </c>
      <c r="H473" s="665">
        <v>2.86</v>
      </c>
      <c r="I473" s="665">
        <v>1.08</v>
      </c>
      <c r="J473" s="665">
        <v>1.65</v>
      </c>
      <c r="K473" s="665">
        <v>431.0</v>
      </c>
      <c r="L473" s="665">
        <v>39762.0</v>
      </c>
      <c r="M473" s="665">
        <v>0.03</v>
      </c>
      <c r="N473" s="1">
        <v>1.0642</v>
      </c>
      <c r="O473" s="1">
        <v>431.0</v>
      </c>
      <c r="P473" s="1">
        <v>39762.0</v>
      </c>
      <c r="Q473" s="1">
        <v>0.0304</v>
      </c>
      <c r="R473" s="1">
        <v>129761.0</v>
      </c>
    </row>
    <row r="474">
      <c r="A474" s="663" t="s">
        <v>2270</v>
      </c>
      <c r="B474" s="663" t="s">
        <v>180</v>
      </c>
      <c r="C474" s="663" t="s">
        <v>53</v>
      </c>
      <c r="D474" s="663" t="s">
        <v>599</v>
      </c>
      <c r="E474" s="664" t="s">
        <v>338</v>
      </c>
      <c r="F474" s="665">
        <v>14155.0</v>
      </c>
      <c r="G474" s="665">
        <v>339.0</v>
      </c>
      <c r="H474" s="665">
        <v>2.39</v>
      </c>
      <c r="I474" s="665">
        <v>0.9</v>
      </c>
      <c r="J474" s="665">
        <v>1.27</v>
      </c>
      <c r="K474" s="665">
        <v>357.0</v>
      </c>
      <c r="L474" s="665">
        <v>39762.0</v>
      </c>
      <c r="M474" s="665">
        <v>0.03</v>
      </c>
      <c r="N474" s="1">
        <v>1.0531</v>
      </c>
      <c r="O474" s="1">
        <v>357.0</v>
      </c>
      <c r="P474" s="1">
        <v>39762.0</v>
      </c>
      <c r="Q474" s="1">
        <v>0.0252</v>
      </c>
      <c r="R474" s="1">
        <v>129761.0</v>
      </c>
    </row>
    <row r="475">
      <c r="A475" s="663" t="s">
        <v>2270</v>
      </c>
      <c r="B475" s="663" t="s">
        <v>180</v>
      </c>
      <c r="C475" s="663" t="s">
        <v>53</v>
      </c>
      <c r="D475" s="663" t="s">
        <v>599</v>
      </c>
      <c r="E475" s="664" t="s">
        <v>63</v>
      </c>
      <c r="F475" s="665">
        <v>14155.0</v>
      </c>
      <c r="G475" s="665">
        <v>197.0</v>
      </c>
      <c r="H475" s="665">
        <v>1.39</v>
      </c>
      <c r="I475" s="665">
        <v>0.53</v>
      </c>
      <c r="J475" s="665">
        <v>0.81</v>
      </c>
      <c r="K475" s="665">
        <v>212.0</v>
      </c>
      <c r="L475" s="665">
        <v>39762.0</v>
      </c>
      <c r="M475" s="665">
        <v>0.02</v>
      </c>
      <c r="N475" s="1">
        <v>1.0761</v>
      </c>
      <c r="O475" s="1">
        <v>212.0</v>
      </c>
      <c r="P475" s="1">
        <v>39762.0</v>
      </c>
      <c r="Q475" s="1">
        <v>0.015</v>
      </c>
      <c r="R475" s="1">
        <v>129761.0</v>
      </c>
    </row>
    <row r="476">
      <c r="A476" s="663" t="s">
        <v>2270</v>
      </c>
      <c r="B476" s="663" t="s">
        <v>180</v>
      </c>
      <c r="C476" s="663" t="s">
        <v>53</v>
      </c>
      <c r="D476" s="663" t="s">
        <v>599</v>
      </c>
      <c r="E476" s="664" t="s">
        <v>9</v>
      </c>
      <c r="F476" s="665">
        <v>14155.0</v>
      </c>
      <c r="G476" s="665">
        <v>150.0</v>
      </c>
      <c r="H476" s="665">
        <v>1.06</v>
      </c>
      <c r="I476" s="665">
        <v>0.39</v>
      </c>
      <c r="J476" s="665">
        <v>0.54</v>
      </c>
      <c r="K476" s="665">
        <v>156.0</v>
      </c>
      <c r="L476" s="665">
        <v>39762.0</v>
      </c>
      <c r="M476" s="665">
        <v>0.01</v>
      </c>
      <c r="N476" s="1">
        <v>1.04</v>
      </c>
      <c r="O476" s="1">
        <v>156.0</v>
      </c>
      <c r="P476" s="1">
        <v>39762.0</v>
      </c>
      <c r="Q476" s="1">
        <v>0.011</v>
      </c>
      <c r="R476" s="1">
        <v>129761.0</v>
      </c>
    </row>
    <row r="477">
      <c r="A477" s="663" t="s">
        <v>2270</v>
      </c>
      <c r="B477" s="663" t="s">
        <v>180</v>
      </c>
      <c r="C477" s="663" t="s">
        <v>53</v>
      </c>
      <c r="D477" s="663" t="s">
        <v>599</v>
      </c>
      <c r="E477" s="664" t="s">
        <v>7</v>
      </c>
      <c r="F477" s="665">
        <v>14155.0</v>
      </c>
      <c r="G477" s="665">
        <v>39.0</v>
      </c>
      <c r="H477" s="665">
        <v>0.28</v>
      </c>
      <c r="I477" s="665">
        <v>0.1</v>
      </c>
      <c r="J477" s="665">
        <v>0.16</v>
      </c>
      <c r="K477" s="665">
        <v>39.0</v>
      </c>
      <c r="L477" s="665">
        <v>39762.0</v>
      </c>
      <c r="M477" s="665">
        <v>0.0</v>
      </c>
      <c r="N477" s="1">
        <v>1.0</v>
      </c>
      <c r="O477" s="1">
        <v>39.0</v>
      </c>
      <c r="P477" s="1">
        <v>39762.0</v>
      </c>
      <c r="Q477" s="1">
        <v>0.0028</v>
      </c>
      <c r="R477" s="1">
        <v>129761.0</v>
      </c>
    </row>
    <row r="478">
      <c r="A478" s="663" t="s">
        <v>2270</v>
      </c>
      <c r="B478" s="663" t="s">
        <v>180</v>
      </c>
      <c r="C478" s="663" t="s">
        <v>53</v>
      </c>
      <c r="D478" s="663" t="s">
        <v>599</v>
      </c>
      <c r="E478" s="664" t="s">
        <v>151</v>
      </c>
      <c r="F478" s="665">
        <v>14155.0</v>
      </c>
      <c r="G478" s="665">
        <v>15.0</v>
      </c>
      <c r="H478" s="665">
        <v>0.11</v>
      </c>
      <c r="I478" s="665">
        <v>0.04</v>
      </c>
      <c r="J478" s="665">
        <v>0.08</v>
      </c>
      <c r="K478" s="665">
        <v>15.0</v>
      </c>
      <c r="L478" s="665">
        <v>39762.0</v>
      </c>
      <c r="M478" s="665">
        <v>0.0</v>
      </c>
      <c r="N478" s="1">
        <v>1.0</v>
      </c>
      <c r="O478" s="1">
        <v>15.0</v>
      </c>
      <c r="P478" s="1">
        <v>39762.0</v>
      </c>
      <c r="Q478" s="1">
        <v>0.0011</v>
      </c>
      <c r="R478" s="1">
        <v>129761.0</v>
      </c>
    </row>
    <row r="479">
      <c r="A479" s="663" t="s">
        <v>2270</v>
      </c>
      <c r="B479" s="663" t="s">
        <v>180</v>
      </c>
      <c r="C479" s="663" t="s">
        <v>53</v>
      </c>
      <c r="D479" s="663" t="s">
        <v>599</v>
      </c>
      <c r="E479" s="664" t="s">
        <v>398</v>
      </c>
      <c r="F479" s="665">
        <v>14155.0</v>
      </c>
      <c r="G479" s="665">
        <v>2.0</v>
      </c>
      <c r="H479" s="665">
        <v>0.01</v>
      </c>
      <c r="I479" s="665">
        <v>0.01</v>
      </c>
      <c r="J479" s="665">
        <v>0.01</v>
      </c>
      <c r="K479" s="665">
        <v>3.0</v>
      </c>
      <c r="L479" s="665">
        <v>39762.0</v>
      </c>
      <c r="M479" s="665">
        <v>0.0</v>
      </c>
      <c r="N479" s="1">
        <v>1.5</v>
      </c>
      <c r="O479" s="1">
        <v>3.0</v>
      </c>
      <c r="P479" s="1">
        <v>39762.0</v>
      </c>
      <c r="Q479" s="1">
        <v>2.0E-4</v>
      </c>
      <c r="R479" s="1">
        <v>129761.0</v>
      </c>
    </row>
    <row r="480">
      <c r="A480" s="663" t="s">
        <v>2270</v>
      </c>
      <c r="B480" s="663" t="s">
        <v>180</v>
      </c>
      <c r="C480" s="663" t="s">
        <v>53</v>
      </c>
      <c r="D480" s="663" t="s">
        <v>599</v>
      </c>
      <c r="E480" s="664" t="s">
        <v>73</v>
      </c>
      <c r="F480" s="665">
        <v>14155.0</v>
      </c>
      <c r="G480" s="665">
        <v>1.0</v>
      </c>
      <c r="H480" s="665">
        <v>0.01</v>
      </c>
      <c r="I480" s="665">
        <v>0.0</v>
      </c>
      <c r="J480" s="665">
        <v>0.0</v>
      </c>
      <c r="K480" s="665">
        <v>1.0</v>
      </c>
      <c r="L480" s="665">
        <v>39762.0</v>
      </c>
      <c r="M480" s="665">
        <v>0.0</v>
      </c>
      <c r="N480" s="1">
        <v>1.0</v>
      </c>
      <c r="O480" s="1">
        <v>1.0</v>
      </c>
      <c r="P480" s="1">
        <v>39762.0</v>
      </c>
      <c r="Q480" s="1">
        <v>1.0E-4</v>
      </c>
      <c r="R480" s="1">
        <v>129761.0</v>
      </c>
    </row>
    <row r="481">
      <c r="A481" s="663" t="s">
        <v>2270</v>
      </c>
      <c r="B481" s="663" t="s">
        <v>180</v>
      </c>
      <c r="C481" s="663" t="s">
        <v>53</v>
      </c>
      <c r="D481" s="663" t="s">
        <v>599</v>
      </c>
      <c r="E481" s="664" t="s">
        <v>206</v>
      </c>
      <c r="F481" s="665">
        <v>14155.0</v>
      </c>
      <c r="G481" s="665">
        <v>1.0</v>
      </c>
      <c r="H481" s="665">
        <v>0.01</v>
      </c>
      <c r="I481" s="665">
        <v>0.0</v>
      </c>
      <c r="J481" s="665">
        <v>0.0</v>
      </c>
      <c r="K481" s="665">
        <v>1.0</v>
      </c>
      <c r="L481" s="665">
        <v>39762.0</v>
      </c>
      <c r="M481" s="665">
        <v>0.0</v>
      </c>
      <c r="N481" s="1">
        <v>1.0</v>
      </c>
      <c r="O481" s="1">
        <v>1.0</v>
      </c>
      <c r="P481" s="1">
        <v>39762.0</v>
      </c>
      <c r="Q481" s="1">
        <v>1.0E-4</v>
      </c>
      <c r="R481" s="1">
        <v>129761.0</v>
      </c>
    </row>
    <row r="482">
      <c r="A482" s="663" t="s">
        <v>2270</v>
      </c>
      <c r="B482" s="663" t="s">
        <v>180</v>
      </c>
      <c r="C482" s="663" t="s">
        <v>52</v>
      </c>
      <c r="D482" s="663" t="s">
        <v>599</v>
      </c>
      <c r="E482" s="664" t="s">
        <v>14</v>
      </c>
      <c r="F482" s="665">
        <v>18032.0</v>
      </c>
      <c r="G482" s="665">
        <v>6973.0</v>
      </c>
      <c r="H482" s="665">
        <v>38.67</v>
      </c>
      <c r="I482" s="665">
        <v>26.0</v>
      </c>
      <c r="J482" s="665">
        <v>17.96</v>
      </c>
      <c r="K482" s="665">
        <v>18354.0</v>
      </c>
      <c r="L482" s="665">
        <v>70599.0</v>
      </c>
      <c r="M482" s="665">
        <v>1.02</v>
      </c>
      <c r="N482" s="1">
        <v>2.6322</v>
      </c>
      <c r="O482" s="1">
        <v>18354.0</v>
      </c>
      <c r="P482" s="1">
        <v>70599.0</v>
      </c>
      <c r="Q482" s="1">
        <v>1.0179</v>
      </c>
      <c r="R482" s="1">
        <v>129761.0</v>
      </c>
    </row>
    <row r="483">
      <c r="A483" s="663" t="s">
        <v>2270</v>
      </c>
      <c r="B483" s="663" t="s">
        <v>180</v>
      </c>
      <c r="C483" s="663" t="s">
        <v>52</v>
      </c>
      <c r="D483" s="663" t="s">
        <v>599</v>
      </c>
      <c r="E483" s="664" t="s">
        <v>397</v>
      </c>
      <c r="F483" s="665">
        <v>18032.0</v>
      </c>
      <c r="G483" s="665">
        <v>7677.0</v>
      </c>
      <c r="H483" s="665">
        <v>42.57</v>
      </c>
      <c r="I483" s="665">
        <v>17.83</v>
      </c>
      <c r="J483" s="665">
        <v>18.57</v>
      </c>
      <c r="K483" s="665">
        <v>12589.0</v>
      </c>
      <c r="L483" s="665">
        <v>70599.0</v>
      </c>
      <c r="M483" s="665">
        <v>0.7</v>
      </c>
      <c r="N483" s="1">
        <v>1.6398</v>
      </c>
      <c r="O483" s="1">
        <v>12589.0</v>
      </c>
      <c r="P483" s="1">
        <v>70599.0</v>
      </c>
      <c r="Q483" s="1">
        <v>0.6981</v>
      </c>
      <c r="R483" s="1">
        <v>129761.0</v>
      </c>
    </row>
    <row r="484">
      <c r="A484" s="663" t="s">
        <v>2270</v>
      </c>
      <c r="B484" s="663" t="s">
        <v>180</v>
      </c>
      <c r="C484" s="663" t="s">
        <v>52</v>
      </c>
      <c r="D484" s="663" t="s">
        <v>599</v>
      </c>
      <c r="E484" s="664" t="s">
        <v>15</v>
      </c>
      <c r="F484" s="665">
        <v>18032.0</v>
      </c>
      <c r="G484" s="665">
        <v>3135.0</v>
      </c>
      <c r="H484" s="665">
        <v>17.39</v>
      </c>
      <c r="I484" s="665">
        <v>9.34</v>
      </c>
      <c r="J484" s="665">
        <v>8.22</v>
      </c>
      <c r="K484" s="665">
        <v>6591.0</v>
      </c>
      <c r="L484" s="665">
        <v>70599.0</v>
      </c>
      <c r="M484" s="665">
        <v>0.37</v>
      </c>
      <c r="N484" s="1">
        <v>2.1024</v>
      </c>
      <c r="O484" s="1">
        <v>6591.0</v>
      </c>
      <c r="P484" s="1">
        <v>70599.0</v>
      </c>
      <c r="Q484" s="1">
        <v>0.3655</v>
      </c>
      <c r="R484" s="1">
        <v>129761.0</v>
      </c>
    </row>
    <row r="485">
      <c r="A485" s="663" t="s">
        <v>2270</v>
      </c>
      <c r="B485" s="663" t="s">
        <v>180</v>
      </c>
      <c r="C485" s="663" t="s">
        <v>52</v>
      </c>
      <c r="D485" s="663" t="s">
        <v>599</v>
      </c>
      <c r="E485" s="664" t="s">
        <v>398</v>
      </c>
      <c r="F485" s="665">
        <v>18032.0</v>
      </c>
      <c r="G485" s="665">
        <v>3753.0</v>
      </c>
      <c r="H485" s="665">
        <v>20.81</v>
      </c>
      <c r="I485" s="665">
        <v>8.38</v>
      </c>
      <c r="J485" s="665">
        <v>4.91</v>
      </c>
      <c r="K485" s="665">
        <v>5916.0</v>
      </c>
      <c r="L485" s="665">
        <v>70599.0</v>
      </c>
      <c r="M485" s="665">
        <v>0.33</v>
      </c>
      <c r="N485" s="1">
        <v>1.5763</v>
      </c>
      <c r="O485" s="1">
        <v>5916.0</v>
      </c>
      <c r="P485" s="1">
        <v>70599.0</v>
      </c>
      <c r="Q485" s="1">
        <v>0.3281</v>
      </c>
      <c r="R485" s="1">
        <v>129761.0</v>
      </c>
    </row>
    <row r="486">
      <c r="A486" s="663" t="s">
        <v>2270</v>
      </c>
      <c r="B486" s="663" t="s">
        <v>180</v>
      </c>
      <c r="C486" s="663" t="s">
        <v>52</v>
      </c>
      <c r="D486" s="663" t="s">
        <v>599</v>
      </c>
      <c r="E486" s="664" t="s">
        <v>396</v>
      </c>
      <c r="F486" s="665">
        <v>18032.0</v>
      </c>
      <c r="G486" s="665">
        <v>5164.0</v>
      </c>
      <c r="H486" s="665">
        <v>28.64</v>
      </c>
      <c r="I486" s="665">
        <v>7.84</v>
      </c>
      <c r="J486" s="665">
        <v>15.43</v>
      </c>
      <c r="K486" s="665">
        <v>5532.0</v>
      </c>
      <c r="L486" s="665">
        <v>70599.0</v>
      </c>
      <c r="M486" s="665">
        <v>0.31</v>
      </c>
      <c r="N486" s="1">
        <v>1.0713</v>
      </c>
      <c r="O486" s="1">
        <v>5532.0</v>
      </c>
      <c r="P486" s="1">
        <v>70599.0</v>
      </c>
      <c r="Q486" s="1">
        <v>0.3068</v>
      </c>
      <c r="R486" s="1">
        <v>129761.0</v>
      </c>
    </row>
    <row r="487">
      <c r="A487" s="663" t="s">
        <v>2270</v>
      </c>
      <c r="B487" s="663" t="s">
        <v>180</v>
      </c>
      <c r="C487" s="663" t="s">
        <v>52</v>
      </c>
      <c r="D487" s="663" t="s">
        <v>599</v>
      </c>
      <c r="E487" s="664" t="s">
        <v>418</v>
      </c>
      <c r="F487" s="665">
        <v>18032.0</v>
      </c>
      <c r="G487" s="665">
        <v>4939.0</v>
      </c>
      <c r="H487" s="665">
        <v>27.39</v>
      </c>
      <c r="I487" s="665">
        <v>7.49</v>
      </c>
      <c r="J487" s="665">
        <v>10.1</v>
      </c>
      <c r="K487" s="665">
        <v>5288.0</v>
      </c>
      <c r="L487" s="665">
        <v>70599.0</v>
      </c>
      <c r="M487" s="665">
        <v>0.29</v>
      </c>
      <c r="N487" s="1">
        <v>1.0707</v>
      </c>
      <c r="O487" s="1">
        <v>5288.0</v>
      </c>
      <c r="P487" s="1">
        <v>70599.0</v>
      </c>
      <c r="Q487" s="1">
        <v>0.2933</v>
      </c>
      <c r="R487" s="1">
        <v>129761.0</v>
      </c>
    </row>
    <row r="488">
      <c r="A488" s="663" t="s">
        <v>2270</v>
      </c>
      <c r="B488" s="663" t="s">
        <v>180</v>
      </c>
      <c r="C488" s="663" t="s">
        <v>52</v>
      </c>
      <c r="D488" s="663" t="s">
        <v>599</v>
      </c>
      <c r="E488" s="664" t="s">
        <v>393</v>
      </c>
      <c r="F488" s="665">
        <v>18032.0</v>
      </c>
      <c r="G488" s="665">
        <v>1834.0</v>
      </c>
      <c r="H488" s="665">
        <v>10.17</v>
      </c>
      <c r="I488" s="665">
        <v>5.15</v>
      </c>
      <c r="J488" s="665">
        <v>3.17</v>
      </c>
      <c r="K488" s="665">
        <v>3638.0</v>
      </c>
      <c r="L488" s="665">
        <v>70599.0</v>
      </c>
      <c r="M488" s="665">
        <v>0.2</v>
      </c>
      <c r="N488" s="1">
        <v>1.9836</v>
      </c>
      <c r="O488" s="1">
        <v>3638.0</v>
      </c>
      <c r="P488" s="1">
        <v>70599.0</v>
      </c>
      <c r="Q488" s="1">
        <v>0.2018</v>
      </c>
      <c r="R488" s="1">
        <v>129761.0</v>
      </c>
    </row>
    <row r="489">
      <c r="A489" s="663" t="s">
        <v>2270</v>
      </c>
      <c r="B489" s="663" t="s">
        <v>180</v>
      </c>
      <c r="C489" s="663" t="s">
        <v>52</v>
      </c>
      <c r="D489" s="663" t="s">
        <v>599</v>
      </c>
      <c r="E489" s="664" t="s">
        <v>16</v>
      </c>
      <c r="F489" s="665">
        <v>18032.0</v>
      </c>
      <c r="G489" s="665">
        <v>2637.0</v>
      </c>
      <c r="H489" s="665">
        <v>14.62</v>
      </c>
      <c r="I489" s="665">
        <v>4.87</v>
      </c>
      <c r="J489" s="665">
        <v>5.45</v>
      </c>
      <c r="K489" s="665">
        <v>3441.0</v>
      </c>
      <c r="L489" s="665">
        <v>70599.0</v>
      </c>
      <c r="M489" s="665">
        <v>0.19</v>
      </c>
      <c r="N489" s="1">
        <v>1.3049</v>
      </c>
      <c r="O489" s="1">
        <v>3441.0</v>
      </c>
      <c r="P489" s="1">
        <v>70599.0</v>
      </c>
      <c r="Q489" s="1">
        <v>0.1908</v>
      </c>
      <c r="R489" s="1">
        <v>129761.0</v>
      </c>
    </row>
    <row r="490">
      <c r="A490" s="663" t="s">
        <v>2270</v>
      </c>
      <c r="B490" s="663" t="s">
        <v>180</v>
      </c>
      <c r="C490" s="663" t="s">
        <v>52</v>
      </c>
      <c r="D490" s="663" t="s">
        <v>599</v>
      </c>
      <c r="E490" s="664" t="s">
        <v>329</v>
      </c>
      <c r="F490" s="665">
        <v>18032.0</v>
      </c>
      <c r="G490" s="665">
        <v>1584.0</v>
      </c>
      <c r="H490" s="665">
        <v>8.78</v>
      </c>
      <c r="I490" s="665">
        <v>2.43</v>
      </c>
      <c r="J490" s="665">
        <v>3.23</v>
      </c>
      <c r="K490" s="665">
        <v>1716.0</v>
      </c>
      <c r="L490" s="665">
        <v>70599.0</v>
      </c>
      <c r="M490" s="665">
        <v>0.1</v>
      </c>
      <c r="N490" s="1">
        <v>1.0833</v>
      </c>
      <c r="O490" s="1">
        <v>1716.0</v>
      </c>
      <c r="P490" s="1">
        <v>70599.0</v>
      </c>
      <c r="Q490" s="1">
        <v>0.0952</v>
      </c>
      <c r="R490" s="1">
        <v>129761.0</v>
      </c>
    </row>
    <row r="491">
      <c r="A491" s="663" t="s">
        <v>2270</v>
      </c>
      <c r="B491" s="663" t="s">
        <v>180</v>
      </c>
      <c r="C491" s="663" t="s">
        <v>52</v>
      </c>
      <c r="D491" s="663" t="s">
        <v>599</v>
      </c>
      <c r="E491" s="664" t="s">
        <v>338</v>
      </c>
      <c r="F491" s="665">
        <v>18032.0</v>
      </c>
      <c r="G491" s="665">
        <v>1506.0</v>
      </c>
      <c r="H491" s="665">
        <v>8.35</v>
      </c>
      <c r="I491" s="665">
        <v>2.3</v>
      </c>
      <c r="J491" s="665">
        <v>2.81</v>
      </c>
      <c r="K491" s="665">
        <v>1624.0</v>
      </c>
      <c r="L491" s="665">
        <v>70599.0</v>
      </c>
      <c r="M491" s="665">
        <v>0.09</v>
      </c>
      <c r="N491" s="1">
        <v>1.0784</v>
      </c>
      <c r="O491" s="1">
        <v>1624.0</v>
      </c>
      <c r="P491" s="1">
        <v>70599.0</v>
      </c>
      <c r="Q491" s="1">
        <v>0.0901</v>
      </c>
      <c r="R491" s="1">
        <v>129761.0</v>
      </c>
    </row>
    <row r="492">
      <c r="A492" s="663" t="s">
        <v>2270</v>
      </c>
      <c r="B492" s="663" t="s">
        <v>180</v>
      </c>
      <c r="C492" s="663" t="s">
        <v>52</v>
      </c>
      <c r="D492" s="663" t="s">
        <v>599</v>
      </c>
      <c r="E492" s="664" t="s">
        <v>341</v>
      </c>
      <c r="F492" s="665">
        <v>18032.0</v>
      </c>
      <c r="G492" s="665">
        <v>1372.0</v>
      </c>
      <c r="H492" s="665">
        <v>7.61</v>
      </c>
      <c r="I492" s="665">
        <v>2.11</v>
      </c>
      <c r="J492" s="665">
        <v>2.7</v>
      </c>
      <c r="K492" s="665">
        <v>1490.0</v>
      </c>
      <c r="L492" s="665">
        <v>70599.0</v>
      </c>
      <c r="M492" s="665">
        <v>0.08</v>
      </c>
      <c r="N492" s="1">
        <v>1.086</v>
      </c>
      <c r="O492" s="1">
        <v>1490.0</v>
      </c>
      <c r="P492" s="1">
        <v>70599.0</v>
      </c>
      <c r="Q492" s="1">
        <v>0.0826</v>
      </c>
      <c r="R492" s="1">
        <v>129761.0</v>
      </c>
    </row>
    <row r="493">
      <c r="A493" s="663" t="s">
        <v>2270</v>
      </c>
      <c r="B493" s="663" t="s">
        <v>180</v>
      </c>
      <c r="C493" s="663" t="s">
        <v>52</v>
      </c>
      <c r="D493" s="663" t="s">
        <v>599</v>
      </c>
      <c r="E493" s="664" t="s">
        <v>411</v>
      </c>
      <c r="F493" s="665">
        <v>18032.0</v>
      </c>
      <c r="G493" s="665">
        <v>1117.0</v>
      </c>
      <c r="H493" s="665">
        <v>6.19</v>
      </c>
      <c r="I493" s="665">
        <v>1.73</v>
      </c>
      <c r="J493" s="665">
        <v>2.61</v>
      </c>
      <c r="K493" s="665">
        <v>1219.0</v>
      </c>
      <c r="L493" s="665">
        <v>70599.0</v>
      </c>
      <c r="M493" s="665">
        <v>0.07</v>
      </c>
      <c r="N493" s="1">
        <v>1.0913</v>
      </c>
      <c r="O493" s="1">
        <v>1219.0</v>
      </c>
      <c r="P493" s="1">
        <v>70599.0</v>
      </c>
      <c r="Q493" s="1">
        <v>0.0676</v>
      </c>
      <c r="R493" s="1">
        <v>129761.0</v>
      </c>
    </row>
    <row r="494">
      <c r="A494" s="663" t="s">
        <v>2270</v>
      </c>
      <c r="B494" s="663" t="s">
        <v>180</v>
      </c>
      <c r="C494" s="663" t="s">
        <v>52</v>
      </c>
      <c r="D494" s="663" t="s">
        <v>599</v>
      </c>
      <c r="E494" s="664" t="s">
        <v>51</v>
      </c>
      <c r="F494" s="665">
        <v>18032.0</v>
      </c>
      <c r="G494" s="665">
        <v>1014.0</v>
      </c>
      <c r="H494" s="665">
        <v>5.62</v>
      </c>
      <c r="I494" s="665">
        <v>1.7</v>
      </c>
      <c r="J494" s="665">
        <v>1.47</v>
      </c>
      <c r="K494" s="665">
        <v>1200.0</v>
      </c>
      <c r="L494" s="665">
        <v>70599.0</v>
      </c>
      <c r="M494" s="665">
        <v>0.07</v>
      </c>
      <c r="N494" s="1">
        <v>1.1834</v>
      </c>
      <c r="O494" s="1">
        <v>1200.0</v>
      </c>
      <c r="P494" s="1">
        <v>70599.0</v>
      </c>
      <c r="Q494" s="1">
        <v>0.0665</v>
      </c>
      <c r="R494" s="1">
        <v>129761.0</v>
      </c>
    </row>
    <row r="495">
      <c r="A495" s="663" t="s">
        <v>2270</v>
      </c>
      <c r="B495" s="663" t="s">
        <v>180</v>
      </c>
      <c r="C495" s="663" t="s">
        <v>52</v>
      </c>
      <c r="D495" s="663" t="s">
        <v>599</v>
      </c>
      <c r="E495" s="664" t="s">
        <v>63</v>
      </c>
      <c r="F495" s="665">
        <v>18032.0</v>
      </c>
      <c r="G495" s="665">
        <v>857.0</v>
      </c>
      <c r="H495" s="665">
        <v>4.75</v>
      </c>
      <c r="I495" s="665">
        <v>1.29</v>
      </c>
      <c r="J495" s="665">
        <v>1.76</v>
      </c>
      <c r="K495" s="665">
        <v>911.0</v>
      </c>
      <c r="L495" s="665">
        <v>70599.0</v>
      </c>
      <c r="M495" s="665">
        <v>0.05</v>
      </c>
      <c r="N495" s="1">
        <v>1.063</v>
      </c>
      <c r="O495" s="1">
        <v>911.0</v>
      </c>
      <c r="P495" s="1">
        <v>70599.0</v>
      </c>
      <c r="Q495" s="1">
        <v>0.0505</v>
      </c>
      <c r="R495" s="1">
        <v>129761.0</v>
      </c>
    </row>
    <row r="496">
      <c r="A496" s="663" t="s">
        <v>2270</v>
      </c>
      <c r="B496" s="663" t="s">
        <v>180</v>
      </c>
      <c r="C496" s="663" t="s">
        <v>52</v>
      </c>
      <c r="D496" s="663" t="s">
        <v>599</v>
      </c>
      <c r="E496" s="664" t="s">
        <v>42</v>
      </c>
      <c r="F496" s="665">
        <v>18032.0</v>
      </c>
      <c r="G496" s="665">
        <v>525.0</v>
      </c>
      <c r="H496" s="665">
        <v>2.91</v>
      </c>
      <c r="I496" s="665">
        <v>0.81</v>
      </c>
      <c r="J496" s="665">
        <v>0.66</v>
      </c>
      <c r="K496" s="665">
        <v>573.0</v>
      </c>
      <c r="L496" s="665">
        <v>70599.0</v>
      </c>
      <c r="M496" s="665">
        <v>0.03</v>
      </c>
      <c r="N496" s="1">
        <v>1.0914</v>
      </c>
      <c r="O496" s="1">
        <v>573.0</v>
      </c>
      <c r="P496" s="1">
        <v>70599.0</v>
      </c>
      <c r="Q496" s="1">
        <v>0.0318</v>
      </c>
      <c r="R496" s="1">
        <v>129761.0</v>
      </c>
    </row>
    <row r="497">
      <c r="A497" s="663" t="s">
        <v>2270</v>
      </c>
      <c r="B497" s="663" t="s">
        <v>180</v>
      </c>
      <c r="C497" s="663" t="s">
        <v>52</v>
      </c>
      <c r="D497" s="663" t="s">
        <v>599</v>
      </c>
      <c r="E497" s="664" t="s">
        <v>413</v>
      </c>
      <c r="F497" s="665">
        <v>18032.0</v>
      </c>
      <c r="G497" s="665">
        <v>316.0</v>
      </c>
      <c r="H497" s="665">
        <v>1.75</v>
      </c>
      <c r="I497" s="665">
        <v>0.48</v>
      </c>
      <c r="J497" s="665">
        <v>0.5</v>
      </c>
      <c r="K497" s="665">
        <v>342.0</v>
      </c>
      <c r="L497" s="665">
        <v>70599.0</v>
      </c>
      <c r="M497" s="665">
        <v>0.02</v>
      </c>
      <c r="N497" s="1">
        <v>1.0823</v>
      </c>
      <c r="O497" s="1">
        <v>342.0</v>
      </c>
      <c r="P497" s="1">
        <v>70599.0</v>
      </c>
      <c r="Q497" s="1">
        <v>0.019</v>
      </c>
      <c r="R497" s="1">
        <v>129761.0</v>
      </c>
    </row>
    <row r="498">
      <c r="A498" s="663" t="s">
        <v>2270</v>
      </c>
      <c r="B498" s="663" t="s">
        <v>180</v>
      </c>
      <c r="C498" s="663" t="s">
        <v>52</v>
      </c>
      <c r="D498" s="663" t="s">
        <v>599</v>
      </c>
      <c r="E498" s="664" t="s">
        <v>7</v>
      </c>
      <c r="F498" s="665">
        <v>18032.0</v>
      </c>
      <c r="G498" s="665">
        <v>114.0</v>
      </c>
      <c r="H498" s="665">
        <v>0.63</v>
      </c>
      <c r="I498" s="665">
        <v>0.17</v>
      </c>
      <c r="J498" s="665">
        <v>0.29</v>
      </c>
      <c r="K498" s="665">
        <v>119.0</v>
      </c>
      <c r="L498" s="665">
        <v>70599.0</v>
      </c>
      <c r="M498" s="665">
        <v>0.01</v>
      </c>
      <c r="N498" s="1">
        <v>1.0439</v>
      </c>
      <c r="O498" s="1">
        <v>119.0</v>
      </c>
      <c r="P498" s="1">
        <v>70599.0</v>
      </c>
      <c r="Q498" s="1">
        <v>0.0066</v>
      </c>
      <c r="R498" s="1">
        <v>129761.0</v>
      </c>
    </row>
    <row r="499">
      <c r="A499" s="663" t="s">
        <v>2270</v>
      </c>
      <c r="B499" s="663" t="s">
        <v>180</v>
      </c>
      <c r="C499" s="663" t="s">
        <v>52</v>
      </c>
      <c r="D499" s="663" t="s">
        <v>599</v>
      </c>
      <c r="E499" s="664" t="s">
        <v>9</v>
      </c>
      <c r="F499" s="665">
        <v>18032.0</v>
      </c>
      <c r="G499" s="665">
        <v>37.0</v>
      </c>
      <c r="H499" s="665">
        <v>0.21</v>
      </c>
      <c r="I499" s="665">
        <v>0.06</v>
      </c>
      <c r="J499" s="665">
        <v>0.11</v>
      </c>
      <c r="K499" s="665">
        <v>41.0</v>
      </c>
      <c r="L499" s="665">
        <v>70599.0</v>
      </c>
      <c r="M499" s="665">
        <v>0.0</v>
      </c>
      <c r="N499" s="1">
        <v>1.1081</v>
      </c>
      <c r="O499" s="1">
        <v>41.0</v>
      </c>
      <c r="P499" s="1">
        <v>70599.0</v>
      </c>
      <c r="Q499" s="1">
        <v>0.0023</v>
      </c>
      <c r="R499" s="1">
        <v>129761.0</v>
      </c>
    </row>
    <row r="500">
      <c r="A500" s="663" t="s">
        <v>2270</v>
      </c>
      <c r="B500" s="663" t="s">
        <v>180</v>
      </c>
      <c r="C500" s="663" t="s">
        <v>52</v>
      </c>
      <c r="D500" s="663" t="s">
        <v>599</v>
      </c>
      <c r="E500" s="664" t="s">
        <v>401</v>
      </c>
      <c r="F500" s="665">
        <v>18032.0</v>
      </c>
      <c r="G500" s="665">
        <v>10.0</v>
      </c>
      <c r="H500" s="665">
        <v>0.06</v>
      </c>
      <c r="I500" s="665">
        <v>0.02</v>
      </c>
      <c r="J500" s="665">
        <v>0.02</v>
      </c>
      <c r="K500" s="665">
        <v>11.0</v>
      </c>
      <c r="L500" s="665">
        <v>70599.0</v>
      </c>
      <c r="M500" s="665">
        <v>0.0</v>
      </c>
      <c r="N500" s="1">
        <v>1.1</v>
      </c>
      <c r="O500" s="1">
        <v>11.0</v>
      </c>
      <c r="P500" s="1">
        <v>70599.0</v>
      </c>
      <c r="Q500" s="1">
        <v>6.0E-4</v>
      </c>
      <c r="R500" s="1">
        <v>129761.0</v>
      </c>
    </row>
    <row r="501">
      <c r="A501" s="663" t="s">
        <v>2270</v>
      </c>
      <c r="B501" s="663" t="s">
        <v>180</v>
      </c>
      <c r="C501" s="663" t="s">
        <v>52</v>
      </c>
      <c r="D501" s="663" t="s">
        <v>599</v>
      </c>
      <c r="E501" s="664" t="s">
        <v>206</v>
      </c>
      <c r="F501" s="665">
        <v>18032.0</v>
      </c>
      <c r="G501" s="665">
        <v>1.0</v>
      </c>
      <c r="H501" s="665">
        <v>0.01</v>
      </c>
      <c r="I501" s="665">
        <v>0.0</v>
      </c>
      <c r="J501" s="665">
        <v>0.0</v>
      </c>
      <c r="K501" s="665">
        <v>1.0</v>
      </c>
      <c r="L501" s="665">
        <v>70599.0</v>
      </c>
      <c r="M501" s="665">
        <v>0.0</v>
      </c>
      <c r="N501" s="1">
        <v>1.0</v>
      </c>
      <c r="O501" s="1">
        <v>1.0</v>
      </c>
      <c r="P501" s="1">
        <v>70599.0</v>
      </c>
      <c r="Q501" s="1">
        <v>1.0E-4</v>
      </c>
      <c r="R501" s="1">
        <v>129761.0</v>
      </c>
    </row>
    <row r="502">
      <c r="A502" s="663" t="s">
        <v>2270</v>
      </c>
      <c r="B502" s="663" t="s">
        <v>180</v>
      </c>
      <c r="C502" s="663" t="s">
        <v>52</v>
      </c>
      <c r="D502" s="663" t="s">
        <v>599</v>
      </c>
      <c r="E502" s="664" t="s">
        <v>151</v>
      </c>
      <c r="F502" s="665">
        <v>18032.0</v>
      </c>
      <c r="G502" s="665">
        <v>3.0</v>
      </c>
      <c r="H502" s="665">
        <v>0.02</v>
      </c>
      <c r="I502" s="665">
        <v>0.0</v>
      </c>
      <c r="J502" s="665">
        <v>0.02</v>
      </c>
      <c r="K502" s="665">
        <v>3.0</v>
      </c>
      <c r="L502" s="665">
        <v>70599.0</v>
      </c>
      <c r="M502" s="665">
        <v>0.0</v>
      </c>
      <c r="N502" s="1">
        <v>1.0</v>
      </c>
      <c r="O502" s="1">
        <v>3.0</v>
      </c>
      <c r="P502" s="1">
        <v>70599.0</v>
      </c>
      <c r="Q502" s="1">
        <v>2.0E-4</v>
      </c>
      <c r="R502" s="1">
        <v>129761.0</v>
      </c>
    </row>
    <row r="503">
      <c r="A503" s="663" t="s">
        <v>2270</v>
      </c>
      <c r="B503" s="663" t="s">
        <v>180</v>
      </c>
      <c r="C503" s="663" t="s">
        <v>1209</v>
      </c>
      <c r="D503" s="663" t="s">
        <v>2234</v>
      </c>
      <c r="E503" s="664" t="s">
        <v>397</v>
      </c>
      <c r="F503" s="665">
        <v>1163.0</v>
      </c>
      <c r="G503" s="665">
        <v>932.0</v>
      </c>
      <c r="H503" s="665">
        <v>80.14</v>
      </c>
      <c r="I503" s="665">
        <v>83.63</v>
      </c>
      <c r="J503" s="665">
        <v>79.86</v>
      </c>
      <c r="K503" s="665">
        <v>28650.0</v>
      </c>
      <c r="L503" s="665">
        <v>34260.0</v>
      </c>
      <c r="M503" s="665">
        <v>24.63</v>
      </c>
      <c r="N503" s="1">
        <v>30.7403</v>
      </c>
      <c r="O503" s="1">
        <v>28650.0</v>
      </c>
      <c r="P503" s="1">
        <v>34260.0</v>
      </c>
      <c r="Q503" s="1">
        <v>24.6346</v>
      </c>
      <c r="R503" s="1">
        <v>129761.0</v>
      </c>
    </row>
    <row r="504">
      <c r="A504" s="663" t="s">
        <v>2270</v>
      </c>
      <c r="B504" s="663" t="s">
        <v>180</v>
      </c>
      <c r="C504" s="663" t="s">
        <v>1209</v>
      </c>
      <c r="D504" s="663" t="s">
        <v>2234</v>
      </c>
      <c r="E504" s="664" t="s">
        <v>411</v>
      </c>
      <c r="F504" s="665">
        <v>1163.0</v>
      </c>
      <c r="G504" s="665">
        <v>109.0</v>
      </c>
      <c r="H504" s="665">
        <v>9.37</v>
      </c>
      <c r="I504" s="665">
        <v>12.07</v>
      </c>
      <c r="J504" s="665">
        <v>9.2</v>
      </c>
      <c r="K504" s="665">
        <v>4135.0</v>
      </c>
      <c r="L504" s="665">
        <v>34260.0</v>
      </c>
      <c r="M504" s="665">
        <v>3.56</v>
      </c>
      <c r="N504" s="1">
        <v>37.9358</v>
      </c>
      <c r="O504" s="1">
        <v>4135.0</v>
      </c>
      <c r="P504" s="1">
        <v>34260.0</v>
      </c>
      <c r="Q504" s="1">
        <v>3.5555</v>
      </c>
      <c r="R504" s="1">
        <v>129761.0</v>
      </c>
    </row>
    <row r="505">
      <c r="A505" s="663" t="s">
        <v>2270</v>
      </c>
      <c r="B505" s="663" t="s">
        <v>180</v>
      </c>
      <c r="C505" s="663" t="s">
        <v>1209</v>
      </c>
      <c r="D505" s="663" t="s">
        <v>2234</v>
      </c>
      <c r="E505" s="664" t="s">
        <v>401</v>
      </c>
      <c r="F505" s="665">
        <v>1163.0</v>
      </c>
      <c r="G505" s="665">
        <v>62.0</v>
      </c>
      <c r="H505" s="665">
        <v>5.33</v>
      </c>
      <c r="I505" s="665">
        <v>2.12</v>
      </c>
      <c r="J505" s="665">
        <v>5.27</v>
      </c>
      <c r="K505" s="665">
        <v>725.0</v>
      </c>
      <c r="L505" s="665">
        <v>34260.0</v>
      </c>
      <c r="M505" s="665">
        <v>0.62</v>
      </c>
      <c r="N505" s="1">
        <v>11.6935</v>
      </c>
      <c r="O505" s="1">
        <v>725.0</v>
      </c>
      <c r="P505" s="1">
        <v>34260.0</v>
      </c>
      <c r="Q505" s="1">
        <v>0.6234</v>
      </c>
      <c r="R505" s="1">
        <v>129761.0</v>
      </c>
    </row>
    <row r="506">
      <c r="A506" s="663" t="s">
        <v>2270</v>
      </c>
      <c r="B506" s="663" t="s">
        <v>180</v>
      </c>
      <c r="C506" s="663" t="s">
        <v>1209</v>
      </c>
      <c r="D506" s="663" t="s">
        <v>2234</v>
      </c>
      <c r="E506" s="664" t="s">
        <v>206</v>
      </c>
      <c r="F506" s="665">
        <v>1163.0</v>
      </c>
      <c r="G506" s="665">
        <v>35.0</v>
      </c>
      <c r="H506" s="665">
        <v>3.01</v>
      </c>
      <c r="I506" s="665">
        <v>1.08</v>
      </c>
      <c r="J506" s="665">
        <v>2.75</v>
      </c>
      <c r="K506" s="665">
        <v>370.0</v>
      </c>
      <c r="L506" s="665">
        <v>34260.0</v>
      </c>
      <c r="M506" s="665">
        <v>0.32</v>
      </c>
      <c r="N506" s="1">
        <v>10.5714</v>
      </c>
      <c r="O506" s="1">
        <v>370.0</v>
      </c>
      <c r="P506" s="1">
        <v>34260.0</v>
      </c>
      <c r="Q506" s="1">
        <v>0.3181</v>
      </c>
      <c r="R506" s="1">
        <v>129761.0</v>
      </c>
    </row>
    <row r="507">
      <c r="A507" s="663" t="s">
        <v>2270</v>
      </c>
      <c r="B507" s="663" t="s">
        <v>180</v>
      </c>
      <c r="C507" s="663" t="s">
        <v>1209</v>
      </c>
      <c r="D507" s="663" t="s">
        <v>2234</v>
      </c>
      <c r="E507" s="664" t="s">
        <v>413</v>
      </c>
      <c r="F507" s="665">
        <v>1163.0</v>
      </c>
      <c r="G507" s="665">
        <v>31.0</v>
      </c>
      <c r="H507" s="665">
        <v>2.67</v>
      </c>
      <c r="I507" s="665">
        <v>0.96</v>
      </c>
      <c r="J507" s="665">
        <v>2.67</v>
      </c>
      <c r="K507" s="665">
        <v>330.0</v>
      </c>
      <c r="L507" s="665">
        <v>34260.0</v>
      </c>
      <c r="M507" s="665">
        <v>0.28</v>
      </c>
      <c r="N507" s="1">
        <v>10.6452</v>
      </c>
      <c r="O507" s="1">
        <v>330.0</v>
      </c>
      <c r="P507" s="1">
        <v>34260.0</v>
      </c>
      <c r="Q507" s="1">
        <v>0.2837</v>
      </c>
      <c r="R507" s="1">
        <v>129761.0</v>
      </c>
    </row>
    <row r="508">
      <c r="A508" s="663" t="s">
        <v>2270</v>
      </c>
      <c r="B508" s="663" t="s">
        <v>180</v>
      </c>
      <c r="C508" s="663" t="s">
        <v>1209</v>
      </c>
      <c r="D508" s="663" t="s">
        <v>2234</v>
      </c>
      <c r="E508" s="664" t="s">
        <v>73</v>
      </c>
      <c r="F508" s="665">
        <v>1163.0</v>
      </c>
      <c r="G508" s="665">
        <v>2.0</v>
      </c>
      <c r="H508" s="665">
        <v>0.17</v>
      </c>
      <c r="I508" s="665">
        <v>0.09</v>
      </c>
      <c r="J508" s="665">
        <v>0.17</v>
      </c>
      <c r="K508" s="665">
        <v>30.0</v>
      </c>
      <c r="L508" s="665">
        <v>34260.0</v>
      </c>
      <c r="M508" s="665">
        <v>0.03</v>
      </c>
      <c r="N508" s="1">
        <v>15.0</v>
      </c>
      <c r="O508" s="1">
        <v>30.0</v>
      </c>
      <c r="P508" s="1">
        <v>34260.0</v>
      </c>
      <c r="Q508" s="1">
        <v>0.0258</v>
      </c>
      <c r="R508" s="1">
        <v>129761.0</v>
      </c>
    </row>
    <row r="509">
      <c r="A509" s="663" t="s">
        <v>2270</v>
      </c>
      <c r="B509" s="663" t="s">
        <v>180</v>
      </c>
      <c r="C509" s="663" t="s">
        <v>1209</v>
      </c>
      <c r="D509" s="663" t="s">
        <v>2234</v>
      </c>
      <c r="E509" s="664" t="s">
        <v>151</v>
      </c>
      <c r="F509" s="665">
        <v>1163.0</v>
      </c>
      <c r="G509" s="665">
        <v>1.0</v>
      </c>
      <c r="H509" s="665">
        <v>0.09</v>
      </c>
      <c r="I509" s="665">
        <v>0.06</v>
      </c>
      <c r="J509" s="665">
        <v>0.09</v>
      </c>
      <c r="K509" s="665">
        <v>20.0</v>
      </c>
      <c r="L509" s="665">
        <v>34260.0</v>
      </c>
      <c r="M509" s="665">
        <v>0.02</v>
      </c>
      <c r="N509" s="1">
        <v>20.0</v>
      </c>
      <c r="O509" s="1">
        <v>20.0</v>
      </c>
      <c r="P509" s="1">
        <v>34260.0</v>
      </c>
      <c r="Q509" s="1">
        <v>0.0172</v>
      </c>
      <c r="R509" s="1">
        <v>129761.0</v>
      </c>
    </row>
    <row r="510">
      <c r="A510" s="663" t="s">
        <v>2270</v>
      </c>
      <c r="B510" s="663" t="s">
        <v>180</v>
      </c>
      <c r="C510" s="663" t="s">
        <v>1210</v>
      </c>
      <c r="D510" s="663" t="s">
        <v>2234</v>
      </c>
      <c r="E510" s="664" t="s">
        <v>413</v>
      </c>
      <c r="F510" s="665">
        <v>6878.0</v>
      </c>
      <c r="G510" s="665">
        <v>4470.0</v>
      </c>
      <c r="H510" s="665">
        <v>64.99</v>
      </c>
      <c r="I510" s="665">
        <v>46.05</v>
      </c>
      <c r="J510" s="665">
        <v>62.11</v>
      </c>
      <c r="K510" s="665">
        <v>72750.0</v>
      </c>
      <c r="L510" s="665">
        <v>157985.0</v>
      </c>
      <c r="M510" s="665">
        <v>10.58</v>
      </c>
      <c r="N510" s="1">
        <v>16.2752</v>
      </c>
      <c r="O510" s="1">
        <v>72750.0</v>
      </c>
      <c r="P510" s="1">
        <v>157985.0</v>
      </c>
      <c r="Q510" s="1">
        <v>10.5772</v>
      </c>
      <c r="R510" s="1">
        <v>129761.0</v>
      </c>
    </row>
    <row r="511">
      <c r="A511" s="663" t="s">
        <v>2270</v>
      </c>
      <c r="B511" s="663" t="s">
        <v>180</v>
      </c>
      <c r="C511" s="663" t="s">
        <v>1210</v>
      </c>
      <c r="D511" s="663" t="s">
        <v>2234</v>
      </c>
      <c r="E511" s="664" t="s">
        <v>397</v>
      </c>
      <c r="F511" s="665">
        <v>6878.0</v>
      </c>
      <c r="G511" s="665">
        <v>942.0</v>
      </c>
      <c r="H511" s="665">
        <v>13.7</v>
      </c>
      <c r="I511" s="665">
        <v>36.38</v>
      </c>
      <c r="J511" s="665">
        <v>12.77</v>
      </c>
      <c r="K511" s="665">
        <v>57480.0</v>
      </c>
      <c r="L511" s="665">
        <v>157985.0</v>
      </c>
      <c r="M511" s="665">
        <v>8.36</v>
      </c>
      <c r="N511" s="1">
        <v>61.0191</v>
      </c>
      <c r="O511" s="1">
        <v>57480.0</v>
      </c>
      <c r="P511" s="1">
        <v>157985.0</v>
      </c>
      <c r="Q511" s="1">
        <v>8.3571</v>
      </c>
      <c r="R511" s="1">
        <v>129761.0</v>
      </c>
    </row>
    <row r="512">
      <c r="A512" s="663" t="s">
        <v>2270</v>
      </c>
      <c r="B512" s="663" t="s">
        <v>180</v>
      </c>
      <c r="C512" s="663" t="s">
        <v>1210</v>
      </c>
      <c r="D512" s="663" t="s">
        <v>2234</v>
      </c>
      <c r="E512" s="664" t="s">
        <v>401</v>
      </c>
      <c r="F512" s="665">
        <v>6878.0</v>
      </c>
      <c r="G512" s="665">
        <v>1275.0</v>
      </c>
      <c r="H512" s="665">
        <v>18.54</v>
      </c>
      <c r="I512" s="665">
        <v>9.48</v>
      </c>
      <c r="J512" s="665">
        <v>14.75</v>
      </c>
      <c r="K512" s="665">
        <v>14970.0</v>
      </c>
      <c r="L512" s="665">
        <v>157985.0</v>
      </c>
      <c r="M512" s="665">
        <v>2.18</v>
      </c>
      <c r="N512" s="1">
        <v>11.7412</v>
      </c>
      <c r="O512" s="1">
        <v>14970.0</v>
      </c>
      <c r="P512" s="1">
        <v>157985.0</v>
      </c>
      <c r="Q512" s="1">
        <v>2.1765</v>
      </c>
      <c r="R512" s="1">
        <v>129761.0</v>
      </c>
    </row>
    <row r="513">
      <c r="A513" s="663" t="s">
        <v>2270</v>
      </c>
      <c r="B513" s="663" t="s">
        <v>180</v>
      </c>
      <c r="C513" s="663" t="s">
        <v>1210</v>
      </c>
      <c r="D513" s="663" t="s">
        <v>2234</v>
      </c>
      <c r="E513" s="664" t="s">
        <v>206</v>
      </c>
      <c r="F513" s="665">
        <v>6878.0</v>
      </c>
      <c r="G513" s="665">
        <v>817.0</v>
      </c>
      <c r="H513" s="665">
        <v>11.88</v>
      </c>
      <c r="I513" s="665">
        <v>5.24</v>
      </c>
      <c r="J513" s="665">
        <v>8.62</v>
      </c>
      <c r="K513" s="665">
        <v>8280.0</v>
      </c>
      <c r="L513" s="665">
        <v>157985.0</v>
      </c>
      <c r="M513" s="665">
        <v>1.2</v>
      </c>
      <c r="N513" s="1">
        <v>10.1346</v>
      </c>
      <c r="O513" s="1">
        <v>8280.0</v>
      </c>
      <c r="P513" s="1">
        <v>157985.0</v>
      </c>
      <c r="Q513" s="1">
        <v>1.2038</v>
      </c>
      <c r="R513" s="1">
        <v>129761.0</v>
      </c>
    </row>
    <row r="514">
      <c r="A514" s="663" t="s">
        <v>2270</v>
      </c>
      <c r="B514" s="663" t="s">
        <v>180</v>
      </c>
      <c r="C514" s="663" t="s">
        <v>1210</v>
      </c>
      <c r="D514" s="663" t="s">
        <v>2234</v>
      </c>
      <c r="E514" s="664" t="s">
        <v>411</v>
      </c>
      <c r="F514" s="665">
        <v>6878.0</v>
      </c>
      <c r="G514" s="665">
        <v>108.0</v>
      </c>
      <c r="H514" s="665">
        <v>1.57</v>
      </c>
      <c r="I514" s="665">
        <v>2.65</v>
      </c>
      <c r="J514" s="665">
        <v>1.43</v>
      </c>
      <c r="K514" s="665">
        <v>4180.0</v>
      </c>
      <c r="L514" s="665">
        <v>157985.0</v>
      </c>
      <c r="M514" s="665">
        <v>0.61</v>
      </c>
      <c r="N514" s="1">
        <v>38.7037</v>
      </c>
      <c r="O514" s="1">
        <v>4180.0</v>
      </c>
      <c r="P514" s="1">
        <v>157985.0</v>
      </c>
      <c r="Q514" s="1">
        <v>0.6077</v>
      </c>
      <c r="R514" s="1">
        <v>129761.0</v>
      </c>
    </row>
    <row r="515">
      <c r="A515" s="663" t="s">
        <v>2270</v>
      </c>
      <c r="B515" s="663" t="s">
        <v>180</v>
      </c>
      <c r="C515" s="663" t="s">
        <v>1210</v>
      </c>
      <c r="D515" s="663" t="s">
        <v>2234</v>
      </c>
      <c r="E515" s="664" t="s">
        <v>9</v>
      </c>
      <c r="F515" s="665">
        <v>6878.0</v>
      </c>
      <c r="G515" s="665">
        <v>23.0</v>
      </c>
      <c r="H515" s="665">
        <v>0.33</v>
      </c>
      <c r="I515" s="665">
        <v>0.17</v>
      </c>
      <c r="J515" s="665">
        <v>0.27</v>
      </c>
      <c r="K515" s="665">
        <v>270.0</v>
      </c>
      <c r="L515" s="665">
        <v>157985.0</v>
      </c>
      <c r="M515" s="665">
        <v>0.04</v>
      </c>
      <c r="N515" s="1">
        <v>11.7391</v>
      </c>
      <c r="O515" s="1">
        <v>270.0</v>
      </c>
      <c r="P515" s="1">
        <v>157985.0</v>
      </c>
      <c r="Q515" s="1">
        <v>0.0393</v>
      </c>
      <c r="R515" s="1">
        <v>129761.0</v>
      </c>
    </row>
    <row r="516">
      <c r="A516" s="663" t="s">
        <v>2270</v>
      </c>
      <c r="B516" s="663" t="s">
        <v>180</v>
      </c>
      <c r="C516" s="663" t="s">
        <v>1210</v>
      </c>
      <c r="D516" s="663" t="s">
        <v>2234</v>
      </c>
      <c r="E516" s="664" t="s">
        <v>73</v>
      </c>
      <c r="F516" s="665">
        <v>6878.0</v>
      </c>
      <c r="G516" s="665">
        <v>2.0</v>
      </c>
      <c r="H516" s="665">
        <v>0.03</v>
      </c>
      <c r="I516" s="665">
        <v>0.02</v>
      </c>
      <c r="J516" s="665">
        <v>0.03</v>
      </c>
      <c r="K516" s="665">
        <v>30.0</v>
      </c>
      <c r="L516" s="665">
        <v>157985.0</v>
      </c>
      <c r="M516" s="665">
        <v>0.0</v>
      </c>
      <c r="N516" s="1">
        <v>15.0</v>
      </c>
      <c r="O516" s="1">
        <v>30.0</v>
      </c>
      <c r="P516" s="1">
        <v>157985.0</v>
      </c>
      <c r="Q516" s="1">
        <v>0.0044</v>
      </c>
      <c r="R516" s="1">
        <v>129761.0</v>
      </c>
    </row>
    <row r="517">
      <c r="A517" s="663" t="s">
        <v>2270</v>
      </c>
      <c r="B517" s="663" t="s">
        <v>180</v>
      </c>
      <c r="C517" s="663" t="s">
        <v>1210</v>
      </c>
      <c r="D517" s="663" t="s">
        <v>2234</v>
      </c>
      <c r="E517" s="664" t="s">
        <v>151</v>
      </c>
      <c r="F517" s="665">
        <v>6878.0</v>
      </c>
      <c r="G517" s="665">
        <v>1.0</v>
      </c>
      <c r="H517" s="665">
        <v>0.01</v>
      </c>
      <c r="I517" s="665">
        <v>0.01</v>
      </c>
      <c r="J517" s="665">
        <v>0.01</v>
      </c>
      <c r="K517" s="665">
        <v>10.0</v>
      </c>
      <c r="L517" s="665">
        <v>157985.0</v>
      </c>
      <c r="M517" s="665">
        <v>0.0</v>
      </c>
      <c r="N517" s="1">
        <v>10.0</v>
      </c>
      <c r="O517" s="1">
        <v>10.0</v>
      </c>
      <c r="P517" s="1">
        <v>157985.0</v>
      </c>
      <c r="Q517" s="1">
        <v>0.0015</v>
      </c>
      <c r="R517" s="1">
        <v>129761.0</v>
      </c>
    </row>
    <row r="518">
      <c r="A518" s="663" t="s">
        <v>2270</v>
      </c>
      <c r="B518" s="663" t="s">
        <v>180</v>
      </c>
      <c r="C518" s="663" t="s">
        <v>1210</v>
      </c>
      <c r="D518" s="663" t="s">
        <v>2234</v>
      </c>
      <c r="E518" s="664" t="s">
        <v>20</v>
      </c>
      <c r="F518" s="665">
        <v>6878.0</v>
      </c>
      <c r="G518" s="665">
        <v>1.0</v>
      </c>
      <c r="H518" s="665">
        <v>0.01</v>
      </c>
      <c r="I518" s="665">
        <v>0.01</v>
      </c>
      <c r="J518" s="665">
        <v>0.01</v>
      </c>
      <c r="K518" s="665">
        <v>15.0</v>
      </c>
      <c r="L518" s="665">
        <v>157985.0</v>
      </c>
      <c r="M518" s="665">
        <v>0.0</v>
      </c>
      <c r="N518" s="1">
        <v>15.0</v>
      </c>
      <c r="O518" s="1">
        <v>15.0</v>
      </c>
      <c r="P518" s="1">
        <v>157985.0</v>
      </c>
      <c r="Q518" s="1">
        <v>0.0022</v>
      </c>
      <c r="R518" s="1">
        <v>129761.0</v>
      </c>
    </row>
    <row r="519">
      <c r="A519" s="663" t="s">
        <v>2270</v>
      </c>
      <c r="B519" s="663" t="s">
        <v>180</v>
      </c>
      <c r="C519" s="663" t="s">
        <v>1211</v>
      </c>
      <c r="D519" s="663" t="s">
        <v>2234</v>
      </c>
      <c r="E519" s="664" t="s">
        <v>413</v>
      </c>
      <c r="F519" s="665">
        <v>11244.0</v>
      </c>
      <c r="G519" s="665">
        <v>7901.0</v>
      </c>
      <c r="H519" s="665">
        <v>70.27</v>
      </c>
      <c r="I519" s="665">
        <v>44.86</v>
      </c>
      <c r="J519" s="665">
        <v>60.52</v>
      </c>
      <c r="K519" s="665">
        <v>101850.0</v>
      </c>
      <c r="L519" s="665">
        <v>227045.0</v>
      </c>
      <c r="M519" s="665">
        <v>9.06</v>
      </c>
      <c r="N519" s="1">
        <v>12.8908</v>
      </c>
      <c r="O519" s="1">
        <v>101850.0</v>
      </c>
      <c r="P519" s="1">
        <v>227045.0</v>
      </c>
      <c r="Q519" s="1">
        <v>9.0582</v>
      </c>
      <c r="R519" s="1">
        <v>129761.0</v>
      </c>
    </row>
    <row r="520">
      <c r="A520" s="663" t="s">
        <v>2270</v>
      </c>
      <c r="B520" s="663" t="s">
        <v>180</v>
      </c>
      <c r="C520" s="663" t="s">
        <v>1211</v>
      </c>
      <c r="D520" s="663" t="s">
        <v>2234</v>
      </c>
      <c r="E520" s="664" t="s">
        <v>397</v>
      </c>
      <c r="F520" s="665">
        <v>11244.0</v>
      </c>
      <c r="G520" s="665">
        <v>948.0</v>
      </c>
      <c r="H520" s="665">
        <v>8.43</v>
      </c>
      <c r="I520" s="665">
        <v>25.45</v>
      </c>
      <c r="J520" s="665">
        <v>7.01</v>
      </c>
      <c r="K520" s="665">
        <v>57780.0</v>
      </c>
      <c r="L520" s="665">
        <v>227045.0</v>
      </c>
      <c r="M520" s="665">
        <v>5.14</v>
      </c>
      <c r="N520" s="1">
        <v>60.9494</v>
      </c>
      <c r="O520" s="1">
        <v>57780.0</v>
      </c>
      <c r="P520" s="1">
        <v>227045.0</v>
      </c>
      <c r="Q520" s="1">
        <v>5.1387</v>
      </c>
      <c r="R520" s="1">
        <v>129761.0</v>
      </c>
    </row>
    <row r="521">
      <c r="A521" s="663" t="s">
        <v>2270</v>
      </c>
      <c r="B521" s="663" t="s">
        <v>180</v>
      </c>
      <c r="C521" s="663" t="s">
        <v>1211</v>
      </c>
      <c r="D521" s="663" t="s">
        <v>2234</v>
      </c>
      <c r="E521" s="664" t="s">
        <v>401</v>
      </c>
      <c r="F521" s="665">
        <v>11244.0</v>
      </c>
      <c r="G521" s="665">
        <v>2813.0</v>
      </c>
      <c r="H521" s="665">
        <v>25.02</v>
      </c>
      <c r="I521" s="665">
        <v>14.64</v>
      </c>
      <c r="J521" s="665">
        <v>17.3</v>
      </c>
      <c r="K521" s="665">
        <v>33240.0</v>
      </c>
      <c r="L521" s="665">
        <v>227045.0</v>
      </c>
      <c r="M521" s="665">
        <v>2.96</v>
      </c>
      <c r="N521" s="1">
        <v>11.8166</v>
      </c>
      <c r="O521" s="1">
        <v>33240.0</v>
      </c>
      <c r="P521" s="1">
        <v>227045.0</v>
      </c>
      <c r="Q521" s="1">
        <v>2.9562</v>
      </c>
      <c r="R521" s="1">
        <v>129761.0</v>
      </c>
    </row>
    <row r="522">
      <c r="A522" s="663" t="s">
        <v>2270</v>
      </c>
      <c r="B522" s="663" t="s">
        <v>180</v>
      </c>
      <c r="C522" s="663" t="s">
        <v>1211</v>
      </c>
      <c r="D522" s="663" t="s">
        <v>2234</v>
      </c>
      <c r="E522" s="664" t="s">
        <v>206</v>
      </c>
      <c r="F522" s="665">
        <v>11244.0</v>
      </c>
      <c r="G522" s="665">
        <v>1810.0</v>
      </c>
      <c r="H522" s="665">
        <v>16.1</v>
      </c>
      <c r="I522" s="665">
        <v>8.12</v>
      </c>
      <c r="J522" s="665">
        <v>10.1</v>
      </c>
      <c r="K522" s="665">
        <v>18425.0</v>
      </c>
      <c r="L522" s="665">
        <v>227045.0</v>
      </c>
      <c r="M522" s="665">
        <v>1.64</v>
      </c>
      <c r="N522" s="1">
        <v>10.1796</v>
      </c>
      <c r="O522" s="1">
        <v>18425.0</v>
      </c>
      <c r="P522" s="1">
        <v>227045.0</v>
      </c>
      <c r="Q522" s="1">
        <v>1.6387</v>
      </c>
      <c r="R522" s="1">
        <v>129761.0</v>
      </c>
    </row>
    <row r="523">
      <c r="A523" s="663" t="s">
        <v>2270</v>
      </c>
      <c r="B523" s="663" t="s">
        <v>180</v>
      </c>
      <c r="C523" s="663" t="s">
        <v>1211</v>
      </c>
      <c r="D523" s="663" t="s">
        <v>2234</v>
      </c>
      <c r="E523" s="664" t="s">
        <v>14</v>
      </c>
      <c r="F523" s="665">
        <v>11244.0</v>
      </c>
      <c r="G523" s="665">
        <v>800.0</v>
      </c>
      <c r="H523" s="665">
        <v>7.11</v>
      </c>
      <c r="I523" s="665">
        <v>4.65</v>
      </c>
      <c r="J523" s="665">
        <v>3.72</v>
      </c>
      <c r="K523" s="665">
        <v>10555.0</v>
      </c>
      <c r="L523" s="665">
        <v>227045.0</v>
      </c>
      <c r="M523" s="665">
        <v>0.94</v>
      </c>
      <c r="N523" s="1">
        <v>13.1938</v>
      </c>
      <c r="O523" s="1">
        <v>10555.0</v>
      </c>
      <c r="P523" s="1">
        <v>227045.0</v>
      </c>
      <c r="Q523" s="1">
        <v>0.9387</v>
      </c>
      <c r="R523" s="1">
        <v>129761.0</v>
      </c>
    </row>
    <row r="524">
      <c r="A524" s="663" t="s">
        <v>2270</v>
      </c>
      <c r="B524" s="663" t="s">
        <v>180</v>
      </c>
      <c r="C524" s="663" t="s">
        <v>1211</v>
      </c>
      <c r="D524" s="663" t="s">
        <v>2234</v>
      </c>
      <c r="E524" s="664" t="s">
        <v>411</v>
      </c>
      <c r="F524" s="665">
        <v>11244.0</v>
      </c>
      <c r="G524" s="665">
        <v>108.0</v>
      </c>
      <c r="H524" s="665">
        <v>0.96</v>
      </c>
      <c r="I524" s="665">
        <v>1.81</v>
      </c>
      <c r="J524" s="665">
        <v>0.82</v>
      </c>
      <c r="K524" s="665">
        <v>4120.0</v>
      </c>
      <c r="L524" s="665">
        <v>227045.0</v>
      </c>
      <c r="M524" s="665">
        <v>0.37</v>
      </c>
      <c r="N524" s="1">
        <v>38.1481</v>
      </c>
      <c r="O524" s="1">
        <v>4120.0</v>
      </c>
      <c r="P524" s="1">
        <v>227045.0</v>
      </c>
      <c r="Q524" s="1">
        <v>0.3664</v>
      </c>
      <c r="R524" s="1">
        <v>129761.0</v>
      </c>
    </row>
    <row r="525">
      <c r="A525" s="663" t="s">
        <v>2270</v>
      </c>
      <c r="B525" s="663" t="s">
        <v>180</v>
      </c>
      <c r="C525" s="663" t="s">
        <v>1211</v>
      </c>
      <c r="D525" s="663" t="s">
        <v>2234</v>
      </c>
      <c r="E525" s="664" t="s">
        <v>9</v>
      </c>
      <c r="F525" s="665">
        <v>11244.0</v>
      </c>
      <c r="G525" s="665">
        <v>75.0</v>
      </c>
      <c r="H525" s="665">
        <v>0.67</v>
      </c>
      <c r="I525" s="665">
        <v>0.36</v>
      </c>
      <c r="J525" s="665">
        <v>0.4</v>
      </c>
      <c r="K525" s="665">
        <v>810.0</v>
      </c>
      <c r="L525" s="665">
        <v>227045.0</v>
      </c>
      <c r="M525" s="665">
        <v>0.07</v>
      </c>
      <c r="N525" s="1">
        <v>10.8</v>
      </c>
      <c r="O525" s="1">
        <v>810.0</v>
      </c>
      <c r="P525" s="1">
        <v>227045.0</v>
      </c>
      <c r="Q525" s="1">
        <v>0.072</v>
      </c>
      <c r="R525" s="1">
        <v>129761.0</v>
      </c>
    </row>
    <row r="526">
      <c r="A526" s="663" t="s">
        <v>2270</v>
      </c>
      <c r="B526" s="663" t="s">
        <v>180</v>
      </c>
      <c r="C526" s="663" t="s">
        <v>1211</v>
      </c>
      <c r="D526" s="663" t="s">
        <v>2234</v>
      </c>
      <c r="E526" s="664" t="s">
        <v>73</v>
      </c>
      <c r="F526" s="665">
        <v>11244.0</v>
      </c>
      <c r="G526" s="665">
        <v>14.0</v>
      </c>
      <c r="H526" s="665">
        <v>0.12</v>
      </c>
      <c r="I526" s="665">
        <v>0.09</v>
      </c>
      <c r="J526" s="665">
        <v>0.09</v>
      </c>
      <c r="K526" s="665">
        <v>210.0</v>
      </c>
      <c r="L526" s="665">
        <v>227045.0</v>
      </c>
      <c r="M526" s="665">
        <v>0.02</v>
      </c>
      <c r="N526" s="1">
        <v>15.0</v>
      </c>
      <c r="O526" s="1">
        <v>210.0</v>
      </c>
      <c r="P526" s="1">
        <v>227045.0</v>
      </c>
      <c r="Q526" s="1">
        <v>0.0187</v>
      </c>
      <c r="R526" s="1">
        <v>129761.0</v>
      </c>
    </row>
    <row r="527">
      <c r="A527" s="663" t="s">
        <v>2270</v>
      </c>
      <c r="B527" s="663" t="s">
        <v>180</v>
      </c>
      <c r="C527" s="663" t="s">
        <v>1211</v>
      </c>
      <c r="D527" s="663" t="s">
        <v>2234</v>
      </c>
      <c r="E527" s="664" t="s">
        <v>418</v>
      </c>
      <c r="F527" s="665">
        <v>11244.0</v>
      </c>
      <c r="G527" s="665">
        <v>1.0</v>
      </c>
      <c r="H527" s="665">
        <v>0.01</v>
      </c>
      <c r="I527" s="665">
        <v>0.01</v>
      </c>
      <c r="J527" s="665">
        <v>0.01</v>
      </c>
      <c r="K527" s="665">
        <v>15.0</v>
      </c>
      <c r="L527" s="665">
        <v>227045.0</v>
      </c>
      <c r="M527" s="665">
        <v>0.0</v>
      </c>
      <c r="N527" s="1">
        <v>15.0</v>
      </c>
      <c r="O527" s="1">
        <v>15.0</v>
      </c>
      <c r="P527" s="1">
        <v>227045.0</v>
      </c>
      <c r="Q527" s="1">
        <v>0.0013</v>
      </c>
      <c r="R527" s="1">
        <v>129761.0</v>
      </c>
    </row>
    <row r="528">
      <c r="A528" s="663" t="s">
        <v>2270</v>
      </c>
      <c r="B528" s="663" t="s">
        <v>180</v>
      </c>
      <c r="C528" s="663" t="s">
        <v>1211</v>
      </c>
      <c r="D528" s="663" t="s">
        <v>2234</v>
      </c>
      <c r="E528" s="664" t="s">
        <v>414</v>
      </c>
      <c r="F528" s="665">
        <v>11244.0</v>
      </c>
      <c r="G528" s="665">
        <v>2.0</v>
      </c>
      <c r="H528" s="665">
        <v>0.02</v>
      </c>
      <c r="I528" s="665">
        <v>0.01</v>
      </c>
      <c r="J528" s="665">
        <v>0.01</v>
      </c>
      <c r="K528" s="665">
        <v>20.0</v>
      </c>
      <c r="L528" s="665">
        <v>227045.0</v>
      </c>
      <c r="M528" s="665">
        <v>0.0</v>
      </c>
      <c r="N528" s="1">
        <v>10.0</v>
      </c>
      <c r="O528" s="1">
        <v>20.0</v>
      </c>
      <c r="P528" s="1">
        <v>227045.0</v>
      </c>
      <c r="Q528" s="1">
        <v>0.0018</v>
      </c>
      <c r="R528" s="1">
        <v>129761.0</v>
      </c>
    </row>
    <row r="529">
      <c r="A529" s="663" t="s">
        <v>2270</v>
      </c>
      <c r="B529" s="663" t="s">
        <v>180</v>
      </c>
      <c r="C529" s="663" t="s">
        <v>1211</v>
      </c>
      <c r="D529" s="663" t="s">
        <v>2234</v>
      </c>
      <c r="E529" s="664" t="s">
        <v>151</v>
      </c>
      <c r="F529" s="665">
        <v>11244.0</v>
      </c>
      <c r="G529" s="665">
        <v>1.0</v>
      </c>
      <c r="H529" s="665">
        <v>0.01</v>
      </c>
      <c r="I529" s="665">
        <v>0.0</v>
      </c>
      <c r="J529" s="665">
        <v>0.01</v>
      </c>
      <c r="K529" s="665">
        <v>10.0</v>
      </c>
      <c r="L529" s="665">
        <v>227045.0</v>
      </c>
      <c r="M529" s="665">
        <v>0.0</v>
      </c>
      <c r="N529" s="1">
        <v>10.0</v>
      </c>
      <c r="O529" s="1">
        <v>10.0</v>
      </c>
      <c r="P529" s="1">
        <v>227045.0</v>
      </c>
      <c r="Q529" s="1">
        <v>9.0E-4</v>
      </c>
      <c r="R529" s="1">
        <v>129761.0</v>
      </c>
    </row>
    <row r="530">
      <c r="A530" s="663" t="s">
        <v>2270</v>
      </c>
      <c r="B530" s="663" t="s">
        <v>180</v>
      </c>
      <c r="C530" s="663" t="s">
        <v>1211</v>
      </c>
      <c r="D530" s="663" t="s">
        <v>2234</v>
      </c>
      <c r="E530" s="664" t="s">
        <v>398</v>
      </c>
      <c r="F530" s="665">
        <v>11244.0</v>
      </c>
      <c r="G530" s="665">
        <v>1.0</v>
      </c>
      <c r="H530" s="665">
        <v>0.01</v>
      </c>
      <c r="I530" s="665">
        <v>0.0</v>
      </c>
      <c r="J530" s="665">
        <v>0.01</v>
      </c>
      <c r="K530" s="665">
        <v>10.0</v>
      </c>
      <c r="L530" s="665">
        <v>227045.0</v>
      </c>
      <c r="M530" s="665">
        <v>0.0</v>
      </c>
      <c r="N530" s="1">
        <v>10.0</v>
      </c>
      <c r="O530" s="1">
        <v>10.0</v>
      </c>
      <c r="P530" s="1">
        <v>227045.0</v>
      </c>
      <c r="Q530" s="1">
        <v>9.0E-4</v>
      </c>
      <c r="R530" s="1">
        <v>129761.0</v>
      </c>
    </row>
    <row r="531">
      <c r="A531" s="663" t="s">
        <v>2270</v>
      </c>
      <c r="B531" s="663" t="s">
        <v>180</v>
      </c>
      <c r="C531" s="663" t="s">
        <v>55</v>
      </c>
      <c r="D531" s="663" t="s">
        <v>2234</v>
      </c>
      <c r="E531" s="664" t="s">
        <v>397</v>
      </c>
      <c r="F531" s="665">
        <v>34359.0</v>
      </c>
      <c r="G531" s="665">
        <v>26165.0</v>
      </c>
      <c r="H531" s="665">
        <v>76.15</v>
      </c>
      <c r="I531" s="665">
        <v>17.44</v>
      </c>
      <c r="J531" s="665">
        <v>30.69</v>
      </c>
      <c r="K531" s="665">
        <v>1345725.0</v>
      </c>
      <c r="L531" s="665">
        <v>7718301.0</v>
      </c>
      <c r="M531" s="665">
        <v>39.17</v>
      </c>
      <c r="N531" s="1">
        <v>51.4323</v>
      </c>
      <c r="O531" s="1">
        <v>1345725.0</v>
      </c>
      <c r="P531" s="1">
        <v>7718301.0</v>
      </c>
      <c r="Q531" s="1">
        <v>39.1666</v>
      </c>
      <c r="R531" s="1">
        <v>129761.0</v>
      </c>
    </row>
    <row r="532">
      <c r="A532" s="663" t="s">
        <v>2270</v>
      </c>
      <c r="B532" s="663" t="s">
        <v>180</v>
      </c>
      <c r="C532" s="663" t="s">
        <v>55</v>
      </c>
      <c r="D532" s="663" t="s">
        <v>2234</v>
      </c>
      <c r="E532" s="664" t="s">
        <v>418</v>
      </c>
      <c r="F532" s="665">
        <v>34359.0</v>
      </c>
      <c r="G532" s="665">
        <v>22654.0</v>
      </c>
      <c r="H532" s="665">
        <v>65.93</v>
      </c>
      <c r="I532" s="665">
        <v>16.91</v>
      </c>
      <c r="J532" s="665">
        <v>18.8</v>
      </c>
      <c r="K532" s="665">
        <v>1305310.0</v>
      </c>
      <c r="L532" s="665">
        <v>7718301.0</v>
      </c>
      <c r="M532" s="665">
        <v>37.99</v>
      </c>
      <c r="N532" s="1">
        <v>57.6194</v>
      </c>
      <c r="O532" s="1">
        <v>1305310.0</v>
      </c>
      <c r="P532" s="1">
        <v>7718301.0</v>
      </c>
      <c r="Q532" s="1">
        <v>37.9903</v>
      </c>
      <c r="R532" s="1">
        <v>129761.0</v>
      </c>
    </row>
    <row r="533">
      <c r="A533" s="663" t="s">
        <v>2270</v>
      </c>
      <c r="B533" s="663" t="s">
        <v>180</v>
      </c>
      <c r="C533" s="663" t="s">
        <v>55</v>
      </c>
      <c r="D533" s="663" t="s">
        <v>2234</v>
      </c>
      <c r="E533" s="664" t="s">
        <v>51</v>
      </c>
      <c r="F533" s="665">
        <v>34359.0</v>
      </c>
      <c r="G533" s="665">
        <v>9539.0</v>
      </c>
      <c r="H533" s="665">
        <v>27.76</v>
      </c>
      <c r="I533" s="665">
        <v>15.66</v>
      </c>
      <c r="J533" s="665">
        <v>9.38</v>
      </c>
      <c r="K533" s="665">
        <v>1208600.0</v>
      </c>
      <c r="L533" s="665">
        <v>7718301.0</v>
      </c>
      <c r="M533" s="665">
        <v>35.18</v>
      </c>
      <c r="N533" s="1">
        <v>126.7009</v>
      </c>
      <c r="O533" s="1">
        <v>1208600.0</v>
      </c>
      <c r="P533" s="1">
        <v>7718301.0</v>
      </c>
      <c r="Q533" s="1">
        <v>35.1756</v>
      </c>
      <c r="R533" s="1">
        <v>129761.0</v>
      </c>
    </row>
    <row r="534">
      <c r="A534" s="663" t="s">
        <v>2270</v>
      </c>
      <c r="B534" s="663" t="s">
        <v>180</v>
      </c>
      <c r="C534" s="663" t="s">
        <v>55</v>
      </c>
      <c r="D534" s="663" t="s">
        <v>2234</v>
      </c>
      <c r="E534" s="664" t="s">
        <v>398</v>
      </c>
      <c r="F534" s="665">
        <v>34359.0</v>
      </c>
      <c r="G534" s="665">
        <v>13454.0</v>
      </c>
      <c r="H534" s="665">
        <v>39.16</v>
      </c>
      <c r="I534" s="665">
        <v>11.76</v>
      </c>
      <c r="J534" s="665">
        <v>7.38</v>
      </c>
      <c r="K534" s="665">
        <v>908030.0</v>
      </c>
      <c r="L534" s="665">
        <v>7718301.0</v>
      </c>
      <c r="M534" s="665">
        <v>26.43</v>
      </c>
      <c r="N534" s="1">
        <v>67.4915</v>
      </c>
      <c r="O534" s="1">
        <v>908030.0</v>
      </c>
      <c r="P534" s="1">
        <v>7718301.0</v>
      </c>
      <c r="Q534" s="1">
        <v>26.4277</v>
      </c>
      <c r="R534" s="1">
        <v>129761.0</v>
      </c>
    </row>
    <row r="535">
      <c r="A535" s="663" t="s">
        <v>2270</v>
      </c>
      <c r="B535" s="663" t="s">
        <v>180</v>
      </c>
      <c r="C535" s="663" t="s">
        <v>55</v>
      </c>
      <c r="D535" s="663" t="s">
        <v>2234</v>
      </c>
      <c r="E535" s="664" t="s">
        <v>9</v>
      </c>
      <c r="F535" s="665">
        <v>34359.0</v>
      </c>
      <c r="G535" s="665">
        <v>8616.0</v>
      </c>
      <c r="H535" s="665">
        <v>25.08</v>
      </c>
      <c r="I535" s="665">
        <v>9.95</v>
      </c>
      <c r="J535" s="665">
        <v>6.67</v>
      </c>
      <c r="K535" s="665">
        <v>767670.0</v>
      </c>
      <c r="L535" s="665">
        <v>7718301.0</v>
      </c>
      <c r="M535" s="665">
        <v>22.34</v>
      </c>
      <c r="N535" s="1">
        <v>89.0982</v>
      </c>
      <c r="O535" s="1">
        <v>767670.0</v>
      </c>
      <c r="P535" s="1">
        <v>7718301.0</v>
      </c>
      <c r="Q535" s="1">
        <v>22.3426</v>
      </c>
      <c r="R535" s="1">
        <v>129761.0</v>
      </c>
    </row>
    <row r="536">
      <c r="A536" s="663" t="s">
        <v>2270</v>
      </c>
      <c r="B536" s="663" t="s">
        <v>180</v>
      </c>
      <c r="C536" s="663" t="s">
        <v>55</v>
      </c>
      <c r="D536" s="663" t="s">
        <v>2234</v>
      </c>
      <c r="E536" s="664" t="s">
        <v>63</v>
      </c>
      <c r="F536" s="665">
        <v>34359.0</v>
      </c>
      <c r="G536" s="665">
        <v>10775.0</v>
      </c>
      <c r="H536" s="665">
        <v>31.36</v>
      </c>
      <c r="I536" s="665">
        <v>8.07</v>
      </c>
      <c r="J536" s="665">
        <v>7.04</v>
      </c>
      <c r="K536" s="665">
        <v>623030.0</v>
      </c>
      <c r="L536" s="665">
        <v>7718301.0</v>
      </c>
      <c r="M536" s="665">
        <v>18.13</v>
      </c>
      <c r="N536" s="1">
        <v>57.8218</v>
      </c>
      <c r="O536" s="1">
        <v>623030.0</v>
      </c>
      <c r="P536" s="1">
        <v>7718301.0</v>
      </c>
      <c r="Q536" s="1">
        <v>18.1329</v>
      </c>
      <c r="R536" s="1">
        <v>129761.0</v>
      </c>
    </row>
    <row r="537">
      <c r="A537" s="663" t="s">
        <v>2270</v>
      </c>
      <c r="B537" s="663" t="s">
        <v>180</v>
      </c>
      <c r="C537" s="663" t="s">
        <v>55</v>
      </c>
      <c r="D537" s="663" t="s">
        <v>2234</v>
      </c>
      <c r="E537" s="664" t="s">
        <v>413</v>
      </c>
      <c r="F537" s="665">
        <v>34359.0</v>
      </c>
      <c r="G537" s="665">
        <v>8358.0</v>
      </c>
      <c r="H537" s="665">
        <v>24.33</v>
      </c>
      <c r="I537" s="665">
        <v>6.08</v>
      </c>
      <c r="J537" s="665">
        <v>7.33</v>
      </c>
      <c r="K537" s="665">
        <v>469460.0</v>
      </c>
      <c r="L537" s="665">
        <v>7718301.0</v>
      </c>
      <c r="M537" s="665">
        <v>13.66</v>
      </c>
      <c r="N537" s="1">
        <v>56.1689</v>
      </c>
      <c r="O537" s="1">
        <v>469460.0</v>
      </c>
      <c r="P537" s="1">
        <v>7718301.0</v>
      </c>
      <c r="Q537" s="1">
        <v>13.6634</v>
      </c>
      <c r="R537" s="1">
        <v>129761.0</v>
      </c>
    </row>
    <row r="538">
      <c r="A538" s="663" t="s">
        <v>2270</v>
      </c>
      <c r="B538" s="663" t="s">
        <v>180</v>
      </c>
      <c r="C538" s="663" t="s">
        <v>55</v>
      </c>
      <c r="D538" s="663" t="s">
        <v>2234</v>
      </c>
      <c r="E538" s="664" t="s">
        <v>14</v>
      </c>
      <c r="F538" s="665">
        <v>34359.0</v>
      </c>
      <c r="G538" s="665">
        <v>10696.0</v>
      </c>
      <c r="H538" s="665">
        <v>31.13</v>
      </c>
      <c r="I538" s="665">
        <v>4.81</v>
      </c>
      <c r="J538" s="665">
        <v>3.12</v>
      </c>
      <c r="K538" s="665">
        <v>371485.0</v>
      </c>
      <c r="L538" s="665">
        <v>7718301.0</v>
      </c>
      <c r="M538" s="665">
        <v>10.81</v>
      </c>
      <c r="N538" s="1">
        <v>34.7312</v>
      </c>
      <c r="O538" s="1">
        <v>371485.0</v>
      </c>
      <c r="P538" s="1">
        <v>7718301.0</v>
      </c>
      <c r="Q538" s="1">
        <v>10.8119</v>
      </c>
      <c r="R538" s="1">
        <v>129761.0</v>
      </c>
    </row>
    <row r="539">
      <c r="A539" s="663" t="s">
        <v>2270</v>
      </c>
      <c r="B539" s="663" t="s">
        <v>180</v>
      </c>
      <c r="C539" s="663" t="s">
        <v>55</v>
      </c>
      <c r="D539" s="663" t="s">
        <v>2234</v>
      </c>
      <c r="E539" s="664" t="s">
        <v>396</v>
      </c>
      <c r="F539" s="665">
        <v>34359.0</v>
      </c>
      <c r="G539" s="665">
        <v>7021.0</v>
      </c>
      <c r="H539" s="665">
        <v>20.43</v>
      </c>
      <c r="I539" s="665">
        <v>4.5</v>
      </c>
      <c r="J539" s="665">
        <v>5.05</v>
      </c>
      <c r="K539" s="665">
        <v>347520.0</v>
      </c>
      <c r="L539" s="665">
        <v>7718301.0</v>
      </c>
      <c r="M539" s="665">
        <v>10.11</v>
      </c>
      <c r="N539" s="1">
        <v>49.4972</v>
      </c>
      <c r="O539" s="1">
        <v>347520.0</v>
      </c>
      <c r="P539" s="1">
        <v>7718301.0</v>
      </c>
      <c r="Q539" s="1">
        <v>10.1144</v>
      </c>
      <c r="R539" s="1">
        <v>129761.0</v>
      </c>
    </row>
    <row r="540">
      <c r="A540" s="663" t="s">
        <v>2270</v>
      </c>
      <c r="B540" s="663" t="s">
        <v>180</v>
      </c>
      <c r="C540" s="663" t="s">
        <v>55</v>
      </c>
      <c r="D540" s="663" t="s">
        <v>2234</v>
      </c>
      <c r="E540" s="664" t="s">
        <v>7</v>
      </c>
      <c r="F540" s="665">
        <v>34359.0</v>
      </c>
      <c r="G540" s="665">
        <v>3402.0</v>
      </c>
      <c r="H540" s="665">
        <v>9.9</v>
      </c>
      <c r="I540" s="665">
        <v>1.86</v>
      </c>
      <c r="J540" s="665">
        <v>1.29</v>
      </c>
      <c r="K540" s="665">
        <v>143615.0</v>
      </c>
      <c r="L540" s="665">
        <v>7718301.0</v>
      </c>
      <c r="M540" s="665">
        <v>4.18</v>
      </c>
      <c r="N540" s="1">
        <v>42.2149</v>
      </c>
      <c r="O540" s="1">
        <v>143615.0</v>
      </c>
      <c r="P540" s="1">
        <v>7718301.0</v>
      </c>
      <c r="Q540" s="1">
        <v>4.1798</v>
      </c>
      <c r="R540" s="1">
        <v>129761.0</v>
      </c>
    </row>
    <row r="541">
      <c r="A541" s="663" t="s">
        <v>2270</v>
      </c>
      <c r="B541" s="663" t="s">
        <v>180</v>
      </c>
      <c r="C541" s="663" t="s">
        <v>55</v>
      </c>
      <c r="D541" s="663" t="s">
        <v>2234</v>
      </c>
      <c r="E541" s="664" t="s">
        <v>411</v>
      </c>
      <c r="F541" s="665">
        <v>34359.0</v>
      </c>
      <c r="G541" s="665">
        <v>2913.0</v>
      </c>
      <c r="H541" s="665">
        <v>8.48</v>
      </c>
      <c r="I541" s="665">
        <v>1.57</v>
      </c>
      <c r="J541" s="665">
        <v>2.2</v>
      </c>
      <c r="K541" s="665">
        <v>120856.0</v>
      </c>
      <c r="L541" s="665">
        <v>7718301.0</v>
      </c>
      <c r="M541" s="665">
        <v>3.52</v>
      </c>
      <c r="N541" s="1">
        <v>41.4885</v>
      </c>
      <c r="O541" s="1">
        <v>120856.0</v>
      </c>
      <c r="P541" s="1">
        <v>7718301.0</v>
      </c>
      <c r="Q541" s="1">
        <v>3.5174</v>
      </c>
      <c r="R541" s="1">
        <v>129761.0</v>
      </c>
    </row>
    <row r="542">
      <c r="A542" s="663" t="s">
        <v>2270</v>
      </c>
      <c r="B542" s="663" t="s">
        <v>180</v>
      </c>
      <c r="C542" s="663" t="s">
        <v>55</v>
      </c>
      <c r="D542" s="663" t="s">
        <v>2234</v>
      </c>
      <c r="E542" s="664" t="s">
        <v>393</v>
      </c>
      <c r="F542" s="665">
        <v>34359.0</v>
      </c>
      <c r="G542" s="665">
        <v>2117.0</v>
      </c>
      <c r="H542" s="665">
        <v>6.16</v>
      </c>
      <c r="I542" s="665">
        <v>0.74</v>
      </c>
      <c r="J542" s="665">
        <v>0.37</v>
      </c>
      <c r="K542" s="665">
        <v>57270.0</v>
      </c>
      <c r="L542" s="665">
        <v>7718301.0</v>
      </c>
      <c r="M542" s="665">
        <v>1.67</v>
      </c>
      <c r="N542" s="1">
        <v>27.0524</v>
      </c>
      <c r="O542" s="1">
        <v>57270.0</v>
      </c>
      <c r="P542" s="1">
        <v>7718301.0</v>
      </c>
      <c r="Q542" s="1">
        <v>1.6668</v>
      </c>
      <c r="R542" s="1">
        <v>129761.0</v>
      </c>
    </row>
    <row r="543">
      <c r="A543" s="663" t="s">
        <v>2270</v>
      </c>
      <c r="B543" s="663" t="s">
        <v>180</v>
      </c>
      <c r="C543" s="663" t="s">
        <v>55</v>
      </c>
      <c r="D543" s="663" t="s">
        <v>2234</v>
      </c>
      <c r="E543" s="664" t="s">
        <v>401</v>
      </c>
      <c r="F543" s="665">
        <v>34359.0</v>
      </c>
      <c r="G543" s="665">
        <v>448.0</v>
      </c>
      <c r="H543" s="665">
        <v>1.3</v>
      </c>
      <c r="I543" s="665">
        <v>0.23</v>
      </c>
      <c r="J543" s="665">
        <v>0.26</v>
      </c>
      <c r="K543" s="665">
        <v>17730.0</v>
      </c>
      <c r="L543" s="665">
        <v>7718301.0</v>
      </c>
      <c r="M543" s="665">
        <v>0.52</v>
      </c>
      <c r="N543" s="1">
        <v>39.5759</v>
      </c>
      <c r="O543" s="1">
        <v>17730.0</v>
      </c>
      <c r="P543" s="1">
        <v>7718301.0</v>
      </c>
      <c r="Q543" s="1">
        <v>0.516</v>
      </c>
      <c r="R543" s="1">
        <v>129761.0</v>
      </c>
    </row>
    <row r="544">
      <c r="A544" s="663" t="s">
        <v>2270</v>
      </c>
      <c r="B544" s="663" t="s">
        <v>180</v>
      </c>
      <c r="C544" s="663" t="s">
        <v>55</v>
      </c>
      <c r="D544" s="663" t="s">
        <v>2234</v>
      </c>
      <c r="E544" s="664" t="s">
        <v>42</v>
      </c>
      <c r="F544" s="665">
        <v>34359.0</v>
      </c>
      <c r="G544" s="665">
        <v>279.0</v>
      </c>
      <c r="H544" s="665">
        <v>0.81</v>
      </c>
      <c r="I544" s="665">
        <v>0.19</v>
      </c>
      <c r="J544" s="665">
        <v>0.24</v>
      </c>
      <c r="K544" s="665">
        <v>14540.0</v>
      </c>
      <c r="L544" s="665">
        <v>7718301.0</v>
      </c>
      <c r="M544" s="665">
        <v>0.42</v>
      </c>
      <c r="N544" s="1">
        <v>52.1147</v>
      </c>
      <c r="O544" s="1">
        <v>14540.0</v>
      </c>
      <c r="P544" s="1">
        <v>7718301.0</v>
      </c>
      <c r="Q544" s="1">
        <v>0.4232</v>
      </c>
      <c r="R544" s="1">
        <v>129761.0</v>
      </c>
    </row>
    <row r="545">
      <c r="A545" s="663" t="s">
        <v>2270</v>
      </c>
      <c r="B545" s="663" t="s">
        <v>180</v>
      </c>
      <c r="C545" s="663" t="s">
        <v>55</v>
      </c>
      <c r="D545" s="663" t="s">
        <v>2234</v>
      </c>
      <c r="E545" s="664" t="s">
        <v>206</v>
      </c>
      <c r="F545" s="665">
        <v>34359.0</v>
      </c>
      <c r="G545" s="665">
        <v>327.0</v>
      </c>
      <c r="H545" s="665">
        <v>0.95</v>
      </c>
      <c r="I545" s="665">
        <v>0.14</v>
      </c>
      <c r="J545" s="665">
        <v>0.14</v>
      </c>
      <c r="K545" s="665">
        <v>10830.0</v>
      </c>
      <c r="L545" s="665">
        <v>7718301.0</v>
      </c>
      <c r="M545" s="665">
        <v>0.32</v>
      </c>
      <c r="N545" s="1">
        <v>33.1193</v>
      </c>
      <c r="O545" s="1">
        <v>10830.0</v>
      </c>
      <c r="P545" s="1">
        <v>7718301.0</v>
      </c>
      <c r="Q545" s="1">
        <v>0.3152</v>
      </c>
      <c r="R545" s="1">
        <v>129761.0</v>
      </c>
    </row>
    <row r="546">
      <c r="A546" s="663" t="s">
        <v>2270</v>
      </c>
      <c r="B546" s="663" t="s">
        <v>180</v>
      </c>
      <c r="C546" s="663" t="s">
        <v>55</v>
      </c>
      <c r="D546" s="663" t="s">
        <v>2234</v>
      </c>
      <c r="E546" s="664" t="s">
        <v>73</v>
      </c>
      <c r="F546" s="665">
        <v>34359.0</v>
      </c>
      <c r="G546" s="665">
        <v>194.0</v>
      </c>
      <c r="H546" s="665">
        <v>0.56</v>
      </c>
      <c r="I546" s="665">
        <v>0.09</v>
      </c>
      <c r="J546" s="665">
        <v>0.04</v>
      </c>
      <c r="K546" s="665">
        <v>6570.0</v>
      </c>
      <c r="L546" s="665">
        <v>7718301.0</v>
      </c>
      <c r="M546" s="665">
        <v>0.19</v>
      </c>
      <c r="N546" s="1">
        <v>33.866</v>
      </c>
      <c r="O546" s="1">
        <v>6570.0</v>
      </c>
      <c r="P546" s="1">
        <v>7718301.0</v>
      </c>
      <c r="Q546" s="1">
        <v>0.1912</v>
      </c>
      <c r="R546" s="1">
        <v>129761.0</v>
      </c>
    </row>
    <row r="547">
      <c r="A547" s="663" t="s">
        <v>2270</v>
      </c>
      <c r="B547" s="663" t="s">
        <v>180</v>
      </c>
      <c r="C547" s="663" t="s">
        <v>55</v>
      </c>
      <c r="D547" s="663" t="s">
        <v>2234</v>
      </c>
      <c r="E547" s="664" t="s">
        <v>151</v>
      </c>
      <c r="F547" s="665">
        <v>34359.0</v>
      </c>
      <c r="G547" s="665">
        <v>1.0</v>
      </c>
      <c r="H547" s="665">
        <v>0.0</v>
      </c>
      <c r="I547" s="665">
        <v>0.0</v>
      </c>
      <c r="J547" s="665">
        <v>0.0</v>
      </c>
      <c r="K547" s="665">
        <v>15.0</v>
      </c>
      <c r="L547" s="665">
        <v>7718301.0</v>
      </c>
      <c r="M547" s="665">
        <v>0.0</v>
      </c>
      <c r="N547" s="1">
        <v>15.0</v>
      </c>
      <c r="O547" s="1">
        <v>15.0</v>
      </c>
      <c r="P547" s="1">
        <v>7718301.0</v>
      </c>
      <c r="Q547" s="1">
        <v>4.0E-4</v>
      </c>
      <c r="R547" s="1">
        <v>129761.0</v>
      </c>
    </row>
    <row r="548">
      <c r="A548" s="663" t="s">
        <v>2270</v>
      </c>
      <c r="B548" s="663" t="s">
        <v>180</v>
      </c>
      <c r="C548" s="663" t="s">
        <v>55</v>
      </c>
      <c r="D548" s="663" t="s">
        <v>2234</v>
      </c>
      <c r="E548" s="664" t="s">
        <v>414</v>
      </c>
      <c r="F548" s="665">
        <v>34359.0</v>
      </c>
      <c r="G548" s="665">
        <v>2.0</v>
      </c>
      <c r="H548" s="665">
        <v>0.01</v>
      </c>
      <c r="I548" s="665">
        <v>0.0</v>
      </c>
      <c r="J548" s="665">
        <v>0.0</v>
      </c>
      <c r="K548" s="665">
        <v>45.0</v>
      </c>
      <c r="L548" s="665">
        <v>7718301.0</v>
      </c>
      <c r="M548" s="665">
        <v>0.0</v>
      </c>
      <c r="N548" s="1">
        <v>22.5</v>
      </c>
      <c r="O548" s="1">
        <v>45.0</v>
      </c>
      <c r="P548" s="1">
        <v>7718301.0</v>
      </c>
      <c r="Q548" s="1">
        <v>0.0013</v>
      </c>
      <c r="R548" s="1">
        <v>129761.0</v>
      </c>
    </row>
    <row r="549">
      <c r="A549" s="663" t="s">
        <v>2270</v>
      </c>
      <c r="B549" s="663" t="s">
        <v>1192</v>
      </c>
      <c r="C549" s="663" t="s">
        <v>50</v>
      </c>
      <c r="D549" s="663" t="s">
        <v>599</v>
      </c>
      <c r="E549" s="664" t="s">
        <v>411</v>
      </c>
      <c r="F549" s="665">
        <v>3344.0</v>
      </c>
      <c r="G549" s="665">
        <v>2608.0</v>
      </c>
      <c r="H549" s="665">
        <v>77.99</v>
      </c>
      <c r="I549" s="665">
        <v>45.11</v>
      </c>
      <c r="J549" s="665">
        <v>52.0</v>
      </c>
      <c r="K549" s="665">
        <v>4391.0</v>
      </c>
      <c r="L549" s="665">
        <v>9734.0</v>
      </c>
      <c r="M549" s="665">
        <v>1.31</v>
      </c>
      <c r="N549" s="1">
        <v>1.6837</v>
      </c>
      <c r="O549" s="1">
        <v>4391.0</v>
      </c>
      <c r="P549" s="1">
        <v>9734.0</v>
      </c>
      <c r="Q549" s="1">
        <v>1.3131</v>
      </c>
      <c r="R549" s="1">
        <v>25183.0</v>
      </c>
    </row>
    <row r="550">
      <c r="A550" s="663" t="s">
        <v>2270</v>
      </c>
      <c r="B550" s="663" t="s">
        <v>1192</v>
      </c>
      <c r="C550" s="663" t="s">
        <v>50</v>
      </c>
      <c r="D550" s="663" t="s">
        <v>599</v>
      </c>
      <c r="E550" s="664" t="s">
        <v>16</v>
      </c>
      <c r="F550" s="665">
        <v>3344.0</v>
      </c>
      <c r="G550" s="665">
        <v>982.0</v>
      </c>
      <c r="H550" s="665">
        <v>29.37</v>
      </c>
      <c r="I550" s="665">
        <v>15.87</v>
      </c>
      <c r="J550" s="665">
        <v>14.93</v>
      </c>
      <c r="K550" s="665">
        <v>1545.0</v>
      </c>
      <c r="L550" s="665">
        <v>9734.0</v>
      </c>
      <c r="M550" s="665">
        <v>0.46</v>
      </c>
      <c r="N550" s="1">
        <v>1.5733</v>
      </c>
      <c r="O550" s="1">
        <v>1545.0</v>
      </c>
      <c r="P550" s="1">
        <v>9734.0</v>
      </c>
      <c r="Q550" s="1">
        <v>0.462</v>
      </c>
      <c r="R550" s="1">
        <v>25183.0</v>
      </c>
    </row>
    <row r="551">
      <c r="A551" s="663" t="s">
        <v>2270</v>
      </c>
      <c r="B551" s="663" t="s">
        <v>1192</v>
      </c>
      <c r="C551" s="663" t="s">
        <v>50</v>
      </c>
      <c r="D551" s="663" t="s">
        <v>599</v>
      </c>
      <c r="E551" s="664" t="s">
        <v>418</v>
      </c>
      <c r="F551" s="665">
        <v>3344.0</v>
      </c>
      <c r="G551" s="665">
        <v>1302.0</v>
      </c>
      <c r="H551" s="665">
        <v>38.94</v>
      </c>
      <c r="I551" s="665">
        <v>14.6</v>
      </c>
      <c r="J551" s="665">
        <v>14.69</v>
      </c>
      <c r="K551" s="665">
        <v>1421.0</v>
      </c>
      <c r="L551" s="665">
        <v>9734.0</v>
      </c>
      <c r="M551" s="665">
        <v>0.42</v>
      </c>
      <c r="N551" s="1">
        <v>1.0914</v>
      </c>
      <c r="O551" s="1">
        <v>1421.0</v>
      </c>
      <c r="P551" s="1">
        <v>9734.0</v>
      </c>
      <c r="Q551" s="1">
        <v>0.4249</v>
      </c>
      <c r="R551" s="1">
        <v>25183.0</v>
      </c>
    </row>
    <row r="552">
      <c r="A552" s="663" t="s">
        <v>2270</v>
      </c>
      <c r="B552" s="663" t="s">
        <v>1192</v>
      </c>
      <c r="C552" s="663" t="s">
        <v>50</v>
      </c>
      <c r="D552" s="663" t="s">
        <v>599</v>
      </c>
      <c r="E552" s="664" t="s">
        <v>413</v>
      </c>
      <c r="F552" s="665">
        <v>3344.0</v>
      </c>
      <c r="G552" s="665">
        <v>719.0</v>
      </c>
      <c r="H552" s="665">
        <v>21.5</v>
      </c>
      <c r="I552" s="665">
        <v>10.94</v>
      </c>
      <c r="J552" s="665">
        <v>7.27</v>
      </c>
      <c r="K552" s="665">
        <v>1065.0</v>
      </c>
      <c r="L552" s="665">
        <v>9734.0</v>
      </c>
      <c r="M552" s="665">
        <v>0.32</v>
      </c>
      <c r="N552" s="1">
        <v>1.4812</v>
      </c>
      <c r="O552" s="1">
        <v>1065.0</v>
      </c>
      <c r="P552" s="1">
        <v>9734.0</v>
      </c>
      <c r="Q552" s="1">
        <v>0.3185</v>
      </c>
      <c r="R552" s="1">
        <v>25183.0</v>
      </c>
    </row>
    <row r="553">
      <c r="A553" s="663" t="s">
        <v>2270</v>
      </c>
      <c r="B553" s="663" t="s">
        <v>1192</v>
      </c>
      <c r="C553" s="663" t="s">
        <v>50</v>
      </c>
      <c r="D553" s="663" t="s">
        <v>599</v>
      </c>
      <c r="E553" s="664" t="s">
        <v>51</v>
      </c>
      <c r="F553" s="665">
        <v>3344.0</v>
      </c>
      <c r="G553" s="665">
        <v>430.0</v>
      </c>
      <c r="H553" s="665">
        <v>12.86</v>
      </c>
      <c r="I553" s="665">
        <v>5.43</v>
      </c>
      <c r="J553" s="665">
        <v>4.68</v>
      </c>
      <c r="K553" s="665">
        <v>529.0</v>
      </c>
      <c r="L553" s="665">
        <v>9734.0</v>
      </c>
      <c r="M553" s="665">
        <v>0.16</v>
      </c>
      <c r="N553" s="1">
        <v>1.2302</v>
      </c>
      <c r="O553" s="1">
        <v>529.0</v>
      </c>
      <c r="P553" s="1">
        <v>9734.0</v>
      </c>
      <c r="Q553" s="1">
        <v>0.1582</v>
      </c>
      <c r="R553" s="1">
        <v>25183.0</v>
      </c>
    </row>
    <row r="554">
      <c r="A554" s="663" t="s">
        <v>2270</v>
      </c>
      <c r="B554" s="663" t="s">
        <v>1192</v>
      </c>
      <c r="C554" s="663" t="s">
        <v>50</v>
      </c>
      <c r="D554" s="663" t="s">
        <v>599</v>
      </c>
      <c r="E554" s="664" t="s">
        <v>9</v>
      </c>
      <c r="F554" s="665">
        <v>3344.0</v>
      </c>
      <c r="G554" s="665">
        <v>245.0</v>
      </c>
      <c r="H554" s="665">
        <v>7.33</v>
      </c>
      <c r="I554" s="665">
        <v>2.79</v>
      </c>
      <c r="J554" s="665">
        <v>2.02</v>
      </c>
      <c r="K554" s="665">
        <v>272.0</v>
      </c>
      <c r="L554" s="665">
        <v>9734.0</v>
      </c>
      <c r="M554" s="665">
        <v>0.08</v>
      </c>
      <c r="N554" s="1">
        <v>1.1102</v>
      </c>
      <c r="O554" s="1">
        <v>272.0</v>
      </c>
      <c r="P554" s="1">
        <v>9734.0</v>
      </c>
      <c r="Q554" s="1">
        <v>0.0813</v>
      </c>
      <c r="R554" s="1">
        <v>25183.0</v>
      </c>
    </row>
    <row r="555">
      <c r="A555" s="663" t="s">
        <v>2270</v>
      </c>
      <c r="B555" s="663" t="s">
        <v>1192</v>
      </c>
      <c r="C555" s="663" t="s">
        <v>50</v>
      </c>
      <c r="D555" s="663" t="s">
        <v>599</v>
      </c>
      <c r="E555" s="664" t="s">
        <v>42</v>
      </c>
      <c r="F555" s="665">
        <v>3344.0</v>
      </c>
      <c r="G555" s="665">
        <v>198.0</v>
      </c>
      <c r="H555" s="665">
        <v>5.92</v>
      </c>
      <c r="I555" s="665">
        <v>2.2</v>
      </c>
      <c r="J555" s="665">
        <v>1.6</v>
      </c>
      <c r="K555" s="665">
        <v>214.0</v>
      </c>
      <c r="L555" s="665">
        <v>9734.0</v>
      </c>
      <c r="M555" s="665">
        <v>0.06</v>
      </c>
      <c r="N555" s="1">
        <v>1.0808</v>
      </c>
      <c r="O555" s="1">
        <v>214.0</v>
      </c>
      <c r="P555" s="1">
        <v>9734.0</v>
      </c>
      <c r="Q555" s="1">
        <v>0.064</v>
      </c>
      <c r="R555" s="1">
        <v>25183.0</v>
      </c>
    </row>
    <row r="556">
      <c r="A556" s="663" t="s">
        <v>2270</v>
      </c>
      <c r="B556" s="663" t="s">
        <v>1192</v>
      </c>
      <c r="C556" s="663" t="s">
        <v>50</v>
      </c>
      <c r="D556" s="663" t="s">
        <v>599</v>
      </c>
      <c r="E556" s="664" t="s">
        <v>396</v>
      </c>
      <c r="F556" s="665">
        <v>3344.0</v>
      </c>
      <c r="G556" s="665">
        <v>190.0</v>
      </c>
      <c r="H556" s="665">
        <v>5.68</v>
      </c>
      <c r="I556" s="665">
        <v>2.01</v>
      </c>
      <c r="J556" s="665">
        <v>1.86</v>
      </c>
      <c r="K556" s="665">
        <v>196.0</v>
      </c>
      <c r="L556" s="665">
        <v>9734.0</v>
      </c>
      <c r="M556" s="665">
        <v>0.06</v>
      </c>
      <c r="N556" s="1">
        <v>1.0316</v>
      </c>
      <c r="O556" s="1">
        <v>196.0</v>
      </c>
      <c r="P556" s="1">
        <v>9734.0</v>
      </c>
      <c r="Q556" s="1">
        <v>0.0586</v>
      </c>
      <c r="R556" s="1">
        <v>25183.0</v>
      </c>
    </row>
    <row r="557">
      <c r="A557" s="663" t="s">
        <v>2270</v>
      </c>
      <c r="B557" s="663" t="s">
        <v>1192</v>
      </c>
      <c r="C557" s="663" t="s">
        <v>50</v>
      </c>
      <c r="D557" s="663" t="s">
        <v>599</v>
      </c>
      <c r="E557" s="664" t="s">
        <v>63</v>
      </c>
      <c r="F557" s="665">
        <v>3344.0</v>
      </c>
      <c r="G557" s="665">
        <v>49.0</v>
      </c>
      <c r="H557" s="665">
        <v>1.47</v>
      </c>
      <c r="I557" s="665">
        <v>0.54</v>
      </c>
      <c r="J557" s="665">
        <v>0.55</v>
      </c>
      <c r="K557" s="665">
        <v>53.0</v>
      </c>
      <c r="L557" s="665">
        <v>9734.0</v>
      </c>
      <c r="M557" s="665">
        <v>0.02</v>
      </c>
      <c r="N557" s="1">
        <v>1.0816</v>
      </c>
      <c r="O557" s="1">
        <v>53.0</v>
      </c>
      <c r="P557" s="1">
        <v>9734.0</v>
      </c>
      <c r="Q557" s="1">
        <v>0.0158</v>
      </c>
      <c r="R557" s="1">
        <v>25183.0</v>
      </c>
    </row>
    <row r="558">
      <c r="A558" s="663" t="s">
        <v>2270</v>
      </c>
      <c r="B558" s="663" t="s">
        <v>1192</v>
      </c>
      <c r="C558" s="663" t="s">
        <v>50</v>
      </c>
      <c r="D558" s="663" t="s">
        <v>599</v>
      </c>
      <c r="E558" s="664" t="s">
        <v>14</v>
      </c>
      <c r="F558" s="665">
        <v>3344.0</v>
      </c>
      <c r="G558" s="665">
        <v>24.0</v>
      </c>
      <c r="H558" s="665">
        <v>0.72</v>
      </c>
      <c r="I558" s="665">
        <v>0.3</v>
      </c>
      <c r="J558" s="665">
        <v>0.19</v>
      </c>
      <c r="K558" s="665">
        <v>29.0</v>
      </c>
      <c r="L558" s="665">
        <v>9734.0</v>
      </c>
      <c r="M558" s="665">
        <v>0.01</v>
      </c>
      <c r="N558" s="1">
        <v>1.2083</v>
      </c>
      <c r="O558" s="1">
        <v>29.0</v>
      </c>
      <c r="P558" s="1">
        <v>9734.0</v>
      </c>
      <c r="Q558" s="1">
        <v>0.0087</v>
      </c>
      <c r="R558" s="1">
        <v>25183.0</v>
      </c>
    </row>
    <row r="559">
      <c r="A559" s="663" t="s">
        <v>2270</v>
      </c>
      <c r="B559" s="663" t="s">
        <v>1192</v>
      </c>
      <c r="C559" s="663" t="s">
        <v>50</v>
      </c>
      <c r="D559" s="663" t="s">
        <v>599</v>
      </c>
      <c r="E559" s="664" t="s">
        <v>7</v>
      </c>
      <c r="F559" s="665">
        <v>3344.0</v>
      </c>
      <c r="G559" s="665">
        <v>13.0</v>
      </c>
      <c r="H559" s="665">
        <v>0.39</v>
      </c>
      <c r="I559" s="665">
        <v>0.14</v>
      </c>
      <c r="J559" s="665">
        <v>0.12</v>
      </c>
      <c r="K559" s="665">
        <v>14.0</v>
      </c>
      <c r="L559" s="665">
        <v>9734.0</v>
      </c>
      <c r="M559" s="665">
        <v>0.0</v>
      </c>
      <c r="N559" s="1">
        <v>1.0769</v>
      </c>
      <c r="O559" s="1">
        <v>14.0</v>
      </c>
      <c r="P559" s="1">
        <v>9734.0</v>
      </c>
      <c r="Q559" s="1">
        <v>0.0042</v>
      </c>
      <c r="R559" s="1">
        <v>25183.0</v>
      </c>
    </row>
    <row r="560">
      <c r="A560" s="663" t="s">
        <v>2270</v>
      </c>
      <c r="B560" s="663" t="s">
        <v>1192</v>
      </c>
      <c r="C560" s="663" t="s">
        <v>50</v>
      </c>
      <c r="D560" s="663" t="s">
        <v>599</v>
      </c>
      <c r="E560" s="664" t="s">
        <v>341</v>
      </c>
      <c r="F560" s="665">
        <v>3344.0</v>
      </c>
      <c r="G560" s="665">
        <v>1.0</v>
      </c>
      <c r="H560" s="665">
        <v>0.03</v>
      </c>
      <c r="I560" s="665">
        <v>0.02</v>
      </c>
      <c r="J560" s="665">
        <v>0.02</v>
      </c>
      <c r="K560" s="665">
        <v>2.0</v>
      </c>
      <c r="L560" s="665">
        <v>9734.0</v>
      </c>
      <c r="M560" s="665">
        <v>0.0</v>
      </c>
      <c r="N560" s="1">
        <v>2.0</v>
      </c>
      <c r="O560" s="1">
        <v>2.0</v>
      </c>
      <c r="P560" s="1">
        <v>9734.0</v>
      </c>
      <c r="Q560" s="1">
        <v>6.0E-4</v>
      </c>
      <c r="R560" s="1">
        <v>25183.0</v>
      </c>
    </row>
    <row r="561">
      <c r="A561" s="663" t="s">
        <v>2270</v>
      </c>
      <c r="B561" s="663" t="s">
        <v>1192</v>
      </c>
      <c r="C561" s="663" t="s">
        <v>50</v>
      </c>
      <c r="D561" s="663" t="s">
        <v>599</v>
      </c>
      <c r="E561" s="664" t="s">
        <v>414</v>
      </c>
      <c r="F561" s="665">
        <v>3344.0</v>
      </c>
      <c r="G561" s="665">
        <v>1.0</v>
      </c>
      <c r="H561" s="665">
        <v>0.03</v>
      </c>
      <c r="I561" s="665">
        <v>0.02</v>
      </c>
      <c r="J561" s="665">
        <v>0.02</v>
      </c>
      <c r="K561" s="665">
        <v>2.0</v>
      </c>
      <c r="L561" s="665">
        <v>9734.0</v>
      </c>
      <c r="M561" s="665">
        <v>0.0</v>
      </c>
      <c r="N561" s="1">
        <v>2.0</v>
      </c>
      <c r="O561" s="1">
        <v>2.0</v>
      </c>
      <c r="P561" s="1">
        <v>9734.0</v>
      </c>
      <c r="Q561" s="1">
        <v>6.0E-4</v>
      </c>
      <c r="R561" s="1">
        <v>25183.0</v>
      </c>
    </row>
    <row r="562">
      <c r="A562" s="663" t="s">
        <v>2270</v>
      </c>
      <c r="B562" s="663" t="s">
        <v>1192</v>
      </c>
      <c r="C562" s="663" t="s">
        <v>50</v>
      </c>
      <c r="D562" s="663" t="s">
        <v>599</v>
      </c>
      <c r="E562" s="664" t="s">
        <v>398</v>
      </c>
      <c r="F562" s="665">
        <v>3344.0</v>
      </c>
      <c r="G562" s="665">
        <v>1.0</v>
      </c>
      <c r="H562" s="665">
        <v>0.03</v>
      </c>
      <c r="I562" s="665">
        <v>0.01</v>
      </c>
      <c r="J562" s="665">
        <v>0.03</v>
      </c>
      <c r="K562" s="665">
        <v>1.0</v>
      </c>
      <c r="L562" s="665">
        <v>9734.0</v>
      </c>
      <c r="M562" s="665">
        <v>0.0</v>
      </c>
      <c r="N562" s="1">
        <v>1.0</v>
      </c>
      <c r="O562" s="1">
        <v>1.0</v>
      </c>
      <c r="P562" s="1">
        <v>9734.0</v>
      </c>
      <c r="Q562" s="1">
        <v>3.0E-4</v>
      </c>
      <c r="R562" s="1">
        <v>25183.0</v>
      </c>
    </row>
    <row r="563">
      <c r="A563" s="663" t="s">
        <v>2270</v>
      </c>
      <c r="B563" s="663" t="s">
        <v>1192</v>
      </c>
      <c r="C563" s="663" t="s">
        <v>48</v>
      </c>
      <c r="D563" s="663" t="s">
        <v>599</v>
      </c>
      <c r="E563" s="664" t="s">
        <v>14</v>
      </c>
      <c r="F563" s="665">
        <v>3970.0</v>
      </c>
      <c r="G563" s="665">
        <v>2512.0</v>
      </c>
      <c r="H563" s="665">
        <v>63.27</v>
      </c>
      <c r="I563" s="665">
        <v>21.38</v>
      </c>
      <c r="J563" s="665">
        <v>21.09</v>
      </c>
      <c r="K563" s="665">
        <v>4764.0</v>
      </c>
      <c r="L563" s="665">
        <v>22284.0</v>
      </c>
      <c r="M563" s="665">
        <v>1.2</v>
      </c>
      <c r="N563" s="1">
        <v>1.8965</v>
      </c>
      <c r="O563" s="1">
        <v>4764.0</v>
      </c>
      <c r="P563" s="1">
        <v>22284.0</v>
      </c>
      <c r="Q563" s="1">
        <v>1.2</v>
      </c>
      <c r="R563" s="1">
        <v>25183.0</v>
      </c>
    </row>
    <row r="564">
      <c r="A564" s="663" t="s">
        <v>2270</v>
      </c>
      <c r="B564" s="663" t="s">
        <v>1192</v>
      </c>
      <c r="C564" s="663" t="s">
        <v>48</v>
      </c>
      <c r="D564" s="663" t="s">
        <v>599</v>
      </c>
      <c r="E564" s="664" t="s">
        <v>411</v>
      </c>
      <c r="F564" s="665">
        <v>3970.0</v>
      </c>
      <c r="G564" s="665">
        <v>2617.0</v>
      </c>
      <c r="H564" s="665">
        <v>65.92</v>
      </c>
      <c r="I564" s="665">
        <v>19.78</v>
      </c>
      <c r="J564" s="665">
        <v>24.08</v>
      </c>
      <c r="K564" s="665">
        <v>4407.0</v>
      </c>
      <c r="L564" s="665">
        <v>22284.0</v>
      </c>
      <c r="M564" s="665">
        <v>1.11</v>
      </c>
      <c r="N564" s="1">
        <v>1.684</v>
      </c>
      <c r="O564" s="1">
        <v>4407.0</v>
      </c>
      <c r="P564" s="1">
        <v>22284.0</v>
      </c>
      <c r="Q564" s="1">
        <v>1.1101</v>
      </c>
      <c r="R564" s="1">
        <v>25183.0</v>
      </c>
    </row>
    <row r="565">
      <c r="A565" s="663" t="s">
        <v>2270</v>
      </c>
      <c r="B565" s="663" t="s">
        <v>1192</v>
      </c>
      <c r="C565" s="663" t="s">
        <v>48</v>
      </c>
      <c r="D565" s="663" t="s">
        <v>599</v>
      </c>
      <c r="E565" s="664" t="s">
        <v>413</v>
      </c>
      <c r="F565" s="665">
        <v>3970.0</v>
      </c>
      <c r="G565" s="665">
        <v>2078.0</v>
      </c>
      <c r="H565" s="665">
        <v>52.34</v>
      </c>
      <c r="I565" s="665">
        <v>15.94</v>
      </c>
      <c r="J565" s="665">
        <v>17.04</v>
      </c>
      <c r="K565" s="665">
        <v>3552.0</v>
      </c>
      <c r="L565" s="665">
        <v>22284.0</v>
      </c>
      <c r="M565" s="665">
        <v>0.89</v>
      </c>
      <c r="N565" s="1">
        <v>1.7093</v>
      </c>
      <c r="O565" s="1">
        <v>3552.0</v>
      </c>
      <c r="P565" s="1">
        <v>22284.0</v>
      </c>
      <c r="Q565" s="1">
        <v>0.8947</v>
      </c>
      <c r="R565" s="1">
        <v>25183.0</v>
      </c>
    </row>
    <row r="566">
      <c r="A566" s="663" t="s">
        <v>2270</v>
      </c>
      <c r="B566" s="663" t="s">
        <v>1192</v>
      </c>
      <c r="C566" s="663" t="s">
        <v>48</v>
      </c>
      <c r="D566" s="663" t="s">
        <v>599</v>
      </c>
      <c r="E566" s="664" t="s">
        <v>398</v>
      </c>
      <c r="F566" s="665">
        <v>3970.0</v>
      </c>
      <c r="G566" s="665">
        <v>1257.0</v>
      </c>
      <c r="H566" s="665">
        <v>31.66</v>
      </c>
      <c r="I566" s="665">
        <v>9.05</v>
      </c>
      <c r="J566" s="665">
        <v>6.06</v>
      </c>
      <c r="K566" s="665">
        <v>2016.0</v>
      </c>
      <c r="L566" s="665">
        <v>22284.0</v>
      </c>
      <c r="M566" s="665">
        <v>0.51</v>
      </c>
      <c r="N566" s="1">
        <v>1.6038</v>
      </c>
      <c r="O566" s="1">
        <v>2016.0</v>
      </c>
      <c r="P566" s="1">
        <v>22284.0</v>
      </c>
      <c r="Q566" s="1">
        <v>0.5078</v>
      </c>
      <c r="R566" s="1">
        <v>25183.0</v>
      </c>
    </row>
    <row r="567">
      <c r="A567" s="663" t="s">
        <v>2270</v>
      </c>
      <c r="B567" s="663" t="s">
        <v>1192</v>
      </c>
      <c r="C567" s="663" t="s">
        <v>48</v>
      </c>
      <c r="D567" s="663" t="s">
        <v>599</v>
      </c>
      <c r="E567" s="664" t="s">
        <v>9</v>
      </c>
      <c r="F567" s="665">
        <v>3970.0</v>
      </c>
      <c r="G567" s="665">
        <v>1069.0</v>
      </c>
      <c r="H567" s="665">
        <v>26.93</v>
      </c>
      <c r="I567" s="665">
        <v>6.76</v>
      </c>
      <c r="J567" s="665">
        <v>5.43</v>
      </c>
      <c r="K567" s="665">
        <v>1506.0</v>
      </c>
      <c r="L567" s="665">
        <v>22284.0</v>
      </c>
      <c r="M567" s="665">
        <v>0.38</v>
      </c>
      <c r="N567" s="1">
        <v>1.4088</v>
      </c>
      <c r="O567" s="1">
        <v>1506.0</v>
      </c>
      <c r="P567" s="1">
        <v>22284.0</v>
      </c>
      <c r="Q567" s="1">
        <v>0.3793</v>
      </c>
      <c r="R567" s="1">
        <v>25183.0</v>
      </c>
    </row>
    <row r="568">
      <c r="A568" s="663" t="s">
        <v>2270</v>
      </c>
      <c r="B568" s="663" t="s">
        <v>1192</v>
      </c>
      <c r="C568" s="663" t="s">
        <v>48</v>
      </c>
      <c r="D568" s="663" t="s">
        <v>599</v>
      </c>
      <c r="E568" s="664" t="s">
        <v>401</v>
      </c>
      <c r="F568" s="665">
        <v>3970.0</v>
      </c>
      <c r="G568" s="665">
        <v>1216.0</v>
      </c>
      <c r="H568" s="665">
        <v>30.63</v>
      </c>
      <c r="I568" s="665">
        <v>6.35</v>
      </c>
      <c r="J568" s="665">
        <v>6.49</v>
      </c>
      <c r="K568" s="665">
        <v>1415.0</v>
      </c>
      <c r="L568" s="665">
        <v>22284.0</v>
      </c>
      <c r="M568" s="665">
        <v>0.36</v>
      </c>
      <c r="N568" s="1">
        <v>1.1637</v>
      </c>
      <c r="O568" s="1">
        <v>1415.0</v>
      </c>
      <c r="P568" s="1">
        <v>22284.0</v>
      </c>
      <c r="Q568" s="1">
        <v>0.3564</v>
      </c>
      <c r="R568" s="1">
        <v>25183.0</v>
      </c>
    </row>
    <row r="569">
      <c r="A569" s="663" t="s">
        <v>2270</v>
      </c>
      <c r="B569" s="663" t="s">
        <v>1192</v>
      </c>
      <c r="C569" s="663" t="s">
        <v>48</v>
      </c>
      <c r="D569" s="663" t="s">
        <v>599</v>
      </c>
      <c r="E569" s="664" t="s">
        <v>418</v>
      </c>
      <c r="F569" s="665">
        <v>3970.0</v>
      </c>
      <c r="G569" s="665">
        <v>1299.0</v>
      </c>
      <c r="H569" s="665">
        <v>32.72</v>
      </c>
      <c r="I569" s="665">
        <v>6.34</v>
      </c>
      <c r="J569" s="665">
        <v>5.95</v>
      </c>
      <c r="K569" s="665">
        <v>1412.0</v>
      </c>
      <c r="L569" s="665">
        <v>22284.0</v>
      </c>
      <c r="M569" s="665">
        <v>0.36</v>
      </c>
      <c r="N569" s="1">
        <v>1.087</v>
      </c>
      <c r="O569" s="1">
        <v>1412.0</v>
      </c>
      <c r="P569" s="1">
        <v>22284.0</v>
      </c>
      <c r="Q569" s="1">
        <v>0.3557</v>
      </c>
      <c r="R569" s="1">
        <v>25183.0</v>
      </c>
    </row>
    <row r="570">
      <c r="A570" s="663" t="s">
        <v>2270</v>
      </c>
      <c r="B570" s="663" t="s">
        <v>1192</v>
      </c>
      <c r="C570" s="663" t="s">
        <v>48</v>
      </c>
      <c r="D570" s="663" t="s">
        <v>599</v>
      </c>
      <c r="E570" s="664" t="s">
        <v>206</v>
      </c>
      <c r="F570" s="665">
        <v>3970.0</v>
      </c>
      <c r="G570" s="665">
        <v>938.0</v>
      </c>
      <c r="H570" s="665">
        <v>23.63</v>
      </c>
      <c r="I570" s="665">
        <v>4.38</v>
      </c>
      <c r="J570" s="665">
        <v>4.2</v>
      </c>
      <c r="K570" s="665">
        <v>975.0</v>
      </c>
      <c r="L570" s="665">
        <v>22284.0</v>
      </c>
      <c r="M570" s="665">
        <v>0.25</v>
      </c>
      <c r="N570" s="1">
        <v>1.0394</v>
      </c>
      <c r="O570" s="1">
        <v>975.0</v>
      </c>
      <c r="P570" s="1">
        <v>22284.0</v>
      </c>
      <c r="Q570" s="1">
        <v>0.2456</v>
      </c>
      <c r="R570" s="1">
        <v>25183.0</v>
      </c>
    </row>
    <row r="571">
      <c r="A571" s="663" t="s">
        <v>2270</v>
      </c>
      <c r="B571" s="663" t="s">
        <v>1192</v>
      </c>
      <c r="C571" s="663" t="s">
        <v>48</v>
      </c>
      <c r="D571" s="663" t="s">
        <v>599</v>
      </c>
      <c r="E571" s="664" t="s">
        <v>16</v>
      </c>
      <c r="F571" s="665">
        <v>3970.0</v>
      </c>
      <c r="G571" s="665">
        <v>433.0</v>
      </c>
      <c r="H571" s="665">
        <v>10.91</v>
      </c>
      <c r="I571" s="665">
        <v>2.45</v>
      </c>
      <c r="J571" s="665">
        <v>2.47</v>
      </c>
      <c r="K571" s="665">
        <v>545.0</v>
      </c>
      <c r="L571" s="665">
        <v>22284.0</v>
      </c>
      <c r="M571" s="665">
        <v>0.14</v>
      </c>
      <c r="N571" s="1">
        <v>1.2587</v>
      </c>
      <c r="O571" s="1">
        <v>545.0</v>
      </c>
      <c r="P571" s="1">
        <v>22284.0</v>
      </c>
      <c r="Q571" s="1">
        <v>0.1373</v>
      </c>
      <c r="R571" s="1">
        <v>25183.0</v>
      </c>
    </row>
    <row r="572">
      <c r="A572" s="663" t="s">
        <v>2270</v>
      </c>
      <c r="B572" s="663" t="s">
        <v>1192</v>
      </c>
      <c r="C572" s="663" t="s">
        <v>48</v>
      </c>
      <c r="D572" s="663" t="s">
        <v>599</v>
      </c>
      <c r="E572" s="664" t="s">
        <v>51</v>
      </c>
      <c r="F572" s="665">
        <v>3970.0</v>
      </c>
      <c r="G572" s="665">
        <v>430.0</v>
      </c>
      <c r="H572" s="665">
        <v>10.83</v>
      </c>
      <c r="I572" s="665">
        <v>2.37</v>
      </c>
      <c r="J572" s="665">
        <v>2.11</v>
      </c>
      <c r="K572" s="665">
        <v>529.0</v>
      </c>
      <c r="L572" s="665">
        <v>22284.0</v>
      </c>
      <c r="M572" s="665">
        <v>0.13</v>
      </c>
      <c r="N572" s="1">
        <v>1.2302</v>
      </c>
      <c r="O572" s="1">
        <v>529.0</v>
      </c>
      <c r="P572" s="1">
        <v>22284.0</v>
      </c>
      <c r="Q572" s="1">
        <v>0.1332</v>
      </c>
      <c r="R572" s="1">
        <v>25183.0</v>
      </c>
    </row>
    <row r="573">
      <c r="A573" s="663" t="s">
        <v>2270</v>
      </c>
      <c r="B573" s="663" t="s">
        <v>1192</v>
      </c>
      <c r="C573" s="663" t="s">
        <v>48</v>
      </c>
      <c r="D573" s="663" t="s">
        <v>599</v>
      </c>
      <c r="E573" s="664" t="s">
        <v>63</v>
      </c>
      <c r="F573" s="665">
        <v>3970.0</v>
      </c>
      <c r="G573" s="665">
        <v>398.0</v>
      </c>
      <c r="H573" s="665">
        <v>10.03</v>
      </c>
      <c r="I573" s="665">
        <v>2.04</v>
      </c>
      <c r="J573" s="665">
        <v>1.97</v>
      </c>
      <c r="K573" s="665">
        <v>455.0</v>
      </c>
      <c r="L573" s="665">
        <v>22284.0</v>
      </c>
      <c r="M573" s="665">
        <v>0.11</v>
      </c>
      <c r="N573" s="1">
        <v>1.1432</v>
      </c>
      <c r="O573" s="1">
        <v>455.0</v>
      </c>
      <c r="P573" s="1">
        <v>22284.0</v>
      </c>
      <c r="Q573" s="1">
        <v>0.1146</v>
      </c>
      <c r="R573" s="1">
        <v>25183.0</v>
      </c>
    </row>
    <row r="574">
      <c r="A574" s="663" t="s">
        <v>2270</v>
      </c>
      <c r="B574" s="663" t="s">
        <v>1192</v>
      </c>
      <c r="C574" s="663" t="s">
        <v>48</v>
      </c>
      <c r="D574" s="663" t="s">
        <v>599</v>
      </c>
      <c r="E574" s="664" t="s">
        <v>396</v>
      </c>
      <c r="F574" s="665">
        <v>3970.0</v>
      </c>
      <c r="G574" s="665">
        <v>270.0</v>
      </c>
      <c r="H574" s="665">
        <v>6.8</v>
      </c>
      <c r="I574" s="665">
        <v>1.36</v>
      </c>
      <c r="J574" s="665">
        <v>1.54</v>
      </c>
      <c r="K574" s="665">
        <v>303.0</v>
      </c>
      <c r="L574" s="665">
        <v>22284.0</v>
      </c>
      <c r="M574" s="665">
        <v>0.08</v>
      </c>
      <c r="N574" s="1">
        <v>1.1222</v>
      </c>
      <c r="O574" s="1">
        <v>303.0</v>
      </c>
      <c r="P574" s="1">
        <v>22284.0</v>
      </c>
      <c r="Q574" s="1">
        <v>0.0763</v>
      </c>
      <c r="R574" s="1">
        <v>25183.0</v>
      </c>
    </row>
    <row r="575">
      <c r="A575" s="663" t="s">
        <v>2270</v>
      </c>
      <c r="B575" s="663" t="s">
        <v>1192</v>
      </c>
      <c r="C575" s="663" t="s">
        <v>48</v>
      </c>
      <c r="D575" s="663" t="s">
        <v>599</v>
      </c>
      <c r="E575" s="664" t="s">
        <v>73</v>
      </c>
      <c r="F575" s="665">
        <v>3970.0</v>
      </c>
      <c r="G575" s="665">
        <v>225.0</v>
      </c>
      <c r="H575" s="665">
        <v>5.67</v>
      </c>
      <c r="I575" s="665">
        <v>1.03</v>
      </c>
      <c r="J575" s="665">
        <v>0.9</v>
      </c>
      <c r="K575" s="665">
        <v>229.0</v>
      </c>
      <c r="L575" s="665">
        <v>22284.0</v>
      </c>
      <c r="M575" s="665">
        <v>0.06</v>
      </c>
      <c r="N575" s="1">
        <v>1.0178</v>
      </c>
      <c r="O575" s="1">
        <v>229.0</v>
      </c>
      <c r="P575" s="1">
        <v>22284.0</v>
      </c>
      <c r="Q575" s="1">
        <v>0.0577</v>
      </c>
      <c r="R575" s="1">
        <v>25183.0</v>
      </c>
    </row>
    <row r="576">
      <c r="A576" s="663" t="s">
        <v>2270</v>
      </c>
      <c r="B576" s="663" t="s">
        <v>1192</v>
      </c>
      <c r="C576" s="663" t="s">
        <v>48</v>
      </c>
      <c r="D576" s="663" t="s">
        <v>599</v>
      </c>
      <c r="E576" s="664" t="s">
        <v>42</v>
      </c>
      <c r="F576" s="665">
        <v>3970.0</v>
      </c>
      <c r="G576" s="665">
        <v>141.0</v>
      </c>
      <c r="H576" s="665">
        <v>3.55</v>
      </c>
      <c r="I576" s="665">
        <v>0.67</v>
      </c>
      <c r="J576" s="665">
        <v>0.44</v>
      </c>
      <c r="K576" s="665">
        <v>149.0</v>
      </c>
      <c r="L576" s="665">
        <v>22284.0</v>
      </c>
      <c r="M576" s="665">
        <v>0.04</v>
      </c>
      <c r="N576" s="1">
        <v>1.0567</v>
      </c>
      <c r="O576" s="1">
        <v>149.0</v>
      </c>
      <c r="P576" s="1">
        <v>22284.0</v>
      </c>
      <c r="Q576" s="1">
        <v>0.0375</v>
      </c>
      <c r="R576" s="1">
        <v>25183.0</v>
      </c>
    </row>
    <row r="577">
      <c r="A577" s="663" t="s">
        <v>2270</v>
      </c>
      <c r="B577" s="663" t="s">
        <v>1192</v>
      </c>
      <c r="C577" s="663" t="s">
        <v>48</v>
      </c>
      <c r="D577" s="663" t="s">
        <v>599</v>
      </c>
      <c r="E577" s="664" t="s">
        <v>7</v>
      </c>
      <c r="F577" s="665">
        <v>3970.0</v>
      </c>
      <c r="G577" s="665">
        <v>24.0</v>
      </c>
      <c r="H577" s="665">
        <v>0.6</v>
      </c>
      <c r="I577" s="665">
        <v>0.11</v>
      </c>
      <c r="J577" s="665">
        <v>0.19</v>
      </c>
      <c r="K577" s="665">
        <v>25.0</v>
      </c>
      <c r="L577" s="665">
        <v>22284.0</v>
      </c>
      <c r="M577" s="665">
        <v>0.01</v>
      </c>
      <c r="N577" s="1">
        <v>1.0417</v>
      </c>
      <c r="O577" s="1">
        <v>25.0</v>
      </c>
      <c r="P577" s="1">
        <v>22284.0</v>
      </c>
      <c r="Q577" s="1">
        <v>0.0063</v>
      </c>
      <c r="R577" s="1">
        <v>25183.0</v>
      </c>
    </row>
    <row r="578">
      <c r="A578" s="663" t="s">
        <v>2270</v>
      </c>
      <c r="B578" s="663" t="s">
        <v>1192</v>
      </c>
      <c r="C578" s="663" t="s">
        <v>48</v>
      </c>
      <c r="D578" s="663" t="s">
        <v>599</v>
      </c>
      <c r="E578" s="664" t="s">
        <v>151</v>
      </c>
      <c r="F578" s="665">
        <v>3970.0</v>
      </c>
      <c r="G578" s="665">
        <v>2.0</v>
      </c>
      <c r="H578" s="665">
        <v>0.05</v>
      </c>
      <c r="I578" s="665">
        <v>0.01</v>
      </c>
      <c r="J578" s="665">
        <v>0.03</v>
      </c>
      <c r="K578" s="665">
        <v>2.0</v>
      </c>
      <c r="L578" s="665">
        <v>22284.0</v>
      </c>
      <c r="M578" s="665">
        <v>0.0</v>
      </c>
      <c r="N578" s="1">
        <v>1.0</v>
      </c>
      <c r="O578" s="1">
        <v>2.0</v>
      </c>
      <c r="P578" s="1">
        <v>22284.0</v>
      </c>
      <c r="Q578" s="1">
        <v>5.0E-4</v>
      </c>
      <c r="R578" s="1">
        <v>25183.0</v>
      </c>
    </row>
    <row r="579">
      <c r="A579" s="663" t="s">
        <v>2270</v>
      </c>
      <c r="B579" s="663" t="s">
        <v>1192</v>
      </c>
      <c r="C579" s="663" t="s">
        <v>54</v>
      </c>
      <c r="D579" s="663" t="s">
        <v>599</v>
      </c>
      <c r="E579" s="664" t="s">
        <v>16</v>
      </c>
      <c r="F579" s="665">
        <v>2576.0</v>
      </c>
      <c r="G579" s="665">
        <v>1936.0</v>
      </c>
      <c r="H579" s="665">
        <v>75.16</v>
      </c>
      <c r="I579" s="665">
        <v>42.84</v>
      </c>
      <c r="J579" s="665">
        <v>52.86</v>
      </c>
      <c r="K579" s="665">
        <v>3090.0</v>
      </c>
      <c r="L579" s="665">
        <v>7213.0</v>
      </c>
      <c r="M579" s="665">
        <v>1.2</v>
      </c>
      <c r="N579" s="1">
        <v>1.5961</v>
      </c>
      <c r="O579" s="1">
        <v>3090.0</v>
      </c>
      <c r="P579" s="1">
        <v>7213.0</v>
      </c>
      <c r="Q579" s="1">
        <v>1.1995</v>
      </c>
      <c r="R579" s="1">
        <v>25183.0</v>
      </c>
    </row>
    <row r="580">
      <c r="A580" s="663" t="s">
        <v>2270</v>
      </c>
      <c r="B580" s="663" t="s">
        <v>1192</v>
      </c>
      <c r="C580" s="663" t="s">
        <v>54</v>
      </c>
      <c r="D580" s="663" t="s">
        <v>599</v>
      </c>
      <c r="E580" s="664" t="s">
        <v>393</v>
      </c>
      <c r="F580" s="665">
        <v>2576.0</v>
      </c>
      <c r="G580" s="665">
        <v>645.0</v>
      </c>
      <c r="H580" s="665">
        <v>25.04</v>
      </c>
      <c r="I580" s="665">
        <v>15.97</v>
      </c>
      <c r="J580" s="665">
        <v>12.07</v>
      </c>
      <c r="K580" s="665">
        <v>1152.0</v>
      </c>
      <c r="L580" s="665">
        <v>7213.0</v>
      </c>
      <c r="M580" s="665">
        <v>0.45</v>
      </c>
      <c r="N580" s="1">
        <v>1.786</v>
      </c>
      <c r="O580" s="1">
        <v>1152.0</v>
      </c>
      <c r="P580" s="1">
        <v>7213.0</v>
      </c>
      <c r="Q580" s="1">
        <v>0.4472</v>
      </c>
      <c r="R580" s="1">
        <v>25183.0</v>
      </c>
    </row>
    <row r="581">
      <c r="A581" s="663" t="s">
        <v>2270</v>
      </c>
      <c r="B581" s="663" t="s">
        <v>1192</v>
      </c>
      <c r="C581" s="663" t="s">
        <v>54</v>
      </c>
      <c r="D581" s="663" t="s">
        <v>599</v>
      </c>
      <c r="E581" s="664" t="s">
        <v>15</v>
      </c>
      <c r="F581" s="665">
        <v>2576.0</v>
      </c>
      <c r="G581" s="665">
        <v>291.0</v>
      </c>
      <c r="H581" s="665">
        <v>11.3</v>
      </c>
      <c r="I581" s="665">
        <v>10.41</v>
      </c>
      <c r="J581" s="665">
        <v>6.37</v>
      </c>
      <c r="K581" s="665">
        <v>751.0</v>
      </c>
      <c r="L581" s="665">
        <v>7213.0</v>
      </c>
      <c r="M581" s="665">
        <v>0.29</v>
      </c>
      <c r="N581" s="1">
        <v>2.5808</v>
      </c>
      <c r="O581" s="1">
        <v>751.0</v>
      </c>
      <c r="P581" s="1">
        <v>7213.0</v>
      </c>
      <c r="Q581" s="1">
        <v>0.2915</v>
      </c>
      <c r="R581" s="1">
        <v>25183.0</v>
      </c>
    </row>
    <row r="582">
      <c r="A582" s="663" t="s">
        <v>2270</v>
      </c>
      <c r="B582" s="663" t="s">
        <v>1192</v>
      </c>
      <c r="C582" s="663" t="s">
        <v>54</v>
      </c>
      <c r="D582" s="663" t="s">
        <v>599</v>
      </c>
      <c r="E582" s="664" t="s">
        <v>14</v>
      </c>
      <c r="F582" s="665">
        <v>2576.0</v>
      </c>
      <c r="G582" s="665">
        <v>501.0</v>
      </c>
      <c r="H582" s="665">
        <v>19.45</v>
      </c>
      <c r="I582" s="665">
        <v>8.87</v>
      </c>
      <c r="J582" s="665">
        <v>6.8</v>
      </c>
      <c r="K582" s="665">
        <v>640.0</v>
      </c>
      <c r="L582" s="665">
        <v>7213.0</v>
      </c>
      <c r="M582" s="665">
        <v>0.25</v>
      </c>
      <c r="N582" s="1">
        <v>1.2774</v>
      </c>
      <c r="O582" s="1">
        <v>640.0</v>
      </c>
      <c r="P582" s="1">
        <v>7213.0</v>
      </c>
      <c r="Q582" s="1">
        <v>0.2484</v>
      </c>
      <c r="R582" s="1">
        <v>25183.0</v>
      </c>
    </row>
    <row r="583">
      <c r="A583" s="663" t="s">
        <v>2270</v>
      </c>
      <c r="B583" s="663" t="s">
        <v>1192</v>
      </c>
      <c r="C583" s="663" t="s">
        <v>54</v>
      </c>
      <c r="D583" s="663" t="s">
        <v>599</v>
      </c>
      <c r="E583" s="664" t="s">
        <v>397</v>
      </c>
      <c r="F583" s="665">
        <v>2576.0</v>
      </c>
      <c r="G583" s="665">
        <v>423.0</v>
      </c>
      <c r="H583" s="665">
        <v>16.42</v>
      </c>
      <c r="I583" s="665">
        <v>6.17</v>
      </c>
      <c r="J583" s="665">
        <v>5.58</v>
      </c>
      <c r="K583" s="665">
        <v>445.0</v>
      </c>
      <c r="L583" s="665">
        <v>7213.0</v>
      </c>
      <c r="M583" s="665">
        <v>0.17</v>
      </c>
      <c r="N583" s="1">
        <v>1.052</v>
      </c>
      <c r="O583" s="1">
        <v>445.0</v>
      </c>
      <c r="P583" s="1">
        <v>7213.0</v>
      </c>
      <c r="Q583" s="1">
        <v>0.1727</v>
      </c>
      <c r="R583" s="1">
        <v>25183.0</v>
      </c>
    </row>
    <row r="584">
      <c r="A584" s="663" t="s">
        <v>2270</v>
      </c>
      <c r="B584" s="663" t="s">
        <v>1192</v>
      </c>
      <c r="C584" s="663" t="s">
        <v>54</v>
      </c>
      <c r="D584" s="663" t="s">
        <v>599</v>
      </c>
      <c r="E584" s="664" t="s">
        <v>396</v>
      </c>
      <c r="F584" s="665">
        <v>2576.0</v>
      </c>
      <c r="G584" s="665">
        <v>273.0</v>
      </c>
      <c r="H584" s="665">
        <v>10.6</v>
      </c>
      <c r="I584" s="665">
        <v>3.85</v>
      </c>
      <c r="J584" s="665">
        <v>5.08</v>
      </c>
      <c r="K584" s="665">
        <v>278.0</v>
      </c>
      <c r="L584" s="665">
        <v>7213.0</v>
      </c>
      <c r="M584" s="665">
        <v>0.11</v>
      </c>
      <c r="N584" s="1">
        <v>1.0183</v>
      </c>
      <c r="O584" s="1">
        <v>278.0</v>
      </c>
      <c r="P584" s="1">
        <v>7213.0</v>
      </c>
      <c r="Q584" s="1">
        <v>0.1079</v>
      </c>
      <c r="R584" s="1">
        <v>25183.0</v>
      </c>
    </row>
    <row r="585">
      <c r="A585" s="663" t="s">
        <v>2270</v>
      </c>
      <c r="B585" s="663" t="s">
        <v>1192</v>
      </c>
      <c r="C585" s="663" t="s">
        <v>54</v>
      </c>
      <c r="D585" s="663" t="s">
        <v>599</v>
      </c>
      <c r="E585" s="664" t="s">
        <v>9</v>
      </c>
      <c r="F585" s="665">
        <v>2576.0</v>
      </c>
      <c r="G585" s="665">
        <v>223.0</v>
      </c>
      <c r="H585" s="665">
        <v>8.66</v>
      </c>
      <c r="I585" s="665">
        <v>3.4</v>
      </c>
      <c r="J585" s="665">
        <v>2.55</v>
      </c>
      <c r="K585" s="665">
        <v>245.0</v>
      </c>
      <c r="L585" s="665">
        <v>7213.0</v>
      </c>
      <c r="M585" s="665">
        <v>0.1</v>
      </c>
      <c r="N585" s="1">
        <v>1.0987</v>
      </c>
      <c r="O585" s="1">
        <v>245.0</v>
      </c>
      <c r="P585" s="1">
        <v>7213.0</v>
      </c>
      <c r="Q585" s="1">
        <v>0.0951</v>
      </c>
      <c r="R585" s="1">
        <v>25183.0</v>
      </c>
    </row>
    <row r="586">
      <c r="A586" s="663" t="s">
        <v>2270</v>
      </c>
      <c r="B586" s="663" t="s">
        <v>1192</v>
      </c>
      <c r="C586" s="663" t="s">
        <v>54</v>
      </c>
      <c r="D586" s="663" t="s">
        <v>599</v>
      </c>
      <c r="E586" s="664" t="s">
        <v>413</v>
      </c>
      <c r="F586" s="665">
        <v>2576.0</v>
      </c>
      <c r="G586" s="665">
        <v>156.0</v>
      </c>
      <c r="H586" s="665">
        <v>6.06</v>
      </c>
      <c r="I586" s="665">
        <v>3.29</v>
      </c>
      <c r="J586" s="665">
        <v>2.93</v>
      </c>
      <c r="K586" s="665">
        <v>237.0</v>
      </c>
      <c r="L586" s="665">
        <v>7213.0</v>
      </c>
      <c r="M586" s="665">
        <v>0.09</v>
      </c>
      <c r="N586" s="1">
        <v>1.5192</v>
      </c>
      <c r="O586" s="1">
        <v>237.0</v>
      </c>
      <c r="P586" s="1">
        <v>7213.0</v>
      </c>
      <c r="Q586" s="1">
        <v>0.092</v>
      </c>
      <c r="R586" s="1">
        <v>25183.0</v>
      </c>
    </row>
    <row r="587">
      <c r="A587" s="663" t="s">
        <v>2270</v>
      </c>
      <c r="B587" s="663" t="s">
        <v>1192</v>
      </c>
      <c r="C587" s="663" t="s">
        <v>54</v>
      </c>
      <c r="D587" s="663" t="s">
        <v>599</v>
      </c>
      <c r="E587" s="664" t="s">
        <v>42</v>
      </c>
      <c r="F587" s="665">
        <v>2576.0</v>
      </c>
      <c r="G587" s="665">
        <v>153.0</v>
      </c>
      <c r="H587" s="665">
        <v>5.94</v>
      </c>
      <c r="I587" s="665">
        <v>2.44</v>
      </c>
      <c r="J587" s="665">
        <v>2.58</v>
      </c>
      <c r="K587" s="665">
        <v>176.0</v>
      </c>
      <c r="L587" s="665">
        <v>7213.0</v>
      </c>
      <c r="M587" s="665">
        <v>0.07</v>
      </c>
      <c r="N587" s="1">
        <v>1.1503</v>
      </c>
      <c r="O587" s="1">
        <v>176.0</v>
      </c>
      <c r="P587" s="1">
        <v>7213.0</v>
      </c>
      <c r="Q587" s="1">
        <v>0.0683</v>
      </c>
      <c r="R587" s="1">
        <v>25183.0</v>
      </c>
    </row>
    <row r="588">
      <c r="A588" s="663" t="s">
        <v>2270</v>
      </c>
      <c r="B588" s="663" t="s">
        <v>1192</v>
      </c>
      <c r="C588" s="663" t="s">
        <v>54</v>
      </c>
      <c r="D588" s="663" t="s">
        <v>599</v>
      </c>
      <c r="E588" s="664" t="s">
        <v>411</v>
      </c>
      <c r="F588" s="665">
        <v>2576.0</v>
      </c>
      <c r="G588" s="665">
        <v>145.0</v>
      </c>
      <c r="H588" s="665">
        <v>5.63</v>
      </c>
      <c r="I588" s="665">
        <v>2.18</v>
      </c>
      <c r="J588" s="665">
        <v>2.25</v>
      </c>
      <c r="K588" s="665">
        <v>157.0</v>
      </c>
      <c r="L588" s="665">
        <v>7213.0</v>
      </c>
      <c r="M588" s="665">
        <v>0.06</v>
      </c>
      <c r="N588" s="1">
        <v>1.0828</v>
      </c>
      <c r="O588" s="1">
        <v>157.0</v>
      </c>
      <c r="P588" s="1">
        <v>7213.0</v>
      </c>
      <c r="Q588" s="1">
        <v>0.0609</v>
      </c>
      <c r="R588" s="1">
        <v>25183.0</v>
      </c>
    </row>
    <row r="589">
      <c r="A589" s="663" t="s">
        <v>2270</v>
      </c>
      <c r="B589" s="663" t="s">
        <v>1192</v>
      </c>
      <c r="C589" s="663" t="s">
        <v>54</v>
      </c>
      <c r="D589" s="663" t="s">
        <v>599</v>
      </c>
      <c r="E589" s="664" t="s">
        <v>63</v>
      </c>
      <c r="F589" s="665">
        <v>2576.0</v>
      </c>
      <c r="G589" s="665">
        <v>14.0</v>
      </c>
      <c r="H589" s="665">
        <v>0.54</v>
      </c>
      <c r="I589" s="665">
        <v>0.21</v>
      </c>
      <c r="J589" s="665">
        <v>0.2</v>
      </c>
      <c r="K589" s="665">
        <v>15.0</v>
      </c>
      <c r="L589" s="665">
        <v>7213.0</v>
      </c>
      <c r="M589" s="665">
        <v>0.01</v>
      </c>
      <c r="N589" s="1">
        <v>1.0714</v>
      </c>
      <c r="O589" s="1">
        <v>15.0</v>
      </c>
      <c r="P589" s="1">
        <v>7213.0</v>
      </c>
      <c r="Q589" s="1">
        <v>0.0058</v>
      </c>
      <c r="R589" s="1">
        <v>25183.0</v>
      </c>
    </row>
    <row r="590">
      <c r="A590" s="663" t="s">
        <v>2270</v>
      </c>
      <c r="B590" s="663" t="s">
        <v>1192</v>
      </c>
      <c r="C590" s="663" t="s">
        <v>54</v>
      </c>
      <c r="D590" s="663" t="s">
        <v>599</v>
      </c>
      <c r="E590" s="664" t="s">
        <v>341</v>
      </c>
      <c r="F590" s="665">
        <v>2576.0</v>
      </c>
      <c r="G590" s="665">
        <v>8.0</v>
      </c>
      <c r="H590" s="665">
        <v>0.31</v>
      </c>
      <c r="I590" s="665">
        <v>0.11</v>
      </c>
      <c r="J590" s="665">
        <v>0.16</v>
      </c>
      <c r="K590" s="665">
        <v>8.0</v>
      </c>
      <c r="L590" s="665">
        <v>7213.0</v>
      </c>
      <c r="M590" s="665">
        <v>0.0</v>
      </c>
      <c r="N590" s="1">
        <v>1.0</v>
      </c>
      <c r="O590" s="1">
        <v>8.0</v>
      </c>
      <c r="P590" s="1">
        <v>7213.0</v>
      </c>
      <c r="Q590" s="1">
        <v>0.0031</v>
      </c>
      <c r="R590" s="1">
        <v>25183.0</v>
      </c>
    </row>
    <row r="591">
      <c r="A591" s="663" t="s">
        <v>2270</v>
      </c>
      <c r="B591" s="663" t="s">
        <v>1192</v>
      </c>
      <c r="C591" s="663" t="s">
        <v>54</v>
      </c>
      <c r="D591" s="663" t="s">
        <v>599</v>
      </c>
      <c r="E591" s="664" t="s">
        <v>329</v>
      </c>
      <c r="F591" s="665">
        <v>2576.0</v>
      </c>
      <c r="G591" s="665">
        <v>6.0</v>
      </c>
      <c r="H591" s="665">
        <v>0.23</v>
      </c>
      <c r="I591" s="665">
        <v>0.08</v>
      </c>
      <c r="J591" s="665">
        <v>0.21</v>
      </c>
      <c r="K591" s="665">
        <v>6.0</v>
      </c>
      <c r="L591" s="665">
        <v>7213.0</v>
      </c>
      <c r="M591" s="665">
        <v>0.0</v>
      </c>
      <c r="N591" s="1">
        <v>1.0</v>
      </c>
      <c r="O591" s="1">
        <v>6.0</v>
      </c>
      <c r="P591" s="1">
        <v>7213.0</v>
      </c>
      <c r="Q591" s="1">
        <v>0.0023</v>
      </c>
      <c r="R591" s="1">
        <v>25183.0</v>
      </c>
    </row>
    <row r="592">
      <c r="A592" s="663" t="s">
        <v>2270</v>
      </c>
      <c r="B592" s="663" t="s">
        <v>1192</v>
      </c>
      <c r="C592" s="663" t="s">
        <v>54</v>
      </c>
      <c r="D592" s="663" t="s">
        <v>599</v>
      </c>
      <c r="E592" s="664" t="s">
        <v>418</v>
      </c>
      <c r="F592" s="665">
        <v>2576.0</v>
      </c>
      <c r="G592" s="665">
        <v>6.0</v>
      </c>
      <c r="H592" s="665">
        <v>0.23</v>
      </c>
      <c r="I592" s="665">
        <v>0.08</v>
      </c>
      <c r="J592" s="665">
        <v>0.16</v>
      </c>
      <c r="K592" s="665">
        <v>6.0</v>
      </c>
      <c r="L592" s="665">
        <v>7213.0</v>
      </c>
      <c r="M592" s="665">
        <v>0.0</v>
      </c>
      <c r="N592" s="1">
        <v>1.0</v>
      </c>
      <c r="O592" s="1">
        <v>6.0</v>
      </c>
      <c r="P592" s="1">
        <v>7213.0</v>
      </c>
      <c r="Q592" s="1">
        <v>0.0023</v>
      </c>
      <c r="R592" s="1">
        <v>25183.0</v>
      </c>
    </row>
    <row r="593">
      <c r="A593" s="663" t="s">
        <v>2270</v>
      </c>
      <c r="B593" s="663" t="s">
        <v>1192</v>
      </c>
      <c r="C593" s="663" t="s">
        <v>54</v>
      </c>
      <c r="D593" s="663" t="s">
        <v>599</v>
      </c>
      <c r="E593" s="664" t="s">
        <v>151</v>
      </c>
      <c r="F593" s="665">
        <v>2576.0</v>
      </c>
      <c r="G593" s="665">
        <v>3.0</v>
      </c>
      <c r="H593" s="665">
        <v>0.12</v>
      </c>
      <c r="I593" s="665">
        <v>0.04</v>
      </c>
      <c r="J593" s="665">
        <v>0.1</v>
      </c>
      <c r="K593" s="665">
        <v>3.0</v>
      </c>
      <c r="L593" s="665">
        <v>7213.0</v>
      </c>
      <c r="M593" s="665">
        <v>0.0</v>
      </c>
      <c r="N593" s="1">
        <v>1.0</v>
      </c>
      <c r="O593" s="1">
        <v>3.0</v>
      </c>
      <c r="P593" s="1">
        <v>7213.0</v>
      </c>
      <c r="Q593" s="1">
        <v>0.0012</v>
      </c>
      <c r="R593" s="1">
        <v>25183.0</v>
      </c>
    </row>
    <row r="594">
      <c r="A594" s="663" t="s">
        <v>2270</v>
      </c>
      <c r="B594" s="663" t="s">
        <v>1192</v>
      </c>
      <c r="C594" s="663" t="s">
        <v>54</v>
      </c>
      <c r="D594" s="663" t="s">
        <v>599</v>
      </c>
      <c r="E594" s="664" t="s">
        <v>7</v>
      </c>
      <c r="F594" s="665">
        <v>2576.0</v>
      </c>
      <c r="G594" s="665">
        <v>2.0</v>
      </c>
      <c r="H594" s="665">
        <v>0.08</v>
      </c>
      <c r="I594" s="665">
        <v>0.03</v>
      </c>
      <c r="J594" s="665">
        <v>0.06</v>
      </c>
      <c r="K594" s="665">
        <v>2.0</v>
      </c>
      <c r="L594" s="665">
        <v>7213.0</v>
      </c>
      <c r="M594" s="665">
        <v>0.0</v>
      </c>
      <c r="N594" s="1">
        <v>1.0</v>
      </c>
      <c r="O594" s="1">
        <v>2.0</v>
      </c>
      <c r="P594" s="1">
        <v>7213.0</v>
      </c>
      <c r="Q594" s="1">
        <v>8.0E-4</v>
      </c>
      <c r="R594" s="1">
        <v>25183.0</v>
      </c>
    </row>
    <row r="595">
      <c r="A595" s="663" t="s">
        <v>2270</v>
      </c>
      <c r="B595" s="663" t="s">
        <v>1192</v>
      </c>
      <c r="C595" s="663" t="s">
        <v>54</v>
      </c>
      <c r="D595" s="663" t="s">
        <v>599</v>
      </c>
      <c r="E595" s="664" t="s">
        <v>398</v>
      </c>
      <c r="F595" s="665">
        <v>2576.0</v>
      </c>
      <c r="G595" s="665">
        <v>1.0</v>
      </c>
      <c r="H595" s="665">
        <v>0.04</v>
      </c>
      <c r="I595" s="665">
        <v>0.01</v>
      </c>
      <c r="J595" s="665">
        <v>0.01</v>
      </c>
      <c r="K595" s="665">
        <v>1.0</v>
      </c>
      <c r="L595" s="665">
        <v>7213.0</v>
      </c>
      <c r="M595" s="665">
        <v>0.0</v>
      </c>
      <c r="N595" s="1">
        <v>1.0</v>
      </c>
      <c r="O595" s="1">
        <v>1.0</v>
      </c>
      <c r="P595" s="1">
        <v>7213.0</v>
      </c>
      <c r="Q595" s="1">
        <v>4.0E-4</v>
      </c>
      <c r="R595" s="1">
        <v>25183.0</v>
      </c>
    </row>
    <row r="596">
      <c r="A596" s="663" t="s">
        <v>2270</v>
      </c>
      <c r="B596" s="663" t="s">
        <v>1192</v>
      </c>
      <c r="C596" s="663" t="s">
        <v>54</v>
      </c>
      <c r="D596" s="663" t="s">
        <v>599</v>
      </c>
      <c r="E596" s="664" t="s">
        <v>338</v>
      </c>
      <c r="F596" s="665">
        <v>2576.0</v>
      </c>
      <c r="G596" s="665">
        <v>1.0</v>
      </c>
      <c r="H596" s="665">
        <v>0.04</v>
      </c>
      <c r="I596" s="665">
        <v>0.01</v>
      </c>
      <c r="J596" s="665">
        <v>0.02</v>
      </c>
      <c r="K596" s="665">
        <v>1.0</v>
      </c>
      <c r="L596" s="665">
        <v>7213.0</v>
      </c>
      <c r="M596" s="665">
        <v>0.0</v>
      </c>
      <c r="N596" s="1">
        <v>1.0</v>
      </c>
      <c r="O596" s="1">
        <v>1.0</v>
      </c>
      <c r="P596" s="1">
        <v>7213.0</v>
      </c>
      <c r="Q596" s="1">
        <v>4.0E-4</v>
      </c>
      <c r="R596" s="1">
        <v>25183.0</v>
      </c>
    </row>
    <row r="597">
      <c r="A597" s="663" t="s">
        <v>2270</v>
      </c>
      <c r="B597" s="663" t="s">
        <v>1192</v>
      </c>
      <c r="C597" s="663" t="s">
        <v>1205</v>
      </c>
      <c r="D597" s="663" t="s">
        <v>1205</v>
      </c>
      <c r="E597" s="664" t="s">
        <v>397</v>
      </c>
      <c r="F597" s="665">
        <v>4491.0</v>
      </c>
      <c r="G597" s="665">
        <v>3916.0</v>
      </c>
      <c r="H597" s="665">
        <v>87.2</v>
      </c>
      <c r="I597" s="665">
        <v>23.97</v>
      </c>
      <c r="J597" s="665">
        <v>26.41</v>
      </c>
      <c r="K597" s="665">
        <v>343740.0</v>
      </c>
      <c r="L597" s="665">
        <v>1434297.49</v>
      </c>
      <c r="M597" s="665">
        <v>76.54</v>
      </c>
      <c r="N597" s="1">
        <v>87.7783</v>
      </c>
      <c r="O597" s="1">
        <v>343740.0</v>
      </c>
      <c r="P597" s="1">
        <v>1450610.0</v>
      </c>
      <c r="Q597" s="1">
        <v>76.5397</v>
      </c>
      <c r="R597" s="1">
        <v>25183.0</v>
      </c>
    </row>
    <row r="598">
      <c r="A598" s="663" t="s">
        <v>2270</v>
      </c>
      <c r="B598" s="663" t="s">
        <v>1192</v>
      </c>
      <c r="C598" s="663" t="s">
        <v>1205</v>
      </c>
      <c r="D598" s="663" t="s">
        <v>1205</v>
      </c>
      <c r="E598" s="664" t="s">
        <v>15</v>
      </c>
      <c r="F598" s="665">
        <v>4491.0</v>
      </c>
      <c r="G598" s="665">
        <v>1289.0</v>
      </c>
      <c r="H598" s="665">
        <v>28.7</v>
      </c>
      <c r="I598" s="665">
        <v>16.73</v>
      </c>
      <c r="J598" s="665">
        <v>9.55</v>
      </c>
      <c r="K598" s="665">
        <v>239910.0</v>
      </c>
      <c r="L598" s="665">
        <v>1434297.49</v>
      </c>
      <c r="M598" s="665">
        <v>53.42</v>
      </c>
      <c r="N598" s="1">
        <v>186.121</v>
      </c>
      <c r="O598" s="1">
        <v>239910.0</v>
      </c>
      <c r="P598" s="1">
        <v>1450610.0</v>
      </c>
      <c r="Q598" s="1">
        <v>53.4202</v>
      </c>
      <c r="R598" s="1">
        <v>25183.0</v>
      </c>
    </row>
    <row r="599">
      <c r="A599" s="663" t="s">
        <v>2270</v>
      </c>
      <c r="B599" s="663" t="s">
        <v>1192</v>
      </c>
      <c r="C599" s="663" t="s">
        <v>1205</v>
      </c>
      <c r="D599" s="663" t="s">
        <v>1205</v>
      </c>
      <c r="E599" s="664" t="s">
        <v>16</v>
      </c>
      <c r="F599" s="665">
        <v>4491.0</v>
      </c>
      <c r="G599" s="665">
        <v>2013.0</v>
      </c>
      <c r="H599" s="665">
        <v>44.82</v>
      </c>
      <c r="I599" s="665">
        <v>15.53</v>
      </c>
      <c r="J599" s="665">
        <v>14.2</v>
      </c>
      <c r="K599" s="665">
        <v>222695.0</v>
      </c>
      <c r="L599" s="665">
        <v>1434297.49</v>
      </c>
      <c r="M599" s="665">
        <v>49.59</v>
      </c>
      <c r="N599" s="1">
        <v>110.6284</v>
      </c>
      <c r="O599" s="1">
        <v>222695.0</v>
      </c>
      <c r="P599" s="1">
        <v>1450610.0</v>
      </c>
      <c r="Q599" s="1">
        <v>49.587</v>
      </c>
      <c r="R599" s="1">
        <v>25183.0</v>
      </c>
    </row>
    <row r="600">
      <c r="A600" s="663" t="s">
        <v>2270</v>
      </c>
      <c r="B600" s="663" t="s">
        <v>1192</v>
      </c>
      <c r="C600" s="663" t="s">
        <v>1205</v>
      </c>
      <c r="D600" s="663" t="s">
        <v>1205</v>
      </c>
      <c r="E600" s="664" t="s">
        <v>393</v>
      </c>
      <c r="F600" s="665">
        <v>4491.0</v>
      </c>
      <c r="G600" s="665">
        <v>1533.0</v>
      </c>
      <c r="H600" s="665">
        <v>34.13</v>
      </c>
      <c r="I600" s="665">
        <v>8.06</v>
      </c>
      <c r="J600" s="665">
        <v>5.92</v>
      </c>
      <c r="K600" s="665">
        <v>115650.0</v>
      </c>
      <c r="L600" s="665">
        <v>1434297.49</v>
      </c>
      <c r="M600" s="665">
        <v>25.75</v>
      </c>
      <c r="N600" s="1">
        <v>75.4403</v>
      </c>
      <c r="O600" s="1">
        <v>115650.0</v>
      </c>
      <c r="P600" s="1">
        <v>1450610.0</v>
      </c>
      <c r="Q600" s="1">
        <v>25.7515</v>
      </c>
      <c r="R600" s="1">
        <v>25183.0</v>
      </c>
    </row>
    <row r="601">
      <c r="A601" s="663" t="s">
        <v>2270</v>
      </c>
      <c r="B601" s="663" t="s">
        <v>1192</v>
      </c>
      <c r="C601" s="663" t="s">
        <v>1205</v>
      </c>
      <c r="D601" s="663" t="s">
        <v>1205</v>
      </c>
      <c r="E601" s="664" t="s">
        <v>398</v>
      </c>
      <c r="F601" s="665">
        <v>4491.0</v>
      </c>
      <c r="G601" s="665">
        <v>2741.0</v>
      </c>
      <c r="H601" s="665">
        <v>61.03</v>
      </c>
      <c r="I601" s="665">
        <v>7.51</v>
      </c>
      <c r="J601" s="665">
        <v>7.99</v>
      </c>
      <c r="K601" s="665">
        <v>107660.0</v>
      </c>
      <c r="L601" s="665">
        <v>1434297.49</v>
      </c>
      <c r="M601" s="665">
        <v>23.97</v>
      </c>
      <c r="N601" s="1">
        <v>39.2776</v>
      </c>
      <c r="O601" s="1">
        <v>107660.0</v>
      </c>
      <c r="P601" s="1">
        <v>1450610.0</v>
      </c>
      <c r="Q601" s="1">
        <v>23.9724</v>
      </c>
      <c r="R601" s="1">
        <v>25183.0</v>
      </c>
    </row>
    <row r="602">
      <c r="A602" s="663" t="s">
        <v>2270</v>
      </c>
      <c r="B602" s="663" t="s">
        <v>1192</v>
      </c>
      <c r="C602" s="663" t="s">
        <v>1205</v>
      </c>
      <c r="D602" s="663" t="s">
        <v>1205</v>
      </c>
      <c r="E602" s="664" t="s">
        <v>14</v>
      </c>
      <c r="F602" s="665">
        <v>4491.0</v>
      </c>
      <c r="G602" s="665">
        <v>3173.0</v>
      </c>
      <c r="H602" s="665">
        <v>70.65</v>
      </c>
      <c r="I602" s="665">
        <v>6.53</v>
      </c>
      <c r="J602" s="665">
        <v>8.95</v>
      </c>
      <c r="K602" s="665">
        <v>93617.49</v>
      </c>
      <c r="L602" s="665">
        <v>1434297.49</v>
      </c>
      <c r="M602" s="665">
        <v>20.85</v>
      </c>
      <c r="N602" s="1">
        <v>29.5044</v>
      </c>
      <c r="O602" s="1">
        <v>109930.0</v>
      </c>
      <c r="P602" s="1">
        <v>1450610.0</v>
      </c>
      <c r="Q602" s="1">
        <v>24.4778</v>
      </c>
      <c r="R602" s="1">
        <v>25183.0</v>
      </c>
    </row>
    <row r="603">
      <c r="A603" s="663" t="s">
        <v>2270</v>
      </c>
      <c r="B603" s="663" t="s">
        <v>1192</v>
      </c>
      <c r="C603" s="663" t="s">
        <v>1205</v>
      </c>
      <c r="D603" s="663" t="s">
        <v>1205</v>
      </c>
      <c r="E603" s="664" t="s">
        <v>418</v>
      </c>
      <c r="F603" s="665">
        <v>4491.0</v>
      </c>
      <c r="G603" s="665">
        <v>2980.0</v>
      </c>
      <c r="H603" s="665">
        <v>66.35</v>
      </c>
      <c r="I603" s="665">
        <v>6.09</v>
      </c>
      <c r="J603" s="665">
        <v>8.25</v>
      </c>
      <c r="K603" s="665">
        <v>87380.0</v>
      </c>
      <c r="L603" s="665">
        <v>1434297.49</v>
      </c>
      <c r="M603" s="665">
        <v>19.46</v>
      </c>
      <c r="N603" s="1">
        <v>29.3221</v>
      </c>
      <c r="O603" s="1">
        <v>87380.0</v>
      </c>
      <c r="P603" s="1">
        <v>1450610.0</v>
      </c>
      <c r="Q603" s="1">
        <v>19.4567</v>
      </c>
      <c r="R603" s="1">
        <v>25183.0</v>
      </c>
    </row>
    <row r="604">
      <c r="A604" s="663" t="s">
        <v>2270</v>
      </c>
      <c r="B604" s="663" t="s">
        <v>1192</v>
      </c>
      <c r="C604" s="663" t="s">
        <v>1205</v>
      </c>
      <c r="D604" s="663" t="s">
        <v>1205</v>
      </c>
      <c r="E604" s="664" t="s">
        <v>413</v>
      </c>
      <c r="F604" s="665">
        <v>4491.0</v>
      </c>
      <c r="G604" s="665">
        <v>2398.0</v>
      </c>
      <c r="H604" s="665">
        <v>53.4</v>
      </c>
      <c r="I604" s="665">
        <v>5.25</v>
      </c>
      <c r="J604" s="665">
        <v>7.91</v>
      </c>
      <c r="K604" s="665">
        <v>75255.0</v>
      </c>
      <c r="L604" s="665">
        <v>1434297.49</v>
      </c>
      <c r="M604" s="665">
        <v>16.76</v>
      </c>
      <c r="N604" s="1">
        <v>31.3824</v>
      </c>
      <c r="O604" s="1">
        <v>75255.0</v>
      </c>
      <c r="P604" s="1">
        <v>1450610.0</v>
      </c>
      <c r="Q604" s="1">
        <v>16.7568</v>
      </c>
      <c r="R604" s="1">
        <v>25183.0</v>
      </c>
    </row>
    <row r="605">
      <c r="A605" s="663" t="s">
        <v>2270</v>
      </c>
      <c r="B605" s="663" t="s">
        <v>1192</v>
      </c>
      <c r="C605" s="663" t="s">
        <v>1205</v>
      </c>
      <c r="D605" s="663" t="s">
        <v>1205</v>
      </c>
      <c r="E605" s="664" t="s">
        <v>396</v>
      </c>
      <c r="F605" s="665">
        <v>4491.0</v>
      </c>
      <c r="G605" s="665">
        <v>1496.0</v>
      </c>
      <c r="H605" s="665">
        <v>33.31</v>
      </c>
      <c r="I605" s="665">
        <v>4.32</v>
      </c>
      <c r="J605" s="665">
        <v>5.46</v>
      </c>
      <c r="K605" s="665">
        <v>61995.0</v>
      </c>
      <c r="L605" s="665">
        <v>1434297.49</v>
      </c>
      <c r="M605" s="665">
        <v>13.8</v>
      </c>
      <c r="N605" s="1">
        <v>41.4405</v>
      </c>
      <c r="O605" s="1">
        <v>61995.0</v>
      </c>
      <c r="P605" s="1">
        <v>1450610.0</v>
      </c>
      <c r="Q605" s="1">
        <v>13.8043</v>
      </c>
      <c r="R605" s="1">
        <v>25183.0</v>
      </c>
    </row>
    <row r="606">
      <c r="A606" s="663" t="s">
        <v>2270</v>
      </c>
      <c r="B606" s="663" t="s">
        <v>1192</v>
      </c>
      <c r="C606" s="663" t="s">
        <v>1205</v>
      </c>
      <c r="D606" s="663" t="s">
        <v>1205</v>
      </c>
      <c r="E606" s="664" t="s">
        <v>411</v>
      </c>
      <c r="F606" s="665">
        <v>4491.0</v>
      </c>
      <c r="G606" s="665">
        <v>1165.0</v>
      </c>
      <c r="H606" s="665">
        <v>25.94</v>
      </c>
      <c r="I606" s="665">
        <v>2.3</v>
      </c>
      <c r="J606" s="665">
        <v>1.51</v>
      </c>
      <c r="K606" s="665">
        <v>32935.0</v>
      </c>
      <c r="L606" s="665">
        <v>1434297.49</v>
      </c>
      <c r="M606" s="665">
        <v>7.33</v>
      </c>
      <c r="N606" s="1">
        <v>28.2704</v>
      </c>
      <c r="O606" s="1">
        <v>32935.0</v>
      </c>
      <c r="P606" s="1">
        <v>1450610.0</v>
      </c>
      <c r="Q606" s="1">
        <v>7.3336</v>
      </c>
      <c r="R606" s="1">
        <v>25183.0</v>
      </c>
    </row>
    <row r="607">
      <c r="A607" s="663" t="s">
        <v>2270</v>
      </c>
      <c r="B607" s="663" t="s">
        <v>1192</v>
      </c>
      <c r="C607" s="663" t="s">
        <v>1205</v>
      </c>
      <c r="D607" s="663" t="s">
        <v>1205</v>
      </c>
      <c r="E607" s="664" t="s">
        <v>42</v>
      </c>
      <c r="F607" s="665">
        <v>4491.0</v>
      </c>
      <c r="G607" s="665">
        <v>494.0</v>
      </c>
      <c r="H607" s="665">
        <v>11.0</v>
      </c>
      <c r="I607" s="665">
        <v>1.19</v>
      </c>
      <c r="J607" s="665">
        <v>1.11</v>
      </c>
      <c r="K607" s="665">
        <v>17110.0</v>
      </c>
      <c r="L607" s="665">
        <v>1434297.49</v>
      </c>
      <c r="M607" s="665">
        <v>3.81</v>
      </c>
      <c r="N607" s="1">
        <v>34.6356</v>
      </c>
      <c r="O607" s="1">
        <v>17110.0</v>
      </c>
      <c r="P607" s="1">
        <v>1450610.0</v>
      </c>
      <c r="Q607" s="1">
        <v>3.8098</v>
      </c>
      <c r="R607" s="1">
        <v>25183.0</v>
      </c>
    </row>
    <row r="608">
      <c r="A608" s="663" t="s">
        <v>2270</v>
      </c>
      <c r="B608" s="663" t="s">
        <v>1192</v>
      </c>
      <c r="C608" s="663" t="s">
        <v>1205</v>
      </c>
      <c r="D608" s="663" t="s">
        <v>1205</v>
      </c>
      <c r="E608" s="664" t="s">
        <v>9</v>
      </c>
      <c r="F608" s="665">
        <v>4491.0</v>
      </c>
      <c r="G608" s="665">
        <v>1080.0</v>
      </c>
      <c r="H608" s="665">
        <v>24.05</v>
      </c>
      <c r="I608" s="665">
        <v>1.09</v>
      </c>
      <c r="J608" s="665">
        <v>1.15</v>
      </c>
      <c r="K608" s="665">
        <v>15665.0</v>
      </c>
      <c r="L608" s="665">
        <v>1434297.49</v>
      </c>
      <c r="M608" s="665">
        <v>3.49</v>
      </c>
      <c r="N608" s="1">
        <v>14.5046</v>
      </c>
      <c r="O608" s="1">
        <v>15665.0</v>
      </c>
      <c r="P608" s="1">
        <v>1450610.0</v>
      </c>
      <c r="Q608" s="1">
        <v>3.4881</v>
      </c>
      <c r="R608" s="1">
        <v>25183.0</v>
      </c>
    </row>
    <row r="609">
      <c r="A609" s="663" t="s">
        <v>2270</v>
      </c>
      <c r="B609" s="663" t="s">
        <v>1192</v>
      </c>
      <c r="C609" s="663" t="s">
        <v>1205</v>
      </c>
      <c r="D609" s="663" t="s">
        <v>1205</v>
      </c>
      <c r="E609" s="664" t="s">
        <v>341</v>
      </c>
      <c r="F609" s="665">
        <v>4491.0</v>
      </c>
      <c r="G609" s="665">
        <v>59.0</v>
      </c>
      <c r="H609" s="665">
        <v>1.31</v>
      </c>
      <c r="I609" s="665">
        <v>0.37</v>
      </c>
      <c r="J609" s="665">
        <v>0.34</v>
      </c>
      <c r="K609" s="665">
        <v>5350.0</v>
      </c>
      <c r="L609" s="665">
        <v>1434297.49</v>
      </c>
      <c r="M609" s="665">
        <v>1.19</v>
      </c>
      <c r="N609" s="1">
        <v>90.678</v>
      </c>
      <c r="O609" s="1">
        <v>5350.0</v>
      </c>
      <c r="P609" s="1">
        <v>1450610.0</v>
      </c>
      <c r="Q609" s="1">
        <v>1.1913</v>
      </c>
      <c r="R609" s="1">
        <v>25183.0</v>
      </c>
    </row>
    <row r="610">
      <c r="A610" s="663" t="s">
        <v>2270</v>
      </c>
      <c r="B610" s="663" t="s">
        <v>1192</v>
      </c>
      <c r="C610" s="663" t="s">
        <v>1205</v>
      </c>
      <c r="D610" s="663" t="s">
        <v>1205</v>
      </c>
      <c r="E610" s="664" t="s">
        <v>63</v>
      </c>
      <c r="F610" s="665">
        <v>4491.0</v>
      </c>
      <c r="G610" s="665">
        <v>94.0</v>
      </c>
      <c r="H610" s="665">
        <v>2.09</v>
      </c>
      <c r="I610" s="665">
        <v>0.34</v>
      </c>
      <c r="J610" s="665">
        <v>0.37</v>
      </c>
      <c r="K610" s="665">
        <v>4825.0</v>
      </c>
      <c r="L610" s="665">
        <v>1434297.49</v>
      </c>
      <c r="M610" s="665">
        <v>1.07</v>
      </c>
      <c r="N610" s="1">
        <v>51.3298</v>
      </c>
      <c r="O610" s="1">
        <v>4825.0</v>
      </c>
      <c r="P610" s="1">
        <v>1450610.0</v>
      </c>
      <c r="Q610" s="1">
        <v>1.0744</v>
      </c>
      <c r="R610" s="1">
        <v>25183.0</v>
      </c>
    </row>
    <row r="611">
      <c r="A611" s="663" t="s">
        <v>2270</v>
      </c>
      <c r="B611" s="663" t="s">
        <v>1192</v>
      </c>
      <c r="C611" s="663" t="s">
        <v>1205</v>
      </c>
      <c r="D611" s="663" t="s">
        <v>1205</v>
      </c>
      <c r="E611" s="664" t="s">
        <v>329</v>
      </c>
      <c r="F611" s="665">
        <v>4491.0</v>
      </c>
      <c r="G611" s="665">
        <v>40.0</v>
      </c>
      <c r="H611" s="665">
        <v>0.89</v>
      </c>
      <c r="I611" s="665">
        <v>0.26</v>
      </c>
      <c r="J611" s="665">
        <v>0.4</v>
      </c>
      <c r="K611" s="665">
        <v>3700.0</v>
      </c>
      <c r="L611" s="665">
        <v>1434297.49</v>
      </c>
      <c r="M611" s="665">
        <v>0.82</v>
      </c>
      <c r="N611" s="1">
        <v>92.5</v>
      </c>
      <c r="O611" s="1">
        <v>3700.0</v>
      </c>
      <c r="P611" s="1">
        <v>1450610.0</v>
      </c>
      <c r="Q611" s="1">
        <v>0.8239</v>
      </c>
      <c r="R611" s="1">
        <v>25183.0</v>
      </c>
    </row>
    <row r="612">
      <c r="A612" s="663" t="s">
        <v>2270</v>
      </c>
      <c r="B612" s="663" t="s">
        <v>1192</v>
      </c>
      <c r="C612" s="663" t="s">
        <v>1205</v>
      </c>
      <c r="D612" s="663" t="s">
        <v>1205</v>
      </c>
      <c r="E612" s="664" t="s">
        <v>7</v>
      </c>
      <c r="F612" s="665">
        <v>4491.0</v>
      </c>
      <c r="G612" s="665">
        <v>18.0</v>
      </c>
      <c r="H612" s="665">
        <v>0.4</v>
      </c>
      <c r="I612" s="665">
        <v>0.18</v>
      </c>
      <c r="J612" s="665">
        <v>0.13</v>
      </c>
      <c r="K612" s="665">
        <v>2650.0</v>
      </c>
      <c r="L612" s="665">
        <v>1434297.49</v>
      </c>
      <c r="M612" s="665">
        <v>0.59</v>
      </c>
      <c r="N612" s="1">
        <v>147.2222</v>
      </c>
      <c r="O612" s="1">
        <v>2650.0</v>
      </c>
      <c r="P612" s="1">
        <v>1450610.0</v>
      </c>
      <c r="Q612" s="1">
        <v>0.5901</v>
      </c>
      <c r="R612" s="1">
        <v>25183.0</v>
      </c>
    </row>
    <row r="613">
      <c r="A613" s="663" t="s">
        <v>2270</v>
      </c>
      <c r="B613" s="663" t="s">
        <v>1192</v>
      </c>
      <c r="C613" s="663" t="s">
        <v>1205</v>
      </c>
      <c r="D613" s="663" t="s">
        <v>1205</v>
      </c>
      <c r="E613" s="664" t="s">
        <v>338</v>
      </c>
      <c r="F613" s="665">
        <v>4491.0</v>
      </c>
      <c r="G613" s="665">
        <v>20.0</v>
      </c>
      <c r="H613" s="665">
        <v>0.45</v>
      </c>
      <c r="I613" s="665">
        <v>0.1</v>
      </c>
      <c r="J613" s="665">
        <v>0.16</v>
      </c>
      <c r="K613" s="665">
        <v>1400.0</v>
      </c>
      <c r="L613" s="665">
        <v>1434297.49</v>
      </c>
      <c r="M613" s="665">
        <v>0.31</v>
      </c>
      <c r="N613" s="1">
        <v>70.0</v>
      </c>
      <c r="O613" s="1">
        <v>1400.0</v>
      </c>
      <c r="P613" s="1">
        <v>1450610.0</v>
      </c>
      <c r="Q613" s="1">
        <v>0.3117</v>
      </c>
      <c r="R613" s="1">
        <v>25183.0</v>
      </c>
    </row>
    <row r="614">
      <c r="A614" s="663" t="s">
        <v>2270</v>
      </c>
      <c r="B614" s="663" t="s">
        <v>1192</v>
      </c>
      <c r="C614" s="663" t="s">
        <v>1205</v>
      </c>
      <c r="D614" s="663" t="s">
        <v>1205</v>
      </c>
      <c r="E614" s="664" t="s">
        <v>401</v>
      </c>
      <c r="F614" s="665">
        <v>4491.0</v>
      </c>
      <c r="G614" s="665">
        <v>34.0</v>
      </c>
      <c r="H614" s="665">
        <v>0.76</v>
      </c>
      <c r="I614" s="665">
        <v>0.08</v>
      </c>
      <c r="J614" s="665">
        <v>0.09</v>
      </c>
      <c r="K614" s="665">
        <v>1100.0</v>
      </c>
      <c r="L614" s="665">
        <v>1434297.49</v>
      </c>
      <c r="M614" s="665">
        <v>0.24</v>
      </c>
      <c r="N614" s="1">
        <v>32.3529</v>
      </c>
      <c r="O614" s="1">
        <v>1100.0</v>
      </c>
      <c r="P614" s="1">
        <v>1450610.0</v>
      </c>
      <c r="Q614" s="1">
        <v>0.2449</v>
      </c>
      <c r="R614" s="1">
        <v>25183.0</v>
      </c>
    </row>
    <row r="615">
      <c r="A615" s="663" t="s">
        <v>2270</v>
      </c>
      <c r="B615" s="663" t="s">
        <v>1192</v>
      </c>
      <c r="C615" s="663" t="s">
        <v>1205</v>
      </c>
      <c r="D615" s="663" t="s">
        <v>1205</v>
      </c>
      <c r="E615" s="664" t="s">
        <v>206</v>
      </c>
      <c r="F615" s="665">
        <v>4491.0</v>
      </c>
      <c r="G615" s="665">
        <v>33.0</v>
      </c>
      <c r="H615" s="665">
        <v>0.73</v>
      </c>
      <c r="I615" s="665">
        <v>0.06</v>
      </c>
      <c r="J615" s="665">
        <v>0.05</v>
      </c>
      <c r="K615" s="665">
        <v>875.0</v>
      </c>
      <c r="L615" s="665">
        <v>1434297.49</v>
      </c>
      <c r="M615" s="665">
        <v>0.19</v>
      </c>
      <c r="N615" s="1">
        <v>26.5152</v>
      </c>
      <c r="O615" s="1">
        <v>875.0</v>
      </c>
      <c r="P615" s="1">
        <v>1450610.0</v>
      </c>
      <c r="Q615" s="1">
        <v>0.1948</v>
      </c>
      <c r="R615" s="1">
        <v>25183.0</v>
      </c>
    </row>
    <row r="616">
      <c r="A616" s="663" t="s">
        <v>2270</v>
      </c>
      <c r="B616" s="663" t="s">
        <v>1192</v>
      </c>
      <c r="C616" s="663" t="s">
        <v>1205</v>
      </c>
      <c r="D616" s="663" t="s">
        <v>1205</v>
      </c>
      <c r="E616" s="664" t="s">
        <v>73</v>
      </c>
      <c r="F616" s="665">
        <v>4491.0</v>
      </c>
      <c r="G616" s="665">
        <v>23.0</v>
      </c>
      <c r="H616" s="665">
        <v>0.51</v>
      </c>
      <c r="I616" s="665">
        <v>0.04</v>
      </c>
      <c r="J616" s="665">
        <v>0.02</v>
      </c>
      <c r="K616" s="665">
        <v>600.0</v>
      </c>
      <c r="L616" s="665">
        <v>1434297.49</v>
      </c>
      <c r="M616" s="665">
        <v>0.13</v>
      </c>
      <c r="N616" s="1">
        <v>26.087</v>
      </c>
      <c r="O616" s="1">
        <v>600.0</v>
      </c>
      <c r="P616" s="1">
        <v>1450610.0</v>
      </c>
      <c r="Q616" s="1">
        <v>0.1336</v>
      </c>
      <c r="R616" s="1">
        <v>25183.0</v>
      </c>
    </row>
    <row r="617">
      <c r="A617" s="663" t="s">
        <v>2270</v>
      </c>
      <c r="B617" s="663" t="s">
        <v>1192</v>
      </c>
      <c r="C617" s="663" t="s">
        <v>1205</v>
      </c>
      <c r="D617" s="663" t="s">
        <v>1205</v>
      </c>
      <c r="E617" s="664" t="s">
        <v>151</v>
      </c>
      <c r="F617" s="665">
        <v>4491.0</v>
      </c>
      <c r="G617" s="665">
        <v>4.0</v>
      </c>
      <c r="H617" s="665">
        <v>0.09</v>
      </c>
      <c r="I617" s="665">
        <v>0.01</v>
      </c>
      <c r="J617" s="665">
        <v>0.04</v>
      </c>
      <c r="K617" s="665">
        <v>185.0</v>
      </c>
      <c r="L617" s="665">
        <v>1434297.49</v>
      </c>
      <c r="M617" s="665">
        <v>0.04</v>
      </c>
      <c r="N617" s="1">
        <v>46.25</v>
      </c>
      <c r="O617" s="1">
        <v>185.0</v>
      </c>
      <c r="P617" s="1">
        <v>1450610.0</v>
      </c>
      <c r="Q617" s="1">
        <v>0.0412</v>
      </c>
      <c r="R617" s="1">
        <v>25183.0</v>
      </c>
    </row>
    <row r="618">
      <c r="A618" s="663" t="s">
        <v>2270</v>
      </c>
      <c r="B618" s="663" t="s">
        <v>1192</v>
      </c>
      <c r="C618" s="663" t="s">
        <v>47</v>
      </c>
      <c r="D618" s="663" t="s">
        <v>599</v>
      </c>
      <c r="E618" s="664" t="s">
        <v>398</v>
      </c>
      <c r="F618" s="665">
        <v>4126.0</v>
      </c>
      <c r="G618" s="665">
        <v>2536.0</v>
      </c>
      <c r="H618" s="665">
        <v>61.46</v>
      </c>
      <c r="I618" s="665">
        <v>22.57</v>
      </c>
      <c r="J618" s="665">
        <v>18.17</v>
      </c>
      <c r="K618" s="665">
        <v>6322.0</v>
      </c>
      <c r="L618" s="665">
        <v>28010.0</v>
      </c>
      <c r="M618" s="665">
        <v>1.53</v>
      </c>
      <c r="N618" s="1">
        <v>2.4929</v>
      </c>
      <c r="O618" s="1">
        <v>6322.0</v>
      </c>
      <c r="P618" s="1">
        <v>28010.0</v>
      </c>
      <c r="Q618" s="1">
        <v>1.5322</v>
      </c>
      <c r="R618" s="1">
        <v>25183.0</v>
      </c>
    </row>
    <row r="619">
      <c r="A619" s="663" t="s">
        <v>2270</v>
      </c>
      <c r="B619" s="663" t="s">
        <v>1192</v>
      </c>
      <c r="C619" s="663" t="s">
        <v>47</v>
      </c>
      <c r="D619" s="663" t="s">
        <v>599</v>
      </c>
      <c r="E619" s="664" t="s">
        <v>14</v>
      </c>
      <c r="F619" s="665">
        <v>4126.0</v>
      </c>
      <c r="G619" s="665">
        <v>3180.0</v>
      </c>
      <c r="H619" s="665">
        <v>77.07</v>
      </c>
      <c r="I619" s="665">
        <v>20.27</v>
      </c>
      <c r="J619" s="665">
        <v>25.57</v>
      </c>
      <c r="K619" s="665">
        <v>5678.0</v>
      </c>
      <c r="L619" s="665">
        <v>28010.0</v>
      </c>
      <c r="M619" s="665">
        <v>1.38</v>
      </c>
      <c r="N619" s="1">
        <v>1.7855</v>
      </c>
      <c r="O619" s="1">
        <v>5678.0</v>
      </c>
      <c r="P619" s="1">
        <v>28010.0</v>
      </c>
      <c r="Q619" s="1">
        <v>1.3762</v>
      </c>
      <c r="R619" s="1">
        <v>25183.0</v>
      </c>
    </row>
    <row r="620">
      <c r="A620" s="663" t="s">
        <v>2270</v>
      </c>
      <c r="B620" s="663" t="s">
        <v>1192</v>
      </c>
      <c r="C620" s="663" t="s">
        <v>47</v>
      </c>
      <c r="D620" s="663" t="s">
        <v>599</v>
      </c>
      <c r="E620" s="664" t="s">
        <v>411</v>
      </c>
      <c r="F620" s="665">
        <v>4126.0</v>
      </c>
      <c r="G620" s="665">
        <v>2624.0</v>
      </c>
      <c r="H620" s="665">
        <v>63.6</v>
      </c>
      <c r="I620" s="665">
        <v>15.59</v>
      </c>
      <c r="J620" s="665">
        <v>19.12</v>
      </c>
      <c r="K620" s="665">
        <v>4368.0</v>
      </c>
      <c r="L620" s="665">
        <v>28010.0</v>
      </c>
      <c r="M620" s="665">
        <v>1.06</v>
      </c>
      <c r="N620" s="1">
        <v>1.6646</v>
      </c>
      <c r="O620" s="1">
        <v>4368.0</v>
      </c>
      <c r="P620" s="1">
        <v>28010.0</v>
      </c>
      <c r="Q620" s="1">
        <v>1.0587</v>
      </c>
      <c r="R620" s="1">
        <v>25183.0</v>
      </c>
    </row>
    <row r="621">
      <c r="A621" s="663" t="s">
        <v>2270</v>
      </c>
      <c r="B621" s="663" t="s">
        <v>1192</v>
      </c>
      <c r="C621" s="663" t="s">
        <v>47</v>
      </c>
      <c r="D621" s="663" t="s">
        <v>599</v>
      </c>
      <c r="E621" s="664" t="s">
        <v>9</v>
      </c>
      <c r="F621" s="665">
        <v>4126.0</v>
      </c>
      <c r="G621" s="665">
        <v>2241.0</v>
      </c>
      <c r="H621" s="665">
        <v>54.31</v>
      </c>
      <c r="I621" s="665">
        <v>14.13</v>
      </c>
      <c r="J621" s="665">
        <v>13.06</v>
      </c>
      <c r="K621" s="665">
        <v>3957.0</v>
      </c>
      <c r="L621" s="665">
        <v>28010.0</v>
      </c>
      <c r="M621" s="665">
        <v>0.96</v>
      </c>
      <c r="N621" s="1">
        <v>1.7657</v>
      </c>
      <c r="O621" s="1">
        <v>3957.0</v>
      </c>
      <c r="P621" s="1">
        <v>28010.0</v>
      </c>
      <c r="Q621" s="1">
        <v>0.959</v>
      </c>
      <c r="R621" s="1">
        <v>25183.0</v>
      </c>
    </row>
    <row r="622">
      <c r="A622" s="663" t="s">
        <v>2270</v>
      </c>
      <c r="B622" s="663" t="s">
        <v>1192</v>
      </c>
      <c r="C622" s="663" t="s">
        <v>47</v>
      </c>
      <c r="D622" s="663" t="s">
        <v>599</v>
      </c>
      <c r="E622" s="664" t="s">
        <v>413</v>
      </c>
      <c r="F622" s="665">
        <v>4126.0</v>
      </c>
      <c r="G622" s="665">
        <v>1944.0</v>
      </c>
      <c r="H622" s="665">
        <v>47.12</v>
      </c>
      <c r="I622" s="665">
        <v>14.03</v>
      </c>
      <c r="J622" s="665">
        <v>11.46</v>
      </c>
      <c r="K622" s="665">
        <v>3931.0</v>
      </c>
      <c r="L622" s="665">
        <v>28010.0</v>
      </c>
      <c r="M622" s="665">
        <v>0.95</v>
      </c>
      <c r="N622" s="1">
        <v>2.0221</v>
      </c>
      <c r="O622" s="1">
        <v>3931.0</v>
      </c>
      <c r="P622" s="1">
        <v>28010.0</v>
      </c>
      <c r="Q622" s="1">
        <v>0.9527</v>
      </c>
      <c r="R622" s="1">
        <v>25183.0</v>
      </c>
    </row>
    <row r="623">
      <c r="A623" s="663" t="s">
        <v>2270</v>
      </c>
      <c r="B623" s="663" t="s">
        <v>1192</v>
      </c>
      <c r="C623" s="663" t="s">
        <v>47</v>
      </c>
      <c r="D623" s="663" t="s">
        <v>599</v>
      </c>
      <c r="E623" s="664" t="s">
        <v>418</v>
      </c>
      <c r="F623" s="665">
        <v>4126.0</v>
      </c>
      <c r="G623" s="665">
        <v>1338.0</v>
      </c>
      <c r="H623" s="665">
        <v>32.43</v>
      </c>
      <c r="I623" s="665">
        <v>5.23</v>
      </c>
      <c r="J623" s="665">
        <v>5.1</v>
      </c>
      <c r="K623" s="665">
        <v>1466.0</v>
      </c>
      <c r="L623" s="665">
        <v>28010.0</v>
      </c>
      <c r="M623" s="665">
        <v>0.36</v>
      </c>
      <c r="N623" s="1">
        <v>1.0957</v>
      </c>
      <c r="O623" s="1">
        <v>1466.0</v>
      </c>
      <c r="P623" s="1">
        <v>28010.0</v>
      </c>
      <c r="Q623" s="1">
        <v>0.3553</v>
      </c>
      <c r="R623" s="1">
        <v>25183.0</v>
      </c>
    </row>
    <row r="624">
      <c r="A624" s="663" t="s">
        <v>2270</v>
      </c>
      <c r="B624" s="663" t="s">
        <v>1192</v>
      </c>
      <c r="C624" s="663" t="s">
        <v>47</v>
      </c>
      <c r="D624" s="663" t="s">
        <v>599</v>
      </c>
      <c r="E624" s="664" t="s">
        <v>63</v>
      </c>
      <c r="F624" s="665">
        <v>4126.0</v>
      </c>
      <c r="G624" s="665">
        <v>860.0</v>
      </c>
      <c r="H624" s="665">
        <v>20.84</v>
      </c>
      <c r="I624" s="665">
        <v>3.82</v>
      </c>
      <c r="J624" s="665">
        <v>3.31</v>
      </c>
      <c r="K624" s="665">
        <v>1069.0</v>
      </c>
      <c r="L624" s="665">
        <v>28010.0</v>
      </c>
      <c r="M624" s="665">
        <v>0.26</v>
      </c>
      <c r="N624" s="1">
        <v>1.243</v>
      </c>
      <c r="O624" s="1">
        <v>1069.0</v>
      </c>
      <c r="P624" s="1">
        <v>28010.0</v>
      </c>
      <c r="Q624" s="1">
        <v>0.2591</v>
      </c>
      <c r="R624" s="1">
        <v>25183.0</v>
      </c>
    </row>
    <row r="625">
      <c r="A625" s="663" t="s">
        <v>2270</v>
      </c>
      <c r="B625" s="663" t="s">
        <v>1192</v>
      </c>
      <c r="C625" s="663" t="s">
        <v>47</v>
      </c>
      <c r="D625" s="663" t="s">
        <v>599</v>
      </c>
      <c r="E625" s="664" t="s">
        <v>51</v>
      </c>
      <c r="F625" s="665">
        <v>4126.0</v>
      </c>
      <c r="G625" s="665">
        <v>430.0</v>
      </c>
      <c r="H625" s="665">
        <v>10.42</v>
      </c>
      <c r="I625" s="665">
        <v>1.89</v>
      </c>
      <c r="J625" s="665">
        <v>1.69</v>
      </c>
      <c r="K625" s="665">
        <v>529.0</v>
      </c>
      <c r="L625" s="665">
        <v>28010.0</v>
      </c>
      <c r="M625" s="665">
        <v>0.13</v>
      </c>
      <c r="N625" s="1">
        <v>1.2302</v>
      </c>
      <c r="O625" s="1">
        <v>529.0</v>
      </c>
      <c r="P625" s="1">
        <v>28010.0</v>
      </c>
      <c r="Q625" s="1">
        <v>0.1282</v>
      </c>
      <c r="R625" s="1">
        <v>25183.0</v>
      </c>
    </row>
    <row r="626">
      <c r="A626" s="663" t="s">
        <v>2270</v>
      </c>
      <c r="B626" s="663" t="s">
        <v>1192</v>
      </c>
      <c r="C626" s="663" t="s">
        <v>47</v>
      </c>
      <c r="D626" s="663" t="s">
        <v>599</v>
      </c>
      <c r="E626" s="664" t="s">
        <v>16</v>
      </c>
      <c r="F626" s="665">
        <v>4126.0</v>
      </c>
      <c r="G626" s="665">
        <v>269.0</v>
      </c>
      <c r="H626" s="665">
        <v>6.52</v>
      </c>
      <c r="I626" s="665">
        <v>1.15</v>
      </c>
      <c r="J626" s="665">
        <v>1.17</v>
      </c>
      <c r="K626" s="665">
        <v>322.0</v>
      </c>
      <c r="L626" s="665">
        <v>28010.0</v>
      </c>
      <c r="M626" s="665">
        <v>0.08</v>
      </c>
      <c r="N626" s="1">
        <v>1.197</v>
      </c>
      <c r="O626" s="1">
        <v>322.0</v>
      </c>
      <c r="P626" s="1">
        <v>28010.0</v>
      </c>
      <c r="Q626" s="1">
        <v>0.078</v>
      </c>
      <c r="R626" s="1">
        <v>25183.0</v>
      </c>
    </row>
    <row r="627">
      <c r="A627" s="663" t="s">
        <v>2270</v>
      </c>
      <c r="B627" s="663" t="s">
        <v>1192</v>
      </c>
      <c r="C627" s="663" t="s">
        <v>47</v>
      </c>
      <c r="D627" s="663" t="s">
        <v>599</v>
      </c>
      <c r="E627" s="664" t="s">
        <v>396</v>
      </c>
      <c r="F627" s="665">
        <v>4126.0</v>
      </c>
      <c r="G627" s="665">
        <v>196.0</v>
      </c>
      <c r="H627" s="665">
        <v>4.75</v>
      </c>
      <c r="I627" s="665">
        <v>0.72</v>
      </c>
      <c r="J627" s="665">
        <v>0.87</v>
      </c>
      <c r="K627" s="665">
        <v>203.0</v>
      </c>
      <c r="L627" s="665">
        <v>28010.0</v>
      </c>
      <c r="M627" s="665">
        <v>0.05</v>
      </c>
      <c r="N627" s="1">
        <v>1.0357</v>
      </c>
      <c r="O627" s="1">
        <v>203.0</v>
      </c>
      <c r="P627" s="1">
        <v>28010.0</v>
      </c>
      <c r="Q627" s="1">
        <v>0.0492</v>
      </c>
      <c r="R627" s="1">
        <v>25183.0</v>
      </c>
    </row>
    <row r="628">
      <c r="A628" s="663" t="s">
        <v>2270</v>
      </c>
      <c r="B628" s="663" t="s">
        <v>1192</v>
      </c>
      <c r="C628" s="663" t="s">
        <v>47</v>
      </c>
      <c r="D628" s="663" t="s">
        <v>599</v>
      </c>
      <c r="E628" s="664" t="s">
        <v>42</v>
      </c>
      <c r="F628" s="665">
        <v>4126.0</v>
      </c>
      <c r="G628" s="665">
        <v>101.0</v>
      </c>
      <c r="H628" s="665">
        <v>2.45</v>
      </c>
      <c r="I628" s="665">
        <v>0.38</v>
      </c>
      <c r="J628" s="665">
        <v>0.27</v>
      </c>
      <c r="K628" s="665">
        <v>106.0</v>
      </c>
      <c r="L628" s="665">
        <v>28010.0</v>
      </c>
      <c r="M628" s="665">
        <v>0.03</v>
      </c>
      <c r="N628" s="1">
        <v>1.0495</v>
      </c>
      <c r="O628" s="1">
        <v>106.0</v>
      </c>
      <c r="P628" s="1">
        <v>28010.0</v>
      </c>
      <c r="Q628" s="1">
        <v>0.0257</v>
      </c>
      <c r="R628" s="1">
        <v>25183.0</v>
      </c>
    </row>
    <row r="629">
      <c r="A629" s="663" t="s">
        <v>2270</v>
      </c>
      <c r="B629" s="663" t="s">
        <v>1192</v>
      </c>
      <c r="C629" s="663" t="s">
        <v>47</v>
      </c>
      <c r="D629" s="663" t="s">
        <v>599</v>
      </c>
      <c r="E629" s="664" t="s">
        <v>7</v>
      </c>
      <c r="F629" s="665">
        <v>4126.0</v>
      </c>
      <c r="G629" s="665">
        <v>25.0</v>
      </c>
      <c r="H629" s="665">
        <v>0.61</v>
      </c>
      <c r="I629" s="665">
        <v>0.1</v>
      </c>
      <c r="J629" s="665">
        <v>0.08</v>
      </c>
      <c r="K629" s="665">
        <v>29.0</v>
      </c>
      <c r="L629" s="665">
        <v>28010.0</v>
      </c>
      <c r="M629" s="665">
        <v>0.01</v>
      </c>
      <c r="N629" s="1">
        <v>1.16</v>
      </c>
      <c r="O629" s="1">
        <v>29.0</v>
      </c>
      <c r="P629" s="1">
        <v>28010.0</v>
      </c>
      <c r="Q629" s="1">
        <v>0.007</v>
      </c>
      <c r="R629" s="1">
        <v>25183.0</v>
      </c>
    </row>
    <row r="630">
      <c r="A630" s="663" t="s">
        <v>2270</v>
      </c>
      <c r="B630" s="663" t="s">
        <v>1192</v>
      </c>
      <c r="C630" s="663" t="s">
        <v>47</v>
      </c>
      <c r="D630" s="663" t="s">
        <v>599</v>
      </c>
      <c r="E630" s="664" t="s">
        <v>401</v>
      </c>
      <c r="F630" s="665">
        <v>4126.0</v>
      </c>
      <c r="G630" s="665">
        <v>11.0</v>
      </c>
      <c r="H630" s="665">
        <v>0.27</v>
      </c>
      <c r="I630" s="665">
        <v>0.05</v>
      </c>
      <c r="J630" s="665">
        <v>0.09</v>
      </c>
      <c r="K630" s="665">
        <v>14.0</v>
      </c>
      <c r="L630" s="665">
        <v>28010.0</v>
      </c>
      <c r="M630" s="665">
        <v>0.0</v>
      </c>
      <c r="N630" s="1">
        <v>1.2727</v>
      </c>
      <c r="O630" s="1">
        <v>14.0</v>
      </c>
      <c r="P630" s="1">
        <v>28010.0</v>
      </c>
      <c r="Q630" s="1">
        <v>0.0034</v>
      </c>
      <c r="R630" s="1">
        <v>25183.0</v>
      </c>
    </row>
    <row r="631">
      <c r="A631" s="663" t="s">
        <v>2270</v>
      </c>
      <c r="B631" s="663" t="s">
        <v>1192</v>
      </c>
      <c r="C631" s="663" t="s">
        <v>47</v>
      </c>
      <c r="D631" s="663" t="s">
        <v>599</v>
      </c>
      <c r="E631" s="664" t="s">
        <v>206</v>
      </c>
      <c r="F631" s="665">
        <v>4126.0</v>
      </c>
      <c r="G631" s="665">
        <v>9.0</v>
      </c>
      <c r="H631" s="665">
        <v>0.22</v>
      </c>
      <c r="I631" s="665">
        <v>0.03</v>
      </c>
      <c r="J631" s="665">
        <v>0.02</v>
      </c>
      <c r="K631" s="665">
        <v>9.0</v>
      </c>
      <c r="L631" s="665">
        <v>28010.0</v>
      </c>
      <c r="M631" s="665">
        <v>0.0</v>
      </c>
      <c r="N631" s="1">
        <v>1.0</v>
      </c>
      <c r="O631" s="1">
        <v>9.0</v>
      </c>
      <c r="P631" s="1">
        <v>28010.0</v>
      </c>
      <c r="Q631" s="1">
        <v>0.0022</v>
      </c>
      <c r="R631" s="1">
        <v>25183.0</v>
      </c>
    </row>
    <row r="632">
      <c r="A632" s="663" t="s">
        <v>2270</v>
      </c>
      <c r="B632" s="663" t="s">
        <v>1192</v>
      </c>
      <c r="C632" s="663" t="s">
        <v>47</v>
      </c>
      <c r="D632" s="663" t="s">
        <v>599</v>
      </c>
      <c r="E632" s="664" t="s">
        <v>73</v>
      </c>
      <c r="F632" s="665">
        <v>4126.0</v>
      </c>
      <c r="G632" s="665">
        <v>6.0</v>
      </c>
      <c r="H632" s="665">
        <v>0.15</v>
      </c>
      <c r="I632" s="665">
        <v>0.02</v>
      </c>
      <c r="J632" s="665">
        <v>0.01</v>
      </c>
      <c r="K632" s="665">
        <v>6.0</v>
      </c>
      <c r="L632" s="665">
        <v>28010.0</v>
      </c>
      <c r="M632" s="665">
        <v>0.0</v>
      </c>
      <c r="N632" s="1">
        <v>1.0</v>
      </c>
      <c r="O632" s="1">
        <v>6.0</v>
      </c>
      <c r="P632" s="1">
        <v>28010.0</v>
      </c>
      <c r="Q632" s="1">
        <v>0.0015</v>
      </c>
      <c r="R632" s="1">
        <v>25183.0</v>
      </c>
    </row>
    <row r="633">
      <c r="A633" s="663" t="s">
        <v>2270</v>
      </c>
      <c r="B633" s="663" t="s">
        <v>1192</v>
      </c>
      <c r="C633" s="663" t="s">
        <v>47</v>
      </c>
      <c r="D633" s="663" t="s">
        <v>599</v>
      </c>
      <c r="E633" s="664" t="s">
        <v>151</v>
      </c>
      <c r="F633" s="665">
        <v>4126.0</v>
      </c>
      <c r="G633" s="665">
        <v>1.0</v>
      </c>
      <c r="H633" s="665">
        <v>0.02</v>
      </c>
      <c r="I633" s="665">
        <v>0.0</v>
      </c>
      <c r="J633" s="665">
        <v>0.0</v>
      </c>
      <c r="K633" s="665">
        <v>1.0</v>
      </c>
      <c r="L633" s="665">
        <v>28010.0</v>
      </c>
      <c r="M633" s="665">
        <v>0.0</v>
      </c>
      <c r="N633" s="1">
        <v>1.0</v>
      </c>
      <c r="O633" s="1">
        <v>1.0</v>
      </c>
      <c r="P633" s="1">
        <v>28010.0</v>
      </c>
      <c r="Q633" s="1">
        <v>2.0E-4</v>
      </c>
      <c r="R633" s="1">
        <v>25183.0</v>
      </c>
    </row>
    <row r="634">
      <c r="A634" s="663" t="s">
        <v>2270</v>
      </c>
      <c r="B634" s="663" t="s">
        <v>1192</v>
      </c>
      <c r="C634" s="663" t="s">
        <v>46</v>
      </c>
      <c r="D634" s="663" t="s">
        <v>599</v>
      </c>
      <c r="E634" s="664" t="s">
        <v>396</v>
      </c>
      <c r="F634" s="665">
        <v>4372.0</v>
      </c>
      <c r="G634" s="665">
        <v>4250.0</v>
      </c>
      <c r="H634" s="665">
        <v>97.21</v>
      </c>
      <c r="I634" s="665">
        <v>74.04</v>
      </c>
      <c r="J634" s="665">
        <v>74.27</v>
      </c>
      <c r="K634" s="665">
        <v>1403057.0</v>
      </c>
      <c r="L634" s="665">
        <v>1895098.07</v>
      </c>
      <c r="M634" s="665">
        <v>320.92</v>
      </c>
      <c r="N634" s="1">
        <v>330.1311</v>
      </c>
      <c r="O634" s="1">
        <v>1403057.0</v>
      </c>
      <c r="P634" s="1">
        <v>1922196.0</v>
      </c>
      <c r="Q634" s="1">
        <v>320.9188</v>
      </c>
      <c r="R634" s="1">
        <v>25183.0</v>
      </c>
    </row>
    <row r="635">
      <c r="A635" s="663" t="s">
        <v>2270</v>
      </c>
      <c r="B635" s="663" t="s">
        <v>1192</v>
      </c>
      <c r="C635" s="663" t="s">
        <v>46</v>
      </c>
      <c r="D635" s="663" t="s">
        <v>599</v>
      </c>
      <c r="E635" s="664" t="s">
        <v>14</v>
      </c>
      <c r="F635" s="665">
        <v>4372.0</v>
      </c>
      <c r="G635" s="665">
        <v>2659.0</v>
      </c>
      <c r="H635" s="665">
        <v>60.82</v>
      </c>
      <c r="I635" s="665">
        <v>13.2</v>
      </c>
      <c r="J635" s="665">
        <v>10.31</v>
      </c>
      <c r="K635" s="665">
        <v>250172.07</v>
      </c>
      <c r="L635" s="665">
        <v>1895098.07</v>
      </c>
      <c r="M635" s="665">
        <v>57.22</v>
      </c>
      <c r="N635" s="1">
        <v>94.085</v>
      </c>
      <c r="O635" s="1">
        <v>277270.0</v>
      </c>
      <c r="P635" s="1">
        <v>1922196.0</v>
      </c>
      <c r="Q635" s="1">
        <v>63.4195</v>
      </c>
      <c r="R635" s="1">
        <v>25183.0</v>
      </c>
    </row>
    <row r="636">
      <c r="A636" s="663" t="s">
        <v>2270</v>
      </c>
      <c r="B636" s="663" t="s">
        <v>1192</v>
      </c>
      <c r="C636" s="663" t="s">
        <v>46</v>
      </c>
      <c r="D636" s="663" t="s">
        <v>599</v>
      </c>
      <c r="E636" s="664" t="s">
        <v>411</v>
      </c>
      <c r="F636" s="665">
        <v>4372.0</v>
      </c>
      <c r="G636" s="665">
        <v>2334.0</v>
      </c>
      <c r="H636" s="665">
        <v>53.39</v>
      </c>
      <c r="I636" s="665">
        <v>8.91</v>
      </c>
      <c r="J636" s="665">
        <v>11.24</v>
      </c>
      <c r="K636" s="665">
        <v>168772.0</v>
      </c>
      <c r="L636" s="665">
        <v>1895098.07</v>
      </c>
      <c r="M636" s="665">
        <v>38.6</v>
      </c>
      <c r="N636" s="1">
        <v>72.3102</v>
      </c>
      <c r="O636" s="1">
        <v>168772.0</v>
      </c>
      <c r="P636" s="1">
        <v>1922196.0</v>
      </c>
      <c r="Q636" s="1">
        <v>38.6029</v>
      </c>
      <c r="R636" s="1">
        <v>25183.0</v>
      </c>
    </row>
    <row r="637">
      <c r="A637" s="663" t="s">
        <v>2270</v>
      </c>
      <c r="B637" s="663" t="s">
        <v>1192</v>
      </c>
      <c r="C637" s="663" t="s">
        <v>46</v>
      </c>
      <c r="D637" s="663" t="s">
        <v>599</v>
      </c>
      <c r="E637" s="664" t="s">
        <v>42</v>
      </c>
      <c r="F637" s="665">
        <v>4372.0</v>
      </c>
      <c r="G637" s="665">
        <v>766.0</v>
      </c>
      <c r="H637" s="665">
        <v>17.52</v>
      </c>
      <c r="I637" s="665">
        <v>2.58</v>
      </c>
      <c r="J637" s="665">
        <v>1.98</v>
      </c>
      <c r="K637" s="665">
        <v>48965.0</v>
      </c>
      <c r="L637" s="665">
        <v>1895098.07</v>
      </c>
      <c r="M637" s="665">
        <v>11.2</v>
      </c>
      <c r="N637" s="1">
        <v>63.923</v>
      </c>
      <c r="O637" s="1">
        <v>48965.0</v>
      </c>
      <c r="P637" s="1">
        <v>1922196.0</v>
      </c>
      <c r="Q637" s="1">
        <v>11.1997</v>
      </c>
      <c r="R637" s="1">
        <v>25183.0</v>
      </c>
    </row>
    <row r="638">
      <c r="A638" s="663" t="s">
        <v>2270</v>
      </c>
      <c r="B638" s="663" t="s">
        <v>1192</v>
      </c>
      <c r="C638" s="663" t="s">
        <v>46</v>
      </c>
      <c r="D638" s="663" t="s">
        <v>599</v>
      </c>
      <c r="E638" s="664" t="s">
        <v>7</v>
      </c>
      <c r="F638" s="665">
        <v>4372.0</v>
      </c>
      <c r="G638" s="665">
        <v>174.0</v>
      </c>
      <c r="H638" s="665">
        <v>3.98</v>
      </c>
      <c r="I638" s="665">
        <v>0.69</v>
      </c>
      <c r="J638" s="665">
        <v>0.7</v>
      </c>
      <c r="K638" s="665">
        <v>13130.0</v>
      </c>
      <c r="L638" s="665">
        <v>1895098.07</v>
      </c>
      <c r="M638" s="665">
        <v>3.0</v>
      </c>
      <c r="N638" s="1">
        <v>75.4598</v>
      </c>
      <c r="O638" s="1">
        <v>13130.0</v>
      </c>
      <c r="P638" s="1">
        <v>1922196.0</v>
      </c>
      <c r="Q638" s="1">
        <v>3.0032</v>
      </c>
      <c r="R638" s="1">
        <v>25183.0</v>
      </c>
    </row>
    <row r="639">
      <c r="A639" s="663" t="s">
        <v>2270</v>
      </c>
      <c r="B639" s="663" t="s">
        <v>1192</v>
      </c>
      <c r="C639" s="663" t="s">
        <v>46</v>
      </c>
      <c r="D639" s="663" t="s">
        <v>599</v>
      </c>
      <c r="E639" s="664" t="s">
        <v>51</v>
      </c>
      <c r="F639" s="665">
        <v>4372.0</v>
      </c>
      <c r="G639" s="665">
        <v>374.0</v>
      </c>
      <c r="H639" s="665">
        <v>8.55</v>
      </c>
      <c r="I639" s="665">
        <v>0.47</v>
      </c>
      <c r="J639" s="665">
        <v>0.52</v>
      </c>
      <c r="K639" s="665">
        <v>8840.0</v>
      </c>
      <c r="L639" s="665">
        <v>1895098.07</v>
      </c>
      <c r="M639" s="665">
        <v>2.02</v>
      </c>
      <c r="N639" s="1">
        <v>23.6364</v>
      </c>
      <c r="O639" s="1">
        <v>8840.0</v>
      </c>
      <c r="P639" s="1">
        <v>1922196.0</v>
      </c>
      <c r="Q639" s="1">
        <v>2.022</v>
      </c>
      <c r="R639" s="1">
        <v>25183.0</v>
      </c>
    </row>
    <row r="640">
      <c r="A640" s="663" t="s">
        <v>2270</v>
      </c>
      <c r="B640" s="663" t="s">
        <v>1192</v>
      </c>
      <c r="C640" s="663" t="s">
        <v>46</v>
      </c>
      <c r="D640" s="663" t="s">
        <v>599</v>
      </c>
      <c r="E640" s="664" t="s">
        <v>413</v>
      </c>
      <c r="F640" s="665">
        <v>4372.0</v>
      </c>
      <c r="G640" s="665">
        <v>109.0</v>
      </c>
      <c r="H640" s="665">
        <v>2.49</v>
      </c>
      <c r="I640" s="665">
        <v>0.11</v>
      </c>
      <c r="J640" s="665">
        <v>0.98</v>
      </c>
      <c r="K640" s="665">
        <v>2142.0</v>
      </c>
      <c r="L640" s="665">
        <v>1895098.07</v>
      </c>
      <c r="M640" s="665">
        <v>0.49</v>
      </c>
      <c r="N640" s="1">
        <v>19.6514</v>
      </c>
      <c r="O640" s="1">
        <v>2142.0</v>
      </c>
      <c r="P640" s="1">
        <v>1922196.0</v>
      </c>
      <c r="Q640" s="1">
        <v>0.4899</v>
      </c>
      <c r="R640" s="1">
        <v>25183.0</v>
      </c>
    </row>
    <row r="641">
      <c r="A641" s="663" t="s">
        <v>2270</v>
      </c>
      <c r="B641" s="663" t="s">
        <v>1192</v>
      </c>
      <c r="C641" s="663" t="s">
        <v>46</v>
      </c>
      <c r="D641" s="663" t="s">
        <v>599</v>
      </c>
      <c r="E641" s="664" t="s">
        <v>151</v>
      </c>
      <c r="F641" s="665">
        <v>4372.0</v>
      </c>
      <c r="G641" s="665">
        <v>1.0</v>
      </c>
      <c r="H641" s="665">
        <v>0.02</v>
      </c>
      <c r="I641" s="665">
        <v>0.0</v>
      </c>
      <c r="J641" s="665">
        <v>0.0</v>
      </c>
      <c r="K641" s="665">
        <v>20.0</v>
      </c>
      <c r="L641" s="665">
        <v>1895098.07</v>
      </c>
      <c r="M641" s="665">
        <v>0.0</v>
      </c>
      <c r="N641" s="1">
        <v>20.0</v>
      </c>
      <c r="O641" s="1">
        <v>20.0</v>
      </c>
      <c r="P641" s="1">
        <v>1922196.0</v>
      </c>
      <c r="Q641" s="1">
        <v>0.0046</v>
      </c>
      <c r="R641" s="1">
        <v>25183.0</v>
      </c>
    </row>
    <row r="642">
      <c r="A642" s="663" t="s">
        <v>2270</v>
      </c>
      <c r="B642" s="663" t="s">
        <v>1192</v>
      </c>
      <c r="C642" s="663" t="s">
        <v>1213</v>
      </c>
      <c r="D642" s="663" t="s">
        <v>2234</v>
      </c>
      <c r="E642" s="664" t="s">
        <v>14</v>
      </c>
      <c r="F642" s="665">
        <v>1761.0</v>
      </c>
      <c r="G642" s="665">
        <v>1756.0</v>
      </c>
      <c r="H642" s="665">
        <v>99.72</v>
      </c>
      <c r="I642" s="665">
        <v>99.58</v>
      </c>
      <c r="J642" s="665">
        <v>99.72</v>
      </c>
      <c r="K642" s="665">
        <v>24805.0</v>
      </c>
      <c r="L642" s="665">
        <v>24910.0</v>
      </c>
      <c r="M642" s="665">
        <v>14.09</v>
      </c>
      <c r="N642" s="1">
        <v>14.1259</v>
      </c>
      <c r="O642" s="1">
        <v>24805.0</v>
      </c>
      <c r="P642" s="1">
        <v>24910.0</v>
      </c>
      <c r="Q642" s="1">
        <v>14.0857</v>
      </c>
      <c r="R642" s="1">
        <v>25183.0</v>
      </c>
    </row>
    <row r="643">
      <c r="A643" s="663" t="s">
        <v>2270</v>
      </c>
      <c r="B643" s="663" t="s">
        <v>1192</v>
      </c>
      <c r="C643" s="663" t="s">
        <v>1213</v>
      </c>
      <c r="D643" s="663" t="s">
        <v>2234</v>
      </c>
      <c r="E643" s="664" t="s">
        <v>397</v>
      </c>
      <c r="F643" s="665">
        <v>1761.0</v>
      </c>
      <c r="G643" s="665">
        <v>5.0</v>
      </c>
      <c r="H643" s="665">
        <v>0.28</v>
      </c>
      <c r="I643" s="665">
        <v>0.42</v>
      </c>
      <c r="J643" s="665">
        <v>0.28</v>
      </c>
      <c r="K643" s="665">
        <v>105.0</v>
      </c>
      <c r="L643" s="665">
        <v>24910.0</v>
      </c>
      <c r="M643" s="665">
        <v>0.06</v>
      </c>
      <c r="N643" s="1">
        <v>21.0</v>
      </c>
      <c r="O643" s="1">
        <v>105.0</v>
      </c>
      <c r="P643" s="1">
        <v>24910.0</v>
      </c>
      <c r="Q643" s="1">
        <v>0.0596</v>
      </c>
      <c r="R643" s="1">
        <v>25183.0</v>
      </c>
    </row>
    <row r="644">
      <c r="A644" s="663" t="s">
        <v>2270</v>
      </c>
      <c r="B644" s="663" t="s">
        <v>1192</v>
      </c>
      <c r="C644" s="663" t="s">
        <v>53</v>
      </c>
      <c r="D644" s="663" t="s">
        <v>599</v>
      </c>
      <c r="E644" s="664" t="s">
        <v>397</v>
      </c>
      <c r="F644" s="665">
        <v>3117.0</v>
      </c>
      <c r="G644" s="665">
        <v>1726.0</v>
      </c>
      <c r="H644" s="665">
        <v>55.37</v>
      </c>
      <c r="I644" s="665">
        <v>19.31</v>
      </c>
      <c r="J644" s="665">
        <v>19.83</v>
      </c>
      <c r="K644" s="665">
        <v>2816.0</v>
      </c>
      <c r="L644" s="665">
        <v>14581.0</v>
      </c>
      <c r="M644" s="665">
        <v>0.9</v>
      </c>
      <c r="N644" s="1">
        <v>1.6315</v>
      </c>
      <c r="O644" s="1">
        <v>2816.0</v>
      </c>
      <c r="P644" s="1">
        <v>14581.0</v>
      </c>
      <c r="Q644" s="1">
        <v>0.9034</v>
      </c>
      <c r="R644" s="1">
        <v>25183.0</v>
      </c>
    </row>
    <row r="645">
      <c r="A645" s="663" t="s">
        <v>2270</v>
      </c>
      <c r="B645" s="663" t="s">
        <v>1192</v>
      </c>
      <c r="C645" s="663" t="s">
        <v>53</v>
      </c>
      <c r="D645" s="663" t="s">
        <v>599</v>
      </c>
      <c r="E645" s="664" t="s">
        <v>393</v>
      </c>
      <c r="F645" s="665">
        <v>3117.0</v>
      </c>
      <c r="G645" s="665">
        <v>1053.0</v>
      </c>
      <c r="H645" s="665">
        <v>33.78</v>
      </c>
      <c r="I645" s="665">
        <v>17.12</v>
      </c>
      <c r="J645" s="665">
        <v>12.87</v>
      </c>
      <c r="K645" s="665">
        <v>2496.0</v>
      </c>
      <c r="L645" s="665">
        <v>14581.0</v>
      </c>
      <c r="M645" s="665">
        <v>0.8</v>
      </c>
      <c r="N645" s="1">
        <v>2.3704</v>
      </c>
      <c r="O645" s="1">
        <v>2496.0</v>
      </c>
      <c r="P645" s="1">
        <v>14581.0</v>
      </c>
      <c r="Q645" s="1">
        <v>0.8008</v>
      </c>
      <c r="R645" s="1">
        <v>25183.0</v>
      </c>
    </row>
    <row r="646">
      <c r="A646" s="663" t="s">
        <v>2270</v>
      </c>
      <c r="B646" s="663" t="s">
        <v>1192</v>
      </c>
      <c r="C646" s="663" t="s">
        <v>53</v>
      </c>
      <c r="D646" s="663" t="s">
        <v>599</v>
      </c>
      <c r="E646" s="664" t="s">
        <v>16</v>
      </c>
      <c r="F646" s="665">
        <v>3117.0</v>
      </c>
      <c r="G646" s="665">
        <v>1359.0</v>
      </c>
      <c r="H646" s="665">
        <v>43.6</v>
      </c>
      <c r="I646" s="665">
        <v>13.76</v>
      </c>
      <c r="J646" s="665">
        <v>17.27</v>
      </c>
      <c r="K646" s="665">
        <v>2007.0</v>
      </c>
      <c r="L646" s="665">
        <v>14581.0</v>
      </c>
      <c r="M646" s="665">
        <v>0.64</v>
      </c>
      <c r="N646" s="1">
        <v>1.4768</v>
      </c>
      <c r="O646" s="1">
        <v>2007.0</v>
      </c>
      <c r="P646" s="1">
        <v>14581.0</v>
      </c>
      <c r="Q646" s="1">
        <v>0.6439</v>
      </c>
      <c r="R646" s="1">
        <v>25183.0</v>
      </c>
    </row>
    <row r="647">
      <c r="A647" s="663" t="s">
        <v>2270</v>
      </c>
      <c r="B647" s="663" t="s">
        <v>1192</v>
      </c>
      <c r="C647" s="663" t="s">
        <v>53</v>
      </c>
      <c r="D647" s="663" t="s">
        <v>599</v>
      </c>
      <c r="E647" s="664" t="s">
        <v>14</v>
      </c>
      <c r="F647" s="665">
        <v>3117.0</v>
      </c>
      <c r="G647" s="665">
        <v>1073.0</v>
      </c>
      <c r="H647" s="665">
        <v>34.42</v>
      </c>
      <c r="I647" s="665">
        <v>11.0</v>
      </c>
      <c r="J647" s="665">
        <v>8.87</v>
      </c>
      <c r="K647" s="665">
        <v>1604.0</v>
      </c>
      <c r="L647" s="665">
        <v>14581.0</v>
      </c>
      <c r="M647" s="665">
        <v>0.51</v>
      </c>
      <c r="N647" s="1">
        <v>1.4949</v>
      </c>
      <c r="O647" s="1">
        <v>1604.0</v>
      </c>
      <c r="P647" s="1">
        <v>14581.0</v>
      </c>
      <c r="Q647" s="1">
        <v>0.5146</v>
      </c>
      <c r="R647" s="1">
        <v>25183.0</v>
      </c>
    </row>
    <row r="648">
      <c r="A648" s="663" t="s">
        <v>2270</v>
      </c>
      <c r="B648" s="663" t="s">
        <v>1192</v>
      </c>
      <c r="C648" s="663" t="s">
        <v>53</v>
      </c>
      <c r="D648" s="663" t="s">
        <v>599</v>
      </c>
      <c r="E648" s="664" t="s">
        <v>15</v>
      </c>
      <c r="F648" s="665">
        <v>3117.0</v>
      </c>
      <c r="G648" s="665">
        <v>379.0</v>
      </c>
      <c r="H648" s="665">
        <v>12.16</v>
      </c>
      <c r="I648" s="665">
        <v>9.7</v>
      </c>
      <c r="J648" s="665">
        <v>6.48</v>
      </c>
      <c r="K648" s="665">
        <v>1414.0</v>
      </c>
      <c r="L648" s="665">
        <v>14581.0</v>
      </c>
      <c r="M648" s="665">
        <v>0.45</v>
      </c>
      <c r="N648" s="1">
        <v>3.7309</v>
      </c>
      <c r="O648" s="1">
        <v>1414.0</v>
      </c>
      <c r="P648" s="1">
        <v>14581.0</v>
      </c>
      <c r="Q648" s="1">
        <v>0.4536</v>
      </c>
      <c r="R648" s="1">
        <v>25183.0</v>
      </c>
    </row>
    <row r="649">
      <c r="A649" s="663" t="s">
        <v>2270</v>
      </c>
      <c r="B649" s="663" t="s">
        <v>1192</v>
      </c>
      <c r="C649" s="663" t="s">
        <v>53</v>
      </c>
      <c r="D649" s="663" t="s">
        <v>599</v>
      </c>
      <c r="E649" s="664" t="s">
        <v>418</v>
      </c>
      <c r="F649" s="665">
        <v>3117.0</v>
      </c>
      <c r="G649" s="665">
        <v>1237.0</v>
      </c>
      <c r="H649" s="665">
        <v>39.69</v>
      </c>
      <c r="I649" s="665">
        <v>9.28</v>
      </c>
      <c r="J649" s="665">
        <v>11.02</v>
      </c>
      <c r="K649" s="665">
        <v>1353.0</v>
      </c>
      <c r="L649" s="665">
        <v>14581.0</v>
      </c>
      <c r="M649" s="665">
        <v>0.43</v>
      </c>
      <c r="N649" s="1">
        <v>1.0938</v>
      </c>
      <c r="O649" s="1">
        <v>1353.0</v>
      </c>
      <c r="P649" s="1">
        <v>14581.0</v>
      </c>
      <c r="Q649" s="1">
        <v>0.4341</v>
      </c>
      <c r="R649" s="1">
        <v>25183.0</v>
      </c>
    </row>
    <row r="650">
      <c r="A650" s="663" t="s">
        <v>2270</v>
      </c>
      <c r="B650" s="663" t="s">
        <v>1192</v>
      </c>
      <c r="C650" s="663" t="s">
        <v>53</v>
      </c>
      <c r="D650" s="663" t="s">
        <v>599</v>
      </c>
      <c r="E650" s="664" t="s">
        <v>413</v>
      </c>
      <c r="F650" s="665">
        <v>3117.0</v>
      </c>
      <c r="G650" s="665">
        <v>1056.0</v>
      </c>
      <c r="H650" s="665">
        <v>33.88</v>
      </c>
      <c r="I650" s="665">
        <v>9.03</v>
      </c>
      <c r="J650" s="665">
        <v>8.72</v>
      </c>
      <c r="K650" s="665">
        <v>1317.0</v>
      </c>
      <c r="L650" s="665">
        <v>14581.0</v>
      </c>
      <c r="M650" s="665">
        <v>0.42</v>
      </c>
      <c r="N650" s="1">
        <v>1.2472</v>
      </c>
      <c r="O650" s="1">
        <v>1317.0</v>
      </c>
      <c r="P650" s="1">
        <v>14581.0</v>
      </c>
      <c r="Q650" s="1">
        <v>0.4225</v>
      </c>
      <c r="R650" s="1">
        <v>25183.0</v>
      </c>
    </row>
    <row r="651">
      <c r="A651" s="663" t="s">
        <v>2270</v>
      </c>
      <c r="B651" s="663" t="s">
        <v>1192</v>
      </c>
      <c r="C651" s="663" t="s">
        <v>53</v>
      </c>
      <c r="D651" s="663" t="s">
        <v>599</v>
      </c>
      <c r="E651" s="664" t="s">
        <v>396</v>
      </c>
      <c r="F651" s="665">
        <v>3117.0</v>
      </c>
      <c r="G651" s="665">
        <v>617.0</v>
      </c>
      <c r="H651" s="665">
        <v>19.79</v>
      </c>
      <c r="I651" s="665">
        <v>4.41</v>
      </c>
      <c r="J651" s="665">
        <v>6.11</v>
      </c>
      <c r="K651" s="665">
        <v>643.0</v>
      </c>
      <c r="L651" s="665">
        <v>14581.0</v>
      </c>
      <c r="M651" s="665">
        <v>0.21</v>
      </c>
      <c r="N651" s="1">
        <v>1.0421</v>
      </c>
      <c r="O651" s="1">
        <v>643.0</v>
      </c>
      <c r="P651" s="1">
        <v>14581.0</v>
      </c>
      <c r="Q651" s="1">
        <v>0.2063</v>
      </c>
      <c r="R651" s="1">
        <v>25183.0</v>
      </c>
    </row>
    <row r="652">
      <c r="A652" s="663" t="s">
        <v>2270</v>
      </c>
      <c r="B652" s="663" t="s">
        <v>1192</v>
      </c>
      <c r="C652" s="663" t="s">
        <v>53</v>
      </c>
      <c r="D652" s="663" t="s">
        <v>599</v>
      </c>
      <c r="E652" s="664" t="s">
        <v>411</v>
      </c>
      <c r="F652" s="665">
        <v>3117.0</v>
      </c>
      <c r="G652" s="665">
        <v>241.0</v>
      </c>
      <c r="H652" s="665">
        <v>7.73</v>
      </c>
      <c r="I652" s="665">
        <v>2.08</v>
      </c>
      <c r="J652" s="665">
        <v>2.42</v>
      </c>
      <c r="K652" s="665">
        <v>304.0</v>
      </c>
      <c r="L652" s="665">
        <v>14581.0</v>
      </c>
      <c r="M652" s="665">
        <v>0.1</v>
      </c>
      <c r="N652" s="1">
        <v>1.2614</v>
      </c>
      <c r="O652" s="1">
        <v>304.0</v>
      </c>
      <c r="P652" s="1">
        <v>14581.0</v>
      </c>
      <c r="Q652" s="1">
        <v>0.0975</v>
      </c>
      <c r="R652" s="1">
        <v>25183.0</v>
      </c>
    </row>
    <row r="653">
      <c r="A653" s="663" t="s">
        <v>2270</v>
      </c>
      <c r="B653" s="663" t="s">
        <v>1192</v>
      </c>
      <c r="C653" s="663" t="s">
        <v>53</v>
      </c>
      <c r="D653" s="663" t="s">
        <v>599</v>
      </c>
      <c r="E653" s="664" t="s">
        <v>42</v>
      </c>
      <c r="F653" s="665">
        <v>3117.0</v>
      </c>
      <c r="G653" s="665">
        <v>190.0</v>
      </c>
      <c r="H653" s="665">
        <v>6.1</v>
      </c>
      <c r="I653" s="665">
        <v>1.45</v>
      </c>
      <c r="J653" s="665">
        <v>1.54</v>
      </c>
      <c r="K653" s="665">
        <v>212.0</v>
      </c>
      <c r="L653" s="665">
        <v>14581.0</v>
      </c>
      <c r="M653" s="665">
        <v>0.07</v>
      </c>
      <c r="N653" s="1">
        <v>1.1158</v>
      </c>
      <c r="O653" s="1">
        <v>212.0</v>
      </c>
      <c r="P653" s="1">
        <v>14581.0</v>
      </c>
      <c r="Q653" s="1">
        <v>0.068</v>
      </c>
      <c r="R653" s="1">
        <v>25183.0</v>
      </c>
    </row>
    <row r="654">
      <c r="A654" s="663" t="s">
        <v>2270</v>
      </c>
      <c r="B654" s="663" t="s">
        <v>1192</v>
      </c>
      <c r="C654" s="663" t="s">
        <v>53</v>
      </c>
      <c r="D654" s="663" t="s">
        <v>599</v>
      </c>
      <c r="E654" s="664" t="s">
        <v>341</v>
      </c>
      <c r="F654" s="665">
        <v>3117.0</v>
      </c>
      <c r="G654" s="665">
        <v>118.0</v>
      </c>
      <c r="H654" s="665">
        <v>3.79</v>
      </c>
      <c r="I654" s="665">
        <v>0.9</v>
      </c>
      <c r="J654" s="665">
        <v>1.29</v>
      </c>
      <c r="K654" s="665">
        <v>131.0</v>
      </c>
      <c r="L654" s="665">
        <v>14581.0</v>
      </c>
      <c r="M654" s="665">
        <v>0.04</v>
      </c>
      <c r="N654" s="1">
        <v>1.1102</v>
      </c>
      <c r="O654" s="1">
        <v>131.0</v>
      </c>
      <c r="P654" s="1">
        <v>14581.0</v>
      </c>
      <c r="Q654" s="1">
        <v>0.042</v>
      </c>
      <c r="R654" s="1">
        <v>25183.0</v>
      </c>
    </row>
    <row r="655">
      <c r="A655" s="663" t="s">
        <v>2270</v>
      </c>
      <c r="B655" s="663" t="s">
        <v>1192</v>
      </c>
      <c r="C655" s="663" t="s">
        <v>53</v>
      </c>
      <c r="D655" s="663" t="s">
        <v>599</v>
      </c>
      <c r="E655" s="664" t="s">
        <v>329</v>
      </c>
      <c r="F655" s="665">
        <v>3117.0</v>
      </c>
      <c r="G655" s="665">
        <v>102.0</v>
      </c>
      <c r="H655" s="665">
        <v>3.27</v>
      </c>
      <c r="I655" s="665">
        <v>0.75</v>
      </c>
      <c r="J655" s="665">
        <v>1.38</v>
      </c>
      <c r="K655" s="665">
        <v>109.0</v>
      </c>
      <c r="L655" s="665">
        <v>14581.0</v>
      </c>
      <c r="M655" s="665">
        <v>0.04</v>
      </c>
      <c r="N655" s="1">
        <v>1.0686</v>
      </c>
      <c r="O655" s="1">
        <v>109.0</v>
      </c>
      <c r="P655" s="1">
        <v>14581.0</v>
      </c>
      <c r="Q655" s="1">
        <v>0.035</v>
      </c>
      <c r="R655" s="1">
        <v>25183.0</v>
      </c>
    </row>
    <row r="656">
      <c r="A656" s="663" t="s">
        <v>2270</v>
      </c>
      <c r="B656" s="663" t="s">
        <v>1192</v>
      </c>
      <c r="C656" s="663" t="s">
        <v>53</v>
      </c>
      <c r="D656" s="663" t="s">
        <v>599</v>
      </c>
      <c r="E656" s="664" t="s">
        <v>338</v>
      </c>
      <c r="F656" s="665">
        <v>3117.0</v>
      </c>
      <c r="G656" s="665">
        <v>63.0</v>
      </c>
      <c r="H656" s="665">
        <v>2.02</v>
      </c>
      <c r="I656" s="665">
        <v>0.45</v>
      </c>
      <c r="J656" s="665">
        <v>0.9</v>
      </c>
      <c r="K656" s="665">
        <v>65.0</v>
      </c>
      <c r="L656" s="665">
        <v>14581.0</v>
      </c>
      <c r="M656" s="665">
        <v>0.02</v>
      </c>
      <c r="N656" s="1">
        <v>1.0317</v>
      </c>
      <c r="O656" s="1">
        <v>65.0</v>
      </c>
      <c r="P656" s="1">
        <v>14581.0</v>
      </c>
      <c r="Q656" s="1">
        <v>0.0209</v>
      </c>
      <c r="R656" s="1">
        <v>25183.0</v>
      </c>
    </row>
    <row r="657">
      <c r="A657" s="663" t="s">
        <v>2270</v>
      </c>
      <c r="B657" s="663" t="s">
        <v>1192</v>
      </c>
      <c r="C657" s="663" t="s">
        <v>53</v>
      </c>
      <c r="D657" s="663" t="s">
        <v>599</v>
      </c>
      <c r="E657" s="664" t="s">
        <v>63</v>
      </c>
      <c r="F657" s="665">
        <v>3117.0</v>
      </c>
      <c r="G657" s="665">
        <v>42.0</v>
      </c>
      <c r="H657" s="665">
        <v>1.35</v>
      </c>
      <c r="I657" s="665">
        <v>0.34</v>
      </c>
      <c r="J657" s="665">
        <v>0.66</v>
      </c>
      <c r="K657" s="665">
        <v>50.0</v>
      </c>
      <c r="L657" s="665">
        <v>14581.0</v>
      </c>
      <c r="M657" s="665">
        <v>0.02</v>
      </c>
      <c r="N657" s="1">
        <v>1.1905</v>
      </c>
      <c r="O657" s="1">
        <v>50.0</v>
      </c>
      <c r="P657" s="1">
        <v>14581.0</v>
      </c>
      <c r="Q657" s="1">
        <v>0.016</v>
      </c>
      <c r="R657" s="1">
        <v>25183.0</v>
      </c>
    </row>
    <row r="658">
      <c r="A658" s="663" t="s">
        <v>2270</v>
      </c>
      <c r="B658" s="663" t="s">
        <v>1192</v>
      </c>
      <c r="C658" s="663" t="s">
        <v>53</v>
      </c>
      <c r="D658" s="663" t="s">
        <v>599</v>
      </c>
      <c r="E658" s="664" t="s">
        <v>9</v>
      </c>
      <c r="F658" s="665">
        <v>3117.0</v>
      </c>
      <c r="G658" s="665">
        <v>39.0</v>
      </c>
      <c r="H658" s="665">
        <v>1.25</v>
      </c>
      <c r="I658" s="665">
        <v>0.28</v>
      </c>
      <c r="J658" s="665">
        <v>0.4</v>
      </c>
      <c r="K658" s="665">
        <v>41.0</v>
      </c>
      <c r="L658" s="665">
        <v>14581.0</v>
      </c>
      <c r="M658" s="665">
        <v>0.01</v>
      </c>
      <c r="N658" s="1">
        <v>1.0513</v>
      </c>
      <c r="O658" s="1">
        <v>41.0</v>
      </c>
      <c r="P658" s="1">
        <v>14581.0</v>
      </c>
      <c r="Q658" s="1">
        <v>0.0132</v>
      </c>
      <c r="R658" s="1">
        <v>25183.0</v>
      </c>
    </row>
    <row r="659">
      <c r="A659" s="663" t="s">
        <v>2270</v>
      </c>
      <c r="B659" s="663" t="s">
        <v>1192</v>
      </c>
      <c r="C659" s="663" t="s">
        <v>53</v>
      </c>
      <c r="D659" s="663" t="s">
        <v>599</v>
      </c>
      <c r="E659" s="664" t="s">
        <v>7</v>
      </c>
      <c r="F659" s="665">
        <v>3117.0</v>
      </c>
      <c r="G659" s="665">
        <v>14.0</v>
      </c>
      <c r="H659" s="665">
        <v>0.45</v>
      </c>
      <c r="I659" s="665">
        <v>0.1</v>
      </c>
      <c r="J659" s="665">
        <v>0.14</v>
      </c>
      <c r="K659" s="665">
        <v>15.0</v>
      </c>
      <c r="L659" s="665">
        <v>14581.0</v>
      </c>
      <c r="M659" s="665">
        <v>0.0</v>
      </c>
      <c r="N659" s="1">
        <v>1.0714</v>
      </c>
      <c r="O659" s="1">
        <v>15.0</v>
      </c>
      <c r="P659" s="1">
        <v>14581.0</v>
      </c>
      <c r="Q659" s="1">
        <v>0.0048</v>
      </c>
      <c r="R659" s="1">
        <v>25183.0</v>
      </c>
    </row>
    <row r="660">
      <c r="A660" s="663" t="s">
        <v>2270</v>
      </c>
      <c r="B660" s="663" t="s">
        <v>1192</v>
      </c>
      <c r="C660" s="663" t="s">
        <v>53</v>
      </c>
      <c r="D660" s="663" t="s">
        <v>599</v>
      </c>
      <c r="E660" s="664" t="s">
        <v>206</v>
      </c>
      <c r="F660" s="665">
        <v>3117.0</v>
      </c>
      <c r="G660" s="665">
        <v>1.0</v>
      </c>
      <c r="H660" s="665">
        <v>0.03</v>
      </c>
      <c r="I660" s="665">
        <v>0.01</v>
      </c>
      <c r="J660" s="665">
        <v>0.03</v>
      </c>
      <c r="K660" s="665">
        <v>1.0</v>
      </c>
      <c r="L660" s="665">
        <v>14581.0</v>
      </c>
      <c r="M660" s="665">
        <v>0.0</v>
      </c>
      <c r="N660" s="1">
        <v>1.0</v>
      </c>
      <c r="O660" s="1">
        <v>1.0</v>
      </c>
      <c r="P660" s="1">
        <v>14581.0</v>
      </c>
      <c r="Q660" s="1">
        <v>3.0E-4</v>
      </c>
      <c r="R660" s="1">
        <v>25183.0</v>
      </c>
    </row>
    <row r="661">
      <c r="A661" s="663" t="s">
        <v>2270</v>
      </c>
      <c r="B661" s="663" t="s">
        <v>1192</v>
      </c>
      <c r="C661" s="663" t="s">
        <v>53</v>
      </c>
      <c r="D661" s="663" t="s">
        <v>599</v>
      </c>
      <c r="E661" s="664" t="s">
        <v>398</v>
      </c>
      <c r="F661" s="665">
        <v>3117.0</v>
      </c>
      <c r="G661" s="665">
        <v>1.0</v>
      </c>
      <c r="H661" s="665">
        <v>0.03</v>
      </c>
      <c r="I661" s="665">
        <v>0.01</v>
      </c>
      <c r="J661" s="665">
        <v>0.03</v>
      </c>
      <c r="K661" s="665">
        <v>1.0</v>
      </c>
      <c r="L661" s="665">
        <v>14581.0</v>
      </c>
      <c r="M661" s="665">
        <v>0.0</v>
      </c>
      <c r="N661" s="1">
        <v>1.0</v>
      </c>
      <c r="O661" s="1">
        <v>1.0</v>
      </c>
      <c r="P661" s="1">
        <v>14581.0</v>
      </c>
      <c r="Q661" s="1">
        <v>3.0E-4</v>
      </c>
      <c r="R661" s="1">
        <v>25183.0</v>
      </c>
    </row>
    <row r="662">
      <c r="A662" s="663" t="s">
        <v>2270</v>
      </c>
      <c r="B662" s="663" t="s">
        <v>1192</v>
      </c>
      <c r="C662" s="663" t="s">
        <v>53</v>
      </c>
      <c r="D662" s="663" t="s">
        <v>599</v>
      </c>
      <c r="E662" s="664" t="s">
        <v>151</v>
      </c>
      <c r="F662" s="665">
        <v>3117.0</v>
      </c>
      <c r="G662" s="665">
        <v>2.0</v>
      </c>
      <c r="H662" s="665">
        <v>0.06</v>
      </c>
      <c r="I662" s="665">
        <v>0.01</v>
      </c>
      <c r="J662" s="665">
        <v>0.04</v>
      </c>
      <c r="K662" s="665">
        <v>2.0</v>
      </c>
      <c r="L662" s="665">
        <v>14581.0</v>
      </c>
      <c r="M662" s="665">
        <v>0.0</v>
      </c>
      <c r="N662" s="1">
        <v>1.0</v>
      </c>
      <c r="O662" s="1">
        <v>2.0</v>
      </c>
      <c r="P662" s="1">
        <v>14581.0</v>
      </c>
      <c r="Q662" s="1">
        <v>6.0E-4</v>
      </c>
      <c r="R662" s="1">
        <v>25183.0</v>
      </c>
    </row>
    <row r="663">
      <c r="A663" s="663" t="s">
        <v>2270</v>
      </c>
      <c r="B663" s="663" t="s">
        <v>1192</v>
      </c>
      <c r="C663" s="663" t="s">
        <v>52</v>
      </c>
      <c r="D663" s="663" t="s">
        <v>599</v>
      </c>
      <c r="E663" s="664" t="s">
        <v>14</v>
      </c>
      <c r="F663" s="665">
        <v>3509.0</v>
      </c>
      <c r="G663" s="665">
        <v>2209.0</v>
      </c>
      <c r="H663" s="665">
        <v>62.95</v>
      </c>
      <c r="I663" s="665">
        <v>27.87</v>
      </c>
      <c r="J663" s="665">
        <v>24.69</v>
      </c>
      <c r="K663" s="665">
        <v>6920.0</v>
      </c>
      <c r="L663" s="665">
        <v>24826.0</v>
      </c>
      <c r="M663" s="665">
        <v>1.97</v>
      </c>
      <c r="N663" s="1">
        <v>3.1326</v>
      </c>
      <c r="O663" s="1">
        <v>6920.0</v>
      </c>
      <c r="P663" s="1">
        <v>24826.0</v>
      </c>
      <c r="Q663" s="1">
        <v>1.9721</v>
      </c>
      <c r="R663" s="1">
        <v>25183.0</v>
      </c>
    </row>
    <row r="664">
      <c r="A664" s="663" t="s">
        <v>2270</v>
      </c>
      <c r="B664" s="663" t="s">
        <v>1192</v>
      </c>
      <c r="C664" s="663" t="s">
        <v>52</v>
      </c>
      <c r="D664" s="663" t="s">
        <v>599</v>
      </c>
      <c r="E664" s="664" t="s">
        <v>397</v>
      </c>
      <c r="F664" s="665">
        <v>3509.0</v>
      </c>
      <c r="G664" s="665">
        <v>2151.0</v>
      </c>
      <c r="H664" s="665">
        <v>61.3</v>
      </c>
      <c r="I664" s="665">
        <v>17.55</v>
      </c>
      <c r="J664" s="665">
        <v>18.29</v>
      </c>
      <c r="K664" s="665">
        <v>4356.0</v>
      </c>
      <c r="L664" s="665">
        <v>24826.0</v>
      </c>
      <c r="M664" s="665">
        <v>1.24</v>
      </c>
      <c r="N664" s="1">
        <v>2.0251</v>
      </c>
      <c r="O664" s="1">
        <v>4356.0</v>
      </c>
      <c r="P664" s="1">
        <v>24826.0</v>
      </c>
      <c r="Q664" s="1">
        <v>1.2414</v>
      </c>
      <c r="R664" s="1">
        <v>25183.0</v>
      </c>
    </row>
    <row r="665">
      <c r="A665" s="663" t="s">
        <v>2270</v>
      </c>
      <c r="B665" s="663" t="s">
        <v>1192</v>
      </c>
      <c r="C665" s="663" t="s">
        <v>52</v>
      </c>
      <c r="D665" s="663" t="s">
        <v>599</v>
      </c>
      <c r="E665" s="664" t="s">
        <v>15</v>
      </c>
      <c r="F665" s="665">
        <v>3509.0</v>
      </c>
      <c r="G665" s="665">
        <v>1019.0</v>
      </c>
      <c r="H665" s="665">
        <v>29.04</v>
      </c>
      <c r="I665" s="665">
        <v>10.5</v>
      </c>
      <c r="J665" s="665">
        <v>9.7</v>
      </c>
      <c r="K665" s="665">
        <v>2607.0</v>
      </c>
      <c r="L665" s="665">
        <v>24826.0</v>
      </c>
      <c r="M665" s="665">
        <v>0.74</v>
      </c>
      <c r="N665" s="1">
        <v>2.5584</v>
      </c>
      <c r="O665" s="1">
        <v>2607.0</v>
      </c>
      <c r="P665" s="1">
        <v>24826.0</v>
      </c>
      <c r="Q665" s="1">
        <v>0.7429</v>
      </c>
      <c r="R665" s="1">
        <v>25183.0</v>
      </c>
    </row>
    <row r="666">
      <c r="A666" s="663" t="s">
        <v>2270</v>
      </c>
      <c r="B666" s="663" t="s">
        <v>1192</v>
      </c>
      <c r="C666" s="663" t="s">
        <v>52</v>
      </c>
      <c r="D666" s="663" t="s">
        <v>599</v>
      </c>
      <c r="E666" s="664" t="s">
        <v>393</v>
      </c>
      <c r="F666" s="665">
        <v>3509.0</v>
      </c>
      <c r="G666" s="665">
        <v>1004.0</v>
      </c>
      <c r="H666" s="665">
        <v>28.61</v>
      </c>
      <c r="I666" s="665">
        <v>9.97</v>
      </c>
      <c r="J666" s="665">
        <v>7.33</v>
      </c>
      <c r="K666" s="665">
        <v>2475.0</v>
      </c>
      <c r="L666" s="665">
        <v>24826.0</v>
      </c>
      <c r="M666" s="665">
        <v>0.71</v>
      </c>
      <c r="N666" s="1">
        <v>2.4651</v>
      </c>
      <c r="O666" s="1">
        <v>2475.0</v>
      </c>
      <c r="P666" s="1">
        <v>24826.0</v>
      </c>
      <c r="Q666" s="1">
        <v>0.7053</v>
      </c>
      <c r="R666" s="1">
        <v>25183.0</v>
      </c>
    </row>
    <row r="667">
      <c r="A667" s="663" t="s">
        <v>2270</v>
      </c>
      <c r="B667" s="663" t="s">
        <v>1192</v>
      </c>
      <c r="C667" s="663" t="s">
        <v>52</v>
      </c>
      <c r="D667" s="663" t="s">
        <v>599</v>
      </c>
      <c r="E667" s="664" t="s">
        <v>398</v>
      </c>
      <c r="F667" s="665">
        <v>3509.0</v>
      </c>
      <c r="G667" s="665">
        <v>1259.0</v>
      </c>
      <c r="H667" s="665">
        <v>35.88</v>
      </c>
      <c r="I667" s="665">
        <v>8.13</v>
      </c>
      <c r="J667" s="665">
        <v>6.82</v>
      </c>
      <c r="K667" s="665">
        <v>2018.0</v>
      </c>
      <c r="L667" s="665">
        <v>24826.0</v>
      </c>
      <c r="M667" s="665">
        <v>0.58</v>
      </c>
      <c r="N667" s="1">
        <v>1.6029</v>
      </c>
      <c r="O667" s="1">
        <v>2018.0</v>
      </c>
      <c r="P667" s="1">
        <v>24826.0</v>
      </c>
      <c r="Q667" s="1">
        <v>0.5751</v>
      </c>
      <c r="R667" s="1">
        <v>25183.0</v>
      </c>
    </row>
    <row r="668">
      <c r="A668" s="663" t="s">
        <v>2270</v>
      </c>
      <c r="B668" s="663" t="s">
        <v>1192</v>
      </c>
      <c r="C668" s="663" t="s">
        <v>52</v>
      </c>
      <c r="D668" s="663" t="s">
        <v>599</v>
      </c>
      <c r="E668" s="664" t="s">
        <v>16</v>
      </c>
      <c r="F668" s="665">
        <v>3509.0</v>
      </c>
      <c r="G668" s="665">
        <v>1023.0</v>
      </c>
      <c r="H668" s="665">
        <v>29.15</v>
      </c>
      <c r="I668" s="665">
        <v>5.78</v>
      </c>
      <c r="J668" s="665">
        <v>7.91</v>
      </c>
      <c r="K668" s="665">
        <v>1434.0</v>
      </c>
      <c r="L668" s="665">
        <v>24826.0</v>
      </c>
      <c r="M668" s="665">
        <v>0.41</v>
      </c>
      <c r="N668" s="1">
        <v>1.4018</v>
      </c>
      <c r="O668" s="1">
        <v>1434.0</v>
      </c>
      <c r="P668" s="1">
        <v>24826.0</v>
      </c>
      <c r="Q668" s="1">
        <v>0.4087</v>
      </c>
      <c r="R668" s="1">
        <v>25183.0</v>
      </c>
    </row>
    <row r="669">
      <c r="A669" s="663" t="s">
        <v>2270</v>
      </c>
      <c r="B669" s="663" t="s">
        <v>1192</v>
      </c>
      <c r="C669" s="663" t="s">
        <v>52</v>
      </c>
      <c r="D669" s="663" t="s">
        <v>599</v>
      </c>
      <c r="E669" s="664" t="s">
        <v>418</v>
      </c>
      <c r="F669" s="665">
        <v>3509.0</v>
      </c>
      <c r="G669" s="665">
        <v>1294.0</v>
      </c>
      <c r="H669" s="665">
        <v>36.88</v>
      </c>
      <c r="I669" s="665">
        <v>5.65</v>
      </c>
      <c r="J669" s="665">
        <v>6.54</v>
      </c>
      <c r="K669" s="665">
        <v>1403.0</v>
      </c>
      <c r="L669" s="665">
        <v>24826.0</v>
      </c>
      <c r="M669" s="665">
        <v>0.4</v>
      </c>
      <c r="N669" s="1">
        <v>1.0842</v>
      </c>
      <c r="O669" s="1">
        <v>1403.0</v>
      </c>
      <c r="P669" s="1">
        <v>24826.0</v>
      </c>
      <c r="Q669" s="1">
        <v>0.3998</v>
      </c>
      <c r="R669" s="1">
        <v>25183.0</v>
      </c>
    </row>
    <row r="670">
      <c r="A670" s="663" t="s">
        <v>2270</v>
      </c>
      <c r="B670" s="663" t="s">
        <v>1192</v>
      </c>
      <c r="C670" s="663" t="s">
        <v>52</v>
      </c>
      <c r="D670" s="663" t="s">
        <v>599</v>
      </c>
      <c r="E670" s="664" t="s">
        <v>51</v>
      </c>
      <c r="F670" s="665">
        <v>3509.0</v>
      </c>
      <c r="G670" s="665">
        <v>430.0</v>
      </c>
      <c r="H670" s="665">
        <v>12.25</v>
      </c>
      <c r="I670" s="665">
        <v>2.13</v>
      </c>
      <c r="J670" s="665">
        <v>2.36</v>
      </c>
      <c r="K670" s="665">
        <v>529.0</v>
      </c>
      <c r="L670" s="665">
        <v>24826.0</v>
      </c>
      <c r="M670" s="665">
        <v>0.15</v>
      </c>
      <c r="N670" s="1">
        <v>1.2302</v>
      </c>
      <c r="O670" s="1">
        <v>529.0</v>
      </c>
      <c r="P670" s="1">
        <v>24826.0</v>
      </c>
      <c r="Q670" s="1">
        <v>0.1508</v>
      </c>
      <c r="R670" s="1">
        <v>25183.0</v>
      </c>
    </row>
    <row r="671">
      <c r="A671" s="663" t="s">
        <v>2270</v>
      </c>
      <c r="B671" s="663" t="s">
        <v>1192</v>
      </c>
      <c r="C671" s="663" t="s">
        <v>52</v>
      </c>
      <c r="D671" s="663" t="s">
        <v>599</v>
      </c>
      <c r="E671" s="664" t="s">
        <v>396</v>
      </c>
      <c r="F671" s="665">
        <v>3509.0</v>
      </c>
      <c r="G671" s="665">
        <v>470.0</v>
      </c>
      <c r="H671" s="665">
        <v>13.39</v>
      </c>
      <c r="I671" s="665">
        <v>1.97</v>
      </c>
      <c r="J671" s="665">
        <v>2.76</v>
      </c>
      <c r="K671" s="665">
        <v>488.0</v>
      </c>
      <c r="L671" s="665">
        <v>24826.0</v>
      </c>
      <c r="M671" s="665">
        <v>0.14</v>
      </c>
      <c r="N671" s="1">
        <v>1.0383</v>
      </c>
      <c r="O671" s="1">
        <v>488.0</v>
      </c>
      <c r="P671" s="1">
        <v>24826.0</v>
      </c>
      <c r="Q671" s="1">
        <v>0.1391</v>
      </c>
      <c r="R671" s="1">
        <v>25183.0</v>
      </c>
    </row>
    <row r="672">
      <c r="A672" s="663" t="s">
        <v>2270</v>
      </c>
      <c r="B672" s="663" t="s">
        <v>1192</v>
      </c>
      <c r="C672" s="663" t="s">
        <v>52</v>
      </c>
      <c r="D672" s="663" t="s">
        <v>599</v>
      </c>
      <c r="E672" s="664" t="s">
        <v>411</v>
      </c>
      <c r="F672" s="665">
        <v>3509.0</v>
      </c>
      <c r="G672" s="665">
        <v>359.0</v>
      </c>
      <c r="H672" s="665">
        <v>10.23</v>
      </c>
      <c r="I672" s="665">
        <v>1.8</v>
      </c>
      <c r="J672" s="665">
        <v>2.34</v>
      </c>
      <c r="K672" s="665">
        <v>447.0</v>
      </c>
      <c r="L672" s="665">
        <v>24826.0</v>
      </c>
      <c r="M672" s="665">
        <v>0.13</v>
      </c>
      <c r="N672" s="1">
        <v>1.2451</v>
      </c>
      <c r="O672" s="1">
        <v>447.0</v>
      </c>
      <c r="P672" s="1">
        <v>24826.0</v>
      </c>
      <c r="Q672" s="1">
        <v>0.1274</v>
      </c>
      <c r="R672" s="1">
        <v>25183.0</v>
      </c>
    </row>
    <row r="673">
      <c r="A673" s="663" t="s">
        <v>2270</v>
      </c>
      <c r="B673" s="663" t="s">
        <v>1192</v>
      </c>
      <c r="C673" s="663" t="s">
        <v>52</v>
      </c>
      <c r="D673" s="663" t="s">
        <v>599</v>
      </c>
      <c r="E673" s="664" t="s">
        <v>413</v>
      </c>
      <c r="F673" s="665">
        <v>3509.0</v>
      </c>
      <c r="G673" s="665">
        <v>265.0</v>
      </c>
      <c r="H673" s="665">
        <v>7.55</v>
      </c>
      <c r="I673" s="665">
        <v>1.75</v>
      </c>
      <c r="J673" s="665">
        <v>1.64</v>
      </c>
      <c r="K673" s="665">
        <v>434.0</v>
      </c>
      <c r="L673" s="665">
        <v>24826.0</v>
      </c>
      <c r="M673" s="665">
        <v>0.12</v>
      </c>
      <c r="N673" s="1">
        <v>1.6377</v>
      </c>
      <c r="O673" s="1">
        <v>434.0</v>
      </c>
      <c r="P673" s="1">
        <v>24826.0</v>
      </c>
      <c r="Q673" s="1">
        <v>0.1237</v>
      </c>
      <c r="R673" s="1">
        <v>25183.0</v>
      </c>
    </row>
    <row r="674">
      <c r="A674" s="663" t="s">
        <v>2270</v>
      </c>
      <c r="B674" s="663" t="s">
        <v>1192</v>
      </c>
      <c r="C674" s="663" t="s">
        <v>52</v>
      </c>
      <c r="D674" s="663" t="s">
        <v>599</v>
      </c>
      <c r="E674" s="664" t="s">
        <v>329</v>
      </c>
      <c r="F674" s="665">
        <v>3509.0</v>
      </c>
      <c r="G674" s="665">
        <v>388.0</v>
      </c>
      <c r="H674" s="665">
        <v>11.06</v>
      </c>
      <c r="I674" s="665">
        <v>1.72</v>
      </c>
      <c r="J674" s="665">
        <v>2.57</v>
      </c>
      <c r="K674" s="665">
        <v>426.0</v>
      </c>
      <c r="L674" s="665">
        <v>24826.0</v>
      </c>
      <c r="M674" s="665">
        <v>0.12</v>
      </c>
      <c r="N674" s="1">
        <v>1.0979</v>
      </c>
      <c r="O674" s="1">
        <v>426.0</v>
      </c>
      <c r="P674" s="1">
        <v>24826.0</v>
      </c>
      <c r="Q674" s="1">
        <v>0.1214</v>
      </c>
      <c r="R674" s="1">
        <v>25183.0</v>
      </c>
    </row>
    <row r="675">
      <c r="A675" s="663" t="s">
        <v>2270</v>
      </c>
      <c r="B675" s="663" t="s">
        <v>1192</v>
      </c>
      <c r="C675" s="663" t="s">
        <v>52</v>
      </c>
      <c r="D675" s="663" t="s">
        <v>599</v>
      </c>
      <c r="E675" s="664" t="s">
        <v>341</v>
      </c>
      <c r="F675" s="665">
        <v>3509.0</v>
      </c>
      <c r="G675" s="665">
        <v>361.0</v>
      </c>
      <c r="H675" s="665">
        <v>10.29</v>
      </c>
      <c r="I675" s="665">
        <v>1.66</v>
      </c>
      <c r="J675" s="665">
        <v>2.43</v>
      </c>
      <c r="K675" s="665">
        <v>412.0</v>
      </c>
      <c r="L675" s="665">
        <v>24826.0</v>
      </c>
      <c r="M675" s="665">
        <v>0.12</v>
      </c>
      <c r="N675" s="1">
        <v>1.1413</v>
      </c>
      <c r="O675" s="1">
        <v>412.0</v>
      </c>
      <c r="P675" s="1">
        <v>24826.0</v>
      </c>
      <c r="Q675" s="1">
        <v>0.1174</v>
      </c>
      <c r="R675" s="1">
        <v>25183.0</v>
      </c>
    </row>
    <row r="676">
      <c r="A676" s="663" t="s">
        <v>2270</v>
      </c>
      <c r="B676" s="663" t="s">
        <v>1192</v>
      </c>
      <c r="C676" s="663" t="s">
        <v>52</v>
      </c>
      <c r="D676" s="663" t="s">
        <v>599</v>
      </c>
      <c r="E676" s="664" t="s">
        <v>338</v>
      </c>
      <c r="F676" s="665">
        <v>3509.0</v>
      </c>
      <c r="G676" s="665">
        <v>349.0</v>
      </c>
      <c r="H676" s="665">
        <v>9.95</v>
      </c>
      <c r="I676" s="665">
        <v>1.54</v>
      </c>
      <c r="J676" s="665">
        <v>1.85</v>
      </c>
      <c r="K676" s="665">
        <v>382.0</v>
      </c>
      <c r="L676" s="665">
        <v>24826.0</v>
      </c>
      <c r="M676" s="665">
        <v>0.11</v>
      </c>
      <c r="N676" s="1">
        <v>1.0946</v>
      </c>
      <c r="O676" s="1">
        <v>382.0</v>
      </c>
      <c r="P676" s="1">
        <v>24826.0</v>
      </c>
      <c r="Q676" s="1">
        <v>0.1089</v>
      </c>
      <c r="R676" s="1">
        <v>25183.0</v>
      </c>
    </row>
    <row r="677">
      <c r="A677" s="663" t="s">
        <v>2270</v>
      </c>
      <c r="B677" s="663" t="s">
        <v>1192</v>
      </c>
      <c r="C677" s="663" t="s">
        <v>52</v>
      </c>
      <c r="D677" s="663" t="s">
        <v>599</v>
      </c>
      <c r="E677" s="664" t="s">
        <v>63</v>
      </c>
      <c r="F677" s="665">
        <v>3509.0</v>
      </c>
      <c r="G677" s="665">
        <v>234.0</v>
      </c>
      <c r="H677" s="665">
        <v>6.67</v>
      </c>
      <c r="I677" s="665">
        <v>1.03</v>
      </c>
      <c r="J677" s="665">
        <v>1.66</v>
      </c>
      <c r="K677" s="665">
        <v>255.0</v>
      </c>
      <c r="L677" s="665">
        <v>24826.0</v>
      </c>
      <c r="M677" s="665">
        <v>0.07</v>
      </c>
      <c r="N677" s="1">
        <v>1.0897</v>
      </c>
      <c r="O677" s="1">
        <v>255.0</v>
      </c>
      <c r="P677" s="1">
        <v>24826.0</v>
      </c>
      <c r="Q677" s="1">
        <v>0.0727</v>
      </c>
      <c r="R677" s="1">
        <v>25183.0</v>
      </c>
    </row>
    <row r="678">
      <c r="A678" s="663" t="s">
        <v>2270</v>
      </c>
      <c r="B678" s="663" t="s">
        <v>1192</v>
      </c>
      <c r="C678" s="663" t="s">
        <v>52</v>
      </c>
      <c r="D678" s="663" t="s">
        <v>599</v>
      </c>
      <c r="E678" s="664" t="s">
        <v>42</v>
      </c>
      <c r="F678" s="665">
        <v>3509.0</v>
      </c>
      <c r="G678" s="665">
        <v>183.0</v>
      </c>
      <c r="H678" s="665">
        <v>5.22</v>
      </c>
      <c r="I678" s="665">
        <v>0.79</v>
      </c>
      <c r="J678" s="665">
        <v>0.76</v>
      </c>
      <c r="K678" s="665">
        <v>196.0</v>
      </c>
      <c r="L678" s="665">
        <v>24826.0</v>
      </c>
      <c r="M678" s="665">
        <v>0.06</v>
      </c>
      <c r="N678" s="1">
        <v>1.071</v>
      </c>
      <c r="O678" s="1">
        <v>196.0</v>
      </c>
      <c r="P678" s="1">
        <v>24826.0</v>
      </c>
      <c r="Q678" s="1">
        <v>0.0559</v>
      </c>
      <c r="R678" s="1">
        <v>25183.0</v>
      </c>
    </row>
    <row r="679">
      <c r="A679" s="663" t="s">
        <v>2270</v>
      </c>
      <c r="B679" s="663" t="s">
        <v>1192</v>
      </c>
      <c r="C679" s="663" t="s">
        <v>52</v>
      </c>
      <c r="D679" s="663" t="s">
        <v>599</v>
      </c>
      <c r="E679" s="664" t="s">
        <v>7</v>
      </c>
      <c r="F679" s="665">
        <v>3509.0</v>
      </c>
      <c r="G679" s="665">
        <v>22.0</v>
      </c>
      <c r="H679" s="665">
        <v>0.63</v>
      </c>
      <c r="I679" s="665">
        <v>0.09</v>
      </c>
      <c r="J679" s="665">
        <v>0.18</v>
      </c>
      <c r="K679" s="665">
        <v>22.0</v>
      </c>
      <c r="L679" s="665">
        <v>24826.0</v>
      </c>
      <c r="M679" s="665">
        <v>0.01</v>
      </c>
      <c r="N679" s="1">
        <v>1.0</v>
      </c>
      <c r="O679" s="1">
        <v>22.0</v>
      </c>
      <c r="P679" s="1">
        <v>24826.0</v>
      </c>
      <c r="Q679" s="1">
        <v>0.0063</v>
      </c>
      <c r="R679" s="1">
        <v>25183.0</v>
      </c>
    </row>
    <row r="680">
      <c r="A680" s="663" t="s">
        <v>2270</v>
      </c>
      <c r="B680" s="663" t="s">
        <v>1192</v>
      </c>
      <c r="C680" s="663" t="s">
        <v>52</v>
      </c>
      <c r="D680" s="663" t="s">
        <v>599</v>
      </c>
      <c r="E680" s="664" t="s">
        <v>9</v>
      </c>
      <c r="F680" s="665">
        <v>3509.0</v>
      </c>
      <c r="G680" s="665">
        <v>17.0</v>
      </c>
      <c r="H680" s="665">
        <v>0.48</v>
      </c>
      <c r="I680" s="665">
        <v>0.07</v>
      </c>
      <c r="J680" s="665">
        <v>0.12</v>
      </c>
      <c r="K680" s="665">
        <v>18.0</v>
      </c>
      <c r="L680" s="665">
        <v>24826.0</v>
      </c>
      <c r="M680" s="665">
        <v>0.01</v>
      </c>
      <c r="N680" s="1">
        <v>1.0588</v>
      </c>
      <c r="O680" s="1">
        <v>18.0</v>
      </c>
      <c r="P680" s="1">
        <v>24826.0</v>
      </c>
      <c r="Q680" s="1">
        <v>0.0051</v>
      </c>
      <c r="R680" s="1">
        <v>25183.0</v>
      </c>
    </row>
    <row r="681">
      <c r="A681" s="663" t="s">
        <v>2270</v>
      </c>
      <c r="B681" s="663" t="s">
        <v>1192</v>
      </c>
      <c r="C681" s="663" t="s">
        <v>52</v>
      </c>
      <c r="D681" s="663" t="s">
        <v>599</v>
      </c>
      <c r="E681" s="664" t="s">
        <v>401</v>
      </c>
      <c r="F681" s="665">
        <v>3509.0</v>
      </c>
      <c r="G681" s="665">
        <v>2.0</v>
      </c>
      <c r="H681" s="665">
        <v>0.06</v>
      </c>
      <c r="I681" s="665">
        <v>0.01</v>
      </c>
      <c r="J681" s="665">
        <v>0.02</v>
      </c>
      <c r="K681" s="665">
        <v>3.0</v>
      </c>
      <c r="L681" s="665">
        <v>24826.0</v>
      </c>
      <c r="M681" s="665">
        <v>0.0</v>
      </c>
      <c r="N681" s="1">
        <v>1.5</v>
      </c>
      <c r="O681" s="1">
        <v>3.0</v>
      </c>
      <c r="P681" s="1">
        <v>24826.0</v>
      </c>
      <c r="Q681" s="1">
        <v>9.0E-4</v>
      </c>
      <c r="R681" s="1">
        <v>25183.0</v>
      </c>
    </row>
    <row r="682">
      <c r="A682" s="663" t="s">
        <v>2270</v>
      </c>
      <c r="B682" s="663" t="s">
        <v>1192</v>
      </c>
      <c r="C682" s="663" t="s">
        <v>52</v>
      </c>
      <c r="D682" s="663" t="s">
        <v>599</v>
      </c>
      <c r="E682" s="664" t="s">
        <v>206</v>
      </c>
      <c r="F682" s="665">
        <v>3509.0</v>
      </c>
      <c r="G682" s="665">
        <v>1.0</v>
      </c>
      <c r="H682" s="665">
        <v>0.03</v>
      </c>
      <c r="I682" s="665">
        <v>0.0</v>
      </c>
      <c r="J682" s="665">
        <v>0.01</v>
      </c>
      <c r="K682" s="665">
        <v>1.0</v>
      </c>
      <c r="L682" s="665">
        <v>24826.0</v>
      </c>
      <c r="M682" s="665">
        <v>0.0</v>
      </c>
      <c r="N682" s="1">
        <v>1.0</v>
      </c>
      <c r="O682" s="1">
        <v>1.0</v>
      </c>
      <c r="P682" s="1">
        <v>24826.0</v>
      </c>
      <c r="Q682" s="1">
        <v>3.0E-4</v>
      </c>
      <c r="R682" s="1">
        <v>25183.0</v>
      </c>
    </row>
    <row r="683">
      <c r="A683" s="663" t="s">
        <v>2270</v>
      </c>
      <c r="B683" s="663" t="s">
        <v>1192</v>
      </c>
      <c r="C683" s="663" t="s">
        <v>1209</v>
      </c>
      <c r="D683" s="663" t="s">
        <v>2234</v>
      </c>
      <c r="E683" s="664" t="s">
        <v>397</v>
      </c>
      <c r="F683" s="665">
        <v>563.0</v>
      </c>
      <c r="G683" s="665">
        <v>439.0</v>
      </c>
      <c r="H683" s="665">
        <v>77.98</v>
      </c>
      <c r="I683" s="665">
        <v>86.41</v>
      </c>
      <c r="J683" s="665">
        <v>76.36</v>
      </c>
      <c r="K683" s="665">
        <v>13320.0</v>
      </c>
      <c r="L683" s="665">
        <v>15415.0</v>
      </c>
      <c r="M683" s="665">
        <v>23.66</v>
      </c>
      <c r="N683" s="1">
        <v>30.3417</v>
      </c>
      <c r="O683" s="1">
        <v>13320.0</v>
      </c>
      <c r="P683" s="1">
        <v>15415.0</v>
      </c>
      <c r="Q683" s="1">
        <v>23.659</v>
      </c>
      <c r="R683" s="1">
        <v>25183.0</v>
      </c>
    </row>
    <row r="684">
      <c r="A684" s="663" t="s">
        <v>2270</v>
      </c>
      <c r="B684" s="663" t="s">
        <v>1192</v>
      </c>
      <c r="C684" s="663" t="s">
        <v>1209</v>
      </c>
      <c r="D684" s="663" t="s">
        <v>2234</v>
      </c>
      <c r="E684" s="664" t="s">
        <v>413</v>
      </c>
      <c r="F684" s="665">
        <v>563.0</v>
      </c>
      <c r="G684" s="665">
        <v>127.0</v>
      </c>
      <c r="H684" s="665">
        <v>22.56</v>
      </c>
      <c r="I684" s="665">
        <v>10.74</v>
      </c>
      <c r="J684" s="665">
        <v>19.19</v>
      </c>
      <c r="K684" s="665">
        <v>1655.0</v>
      </c>
      <c r="L684" s="665">
        <v>15415.0</v>
      </c>
      <c r="M684" s="665">
        <v>2.94</v>
      </c>
      <c r="N684" s="1">
        <v>13.0315</v>
      </c>
      <c r="O684" s="1">
        <v>1655.0</v>
      </c>
      <c r="P684" s="1">
        <v>15415.0</v>
      </c>
      <c r="Q684" s="1">
        <v>2.9396</v>
      </c>
      <c r="R684" s="1">
        <v>25183.0</v>
      </c>
    </row>
    <row r="685">
      <c r="A685" s="663" t="s">
        <v>2270</v>
      </c>
      <c r="B685" s="663" t="s">
        <v>1192</v>
      </c>
      <c r="C685" s="663" t="s">
        <v>1209</v>
      </c>
      <c r="D685" s="663" t="s">
        <v>2234</v>
      </c>
      <c r="E685" s="664" t="s">
        <v>411</v>
      </c>
      <c r="F685" s="665">
        <v>563.0</v>
      </c>
      <c r="G685" s="665">
        <v>5.0</v>
      </c>
      <c r="H685" s="665">
        <v>0.89</v>
      </c>
      <c r="I685" s="665">
        <v>0.97</v>
      </c>
      <c r="J685" s="665">
        <v>0.89</v>
      </c>
      <c r="K685" s="665">
        <v>150.0</v>
      </c>
      <c r="L685" s="665">
        <v>15415.0</v>
      </c>
      <c r="M685" s="665">
        <v>0.27</v>
      </c>
      <c r="N685" s="1">
        <v>30.0</v>
      </c>
      <c r="O685" s="1">
        <v>150.0</v>
      </c>
      <c r="P685" s="1">
        <v>15415.0</v>
      </c>
      <c r="Q685" s="1">
        <v>0.2664</v>
      </c>
      <c r="R685" s="1">
        <v>25183.0</v>
      </c>
    </row>
    <row r="686">
      <c r="A686" s="663" t="s">
        <v>2270</v>
      </c>
      <c r="B686" s="663" t="s">
        <v>1192</v>
      </c>
      <c r="C686" s="663" t="s">
        <v>1209</v>
      </c>
      <c r="D686" s="663" t="s">
        <v>2234</v>
      </c>
      <c r="E686" s="664" t="s">
        <v>401</v>
      </c>
      <c r="F686" s="665">
        <v>563.0</v>
      </c>
      <c r="G686" s="665">
        <v>11.0</v>
      </c>
      <c r="H686" s="665">
        <v>1.95</v>
      </c>
      <c r="I686" s="665">
        <v>0.91</v>
      </c>
      <c r="J686" s="665">
        <v>1.87</v>
      </c>
      <c r="K686" s="665">
        <v>140.0</v>
      </c>
      <c r="L686" s="665">
        <v>15415.0</v>
      </c>
      <c r="M686" s="665">
        <v>0.25</v>
      </c>
      <c r="N686" s="1">
        <v>12.7273</v>
      </c>
      <c r="O686" s="1">
        <v>140.0</v>
      </c>
      <c r="P686" s="1">
        <v>15415.0</v>
      </c>
      <c r="Q686" s="1">
        <v>0.2487</v>
      </c>
      <c r="R686" s="1">
        <v>25183.0</v>
      </c>
    </row>
    <row r="687">
      <c r="A687" s="663" t="s">
        <v>2270</v>
      </c>
      <c r="B687" s="663" t="s">
        <v>1192</v>
      </c>
      <c r="C687" s="663" t="s">
        <v>1209</v>
      </c>
      <c r="D687" s="663" t="s">
        <v>2234</v>
      </c>
      <c r="E687" s="664" t="s">
        <v>206</v>
      </c>
      <c r="F687" s="665">
        <v>563.0</v>
      </c>
      <c r="G687" s="665">
        <v>13.0</v>
      </c>
      <c r="H687" s="665">
        <v>2.31</v>
      </c>
      <c r="I687" s="665">
        <v>0.84</v>
      </c>
      <c r="J687" s="665">
        <v>1.53</v>
      </c>
      <c r="K687" s="665">
        <v>130.0</v>
      </c>
      <c r="L687" s="665">
        <v>15415.0</v>
      </c>
      <c r="M687" s="665">
        <v>0.23</v>
      </c>
      <c r="N687" s="1">
        <v>10.0</v>
      </c>
      <c r="O687" s="1">
        <v>130.0</v>
      </c>
      <c r="P687" s="1">
        <v>15415.0</v>
      </c>
      <c r="Q687" s="1">
        <v>0.2309</v>
      </c>
      <c r="R687" s="1">
        <v>25183.0</v>
      </c>
    </row>
    <row r="688">
      <c r="A688" s="663" t="s">
        <v>2270</v>
      </c>
      <c r="B688" s="663" t="s">
        <v>1192</v>
      </c>
      <c r="C688" s="663" t="s">
        <v>1209</v>
      </c>
      <c r="D688" s="663" t="s">
        <v>2234</v>
      </c>
      <c r="E688" s="664" t="s">
        <v>16</v>
      </c>
      <c r="F688" s="665">
        <v>563.0</v>
      </c>
      <c r="G688" s="665">
        <v>1.0</v>
      </c>
      <c r="H688" s="665">
        <v>0.18</v>
      </c>
      <c r="I688" s="665">
        <v>0.13</v>
      </c>
      <c r="J688" s="665">
        <v>0.18</v>
      </c>
      <c r="K688" s="665">
        <v>20.0</v>
      </c>
      <c r="L688" s="665">
        <v>15415.0</v>
      </c>
      <c r="M688" s="665">
        <v>0.04</v>
      </c>
      <c r="N688" s="1">
        <v>20.0</v>
      </c>
      <c r="O688" s="1">
        <v>20.0</v>
      </c>
      <c r="P688" s="1">
        <v>15415.0</v>
      </c>
      <c r="Q688" s="1">
        <v>0.0355</v>
      </c>
      <c r="R688" s="1">
        <v>25183.0</v>
      </c>
    </row>
    <row r="689">
      <c r="A689" s="663" t="s">
        <v>2270</v>
      </c>
      <c r="B689" s="663" t="s">
        <v>1192</v>
      </c>
      <c r="C689" s="663" t="s">
        <v>1210</v>
      </c>
      <c r="D689" s="663" t="s">
        <v>2234</v>
      </c>
      <c r="E689" s="664" t="s">
        <v>397</v>
      </c>
      <c r="F689" s="665">
        <v>1628.0</v>
      </c>
      <c r="G689" s="665">
        <v>442.0</v>
      </c>
      <c r="H689" s="665">
        <v>27.15</v>
      </c>
      <c r="I689" s="665">
        <v>54.07</v>
      </c>
      <c r="J689" s="665">
        <v>24.91</v>
      </c>
      <c r="K689" s="665">
        <v>26940.0</v>
      </c>
      <c r="L689" s="665">
        <v>49825.0</v>
      </c>
      <c r="M689" s="665">
        <v>16.55</v>
      </c>
      <c r="N689" s="1">
        <v>60.9502</v>
      </c>
      <c r="O689" s="1">
        <v>26940.0</v>
      </c>
      <c r="P689" s="1">
        <v>49825.0</v>
      </c>
      <c r="Q689" s="1">
        <v>16.5479</v>
      </c>
      <c r="R689" s="1">
        <v>25183.0</v>
      </c>
    </row>
    <row r="690">
      <c r="A690" s="663" t="s">
        <v>2270</v>
      </c>
      <c r="B690" s="663" t="s">
        <v>1192</v>
      </c>
      <c r="C690" s="663" t="s">
        <v>1210</v>
      </c>
      <c r="D690" s="663" t="s">
        <v>2234</v>
      </c>
      <c r="E690" s="664" t="s">
        <v>413</v>
      </c>
      <c r="F690" s="665">
        <v>1628.0</v>
      </c>
      <c r="G690" s="665">
        <v>947.0</v>
      </c>
      <c r="H690" s="665">
        <v>58.17</v>
      </c>
      <c r="I690" s="665">
        <v>33.35</v>
      </c>
      <c r="J690" s="665">
        <v>52.12</v>
      </c>
      <c r="K690" s="665">
        <v>16615.0</v>
      </c>
      <c r="L690" s="665">
        <v>49825.0</v>
      </c>
      <c r="M690" s="665">
        <v>10.21</v>
      </c>
      <c r="N690" s="1">
        <v>17.5449</v>
      </c>
      <c r="O690" s="1">
        <v>16615.0</v>
      </c>
      <c r="P690" s="1">
        <v>49825.0</v>
      </c>
      <c r="Q690" s="1">
        <v>10.2058</v>
      </c>
      <c r="R690" s="1">
        <v>25183.0</v>
      </c>
    </row>
    <row r="691">
      <c r="A691" s="663" t="s">
        <v>2270</v>
      </c>
      <c r="B691" s="663" t="s">
        <v>1192</v>
      </c>
      <c r="C691" s="663" t="s">
        <v>1210</v>
      </c>
      <c r="D691" s="663" t="s">
        <v>2234</v>
      </c>
      <c r="E691" s="664" t="s">
        <v>401</v>
      </c>
      <c r="F691" s="665">
        <v>1628.0</v>
      </c>
      <c r="G691" s="665">
        <v>323.0</v>
      </c>
      <c r="H691" s="665">
        <v>19.84</v>
      </c>
      <c r="I691" s="665">
        <v>7.54</v>
      </c>
      <c r="J691" s="665">
        <v>13.31</v>
      </c>
      <c r="K691" s="665">
        <v>3755.0</v>
      </c>
      <c r="L691" s="665">
        <v>49825.0</v>
      </c>
      <c r="M691" s="665">
        <v>2.31</v>
      </c>
      <c r="N691" s="1">
        <v>11.6254</v>
      </c>
      <c r="O691" s="1">
        <v>3755.0</v>
      </c>
      <c r="P691" s="1">
        <v>49825.0</v>
      </c>
      <c r="Q691" s="1">
        <v>2.3065</v>
      </c>
      <c r="R691" s="1">
        <v>25183.0</v>
      </c>
    </row>
    <row r="692">
      <c r="A692" s="663" t="s">
        <v>2270</v>
      </c>
      <c r="B692" s="663" t="s">
        <v>1192</v>
      </c>
      <c r="C692" s="663" t="s">
        <v>1210</v>
      </c>
      <c r="D692" s="663" t="s">
        <v>2234</v>
      </c>
      <c r="E692" s="664" t="s">
        <v>206</v>
      </c>
      <c r="F692" s="665">
        <v>1628.0</v>
      </c>
      <c r="G692" s="665">
        <v>224.0</v>
      </c>
      <c r="H692" s="665">
        <v>13.76</v>
      </c>
      <c r="I692" s="665">
        <v>4.55</v>
      </c>
      <c r="J692" s="665">
        <v>8.9</v>
      </c>
      <c r="K692" s="665">
        <v>2265.0</v>
      </c>
      <c r="L692" s="665">
        <v>49825.0</v>
      </c>
      <c r="M692" s="665">
        <v>1.39</v>
      </c>
      <c r="N692" s="1">
        <v>10.1116</v>
      </c>
      <c r="O692" s="1">
        <v>2265.0</v>
      </c>
      <c r="P692" s="1">
        <v>49825.0</v>
      </c>
      <c r="Q692" s="1">
        <v>1.3913</v>
      </c>
      <c r="R692" s="1">
        <v>25183.0</v>
      </c>
    </row>
    <row r="693">
      <c r="A693" s="663" t="s">
        <v>2270</v>
      </c>
      <c r="B693" s="663" t="s">
        <v>1192</v>
      </c>
      <c r="C693" s="663" t="s">
        <v>1210</v>
      </c>
      <c r="D693" s="663" t="s">
        <v>2234</v>
      </c>
      <c r="E693" s="664" t="s">
        <v>411</v>
      </c>
      <c r="F693" s="665">
        <v>1628.0</v>
      </c>
      <c r="G693" s="665">
        <v>5.0</v>
      </c>
      <c r="H693" s="665">
        <v>0.31</v>
      </c>
      <c r="I693" s="665">
        <v>0.3</v>
      </c>
      <c r="J693" s="665">
        <v>0.31</v>
      </c>
      <c r="K693" s="665">
        <v>150.0</v>
      </c>
      <c r="L693" s="665">
        <v>49825.0</v>
      </c>
      <c r="M693" s="665">
        <v>0.09</v>
      </c>
      <c r="N693" s="1">
        <v>30.0</v>
      </c>
      <c r="O693" s="1">
        <v>150.0</v>
      </c>
      <c r="P693" s="1">
        <v>49825.0</v>
      </c>
      <c r="Q693" s="1">
        <v>0.0921</v>
      </c>
      <c r="R693" s="1">
        <v>25183.0</v>
      </c>
    </row>
    <row r="694">
      <c r="A694" s="663" t="s">
        <v>2270</v>
      </c>
      <c r="B694" s="663" t="s">
        <v>1192</v>
      </c>
      <c r="C694" s="663" t="s">
        <v>1210</v>
      </c>
      <c r="D694" s="663" t="s">
        <v>2234</v>
      </c>
      <c r="E694" s="664" t="s">
        <v>9</v>
      </c>
      <c r="F694" s="665">
        <v>1628.0</v>
      </c>
      <c r="G694" s="665">
        <v>7.0</v>
      </c>
      <c r="H694" s="665">
        <v>0.43</v>
      </c>
      <c r="I694" s="665">
        <v>0.14</v>
      </c>
      <c r="J694" s="665">
        <v>0.38</v>
      </c>
      <c r="K694" s="665">
        <v>70.0</v>
      </c>
      <c r="L694" s="665">
        <v>49825.0</v>
      </c>
      <c r="M694" s="665">
        <v>0.04</v>
      </c>
      <c r="N694" s="1">
        <v>10.0</v>
      </c>
      <c r="O694" s="1">
        <v>70.0</v>
      </c>
      <c r="P694" s="1">
        <v>49825.0</v>
      </c>
      <c r="Q694" s="1">
        <v>0.043</v>
      </c>
      <c r="R694" s="1">
        <v>25183.0</v>
      </c>
    </row>
    <row r="695">
      <c r="A695" s="663" t="s">
        <v>2270</v>
      </c>
      <c r="B695" s="663" t="s">
        <v>1192</v>
      </c>
      <c r="C695" s="663" t="s">
        <v>1210</v>
      </c>
      <c r="D695" s="663" t="s">
        <v>2234</v>
      </c>
      <c r="E695" s="664" t="s">
        <v>73</v>
      </c>
      <c r="F695" s="665">
        <v>1628.0</v>
      </c>
      <c r="G695" s="665">
        <v>2.0</v>
      </c>
      <c r="H695" s="665">
        <v>0.12</v>
      </c>
      <c r="I695" s="665">
        <v>0.06</v>
      </c>
      <c r="J695" s="665">
        <v>0.07</v>
      </c>
      <c r="K695" s="665">
        <v>30.0</v>
      </c>
      <c r="L695" s="665">
        <v>49825.0</v>
      </c>
      <c r="M695" s="665">
        <v>0.02</v>
      </c>
      <c r="N695" s="1">
        <v>15.0</v>
      </c>
      <c r="O695" s="1">
        <v>30.0</v>
      </c>
      <c r="P695" s="1">
        <v>49825.0</v>
      </c>
      <c r="Q695" s="1">
        <v>0.0184</v>
      </c>
      <c r="R695" s="1">
        <v>25183.0</v>
      </c>
    </row>
    <row r="696">
      <c r="A696" s="663" t="s">
        <v>2270</v>
      </c>
      <c r="B696" s="663" t="s">
        <v>1192</v>
      </c>
      <c r="C696" s="663" t="s">
        <v>1211</v>
      </c>
      <c r="D696" s="663" t="s">
        <v>2234</v>
      </c>
      <c r="E696" s="664" t="s">
        <v>397</v>
      </c>
      <c r="F696" s="665">
        <v>2477.0</v>
      </c>
      <c r="G696" s="665">
        <v>440.0</v>
      </c>
      <c r="H696" s="665">
        <v>17.76</v>
      </c>
      <c r="I696" s="665">
        <v>37.68</v>
      </c>
      <c r="J696" s="665">
        <v>14.08</v>
      </c>
      <c r="K696" s="665">
        <v>26760.0</v>
      </c>
      <c r="L696" s="665">
        <v>71015.0</v>
      </c>
      <c r="M696" s="665">
        <v>10.8</v>
      </c>
      <c r="N696" s="1">
        <v>60.8182</v>
      </c>
      <c r="O696" s="1">
        <v>26760.0</v>
      </c>
      <c r="P696" s="1">
        <v>71015.0</v>
      </c>
      <c r="Q696" s="1">
        <v>10.8034</v>
      </c>
      <c r="R696" s="1">
        <v>25183.0</v>
      </c>
    </row>
    <row r="697">
      <c r="A697" s="663" t="s">
        <v>2270</v>
      </c>
      <c r="B697" s="663" t="s">
        <v>1192</v>
      </c>
      <c r="C697" s="663" t="s">
        <v>1211</v>
      </c>
      <c r="D697" s="663" t="s">
        <v>2234</v>
      </c>
      <c r="E697" s="664" t="s">
        <v>413</v>
      </c>
      <c r="F697" s="665">
        <v>2477.0</v>
      </c>
      <c r="G697" s="665">
        <v>1843.0</v>
      </c>
      <c r="H697" s="665">
        <v>74.4</v>
      </c>
      <c r="I697" s="665">
        <v>36.96</v>
      </c>
      <c r="J697" s="665">
        <v>54.89</v>
      </c>
      <c r="K697" s="665">
        <v>26245.0</v>
      </c>
      <c r="L697" s="665">
        <v>71015.0</v>
      </c>
      <c r="M697" s="665">
        <v>10.6</v>
      </c>
      <c r="N697" s="1">
        <v>14.2404</v>
      </c>
      <c r="O697" s="1">
        <v>26245.0</v>
      </c>
      <c r="P697" s="1">
        <v>71015.0</v>
      </c>
      <c r="Q697" s="1">
        <v>10.5955</v>
      </c>
      <c r="R697" s="1">
        <v>25183.0</v>
      </c>
    </row>
    <row r="698">
      <c r="A698" s="663" t="s">
        <v>2270</v>
      </c>
      <c r="B698" s="663" t="s">
        <v>1192</v>
      </c>
      <c r="C698" s="663" t="s">
        <v>1211</v>
      </c>
      <c r="D698" s="663" t="s">
        <v>2234</v>
      </c>
      <c r="E698" s="664" t="s">
        <v>401</v>
      </c>
      <c r="F698" s="665">
        <v>2477.0</v>
      </c>
      <c r="G698" s="665">
        <v>712.0</v>
      </c>
      <c r="H698" s="665">
        <v>28.74</v>
      </c>
      <c r="I698" s="665">
        <v>11.38</v>
      </c>
      <c r="J698" s="665">
        <v>15.05</v>
      </c>
      <c r="K698" s="665">
        <v>8080.0</v>
      </c>
      <c r="L698" s="665">
        <v>71015.0</v>
      </c>
      <c r="M698" s="665">
        <v>3.26</v>
      </c>
      <c r="N698" s="1">
        <v>11.3483</v>
      </c>
      <c r="O698" s="1">
        <v>8080.0</v>
      </c>
      <c r="P698" s="1">
        <v>71015.0</v>
      </c>
      <c r="Q698" s="1">
        <v>3.262</v>
      </c>
      <c r="R698" s="1">
        <v>25183.0</v>
      </c>
    </row>
    <row r="699">
      <c r="A699" s="663" t="s">
        <v>2270</v>
      </c>
      <c r="B699" s="663" t="s">
        <v>1192</v>
      </c>
      <c r="C699" s="663" t="s">
        <v>1211</v>
      </c>
      <c r="D699" s="663" t="s">
        <v>2234</v>
      </c>
      <c r="E699" s="664" t="s">
        <v>14</v>
      </c>
      <c r="F699" s="665">
        <v>2477.0</v>
      </c>
      <c r="G699" s="665">
        <v>360.0</v>
      </c>
      <c r="H699" s="665">
        <v>14.53</v>
      </c>
      <c r="I699" s="665">
        <v>6.75</v>
      </c>
      <c r="J699" s="665">
        <v>6.6</v>
      </c>
      <c r="K699" s="665">
        <v>4790.0</v>
      </c>
      <c r="L699" s="665">
        <v>71015.0</v>
      </c>
      <c r="M699" s="665">
        <v>1.93</v>
      </c>
      <c r="N699" s="1">
        <v>13.3056</v>
      </c>
      <c r="O699" s="1">
        <v>4790.0</v>
      </c>
      <c r="P699" s="1">
        <v>71015.0</v>
      </c>
      <c r="Q699" s="1">
        <v>1.9338</v>
      </c>
      <c r="R699" s="1">
        <v>25183.0</v>
      </c>
    </row>
    <row r="700">
      <c r="A700" s="663" t="s">
        <v>2270</v>
      </c>
      <c r="B700" s="663" t="s">
        <v>1192</v>
      </c>
      <c r="C700" s="663" t="s">
        <v>1211</v>
      </c>
      <c r="D700" s="663" t="s">
        <v>2234</v>
      </c>
      <c r="E700" s="664" t="s">
        <v>206</v>
      </c>
      <c r="F700" s="665">
        <v>2477.0</v>
      </c>
      <c r="G700" s="665">
        <v>452.0</v>
      </c>
      <c r="H700" s="665">
        <v>18.25</v>
      </c>
      <c r="I700" s="665">
        <v>6.45</v>
      </c>
      <c r="J700" s="665">
        <v>8.48</v>
      </c>
      <c r="K700" s="665">
        <v>4580.0</v>
      </c>
      <c r="L700" s="665">
        <v>71015.0</v>
      </c>
      <c r="M700" s="665">
        <v>1.85</v>
      </c>
      <c r="N700" s="1">
        <v>10.1327</v>
      </c>
      <c r="O700" s="1">
        <v>4580.0</v>
      </c>
      <c r="P700" s="1">
        <v>71015.0</v>
      </c>
      <c r="Q700" s="1">
        <v>1.849</v>
      </c>
      <c r="R700" s="1">
        <v>25183.0</v>
      </c>
    </row>
    <row r="701">
      <c r="A701" s="663" t="s">
        <v>2270</v>
      </c>
      <c r="B701" s="663" t="s">
        <v>1192</v>
      </c>
      <c r="C701" s="663" t="s">
        <v>1211</v>
      </c>
      <c r="D701" s="663" t="s">
        <v>2234</v>
      </c>
      <c r="E701" s="664" t="s">
        <v>9</v>
      </c>
      <c r="F701" s="665">
        <v>2477.0</v>
      </c>
      <c r="G701" s="665">
        <v>23.0</v>
      </c>
      <c r="H701" s="665">
        <v>0.93</v>
      </c>
      <c r="I701" s="665">
        <v>0.35</v>
      </c>
      <c r="J701" s="665">
        <v>0.45</v>
      </c>
      <c r="K701" s="665">
        <v>250.0</v>
      </c>
      <c r="L701" s="665">
        <v>71015.0</v>
      </c>
      <c r="M701" s="665">
        <v>0.1</v>
      </c>
      <c r="N701" s="1">
        <v>10.8696</v>
      </c>
      <c r="O701" s="1">
        <v>250.0</v>
      </c>
      <c r="P701" s="1">
        <v>71015.0</v>
      </c>
      <c r="Q701" s="1">
        <v>0.1009</v>
      </c>
      <c r="R701" s="1">
        <v>25183.0</v>
      </c>
    </row>
    <row r="702">
      <c r="A702" s="663" t="s">
        <v>2270</v>
      </c>
      <c r="B702" s="663" t="s">
        <v>1192</v>
      </c>
      <c r="C702" s="663" t="s">
        <v>1211</v>
      </c>
      <c r="D702" s="663" t="s">
        <v>2234</v>
      </c>
      <c r="E702" s="664" t="s">
        <v>73</v>
      </c>
      <c r="F702" s="665">
        <v>2477.0</v>
      </c>
      <c r="G702" s="665">
        <v>10.0</v>
      </c>
      <c r="H702" s="665">
        <v>0.4</v>
      </c>
      <c r="I702" s="665">
        <v>0.21</v>
      </c>
      <c r="J702" s="665">
        <v>0.22</v>
      </c>
      <c r="K702" s="665">
        <v>150.0</v>
      </c>
      <c r="L702" s="665">
        <v>71015.0</v>
      </c>
      <c r="M702" s="665">
        <v>0.06</v>
      </c>
      <c r="N702" s="1">
        <v>15.0</v>
      </c>
      <c r="O702" s="1">
        <v>150.0</v>
      </c>
      <c r="P702" s="1">
        <v>71015.0</v>
      </c>
      <c r="Q702" s="1">
        <v>0.0606</v>
      </c>
      <c r="R702" s="1">
        <v>25183.0</v>
      </c>
    </row>
    <row r="703">
      <c r="A703" s="663" t="s">
        <v>2270</v>
      </c>
      <c r="B703" s="663" t="s">
        <v>1192</v>
      </c>
      <c r="C703" s="663" t="s">
        <v>1211</v>
      </c>
      <c r="D703" s="663" t="s">
        <v>2234</v>
      </c>
      <c r="E703" s="664" t="s">
        <v>411</v>
      </c>
      <c r="F703" s="665">
        <v>2477.0</v>
      </c>
      <c r="G703" s="665">
        <v>5.0</v>
      </c>
      <c r="H703" s="665">
        <v>0.2</v>
      </c>
      <c r="I703" s="665">
        <v>0.21</v>
      </c>
      <c r="J703" s="665">
        <v>0.19</v>
      </c>
      <c r="K703" s="665">
        <v>150.0</v>
      </c>
      <c r="L703" s="665">
        <v>71015.0</v>
      </c>
      <c r="M703" s="665">
        <v>0.06</v>
      </c>
      <c r="N703" s="1">
        <v>30.0</v>
      </c>
      <c r="O703" s="1">
        <v>150.0</v>
      </c>
      <c r="P703" s="1">
        <v>71015.0</v>
      </c>
      <c r="Q703" s="1">
        <v>0.0606</v>
      </c>
      <c r="R703" s="1">
        <v>25183.0</v>
      </c>
    </row>
    <row r="704">
      <c r="A704" s="663" t="s">
        <v>2270</v>
      </c>
      <c r="B704" s="663" t="s">
        <v>1192</v>
      </c>
      <c r="C704" s="663" t="s">
        <v>1211</v>
      </c>
      <c r="D704" s="663" t="s">
        <v>2234</v>
      </c>
      <c r="E704" s="664" t="s">
        <v>414</v>
      </c>
      <c r="F704" s="665">
        <v>2477.0</v>
      </c>
      <c r="G704" s="665">
        <v>1.0</v>
      </c>
      <c r="H704" s="665">
        <v>0.04</v>
      </c>
      <c r="I704" s="665">
        <v>0.01</v>
      </c>
      <c r="J704" s="665">
        <v>0.04</v>
      </c>
      <c r="K704" s="665">
        <v>10.0</v>
      </c>
      <c r="L704" s="665">
        <v>71015.0</v>
      </c>
      <c r="M704" s="665">
        <v>0.0</v>
      </c>
      <c r="N704" s="1">
        <v>10.0</v>
      </c>
      <c r="O704" s="1">
        <v>10.0</v>
      </c>
      <c r="P704" s="1">
        <v>71015.0</v>
      </c>
      <c r="Q704" s="1">
        <v>0.004</v>
      </c>
      <c r="R704" s="1">
        <v>25183.0</v>
      </c>
    </row>
    <row r="705">
      <c r="A705" s="663" t="s">
        <v>2270</v>
      </c>
      <c r="B705" s="663" t="s">
        <v>1192</v>
      </c>
      <c r="C705" s="663" t="s">
        <v>55</v>
      </c>
      <c r="D705" s="663" t="s">
        <v>2234</v>
      </c>
      <c r="E705" s="664" t="s">
        <v>51</v>
      </c>
      <c r="F705" s="665">
        <v>4503.0</v>
      </c>
      <c r="G705" s="665">
        <v>2427.0</v>
      </c>
      <c r="H705" s="665">
        <v>53.9</v>
      </c>
      <c r="I705" s="665">
        <v>18.63</v>
      </c>
      <c r="J705" s="665">
        <v>15.53</v>
      </c>
      <c r="K705" s="665">
        <v>452460.0</v>
      </c>
      <c r="L705" s="665">
        <v>2428421.0</v>
      </c>
      <c r="M705" s="665">
        <v>100.48</v>
      </c>
      <c r="N705" s="1">
        <v>186.4277</v>
      </c>
      <c r="O705" s="1">
        <v>452460.0</v>
      </c>
      <c r="P705" s="1">
        <v>2428421.0</v>
      </c>
      <c r="Q705" s="1">
        <v>100.4797</v>
      </c>
      <c r="R705" s="1">
        <v>25183.0</v>
      </c>
    </row>
    <row r="706">
      <c r="A706" s="663" t="s">
        <v>2270</v>
      </c>
      <c r="B706" s="663" t="s">
        <v>1192</v>
      </c>
      <c r="C706" s="663" t="s">
        <v>55</v>
      </c>
      <c r="D706" s="663" t="s">
        <v>2234</v>
      </c>
      <c r="E706" s="664" t="s">
        <v>397</v>
      </c>
      <c r="F706" s="665">
        <v>4503.0</v>
      </c>
      <c r="G706" s="665">
        <v>3523.0</v>
      </c>
      <c r="H706" s="665">
        <v>78.24</v>
      </c>
      <c r="I706" s="665">
        <v>17.1</v>
      </c>
      <c r="J706" s="665">
        <v>16.75</v>
      </c>
      <c r="K706" s="665">
        <v>415380.0</v>
      </c>
      <c r="L706" s="665">
        <v>2428421.0</v>
      </c>
      <c r="M706" s="665">
        <v>92.25</v>
      </c>
      <c r="N706" s="1">
        <v>117.9052</v>
      </c>
      <c r="O706" s="1">
        <v>415380.0</v>
      </c>
      <c r="P706" s="1">
        <v>2428421.0</v>
      </c>
      <c r="Q706" s="1">
        <v>92.2452</v>
      </c>
      <c r="R706" s="1">
        <v>25183.0</v>
      </c>
    </row>
    <row r="707">
      <c r="A707" s="663" t="s">
        <v>2270</v>
      </c>
      <c r="B707" s="663" t="s">
        <v>1192</v>
      </c>
      <c r="C707" s="663" t="s">
        <v>55</v>
      </c>
      <c r="D707" s="663" t="s">
        <v>2234</v>
      </c>
      <c r="E707" s="664" t="s">
        <v>418</v>
      </c>
      <c r="F707" s="665">
        <v>4503.0</v>
      </c>
      <c r="G707" s="665">
        <v>3623.0</v>
      </c>
      <c r="H707" s="665">
        <v>80.46</v>
      </c>
      <c r="I707" s="665">
        <v>15.27</v>
      </c>
      <c r="J707" s="665">
        <v>15.52</v>
      </c>
      <c r="K707" s="665">
        <v>370765.0</v>
      </c>
      <c r="L707" s="665">
        <v>2428421.0</v>
      </c>
      <c r="M707" s="665">
        <v>82.34</v>
      </c>
      <c r="N707" s="1">
        <v>102.3365</v>
      </c>
      <c r="O707" s="1">
        <v>370765.0</v>
      </c>
      <c r="P707" s="1">
        <v>2428421.0</v>
      </c>
      <c r="Q707" s="1">
        <v>82.3373</v>
      </c>
      <c r="R707" s="1">
        <v>25183.0</v>
      </c>
    </row>
    <row r="708">
      <c r="A708" s="663" t="s">
        <v>2270</v>
      </c>
      <c r="B708" s="663" t="s">
        <v>1192</v>
      </c>
      <c r="C708" s="663" t="s">
        <v>55</v>
      </c>
      <c r="D708" s="663" t="s">
        <v>2234</v>
      </c>
      <c r="E708" s="664" t="s">
        <v>398</v>
      </c>
      <c r="F708" s="665">
        <v>4503.0</v>
      </c>
      <c r="G708" s="665">
        <v>3484.0</v>
      </c>
      <c r="H708" s="665">
        <v>77.37</v>
      </c>
      <c r="I708" s="665">
        <v>12.7</v>
      </c>
      <c r="J708" s="665">
        <v>12.51</v>
      </c>
      <c r="K708" s="665">
        <v>308450.0</v>
      </c>
      <c r="L708" s="665">
        <v>2428421.0</v>
      </c>
      <c r="M708" s="665">
        <v>68.5</v>
      </c>
      <c r="N708" s="1">
        <v>88.5333</v>
      </c>
      <c r="O708" s="1">
        <v>308450.0</v>
      </c>
      <c r="P708" s="1">
        <v>2428421.0</v>
      </c>
      <c r="Q708" s="1">
        <v>68.4988</v>
      </c>
      <c r="R708" s="1">
        <v>25183.0</v>
      </c>
    </row>
    <row r="709">
      <c r="A709" s="663" t="s">
        <v>2270</v>
      </c>
      <c r="B709" s="663" t="s">
        <v>1192</v>
      </c>
      <c r="C709" s="663" t="s">
        <v>55</v>
      </c>
      <c r="D709" s="663" t="s">
        <v>2234</v>
      </c>
      <c r="E709" s="664" t="s">
        <v>9</v>
      </c>
      <c r="F709" s="665">
        <v>4503.0</v>
      </c>
      <c r="G709" s="665">
        <v>2261.0</v>
      </c>
      <c r="H709" s="665">
        <v>50.21</v>
      </c>
      <c r="I709" s="665">
        <v>10.11</v>
      </c>
      <c r="J709" s="665">
        <v>9.01</v>
      </c>
      <c r="K709" s="665">
        <v>245580.0</v>
      </c>
      <c r="L709" s="665">
        <v>2428421.0</v>
      </c>
      <c r="M709" s="665">
        <v>54.54</v>
      </c>
      <c r="N709" s="1">
        <v>108.6157</v>
      </c>
      <c r="O709" s="1">
        <v>245580.0</v>
      </c>
      <c r="P709" s="1">
        <v>2428421.0</v>
      </c>
      <c r="Q709" s="1">
        <v>54.537</v>
      </c>
      <c r="R709" s="1">
        <v>25183.0</v>
      </c>
    </row>
    <row r="710">
      <c r="A710" s="663" t="s">
        <v>2270</v>
      </c>
      <c r="B710" s="663" t="s">
        <v>1192</v>
      </c>
      <c r="C710" s="663" t="s">
        <v>55</v>
      </c>
      <c r="D710" s="663" t="s">
        <v>2234</v>
      </c>
      <c r="E710" s="664" t="s">
        <v>63</v>
      </c>
      <c r="F710" s="665">
        <v>4503.0</v>
      </c>
      <c r="G710" s="665">
        <v>2678.0</v>
      </c>
      <c r="H710" s="665">
        <v>59.47</v>
      </c>
      <c r="I710" s="665">
        <v>8.85</v>
      </c>
      <c r="J710" s="665">
        <v>9.88</v>
      </c>
      <c r="K710" s="665">
        <v>214830.0</v>
      </c>
      <c r="L710" s="665">
        <v>2428421.0</v>
      </c>
      <c r="M710" s="665">
        <v>47.71</v>
      </c>
      <c r="N710" s="1">
        <v>80.2203</v>
      </c>
      <c r="O710" s="1">
        <v>214830.0</v>
      </c>
      <c r="P710" s="1">
        <v>2428421.0</v>
      </c>
      <c r="Q710" s="1">
        <v>47.7082</v>
      </c>
      <c r="R710" s="1">
        <v>25183.0</v>
      </c>
    </row>
    <row r="711">
      <c r="A711" s="663" t="s">
        <v>2270</v>
      </c>
      <c r="B711" s="663" t="s">
        <v>1192</v>
      </c>
      <c r="C711" s="663" t="s">
        <v>55</v>
      </c>
      <c r="D711" s="663" t="s">
        <v>2234</v>
      </c>
      <c r="E711" s="664" t="s">
        <v>413</v>
      </c>
      <c r="F711" s="665">
        <v>4503.0</v>
      </c>
      <c r="G711" s="665">
        <v>2046.0</v>
      </c>
      <c r="H711" s="665">
        <v>45.44</v>
      </c>
      <c r="I711" s="665">
        <v>5.33</v>
      </c>
      <c r="J711" s="665">
        <v>7.74</v>
      </c>
      <c r="K711" s="665">
        <v>129420.0</v>
      </c>
      <c r="L711" s="665">
        <v>2428421.0</v>
      </c>
      <c r="M711" s="665">
        <v>28.74</v>
      </c>
      <c r="N711" s="1">
        <v>63.2551</v>
      </c>
      <c r="O711" s="1">
        <v>129420.0</v>
      </c>
      <c r="P711" s="1">
        <v>2428421.0</v>
      </c>
      <c r="Q711" s="1">
        <v>28.7408</v>
      </c>
      <c r="R711" s="1">
        <v>25183.0</v>
      </c>
    </row>
    <row r="712">
      <c r="A712" s="663" t="s">
        <v>2270</v>
      </c>
      <c r="B712" s="663" t="s">
        <v>1192</v>
      </c>
      <c r="C712" s="663" t="s">
        <v>55</v>
      </c>
      <c r="D712" s="663" t="s">
        <v>2234</v>
      </c>
      <c r="E712" s="664" t="s">
        <v>14</v>
      </c>
      <c r="F712" s="665">
        <v>4503.0</v>
      </c>
      <c r="G712" s="665">
        <v>2857.0</v>
      </c>
      <c r="H712" s="665">
        <v>63.45</v>
      </c>
      <c r="I712" s="665">
        <v>5.2</v>
      </c>
      <c r="J712" s="665">
        <v>5.06</v>
      </c>
      <c r="K712" s="665">
        <v>126160.0</v>
      </c>
      <c r="L712" s="665">
        <v>2428421.0</v>
      </c>
      <c r="M712" s="665">
        <v>28.02</v>
      </c>
      <c r="N712" s="1">
        <v>44.1582</v>
      </c>
      <c r="O712" s="1">
        <v>126160.0</v>
      </c>
      <c r="P712" s="1">
        <v>2428421.0</v>
      </c>
      <c r="Q712" s="1">
        <v>28.0169</v>
      </c>
      <c r="R712" s="1">
        <v>25183.0</v>
      </c>
    </row>
    <row r="713">
      <c r="A713" s="663" t="s">
        <v>2270</v>
      </c>
      <c r="B713" s="663" t="s">
        <v>1192</v>
      </c>
      <c r="C713" s="663" t="s">
        <v>55</v>
      </c>
      <c r="D713" s="663" t="s">
        <v>2234</v>
      </c>
      <c r="E713" s="664" t="s">
        <v>7</v>
      </c>
      <c r="F713" s="665">
        <v>4503.0</v>
      </c>
      <c r="G713" s="665">
        <v>1068.0</v>
      </c>
      <c r="H713" s="665">
        <v>23.72</v>
      </c>
      <c r="I713" s="665">
        <v>1.95</v>
      </c>
      <c r="J713" s="665">
        <v>1.99</v>
      </c>
      <c r="K713" s="665">
        <v>47365.0</v>
      </c>
      <c r="L713" s="665">
        <v>2428421.0</v>
      </c>
      <c r="M713" s="665">
        <v>10.52</v>
      </c>
      <c r="N713" s="1">
        <v>44.3493</v>
      </c>
      <c r="O713" s="1">
        <v>47365.0</v>
      </c>
      <c r="P713" s="1">
        <v>2428421.0</v>
      </c>
      <c r="Q713" s="1">
        <v>10.5185</v>
      </c>
      <c r="R713" s="1">
        <v>25183.0</v>
      </c>
    </row>
    <row r="714">
      <c r="A714" s="663" t="s">
        <v>2270</v>
      </c>
      <c r="B714" s="663" t="s">
        <v>1192</v>
      </c>
      <c r="C714" s="663" t="s">
        <v>55</v>
      </c>
      <c r="D714" s="663" t="s">
        <v>2234</v>
      </c>
      <c r="E714" s="664" t="s">
        <v>396</v>
      </c>
      <c r="F714" s="665">
        <v>4503.0</v>
      </c>
      <c r="G714" s="665">
        <v>870.0</v>
      </c>
      <c r="H714" s="665">
        <v>19.32</v>
      </c>
      <c r="I714" s="665">
        <v>1.68</v>
      </c>
      <c r="J714" s="665">
        <v>1.94</v>
      </c>
      <c r="K714" s="665">
        <v>40770.0</v>
      </c>
      <c r="L714" s="665">
        <v>2428421.0</v>
      </c>
      <c r="M714" s="665">
        <v>9.05</v>
      </c>
      <c r="N714" s="1">
        <v>46.8621</v>
      </c>
      <c r="O714" s="1">
        <v>40770.0</v>
      </c>
      <c r="P714" s="1">
        <v>2428421.0</v>
      </c>
      <c r="Q714" s="1">
        <v>9.054</v>
      </c>
      <c r="R714" s="1">
        <v>25183.0</v>
      </c>
    </row>
    <row r="715">
      <c r="A715" s="663" t="s">
        <v>2270</v>
      </c>
      <c r="B715" s="663" t="s">
        <v>1192</v>
      </c>
      <c r="C715" s="663" t="s">
        <v>55</v>
      </c>
      <c r="D715" s="663" t="s">
        <v>2234</v>
      </c>
      <c r="E715" s="664" t="s">
        <v>393</v>
      </c>
      <c r="F715" s="665">
        <v>4503.0</v>
      </c>
      <c r="G715" s="665">
        <v>1118.0</v>
      </c>
      <c r="H715" s="665">
        <v>24.83</v>
      </c>
      <c r="I715" s="665">
        <v>1.55</v>
      </c>
      <c r="J715" s="665">
        <v>1.18</v>
      </c>
      <c r="K715" s="665">
        <v>37685.0</v>
      </c>
      <c r="L715" s="665">
        <v>2428421.0</v>
      </c>
      <c r="M715" s="665">
        <v>8.37</v>
      </c>
      <c r="N715" s="1">
        <v>33.7075</v>
      </c>
      <c r="O715" s="1">
        <v>37685.0</v>
      </c>
      <c r="P715" s="1">
        <v>2428421.0</v>
      </c>
      <c r="Q715" s="1">
        <v>8.3689</v>
      </c>
      <c r="R715" s="1">
        <v>25183.0</v>
      </c>
    </row>
    <row r="716">
      <c r="A716" s="663" t="s">
        <v>2270</v>
      </c>
      <c r="B716" s="663" t="s">
        <v>1192</v>
      </c>
      <c r="C716" s="663" t="s">
        <v>55</v>
      </c>
      <c r="D716" s="663" t="s">
        <v>2234</v>
      </c>
      <c r="E716" s="664" t="s">
        <v>411</v>
      </c>
      <c r="F716" s="665">
        <v>4503.0</v>
      </c>
      <c r="G716" s="665">
        <v>586.0</v>
      </c>
      <c r="H716" s="665">
        <v>13.01</v>
      </c>
      <c r="I716" s="665">
        <v>1.15</v>
      </c>
      <c r="J716" s="665">
        <v>2.22</v>
      </c>
      <c r="K716" s="665">
        <v>27901.0</v>
      </c>
      <c r="L716" s="665">
        <v>2428421.0</v>
      </c>
      <c r="M716" s="665">
        <v>6.2</v>
      </c>
      <c r="N716" s="1">
        <v>47.6126</v>
      </c>
      <c r="O716" s="1">
        <v>27901.0</v>
      </c>
      <c r="P716" s="1">
        <v>2428421.0</v>
      </c>
      <c r="Q716" s="1">
        <v>6.1961</v>
      </c>
      <c r="R716" s="1">
        <v>25183.0</v>
      </c>
    </row>
    <row r="717">
      <c r="A717" s="663" t="s">
        <v>2270</v>
      </c>
      <c r="B717" s="663" t="s">
        <v>1192</v>
      </c>
      <c r="C717" s="663" t="s">
        <v>55</v>
      </c>
      <c r="D717" s="663" t="s">
        <v>2234</v>
      </c>
      <c r="E717" s="664" t="s">
        <v>401</v>
      </c>
      <c r="F717" s="665">
        <v>4503.0</v>
      </c>
      <c r="G717" s="665">
        <v>104.0</v>
      </c>
      <c r="H717" s="665">
        <v>2.31</v>
      </c>
      <c r="I717" s="665">
        <v>0.17</v>
      </c>
      <c r="J717" s="665">
        <v>0.29</v>
      </c>
      <c r="K717" s="665">
        <v>4140.0</v>
      </c>
      <c r="L717" s="665">
        <v>2428421.0</v>
      </c>
      <c r="M717" s="665">
        <v>0.92</v>
      </c>
      <c r="N717" s="1">
        <v>39.8077</v>
      </c>
      <c r="O717" s="1">
        <v>4140.0</v>
      </c>
      <c r="P717" s="1">
        <v>2428421.0</v>
      </c>
      <c r="Q717" s="1">
        <v>0.9194</v>
      </c>
      <c r="R717" s="1">
        <v>25183.0</v>
      </c>
    </row>
    <row r="718">
      <c r="A718" s="663" t="s">
        <v>2270</v>
      </c>
      <c r="B718" s="663" t="s">
        <v>1192</v>
      </c>
      <c r="C718" s="663" t="s">
        <v>55</v>
      </c>
      <c r="D718" s="663" t="s">
        <v>2234</v>
      </c>
      <c r="E718" s="664" t="s">
        <v>206</v>
      </c>
      <c r="F718" s="665">
        <v>4503.0</v>
      </c>
      <c r="G718" s="665">
        <v>92.0</v>
      </c>
      <c r="H718" s="665">
        <v>2.04</v>
      </c>
      <c r="I718" s="665">
        <v>0.12</v>
      </c>
      <c r="J718" s="665">
        <v>0.12</v>
      </c>
      <c r="K718" s="665">
        <v>2955.0</v>
      </c>
      <c r="L718" s="665">
        <v>2428421.0</v>
      </c>
      <c r="M718" s="665">
        <v>0.66</v>
      </c>
      <c r="N718" s="1">
        <v>32.1196</v>
      </c>
      <c r="O718" s="1">
        <v>2955.0</v>
      </c>
      <c r="P718" s="1">
        <v>2428421.0</v>
      </c>
      <c r="Q718" s="1">
        <v>0.6562</v>
      </c>
      <c r="R718" s="1">
        <v>25183.0</v>
      </c>
    </row>
    <row r="719">
      <c r="A719" s="663" t="s">
        <v>2270</v>
      </c>
      <c r="B719" s="663" t="s">
        <v>1192</v>
      </c>
      <c r="C719" s="663" t="s">
        <v>55</v>
      </c>
      <c r="D719" s="663" t="s">
        <v>2234</v>
      </c>
      <c r="E719" s="664" t="s">
        <v>73</v>
      </c>
      <c r="F719" s="665">
        <v>4503.0</v>
      </c>
      <c r="G719" s="665">
        <v>75.0</v>
      </c>
      <c r="H719" s="665">
        <v>1.67</v>
      </c>
      <c r="I719" s="665">
        <v>0.11</v>
      </c>
      <c r="J719" s="665">
        <v>0.1</v>
      </c>
      <c r="K719" s="665">
        <v>2610.0</v>
      </c>
      <c r="L719" s="665">
        <v>2428421.0</v>
      </c>
      <c r="M719" s="665">
        <v>0.58</v>
      </c>
      <c r="N719" s="1">
        <v>34.8</v>
      </c>
      <c r="O719" s="1">
        <v>2610.0</v>
      </c>
      <c r="P719" s="1">
        <v>2428421.0</v>
      </c>
      <c r="Q719" s="1">
        <v>0.5796</v>
      </c>
      <c r="R719" s="1">
        <v>25183.0</v>
      </c>
    </row>
    <row r="720">
      <c r="A720" s="663" t="s">
        <v>2270</v>
      </c>
      <c r="B720" s="663" t="s">
        <v>1192</v>
      </c>
      <c r="C720" s="663" t="s">
        <v>55</v>
      </c>
      <c r="D720" s="663" t="s">
        <v>2234</v>
      </c>
      <c r="E720" s="664" t="s">
        <v>42</v>
      </c>
      <c r="F720" s="665">
        <v>4503.0</v>
      </c>
      <c r="G720" s="665">
        <v>37.0</v>
      </c>
      <c r="H720" s="665">
        <v>0.82</v>
      </c>
      <c r="I720" s="665">
        <v>0.08</v>
      </c>
      <c r="J720" s="665">
        <v>0.15</v>
      </c>
      <c r="K720" s="665">
        <v>1880.0</v>
      </c>
      <c r="L720" s="665">
        <v>2428421.0</v>
      </c>
      <c r="M720" s="665">
        <v>0.42</v>
      </c>
      <c r="N720" s="1">
        <v>50.8108</v>
      </c>
      <c r="O720" s="1">
        <v>1880.0</v>
      </c>
      <c r="P720" s="1">
        <v>2428421.0</v>
      </c>
      <c r="Q720" s="1">
        <v>0.4175</v>
      </c>
      <c r="R720" s="1">
        <v>25183.0</v>
      </c>
    </row>
    <row r="721">
      <c r="A721" s="663" t="s">
        <v>2270</v>
      </c>
      <c r="B721" s="663" t="s">
        <v>1192</v>
      </c>
      <c r="C721" s="663" t="s">
        <v>55</v>
      </c>
      <c r="D721" s="663" t="s">
        <v>2234</v>
      </c>
      <c r="E721" s="664" t="s">
        <v>16</v>
      </c>
      <c r="F721" s="665">
        <v>4503.0</v>
      </c>
      <c r="G721" s="665">
        <v>1.0</v>
      </c>
      <c r="H721" s="665">
        <v>0.02</v>
      </c>
      <c r="I721" s="665">
        <v>0.0</v>
      </c>
      <c r="J721" s="665">
        <v>0.01</v>
      </c>
      <c r="K721" s="665">
        <v>70.0</v>
      </c>
      <c r="L721" s="665">
        <v>2428421.0</v>
      </c>
      <c r="M721" s="665">
        <v>0.02</v>
      </c>
      <c r="N721" s="1">
        <v>70.0</v>
      </c>
      <c r="O721" s="1">
        <v>70.0</v>
      </c>
      <c r="P721" s="1">
        <v>2428421.0</v>
      </c>
      <c r="Q721" s="1">
        <v>0.0155</v>
      </c>
      <c r="R721" s="1">
        <v>25183.0</v>
      </c>
    </row>
    <row r="722">
      <c r="A722" s="663" t="s">
        <v>2295</v>
      </c>
      <c r="B722" s="663" t="s">
        <v>180</v>
      </c>
      <c r="C722" s="663" t="s">
        <v>50</v>
      </c>
      <c r="D722" s="663" t="s">
        <v>599</v>
      </c>
      <c r="E722" s="664" t="s">
        <v>396</v>
      </c>
      <c r="F722" s="665">
        <v>23162.0</v>
      </c>
      <c r="G722" s="665">
        <v>9657.0</v>
      </c>
      <c r="H722" s="665">
        <v>41.69</v>
      </c>
      <c r="I722" s="665">
        <v>24.98</v>
      </c>
      <c r="J722" s="665">
        <v>30.44</v>
      </c>
      <c r="K722" s="665">
        <v>16505.0</v>
      </c>
      <c r="L722" s="665">
        <v>66062.0</v>
      </c>
      <c r="M722" s="665">
        <v>0.71</v>
      </c>
      <c r="N722" s="1">
        <v>1.7091</v>
      </c>
      <c r="O722" s="1">
        <v>16505.0</v>
      </c>
      <c r="P722" s="1">
        <v>66062.0</v>
      </c>
      <c r="Q722" s="1">
        <v>0.7126</v>
      </c>
      <c r="R722" s="1">
        <v>105456.0</v>
      </c>
    </row>
    <row r="723">
      <c r="A723" s="663" t="s">
        <v>2295</v>
      </c>
      <c r="B723" s="663" t="s">
        <v>180</v>
      </c>
      <c r="C723" s="663" t="s">
        <v>50</v>
      </c>
      <c r="D723" s="663" t="s">
        <v>599</v>
      </c>
      <c r="E723" s="664" t="s">
        <v>411</v>
      </c>
      <c r="F723" s="665">
        <v>23162.0</v>
      </c>
      <c r="G723" s="665">
        <v>12478.0</v>
      </c>
      <c r="H723" s="665">
        <v>53.87</v>
      </c>
      <c r="I723" s="665">
        <v>24.58</v>
      </c>
      <c r="J723" s="665">
        <v>30.57</v>
      </c>
      <c r="K723" s="665">
        <v>16240.0</v>
      </c>
      <c r="L723" s="665">
        <v>66062.0</v>
      </c>
      <c r="M723" s="665">
        <v>0.7</v>
      </c>
      <c r="N723" s="1">
        <v>1.3015</v>
      </c>
      <c r="O723" s="1">
        <v>16240.0</v>
      </c>
      <c r="P723" s="1">
        <v>66062.0</v>
      </c>
      <c r="Q723" s="1">
        <v>0.7011</v>
      </c>
      <c r="R723" s="1">
        <v>105456.0</v>
      </c>
    </row>
    <row r="724">
      <c r="A724" s="663" t="s">
        <v>2295</v>
      </c>
      <c r="B724" s="663" t="s">
        <v>180</v>
      </c>
      <c r="C724" s="663" t="s">
        <v>50</v>
      </c>
      <c r="D724" s="663" t="s">
        <v>599</v>
      </c>
      <c r="E724" s="664" t="s">
        <v>418</v>
      </c>
      <c r="F724" s="665">
        <v>23162.0</v>
      </c>
      <c r="G724" s="665">
        <v>8617.0</v>
      </c>
      <c r="H724" s="665">
        <v>37.2</v>
      </c>
      <c r="I724" s="665">
        <v>16.34</v>
      </c>
      <c r="J724" s="665">
        <v>15.67</v>
      </c>
      <c r="K724" s="665">
        <v>10797.0</v>
      </c>
      <c r="L724" s="665">
        <v>66062.0</v>
      </c>
      <c r="M724" s="665">
        <v>0.47</v>
      </c>
      <c r="N724" s="1">
        <v>1.253</v>
      </c>
      <c r="O724" s="1">
        <v>10797.0</v>
      </c>
      <c r="P724" s="1">
        <v>66062.0</v>
      </c>
      <c r="Q724" s="1">
        <v>0.4662</v>
      </c>
      <c r="R724" s="1">
        <v>105456.0</v>
      </c>
    </row>
    <row r="725">
      <c r="A725" s="663" t="s">
        <v>2295</v>
      </c>
      <c r="B725" s="663" t="s">
        <v>180</v>
      </c>
      <c r="C725" s="663" t="s">
        <v>50</v>
      </c>
      <c r="D725" s="663" t="s">
        <v>599</v>
      </c>
      <c r="E725" s="664" t="s">
        <v>9</v>
      </c>
      <c r="F725" s="665">
        <v>23162.0</v>
      </c>
      <c r="G725" s="665">
        <v>4341.0</v>
      </c>
      <c r="H725" s="665">
        <v>18.74</v>
      </c>
      <c r="I725" s="665">
        <v>8.83</v>
      </c>
      <c r="J725" s="665">
        <v>5.78</v>
      </c>
      <c r="K725" s="665">
        <v>5833.0</v>
      </c>
      <c r="L725" s="665">
        <v>66062.0</v>
      </c>
      <c r="M725" s="665">
        <v>0.25</v>
      </c>
      <c r="N725" s="1">
        <v>1.3437</v>
      </c>
      <c r="O725" s="1">
        <v>5833.0</v>
      </c>
      <c r="P725" s="1">
        <v>66062.0</v>
      </c>
      <c r="Q725" s="1">
        <v>0.2518</v>
      </c>
      <c r="R725" s="1">
        <v>105456.0</v>
      </c>
    </row>
    <row r="726">
      <c r="A726" s="663" t="s">
        <v>2295</v>
      </c>
      <c r="B726" s="663" t="s">
        <v>180</v>
      </c>
      <c r="C726" s="663" t="s">
        <v>50</v>
      </c>
      <c r="D726" s="663" t="s">
        <v>599</v>
      </c>
      <c r="E726" s="664" t="s">
        <v>413</v>
      </c>
      <c r="F726" s="665">
        <v>23162.0</v>
      </c>
      <c r="G726" s="665">
        <v>3250.0</v>
      </c>
      <c r="H726" s="665">
        <v>14.03</v>
      </c>
      <c r="I726" s="665">
        <v>6.22</v>
      </c>
      <c r="J726" s="665">
        <v>3.79</v>
      </c>
      <c r="K726" s="665">
        <v>4112.0</v>
      </c>
      <c r="L726" s="665">
        <v>66062.0</v>
      </c>
      <c r="M726" s="665">
        <v>0.18</v>
      </c>
      <c r="N726" s="1">
        <v>1.2652</v>
      </c>
      <c r="O726" s="1">
        <v>4112.0</v>
      </c>
      <c r="P726" s="1">
        <v>66062.0</v>
      </c>
      <c r="Q726" s="1">
        <v>0.1775</v>
      </c>
      <c r="R726" s="1">
        <v>105456.0</v>
      </c>
    </row>
    <row r="727">
      <c r="A727" s="663" t="s">
        <v>2295</v>
      </c>
      <c r="B727" s="663" t="s">
        <v>180</v>
      </c>
      <c r="C727" s="663" t="s">
        <v>50</v>
      </c>
      <c r="D727" s="663" t="s">
        <v>599</v>
      </c>
      <c r="E727" s="664" t="s">
        <v>16</v>
      </c>
      <c r="F727" s="665">
        <v>23162.0</v>
      </c>
      <c r="G727" s="665">
        <v>2560.0</v>
      </c>
      <c r="H727" s="665">
        <v>11.05</v>
      </c>
      <c r="I727" s="665">
        <v>5.22</v>
      </c>
      <c r="J727" s="665">
        <v>4.54</v>
      </c>
      <c r="K727" s="665">
        <v>3450.0</v>
      </c>
      <c r="L727" s="665">
        <v>66062.0</v>
      </c>
      <c r="M727" s="665">
        <v>0.15</v>
      </c>
      <c r="N727" s="1">
        <v>1.3477</v>
      </c>
      <c r="O727" s="1">
        <v>3450.0</v>
      </c>
      <c r="P727" s="1">
        <v>66062.0</v>
      </c>
      <c r="Q727" s="1">
        <v>0.149</v>
      </c>
      <c r="R727" s="1">
        <v>105456.0</v>
      </c>
    </row>
    <row r="728">
      <c r="A728" s="663" t="s">
        <v>2295</v>
      </c>
      <c r="B728" s="663" t="s">
        <v>180</v>
      </c>
      <c r="C728" s="663" t="s">
        <v>50</v>
      </c>
      <c r="D728" s="663" t="s">
        <v>599</v>
      </c>
      <c r="E728" s="664" t="s">
        <v>51</v>
      </c>
      <c r="F728" s="665">
        <v>23162.0</v>
      </c>
      <c r="G728" s="665">
        <v>2400.0</v>
      </c>
      <c r="H728" s="665">
        <v>10.36</v>
      </c>
      <c r="I728" s="665">
        <v>4.94</v>
      </c>
      <c r="J728" s="665">
        <v>3.43</v>
      </c>
      <c r="K728" s="665">
        <v>3266.0</v>
      </c>
      <c r="L728" s="665">
        <v>66062.0</v>
      </c>
      <c r="M728" s="665">
        <v>0.14</v>
      </c>
      <c r="N728" s="1">
        <v>1.3608</v>
      </c>
      <c r="O728" s="1">
        <v>3266.0</v>
      </c>
      <c r="P728" s="1">
        <v>66062.0</v>
      </c>
      <c r="Q728" s="1">
        <v>0.141</v>
      </c>
      <c r="R728" s="1">
        <v>105456.0</v>
      </c>
    </row>
    <row r="729">
      <c r="A729" s="663" t="s">
        <v>2295</v>
      </c>
      <c r="B729" s="663" t="s">
        <v>180</v>
      </c>
      <c r="C729" s="663" t="s">
        <v>50</v>
      </c>
      <c r="D729" s="663" t="s">
        <v>599</v>
      </c>
      <c r="E729" s="664" t="s">
        <v>42</v>
      </c>
      <c r="F729" s="665">
        <v>23162.0</v>
      </c>
      <c r="G729" s="665">
        <v>2249.0</v>
      </c>
      <c r="H729" s="665">
        <v>9.71</v>
      </c>
      <c r="I729" s="665">
        <v>3.99</v>
      </c>
      <c r="J729" s="665">
        <v>2.95</v>
      </c>
      <c r="K729" s="665">
        <v>2637.0</v>
      </c>
      <c r="L729" s="665">
        <v>66062.0</v>
      </c>
      <c r="M729" s="665">
        <v>0.11</v>
      </c>
      <c r="N729" s="1">
        <v>1.1725</v>
      </c>
      <c r="O729" s="1">
        <v>2637.0</v>
      </c>
      <c r="P729" s="1">
        <v>66062.0</v>
      </c>
      <c r="Q729" s="1">
        <v>0.1139</v>
      </c>
      <c r="R729" s="1">
        <v>105456.0</v>
      </c>
    </row>
    <row r="730">
      <c r="A730" s="663" t="s">
        <v>2295</v>
      </c>
      <c r="B730" s="663" t="s">
        <v>180</v>
      </c>
      <c r="C730" s="663" t="s">
        <v>50</v>
      </c>
      <c r="D730" s="663" t="s">
        <v>599</v>
      </c>
      <c r="E730" s="664" t="s">
        <v>14</v>
      </c>
      <c r="F730" s="665">
        <v>23162.0</v>
      </c>
      <c r="G730" s="665">
        <v>1558.0</v>
      </c>
      <c r="H730" s="665">
        <v>6.73</v>
      </c>
      <c r="I730" s="665">
        <v>3.28</v>
      </c>
      <c r="J730" s="665">
        <v>1.58</v>
      </c>
      <c r="K730" s="665">
        <v>2169.0</v>
      </c>
      <c r="L730" s="665">
        <v>66062.0</v>
      </c>
      <c r="M730" s="665">
        <v>0.09</v>
      </c>
      <c r="N730" s="1">
        <v>1.3922</v>
      </c>
      <c r="O730" s="1">
        <v>2169.0</v>
      </c>
      <c r="P730" s="1">
        <v>66062.0</v>
      </c>
      <c r="Q730" s="1">
        <v>0.0936</v>
      </c>
      <c r="R730" s="1">
        <v>105456.0</v>
      </c>
    </row>
    <row r="731">
      <c r="A731" s="663" t="s">
        <v>2295</v>
      </c>
      <c r="B731" s="663" t="s">
        <v>180</v>
      </c>
      <c r="C731" s="663" t="s">
        <v>50</v>
      </c>
      <c r="D731" s="663" t="s">
        <v>599</v>
      </c>
      <c r="E731" s="664" t="s">
        <v>63</v>
      </c>
      <c r="F731" s="665">
        <v>23162.0</v>
      </c>
      <c r="G731" s="665">
        <v>795.0</v>
      </c>
      <c r="H731" s="665">
        <v>3.43</v>
      </c>
      <c r="I731" s="665">
        <v>1.3</v>
      </c>
      <c r="J731" s="665">
        <v>1.04</v>
      </c>
      <c r="K731" s="665">
        <v>860.0</v>
      </c>
      <c r="L731" s="665">
        <v>66062.0</v>
      </c>
      <c r="M731" s="665">
        <v>0.04</v>
      </c>
      <c r="N731" s="1">
        <v>1.0818</v>
      </c>
      <c r="O731" s="1">
        <v>860.0</v>
      </c>
      <c r="P731" s="1">
        <v>66062.0</v>
      </c>
      <c r="Q731" s="1">
        <v>0.0371</v>
      </c>
      <c r="R731" s="1">
        <v>105456.0</v>
      </c>
    </row>
    <row r="732">
      <c r="A732" s="663" t="s">
        <v>2295</v>
      </c>
      <c r="B732" s="663" t="s">
        <v>180</v>
      </c>
      <c r="C732" s="663" t="s">
        <v>50</v>
      </c>
      <c r="D732" s="663" t="s">
        <v>599</v>
      </c>
      <c r="E732" s="664" t="s">
        <v>7</v>
      </c>
      <c r="F732" s="665">
        <v>23162.0</v>
      </c>
      <c r="G732" s="665">
        <v>166.0</v>
      </c>
      <c r="H732" s="665">
        <v>0.72</v>
      </c>
      <c r="I732" s="665">
        <v>0.26</v>
      </c>
      <c r="J732" s="665">
        <v>0.2</v>
      </c>
      <c r="K732" s="665">
        <v>174.0</v>
      </c>
      <c r="L732" s="665">
        <v>66062.0</v>
      </c>
      <c r="M732" s="665">
        <v>0.01</v>
      </c>
      <c r="N732" s="1">
        <v>1.0482</v>
      </c>
      <c r="O732" s="1">
        <v>174.0</v>
      </c>
      <c r="P732" s="1">
        <v>66062.0</v>
      </c>
      <c r="Q732" s="1">
        <v>0.0075</v>
      </c>
      <c r="R732" s="1">
        <v>105456.0</v>
      </c>
    </row>
    <row r="733">
      <c r="A733" s="663" t="s">
        <v>2295</v>
      </c>
      <c r="B733" s="663" t="s">
        <v>180</v>
      </c>
      <c r="C733" s="663" t="s">
        <v>50</v>
      </c>
      <c r="D733" s="663" t="s">
        <v>599</v>
      </c>
      <c r="E733" s="664" t="s">
        <v>414</v>
      </c>
      <c r="F733" s="665">
        <v>23162.0</v>
      </c>
      <c r="G733" s="665">
        <v>2.0</v>
      </c>
      <c r="H733" s="665">
        <v>0.01</v>
      </c>
      <c r="I733" s="665">
        <v>0.01</v>
      </c>
      <c r="J733" s="665">
        <v>0.01</v>
      </c>
      <c r="K733" s="665">
        <v>4.0</v>
      </c>
      <c r="L733" s="665">
        <v>66062.0</v>
      </c>
      <c r="M733" s="665">
        <v>0.0</v>
      </c>
      <c r="N733" s="1">
        <v>2.0</v>
      </c>
      <c r="O733" s="1">
        <v>4.0</v>
      </c>
      <c r="P733" s="1">
        <v>66062.0</v>
      </c>
      <c r="Q733" s="1">
        <v>2.0E-4</v>
      </c>
      <c r="R733" s="1">
        <v>105456.0</v>
      </c>
    </row>
    <row r="734">
      <c r="A734" s="663" t="s">
        <v>2295</v>
      </c>
      <c r="B734" s="663" t="s">
        <v>180</v>
      </c>
      <c r="C734" s="663" t="s">
        <v>50</v>
      </c>
      <c r="D734" s="663" t="s">
        <v>599</v>
      </c>
      <c r="E734" s="664" t="s">
        <v>393</v>
      </c>
      <c r="F734" s="665">
        <v>23162.0</v>
      </c>
      <c r="G734" s="665">
        <v>8.0</v>
      </c>
      <c r="H734" s="665">
        <v>0.03</v>
      </c>
      <c r="I734" s="665">
        <v>0.01</v>
      </c>
      <c r="J734" s="665">
        <v>0.01</v>
      </c>
      <c r="K734" s="665">
        <v>9.0</v>
      </c>
      <c r="L734" s="665">
        <v>66062.0</v>
      </c>
      <c r="M734" s="665">
        <v>0.0</v>
      </c>
      <c r="N734" s="1">
        <v>1.125</v>
      </c>
      <c r="O734" s="1">
        <v>9.0</v>
      </c>
      <c r="P734" s="1">
        <v>66062.0</v>
      </c>
      <c r="Q734" s="1">
        <v>4.0E-4</v>
      </c>
      <c r="R734" s="1">
        <v>105456.0</v>
      </c>
    </row>
    <row r="735">
      <c r="A735" s="663" t="s">
        <v>2295</v>
      </c>
      <c r="B735" s="663" t="s">
        <v>180</v>
      </c>
      <c r="C735" s="663" t="s">
        <v>50</v>
      </c>
      <c r="D735" s="663" t="s">
        <v>599</v>
      </c>
      <c r="E735" s="664" t="s">
        <v>206</v>
      </c>
      <c r="F735" s="665">
        <v>23162.0</v>
      </c>
      <c r="G735" s="665">
        <v>2.0</v>
      </c>
      <c r="H735" s="665">
        <v>0.01</v>
      </c>
      <c r="I735" s="665">
        <v>0.0</v>
      </c>
      <c r="J735" s="665">
        <v>0.0</v>
      </c>
      <c r="K735" s="665">
        <v>2.0</v>
      </c>
      <c r="L735" s="665">
        <v>66062.0</v>
      </c>
      <c r="M735" s="665">
        <v>0.0</v>
      </c>
      <c r="N735" s="1">
        <v>1.0</v>
      </c>
      <c r="O735" s="1">
        <v>2.0</v>
      </c>
      <c r="P735" s="1">
        <v>66062.0</v>
      </c>
      <c r="Q735" s="1">
        <v>1.0E-4</v>
      </c>
      <c r="R735" s="1">
        <v>105456.0</v>
      </c>
    </row>
    <row r="736">
      <c r="A736" s="663" t="s">
        <v>2295</v>
      </c>
      <c r="B736" s="663" t="s">
        <v>180</v>
      </c>
      <c r="C736" s="663" t="s">
        <v>50</v>
      </c>
      <c r="D736" s="663" t="s">
        <v>599</v>
      </c>
      <c r="E736" s="664" t="s">
        <v>151</v>
      </c>
      <c r="F736" s="665">
        <v>23162.0</v>
      </c>
      <c r="G736" s="665">
        <v>1.0</v>
      </c>
      <c r="H736" s="665">
        <v>0.0</v>
      </c>
      <c r="I736" s="665">
        <v>0.0</v>
      </c>
      <c r="J736" s="665">
        <v>0.0</v>
      </c>
      <c r="K736" s="665">
        <v>1.0</v>
      </c>
      <c r="L736" s="665">
        <v>66062.0</v>
      </c>
      <c r="M736" s="665">
        <v>0.0</v>
      </c>
      <c r="N736" s="1">
        <v>1.0</v>
      </c>
      <c r="O736" s="1">
        <v>1.0</v>
      </c>
      <c r="P736" s="1">
        <v>66062.0</v>
      </c>
      <c r="Q736" s="1">
        <v>0.0</v>
      </c>
      <c r="R736" s="1">
        <v>105456.0</v>
      </c>
    </row>
    <row r="737">
      <c r="A737" s="663" t="s">
        <v>2295</v>
      </c>
      <c r="B737" s="663" t="s">
        <v>180</v>
      </c>
      <c r="C737" s="663" t="s">
        <v>50</v>
      </c>
      <c r="D737" s="663" t="s">
        <v>599</v>
      </c>
      <c r="E737" s="664" t="s">
        <v>401</v>
      </c>
      <c r="F737" s="665">
        <v>23162.0</v>
      </c>
      <c r="G737" s="665">
        <v>3.0</v>
      </c>
      <c r="H737" s="665">
        <v>0.01</v>
      </c>
      <c r="I737" s="665">
        <v>0.0</v>
      </c>
      <c r="J737" s="665">
        <v>0.0</v>
      </c>
      <c r="K737" s="665">
        <v>3.0</v>
      </c>
      <c r="L737" s="665">
        <v>66062.0</v>
      </c>
      <c r="M737" s="665">
        <v>0.0</v>
      </c>
      <c r="N737" s="1">
        <v>1.0</v>
      </c>
      <c r="O737" s="1">
        <v>3.0</v>
      </c>
      <c r="P737" s="1">
        <v>66062.0</v>
      </c>
      <c r="Q737" s="1">
        <v>1.0E-4</v>
      </c>
      <c r="R737" s="1">
        <v>105456.0</v>
      </c>
    </row>
    <row r="738">
      <c r="A738" s="663" t="s">
        <v>2295</v>
      </c>
      <c r="B738" s="663" t="s">
        <v>180</v>
      </c>
      <c r="C738" s="663" t="s">
        <v>48</v>
      </c>
      <c r="D738" s="663" t="s">
        <v>599</v>
      </c>
      <c r="E738" s="664" t="s">
        <v>396</v>
      </c>
      <c r="F738" s="665">
        <v>30506.0</v>
      </c>
      <c r="G738" s="665">
        <v>13588.0</v>
      </c>
      <c r="H738" s="665">
        <v>44.54</v>
      </c>
      <c r="I738" s="665">
        <v>17.64</v>
      </c>
      <c r="J738" s="665">
        <v>29.62</v>
      </c>
      <c r="K738" s="665">
        <v>23961.0</v>
      </c>
      <c r="L738" s="665">
        <v>135867.0</v>
      </c>
      <c r="M738" s="665">
        <v>0.79</v>
      </c>
      <c r="N738" s="1">
        <v>1.7634</v>
      </c>
      <c r="O738" s="1">
        <v>23961.0</v>
      </c>
      <c r="P738" s="1">
        <v>135867.0</v>
      </c>
      <c r="Q738" s="1">
        <v>0.7855</v>
      </c>
      <c r="R738" s="1">
        <v>105456.0</v>
      </c>
    </row>
    <row r="739">
      <c r="A739" s="663" t="s">
        <v>2295</v>
      </c>
      <c r="B739" s="663" t="s">
        <v>180</v>
      </c>
      <c r="C739" s="663" t="s">
        <v>48</v>
      </c>
      <c r="D739" s="663" t="s">
        <v>599</v>
      </c>
      <c r="E739" s="664" t="s">
        <v>14</v>
      </c>
      <c r="F739" s="665">
        <v>30506.0</v>
      </c>
      <c r="G739" s="665">
        <v>12283.0</v>
      </c>
      <c r="H739" s="665">
        <v>40.26</v>
      </c>
      <c r="I739" s="665">
        <v>14.48</v>
      </c>
      <c r="J739" s="665">
        <v>12.4</v>
      </c>
      <c r="K739" s="665">
        <v>19668.0</v>
      </c>
      <c r="L739" s="665">
        <v>135867.0</v>
      </c>
      <c r="M739" s="665">
        <v>0.64</v>
      </c>
      <c r="N739" s="1">
        <v>1.6012</v>
      </c>
      <c r="O739" s="1">
        <v>19668.0</v>
      </c>
      <c r="P739" s="1">
        <v>135867.0</v>
      </c>
      <c r="Q739" s="1">
        <v>0.6447</v>
      </c>
      <c r="R739" s="1">
        <v>105456.0</v>
      </c>
    </row>
    <row r="740">
      <c r="A740" s="663" t="s">
        <v>2295</v>
      </c>
      <c r="B740" s="663" t="s">
        <v>180</v>
      </c>
      <c r="C740" s="663" t="s">
        <v>48</v>
      </c>
      <c r="D740" s="663" t="s">
        <v>599</v>
      </c>
      <c r="E740" s="664" t="s">
        <v>413</v>
      </c>
      <c r="F740" s="665">
        <v>30506.0</v>
      </c>
      <c r="G740" s="665">
        <v>9878.0</v>
      </c>
      <c r="H740" s="665">
        <v>32.38</v>
      </c>
      <c r="I740" s="665">
        <v>13.07</v>
      </c>
      <c r="J740" s="665">
        <v>10.31</v>
      </c>
      <c r="K740" s="665">
        <v>17755.0</v>
      </c>
      <c r="L740" s="665">
        <v>135867.0</v>
      </c>
      <c r="M740" s="665">
        <v>0.58</v>
      </c>
      <c r="N740" s="1">
        <v>1.7974</v>
      </c>
      <c r="O740" s="1">
        <v>17755.0</v>
      </c>
      <c r="P740" s="1">
        <v>135867.0</v>
      </c>
      <c r="Q740" s="1">
        <v>0.582</v>
      </c>
      <c r="R740" s="1">
        <v>105456.0</v>
      </c>
    </row>
    <row r="741">
      <c r="A741" s="663" t="s">
        <v>2295</v>
      </c>
      <c r="B741" s="663" t="s">
        <v>180</v>
      </c>
      <c r="C741" s="663" t="s">
        <v>48</v>
      </c>
      <c r="D741" s="663" t="s">
        <v>599</v>
      </c>
      <c r="E741" s="664" t="s">
        <v>411</v>
      </c>
      <c r="F741" s="665">
        <v>30506.0</v>
      </c>
      <c r="G741" s="665">
        <v>12597.0</v>
      </c>
      <c r="H741" s="665">
        <v>41.29</v>
      </c>
      <c r="I741" s="665">
        <v>12.06</v>
      </c>
      <c r="J741" s="665">
        <v>13.06</v>
      </c>
      <c r="K741" s="665">
        <v>16387.0</v>
      </c>
      <c r="L741" s="665">
        <v>135867.0</v>
      </c>
      <c r="M741" s="665">
        <v>0.54</v>
      </c>
      <c r="N741" s="1">
        <v>1.3009</v>
      </c>
      <c r="O741" s="1">
        <v>16387.0</v>
      </c>
      <c r="P741" s="1">
        <v>135867.0</v>
      </c>
      <c r="Q741" s="1">
        <v>0.5372</v>
      </c>
      <c r="R741" s="1">
        <v>105456.0</v>
      </c>
    </row>
    <row r="742">
      <c r="A742" s="663" t="s">
        <v>2295</v>
      </c>
      <c r="B742" s="663" t="s">
        <v>180</v>
      </c>
      <c r="C742" s="663" t="s">
        <v>48</v>
      </c>
      <c r="D742" s="663" t="s">
        <v>599</v>
      </c>
      <c r="E742" s="664" t="s">
        <v>418</v>
      </c>
      <c r="F742" s="665">
        <v>30506.0</v>
      </c>
      <c r="G742" s="665">
        <v>10283.0</v>
      </c>
      <c r="H742" s="665">
        <v>33.71</v>
      </c>
      <c r="I742" s="665">
        <v>9.39</v>
      </c>
      <c r="J742" s="665">
        <v>8.54</v>
      </c>
      <c r="K742" s="665">
        <v>12761.0</v>
      </c>
      <c r="L742" s="665">
        <v>135867.0</v>
      </c>
      <c r="M742" s="665">
        <v>0.42</v>
      </c>
      <c r="N742" s="1">
        <v>1.241</v>
      </c>
      <c r="O742" s="1">
        <v>12761.0</v>
      </c>
      <c r="P742" s="1">
        <v>135867.0</v>
      </c>
      <c r="Q742" s="1">
        <v>0.4183</v>
      </c>
      <c r="R742" s="1">
        <v>105456.0</v>
      </c>
    </row>
    <row r="743">
      <c r="A743" s="663" t="s">
        <v>2295</v>
      </c>
      <c r="B743" s="663" t="s">
        <v>180</v>
      </c>
      <c r="C743" s="663" t="s">
        <v>48</v>
      </c>
      <c r="D743" s="663" t="s">
        <v>599</v>
      </c>
      <c r="E743" s="664" t="s">
        <v>398</v>
      </c>
      <c r="F743" s="665">
        <v>30506.0</v>
      </c>
      <c r="G743" s="665">
        <v>7514.0</v>
      </c>
      <c r="H743" s="665">
        <v>24.63</v>
      </c>
      <c r="I743" s="665">
        <v>8.14</v>
      </c>
      <c r="J743" s="665">
        <v>6.04</v>
      </c>
      <c r="K743" s="665">
        <v>11056.0</v>
      </c>
      <c r="L743" s="665">
        <v>135867.0</v>
      </c>
      <c r="M743" s="665">
        <v>0.36</v>
      </c>
      <c r="N743" s="1">
        <v>1.4714</v>
      </c>
      <c r="O743" s="1">
        <v>11056.0</v>
      </c>
      <c r="P743" s="1">
        <v>135867.0</v>
      </c>
      <c r="Q743" s="1">
        <v>0.3624</v>
      </c>
      <c r="R743" s="1">
        <v>105456.0</v>
      </c>
    </row>
    <row r="744">
      <c r="A744" s="663" t="s">
        <v>2295</v>
      </c>
      <c r="B744" s="663" t="s">
        <v>180</v>
      </c>
      <c r="C744" s="663" t="s">
        <v>48</v>
      </c>
      <c r="D744" s="663" t="s">
        <v>599</v>
      </c>
      <c r="E744" s="664" t="s">
        <v>9</v>
      </c>
      <c r="F744" s="665">
        <v>30506.0</v>
      </c>
      <c r="G744" s="665">
        <v>7697.0</v>
      </c>
      <c r="H744" s="665">
        <v>25.23</v>
      </c>
      <c r="I744" s="665">
        <v>7.9</v>
      </c>
      <c r="J744" s="665">
        <v>5.86</v>
      </c>
      <c r="K744" s="665">
        <v>10733.0</v>
      </c>
      <c r="L744" s="665">
        <v>135867.0</v>
      </c>
      <c r="M744" s="665">
        <v>0.35</v>
      </c>
      <c r="N744" s="1">
        <v>1.3944</v>
      </c>
      <c r="O744" s="1">
        <v>10733.0</v>
      </c>
      <c r="P744" s="1">
        <v>135867.0</v>
      </c>
      <c r="Q744" s="1">
        <v>0.3518</v>
      </c>
      <c r="R744" s="1">
        <v>105456.0</v>
      </c>
    </row>
    <row r="745">
      <c r="A745" s="663" t="s">
        <v>2295</v>
      </c>
      <c r="B745" s="663" t="s">
        <v>180</v>
      </c>
      <c r="C745" s="663" t="s">
        <v>48</v>
      </c>
      <c r="D745" s="663" t="s">
        <v>599</v>
      </c>
      <c r="E745" s="664" t="s">
        <v>401</v>
      </c>
      <c r="F745" s="665">
        <v>30506.0</v>
      </c>
      <c r="G745" s="665">
        <v>5808.0</v>
      </c>
      <c r="H745" s="665">
        <v>19.04</v>
      </c>
      <c r="I745" s="665">
        <v>4.95</v>
      </c>
      <c r="J745" s="665">
        <v>4.7</v>
      </c>
      <c r="K745" s="665">
        <v>6719.0</v>
      </c>
      <c r="L745" s="665">
        <v>135867.0</v>
      </c>
      <c r="M745" s="665">
        <v>0.22</v>
      </c>
      <c r="N745" s="1">
        <v>1.1569</v>
      </c>
      <c r="O745" s="1">
        <v>6719.0</v>
      </c>
      <c r="P745" s="1">
        <v>135867.0</v>
      </c>
      <c r="Q745" s="1">
        <v>0.2203</v>
      </c>
      <c r="R745" s="1">
        <v>105456.0</v>
      </c>
    </row>
    <row r="746">
      <c r="A746" s="663" t="s">
        <v>2295</v>
      </c>
      <c r="B746" s="663" t="s">
        <v>180</v>
      </c>
      <c r="C746" s="663" t="s">
        <v>48</v>
      </c>
      <c r="D746" s="663" t="s">
        <v>599</v>
      </c>
      <c r="E746" s="664" t="s">
        <v>206</v>
      </c>
      <c r="F746" s="665">
        <v>30506.0</v>
      </c>
      <c r="G746" s="665">
        <v>4935.0</v>
      </c>
      <c r="H746" s="665">
        <v>16.18</v>
      </c>
      <c r="I746" s="665">
        <v>3.72</v>
      </c>
      <c r="J746" s="665">
        <v>3.44</v>
      </c>
      <c r="K746" s="665">
        <v>5060.0</v>
      </c>
      <c r="L746" s="665">
        <v>135867.0</v>
      </c>
      <c r="M746" s="665">
        <v>0.17</v>
      </c>
      <c r="N746" s="1">
        <v>1.0253</v>
      </c>
      <c r="O746" s="1">
        <v>5060.0</v>
      </c>
      <c r="P746" s="1">
        <v>135867.0</v>
      </c>
      <c r="Q746" s="1">
        <v>0.1659</v>
      </c>
      <c r="R746" s="1">
        <v>105456.0</v>
      </c>
    </row>
    <row r="747">
      <c r="A747" s="663" t="s">
        <v>2295</v>
      </c>
      <c r="B747" s="663" t="s">
        <v>180</v>
      </c>
      <c r="C747" s="663" t="s">
        <v>48</v>
      </c>
      <c r="D747" s="663" t="s">
        <v>599</v>
      </c>
      <c r="E747" s="664" t="s">
        <v>63</v>
      </c>
      <c r="F747" s="665">
        <v>30506.0</v>
      </c>
      <c r="G747" s="665">
        <v>2815.0</v>
      </c>
      <c r="H747" s="665">
        <v>9.23</v>
      </c>
      <c r="I747" s="665">
        <v>2.5</v>
      </c>
      <c r="J747" s="665">
        <v>1.79</v>
      </c>
      <c r="K747" s="665">
        <v>3399.0</v>
      </c>
      <c r="L747" s="665">
        <v>135867.0</v>
      </c>
      <c r="M747" s="665">
        <v>0.11</v>
      </c>
      <c r="N747" s="1">
        <v>1.2075</v>
      </c>
      <c r="O747" s="1">
        <v>3399.0</v>
      </c>
      <c r="P747" s="1">
        <v>135867.0</v>
      </c>
      <c r="Q747" s="1">
        <v>0.1114</v>
      </c>
      <c r="R747" s="1">
        <v>105456.0</v>
      </c>
    </row>
    <row r="748">
      <c r="A748" s="663" t="s">
        <v>2295</v>
      </c>
      <c r="B748" s="663" t="s">
        <v>180</v>
      </c>
      <c r="C748" s="663" t="s">
        <v>48</v>
      </c>
      <c r="D748" s="663" t="s">
        <v>599</v>
      </c>
      <c r="E748" s="664" t="s">
        <v>51</v>
      </c>
      <c r="F748" s="665">
        <v>30506.0</v>
      </c>
      <c r="G748" s="665">
        <v>2400.0</v>
      </c>
      <c r="H748" s="665">
        <v>7.87</v>
      </c>
      <c r="I748" s="665">
        <v>2.4</v>
      </c>
      <c r="J748" s="665">
        <v>1.51</v>
      </c>
      <c r="K748" s="665">
        <v>3266.0</v>
      </c>
      <c r="L748" s="665">
        <v>135867.0</v>
      </c>
      <c r="M748" s="665">
        <v>0.11</v>
      </c>
      <c r="N748" s="1">
        <v>1.3608</v>
      </c>
      <c r="O748" s="1">
        <v>3266.0</v>
      </c>
      <c r="P748" s="1">
        <v>135867.0</v>
      </c>
      <c r="Q748" s="1">
        <v>0.1071</v>
      </c>
      <c r="R748" s="1">
        <v>105456.0</v>
      </c>
    </row>
    <row r="749">
      <c r="A749" s="663" t="s">
        <v>2295</v>
      </c>
      <c r="B749" s="663" t="s">
        <v>180</v>
      </c>
      <c r="C749" s="663" t="s">
        <v>48</v>
      </c>
      <c r="D749" s="663" t="s">
        <v>599</v>
      </c>
      <c r="E749" s="664" t="s">
        <v>73</v>
      </c>
      <c r="F749" s="665">
        <v>30506.0</v>
      </c>
      <c r="G749" s="665">
        <v>1942.0</v>
      </c>
      <c r="H749" s="665">
        <v>6.37</v>
      </c>
      <c r="I749" s="665">
        <v>1.45</v>
      </c>
      <c r="J749" s="665">
        <v>1.2</v>
      </c>
      <c r="K749" s="665">
        <v>1967.0</v>
      </c>
      <c r="L749" s="665">
        <v>135867.0</v>
      </c>
      <c r="M749" s="665">
        <v>0.06</v>
      </c>
      <c r="N749" s="1">
        <v>1.0129</v>
      </c>
      <c r="O749" s="1">
        <v>1967.0</v>
      </c>
      <c r="P749" s="1">
        <v>135867.0</v>
      </c>
      <c r="Q749" s="1">
        <v>0.0645</v>
      </c>
      <c r="R749" s="1">
        <v>105456.0</v>
      </c>
    </row>
    <row r="750">
      <c r="A750" s="663" t="s">
        <v>2295</v>
      </c>
      <c r="B750" s="663" t="s">
        <v>180</v>
      </c>
      <c r="C750" s="663" t="s">
        <v>48</v>
      </c>
      <c r="D750" s="663" t="s">
        <v>599</v>
      </c>
      <c r="E750" s="664" t="s">
        <v>42</v>
      </c>
      <c r="F750" s="665">
        <v>30506.0</v>
      </c>
      <c r="G750" s="665">
        <v>1328.0</v>
      </c>
      <c r="H750" s="665">
        <v>4.35</v>
      </c>
      <c r="I750" s="665">
        <v>1.12</v>
      </c>
      <c r="J750" s="665">
        <v>0.67</v>
      </c>
      <c r="K750" s="665">
        <v>1520.0</v>
      </c>
      <c r="L750" s="665">
        <v>135867.0</v>
      </c>
      <c r="M750" s="665">
        <v>0.05</v>
      </c>
      <c r="N750" s="1">
        <v>1.1446</v>
      </c>
      <c r="O750" s="1">
        <v>1520.0</v>
      </c>
      <c r="P750" s="1">
        <v>135867.0</v>
      </c>
      <c r="Q750" s="1">
        <v>0.0498</v>
      </c>
      <c r="R750" s="1">
        <v>105456.0</v>
      </c>
    </row>
    <row r="751">
      <c r="A751" s="663" t="s">
        <v>2295</v>
      </c>
      <c r="B751" s="663" t="s">
        <v>180</v>
      </c>
      <c r="C751" s="663" t="s">
        <v>48</v>
      </c>
      <c r="D751" s="663" t="s">
        <v>599</v>
      </c>
      <c r="E751" s="664" t="s">
        <v>16</v>
      </c>
      <c r="F751" s="665">
        <v>30506.0</v>
      </c>
      <c r="G751" s="665">
        <v>1146.0</v>
      </c>
      <c r="H751" s="665">
        <v>3.76</v>
      </c>
      <c r="I751" s="665">
        <v>0.97</v>
      </c>
      <c r="J751" s="665">
        <v>0.7</v>
      </c>
      <c r="K751" s="665">
        <v>1319.0</v>
      </c>
      <c r="L751" s="665">
        <v>135867.0</v>
      </c>
      <c r="M751" s="665">
        <v>0.04</v>
      </c>
      <c r="N751" s="1">
        <v>1.151</v>
      </c>
      <c r="O751" s="1">
        <v>1319.0</v>
      </c>
      <c r="P751" s="1">
        <v>135867.0</v>
      </c>
      <c r="Q751" s="1">
        <v>0.0432</v>
      </c>
      <c r="R751" s="1">
        <v>105456.0</v>
      </c>
    </row>
    <row r="752">
      <c r="A752" s="663" t="s">
        <v>2295</v>
      </c>
      <c r="B752" s="663" t="s">
        <v>180</v>
      </c>
      <c r="C752" s="663" t="s">
        <v>48</v>
      </c>
      <c r="D752" s="663" t="s">
        <v>599</v>
      </c>
      <c r="E752" s="664" t="s">
        <v>7</v>
      </c>
      <c r="F752" s="665">
        <v>30506.0</v>
      </c>
      <c r="G752" s="665">
        <v>265.0</v>
      </c>
      <c r="H752" s="665">
        <v>0.87</v>
      </c>
      <c r="I752" s="665">
        <v>0.2</v>
      </c>
      <c r="J752" s="665">
        <v>0.15</v>
      </c>
      <c r="K752" s="665">
        <v>274.0</v>
      </c>
      <c r="L752" s="665">
        <v>135867.0</v>
      </c>
      <c r="M752" s="665">
        <v>0.01</v>
      </c>
      <c r="N752" s="1">
        <v>1.034</v>
      </c>
      <c r="O752" s="1">
        <v>274.0</v>
      </c>
      <c r="P752" s="1">
        <v>135867.0</v>
      </c>
      <c r="Q752" s="1">
        <v>0.009</v>
      </c>
      <c r="R752" s="1">
        <v>105456.0</v>
      </c>
    </row>
    <row r="753">
      <c r="A753" s="663" t="s">
        <v>2295</v>
      </c>
      <c r="B753" s="663" t="s">
        <v>180</v>
      </c>
      <c r="C753" s="663" t="s">
        <v>48</v>
      </c>
      <c r="D753" s="663" t="s">
        <v>599</v>
      </c>
      <c r="E753" s="664" t="s">
        <v>393</v>
      </c>
      <c r="F753" s="665">
        <v>30506.0</v>
      </c>
      <c r="G753" s="665">
        <v>12.0</v>
      </c>
      <c r="H753" s="665">
        <v>0.04</v>
      </c>
      <c r="I753" s="665">
        <v>0.01</v>
      </c>
      <c r="J753" s="665">
        <v>0.02</v>
      </c>
      <c r="K753" s="665">
        <v>14.0</v>
      </c>
      <c r="L753" s="665">
        <v>135867.0</v>
      </c>
      <c r="M753" s="665">
        <v>0.0</v>
      </c>
      <c r="N753" s="1">
        <v>1.1667</v>
      </c>
      <c r="O753" s="1">
        <v>14.0</v>
      </c>
      <c r="P753" s="1">
        <v>135867.0</v>
      </c>
      <c r="Q753" s="1">
        <v>5.0E-4</v>
      </c>
      <c r="R753" s="1">
        <v>105456.0</v>
      </c>
    </row>
    <row r="754">
      <c r="A754" s="663" t="s">
        <v>2295</v>
      </c>
      <c r="B754" s="663" t="s">
        <v>180</v>
      </c>
      <c r="C754" s="663" t="s">
        <v>48</v>
      </c>
      <c r="D754" s="663" t="s">
        <v>599</v>
      </c>
      <c r="E754" s="664" t="s">
        <v>151</v>
      </c>
      <c r="F754" s="665">
        <v>30506.0</v>
      </c>
      <c r="G754" s="665">
        <v>2.0</v>
      </c>
      <c r="H754" s="665">
        <v>0.01</v>
      </c>
      <c r="I754" s="665">
        <v>0.0</v>
      </c>
      <c r="J754" s="665">
        <v>0.0</v>
      </c>
      <c r="K754" s="665">
        <v>2.0</v>
      </c>
      <c r="L754" s="665">
        <v>135867.0</v>
      </c>
      <c r="M754" s="665">
        <v>0.0</v>
      </c>
      <c r="N754" s="1">
        <v>1.0</v>
      </c>
      <c r="O754" s="1">
        <v>2.0</v>
      </c>
      <c r="P754" s="1">
        <v>135867.0</v>
      </c>
      <c r="Q754" s="1">
        <v>1.0E-4</v>
      </c>
      <c r="R754" s="1">
        <v>105456.0</v>
      </c>
    </row>
    <row r="755">
      <c r="A755" s="663" t="s">
        <v>2295</v>
      </c>
      <c r="B755" s="663" t="s">
        <v>180</v>
      </c>
      <c r="C755" s="663" t="s">
        <v>48</v>
      </c>
      <c r="D755" s="663" t="s">
        <v>599</v>
      </c>
      <c r="E755" s="664" t="s">
        <v>414</v>
      </c>
      <c r="F755" s="665">
        <v>30506.0</v>
      </c>
      <c r="G755" s="665">
        <v>2.0</v>
      </c>
      <c r="H755" s="665">
        <v>0.01</v>
      </c>
      <c r="I755" s="665">
        <v>0.0</v>
      </c>
      <c r="J755" s="665">
        <v>0.0</v>
      </c>
      <c r="K755" s="665">
        <v>6.0</v>
      </c>
      <c r="L755" s="665">
        <v>135867.0</v>
      </c>
      <c r="M755" s="665">
        <v>0.0</v>
      </c>
      <c r="N755" s="1">
        <v>3.0</v>
      </c>
      <c r="O755" s="1">
        <v>6.0</v>
      </c>
      <c r="P755" s="1">
        <v>135867.0</v>
      </c>
      <c r="Q755" s="1">
        <v>2.0E-4</v>
      </c>
      <c r="R755" s="1">
        <v>105456.0</v>
      </c>
    </row>
    <row r="756">
      <c r="A756" s="663" t="s">
        <v>2295</v>
      </c>
      <c r="B756" s="663" t="s">
        <v>180</v>
      </c>
      <c r="C756" s="663" t="s">
        <v>54</v>
      </c>
      <c r="D756" s="663" t="s">
        <v>599</v>
      </c>
      <c r="E756" s="664" t="s">
        <v>16</v>
      </c>
      <c r="F756" s="665">
        <v>13041.0</v>
      </c>
      <c r="G756" s="665">
        <v>5597.0</v>
      </c>
      <c r="H756" s="665">
        <v>42.92</v>
      </c>
      <c r="I756" s="665">
        <v>23.36</v>
      </c>
      <c r="J756" s="665">
        <v>25.74</v>
      </c>
      <c r="K756" s="665">
        <v>8243.0</v>
      </c>
      <c r="L756" s="665">
        <v>35280.0</v>
      </c>
      <c r="M756" s="665">
        <v>0.63</v>
      </c>
      <c r="N756" s="1">
        <v>1.4728</v>
      </c>
      <c r="O756" s="1">
        <v>8243.0</v>
      </c>
      <c r="P756" s="1">
        <v>35280.0</v>
      </c>
      <c r="Q756" s="1">
        <v>0.6321</v>
      </c>
      <c r="R756" s="1">
        <v>105456.0</v>
      </c>
    </row>
    <row r="757">
      <c r="A757" s="663" t="s">
        <v>2295</v>
      </c>
      <c r="B757" s="663" t="s">
        <v>180</v>
      </c>
      <c r="C757" s="663" t="s">
        <v>54</v>
      </c>
      <c r="D757" s="663" t="s">
        <v>599</v>
      </c>
      <c r="E757" s="664" t="s">
        <v>14</v>
      </c>
      <c r="F757" s="665">
        <v>13041.0</v>
      </c>
      <c r="G757" s="665">
        <v>5383.0</v>
      </c>
      <c r="H757" s="665">
        <v>41.28</v>
      </c>
      <c r="I757" s="665">
        <v>22.43</v>
      </c>
      <c r="J757" s="665">
        <v>18.28</v>
      </c>
      <c r="K757" s="665">
        <v>7913.0</v>
      </c>
      <c r="L757" s="665">
        <v>35280.0</v>
      </c>
      <c r="M757" s="665">
        <v>0.61</v>
      </c>
      <c r="N757" s="1">
        <v>1.47</v>
      </c>
      <c r="O757" s="1">
        <v>7913.0</v>
      </c>
      <c r="P757" s="1">
        <v>35280.0</v>
      </c>
      <c r="Q757" s="1">
        <v>0.6068</v>
      </c>
      <c r="R757" s="1">
        <v>105456.0</v>
      </c>
    </row>
    <row r="758">
      <c r="A758" s="663" t="s">
        <v>2295</v>
      </c>
      <c r="B758" s="663" t="s">
        <v>180</v>
      </c>
      <c r="C758" s="663" t="s">
        <v>54</v>
      </c>
      <c r="D758" s="663" t="s">
        <v>599</v>
      </c>
      <c r="E758" s="664" t="s">
        <v>9</v>
      </c>
      <c r="F758" s="665">
        <v>13041.0</v>
      </c>
      <c r="G758" s="665">
        <v>4062.0</v>
      </c>
      <c r="H758" s="665">
        <v>31.15</v>
      </c>
      <c r="I758" s="665">
        <v>15.11</v>
      </c>
      <c r="J758" s="665">
        <v>11.62</v>
      </c>
      <c r="K758" s="665">
        <v>5330.0</v>
      </c>
      <c r="L758" s="665">
        <v>35280.0</v>
      </c>
      <c r="M758" s="665">
        <v>0.41</v>
      </c>
      <c r="N758" s="1">
        <v>1.3122</v>
      </c>
      <c r="O758" s="1">
        <v>5330.0</v>
      </c>
      <c r="P758" s="1">
        <v>35280.0</v>
      </c>
      <c r="Q758" s="1">
        <v>0.4087</v>
      </c>
      <c r="R758" s="1">
        <v>105456.0</v>
      </c>
    </row>
    <row r="759">
      <c r="A759" s="663" t="s">
        <v>2295</v>
      </c>
      <c r="B759" s="663" t="s">
        <v>180</v>
      </c>
      <c r="C759" s="663" t="s">
        <v>54</v>
      </c>
      <c r="D759" s="663" t="s">
        <v>599</v>
      </c>
      <c r="E759" s="664" t="s">
        <v>396</v>
      </c>
      <c r="F759" s="665">
        <v>13041.0</v>
      </c>
      <c r="G759" s="665">
        <v>4338.0</v>
      </c>
      <c r="H759" s="665">
        <v>33.26</v>
      </c>
      <c r="I759" s="665">
        <v>12.88</v>
      </c>
      <c r="J759" s="665">
        <v>19.7</v>
      </c>
      <c r="K759" s="665">
        <v>4545.0</v>
      </c>
      <c r="L759" s="665">
        <v>35280.0</v>
      </c>
      <c r="M759" s="665">
        <v>0.35</v>
      </c>
      <c r="N759" s="1">
        <v>1.0477</v>
      </c>
      <c r="O759" s="1">
        <v>4545.0</v>
      </c>
      <c r="P759" s="1">
        <v>35280.0</v>
      </c>
      <c r="Q759" s="1">
        <v>0.3485</v>
      </c>
      <c r="R759" s="1">
        <v>105456.0</v>
      </c>
    </row>
    <row r="760">
      <c r="A760" s="663" t="s">
        <v>2295</v>
      </c>
      <c r="B760" s="663" t="s">
        <v>180</v>
      </c>
      <c r="C760" s="663" t="s">
        <v>54</v>
      </c>
      <c r="D760" s="663" t="s">
        <v>599</v>
      </c>
      <c r="E760" s="664" t="s">
        <v>393</v>
      </c>
      <c r="F760" s="665">
        <v>13041.0</v>
      </c>
      <c r="G760" s="665">
        <v>1334.0</v>
      </c>
      <c r="H760" s="665">
        <v>10.23</v>
      </c>
      <c r="I760" s="665">
        <v>6.5</v>
      </c>
      <c r="J760" s="665">
        <v>4.03</v>
      </c>
      <c r="K760" s="665">
        <v>2292.0</v>
      </c>
      <c r="L760" s="665">
        <v>35280.0</v>
      </c>
      <c r="M760" s="665">
        <v>0.18</v>
      </c>
      <c r="N760" s="1">
        <v>1.7181</v>
      </c>
      <c r="O760" s="1">
        <v>2292.0</v>
      </c>
      <c r="P760" s="1">
        <v>35280.0</v>
      </c>
      <c r="Q760" s="1">
        <v>0.1758</v>
      </c>
      <c r="R760" s="1">
        <v>105456.0</v>
      </c>
    </row>
    <row r="761">
      <c r="A761" s="663" t="s">
        <v>2295</v>
      </c>
      <c r="B761" s="663" t="s">
        <v>180</v>
      </c>
      <c r="C761" s="663" t="s">
        <v>54</v>
      </c>
      <c r="D761" s="663" t="s">
        <v>599</v>
      </c>
      <c r="E761" s="664" t="s">
        <v>15</v>
      </c>
      <c r="F761" s="665">
        <v>13041.0</v>
      </c>
      <c r="G761" s="665">
        <v>1263.0</v>
      </c>
      <c r="H761" s="665">
        <v>9.68</v>
      </c>
      <c r="I761" s="665">
        <v>6.45</v>
      </c>
      <c r="J761" s="665">
        <v>6.18</v>
      </c>
      <c r="K761" s="665">
        <v>2275.0</v>
      </c>
      <c r="L761" s="665">
        <v>35280.0</v>
      </c>
      <c r="M761" s="665">
        <v>0.17</v>
      </c>
      <c r="N761" s="1">
        <v>1.8013</v>
      </c>
      <c r="O761" s="1">
        <v>2275.0</v>
      </c>
      <c r="P761" s="1">
        <v>35280.0</v>
      </c>
      <c r="Q761" s="1">
        <v>0.1744</v>
      </c>
      <c r="R761" s="1">
        <v>105456.0</v>
      </c>
    </row>
    <row r="762">
      <c r="A762" s="663" t="s">
        <v>2295</v>
      </c>
      <c r="B762" s="663" t="s">
        <v>180</v>
      </c>
      <c r="C762" s="663" t="s">
        <v>54</v>
      </c>
      <c r="D762" s="663" t="s">
        <v>599</v>
      </c>
      <c r="E762" s="664" t="s">
        <v>42</v>
      </c>
      <c r="F762" s="665">
        <v>13041.0</v>
      </c>
      <c r="G762" s="665">
        <v>1816.0</v>
      </c>
      <c r="H762" s="665">
        <v>13.93</v>
      </c>
      <c r="I762" s="665">
        <v>5.84</v>
      </c>
      <c r="J762" s="665">
        <v>7.6</v>
      </c>
      <c r="K762" s="665">
        <v>2061.0</v>
      </c>
      <c r="L762" s="665">
        <v>35280.0</v>
      </c>
      <c r="M762" s="665">
        <v>0.16</v>
      </c>
      <c r="N762" s="1">
        <v>1.1349</v>
      </c>
      <c r="O762" s="1">
        <v>2061.0</v>
      </c>
      <c r="P762" s="1">
        <v>35280.0</v>
      </c>
      <c r="Q762" s="1">
        <v>0.158</v>
      </c>
      <c r="R762" s="1">
        <v>105456.0</v>
      </c>
    </row>
    <row r="763">
      <c r="A763" s="663" t="s">
        <v>2295</v>
      </c>
      <c r="B763" s="663" t="s">
        <v>180</v>
      </c>
      <c r="C763" s="663" t="s">
        <v>54</v>
      </c>
      <c r="D763" s="663" t="s">
        <v>599</v>
      </c>
      <c r="E763" s="664" t="s">
        <v>397</v>
      </c>
      <c r="F763" s="665">
        <v>13041.0</v>
      </c>
      <c r="G763" s="665">
        <v>1058.0</v>
      </c>
      <c r="H763" s="665">
        <v>8.11</v>
      </c>
      <c r="I763" s="665">
        <v>3.1</v>
      </c>
      <c r="J763" s="665">
        <v>2.36</v>
      </c>
      <c r="K763" s="665">
        <v>1093.0</v>
      </c>
      <c r="L763" s="665">
        <v>35280.0</v>
      </c>
      <c r="M763" s="665">
        <v>0.08</v>
      </c>
      <c r="N763" s="1">
        <v>1.0331</v>
      </c>
      <c r="O763" s="1">
        <v>1093.0</v>
      </c>
      <c r="P763" s="1">
        <v>35280.0</v>
      </c>
      <c r="Q763" s="1">
        <v>0.0838</v>
      </c>
      <c r="R763" s="1">
        <v>105456.0</v>
      </c>
    </row>
    <row r="764">
      <c r="A764" s="663" t="s">
        <v>2295</v>
      </c>
      <c r="B764" s="663" t="s">
        <v>180</v>
      </c>
      <c r="C764" s="663" t="s">
        <v>54</v>
      </c>
      <c r="D764" s="663" t="s">
        <v>599</v>
      </c>
      <c r="E764" s="664" t="s">
        <v>411</v>
      </c>
      <c r="F764" s="665">
        <v>13041.0</v>
      </c>
      <c r="G764" s="665">
        <v>728.0</v>
      </c>
      <c r="H764" s="665">
        <v>5.58</v>
      </c>
      <c r="I764" s="665">
        <v>2.16</v>
      </c>
      <c r="J764" s="665">
        <v>1.86</v>
      </c>
      <c r="K764" s="665">
        <v>761.0</v>
      </c>
      <c r="L764" s="665">
        <v>35280.0</v>
      </c>
      <c r="M764" s="665">
        <v>0.06</v>
      </c>
      <c r="N764" s="1">
        <v>1.0453</v>
      </c>
      <c r="O764" s="1">
        <v>761.0</v>
      </c>
      <c r="P764" s="1">
        <v>35280.0</v>
      </c>
      <c r="Q764" s="1">
        <v>0.0584</v>
      </c>
      <c r="R764" s="1">
        <v>105456.0</v>
      </c>
    </row>
    <row r="765">
      <c r="A765" s="663" t="s">
        <v>2295</v>
      </c>
      <c r="B765" s="663" t="s">
        <v>180</v>
      </c>
      <c r="C765" s="663" t="s">
        <v>54</v>
      </c>
      <c r="D765" s="663" t="s">
        <v>599</v>
      </c>
      <c r="E765" s="664" t="s">
        <v>63</v>
      </c>
      <c r="F765" s="665">
        <v>13041.0</v>
      </c>
      <c r="G765" s="665">
        <v>300.0</v>
      </c>
      <c r="H765" s="665">
        <v>2.3</v>
      </c>
      <c r="I765" s="665">
        <v>0.89</v>
      </c>
      <c r="J765" s="665">
        <v>0.93</v>
      </c>
      <c r="K765" s="665">
        <v>315.0</v>
      </c>
      <c r="L765" s="665">
        <v>35280.0</v>
      </c>
      <c r="M765" s="665">
        <v>0.02</v>
      </c>
      <c r="N765" s="1">
        <v>1.05</v>
      </c>
      <c r="O765" s="1">
        <v>315.0</v>
      </c>
      <c r="P765" s="1">
        <v>35280.0</v>
      </c>
      <c r="Q765" s="1">
        <v>0.0242</v>
      </c>
      <c r="R765" s="1">
        <v>105456.0</v>
      </c>
    </row>
    <row r="766">
      <c r="A766" s="663" t="s">
        <v>2295</v>
      </c>
      <c r="B766" s="663" t="s">
        <v>180</v>
      </c>
      <c r="C766" s="663" t="s">
        <v>54</v>
      </c>
      <c r="D766" s="663" t="s">
        <v>599</v>
      </c>
      <c r="E766" s="664" t="s">
        <v>418</v>
      </c>
      <c r="F766" s="665">
        <v>13041.0</v>
      </c>
      <c r="G766" s="665">
        <v>100.0</v>
      </c>
      <c r="H766" s="665">
        <v>0.77</v>
      </c>
      <c r="I766" s="665">
        <v>0.31</v>
      </c>
      <c r="J766" s="665">
        <v>0.68</v>
      </c>
      <c r="K766" s="665">
        <v>109.0</v>
      </c>
      <c r="L766" s="665">
        <v>35280.0</v>
      </c>
      <c r="M766" s="665">
        <v>0.01</v>
      </c>
      <c r="N766" s="1">
        <v>1.09</v>
      </c>
      <c r="O766" s="1">
        <v>109.0</v>
      </c>
      <c r="P766" s="1">
        <v>35280.0</v>
      </c>
      <c r="Q766" s="1">
        <v>0.0084</v>
      </c>
      <c r="R766" s="1">
        <v>105456.0</v>
      </c>
    </row>
    <row r="767">
      <c r="A767" s="663" t="s">
        <v>2295</v>
      </c>
      <c r="B767" s="663" t="s">
        <v>180</v>
      </c>
      <c r="C767" s="663" t="s">
        <v>54</v>
      </c>
      <c r="D767" s="663" t="s">
        <v>599</v>
      </c>
      <c r="E767" s="664" t="s">
        <v>341</v>
      </c>
      <c r="F767" s="665">
        <v>13041.0</v>
      </c>
      <c r="G767" s="665">
        <v>101.0</v>
      </c>
      <c r="H767" s="665">
        <v>0.77</v>
      </c>
      <c r="I767" s="665">
        <v>0.3</v>
      </c>
      <c r="J767" s="665">
        <v>0.29</v>
      </c>
      <c r="K767" s="665">
        <v>106.0</v>
      </c>
      <c r="L767" s="665">
        <v>35280.0</v>
      </c>
      <c r="M767" s="665">
        <v>0.01</v>
      </c>
      <c r="N767" s="1">
        <v>1.0495</v>
      </c>
      <c r="O767" s="1">
        <v>106.0</v>
      </c>
      <c r="P767" s="1">
        <v>35280.0</v>
      </c>
      <c r="Q767" s="1">
        <v>0.0081</v>
      </c>
      <c r="R767" s="1">
        <v>105456.0</v>
      </c>
    </row>
    <row r="768">
      <c r="A768" s="663" t="s">
        <v>2295</v>
      </c>
      <c r="B768" s="663" t="s">
        <v>180</v>
      </c>
      <c r="C768" s="663" t="s">
        <v>54</v>
      </c>
      <c r="D768" s="663" t="s">
        <v>599</v>
      </c>
      <c r="E768" s="664" t="s">
        <v>329</v>
      </c>
      <c r="F768" s="665">
        <v>13041.0</v>
      </c>
      <c r="G768" s="665">
        <v>96.0</v>
      </c>
      <c r="H768" s="665">
        <v>0.74</v>
      </c>
      <c r="I768" s="665">
        <v>0.29</v>
      </c>
      <c r="J768" s="665">
        <v>0.35</v>
      </c>
      <c r="K768" s="665">
        <v>102.0</v>
      </c>
      <c r="L768" s="665">
        <v>35280.0</v>
      </c>
      <c r="M768" s="665">
        <v>0.01</v>
      </c>
      <c r="N768" s="1">
        <v>1.0625</v>
      </c>
      <c r="O768" s="1">
        <v>102.0</v>
      </c>
      <c r="P768" s="1">
        <v>35280.0</v>
      </c>
      <c r="Q768" s="1">
        <v>0.0078</v>
      </c>
      <c r="R768" s="1">
        <v>105456.0</v>
      </c>
    </row>
    <row r="769">
      <c r="A769" s="663" t="s">
        <v>2295</v>
      </c>
      <c r="B769" s="663" t="s">
        <v>180</v>
      </c>
      <c r="C769" s="663" t="s">
        <v>54</v>
      </c>
      <c r="D769" s="663" t="s">
        <v>599</v>
      </c>
      <c r="E769" s="664" t="s">
        <v>338</v>
      </c>
      <c r="F769" s="665">
        <v>13041.0</v>
      </c>
      <c r="G769" s="665">
        <v>75.0</v>
      </c>
      <c r="H769" s="665">
        <v>0.58</v>
      </c>
      <c r="I769" s="665">
        <v>0.22</v>
      </c>
      <c r="J769" s="665">
        <v>0.23</v>
      </c>
      <c r="K769" s="665">
        <v>79.0</v>
      </c>
      <c r="L769" s="665">
        <v>35280.0</v>
      </c>
      <c r="M769" s="665">
        <v>0.01</v>
      </c>
      <c r="N769" s="1">
        <v>1.0533</v>
      </c>
      <c r="O769" s="1">
        <v>79.0</v>
      </c>
      <c r="P769" s="1">
        <v>35280.0</v>
      </c>
      <c r="Q769" s="1">
        <v>0.0061</v>
      </c>
      <c r="R769" s="1">
        <v>105456.0</v>
      </c>
    </row>
    <row r="770">
      <c r="A770" s="663" t="s">
        <v>2295</v>
      </c>
      <c r="B770" s="663" t="s">
        <v>180</v>
      </c>
      <c r="C770" s="663" t="s">
        <v>54</v>
      </c>
      <c r="D770" s="663" t="s">
        <v>599</v>
      </c>
      <c r="E770" s="664" t="s">
        <v>398</v>
      </c>
      <c r="F770" s="665">
        <v>13041.0</v>
      </c>
      <c r="G770" s="665">
        <v>19.0</v>
      </c>
      <c r="H770" s="665">
        <v>0.15</v>
      </c>
      <c r="I770" s="665">
        <v>0.06</v>
      </c>
      <c r="J770" s="665">
        <v>0.03</v>
      </c>
      <c r="K770" s="665">
        <v>20.0</v>
      </c>
      <c r="L770" s="665">
        <v>35280.0</v>
      </c>
      <c r="M770" s="665">
        <v>0.0</v>
      </c>
      <c r="N770" s="1">
        <v>1.0526</v>
      </c>
      <c r="O770" s="1">
        <v>20.0</v>
      </c>
      <c r="P770" s="1">
        <v>35280.0</v>
      </c>
      <c r="Q770" s="1">
        <v>0.0015</v>
      </c>
      <c r="R770" s="1">
        <v>105456.0</v>
      </c>
    </row>
    <row r="771">
      <c r="A771" s="663" t="s">
        <v>2295</v>
      </c>
      <c r="B771" s="663" t="s">
        <v>180</v>
      </c>
      <c r="C771" s="663" t="s">
        <v>54</v>
      </c>
      <c r="D771" s="663" t="s">
        <v>599</v>
      </c>
      <c r="E771" s="664" t="s">
        <v>7</v>
      </c>
      <c r="F771" s="665">
        <v>13041.0</v>
      </c>
      <c r="G771" s="665">
        <v>16.0</v>
      </c>
      <c r="H771" s="665">
        <v>0.12</v>
      </c>
      <c r="I771" s="665">
        <v>0.05</v>
      </c>
      <c r="J771" s="665">
        <v>0.04</v>
      </c>
      <c r="K771" s="665">
        <v>16.0</v>
      </c>
      <c r="L771" s="665">
        <v>35280.0</v>
      </c>
      <c r="M771" s="665">
        <v>0.0</v>
      </c>
      <c r="N771" s="1">
        <v>1.0</v>
      </c>
      <c r="O771" s="1">
        <v>16.0</v>
      </c>
      <c r="P771" s="1">
        <v>35280.0</v>
      </c>
      <c r="Q771" s="1">
        <v>0.0012</v>
      </c>
      <c r="R771" s="1">
        <v>105456.0</v>
      </c>
    </row>
    <row r="772">
      <c r="A772" s="663" t="s">
        <v>2295</v>
      </c>
      <c r="B772" s="663" t="s">
        <v>180</v>
      </c>
      <c r="C772" s="663" t="s">
        <v>54</v>
      </c>
      <c r="D772" s="663" t="s">
        <v>599</v>
      </c>
      <c r="E772" s="664" t="s">
        <v>151</v>
      </c>
      <c r="F772" s="665">
        <v>13041.0</v>
      </c>
      <c r="G772" s="665">
        <v>9.0</v>
      </c>
      <c r="H772" s="665">
        <v>0.07</v>
      </c>
      <c r="I772" s="665">
        <v>0.03</v>
      </c>
      <c r="J772" s="665">
        <v>0.06</v>
      </c>
      <c r="K772" s="665">
        <v>9.0</v>
      </c>
      <c r="L772" s="665">
        <v>35280.0</v>
      </c>
      <c r="M772" s="665">
        <v>0.0</v>
      </c>
      <c r="N772" s="1">
        <v>1.0</v>
      </c>
      <c r="O772" s="1">
        <v>9.0</v>
      </c>
      <c r="P772" s="1">
        <v>35280.0</v>
      </c>
      <c r="Q772" s="1">
        <v>7.0E-4</v>
      </c>
      <c r="R772" s="1">
        <v>105456.0</v>
      </c>
    </row>
    <row r="773">
      <c r="A773" s="663" t="s">
        <v>2295</v>
      </c>
      <c r="B773" s="663" t="s">
        <v>180</v>
      </c>
      <c r="C773" s="663" t="s">
        <v>54</v>
      </c>
      <c r="D773" s="663" t="s">
        <v>599</v>
      </c>
      <c r="E773" s="664" t="s">
        <v>414</v>
      </c>
      <c r="F773" s="665">
        <v>13041.0</v>
      </c>
      <c r="G773" s="665">
        <v>2.0</v>
      </c>
      <c r="H773" s="665">
        <v>0.02</v>
      </c>
      <c r="I773" s="665">
        <v>0.02</v>
      </c>
      <c r="J773" s="665">
        <v>0.01</v>
      </c>
      <c r="K773" s="665">
        <v>6.0</v>
      </c>
      <c r="L773" s="665">
        <v>35280.0</v>
      </c>
      <c r="M773" s="665">
        <v>0.0</v>
      </c>
      <c r="N773" s="1">
        <v>3.0</v>
      </c>
      <c r="O773" s="1">
        <v>6.0</v>
      </c>
      <c r="P773" s="1">
        <v>35280.0</v>
      </c>
      <c r="Q773" s="1">
        <v>5.0E-4</v>
      </c>
      <c r="R773" s="1">
        <v>105456.0</v>
      </c>
    </row>
    <row r="774">
      <c r="A774" s="663" t="s">
        <v>2295</v>
      </c>
      <c r="B774" s="663" t="s">
        <v>180</v>
      </c>
      <c r="C774" s="663" t="s">
        <v>54</v>
      </c>
      <c r="D774" s="663" t="s">
        <v>599</v>
      </c>
      <c r="E774" s="664" t="s">
        <v>401</v>
      </c>
      <c r="F774" s="665">
        <v>13041.0</v>
      </c>
      <c r="G774" s="665">
        <v>3.0</v>
      </c>
      <c r="H774" s="665">
        <v>0.02</v>
      </c>
      <c r="I774" s="665">
        <v>0.01</v>
      </c>
      <c r="J774" s="665">
        <v>0.0</v>
      </c>
      <c r="K774" s="665">
        <v>3.0</v>
      </c>
      <c r="L774" s="665">
        <v>35280.0</v>
      </c>
      <c r="M774" s="665">
        <v>0.0</v>
      </c>
      <c r="N774" s="1">
        <v>1.0</v>
      </c>
      <c r="O774" s="1">
        <v>3.0</v>
      </c>
      <c r="P774" s="1">
        <v>35280.0</v>
      </c>
      <c r="Q774" s="1">
        <v>2.0E-4</v>
      </c>
      <c r="R774" s="1">
        <v>105456.0</v>
      </c>
    </row>
    <row r="775">
      <c r="A775" s="663" t="s">
        <v>2295</v>
      </c>
      <c r="B775" s="663" t="s">
        <v>180</v>
      </c>
      <c r="C775" s="663" t="s">
        <v>54</v>
      </c>
      <c r="D775" s="663" t="s">
        <v>599</v>
      </c>
      <c r="E775" s="664" t="s">
        <v>206</v>
      </c>
      <c r="F775" s="665">
        <v>13041.0</v>
      </c>
      <c r="G775" s="665">
        <v>2.0</v>
      </c>
      <c r="H775" s="665">
        <v>0.02</v>
      </c>
      <c r="I775" s="665">
        <v>0.01</v>
      </c>
      <c r="J775" s="665">
        <v>0.0</v>
      </c>
      <c r="K775" s="665">
        <v>2.0</v>
      </c>
      <c r="L775" s="665">
        <v>35280.0</v>
      </c>
      <c r="M775" s="665">
        <v>0.0</v>
      </c>
      <c r="N775" s="1">
        <v>1.0</v>
      </c>
      <c r="O775" s="1">
        <v>2.0</v>
      </c>
      <c r="P775" s="1">
        <v>35280.0</v>
      </c>
      <c r="Q775" s="1">
        <v>2.0E-4</v>
      </c>
      <c r="R775" s="1">
        <v>105456.0</v>
      </c>
    </row>
    <row r="776">
      <c r="A776" s="663" t="s">
        <v>2295</v>
      </c>
      <c r="B776" s="663" t="s">
        <v>180</v>
      </c>
      <c r="C776" s="663" t="s">
        <v>1205</v>
      </c>
      <c r="D776" s="663" t="s">
        <v>1205</v>
      </c>
      <c r="E776" s="664" t="s">
        <v>396</v>
      </c>
      <c r="F776" s="665">
        <v>39772.0</v>
      </c>
      <c r="G776" s="665">
        <v>27066.0</v>
      </c>
      <c r="H776" s="665">
        <v>68.05</v>
      </c>
      <c r="I776" s="665">
        <v>22.23</v>
      </c>
      <c r="J776" s="665">
        <v>32.08</v>
      </c>
      <c r="K776" s="665">
        <v>1777260.0</v>
      </c>
      <c r="L776" s="665">
        <v>7995525.21</v>
      </c>
      <c r="M776" s="665">
        <v>44.69</v>
      </c>
      <c r="N776" s="1">
        <v>65.6639</v>
      </c>
      <c r="O776" s="1">
        <v>1777260.0</v>
      </c>
      <c r="P776" s="1">
        <v>8100799.0</v>
      </c>
      <c r="Q776" s="1">
        <v>44.6862</v>
      </c>
      <c r="R776" s="1">
        <v>105456.0</v>
      </c>
    </row>
    <row r="777">
      <c r="A777" s="663" t="s">
        <v>2295</v>
      </c>
      <c r="B777" s="663" t="s">
        <v>180</v>
      </c>
      <c r="C777" s="663" t="s">
        <v>1205</v>
      </c>
      <c r="D777" s="663" t="s">
        <v>1205</v>
      </c>
      <c r="E777" s="664" t="s">
        <v>397</v>
      </c>
      <c r="F777" s="665">
        <v>39772.0</v>
      </c>
      <c r="G777" s="665">
        <v>30998.0</v>
      </c>
      <c r="H777" s="665">
        <v>77.94</v>
      </c>
      <c r="I777" s="665">
        <v>13.85</v>
      </c>
      <c r="J777" s="665">
        <v>18.76</v>
      </c>
      <c r="K777" s="665">
        <v>1107195.0</v>
      </c>
      <c r="L777" s="665">
        <v>7995525.21</v>
      </c>
      <c r="M777" s="665">
        <v>27.84</v>
      </c>
      <c r="N777" s="1">
        <v>35.7183</v>
      </c>
      <c r="O777" s="1">
        <v>1107195.0</v>
      </c>
      <c r="P777" s="1">
        <v>8100799.0</v>
      </c>
      <c r="Q777" s="1">
        <v>27.8386</v>
      </c>
      <c r="R777" s="1">
        <v>105456.0</v>
      </c>
    </row>
    <row r="778">
      <c r="A778" s="663" t="s">
        <v>2295</v>
      </c>
      <c r="B778" s="663" t="s">
        <v>180</v>
      </c>
      <c r="C778" s="663" t="s">
        <v>1205</v>
      </c>
      <c r="D778" s="663" t="s">
        <v>1205</v>
      </c>
      <c r="E778" s="664" t="s">
        <v>398</v>
      </c>
      <c r="F778" s="665">
        <v>39772.0</v>
      </c>
      <c r="G778" s="665">
        <v>14385.0</v>
      </c>
      <c r="H778" s="665">
        <v>36.17</v>
      </c>
      <c r="I778" s="665">
        <v>13.72</v>
      </c>
      <c r="J778" s="665">
        <v>7.52</v>
      </c>
      <c r="K778" s="665">
        <v>1096665.0</v>
      </c>
      <c r="L778" s="665">
        <v>7995525.21</v>
      </c>
      <c r="M778" s="665">
        <v>27.57</v>
      </c>
      <c r="N778" s="1">
        <v>76.2367</v>
      </c>
      <c r="O778" s="1">
        <v>1096665.0</v>
      </c>
      <c r="P778" s="1">
        <v>8100799.0</v>
      </c>
      <c r="Q778" s="1">
        <v>27.5738</v>
      </c>
      <c r="R778" s="1">
        <v>105456.0</v>
      </c>
    </row>
    <row r="779">
      <c r="A779" s="663" t="s">
        <v>2295</v>
      </c>
      <c r="B779" s="663" t="s">
        <v>180</v>
      </c>
      <c r="C779" s="663" t="s">
        <v>1205</v>
      </c>
      <c r="D779" s="663" t="s">
        <v>1205</v>
      </c>
      <c r="E779" s="664" t="s">
        <v>418</v>
      </c>
      <c r="F779" s="665">
        <v>39772.0</v>
      </c>
      <c r="G779" s="665">
        <v>32634.0</v>
      </c>
      <c r="H779" s="665">
        <v>82.05</v>
      </c>
      <c r="I779" s="665">
        <v>11.09</v>
      </c>
      <c r="J779" s="665">
        <v>18.38</v>
      </c>
      <c r="K779" s="665">
        <v>886865.0</v>
      </c>
      <c r="L779" s="665">
        <v>7995525.21</v>
      </c>
      <c r="M779" s="665">
        <v>22.3</v>
      </c>
      <c r="N779" s="1">
        <v>27.1761</v>
      </c>
      <c r="O779" s="1">
        <v>886865.0</v>
      </c>
      <c r="P779" s="1">
        <v>8100799.0</v>
      </c>
      <c r="Q779" s="1">
        <v>22.2987</v>
      </c>
      <c r="R779" s="1">
        <v>105456.0</v>
      </c>
    </row>
    <row r="780">
      <c r="A780" s="663" t="s">
        <v>2295</v>
      </c>
      <c r="B780" s="663" t="s">
        <v>180</v>
      </c>
      <c r="C780" s="663" t="s">
        <v>1205</v>
      </c>
      <c r="D780" s="663" t="s">
        <v>1205</v>
      </c>
      <c r="E780" s="664" t="s">
        <v>15</v>
      </c>
      <c r="F780" s="665">
        <v>39772.0</v>
      </c>
      <c r="G780" s="665">
        <v>4560.0</v>
      </c>
      <c r="H780" s="665">
        <v>11.47</v>
      </c>
      <c r="I780" s="665">
        <v>8.54</v>
      </c>
      <c r="J780" s="665">
        <v>3.57</v>
      </c>
      <c r="K780" s="665">
        <v>683180.0</v>
      </c>
      <c r="L780" s="665">
        <v>7995525.21</v>
      </c>
      <c r="M780" s="665">
        <v>17.18</v>
      </c>
      <c r="N780" s="1">
        <v>149.8202</v>
      </c>
      <c r="O780" s="1">
        <v>683180.0</v>
      </c>
      <c r="P780" s="1">
        <v>8100799.0</v>
      </c>
      <c r="Q780" s="1">
        <v>17.1774</v>
      </c>
      <c r="R780" s="1">
        <v>105456.0</v>
      </c>
    </row>
    <row r="781">
      <c r="A781" s="663" t="s">
        <v>2295</v>
      </c>
      <c r="B781" s="663" t="s">
        <v>180</v>
      </c>
      <c r="C781" s="663" t="s">
        <v>1205</v>
      </c>
      <c r="D781" s="663" t="s">
        <v>1205</v>
      </c>
      <c r="E781" s="664" t="s">
        <v>16</v>
      </c>
      <c r="F781" s="665">
        <v>39772.0</v>
      </c>
      <c r="G781" s="665">
        <v>5636.0</v>
      </c>
      <c r="H781" s="665">
        <v>14.17</v>
      </c>
      <c r="I781" s="665">
        <v>7.39</v>
      </c>
      <c r="J781" s="665">
        <v>4.04</v>
      </c>
      <c r="K781" s="665">
        <v>591090.0</v>
      </c>
      <c r="L781" s="665">
        <v>7995525.21</v>
      </c>
      <c r="M781" s="665">
        <v>14.86</v>
      </c>
      <c r="N781" s="1">
        <v>104.8776</v>
      </c>
      <c r="O781" s="1">
        <v>591090.0</v>
      </c>
      <c r="P781" s="1">
        <v>8100799.0</v>
      </c>
      <c r="Q781" s="1">
        <v>14.862</v>
      </c>
      <c r="R781" s="1">
        <v>105456.0</v>
      </c>
    </row>
    <row r="782">
      <c r="A782" s="663" t="s">
        <v>2295</v>
      </c>
      <c r="B782" s="663" t="s">
        <v>180</v>
      </c>
      <c r="C782" s="663" t="s">
        <v>1205</v>
      </c>
      <c r="D782" s="663" t="s">
        <v>1205</v>
      </c>
      <c r="E782" s="664" t="s">
        <v>14</v>
      </c>
      <c r="F782" s="665">
        <v>39772.0</v>
      </c>
      <c r="G782" s="665">
        <v>15566.0</v>
      </c>
      <c r="H782" s="665">
        <v>39.14</v>
      </c>
      <c r="I782" s="665">
        <v>5.27</v>
      </c>
      <c r="J782" s="665">
        <v>4.76</v>
      </c>
      <c r="K782" s="665">
        <v>421466.21</v>
      </c>
      <c r="L782" s="665">
        <v>7995525.21</v>
      </c>
      <c r="M782" s="665">
        <v>10.6</v>
      </c>
      <c r="N782" s="1">
        <v>27.0761</v>
      </c>
      <c r="O782" s="1">
        <v>526740.0</v>
      </c>
      <c r="P782" s="1">
        <v>8100799.0</v>
      </c>
      <c r="Q782" s="1">
        <v>13.244</v>
      </c>
      <c r="R782" s="1">
        <v>105456.0</v>
      </c>
    </row>
    <row r="783">
      <c r="A783" s="663" t="s">
        <v>2295</v>
      </c>
      <c r="B783" s="663" t="s">
        <v>180</v>
      </c>
      <c r="C783" s="663" t="s">
        <v>1205</v>
      </c>
      <c r="D783" s="663" t="s">
        <v>1205</v>
      </c>
      <c r="E783" s="664" t="s">
        <v>413</v>
      </c>
      <c r="F783" s="665">
        <v>39772.0</v>
      </c>
      <c r="G783" s="665">
        <v>11303.0</v>
      </c>
      <c r="H783" s="665">
        <v>28.42</v>
      </c>
      <c r="I783" s="665">
        <v>4.22</v>
      </c>
      <c r="J783" s="665">
        <v>3.66</v>
      </c>
      <c r="K783" s="665">
        <v>337420.0</v>
      </c>
      <c r="L783" s="665">
        <v>7995525.21</v>
      </c>
      <c r="M783" s="665">
        <v>8.48</v>
      </c>
      <c r="N783" s="1">
        <v>29.8523</v>
      </c>
      <c r="O783" s="1">
        <v>337420.0</v>
      </c>
      <c r="P783" s="1">
        <v>8100799.0</v>
      </c>
      <c r="Q783" s="1">
        <v>8.4839</v>
      </c>
      <c r="R783" s="1">
        <v>105456.0</v>
      </c>
    </row>
    <row r="784">
      <c r="A784" s="663" t="s">
        <v>2295</v>
      </c>
      <c r="B784" s="663" t="s">
        <v>180</v>
      </c>
      <c r="C784" s="663" t="s">
        <v>1205</v>
      </c>
      <c r="D784" s="663" t="s">
        <v>1205</v>
      </c>
      <c r="E784" s="664" t="s">
        <v>393</v>
      </c>
      <c r="F784" s="665">
        <v>39772.0</v>
      </c>
      <c r="G784" s="665">
        <v>4315.0</v>
      </c>
      <c r="H784" s="665">
        <v>10.85</v>
      </c>
      <c r="I784" s="665">
        <v>2.88</v>
      </c>
      <c r="J784" s="665">
        <v>1.31</v>
      </c>
      <c r="K784" s="665">
        <v>230185.0</v>
      </c>
      <c r="L784" s="665">
        <v>7995525.21</v>
      </c>
      <c r="M784" s="665">
        <v>5.79</v>
      </c>
      <c r="N784" s="1">
        <v>53.3453</v>
      </c>
      <c r="O784" s="1">
        <v>230185.0</v>
      </c>
      <c r="P784" s="1">
        <v>8100799.0</v>
      </c>
      <c r="Q784" s="1">
        <v>5.7876</v>
      </c>
      <c r="R784" s="1">
        <v>105456.0</v>
      </c>
    </row>
    <row r="785">
      <c r="A785" s="663" t="s">
        <v>2295</v>
      </c>
      <c r="B785" s="663" t="s">
        <v>180</v>
      </c>
      <c r="C785" s="663" t="s">
        <v>1205</v>
      </c>
      <c r="D785" s="663" t="s">
        <v>1205</v>
      </c>
      <c r="E785" s="664" t="s">
        <v>42</v>
      </c>
      <c r="F785" s="665">
        <v>39772.0</v>
      </c>
      <c r="G785" s="665">
        <v>5316.0</v>
      </c>
      <c r="H785" s="665">
        <v>13.37</v>
      </c>
      <c r="I785" s="665">
        <v>2.55</v>
      </c>
      <c r="J785" s="665">
        <v>1.66</v>
      </c>
      <c r="K785" s="665">
        <v>203890.0</v>
      </c>
      <c r="L785" s="665">
        <v>7995525.21</v>
      </c>
      <c r="M785" s="665">
        <v>5.13</v>
      </c>
      <c r="N785" s="1">
        <v>38.354</v>
      </c>
      <c r="O785" s="1">
        <v>203890.0</v>
      </c>
      <c r="P785" s="1">
        <v>8100799.0</v>
      </c>
      <c r="Q785" s="1">
        <v>5.1265</v>
      </c>
      <c r="R785" s="1">
        <v>105456.0</v>
      </c>
    </row>
    <row r="786">
      <c r="A786" s="663" t="s">
        <v>2295</v>
      </c>
      <c r="B786" s="663" t="s">
        <v>180</v>
      </c>
      <c r="C786" s="663" t="s">
        <v>1205</v>
      </c>
      <c r="D786" s="663" t="s">
        <v>1205</v>
      </c>
      <c r="E786" s="664" t="s">
        <v>411</v>
      </c>
      <c r="F786" s="665">
        <v>39772.0</v>
      </c>
      <c r="G786" s="665">
        <v>3869.0</v>
      </c>
      <c r="H786" s="665">
        <v>9.73</v>
      </c>
      <c r="I786" s="665">
        <v>2.17</v>
      </c>
      <c r="J786" s="665">
        <v>0.96</v>
      </c>
      <c r="K786" s="665">
        <v>173324.0</v>
      </c>
      <c r="L786" s="665">
        <v>7995525.21</v>
      </c>
      <c r="M786" s="665">
        <v>4.36</v>
      </c>
      <c r="N786" s="1">
        <v>44.7981</v>
      </c>
      <c r="O786" s="1">
        <v>173324.0</v>
      </c>
      <c r="P786" s="1">
        <v>8100799.0</v>
      </c>
      <c r="Q786" s="1">
        <v>4.3579</v>
      </c>
      <c r="R786" s="1">
        <v>105456.0</v>
      </c>
    </row>
    <row r="787">
      <c r="A787" s="663" t="s">
        <v>2295</v>
      </c>
      <c r="B787" s="663" t="s">
        <v>180</v>
      </c>
      <c r="C787" s="663" t="s">
        <v>1205</v>
      </c>
      <c r="D787" s="663" t="s">
        <v>1205</v>
      </c>
      <c r="E787" s="664" t="s">
        <v>9</v>
      </c>
      <c r="F787" s="665">
        <v>39772.0</v>
      </c>
      <c r="G787" s="665">
        <v>7929.0</v>
      </c>
      <c r="H787" s="665">
        <v>19.94</v>
      </c>
      <c r="I787" s="665">
        <v>1.78</v>
      </c>
      <c r="J787" s="665">
        <v>1.2</v>
      </c>
      <c r="K787" s="665">
        <v>142135.0</v>
      </c>
      <c r="L787" s="665">
        <v>7995525.21</v>
      </c>
      <c r="M787" s="665">
        <v>3.57</v>
      </c>
      <c r="N787" s="1">
        <v>17.926</v>
      </c>
      <c r="O787" s="1">
        <v>142135.0</v>
      </c>
      <c r="P787" s="1">
        <v>8100799.0</v>
      </c>
      <c r="Q787" s="1">
        <v>3.5737</v>
      </c>
      <c r="R787" s="1">
        <v>105456.0</v>
      </c>
    </row>
    <row r="788">
      <c r="A788" s="663" t="s">
        <v>2295</v>
      </c>
      <c r="B788" s="663" t="s">
        <v>180</v>
      </c>
      <c r="C788" s="663" t="s">
        <v>1205</v>
      </c>
      <c r="D788" s="663" t="s">
        <v>1205</v>
      </c>
      <c r="E788" s="664" t="s">
        <v>63</v>
      </c>
      <c r="F788" s="665">
        <v>39772.0</v>
      </c>
      <c r="G788" s="665">
        <v>1563.0</v>
      </c>
      <c r="H788" s="665">
        <v>3.93</v>
      </c>
      <c r="I788" s="665">
        <v>1.07</v>
      </c>
      <c r="J788" s="665">
        <v>0.55</v>
      </c>
      <c r="K788" s="665">
        <v>85225.0</v>
      </c>
      <c r="L788" s="665">
        <v>7995525.21</v>
      </c>
      <c r="M788" s="665">
        <v>2.14</v>
      </c>
      <c r="N788" s="1">
        <v>54.5266</v>
      </c>
      <c r="O788" s="1">
        <v>85225.0</v>
      </c>
      <c r="P788" s="1">
        <v>8100799.0</v>
      </c>
      <c r="Q788" s="1">
        <v>2.1428</v>
      </c>
      <c r="R788" s="1">
        <v>105456.0</v>
      </c>
    </row>
    <row r="789">
      <c r="A789" s="663" t="s">
        <v>2295</v>
      </c>
      <c r="B789" s="663" t="s">
        <v>180</v>
      </c>
      <c r="C789" s="663" t="s">
        <v>1205</v>
      </c>
      <c r="D789" s="663" t="s">
        <v>1205</v>
      </c>
      <c r="E789" s="664" t="s">
        <v>341</v>
      </c>
      <c r="F789" s="665">
        <v>39772.0</v>
      </c>
      <c r="G789" s="665">
        <v>588.0</v>
      </c>
      <c r="H789" s="665">
        <v>1.48</v>
      </c>
      <c r="I789" s="665">
        <v>0.74</v>
      </c>
      <c r="J789" s="665">
        <v>0.34</v>
      </c>
      <c r="K789" s="665">
        <v>58950.0</v>
      </c>
      <c r="L789" s="665">
        <v>7995525.21</v>
      </c>
      <c r="M789" s="665">
        <v>1.48</v>
      </c>
      <c r="N789" s="1">
        <v>100.2551</v>
      </c>
      <c r="O789" s="1">
        <v>58950.0</v>
      </c>
      <c r="P789" s="1">
        <v>8100799.0</v>
      </c>
      <c r="Q789" s="1">
        <v>1.4822</v>
      </c>
      <c r="R789" s="1">
        <v>105456.0</v>
      </c>
    </row>
    <row r="790">
      <c r="A790" s="663" t="s">
        <v>2295</v>
      </c>
      <c r="B790" s="663" t="s">
        <v>180</v>
      </c>
      <c r="C790" s="663" t="s">
        <v>1205</v>
      </c>
      <c r="D790" s="663" t="s">
        <v>1205</v>
      </c>
      <c r="E790" s="664" t="s">
        <v>329</v>
      </c>
      <c r="F790" s="665">
        <v>39772.0</v>
      </c>
      <c r="G790" s="665">
        <v>591.0</v>
      </c>
      <c r="H790" s="665">
        <v>1.49</v>
      </c>
      <c r="I790" s="665">
        <v>0.73</v>
      </c>
      <c r="J790" s="665">
        <v>0.37</v>
      </c>
      <c r="K790" s="665">
        <v>58050.0</v>
      </c>
      <c r="L790" s="665">
        <v>7995525.21</v>
      </c>
      <c r="M790" s="665">
        <v>1.46</v>
      </c>
      <c r="N790" s="1">
        <v>98.2234</v>
      </c>
      <c r="O790" s="1">
        <v>58050.0</v>
      </c>
      <c r="P790" s="1">
        <v>8100799.0</v>
      </c>
      <c r="Q790" s="1">
        <v>1.4596</v>
      </c>
      <c r="R790" s="1">
        <v>105456.0</v>
      </c>
    </row>
    <row r="791">
      <c r="A791" s="663" t="s">
        <v>2295</v>
      </c>
      <c r="B791" s="663" t="s">
        <v>180</v>
      </c>
      <c r="C791" s="663" t="s">
        <v>1205</v>
      </c>
      <c r="D791" s="663" t="s">
        <v>1205</v>
      </c>
      <c r="E791" s="664" t="s">
        <v>338</v>
      </c>
      <c r="F791" s="665">
        <v>39772.0</v>
      </c>
      <c r="G791" s="665">
        <v>595.0</v>
      </c>
      <c r="H791" s="665">
        <v>1.5</v>
      </c>
      <c r="I791" s="665">
        <v>0.69</v>
      </c>
      <c r="J791" s="665">
        <v>0.32</v>
      </c>
      <c r="K791" s="665">
        <v>55250.0</v>
      </c>
      <c r="L791" s="665">
        <v>7995525.21</v>
      </c>
      <c r="M791" s="665">
        <v>1.39</v>
      </c>
      <c r="N791" s="1">
        <v>92.8571</v>
      </c>
      <c r="O791" s="1">
        <v>55250.0</v>
      </c>
      <c r="P791" s="1">
        <v>8100799.0</v>
      </c>
      <c r="Q791" s="1">
        <v>1.3892</v>
      </c>
      <c r="R791" s="1">
        <v>105456.0</v>
      </c>
    </row>
    <row r="792">
      <c r="A792" s="663" t="s">
        <v>2295</v>
      </c>
      <c r="B792" s="663" t="s">
        <v>180</v>
      </c>
      <c r="C792" s="663" t="s">
        <v>1205</v>
      </c>
      <c r="D792" s="663" t="s">
        <v>1205</v>
      </c>
      <c r="E792" s="664" t="s">
        <v>401</v>
      </c>
      <c r="F792" s="665">
        <v>39772.0</v>
      </c>
      <c r="G792" s="665">
        <v>1080.0</v>
      </c>
      <c r="H792" s="665">
        <v>2.72</v>
      </c>
      <c r="I792" s="665">
        <v>0.4</v>
      </c>
      <c r="J792" s="665">
        <v>0.2</v>
      </c>
      <c r="K792" s="665">
        <v>31875.0</v>
      </c>
      <c r="L792" s="665">
        <v>7995525.21</v>
      </c>
      <c r="M792" s="665">
        <v>0.8</v>
      </c>
      <c r="N792" s="1">
        <v>29.5139</v>
      </c>
      <c r="O792" s="1">
        <v>31875.0</v>
      </c>
      <c r="P792" s="1">
        <v>8100799.0</v>
      </c>
      <c r="Q792" s="1">
        <v>0.8014</v>
      </c>
      <c r="R792" s="1">
        <v>105456.0</v>
      </c>
    </row>
    <row r="793">
      <c r="A793" s="663" t="s">
        <v>2295</v>
      </c>
      <c r="B793" s="663" t="s">
        <v>180</v>
      </c>
      <c r="C793" s="663" t="s">
        <v>1205</v>
      </c>
      <c r="D793" s="663" t="s">
        <v>1205</v>
      </c>
      <c r="E793" s="664" t="s">
        <v>206</v>
      </c>
      <c r="F793" s="665">
        <v>39772.0</v>
      </c>
      <c r="G793" s="665">
        <v>958.0</v>
      </c>
      <c r="H793" s="665">
        <v>2.41</v>
      </c>
      <c r="I793" s="665">
        <v>0.31</v>
      </c>
      <c r="J793" s="665">
        <v>0.13</v>
      </c>
      <c r="K793" s="665">
        <v>24825.0</v>
      </c>
      <c r="L793" s="665">
        <v>7995525.21</v>
      </c>
      <c r="M793" s="665">
        <v>0.62</v>
      </c>
      <c r="N793" s="1">
        <v>25.9134</v>
      </c>
      <c r="O793" s="1">
        <v>24825.0</v>
      </c>
      <c r="P793" s="1">
        <v>8100799.0</v>
      </c>
      <c r="Q793" s="1">
        <v>0.6242</v>
      </c>
      <c r="R793" s="1">
        <v>105456.0</v>
      </c>
    </row>
    <row r="794">
      <c r="A794" s="663" t="s">
        <v>2295</v>
      </c>
      <c r="B794" s="663" t="s">
        <v>180</v>
      </c>
      <c r="C794" s="663" t="s">
        <v>1205</v>
      </c>
      <c r="D794" s="663" t="s">
        <v>1205</v>
      </c>
      <c r="E794" s="664" t="s">
        <v>7</v>
      </c>
      <c r="F794" s="665">
        <v>39772.0</v>
      </c>
      <c r="G794" s="665">
        <v>129.0</v>
      </c>
      <c r="H794" s="665">
        <v>0.32</v>
      </c>
      <c r="I794" s="665">
        <v>0.23</v>
      </c>
      <c r="J794" s="665">
        <v>0.08</v>
      </c>
      <c r="K794" s="665">
        <v>18675.0</v>
      </c>
      <c r="L794" s="665">
        <v>7995525.21</v>
      </c>
      <c r="M794" s="665">
        <v>0.47</v>
      </c>
      <c r="N794" s="1">
        <v>144.7674</v>
      </c>
      <c r="O794" s="1">
        <v>18675.0</v>
      </c>
      <c r="P794" s="1">
        <v>8100799.0</v>
      </c>
      <c r="Q794" s="1">
        <v>0.4696</v>
      </c>
      <c r="R794" s="1">
        <v>105456.0</v>
      </c>
    </row>
    <row r="795">
      <c r="A795" s="663" t="s">
        <v>2295</v>
      </c>
      <c r="B795" s="663" t="s">
        <v>180</v>
      </c>
      <c r="C795" s="663" t="s">
        <v>1205</v>
      </c>
      <c r="D795" s="663" t="s">
        <v>1205</v>
      </c>
      <c r="E795" s="664" t="s">
        <v>73</v>
      </c>
      <c r="F795" s="665">
        <v>39772.0</v>
      </c>
      <c r="G795" s="665">
        <v>462.0</v>
      </c>
      <c r="H795" s="665">
        <v>1.16</v>
      </c>
      <c r="I795" s="665">
        <v>0.15</v>
      </c>
      <c r="J795" s="665">
        <v>0.08</v>
      </c>
      <c r="K795" s="665">
        <v>11750.0</v>
      </c>
      <c r="L795" s="665">
        <v>7995525.21</v>
      </c>
      <c r="M795" s="665">
        <v>0.3</v>
      </c>
      <c r="N795" s="1">
        <v>25.4329</v>
      </c>
      <c r="O795" s="1">
        <v>11750.0</v>
      </c>
      <c r="P795" s="1">
        <v>8100799.0</v>
      </c>
      <c r="Q795" s="1">
        <v>0.2954</v>
      </c>
      <c r="R795" s="1">
        <v>105456.0</v>
      </c>
    </row>
    <row r="796">
      <c r="A796" s="663" t="s">
        <v>2295</v>
      </c>
      <c r="B796" s="663" t="s">
        <v>180</v>
      </c>
      <c r="C796" s="663" t="s">
        <v>1205</v>
      </c>
      <c r="D796" s="663" t="s">
        <v>1205</v>
      </c>
      <c r="E796" s="664" t="s">
        <v>151</v>
      </c>
      <c r="F796" s="665">
        <v>39772.0</v>
      </c>
      <c r="G796" s="665">
        <v>4.0</v>
      </c>
      <c r="H796" s="665">
        <v>0.01</v>
      </c>
      <c r="I796" s="665">
        <v>0.0</v>
      </c>
      <c r="J796" s="665">
        <v>0.0</v>
      </c>
      <c r="K796" s="665">
        <v>250.0</v>
      </c>
      <c r="L796" s="665">
        <v>7995525.21</v>
      </c>
      <c r="M796" s="665">
        <v>0.01</v>
      </c>
      <c r="N796" s="1">
        <v>62.5</v>
      </c>
      <c r="O796" s="1">
        <v>250.0</v>
      </c>
      <c r="P796" s="1">
        <v>8100799.0</v>
      </c>
      <c r="Q796" s="1">
        <v>0.0063</v>
      </c>
      <c r="R796" s="1">
        <v>105456.0</v>
      </c>
    </row>
    <row r="797">
      <c r="A797" s="663" t="s">
        <v>2295</v>
      </c>
      <c r="B797" s="663" t="s">
        <v>180</v>
      </c>
      <c r="C797" s="663" t="s">
        <v>47</v>
      </c>
      <c r="D797" s="663" t="s">
        <v>599</v>
      </c>
      <c r="E797" s="664" t="s">
        <v>398</v>
      </c>
      <c r="F797" s="665">
        <v>27747.0</v>
      </c>
      <c r="G797" s="665">
        <v>11471.0</v>
      </c>
      <c r="H797" s="665">
        <v>41.34</v>
      </c>
      <c r="I797" s="665">
        <v>18.44</v>
      </c>
      <c r="J797" s="665">
        <v>13.09</v>
      </c>
      <c r="K797" s="665">
        <v>23720.0</v>
      </c>
      <c r="L797" s="665">
        <v>128651.0</v>
      </c>
      <c r="M797" s="665">
        <v>0.85</v>
      </c>
      <c r="N797" s="1">
        <v>2.0678</v>
      </c>
      <c r="O797" s="1">
        <v>23720.0</v>
      </c>
      <c r="P797" s="1">
        <v>128651.0</v>
      </c>
      <c r="Q797" s="1">
        <v>0.8549</v>
      </c>
      <c r="R797" s="1">
        <v>105456.0</v>
      </c>
    </row>
    <row r="798">
      <c r="A798" s="663" t="s">
        <v>2295</v>
      </c>
      <c r="B798" s="663" t="s">
        <v>180</v>
      </c>
      <c r="C798" s="663" t="s">
        <v>47</v>
      </c>
      <c r="D798" s="663" t="s">
        <v>599</v>
      </c>
      <c r="E798" s="664" t="s">
        <v>14</v>
      </c>
      <c r="F798" s="665">
        <v>27747.0</v>
      </c>
      <c r="G798" s="665">
        <v>14950.0</v>
      </c>
      <c r="H798" s="665">
        <v>53.88</v>
      </c>
      <c r="I798" s="665">
        <v>15.58</v>
      </c>
      <c r="J798" s="665">
        <v>17.35</v>
      </c>
      <c r="K798" s="665">
        <v>20041.0</v>
      </c>
      <c r="L798" s="665">
        <v>128651.0</v>
      </c>
      <c r="M798" s="665">
        <v>0.72</v>
      </c>
      <c r="N798" s="1">
        <v>1.3405</v>
      </c>
      <c r="O798" s="1">
        <v>20041.0</v>
      </c>
      <c r="P798" s="1">
        <v>128651.0</v>
      </c>
      <c r="Q798" s="1">
        <v>0.7223</v>
      </c>
      <c r="R798" s="1">
        <v>105456.0</v>
      </c>
    </row>
    <row r="799">
      <c r="A799" s="663" t="s">
        <v>2295</v>
      </c>
      <c r="B799" s="663" t="s">
        <v>180</v>
      </c>
      <c r="C799" s="663" t="s">
        <v>47</v>
      </c>
      <c r="D799" s="663" t="s">
        <v>599</v>
      </c>
      <c r="E799" s="664" t="s">
        <v>9</v>
      </c>
      <c r="F799" s="665">
        <v>27747.0</v>
      </c>
      <c r="G799" s="665">
        <v>12452.0</v>
      </c>
      <c r="H799" s="665">
        <v>44.88</v>
      </c>
      <c r="I799" s="665">
        <v>13.54</v>
      </c>
      <c r="J799" s="665">
        <v>12.7</v>
      </c>
      <c r="K799" s="665">
        <v>17425.0</v>
      </c>
      <c r="L799" s="665">
        <v>128651.0</v>
      </c>
      <c r="M799" s="665">
        <v>0.63</v>
      </c>
      <c r="N799" s="1">
        <v>1.3994</v>
      </c>
      <c r="O799" s="1">
        <v>17425.0</v>
      </c>
      <c r="P799" s="1">
        <v>128651.0</v>
      </c>
      <c r="Q799" s="1">
        <v>0.628</v>
      </c>
      <c r="R799" s="1">
        <v>105456.0</v>
      </c>
    </row>
    <row r="800">
      <c r="A800" s="663" t="s">
        <v>2295</v>
      </c>
      <c r="B800" s="663" t="s">
        <v>180</v>
      </c>
      <c r="C800" s="663" t="s">
        <v>47</v>
      </c>
      <c r="D800" s="663" t="s">
        <v>599</v>
      </c>
      <c r="E800" s="664" t="s">
        <v>411</v>
      </c>
      <c r="F800" s="665">
        <v>27747.0</v>
      </c>
      <c r="G800" s="665">
        <v>13130.0</v>
      </c>
      <c r="H800" s="665">
        <v>47.32</v>
      </c>
      <c r="I800" s="665">
        <v>13.32</v>
      </c>
      <c r="J800" s="665">
        <v>15.33</v>
      </c>
      <c r="K800" s="665">
        <v>17134.0</v>
      </c>
      <c r="L800" s="665">
        <v>128651.0</v>
      </c>
      <c r="M800" s="665">
        <v>0.62</v>
      </c>
      <c r="N800" s="1">
        <v>1.305</v>
      </c>
      <c r="O800" s="1">
        <v>17134.0</v>
      </c>
      <c r="P800" s="1">
        <v>128651.0</v>
      </c>
      <c r="Q800" s="1">
        <v>0.6175</v>
      </c>
      <c r="R800" s="1">
        <v>105456.0</v>
      </c>
    </row>
    <row r="801">
      <c r="A801" s="663" t="s">
        <v>2295</v>
      </c>
      <c r="B801" s="663" t="s">
        <v>180</v>
      </c>
      <c r="C801" s="663" t="s">
        <v>47</v>
      </c>
      <c r="D801" s="663" t="s">
        <v>599</v>
      </c>
      <c r="E801" s="664" t="s">
        <v>418</v>
      </c>
      <c r="F801" s="665">
        <v>27747.0</v>
      </c>
      <c r="G801" s="665">
        <v>13120.0</v>
      </c>
      <c r="H801" s="665">
        <v>47.28</v>
      </c>
      <c r="I801" s="665">
        <v>12.25</v>
      </c>
      <c r="J801" s="665">
        <v>16.04</v>
      </c>
      <c r="K801" s="665">
        <v>15763.0</v>
      </c>
      <c r="L801" s="665">
        <v>128651.0</v>
      </c>
      <c r="M801" s="665">
        <v>0.57</v>
      </c>
      <c r="N801" s="1">
        <v>1.2014</v>
      </c>
      <c r="O801" s="1">
        <v>15763.0</v>
      </c>
      <c r="P801" s="1">
        <v>128651.0</v>
      </c>
      <c r="Q801" s="1">
        <v>0.5681</v>
      </c>
      <c r="R801" s="1">
        <v>105456.0</v>
      </c>
    </row>
    <row r="802">
      <c r="A802" s="663" t="s">
        <v>2295</v>
      </c>
      <c r="B802" s="663" t="s">
        <v>180</v>
      </c>
      <c r="C802" s="663" t="s">
        <v>47</v>
      </c>
      <c r="D802" s="663" t="s">
        <v>599</v>
      </c>
      <c r="E802" s="664" t="s">
        <v>413</v>
      </c>
      <c r="F802" s="665">
        <v>27747.0</v>
      </c>
      <c r="G802" s="665">
        <v>8374.0</v>
      </c>
      <c r="H802" s="665">
        <v>30.18</v>
      </c>
      <c r="I802" s="665">
        <v>11.86</v>
      </c>
      <c r="J802" s="665">
        <v>8.78</v>
      </c>
      <c r="K802" s="665">
        <v>15264.0</v>
      </c>
      <c r="L802" s="665">
        <v>128651.0</v>
      </c>
      <c r="M802" s="665">
        <v>0.55</v>
      </c>
      <c r="N802" s="1">
        <v>1.8228</v>
      </c>
      <c r="O802" s="1">
        <v>15264.0</v>
      </c>
      <c r="P802" s="1">
        <v>128651.0</v>
      </c>
      <c r="Q802" s="1">
        <v>0.5501</v>
      </c>
      <c r="R802" s="1">
        <v>105456.0</v>
      </c>
    </row>
    <row r="803">
      <c r="A803" s="663" t="s">
        <v>2295</v>
      </c>
      <c r="B803" s="663" t="s">
        <v>180</v>
      </c>
      <c r="C803" s="663" t="s">
        <v>47</v>
      </c>
      <c r="D803" s="663" t="s">
        <v>599</v>
      </c>
      <c r="E803" s="664" t="s">
        <v>396</v>
      </c>
      <c r="F803" s="665">
        <v>27747.0</v>
      </c>
      <c r="G803" s="665">
        <v>7595.0</v>
      </c>
      <c r="H803" s="665">
        <v>27.37</v>
      </c>
      <c r="I803" s="665">
        <v>6.07</v>
      </c>
      <c r="J803" s="665">
        <v>10.29</v>
      </c>
      <c r="K803" s="665">
        <v>7809.0</v>
      </c>
      <c r="L803" s="665">
        <v>128651.0</v>
      </c>
      <c r="M803" s="665">
        <v>0.28</v>
      </c>
      <c r="N803" s="1">
        <v>1.0282</v>
      </c>
      <c r="O803" s="1">
        <v>7809.0</v>
      </c>
      <c r="P803" s="1">
        <v>128651.0</v>
      </c>
      <c r="Q803" s="1">
        <v>0.2814</v>
      </c>
      <c r="R803" s="1">
        <v>105456.0</v>
      </c>
    </row>
    <row r="804">
      <c r="A804" s="663" t="s">
        <v>2295</v>
      </c>
      <c r="B804" s="663" t="s">
        <v>180</v>
      </c>
      <c r="C804" s="663" t="s">
        <v>47</v>
      </c>
      <c r="D804" s="663" t="s">
        <v>599</v>
      </c>
      <c r="E804" s="664" t="s">
        <v>63</v>
      </c>
      <c r="F804" s="665">
        <v>27747.0</v>
      </c>
      <c r="G804" s="665">
        <v>4414.0</v>
      </c>
      <c r="H804" s="665">
        <v>15.91</v>
      </c>
      <c r="I804" s="665">
        <v>4.41</v>
      </c>
      <c r="J804" s="665">
        <v>3.51</v>
      </c>
      <c r="K804" s="665">
        <v>5668.0</v>
      </c>
      <c r="L804" s="665">
        <v>128651.0</v>
      </c>
      <c r="M804" s="665">
        <v>0.2</v>
      </c>
      <c r="N804" s="1">
        <v>1.2841</v>
      </c>
      <c r="O804" s="1">
        <v>5668.0</v>
      </c>
      <c r="P804" s="1">
        <v>128651.0</v>
      </c>
      <c r="Q804" s="1">
        <v>0.2043</v>
      </c>
      <c r="R804" s="1">
        <v>105456.0</v>
      </c>
    </row>
    <row r="805">
      <c r="A805" s="663" t="s">
        <v>2295</v>
      </c>
      <c r="B805" s="663" t="s">
        <v>180</v>
      </c>
      <c r="C805" s="663" t="s">
        <v>47</v>
      </c>
      <c r="D805" s="663" t="s">
        <v>599</v>
      </c>
      <c r="E805" s="664" t="s">
        <v>51</v>
      </c>
      <c r="F805" s="665">
        <v>27747.0</v>
      </c>
      <c r="G805" s="665">
        <v>2400.0</v>
      </c>
      <c r="H805" s="665">
        <v>8.65</v>
      </c>
      <c r="I805" s="665">
        <v>2.54</v>
      </c>
      <c r="J805" s="665">
        <v>1.54</v>
      </c>
      <c r="K805" s="665">
        <v>3266.0</v>
      </c>
      <c r="L805" s="665">
        <v>128651.0</v>
      </c>
      <c r="M805" s="665">
        <v>0.12</v>
      </c>
      <c r="N805" s="1">
        <v>1.3608</v>
      </c>
      <c r="O805" s="1">
        <v>3266.0</v>
      </c>
      <c r="P805" s="1">
        <v>128651.0</v>
      </c>
      <c r="Q805" s="1">
        <v>0.1177</v>
      </c>
      <c r="R805" s="1">
        <v>105456.0</v>
      </c>
    </row>
    <row r="806">
      <c r="A806" s="663" t="s">
        <v>2295</v>
      </c>
      <c r="B806" s="663" t="s">
        <v>180</v>
      </c>
      <c r="C806" s="663" t="s">
        <v>47</v>
      </c>
      <c r="D806" s="663" t="s">
        <v>599</v>
      </c>
      <c r="E806" s="664" t="s">
        <v>42</v>
      </c>
      <c r="F806" s="665">
        <v>27747.0</v>
      </c>
      <c r="G806" s="665">
        <v>796.0</v>
      </c>
      <c r="H806" s="665">
        <v>2.87</v>
      </c>
      <c r="I806" s="665">
        <v>0.69</v>
      </c>
      <c r="J806" s="665">
        <v>0.42</v>
      </c>
      <c r="K806" s="665">
        <v>884.0</v>
      </c>
      <c r="L806" s="665">
        <v>128651.0</v>
      </c>
      <c r="M806" s="665">
        <v>0.03</v>
      </c>
      <c r="N806" s="1">
        <v>1.1106</v>
      </c>
      <c r="O806" s="1">
        <v>884.0</v>
      </c>
      <c r="P806" s="1">
        <v>128651.0</v>
      </c>
      <c r="Q806" s="1">
        <v>0.0319</v>
      </c>
      <c r="R806" s="1">
        <v>105456.0</v>
      </c>
    </row>
    <row r="807">
      <c r="A807" s="663" t="s">
        <v>2295</v>
      </c>
      <c r="B807" s="663" t="s">
        <v>180</v>
      </c>
      <c r="C807" s="663" t="s">
        <v>47</v>
      </c>
      <c r="D807" s="663" t="s">
        <v>599</v>
      </c>
      <c r="E807" s="664" t="s">
        <v>16</v>
      </c>
      <c r="F807" s="665">
        <v>27747.0</v>
      </c>
      <c r="G807" s="665">
        <v>654.0</v>
      </c>
      <c r="H807" s="665">
        <v>2.36</v>
      </c>
      <c r="I807" s="665">
        <v>0.55</v>
      </c>
      <c r="J807" s="665">
        <v>0.42</v>
      </c>
      <c r="K807" s="665">
        <v>713.0</v>
      </c>
      <c r="L807" s="665">
        <v>128651.0</v>
      </c>
      <c r="M807" s="665">
        <v>0.03</v>
      </c>
      <c r="N807" s="1">
        <v>1.0902</v>
      </c>
      <c r="O807" s="1">
        <v>713.0</v>
      </c>
      <c r="P807" s="1">
        <v>128651.0</v>
      </c>
      <c r="Q807" s="1">
        <v>0.0257</v>
      </c>
      <c r="R807" s="1">
        <v>105456.0</v>
      </c>
    </row>
    <row r="808">
      <c r="A808" s="663" t="s">
        <v>2295</v>
      </c>
      <c r="B808" s="663" t="s">
        <v>180</v>
      </c>
      <c r="C808" s="663" t="s">
        <v>47</v>
      </c>
      <c r="D808" s="663" t="s">
        <v>599</v>
      </c>
      <c r="E808" s="664" t="s">
        <v>401</v>
      </c>
      <c r="F808" s="665">
        <v>27747.0</v>
      </c>
      <c r="G808" s="665">
        <v>358.0</v>
      </c>
      <c r="H808" s="665">
        <v>1.29</v>
      </c>
      <c r="I808" s="665">
        <v>0.32</v>
      </c>
      <c r="J808" s="665">
        <v>0.21</v>
      </c>
      <c r="K808" s="665">
        <v>410.0</v>
      </c>
      <c r="L808" s="665">
        <v>128651.0</v>
      </c>
      <c r="M808" s="665">
        <v>0.01</v>
      </c>
      <c r="N808" s="1">
        <v>1.1453</v>
      </c>
      <c r="O808" s="1">
        <v>410.0</v>
      </c>
      <c r="P808" s="1">
        <v>128651.0</v>
      </c>
      <c r="Q808" s="1">
        <v>0.0148</v>
      </c>
      <c r="R808" s="1">
        <v>105456.0</v>
      </c>
    </row>
    <row r="809">
      <c r="A809" s="663" t="s">
        <v>2295</v>
      </c>
      <c r="B809" s="663" t="s">
        <v>180</v>
      </c>
      <c r="C809" s="663" t="s">
        <v>47</v>
      </c>
      <c r="D809" s="663" t="s">
        <v>599</v>
      </c>
      <c r="E809" s="664" t="s">
        <v>7</v>
      </c>
      <c r="F809" s="665">
        <v>27747.0</v>
      </c>
      <c r="G809" s="665">
        <v>254.0</v>
      </c>
      <c r="H809" s="665">
        <v>0.92</v>
      </c>
      <c r="I809" s="665">
        <v>0.21</v>
      </c>
      <c r="J809" s="665">
        <v>0.13</v>
      </c>
      <c r="K809" s="665">
        <v>268.0</v>
      </c>
      <c r="L809" s="665">
        <v>128651.0</v>
      </c>
      <c r="M809" s="665">
        <v>0.01</v>
      </c>
      <c r="N809" s="1">
        <v>1.0551</v>
      </c>
      <c r="O809" s="1">
        <v>268.0</v>
      </c>
      <c r="P809" s="1">
        <v>128651.0</v>
      </c>
      <c r="Q809" s="1">
        <v>0.0097</v>
      </c>
      <c r="R809" s="1">
        <v>105456.0</v>
      </c>
    </row>
    <row r="810">
      <c r="A810" s="663" t="s">
        <v>2295</v>
      </c>
      <c r="B810" s="663" t="s">
        <v>180</v>
      </c>
      <c r="C810" s="663" t="s">
        <v>47</v>
      </c>
      <c r="D810" s="663" t="s">
        <v>599</v>
      </c>
      <c r="E810" s="664" t="s">
        <v>206</v>
      </c>
      <c r="F810" s="665">
        <v>27747.0</v>
      </c>
      <c r="G810" s="665">
        <v>163.0</v>
      </c>
      <c r="H810" s="665">
        <v>0.59</v>
      </c>
      <c r="I810" s="665">
        <v>0.13</v>
      </c>
      <c r="J810" s="665">
        <v>0.07</v>
      </c>
      <c r="K810" s="665">
        <v>169.0</v>
      </c>
      <c r="L810" s="665">
        <v>128651.0</v>
      </c>
      <c r="M810" s="665">
        <v>0.01</v>
      </c>
      <c r="N810" s="1">
        <v>1.0368</v>
      </c>
      <c r="O810" s="1">
        <v>169.0</v>
      </c>
      <c r="P810" s="1">
        <v>128651.0</v>
      </c>
      <c r="Q810" s="1">
        <v>0.0061</v>
      </c>
      <c r="R810" s="1">
        <v>105456.0</v>
      </c>
    </row>
    <row r="811">
      <c r="A811" s="663" t="s">
        <v>2295</v>
      </c>
      <c r="B811" s="663" t="s">
        <v>180</v>
      </c>
      <c r="C811" s="663" t="s">
        <v>47</v>
      </c>
      <c r="D811" s="663" t="s">
        <v>599</v>
      </c>
      <c r="E811" s="664" t="s">
        <v>393</v>
      </c>
      <c r="F811" s="665">
        <v>27747.0</v>
      </c>
      <c r="G811" s="665">
        <v>54.0</v>
      </c>
      <c r="H811" s="665">
        <v>0.19</v>
      </c>
      <c r="I811" s="665">
        <v>0.04</v>
      </c>
      <c r="J811" s="665">
        <v>0.07</v>
      </c>
      <c r="K811" s="665">
        <v>57.0</v>
      </c>
      <c r="L811" s="665">
        <v>128651.0</v>
      </c>
      <c r="M811" s="665">
        <v>0.0</v>
      </c>
      <c r="N811" s="1">
        <v>1.0556</v>
      </c>
      <c r="O811" s="1">
        <v>57.0</v>
      </c>
      <c r="P811" s="1">
        <v>128651.0</v>
      </c>
      <c r="Q811" s="1">
        <v>0.0021</v>
      </c>
      <c r="R811" s="1">
        <v>105456.0</v>
      </c>
    </row>
    <row r="812">
      <c r="A812" s="663" t="s">
        <v>2295</v>
      </c>
      <c r="B812" s="663" t="s">
        <v>180</v>
      </c>
      <c r="C812" s="663" t="s">
        <v>47</v>
      </c>
      <c r="D812" s="663" t="s">
        <v>599</v>
      </c>
      <c r="E812" s="664" t="s">
        <v>73</v>
      </c>
      <c r="F812" s="665">
        <v>27747.0</v>
      </c>
      <c r="G812" s="665">
        <v>53.0</v>
      </c>
      <c r="H812" s="665">
        <v>0.19</v>
      </c>
      <c r="I812" s="665">
        <v>0.04</v>
      </c>
      <c r="J812" s="665">
        <v>0.03</v>
      </c>
      <c r="K812" s="665">
        <v>53.0</v>
      </c>
      <c r="L812" s="665">
        <v>128651.0</v>
      </c>
      <c r="M812" s="665">
        <v>0.0</v>
      </c>
      <c r="N812" s="1">
        <v>1.0</v>
      </c>
      <c r="O812" s="1">
        <v>53.0</v>
      </c>
      <c r="P812" s="1">
        <v>128651.0</v>
      </c>
      <c r="Q812" s="1">
        <v>0.0019</v>
      </c>
      <c r="R812" s="1">
        <v>105456.0</v>
      </c>
    </row>
    <row r="813">
      <c r="A813" s="663" t="s">
        <v>2295</v>
      </c>
      <c r="B813" s="663" t="s">
        <v>180</v>
      </c>
      <c r="C813" s="663" t="s">
        <v>47</v>
      </c>
      <c r="D813" s="663" t="s">
        <v>599</v>
      </c>
      <c r="E813" s="664" t="s">
        <v>329</v>
      </c>
      <c r="F813" s="665">
        <v>27747.0</v>
      </c>
      <c r="G813" s="665">
        <v>2.0</v>
      </c>
      <c r="H813" s="665">
        <v>0.01</v>
      </c>
      <c r="I813" s="665">
        <v>0.0</v>
      </c>
      <c r="J813" s="665">
        <v>0.0</v>
      </c>
      <c r="K813" s="665">
        <v>2.0</v>
      </c>
      <c r="L813" s="665">
        <v>128651.0</v>
      </c>
      <c r="M813" s="665">
        <v>0.0</v>
      </c>
      <c r="N813" s="1">
        <v>1.0</v>
      </c>
      <c r="O813" s="1">
        <v>2.0</v>
      </c>
      <c r="P813" s="1">
        <v>128651.0</v>
      </c>
      <c r="Q813" s="1">
        <v>1.0E-4</v>
      </c>
      <c r="R813" s="1">
        <v>105456.0</v>
      </c>
    </row>
    <row r="814">
      <c r="A814" s="663" t="s">
        <v>2295</v>
      </c>
      <c r="B814" s="663" t="s">
        <v>180</v>
      </c>
      <c r="C814" s="663" t="s">
        <v>47</v>
      </c>
      <c r="D814" s="663" t="s">
        <v>599</v>
      </c>
      <c r="E814" s="664" t="s">
        <v>151</v>
      </c>
      <c r="F814" s="665">
        <v>27747.0</v>
      </c>
      <c r="G814" s="665">
        <v>5.0</v>
      </c>
      <c r="H814" s="665">
        <v>0.02</v>
      </c>
      <c r="I814" s="665">
        <v>0.0</v>
      </c>
      <c r="J814" s="665">
        <v>0.01</v>
      </c>
      <c r="K814" s="665">
        <v>5.0</v>
      </c>
      <c r="L814" s="665">
        <v>128651.0</v>
      </c>
      <c r="M814" s="665">
        <v>0.0</v>
      </c>
      <c r="N814" s="1">
        <v>1.0</v>
      </c>
      <c r="O814" s="1">
        <v>5.0</v>
      </c>
      <c r="P814" s="1">
        <v>128651.0</v>
      </c>
      <c r="Q814" s="1">
        <v>2.0E-4</v>
      </c>
      <c r="R814" s="1">
        <v>105456.0</v>
      </c>
    </row>
    <row r="815">
      <c r="A815" s="663" t="s">
        <v>2295</v>
      </c>
      <c r="B815" s="663" t="s">
        <v>180</v>
      </c>
      <c r="C815" s="663" t="s">
        <v>46</v>
      </c>
      <c r="D815" s="663" t="s">
        <v>599</v>
      </c>
      <c r="E815" s="664" t="s">
        <v>396</v>
      </c>
      <c r="F815" s="665">
        <v>27303.0</v>
      </c>
      <c r="G815" s="665">
        <v>26807.0</v>
      </c>
      <c r="H815" s="665">
        <v>98.18</v>
      </c>
      <c r="I815" s="665">
        <v>77.81</v>
      </c>
      <c r="J815" s="665">
        <v>79.66</v>
      </c>
      <c r="K815" s="665">
        <v>1.0238121E7</v>
      </c>
      <c r="L815" s="665">
        <v>1.31577522E7</v>
      </c>
      <c r="M815" s="665">
        <v>374.98</v>
      </c>
      <c r="N815" s="1">
        <v>381.9197</v>
      </c>
      <c r="O815" s="1">
        <v>1.0238121E7</v>
      </c>
      <c r="P815" s="1">
        <v>1.3369419E7</v>
      </c>
      <c r="Q815" s="1">
        <v>374.9815</v>
      </c>
      <c r="R815" s="1">
        <v>105456.0</v>
      </c>
    </row>
    <row r="816">
      <c r="A816" s="663" t="s">
        <v>2295</v>
      </c>
      <c r="B816" s="663" t="s">
        <v>180</v>
      </c>
      <c r="C816" s="663" t="s">
        <v>46</v>
      </c>
      <c r="D816" s="663" t="s">
        <v>599</v>
      </c>
      <c r="E816" s="664" t="s">
        <v>14</v>
      </c>
      <c r="F816" s="665">
        <v>27303.0</v>
      </c>
      <c r="G816" s="665">
        <v>13530.0</v>
      </c>
      <c r="H816" s="665">
        <v>49.55</v>
      </c>
      <c r="I816" s="665">
        <v>12.29</v>
      </c>
      <c r="J816" s="665">
        <v>9.21</v>
      </c>
      <c r="K816" s="665">
        <v>1616978.2</v>
      </c>
      <c r="L816" s="665">
        <v>1.31577522E7</v>
      </c>
      <c r="M816" s="665">
        <v>59.22</v>
      </c>
      <c r="N816" s="1">
        <v>119.5106</v>
      </c>
      <c r="O816" s="1">
        <v>1828645.0</v>
      </c>
      <c r="P816" s="1">
        <v>1.3369419E7</v>
      </c>
      <c r="Q816" s="1">
        <v>66.976</v>
      </c>
      <c r="R816" s="1">
        <v>105456.0</v>
      </c>
    </row>
    <row r="817">
      <c r="A817" s="663" t="s">
        <v>2295</v>
      </c>
      <c r="B817" s="663" t="s">
        <v>180</v>
      </c>
      <c r="C817" s="663" t="s">
        <v>46</v>
      </c>
      <c r="D817" s="663" t="s">
        <v>599</v>
      </c>
      <c r="E817" s="664" t="s">
        <v>42</v>
      </c>
      <c r="F817" s="665">
        <v>27303.0</v>
      </c>
      <c r="G817" s="665">
        <v>6911.0</v>
      </c>
      <c r="H817" s="665">
        <v>25.31</v>
      </c>
      <c r="I817" s="665">
        <v>4.21</v>
      </c>
      <c r="J817" s="665">
        <v>3.23</v>
      </c>
      <c r="K817" s="665">
        <v>554385.0</v>
      </c>
      <c r="L817" s="665">
        <v>1.31577522E7</v>
      </c>
      <c r="M817" s="665">
        <v>20.3</v>
      </c>
      <c r="N817" s="1">
        <v>80.2178</v>
      </c>
      <c r="O817" s="1">
        <v>554385.0</v>
      </c>
      <c r="P817" s="1">
        <v>1.3369419E7</v>
      </c>
      <c r="Q817" s="1">
        <v>20.3049</v>
      </c>
      <c r="R817" s="1">
        <v>105456.0</v>
      </c>
    </row>
    <row r="818">
      <c r="A818" s="663" t="s">
        <v>2295</v>
      </c>
      <c r="B818" s="663" t="s">
        <v>180</v>
      </c>
      <c r="C818" s="663" t="s">
        <v>46</v>
      </c>
      <c r="D818" s="663" t="s">
        <v>599</v>
      </c>
      <c r="E818" s="664" t="s">
        <v>411</v>
      </c>
      <c r="F818" s="665">
        <v>27303.0</v>
      </c>
      <c r="G818" s="665">
        <v>10764.0</v>
      </c>
      <c r="H818" s="665">
        <v>39.42</v>
      </c>
      <c r="I818" s="665">
        <v>4.15</v>
      </c>
      <c r="J818" s="665">
        <v>6.41</v>
      </c>
      <c r="K818" s="665">
        <v>546230.0</v>
      </c>
      <c r="L818" s="665">
        <v>1.31577522E7</v>
      </c>
      <c r="M818" s="665">
        <v>20.01</v>
      </c>
      <c r="N818" s="1">
        <v>50.746</v>
      </c>
      <c r="O818" s="1">
        <v>546230.0</v>
      </c>
      <c r="P818" s="1">
        <v>1.3369419E7</v>
      </c>
      <c r="Q818" s="1">
        <v>20.0062</v>
      </c>
      <c r="R818" s="1">
        <v>105456.0</v>
      </c>
    </row>
    <row r="819">
      <c r="A819" s="663" t="s">
        <v>2295</v>
      </c>
      <c r="B819" s="663" t="s">
        <v>180</v>
      </c>
      <c r="C819" s="663" t="s">
        <v>46</v>
      </c>
      <c r="D819" s="663" t="s">
        <v>599</v>
      </c>
      <c r="E819" s="664" t="s">
        <v>7</v>
      </c>
      <c r="F819" s="665">
        <v>27303.0</v>
      </c>
      <c r="G819" s="665">
        <v>1650.0</v>
      </c>
      <c r="H819" s="665">
        <v>6.04</v>
      </c>
      <c r="I819" s="665">
        <v>0.97</v>
      </c>
      <c r="J819" s="665">
        <v>0.76</v>
      </c>
      <c r="K819" s="665">
        <v>128030.0</v>
      </c>
      <c r="L819" s="665">
        <v>1.31577522E7</v>
      </c>
      <c r="M819" s="665">
        <v>4.69</v>
      </c>
      <c r="N819" s="1">
        <v>77.5939</v>
      </c>
      <c r="O819" s="1">
        <v>128030.0</v>
      </c>
      <c r="P819" s="1">
        <v>1.3369419E7</v>
      </c>
      <c r="Q819" s="1">
        <v>4.6892</v>
      </c>
      <c r="R819" s="1">
        <v>105456.0</v>
      </c>
    </row>
    <row r="820">
      <c r="A820" s="663" t="s">
        <v>2295</v>
      </c>
      <c r="B820" s="663" t="s">
        <v>180</v>
      </c>
      <c r="C820" s="663" t="s">
        <v>46</v>
      </c>
      <c r="D820" s="663" t="s">
        <v>599</v>
      </c>
      <c r="E820" s="664" t="s">
        <v>51</v>
      </c>
      <c r="F820" s="665">
        <v>27303.0</v>
      </c>
      <c r="G820" s="665">
        <v>2104.0</v>
      </c>
      <c r="H820" s="665">
        <v>7.71</v>
      </c>
      <c r="I820" s="665">
        <v>0.43</v>
      </c>
      <c r="J820" s="665">
        <v>0.36</v>
      </c>
      <c r="K820" s="665">
        <v>56580.0</v>
      </c>
      <c r="L820" s="665">
        <v>1.31577522E7</v>
      </c>
      <c r="M820" s="665">
        <v>2.07</v>
      </c>
      <c r="N820" s="1">
        <v>26.8916</v>
      </c>
      <c r="O820" s="1">
        <v>56580.0</v>
      </c>
      <c r="P820" s="1">
        <v>1.3369419E7</v>
      </c>
      <c r="Q820" s="1">
        <v>2.0723</v>
      </c>
      <c r="R820" s="1">
        <v>105456.0</v>
      </c>
    </row>
    <row r="821">
      <c r="A821" s="663" t="s">
        <v>2295</v>
      </c>
      <c r="B821" s="663" t="s">
        <v>180</v>
      </c>
      <c r="C821" s="663" t="s">
        <v>46</v>
      </c>
      <c r="D821" s="663" t="s">
        <v>599</v>
      </c>
      <c r="E821" s="664" t="s">
        <v>413</v>
      </c>
      <c r="F821" s="665">
        <v>27303.0</v>
      </c>
      <c r="G821" s="665">
        <v>339.0</v>
      </c>
      <c r="H821" s="665">
        <v>1.24</v>
      </c>
      <c r="I821" s="665">
        <v>0.13</v>
      </c>
      <c r="J821" s="665">
        <v>0.37</v>
      </c>
      <c r="K821" s="665">
        <v>17273.0</v>
      </c>
      <c r="L821" s="665">
        <v>1.31577522E7</v>
      </c>
      <c r="M821" s="665">
        <v>0.63</v>
      </c>
      <c r="N821" s="1">
        <v>50.9528</v>
      </c>
      <c r="O821" s="1">
        <v>17273.0</v>
      </c>
      <c r="P821" s="1">
        <v>1.3369419E7</v>
      </c>
      <c r="Q821" s="1">
        <v>0.6326</v>
      </c>
      <c r="R821" s="1">
        <v>105456.0</v>
      </c>
    </row>
    <row r="822">
      <c r="A822" s="663" t="s">
        <v>2295</v>
      </c>
      <c r="B822" s="663" t="s">
        <v>180</v>
      </c>
      <c r="C822" s="663" t="s">
        <v>46</v>
      </c>
      <c r="D822" s="663" t="s">
        <v>599</v>
      </c>
      <c r="E822" s="664" t="s">
        <v>15</v>
      </c>
      <c r="F822" s="665">
        <v>27303.0</v>
      </c>
      <c r="G822" s="665">
        <v>1.0</v>
      </c>
      <c r="H822" s="665">
        <v>0.0</v>
      </c>
      <c r="I822" s="665">
        <v>0.0</v>
      </c>
      <c r="J822" s="665">
        <v>0.0</v>
      </c>
      <c r="K822" s="665">
        <v>65.0</v>
      </c>
      <c r="L822" s="665">
        <v>1.31577522E7</v>
      </c>
      <c r="M822" s="665">
        <v>0.0</v>
      </c>
      <c r="N822" s="1">
        <v>65.0</v>
      </c>
      <c r="O822" s="1">
        <v>65.0</v>
      </c>
      <c r="P822" s="1">
        <v>1.3369419E7</v>
      </c>
      <c r="Q822" s="1">
        <v>0.0024</v>
      </c>
      <c r="R822" s="1">
        <v>105456.0</v>
      </c>
    </row>
    <row r="823">
      <c r="A823" s="663" t="s">
        <v>2295</v>
      </c>
      <c r="B823" s="663" t="s">
        <v>180</v>
      </c>
      <c r="C823" s="663" t="s">
        <v>46</v>
      </c>
      <c r="D823" s="663" t="s">
        <v>599</v>
      </c>
      <c r="E823" s="664" t="s">
        <v>63</v>
      </c>
      <c r="F823" s="665">
        <v>27303.0</v>
      </c>
      <c r="G823" s="665">
        <v>3.0</v>
      </c>
      <c r="H823" s="665">
        <v>0.01</v>
      </c>
      <c r="I823" s="665">
        <v>0.0</v>
      </c>
      <c r="J823" s="665">
        <v>0.0</v>
      </c>
      <c r="K823" s="665">
        <v>30.0</v>
      </c>
      <c r="L823" s="665">
        <v>1.31577522E7</v>
      </c>
      <c r="M823" s="665">
        <v>0.0</v>
      </c>
      <c r="N823" s="1">
        <v>10.0</v>
      </c>
      <c r="O823" s="1">
        <v>30.0</v>
      </c>
      <c r="P823" s="1">
        <v>1.3369419E7</v>
      </c>
      <c r="Q823" s="1">
        <v>0.0011</v>
      </c>
      <c r="R823" s="1">
        <v>105456.0</v>
      </c>
    </row>
    <row r="824">
      <c r="A824" s="663" t="s">
        <v>2295</v>
      </c>
      <c r="B824" s="663" t="s">
        <v>180</v>
      </c>
      <c r="C824" s="663" t="s">
        <v>46</v>
      </c>
      <c r="D824" s="663" t="s">
        <v>599</v>
      </c>
      <c r="E824" s="664" t="s">
        <v>151</v>
      </c>
      <c r="F824" s="665">
        <v>27303.0</v>
      </c>
      <c r="G824" s="665">
        <v>2.0</v>
      </c>
      <c r="H824" s="665">
        <v>0.01</v>
      </c>
      <c r="I824" s="665">
        <v>0.0</v>
      </c>
      <c r="J824" s="665">
        <v>0.0</v>
      </c>
      <c r="K824" s="665">
        <v>60.0</v>
      </c>
      <c r="L824" s="665">
        <v>1.31577522E7</v>
      </c>
      <c r="M824" s="665">
        <v>0.0</v>
      </c>
      <c r="N824" s="1">
        <v>30.0</v>
      </c>
      <c r="O824" s="1">
        <v>60.0</v>
      </c>
      <c r="P824" s="1">
        <v>1.3369419E7</v>
      </c>
      <c r="Q824" s="1">
        <v>0.0022</v>
      </c>
      <c r="R824" s="1">
        <v>105456.0</v>
      </c>
    </row>
    <row r="825">
      <c r="A825" s="663" t="s">
        <v>2295</v>
      </c>
      <c r="B825" s="663" t="s">
        <v>180</v>
      </c>
      <c r="C825" s="663" t="s">
        <v>1213</v>
      </c>
      <c r="D825" s="663" t="s">
        <v>2234</v>
      </c>
      <c r="E825" s="664" t="s">
        <v>14</v>
      </c>
      <c r="F825" s="665">
        <v>8688.0</v>
      </c>
      <c r="G825" s="665">
        <v>8678.0</v>
      </c>
      <c r="H825" s="665">
        <v>99.88</v>
      </c>
      <c r="I825" s="665">
        <v>99.78</v>
      </c>
      <c r="J825" s="665">
        <v>99.85</v>
      </c>
      <c r="K825" s="665">
        <v>111570.0</v>
      </c>
      <c r="L825" s="665">
        <v>111820.0</v>
      </c>
      <c r="M825" s="665">
        <v>12.84</v>
      </c>
      <c r="N825" s="1">
        <v>12.8566</v>
      </c>
      <c r="O825" s="1">
        <v>111570.0</v>
      </c>
      <c r="P825" s="1">
        <v>111820.0</v>
      </c>
      <c r="Q825" s="1">
        <v>12.8419</v>
      </c>
      <c r="R825" s="1">
        <v>105456.0</v>
      </c>
    </row>
    <row r="826">
      <c r="A826" s="663" t="s">
        <v>2295</v>
      </c>
      <c r="B826" s="663" t="s">
        <v>180</v>
      </c>
      <c r="C826" s="663" t="s">
        <v>1213</v>
      </c>
      <c r="D826" s="663" t="s">
        <v>2234</v>
      </c>
      <c r="E826" s="664" t="s">
        <v>397</v>
      </c>
      <c r="F826" s="665">
        <v>8688.0</v>
      </c>
      <c r="G826" s="665">
        <v>14.0</v>
      </c>
      <c r="H826" s="665">
        <v>0.16</v>
      </c>
      <c r="I826" s="665">
        <v>0.21</v>
      </c>
      <c r="J826" s="665">
        <v>0.14</v>
      </c>
      <c r="K826" s="665">
        <v>240.0</v>
      </c>
      <c r="L826" s="665">
        <v>111820.0</v>
      </c>
      <c r="M826" s="665">
        <v>0.03</v>
      </c>
      <c r="N826" s="1">
        <v>17.1429</v>
      </c>
      <c r="O826" s="1">
        <v>240.0</v>
      </c>
      <c r="P826" s="1">
        <v>111820.0</v>
      </c>
      <c r="Q826" s="1">
        <v>0.0276</v>
      </c>
      <c r="R826" s="1">
        <v>105456.0</v>
      </c>
    </row>
    <row r="827">
      <c r="A827" s="663" t="s">
        <v>2295</v>
      </c>
      <c r="B827" s="663" t="s">
        <v>180</v>
      </c>
      <c r="C827" s="663" t="s">
        <v>1213</v>
      </c>
      <c r="D827" s="663" t="s">
        <v>2234</v>
      </c>
      <c r="E827" s="664" t="s">
        <v>151</v>
      </c>
      <c r="F827" s="665">
        <v>8688.0</v>
      </c>
      <c r="G827" s="665">
        <v>1.0</v>
      </c>
      <c r="H827" s="665">
        <v>0.01</v>
      </c>
      <c r="I827" s="665">
        <v>0.01</v>
      </c>
      <c r="J827" s="665">
        <v>0.01</v>
      </c>
      <c r="K827" s="665">
        <v>10.0</v>
      </c>
      <c r="L827" s="665">
        <v>111820.0</v>
      </c>
      <c r="M827" s="665">
        <v>0.0</v>
      </c>
      <c r="N827" s="1">
        <v>10.0</v>
      </c>
      <c r="O827" s="1">
        <v>10.0</v>
      </c>
      <c r="P827" s="1">
        <v>111820.0</v>
      </c>
      <c r="Q827" s="1">
        <v>0.0012</v>
      </c>
      <c r="R827" s="1">
        <v>105456.0</v>
      </c>
    </row>
    <row r="828">
      <c r="A828" s="663" t="s">
        <v>2295</v>
      </c>
      <c r="B828" s="663" t="s">
        <v>180</v>
      </c>
      <c r="C828" s="663" t="s">
        <v>53</v>
      </c>
      <c r="D828" s="663" t="s">
        <v>599</v>
      </c>
      <c r="E828" s="664" t="s">
        <v>396</v>
      </c>
      <c r="F828" s="665">
        <v>19432.0</v>
      </c>
      <c r="G828" s="665">
        <v>10933.0</v>
      </c>
      <c r="H828" s="665">
        <v>56.26</v>
      </c>
      <c r="I828" s="665">
        <v>18.07</v>
      </c>
      <c r="J828" s="665">
        <v>28.13</v>
      </c>
      <c r="K828" s="665">
        <v>13896.0</v>
      </c>
      <c r="L828" s="665">
        <v>76880.0</v>
      </c>
      <c r="M828" s="665">
        <v>0.72</v>
      </c>
      <c r="N828" s="1">
        <v>1.271</v>
      </c>
      <c r="O828" s="1">
        <v>13896.0</v>
      </c>
      <c r="P828" s="1">
        <v>76880.0</v>
      </c>
      <c r="Q828" s="1">
        <v>0.7151</v>
      </c>
      <c r="R828" s="1">
        <v>105456.0</v>
      </c>
    </row>
    <row r="829">
      <c r="A829" s="663" t="s">
        <v>2295</v>
      </c>
      <c r="B829" s="663" t="s">
        <v>180</v>
      </c>
      <c r="C829" s="663" t="s">
        <v>53</v>
      </c>
      <c r="D829" s="663" t="s">
        <v>599</v>
      </c>
      <c r="E829" s="664" t="s">
        <v>418</v>
      </c>
      <c r="F829" s="665">
        <v>19432.0</v>
      </c>
      <c r="G829" s="665">
        <v>9241.0</v>
      </c>
      <c r="H829" s="665">
        <v>47.56</v>
      </c>
      <c r="I829" s="665">
        <v>15.01</v>
      </c>
      <c r="J829" s="665">
        <v>15.93</v>
      </c>
      <c r="K829" s="665">
        <v>11538.0</v>
      </c>
      <c r="L829" s="665">
        <v>76880.0</v>
      </c>
      <c r="M829" s="665">
        <v>0.59</v>
      </c>
      <c r="N829" s="1">
        <v>1.2486</v>
      </c>
      <c r="O829" s="1">
        <v>11538.0</v>
      </c>
      <c r="P829" s="1">
        <v>76880.0</v>
      </c>
      <c r="Q829" s="1">
        <v>0.5938</v>
      </c>
      <c r="R829" s="1">
        <v>105456.0</v>
      </c>
    </row>
    <row r="830">
      <c r="A830" s="663" t="s">
        <v>2295</v>
      </c>
      <c r="B830" s="663" t="s">
        <v>180</v>
      </c>
      <c r="C830" s="663" t="s">
        <v>53</v>
      </c>
      <c r="D830" s="663" t="s">
        <v>599</v>
      </c>
      <c r="E830" s="664" t="s">
        <v>14</v>
      </c>
      <c r="F830" s="665">
        <v>19432.0</v>
      </c>
      <c r="G830" s="665">
        <v>7174.0</v>
      </c>
      <c r="H830" s="665">
        <v>36.92</v>
      </c>
      <c r="I830" s="665">
        <v>14.52</v>
      </c>
      <c r="J830" s="665">
        <v>11.1</v>
      </c>
      <c r="K830" s="665">
        <v>11160.0</v>
      </c>
      <c r="L830" s="665">
        <v>76880.0</v>
      </c>
      <c r="M830" s="665">
        <v>0.57</v>
      </c>
      <c r="N830" s="1">
        <v>1.5556</v>
      </c>
      <c r="O830" s="1">
        <v>11160.0</v>
      </c>
      <c r="P830" s="1">
        <v>76880.0</v>
      </c>
      <c r="Q830" s="1">
        <v>0.5743</v>
      </c>
      <c r="R830" s="1">
        <v>105456.0</v>
      </c>
    </row>
    <row r="831">
      <c r="A831" s="663" t="s">
        <v>2295</v>
      </c>
      <c r="B831" s="663" t="s">
        <v>180</v>
      </c>
      <c r="C831" s="663" t="s">
        <v>53</v>
      </c>
      <c r="D831" s="663" t="s">
        <v>599</v>
      </c>
      <c r="E831" s="664" t="s">
        <v>397</v>
      </c>
      <c r="F831" s="665">
        <v>19432.0</v>
      </c>
      <c r="G831" s="665">
        <v>6441.0</v>
      </c>
      <c r="H831" s="665">
        <v>33.15</v>
      </c>
      <c r="I831" s="665">
        <v>11.42</v>
      </c>
      <c r="J831" s="665">
        <v>9.51</v>
      </c>
      <c r="K831" s="665">
        <v>8777.0</v>
      </c>
      <c r="L831" s="665">
        <v>76880.0</v>
      </c>
      <c r="M831" s="665">
        <v>0.45</v>
      </c>
      <c r="N831" s="1">
        <v>1.3627</v>
      </c>
      <c r="O831" s="1">
        <v>8777.0</v>
      </c>
      <c r="P831" s="1">
        <v>76880.0</v>
      </c>
      <c r="Q831" s="1">
        <v>0.4517</v>
      </c>
      <c r="R831" s="1">
        <v>105456.0</v>
      </c>
    </row>
    <row r="832">
      <c r="A832" s="663" t="s">
        <v>2295</v>
      </c>
      <c r="B832" s="663" t="s">
        <v>180</v>
      </c>
      <c r="C832" s="663" t="s">
        <v>53</v>
      </c>
      <c r="D832" s="663" t="s">
        <v>599</v>
      </c>
      <c r="E832" s="664" t="s">
        <v>16</v>
      </c>
      <c r="F832" s="665">
        <v>19432.0</v>
      </c>
      <c r="G832" s="665">
        <v>4237.0</v>
      </c>
      <c r="H832" s="665">
        <v>21.8</v>
      </c>
      <c r="I832" s="665">
        <v>7.5</v>
      </c>
      <c r="J832" s="665">
        <v>7.98</v>
      </c>
      <c r="K832" s="665">
        <v>5769.0</v>
      </c>
      <c r="L832" s="665">
        <v>76880.0</v>
      </c>
      <c r="M832" s="665">
        <v>0.3</v>
      </c>
      <c r="N832" s="1">
        <v>1.3616</v>
      </c>
      <c r="O832" s="1">
        <v>5769.0</v>
      </c>
      <c r="P832" s="1">
        <v>76880.0</v>
      </c>
      <c r="Q832" s="1">
        <v>0.2969</v>
      </c>
      <c r="R832" s="1">
        <v>105456.0</v>
      </c>
    </row>
    <row r="833">
      <c r="A833" s="663" t="s">
        <v>2295</v>
      </c>
      <c r="B833" s="663" t="s">
        <v>180</v>
      </c>
      <c r="C833" s="663" t="s">
        <v>53</v>
      </c>
      <c r="D833" s="663" t="s">
        <v>599</v>
      </c>
      <c r="E833" s="664" t="s">
        <v>393</v>
      </c>
      <c r="F833" s="665">
        <v>19432.0</v>
      </c>
      <c r="G833" s="665">
        <v>2285.0</v>
      </c>
      <c r="H833" s="665">
        <v>11.76</v>
      </c>
      <c r="I833" s="665">
        <v>6.58</v>
      </c>
      <c r="J833" s="665">
        <v>3.72</v>
      </c>
      <c r="K833" s="665">
        <v>5059.0</v>
      </c>
      <c r="L833" s="665">
        <v>76880.0</v>
      </c>
      <c r="M833" s="665">
        <v>0.26</v>
      </c>
      <c r="N833" s="1">
        <v>2.214</v>
      </c>
      <c r="O833" s="1">
        <v>5059.0</v>
      </c>
      <c r="P833" s="1">
        <v>76880.0</v>
      </c>
      <c r="Q833" s="1">
        <v>0.2603</v>
      </c>
      <c r="R833" s="1">
        <v>105456.0</v>
      </c>
    </row>
    <row r="834">
      <c r="A834" s="663" t="s">
        <v>2295</v>
      </c>
      <c r="B834" s="663" t="s">
        <v>180</v>
      </c>
      <c r="C834" s="663" t="s">
        <v>53</v>
      </c>
      <c r="D834" s="663" t="s">
        <v>599</v>
      </c>
      <c r="E834" s="664" t="s">
        <v>413</v>
      </c>
      <c r="F834" s="665">
        <v>19432.0</v>
      </c>
      <c r="G834" s="665">
        <v>4165.0</v>
      </c>
      <c r="H834" s="665">
        <v>21.43</v>
      </c>
      <c r="I834" s="665">
        <v>6.38</v>
      </c>
      <c r="J834" s="665">
        <v>5.53</v>
      </c>
      <c r="K834" s="665">
        <v>4907.0</v>
      </c>
      <c r="L834" s="665">
        <v>76880.0</v>
      </c>
      <c r="M834" s="665">
        <v>0.25</v>
      </c>
      <c r="N834" s="1">
        <v>1.1782</v>
      </c>
      <c r="O834" s="1">
        <v>4907.0</v>
      </c>
      <c r="P834" s="1">
        <v>76880.0</v>
      </c>
      <c r="Q834" s="1">
        <v>0.2525</v>
      </c>
      <c r="R834" s="1">
        <v>105456.0</v>
      </c>
    </row>
    <row r="835">
      <c r="A835" s="663" t="s">
        <v>2295</v>
      </c>
      <c r="B835" s="663" t="s">
        <v>180</v>
      </c>
      <c r="C835" s="663" t="s">
        <v>53</v>
      </c>
      <c r="D835" s="663" t="s">
        <v>599</v>
      </c>
      <c r="E835" s="664" t="s">
        <v>15</v>
      </c>
      <c r="F835" s="665">
        <v>19432.0</v>
      </c>
      <c r="G835" s="665">
        <v>1258.0</v>
      </c>
      <c r="H835" s="665">
        <v>6.47</v>
      </c>
      <c r="I835" s="665">
        <v>4.49</v>
      </c>
      <c r="J835" s="665">
        <v>3.03</v>
      </c>
      <c r="K835" s="665">
        <v>3450.0</v>
      </c>
      <c r="L835" s="665">
        <v>76880.0</v>
      </c>
      <c r="M835" s="665">
        <v>0.18</v>
      </c>
      <c r="N835" s="1">
        <v>2.7424</v>
      </c>
      <c r="O835" s="1">
        <v>3450.0</v>
      </c>
      <c r="P835" s="1">
        <v>76880.0</v>
      </c>
      <c r="Q835" s="1">
        <v>0.1775</v>
      </c>
      <c r="R835" s="1">
        <v>105456.0</v>
      </c>
    </row>
    <row r="836">
      <c r="A836" s="663" t="s">
        <v>2295</v>
      </c>
      <c r="B836" s="663" t="s">
        <v>180</v>
      </c>
      <c r="C836" s="663" t="s">
        <v>53</v>
      </c>
      <c r="D836" s="663" t="s">
        <v>599</v>
      </c>
      <c r="E836" s="664" t="s">
        <v>42</v>
      </c>
      <c r="F836" s="665">
        <v>19432.0</v>
      </c>
      <c r="G836" s="665">
        <v>2213.0</v>
      </c>
      <c r="H836" s="665">
        <v>11.39</v>
      </c>
      <c r="I836" s="665">
        <v>3.39</v>
      </c>
      <c r="J836" s="665">
        <v>3.31</v>
      </c>
      <c r="K836" s="665">
        <v>2603.0</v>
      </c>
      <c r="L836" s="665">
        <v>76880.0</v>
      </c>
      <c r="M836" s="665">
        <v>0.13</v>
      </c>
      <c r="N836" s="1">
        <v>1.1762</v>
      </c>
      <c r="O836" s="1">
        <v>2603.0</v>
      </c>
      <c r="P836" s="1">
        <v>76880.0</v>
      </c>
      <c r="Q836" s="1">
        <v>0.134</v>
      </c>
      <c r="R836" s="1">
        <v>105456.0</v>
      </c>
    </row>
    <row r="837">
      <c r="A837" s="663" t="s">
        <v>2295</v>
      </c>
      <c r="B837" s="663" t="s">
        <v>180</v>
      </c>
      <c r="C837" s="663" t="s">
        <v>53</v>
      </c>
      <c r="D837" s="663" t="s">
        <v>599</v>
      </c>
      <c r="E837" s="664" t="s">
        <v>9</v>
      </c>
      <c r="F837" s="665">
        <v>19432.0</v>
      </c>
      <c r="G837" s="665">
        <v>1857.0</v>
      </c>
      <c r="H837" s="665">
        <v>9.56</v>
      </c>
      <c r="I837" s="665">
        <v>2.86</v>
      </c>
      <c r="J837" s="665">
        <v>1.97</v>
      </c>
      <c r="K837" s="665">
        <v>2195.0</v>
      </c>
      <c r="L837" s="665">
        <v>76880.0</v>
      </c>
      <c r="M837" s="665">
        <v>0.11</v>
      </c>
      <c r="N837" s="1">
        <v>1.182</v>
      </c>
      <c r="O837" s="1">
        <v>2195.0</v>
      </c>
      <c r="P837" s="1">
        <v>76880.0</v>
      </c>
      <c r="Q837" s="1">
        <v>0.113</v>
      </c>
      <c r="R837" s="1">
        <v>105456.0</v>
      </c>
    </row>
    <row r="838">
      <c r="A838" s="663" t="s">
        <v>2295</v>
      </c>
      <c r="B838" s="663" t="s">
        <v>180</v>
      </c>
      <c r="C838" s="663" t="s">
        <v>53</v>
      </c>
      <c r="D838" s="663" t="s">
        <v>599</v>
      </c>
      <c r="E838" s="664" t="s">
        <v>411</v>
      </c>
      <c r="F838" s="665">
        <v>19432.0</v>
      </c>
      <c r="G838" s="665">
        <v>1664.0</v>
      </c>
      <c r="H838" s="665">
        <v>8.56</v>
      </c>
      <c r="I838" s="665">
        <v>2.85</v>
      </c>
      <c r="J838" s="665">
        <v>2.61</v>
      </c>
      <c r="K838" s="665">
        <v>2193.0</v>
      </c>
      <c r="L838" s="665">
        <v>76880.0</v>
      </c>
      <c r="M838" s="665">
        <v>0.11</v>
      </c>
      <c r="N838" s="1">
        <v>1.3179</v>
      </c>
      <c r="O838" s="1">
        <v>2193.0</v>
      </c>
      <c r="P838" s="1">
        <v>76880.0</v>
      </c>
      <c r="Q838" s="1">
        <v>0.1129</v>
      </c>
      <c r="R838" s="1">
        <v>105456.0</v>
      </c>
    </row>
    <row r="839">
      <c r="A839" s="663" t="s">
        <v>2295</v>
      </c>
      <c r="B839" s="663" t="s">
        <v>180</v>
      </c>
      <c r="C839" s="663" t="s">
        <v>53</v>
      </c>
      <c r="D839" s="663" t="s">
        <v>599</v>
      </c>
      <c r="E839" s="664" t="s">
        <v>338</v>
      </c>
      <c r="F839" s="665">
        <v>19432.0</v>
      </c>
      <c r="G839" s="665">
        <v>1433.0</v>
      </c>
      <c r="H839" s="665">
        <v>7.37</v>
      </c>
      <c r="I839" s="665">
        <v>2.03</v>
      </c>
      <c r="J839" s="665">
        <v>1.98</v>
      </c>
      <c r="K839" s="665">
        <v>1562.0</v>
      </c>
      <c r="L839" s="665">
        <v>76880.0</v>
      </c>
      <c r="M839" s="665">
        <v>0.08</v>
      </c>
      <c r="N839" s="1">
        <v>1.09</v>
      </c>
      <c r="O839" s="1">
        <v>1562.0</v>
      </c>
      <c r="P839" s="1">
        <v>76880.0</v>
      </c>
      <c r="Q839" s="1">
        <v>0.0804</v>
      </c>
      <c r="R839" s="1">
        <v>105456.0</v>
      </c>
    </row>
    <row r="840">
      <c r="A840" s="663" t="s">
        <v>2295</v>
      </c>
      <c r="B840" s="663" t="s">
        <v>180</v>
      </c>
      <c r="C840" s="663" t="s">
        <v>53</v>
      </c>
      <c r="D840" s="663" t="s">
        <v>599</v>
      </c>
      <c r="E840" s="664" t="s">
        <v>329</v>
      </c>
      <c r="F840" s="665">
        <v>19432.0</v>
      </c>
      <c r="G840" s="665">
        <v>1359.0</v>
      </c>
      <c r="H840" s="665">
        <v>6.99</v>
      </c>
      <c r="I840" s="665">
        <v>1.95</v>
      </c>
      <c r="J840" s="665">
        <v>2.03</v>
      </c>
      <c r="K840" s="665">
        <v>1502.0</v>
      </c>
      <c r="L840" s="665">
        <v>76880.0</v>
      </c>
      <c r="M840" s="665">
        <v>0.08</v>
      </c>
      <c r="N840" s="1">
        <v>1.1052</v>
      </c>
      <c r="O840" s="1">
        <v>1502.0</v>
      </c>
      <c r="P840" s="1">
        <v>76880.0</v>
      </c>
      <c r="Q840" s="1">
        <v>0.0773</v>
      </c>
      <c r="R840" s="1">
        <v>105456.0</v>
      </c>
    </row>
    <row r="841">
      <c r="A841" s="663" t="s">
        <v>2295</v>
      </c>
      <c r="B841" s="663" t="s">
        <v>180</v>
      </c>
      <c r="C841" s="663" t="s">
        <v>53</v>
      </c>
      <c r="D841" s="663" t="s">
        <v>599</v>
      </c>
      <c r="E841" s="664" t="s">
        <v>341</v>
      </c>
      <c r="F841" s="665">
        <v>19432.0</v>
      </c>
      <c r="G841" s="665">
        <v>1317.0</v>
      </c>
      <c r="H841" s="665">
        <v>6.78</v>
      </c>
      <c r="I841" s="665">
        <v>1.92</v>
      </c>
      <c r="J841" s="665">
        <v>1.99</v>
      </c>
      <c r="K841" s="665">
        <v>1473.0</v>
      </c>
      <c r="L841" s="665">
        <v>76880.0</v>
      </c>
      <c r="M841" s="665">
        <v>0.08</v>
      </c>
      <c r="N841" s="1">
        <v>1.1185</v>
      </c>
      <c r="O841" s="1">
        <v>1473.0</v>
      </c>
      <c r="P841" s="1">
        <v>76880.0</v>
      </c>
      <c r="Q841" s="1">
        <v>0.0758</v>
      </c>
      <c r="R841" s="1">
        <v>105456.0</v>
      </c>
    </row>
    <row r="842">
      <c r="A842" s="663" t="s">
        <v>2295</v>
      </c>
      <c r="B842" s="663" t="s">
        <v>180</v>
      </c>
      <c r="C842" s="663" t="s">
        <v>53</v>
      </c>
      <c r="D842" s="663" t="s">
        <v>599</v>
      </c>
      <c r="E842" s="664" t="s">
        <v>63</v>
      </c>
      <c r="F842" s="665">
        <v>19432.0</v>
      </c>
      <c r="G842" s="665">
        <v>641.0</v>
      </c>
      <c r="H842" s="665">
        <v>3.3</v>
      </c>
      <c r="I842" s="665">
        <v>0.89</v>
      </c>
      <c r="J842" s="665">
        <v>1.0</v>
      </c>
      <c r="K842" s="665">
        <v>686.0</v>
      </c>
      <c r="L842" s="665">
        <v>76880.0</v>
      </c>
      <c r="M842" s="665">
        <v>0.04</v>
      </c>
      <c r="N842" s="1">
        <v>1.0702</v>
      </c>
      <c r="O842" s="1">
        <v>686.0</v>
      </c>
      <c r="P842" s="1">
        <v>76880.0</v>
      </c>
      <c r="Q842" s="1">
        <v>0.0353</v>
      </c>
      <c r="R842" s="1">
        <v>105456.0</v>
      </c>
    </row>
    <row r="843">
      <c r="A843" s="663" t="s">
        <v>2295</v>
      </c>
      <c r="B843" s="663" t="s">
        <v>180</v>
      </c>
      <c r="C843" s="663" t="s">
        <v>53</v>
      </c>
      <c r="D843" s="663" t="s">
        <v>599</v>
      </c>
      <c r="E843" s="664" t="s">
        <v>7</v>
      </c>
      <c r="F843" s="665">
        <v>19432.0</v>
      </c>
      <c r="G843" s="665">
        <v>90.0</v>
      </c>
      <c r="H843" s="665">
        <v>0.46</v>
      </c>
      <c r="I843" s="665">
        <v>0.12</v>
      </c>
      <c r="J843" s="665">
        <v>0.13</v>
      </c>
      <c r="K843" s="665">
        <v>94.0</v>
      </c>
      <c r="L843" s="665">
        <v>76880.0</v>
      </c>
      <c r="M843" s="665">
        <v>0.0</v>
      </c>
      <c r="N843" s="1">
        <v>1.0444</v>
      </c>
      <c r="O843" s="1">
        <v>94.0</v>
      </c>
      <c r="P843" s="1">
        <v>76880.0</v>
      </c>
      <c r="Q843" s="1">
        <v>0.0048</v>
      </c>
      <c r="R843" s="1">
        <v>105456.0</v>
      </c>
    </row>
    <row r="844">
      <c r="A844" s="663" t="s">
        <v>2295</v>
      </c>
      <c r="B844" s="663" t="s">
        <v>180</v>
      </c>
      <c r="C844" s="663" t="s">
        <v>53</v>
      </c>
      <c r="D844" s="663" t="s">
        <v>599</v>
      </c>
      <c r="E844" s="664" t="s">
        <v>151</v>
      </c>
      <c r="F844" s="665">
        <v>19432.0</v>
      </c>
      <c r="G844" s="665">
        <v>13.0</v>
      </c>
      <c r="H844" s="665">
        <v>0.07</v>
      </c>
      <c r="I844" s="665">
        <v>0.02</v>
      </c>
      <c r="J844" s="665">
        <v>0.04</v>
      </c>
      <c r="K844" s="665">
        <v>13.0</v>
      </c>
      <c r="L844" s="665">
        <v>76880.0</v>
      </c>
      <c r="M844" s="665">
        <v>0.0</v>
      </c>
      <c r="N844" s="1">
        <v>1.0</v>
      </c>
      <c r="O844" s="1">
        <v>13.0</v>
      </c>
      <c r="P844" s="1">
        <v>76880.0</v>
      </c>
      <c r="Q844" s="1">
        <v>7.0E-4</v>
      </c>
      <c r="R844" s="1">
        <v>105456.0</v>
      </c>
    </row>
    <row r="845">
      <c r="A845" s="663" t="s">
        <v>2295</v>
      </c>
      <c r="B845" s="663" t="s">
        <v>180</v>
      </c>
      <c r="C845" s="663" t="s">
        <v>53</v>
      </c>
      <c r="D845" s="663" t="s">
        <v>599</v>
      </c>
      <c r="E845" s="664" t="s">
        <v>206</v>
      </c>
      <c r="F845" s="665">
        <v>19432.0</v>
      </c>
      <c r="G845" s="665">
        <v>2.0</v>
      </c>
      <c r="H845" s="665">
        <v>0.01</v>
      </c>
      <c r="I845" s="665">
        <v>0.0</v>
      </c>
      <c r="J845" s="665">
        <v>0.0</v>
      </c>
      <c r="K845" s="665">
        <v>2.0</v>
      </c>
      <c r="L845" s="665">
        <v>76880.0</v>
      </c>
      <c r="M845" s="665">
        <v>0.0</v>
      </c>
      <c r="N845" s="1">
        <v>1.0</v>
      </c>
      <c r="O845" s="1">
        <v>2.0</v>
      </c>
      <c r="P845" s="1">
        <v>76880.0</v>
      </c>
      <c r="Q845" s="1">
        <v>1.0E-4</v>
      </c>
      <c r="R845" s="1">
        <v>105456.0</v>
      </c>
    </row>
    <row r="846">
      <c r="A846" s="663" t="s">
        <v>2295</v>
      </c>
      <c r="B846" s="663" t="s">
        <v>180</v>
      </c>
      <c r="C846" s="663" t="s">
        <v>53</v>
      </c>
      <c r="D846" s="663" t="s">
        <v>599</v>
      </c>
      <c r="E846" s="664" t="s">
        <v>398</v>
      </c>
      <c r="F846" s="665">
        <v>19432.0</v>
      </c>
      <c r="G846" s="665">
        <v>1.0</v>
      </c>
      <c r="H846" s="665">
        <v>0.01</v>
      </c>
      <c r="I846" s="665">
        <v>0.0</v>
      </c>
      <c r="J846" s="665">
        <v>0.01</v>
      </c>
      <c r="K846" s="665">
        <v>1.0</v>
      </c>
      <c r="L846" s="665">
        <v>76880.0</v>
      </c>
      <c r="M846" s="665">
        <v>0.0</v>
      </c>
      <c r="N846" s="1">
        <v>1.0</v>
      </c>
      <c r="O846" s="1">
        <v>1.0</v>
      </c>
      <c r="P846" s="1">
        <v>76880.0</v>
      </c>
      <c r="Q846" s="1">
        <v>1.0E-4</v>
      </c>
      <c r="R846" s="1">
        <v>105456.0</v>
      </c>
    </row>
    <row r="847">
      <c r="A847" s="663" t="s">
        <v>2295</v>
      </c>
      <c r="B847" s="663" t="s">
        <v>180</v>
      </c>
      <c r="C847" s="663" t="s">
        <v>52</v>
      </c>
      <c r="D847" s="663" t="s">
        <v>599</v>
      </c>
      <c r="E847" s="664" t="s">
        <v>14</v>
      </c>
      <c r="F847" s="665">
        <v>24181.0</v>
      </c>
      <c r="G847" s="665">
        <v>11888.0</v>
      </c>
      <c r="H847" s="665">
        <v>49.16</v>
      </c>
      <c r="I847" s="665">
        <v>26.62</v>
      </c>
      <c r="J847" s="665">
        <v>21.29</v>
      </c>
      <c r="K847" s="665">
        <v>33539.0</v>
      </c>
      <c r="L847" s="665">
        <v>125993.0</v>
      </c>
      <c r="M847" s="665">
        <v>1.39</v>
      </c>
      <c r="N847" s="1">
        <v>2.8212</v>
      </c>
      <c r="O847" s="1">
        <v>33539.0</v>
      </c>
      <c r="P847" s="1">
        <v>125993.0</v>
      </c>
      <c r="Q847" s="1">
        <v>1.387</v>
      </c>
      <c r="R847" s="1">
        <v>105456.0</v>
      </c>
    </row>
    <row r="848">
      <c r="A848" s="663" t="s">
        <v>2295</v>
      </c>
      <c r="B848" s="663" t="s">
        <v>180</v>
      </c>
      <c r="C848" s="663" t="s">
        <v>52</v>
      </c>
      <c r="D848" s="663" t="s">
        <v>599</v>
      </c>
      <c r="E848" s="664" t="s">
        <v>397</v>
      </c>
      <c r="F848" s="665">
        <v>24181.0</v>
      </c>
      <c r="G848" s="665">
        <v>9979.0</v>
      </c>
      <c r="H848" s="665">
        <v>41.27</v>
      </c>
      <c r="I848" s="665">
        <v>11.74</v>
      </c>
      <c r="J848" s="665">
        <v>11.43</v>
      </c>
      <c r="K848" s="665">
        <v>14791.0</v>
      </c>
      <c r="L848" s="665">
        <v>125993.0</v>
      </c>
      <c r="M848" s="665">
        <v>0.61</v>
      </c>
      <c r="N848" s="1">
        <v>1.4822</v>
      </c>
      <c r="O848" s="1">
        <v>14791.0</v>
      </c>
      <c r="P848" s="1">
        <v>125993.0</v>
      </c>
      <c r="Q848" s="1">
        <v>0.6117</v>
      </c>
      <c r="R848" s="1">
        <v>105456.0</v>
      </c>
    </row>
    <row r="849">
      <c r="A849" s="663" t="s">
        <v>2295</v>
      </c>
      <c r="B849" s="663" t="s">
        <v>180</v>
      </c>
      <c r="C849" s="663" t="s">
        <v>52</v>
      </c>
      <c r="D849" s="663" t="s">
        <v>599</v>
      </c>
      <c r="E849" s="664" t="s">
        <v>396</v>
      </c>
      <c r="F849" s="665">
        <v>24181.0</v>
      </c>
      <c r="G849" s="665">
        <v>11736.0</v>
      </c>
      <c r="H849" s="665">
        <v>48.53</v>
      </c>
      <c r="I849" s="665">
        <v>11.56</v>
      </c>
      <c r="J849" s="665">
        <v>21.77</v>
      </c>
      <c r="K849" s="665">
        <v>14564.0</v>
      </c>
      <c r="L849" s="665">
        <v>125993.0</v>
      </c>
      <c r="M849" s="665">
        <v>0.6</v>
      </c>
      <c r="N849" s="1">
        <v>1.241</v>
      </c>
      <c r="O849" s="1">
        <v>14564.0</v>
      </c>
      <c r="P849" s="1">
        <v>125993.0</v>
      </c>
      <c r="Q849" s="1">
        <v>0.6023</v>
      </c>
      <c r="R849" s="1">
        <v>105456.0</v>
      </c>
    </row>
    <row r="850">
      <c r="A850" s="663" t="s">
        <v>2295</v>
      </c>
      <c r="B850" s="663" t="s">
        <v>180</v>
      </c>
      <c r="C850" s="663" t="s">
        <v>52</v>
      </c>
      <c r="D850" s="663" t="s">
        <v>599</v>
      </c>
      <c r="E850" s="664" t="s">
        <v>418</v>
      </c>
      <c r="F850" s="665">
        <v>24181.0</v>
      </c>
      <c r="G850" s="665">
        <v>10327.0</v>
      </c>
      <c r="H850" s="665">
        <v>42.71</v>
      </c>
      <c r="I850" s="665">
        <v>10.04</v>
      </c>
      <c r="J850" s="665">
        <v>11.09</v>
      </c>
      <c r="K850" s="665">
        <v>12646.0</v>
      </c>
      <c r="L850" s="665">
        <v>125993.0</v>
      </c>
      <c r="M850" s="665">
        <v>0.52</v>
      </c>
      <c r="N850" s="1">
        <v>1.2246</v>
      </c>
      <c r="O850" s="1">
        <v>12646.0</v>
      </c>
      <c r="P850" s="1">
        <v>125993.0</v>
      </c>
      <c r="Q850" s="1">
        <v>0.523</v>
      </c>
      <c r="R850" s="1">
        <v>105456.0</v>
      </c>
    </row>
    <row r="851">
      <c r="A851" s="663" t="s">
        <v>2295</v>
      </c>
      <c r="B851" s="663" t="s">
        <v>180</v>
      </c>
      <c r="C851" s="663" t="s">
        <v>52</v>
      </c>
      <c r="D851" s="663" t="s">
        <v>599</v>
      </c>
      <c r="E851" s="664" t="s">
        <v>398</v>
      </c>
      <c r="F851" s="665">
        <v>24181.0</v>
      </c>
      <c r="G851" s="665">
        <v>7528.0</v>
      </c>
      <c r="H851" s="665">
        <v>31.13</v>
      </c>
      <c r="I851" s="665">
        <v>8.79</v>
      </c>
      <c r="J851" s="665">
        <v>8.84</v>
      </c>
      <c r="K851" s="665">
        <v>11075.0</v>
      </c>
      <c r="L851" s="665">
        <v>125993.0</v>
      </c>
      <c r="M851" s="665">
        <v>0.46</v>
      </c>
      <c r="N851" s="1">
        <v>1.4712</v>
      </c>
      <c r="O851" s="1">
        <v>11075.0</v>
      </c>
      <c r="P851" s="1">
        <v>125993.0</v>
      </c>
      <c r="Q851" s="1">
        <v>0.458</v>
      </c>
      <c r="R851" s="1">
        <v>105456.0</v>
      </c>
    </row>
    <row r="852">
      <c r="A852" s="663" t="s">
        <v>2295</v>
      </c>
      <c r="B852" s="663" t="s">
        <v>180</v>
      </c>
      <c r="C852" s="663" t="s">
        <v>52</v>
      </c>
      <c r="D852" s="663" t="s">
        <v>599</v>
      </c>
      <c r="E852" s="664" t="s">
        <v>15</v>
      </c>
      <c r="F852" s="665">
        <v>24181.0</v>
      </c>
      <c r="G852" s="665">
        <v>3566.0</v>
      </c>
      <c r="H852" s="665">
        <v>14.75</v>
      </c>
      <c r="I852" s="665">
        <v>6.0</v>
      </c>
      <c r="J852" s="665">
        <v>4.72</v>
      </c>
      <c r="K852" s="665">
        <v>7556.0</v>
      </c>
      <c r="L852" s="665">
        <v>125993.0</v>
      </c>
      <c r="M852" s="665">
        <v>0.31</v>
      </c>
      <c r="N852" s="1">
        <v>2.1189</v>
      </c>
      <c r="O852" s="1">
        <v>7556.0</v>
      </c>
      <c r="P852" s="1">
        <v>125993.0</v>
      </c>
      <c r="Q852" s="1">
        <v>0.3125</v>
      </c>
      <c r="R852" s="1">
        <v>105456.0</v>
      </c>
    </row>
    <row r="853">
      <c r="A853" s="663" t="s">
        <v>2295</v>
      </c>
      <c r="B853" s="663" t="s">
        <v>180</v>
      </c>
      <c r="C853" s="663" t="s">
        <v>52</v>
      </c>
      <c r="D853" s="663" t="s">
        <v>599</v>
      </c>
      <c r="E853" s="664" t="s">
        <v>393</v>
      </c>
      <c r="F853" s="665">
        <v>24181.0</v>
      </c>
      <c r="G853" s="665">
        <v>2321.0</v>
      </c>
      <c r="H853" s="665">
        <v>9.6</v>
      </c>
      <c r="I853" s="665">
        <v>4.09</v>
      </c>
      <c r="J853" s="665">
        <v>2.11</v>
      </c>
      <c r="K853" s="665">
        <v>5148.0</v>
      </c>
      <c r="L853" s="665">
        <v>125993.0</v>
      </c>
      <c r="M853" s="665">
        <v>0.21</v>
      </c>
      <c r="N853" s="1">
        <v>2.218</v>
      </c>
      <c r="O853" s="1">
        <v>5148.0</v>
      </c>
      <c r="P853" s="1">
        <v>125993.0</v>
      </c>
      <c r="Q853" s="1">
        <v>0.2129</v>
      </c>
      <c r="R853" s="1">
        <v>105456.0</v>
      </c>
    </row>
    <row r="854">
      <c r="A854" s="663" t="s">
        <v>2295</v>
      </c>
      <c r="B854" s="663" t="s">
        <v>180</v>
      </c>
      <c r="C854" s="663" t="s">
        <v>52</v>
      </c>
      <c r="D854" s="663" t="s">
        <v>599</v>
      </c>
      <c r="E854" s="664" t="s">
        <v>16</v>
      </c>
      <c r="F854" s="665">
        <v>24181.0</v>
      </c>
      <c r="G854" s="665">
        <v>3073.0</v>
      </c>
      <c r="H854" s="665">
        <v>12.71</v>
      </c>
      <c r="I854" s="665">
        <v>3.1</v>
      </c>
      <c r="J854" s="665">
        <v>2.74</v>
      </c>
      <c r="K854" s="665">
        <v>3902.0</v>
      </c>
      <c r="L854" s="665">
        <v>125993.0</v>
      </c>
      <c r="M854" s="665">
        <v>0.16</v>
      </c>
      <c r="N854" s="1">
        <v>1.2698</v>
      </c>
      <c r="O854" s="1">
        <v>3902.0</v>
      </c>
      <c r="P854" s="1">
        <v>125993.0</v>
      </c>
      <c r="Q854" s="1">
        <v>0.1614</v>
      </c>
      <c r="R854" s="1">
        <v>105456.0</v>
      </c>
    </row>
    <row r="855">
      <c r="A855" s="663" t="s">
        <v>2295</v>
      </c>
      <c r="B855" s="663" t="s">
        <v>180</v>
      </c>
      <c r="C855" s="663" t="s">
        <v>52</v>
      </c>
      <c r="D855" s="663" t="s">
        <v>599</v>
      </c>
      <c r="E855" s="664" t="s">
        <v>338</v>
      </c>
      <c r="F855" s="665">
        <v>24181.0</v>
      </c>
      <c r="G855" s="665">
        <v>2982.0</v>
      </c>
      <c r="H855" s="665">
        <v>12.33</v>
      </c>
      <c r="I855" s="665">
        <v>2.77</v>
      </c>
      <c r="J855" s="665">
        <v>2.48</v>
      </c>
      <c r="K855" s="665">
        <v>3486.0</v>
      </c>
      <c r="L855" s="665">
        <v>125993.0</v>
      </c>
      <c r="M855" s="665">
        <v>0.14</v>
      </c>
      <c r="N855" s="1">
        <v>1.169</v>
      </c>
      <c r="O855" s="1">
        <v>3486.0</v>
      </c>
      <c r="P855" s="1">
        <v>125993.0</v>
      </c>
      <c r="Q855" s="1">
        <v>0.1442</v>
      </c>
      <c r="R855" s="1">
        <v>105456.0</v>
      </c>
    </row>
    <row r="856">
      <c r="A856" s="663" t="s">
        <v>2295</v>
      </c>
      <c r="B856" s="663" t="s">
        <v>180</v>
      </c>
      <c r="C856" s="663" t="s">
        <v>52</v>
      </c>
      <c r="D856" s="663" t="s">
        <v>599</v>
      </c>
      <c r="E856" s="664" t="s">
        <v>329</v>
      </c>
      <c r="F856" s="665">
        <v>24181.0</v>
      </c>
      <c r="G856" s="665">
        <v>3037.0</v>
      </c>
      <c r="H856" s="665">
        <v>12.56</v>
      </c>
      <c r="I856" s="665">
        <v>2.76</v>
      </c>
      <c r="J856" s="665">
        <v>2.79</v>
      </c>
      <c r="K856" s="665">
        <v>3472.0</v>
      </c>
      <c r="L856" s="665">
        <v>125993.0</v>
      </c>
      <c r="M856" s="665">
        <v>0.14</v>
      </c>
      <c r="N856" s="1">
        <v>1.1432</v>
      </c>
      <c r="O856" s="1">
        <v>3472.0</v>
      </c>
      <c r="P856" s="1">
        <v>125993.0</v>
      </c>
      <c r="Q856" s="1">
        <v>0.1436</v>
      </c>
      <c r="R856" s="1">
        <v>105456.0</v>
      </c>
    </row>
    <row r="857">
      <c r="A857" s="663" t="s">
        <v>2295</v>
      </c>
      <c r="B857" s="663" t="s">
        <v>180</v>
      </c>
      <c r="C857" s="663" t="s">
        <v>52</v>
      </c>
      <c r="D857" s="663" t="s">
        <v>599</v>
      </c>
      <c r="E857" s="664" t="s">
        <v>51</v>
      </c>
      <c r="F857" s="665">
        <v>24181.0</v>
      </c>
      <c r="G857" s="665">
        <v>2400.0</v>
      </c>
      <c r="H857" s="665">
        <v>9.93</v>
      </c>
      <c r="I857" s="665">
        <v>2.59</v>
      </c>
      <c r="J857" s="665">
        <v>1.72</v>
      </c>
      <c r="K857" s="665">
        <v>3266.0</v>
      </c>
      <c r="L857" s="665">
        <v>125993.0</v>
      </c>
      <c r="M857" s="665">
        <v>0.14</v>
      </c>
      <c r="N857" s="1">
        <v>1.3608</v>
      </c>
      <c r="O857" s="1">
        <v>3266.0</v>
      </c>
      <c r="P857" s="1">
        <v>125993.0</v>
      </c>
      <c r="Q857" s="1">
        <v>0.1351</v>
      </c>
      <c r="R857" s="1">
        <v>105456.0</v>
      </c>
    </row>
    <row r="858">
      <c r="A858" s="663" t="s">
        <v>2295</v>
      </c>
      <c r="B858" s="663" t="s">
        <v>180</v>
      </c>
      <c r="C858" s="663" t="s">
        <v>52</v>
      </c>
      <c r="D858" s="663" t="s">
        <v>599</v>
      </c>
      <c r="E858" s="664" t="s">
        <v>341</v>
      </c>
      <c r="F858" s="665">
        <v>24181.0</v>
      </c>
      <c r="G858" s="665">
        <v>2843.0</v>
      </c>
      <c r="H858" s="665">
        <v>11.76</v>
      </c>
      <c r="I858" s="665">
        <v>2.54</v>
      </c>
      <c r="J858" s="665">
        <v>2.82</v>
      </c>
      <c r="K858" s="665">
        <v>3195.0</v>
      </c>
      <c r="L858" s="665">
        <v>125993.0</v>
      </c>
      <c r="M858" s="665">
        <v>0.13</v>
      </c>
      <c r="N858" s="1">
        <v>1.1238</v>
      </c>
      <c r="O858" s="1">
        <v>3195.0</v>
      </c>
      <c r="P858" s="1">
        <v>125993.0</v>
      </c>
      <c r="Q858" s="1">
        <v>0.1321</v>
      </c>
      <c r="R858" s="1">
        <v>105456.0</v>
      </c>
    </row>
    <row r="859">
      <c r="A859" s="663" t="s">
        <v>2295</v>
      </c>
      <c r="B859" s="663" t="s">
        <v>180</v>
      </c>
      <c r="C859" s="663" t="s">
        <v>52</v>
      </c>
      <c r="D859" s="663" t="s">
        <v>599</v>
      </c>
      <c r="E859" s="664" t="s">
        <v>63</v>
      </c>
      <c r="F859" s="665">
        <v>24181.0</v>
      </c>
      <c r="G859" s="665">
        <v>2345.0</v>
      </c>
      <c r="H859" s="665">
        <v>9.7</v>
      </c>
      <c r="I859" s="665">
        <v>2.2</v>
      </c>
      <c r="J859" s="665">
        <v>1.98</v>
      </c>
      <c r="K859" s="665">
        <v>2777.0</v>
      </c>
      <c r="L859" s="665">
        <v>125993.0</v>
      </c>
      <c r="M859" s="665">
        <v>0.11</v>
      </c>
      <c r="N859" s="1">
        <v>1.1842</v>
      </c>
      <c r="O859" s="1">
        <v>2777.0</v>
      </c>
      <c r="P859" s="1">
        <v>125993.0</v>
      </c>
      <c r="Q859" s="1">
        <v>0.1148</v>
      </c>
      <c r="R859" s="1">
        <v>105456.0</v>
      </c>
    </row>
    <row r="860">
      <c r="A860" s="663" t="s">
        <v>2295</v>
      </c>
      <c r="B860" s="663" t="s">
        <v>180</v>
      </c>
      <c r="C860" s="663" t="s">
        <v>52</v>
      </c>
      <c r="D860" s="663" t="s">
        <v>599</v>
      </c>
      <c r="E860" s="664" t="s">
        <v>42</v>
      </c>
      <c r="F860" s="665">
        <v>24181.0</v>
      </c>
      <c r="G860" s="665">
        <v>1938.0</v>
      </c>
      <c r="H860" s="665">
        <v>8.01</v>
      </c>
      <c r="I860" s="665">
        <v>1.8</v>
      </c>
      <c r="J860" s="665">
        <v>1.41</v>
      </c>
      <c r="K860" s="665">
        <v>2263.0</v>
      </c>
      <c r="L860" s="665">
        <v>125993.0</v>
      </c>
      <c r="M860" s="665">
        <v>0.09</v>
      </c>
      <c r="N860" s="1">
        <v>1.1677</v>
      </c>
      <c r="O860" s="1">
        <v>2263.0</v>
      </c>
      <c r="P860" s="1">
        <v>125993.0</v>
      </c>
      <c r="Q860" s="1">
        <v>0.0936</v>
      </c>
      <c r="R860" s="1">
        <v>105456.0</v>
      </c>
    </row>
    <row r="861">
      <c r="A861" s="663" t="s">
        <v>2295</v>
      </c>
      <c r="B861" s="663" t="s">
        <v>180</v>
      </c>
      <c r="C861" s="663" t="s">
        <v>52</v>
      </c>
      <c r="D861" s="663" t="s">
        <v>599</v>
      </c>
      <c r="E861" s="664" t="s">
        <v>411</v>
      </c>
      <c r="F861" s="665">
        <v>24181.0</v>
      </c>
      <c r="G861" s="665">
        <v>1968.0</v>
      </c>
      <c r="H861" s="665">
        <v>8.14</v>
      </c>
      <c r="I861" s="665">
        <v>1.72</v>
      </c>
      <c r="J861" s="665">
        <v>1.79</v>
      </c>
      <c r="K861" s="665">
        <v>2172.0</v>
      </c>
      <c r="L861" s="665">
        <v>125993.0</v>
      </c>
      <c r="M861" s="665">
        <v>0.09</v>
      </c>
      <c r="N861" s="1">
        <v>1.1037</v>
      </c>
      <c r="O861" s="1">
        <v>2172.0</v>
      </c>
      <c r="P861" s="1">
        <v>125993.0</v>
      </c>
      <c r="Q861" s="1">
        <v>0.0898</v>
      </c>
      <c r="R861" s="1">
        <v>105456.0</v>
      </c>
    </row>
    <row r="862">
      <c r="A862" s="663" t="s">
        <v>2295</v>
      </c>
      <c r="B862" s="663" t="s">
        <v>180</v>
      </c>
      <c r="C862" s="663" t="s">
        <v>52</v>
      </c>
      <c r="D862" s="663" t="s">
        <v>599</v>
      </c>
      <c r="E862" s="664" t="s">
        <v>413</v>
      </c>
      <c r="F862" s="665">
        <v>24181.0</v>
      </c>
      <c r="G862" s="665">
        <v>1362.0</v>
      </c>
      <c r="H862" s="665">
        <v>5.63</v>
      </c>
      <c r="I862" s="665">
        <v>1.16</v>
      </c>
      <c r="J862" s="665">
        <v>0.64</v>
      </c>
      <c r="K862" s="665">
        <v>1464.0</v>
      </c>
      <c r="L862" s="665">
        <v>125993.0</v>
      </c>
      <c r="M862" s="665">
        <v>0.06</v>
      </c>
      <c r="N862" s="1">
        <v>1.0749</v>
      </c>
      <c r="O862" s="1">
        <v>1464.0</v>
      </c>
      <c r="P862" s="1">
        <v>125993.0</v>
      </c>
      <c r="Q862" s="1">
        <v>0.0605</v>
      </c>
      <c r="R862" s="1">
        <v>105456.0</v>
      </c>
    </row>
    <row r="863">
      <c r="A863" s="663" t="s">
        <v>2295</v>
      </c>
      <c r="B863" s="663" t="s">
        <v>180</v>
      </c>
      <c r="C863" s="663" t="s">
        <v>52</v>
      </c>
      <c r="D863" s="663" t="s">
        <v>599</v>
      </c>
      <c r="E863" s="664" t="s">
        <v>9</v>
      </c>
      <c r="F863" s="665">
        <v>24181.0</v>
      </c>
      <c r="G863" s="665">
        <v>333.0</v>
      </c>
      <c r="H863" s="665">
        <v>1.38</v>
      </c>
      <c r="I863" s="665">
        <v>0.28</v>
      </c>
      <c r="J863" s="665">
        <v>0.19</v>
      </c>
      <c r="K863" s="665">
        <v>353.0</v>
      </c>
      <c r="L863" s="665">
        <v>125993.0</v>
      </c>
      <c r="M863" s="665">
        <v>0.01</v>
      </c>
      <c r="N863" s="1">
        <v>1.0601</v>
      </c>
      <c r="O863" s="1">
        <v>353.0</v>
      </c>
      <c r="P863" s="1">
        <v>125993.0</v>
      </c>
      <c r="Q863" s="1">
        <v>0.0146</v>
      </c>
      <c r="R863" s="1">
        <v>105456.0</v>
      </c>
    </row>
    <row r="864">
      <c r="A864" s="663" t="s">
        <v>2295</v>
      </c>
      <c r="B864" s="663" t="s">
        <v>180</v>
      </c>
      <c r="C864" s="663" t="s">
        <v>52</v>
      </c>
      <c r="D864" s="663" t="s">
        <v>599</v>
      </c>
      <c r="E864" s="664" t="s">
        <v>7</v>
      </c>
      <c r="F864" s="665">
        <v>24181.0</v>
      </c>
      <c r="G864" s="665">
        <v>298.0</v>
      </c>
      <c r="H864" s="665">
        <v>1.23</v>
      </c>
      <c r="I864" s="665">
        <v>0.25</v>
      </c>
      <c r="J864" s="665">
        <v>0.2</v>
      </c>
      <c r="K864" s="665">
        <v>313.0</v>
      </c>
      <c r="L864" s="665">
        <v>125993.0</v>
      </c>
      <c r="M864" s="665">
        <v>0.01</v>
      </c>
      <c r="N864" s="1">
        <v>1.0503</v>
      </c>
      <c r="O864" s="1">
        <v>313.0</v>
      </c>
      <c r="P864" s="1">
        <v>125993.0</v>
      </c>
      <c r="Q864" s="1">
        <v>0.0129</v>
      </c>
      <c r="R864" s="1">
        <v>105456.0</v>
      </c>
    </row>
    <row r="865">
      <c r="A865" s="663" t="s">
        <v>2295</v>
      </c>
      <c r="B865" s="663" t="s">
        <v>180</v>
      </c>
      <c r="C865" s="663" t="s">
        <v>52</v>
      </c>
      <c r="D865" s="663" t="s">
        <v>599</v>
      </c>
      <c r="E865" s="664" t="s">
        <v>401</v>
      </c>
      <c r="F865" s="665">
        <v>24181.0</v>
      </c>
      <c r="G865" s="665">
        <v>7.0</v>
      </c>
      <c r="H865" s="665">
        <v>0.03</v>
      </c>
      <c r="I865" s="665">
        <v>0.01</v>
      </c>
      <c r="J865" s="665">
        <v>0.0</v>
      </c>
      <c r="K865" s="665">
        <v>8.0</v>
      </c>
      <c r="L865" s="665">
        <v>125993.0</v>
      </c>
      <c r="M865" s="665">
        <v>0.0</v>
      </c>
      <c r="N865" s="1">
        <v>1.1429</v>
      </c>
      <c r="O865" s="1">
        <v>8.0</v>
      </c>
      <c r="P865" s="1">
        <v>125993.0</v>
      </c>
      <c r="Q865" s="1">
        <v>3.0E-4</v>
      </c>
      <c r="R865" s="1">
        <v>105456.0</v>
      </c>
    </row>
    <row r="866">
      <c r="A866" s="663" t="s">
        <v>2295</v>
      </c>
      <c r="B866" s="663" t="s">
        <v>180</v>
      </c>
      <c r="C866" s="663" t="s">
        <v>52</v>
      </c>
      <c r="D866" s="663" t="s">
        <v>599</v>
      </c>
      <c r="E866" s="664" t="s">
        <v>206</v>
      </c>
      <c r="F866" s="665">
        <v>24181.0</v>
      </c>
      <c r="G866" s="665">
        <v>3.0</v>
      </c>
      <c r="H866" s="665">
        <v>0.01</v>
      </c>
      <c r="I866" s="665">
        <v>0.0</v>
      </c>
      <c r="J866" s="665">
        <v>0.0</v>
      </c>
      <c r="K866" s="665">
        <v>3.0</v>
      </c>
      <c r="L866" s="665">
        <v>125993.0</v>
      </c>
      <c r="M866" s="665">
        <v>0.0</v>
      </c>
      <c r="N866" s="1">
        <v>1.0</v>
      </c>
      <c r="O866" s="1">
        <v>3.0</v>
      </c>
      <c r="P866" s="1">
        <v>125993.0</v>
      </c>
      <c r="Q866" s="1">
        <v>1.0E-4</v>
      </c>
      <c r="R866" s="1">
        <v>105456.0</v>
      </c>
    </row>
    <row r="867">
      <c r="A867" s="663" t="s">
        <v>2295</v>
      </c>
      <c r="B867" s="663" t="s">
        <v>180</v>
      </c>
      <c r="C867" s="663" t="s">
        <v>1209</v>
      </c>
      <c r="D867" s="663" t="s">
        <v>2234</v>
      </c>
      <c r="E867" s="664" t="s">
        <v>397</v>
      </c>
      <c r="F867" s="665">
        <v>1820.0</v>
      </c>
      <c r="G867" s="665">
        <v>1108.0</v>
      </c>
      <c r="H867" s="665">
        <v>60.88</v>
      </c>
      <c r="I867" s="665">
        <v>75.71</v>
      </c>
      <c r="J867" s="665">
        <v>59.14</v>
      </c>
      <c r="K867" s="665">
        <v>33690.0</v>
      </c>
      <c r="L867" s="665">
        <v>44500.0</v>
      </c>
      <c r="M867" s="665">
        <v>18.51</v>
      </c>
      <c r="N867" s="1">
        <v>30.4061</v>
      </c>
      <c r="O867" s="1">
        <v>33690.0</v>
      </c>
      <c r="P867" s="1">
        <v>44500.0</v>
      </c>
      <c r="Q867" s="1">
        <v>18.511</v>
      </c>
      <c r="R867" s="1">
        <v>105456.0</v>
      </c>
    </row>
    <row r="868">
      <c r="A868" s="663" t="s">
        <v>2295</v>
      </c>
      <c r="B868" s="663" t="s">
        <v>180</v>
      </c>
      <c r="C868" s="663" t="s">
        <v>1209</v>
      </c>
      <c r="D868" s="663" t="s">
        <v>2234</v>
      </c>
      <c r="E868" s="664" t="s">
        <v>206</v>
      </c>
      <c r="F868" s="665">
        <v>1820.0</v>
      </c>
      <c r="G868" s="665">
        <v>413.0</v>
      </c>
      <c r="H868" s="665">
        <v>22.69</v>
      </c>
      <c r="I868" s="665">
        <v>9.53</v>
      </c>
      <c r="J868" s="665">
        <v>18.87</v>
      </c>
      <c r="K868" s="665">
        <v>4240.0</v>
      </c>
      <c r="L868" s="665">
        <v>44500.0</v>
      </c>
      <c r="M868" s="665">
        <v>2.33</v>
      </c>
      <c r="N868" s="1">
        <v>10.2663</v>
      </c>
      <c r="O868" s="1">
        <v>4240.0</v>
      </c>
      <c r="P868" s="1">
        <v>44500.0</v>
      </c>
      <c r="Q868" s="1">
        <v>2.3297</v>
      </c>
      <c r="R868" s="1">
        <v>105456.0</v>
      </c>
    </row>
    <row r="869">
      <c r="A869" s="663" t="s">
        <v>2295</v>
      </c>
      <c r="B869" s="663" t="s">
        <v>180</v>
      </c>
      <c r="C869" s="663" t="s">
        <v>1209</v>
      </c>
      <c r="D869" s="663" t="s">
        <v>2234</v>
      </c>
      <c r="E869" s="664" t="s">
        <v>401</v>
      </c>
      <c r="F869" s="665">
        <v>1820.0</v>
      </c>
      <c r="G869" s="665">
        <v>361.0</v>
      </c>
      <c r="H869" s="665">
        <v>19.84</v>
      </c>
      <c r="I869" s="665">
        <v>9.13</v>
      </c>
      <c r="J869" s="665">
        <v>17.26</v>
      </c>
      <c r="K869" s="665">
        <v>4065.0</v>
      </c>
      <c r="L869" s="665">
        <v>44500.0</v>
      </c>
      <c r="M869" s="665">
        <v>2.23</v>
      </c>
      <c r="N869" s="1">
        <v>11.2604</v>
      </c>
      <c r="O869" s="1">
        <v>4065.0</v>
      </c>
      <c r="P869" s="1">
        <v>44500.0</v>
      </c>
      <c r="Q869" s="1">
        <v>2.2335</v>
      </c>
      <c r="R869" s="1">
        <v>105456.0</v>
      </c>
    </row>
    <row r="870">
      <c r="A870" s="663" t="s">
        <v>2295</v>
      </c>
      <c r="B870" s="663" t="s">
        <v>180</v>
      </c>
      <c r="C870" s="663" t="s">
        <v>1209</v>
      </c>
      <c r="D870" s="663" t="s">
        <v>2234</v>
      </c>
      <c r="E870" s="664" t="s">
        <v>411</v>
      </c>
      <c r="F870" s="665">
        <v>1820.0</v>
      </c>
      <c r="G870" s="665">
        <v>66.0</v>
      </c>
      <c r="H870" s="665">
        <v>3.63</v>
      </c>
      <c r="I870" s="665">
        <v>4.96</v>
      </c>
      <c r="J870" s="665">
        <v>3.61</v>
      </c>
      <c r="K870" s="665">
        <v>2205.0</v>
      </c>
      <c r="L870" s="665">
        <v>44500.0</v>
      </c>
      <c r="M870" s="665">
        <v>1.21</v>
      </c>
      <c r="N870" s="1">
        <v>33.4091</v>
      </c>
      <c r="O870" s="1">
        <v>2205.0</v>
      </c>
      <c r="P870" s="1">
        <v>44500.0</v>
      </c>
      <c r="Q870" s="1">
        <v>1.2115</v>
      </c>
      <c r="R870" s="1">
        <v>105456.0</v>
      </c>
    </row>
    <row r="871">
      <c r="A871" s="663" t="s">
        <v>2295</v>
      </c>
      <c r="B871" s="663" t="s">
        <v>180</v>
      </c>
      <c r="C871" s="663" t="s">
        <v>1209</v>
      </c>
      <c r="D871" s="663" t="s">
        <v>2234</v>
      </c>
      <c r="E871" s="664" t="s">
        <v>413</v>
      </c>
      <c r="F871" s="665">
        <v>1820.0</v>
      </c>
      <c r="G871" s="665">
        <v>21.0</v>
      </c>
      <c r="H871" s="665">
        <v>1.15</v>
      </c>
      <c r="I871" s="665">
        <v>0.64</v>
      </c>
      <c r="J871" s="665">
        <v>1.07</v>
      </c>
      <c r="K871" s="665">
        <v>285.0</v>
      </c>
      <c r="L871" s="665">
        <v>44500.0</v>
      </c>
      <c r="M871" s="665">
        <v>0.16</v>
      </c>
      <c r="N871" s="1">
        <v>13.5714</v>
      </c>
      <c r="O871" s="1">
        <v>285.0</v>
      </c>
      <c r="P871" s="1">
        <v>44500.0</v>
      </c>
      <c r="Q871" s="1">
        <v>0.1566</v>
      </c>
      <c r="R871" s="1">
        <v>105456.0</v>
      </c>
    </row>
    <row r="872">
      <c r="A872" s="663" t="s">
        <v>2295</v>
      </c>
      <c r="B872" s="663" t="s">
        <v>180</v>
      </c>
      <c r="C872" s="663" t="s">
        <v>1209</v>
      </c>
      <c r="D872" s="663" t="s">
        <v>2234</v>
      </c>
      <c r="E872" s="664" t="s">
        <v>73</v>
      </c>
      <c r="F872" s="665">
        <v>1820.0</v>
      </c>
      <c r="G872" s="665">
        <v>1.0</v>
      </c>
      <c r="H872" s="665">
        <v>0.05</v>
      </c>
      <c r="I872" s="665">
        <v>0.03</v>
      </c>
      <c r="J872" s="665">
        <v>0.05</v>
      </c>
      <c r="K872" s="665">
        <v>15.0</v>
      </c>
      <c r="L872" s="665">
        <v>44500.0</v>
      </c>
      <c r="M872" s="665">
        <v>0.01</v>
      </c>
      <c r="N872" s="1">
        <v>15.0</v>
      </c>
      <c r="O872" s="1">
        <v>15.0</v>
      </c>
      <c r="P872" s="1">
        <v>44500.0</v>
      </c>
      <c r="Q872" s="1">
        <v>0.0082</v>
      </c>
      <c r="R872" s="1">
        <v>105456.0</v>
      </c>
    </row>
    <row r="873">
      <c r="A873" s="663" t="s">
        <v>2295</v>
      </c>
      <c r="B873" s="663" t="s">
        <v>180</v>
      </c>
      <c r="C873" s="663" t="s">
        <v>1210</v>
      </c>
      <c r="D873" s="663" t="s">
        <v>2234</v>
      </c>
      <c r="E873" s="664" t="s">
        <v>413</v>
      </c>
      <c r="F873" s="665">
        <v>10259.0</v>
      </c>
      <c r="G873" s="665">
        <v>4885.0</v>
      </c>
      <c r="H873" s="665">
        <v>47.62</v>
      </c>
      <c r="I873" s="665">
        <v>34.19</v>
      </c>
      <c r="J873" s="665">
        <v>42.62</v>
      </c>
      <c r="K873" s="665">
        <v>78675.0</v>
      </c>
      <c r="L873" s="665">
        <v>230120.0</v>
      </c>
      <c r="M873" s="665">
        <v>7.67</v>
      </c>
      <c r="N873" s="1">
        <v>16.1054</v>
      </c>
      <c r="O873" s="1">
        <v>78675.0</v>
      </c>
      <c r="P873" s="1">
        <v>230120.0</v>
      </c>
      <c r="Q873" s="1">
        <v>7.6689</v>
      </c>
      <c r="R873" s="1">
        <v>105456.0</v>
      </c>
    </row>
    <row r="874">
      <c r="A874" s="663" t="s">
        <v>2295</v>
      </c>
      <c r="B874" s="663" t="s">
        <v>180</v>
      </c>
      <c r="C874" s="663" t="s">
        <v>1210</v>
      </c>
      <c r="D874" s="663" t="s">
        <v>2234</v>
      </c>
      <c r="E874" s="664" t="s">
        <v>397</v>
      </c>
      <c r="F874" s="665">
        <v>10259.0</v>
      </c>
      <c r="G874" s="665">
        <v>1245.0</v>
      </c>
      <c r="H874" s="665">
        <v>12.14</v>
      </c>
      <c r="I874" s="665">
        <v>32.93</v>
      </c>
      <c r="J874" s="665">
        <v>10.57</v>
      </c>
      <c r="K874" s="665">
        <v>75780.0</v>
      </c>
      <c r="L874" s="665">
        <v>230120.0</v>
      </c>
      <c r="M874" s="665">
        <v>7.39</v>
      </c>
      <c r="N874" s="1">
        <v>60.8675</v>
      </c>
      <c r="O874" s="1">
        <v>75780.0</v>
      </c>
      <c r="P874" s="1">
        <v>230120.0</v>
      </c>
      <c r="Q874" s="1">
        <v>7.3867</v>
      </c>
      <c r="R874" s="1">
        <v>105456.0</v>
      </c>
    </row>
    <row r="875">
      <c r="A875" s="663" t="s">
        <v>2295</v>
      </c>
      <c r="B875" s="663" t="s">
        <v>180</v>
      </c>
      <c r="C875" s="663" t="s">
        <v>1210</v>
      </c>
      <c r="D875" s="663" t="s">
        <v>2234</v>
      </c>
      <c r="E875" s="664" t="s">
        <v>401</v>
      </c>
      <c r="F875" s="665">
        <v>10259.0</v>
      </c>
      <c r="G875" s="665">
        <v>3644.0</v>
      </c>
      <c r="H875" s="665">
        <v>35.52</v>
      </c>
      <c r="I875" s="665">
        <v>18.36</v>
      </c>
      <c r="J875" s="665">
        <v>25.82</v>
      </c>
      <c r="K875" s="665">
        <v>42250.0</v>
      </c>
      <c r="L875" s="665">
        <v>230120.0</v>
      </c>
      <c r="M875" s="665">
        <v>4.12</v>
      </c>
      <c r="N875" s="1">
        <v>11.5944</v>
      </c>
      <c r="O875" s="1">
        <v>42250.0</v>
      </c>
      <c r="P875" s="1">
        <v>230120.0</v>
      </c>
      <c r="Q875" s="1">
        <v>4.1183</v>
      </c>
      <c r="R875" s="1">
        <v>105456.0</v>
      </c>
    </row>
    <row r="876">
      <c r="A876" s="663" t="s">
        <v>2295</v>
      </c>
      <c r="B876" s="663" t="s">
        <v>180</v>
      </c>
      <c r="C876" s="663" t="s">
        <v>1210</v>
      </c>
      <c r="D876" s="663" t="s">
        <v>2234</v>
      </c>
      <c r="E876" s="664" t="s">
        <v>206</v>
      </c>
      <c r="F876" s="665">
        <v>10259.0</v>
      </c>
      <c r="G876" s="665">
        <v>2819.0</v>
      </c>
      <c r="H876" s="665">
        <v>27.48</v>
      </c>
      <c r="I876" s="665">
        <v>12.4</v>
      </c>
      <c r="J876" s="665">
        <v>18.73</v>
      </c>
      <c r="K876" s="665">
        <v>28530.0</v>
      </c>
      <c r="L876" s="665">
        <v>230120.0</v>
      </c>
      <c r="M876" s="665">
        <v>2.78</v>
      </c>
      <c r="N876" s="1">
        <v>10.1206</v>
      </c>
      <c r="O876" s="1">
        <v>28530.0</v>
      </c>
      <c r="P876" s="1">
        <v>230120.0</v>
      </c>
      <c r="Q876" s="1">
        <v>2.781</v>
      </c>
      <c r="R876" s="1">
        <v>105456.0</v>
      </c>
    </row>
    <row r="877">
      <c r="A877" s="663" t="s">
        <v>2295</v>
      </c>
      <c r="B877" s="663" t="s">
        <v>180</v>
      </c>
      <c r="C877" s="663" t="s">
        <v>1210</v>
      </c>
      <c r="D877" s="663" t="s">
        <v>2234</v>
      </c>
      <c r="E877" s="664" t="s">
        <v>9</v>
      </c>
      <c r="F877" s="665">
        <v>10259.0</v>
      </c>
      <c r="G877" s="665">
        <v>233.0</v>
      </c>
      <c r="H877" s="665">
        <v>2.27</v>
      </c>
      <c r="I877" s="665">
        <v>1.08</v>
      </c>
      <c r="J877" s="665">
        <v>1.62</v>
      </c>
      <c r="K877" s="665">
        <v>2490.0</v>
      </c>
      <c r="L877" s="665">
        <v>230120.0</v>
      </c>
      <c r="M877" s="665">
        <v>0.24</v>
      </c>
      <c r="N877" s="1">
        <v>10.6867</v>
      </c>
      <c r="O877" s="1">
        <v>2490.0</v>
      </c>
      <c r="P877" s="1">
        <v>230120.0</v>
      </c>
      <c r="Q877" s="1">
        <v>0.2427</v>
      </c>
      <c r="R877" s="1">
        <v>105456.0</v>
      </c>
    </row>
    <row r="878">
      <c r="A878" s="663" t="s">
        <v>2295</v>
      </c>
      <c r="B878" s="663" t="s">
        <v>180</v>
      </c>
      <c r="C878" s="663" t="s">
        <v>1210</v>
      </c>
      <c r="D878" s="663" t="s">
        <v>2234</v>
      </c>
      <c r="E878" s="664" t="s">
        <v>411</v>
      </c>
      <c r="F878" s="665">
        <v>10259.0</v>
      </c>
      <c r="G878" s="665">
        <v>67.0</v>
      </c>
      <c r="H878" s="665">
        <v>0.65</v>
      </c>
      <c r="I878" s="665">
        <v>0.96</v>
      </c>
      <c r="J878" s="665">
        <v>0.54</v>
      </c>
      <c r="K878" s="665">
        <v>2210.0</v>
      </c>
      <c r="L878" s="665">
        <v>230120.0</v>
      </c>
      <c r="M878" s="665">
        <v>0.22</v>
      </c>
      <c r="N878" s="1">
        <v>32.9851</v>
      </c>
      <c r="O878" s="1">
        <v>2210.0</v>
      </c>
      <c r="P878" s="1">
        <v>230120.0</v>
      </c>
      <c r="Q878" s="1">
        <v>0.2154</v>
      </c>
      <c r="R878" s="1">
        <v>105456.0</v>
      </c>
    </row>
    <row r="879">
      <c r="A879" s="663" t="s">
        <v>2295</v>
      </c>
      <c r="B879" s="663" t="s">
        <v>180</v>
      </c>
      <c r="C879" s="663" t="s">
        <v>1210</v>
      </c>
      <c r="D879" s="663" t="s">
        <v>2234</v>
      </c>
      <c r="E879" s="664" t="s">
        <v>73</v>
      </c>
      <c r="F879" s="665">
        <v>10259.0</v>
      </c>
      <c r="G879" s="665">
        <v>7.0</v>
      </c>
      <c r="H879" s="665">
        <v>0.07</v>
      </c>
      <c r="I879" s="665">
        <v>0.05</v>
      </c>
      <c r="J879" s="665">
        <v>0.05</v>
      </c>
      <c r="K879" s="665">
        <v>105.0</v>
      </c>
      <c r="L879" s="665">
        <v>230120.0</v>
      </c>
      <c r="M879" s="665">
        <v>0.01</v>
      </c>
      <c r="N879" s="1">
        <v>15.0</v>
      </c>
      <c r="O879" s="1">
        <v>105.0</v>
      </c>
      <c r="P879" s="1">
        <v>230120.0</v>
      </c>
      <c r="Q879" s="1">
        <v>0.0102</v>
      </c>
      <c r="R879" s="1">
        <v>105456.0</v>
      </c>
    </row>
    <row r="880">
      <c r="A880" s="663" t="s">
        <v>2295</v>
      </c>
      <c r="B880" s="663" t="s">
        <v>180</v>
      </c>
      <c r="C880" s="663" t="s">
        <v>1210</v>
      </c>
      <c r="D880" s="663" t="s">
        <v>2234</v>
      </c>
      <c r="E880" s="664" t="s">
        <v>14</v>
      </c>
      <c r="F880" s="665">
        <v>10259.0</v>
      </c>
      <c r="G880" s="665">
        <v>7.0</v>
      </c>
      <c r="H880" s="665">
        <v>0.07</v>
      </c>
      <c r="I880" s="665">
        <v>0.03</v>
      </c>
      <c r="J880" s="665">
        <v>0.04</v>
      </c>
      <c r="K880" s="665">
        <v>70.0</v>
      </c>
      <c r="L880" s="665">
        <v>230120.0</v>
      </c>
      <c r="M880" s="665">
        <v>0.01</v>
      </c>
      <c r="N880" s="1">
        <v>10.0</v>
      </c>
      <c r="O880" s="1">
        <v>70.0</v>
      </c>
      <c r="P880" s="1">
        <v>230120.0</v>
      </c>
      <c r="Q880" s="1">
        <v>0.0068</v>
      </c>
      <c r="R880" s="1">
        <v>105456.0</v>
      </c>
    </row>
    <row r="881">
      <c r="A881" s="663" t="s">
        <v>2295</v>
      </c>
      <c r="B881" s="663" t="s">
        <v>180</v>
      </c>
      <c r="C881" s="663" t="s">
        <v>1210</v>
      </c>
      <c r="D881" s="663" t="s">
        <v>2234</v>
      </c>
      <c r="E881" s="664" t="s">
        <v>151</v>
      </c>
      <c r="F881" s="665">
        <v>10259.0</v>
      </c>
      <c r="G881" s="665">
        <v>1.0</v>
      </c>
      <c r="H881" s="665">
        <v>0.01</v>
      </c>
      <c r="I881" s="665">
        <v>0.0</v>
      </c>
      <c r="J881" s="665">
        <v>0.01</v>
      </c>
      <c r="K881" s="665">
        <v>10.0</v>
      </c>
      <c r="L881" s="665">
        <v>230120.0</v>
      </c>
      <c r="M881" s="665">
        <v>0.0</v>
      </c>
      <c r="N881" s="1">
        <v>10.0</v>
      </c>
      <c r="O881" s="1">
        <v>10.0</v>
      </c>
      <c r="P881" s="1">
        <v>230120.0</v>
      </c>
      <c r="Q881" s="1">
        <v>0.001</v>
      </c>
      <c r="R881" s="1">
        <v>105456.0</v>
      </c>
    </row>
    <row r="882">
      <c r="A882" s="663" t="s">
        <v>2295</v>
      </c>
      <c r="B882" s="663" t="s">
        <v>180</v>
      </c>
      <c r="C882" s="663" t="s">
        <v>1211</v>
      </c>
      <c r="D882" s="663" t="s">
        <v>2234</v>
      </c>
      <c r="E882" s="664" t="s">
        <v>413</v>
      </c>
      <c r="F882" s="665">
        <v>14751.0</v>
      </c>
      <c r="G882" s="665">
        <v>8556.0</v>
      </c>
      <c r="H882" s="665">
        <v>58.0</v>
      </c>
      <c r="I882" s="665">
        <v>30.79</v>
      </c>
      <c r="J882" s="665">
        <v>41.25</v>
      </c>
      <c r="K882" s="665">
        <v>120550.0</v>
      </c>
      <c r="L882" s="665">
        <v>391470.0</v>
      </c>
      <c r="M882" s="665">
        <v>8.17</v>
      </c>
      <c r="N882" s="1">
        <v>14.0895</v>
      </c>
      <c r="O882" s="1">
        <v>120550.0</v>
      </c>
      <c r="P882" s="1">
        <v>391470.0</v>
      </c>
      <c r="Q882" s="1">
        <v>8.1723</v>
      </c>
      <c r="R882" s="1">
        <v>105456.0</v>
      </c>
    </row>
    <row r="883">
      <c r="A883" s="663" t="s">
        <v>2295</v>
      </c>
      <c r="B883" s="663" t="s">
        <v>180</v>
      </c>
      <c r="C883" s="663" t="s">
        <v>1211</v>
      </c>
      <c r="D883" s="663" t="s">
        <v>2234</v>
      </c>
      <c r="E883" s="664" t="s">
        <v>14</v>
      </c>
      <c r="F883" s="665">
        <v>14751.0</v>
      </c>
      <c r="G883" s="665">
        <v>4801.0</v>
      </c>
      <c r="H883" s="665">
        <v>32.55</v>
      </c>
      <c r="I883" s="665">
        <v>19.8</v>
      </c>
      <c r="J883" s="665">
        <v>16.75</v>
      </c>
      <c r="K883" s="665">
        <v>77500.0</v>
      </c>
      <c r="L883" s="665">
        <v>391470.0</v>
      </c>
      <c r="M883" s="665">
        <v>5.25</v>
      </c>
      <c r="N883" s="1">
        <v>16.1425</v>
      </c>
      <c r="O883" s="1">
        <v>77500.0</v>
      </c>
      <c r="P883" s="1">
        <v>391470.0</v>
      </c>
      <c r="Q883" s="1">
        <v>5.2539</v>
      </c>
      <c r="R883" s="1">
        <v>105456.0</v>
      </c>
    </row>
    <row r="884">
      <c r="A884" s="663" t="s">
        <v>2295</v>
      </c>
      <c r="B884" s="663" t="s">
        <v>180</v>
      </c>
      <c r="C884" s="663" t="s">
        <v>1211</v>
      </c>
      <c r="D884" s="663" t="s">
        <v>2234</v>
      </c>
      <c r="E884" s="664" t="s">
        <v>397</v>
      </c>
      <c r="F884" s="665">
        <v>14751.0</v>
      </c>
      <c r="G884" s="665">
        <v>1246.0</v>
      </c>
      <c r="H884" s="665">
        <v>8.45</v>
      </c>
      <c r="I884" s="665">
        <v>19.33</v>
      </c>
      <c r="J884" s="665">
        <v>5.98</v>
      </c>
      <c r="K884" s="665">
        <v>75660.0</v>
      </c>
      <c r="L884" s="665">
        <v>391470.0</v>
      </c>
      <c r="M884" s="665">
        <v>5.13</v>
      </c>
      <c r="N884" s="1">
        <v>60.7223</v>
      </c>
      <c r="O884" s="1">
        <v>75660.0</v>
      </c>
      <c r="P884" s="1">
        <v>391470.0</v>
      </c>
      <c r="Q884" s="1">
        <v>5.1291</v>
      </c>
      <c r="R884" s="1">
        <v>105456.0</v>
      </c>
    </row>
    <row r="885">
      <c r="A885" s="663" t="s">
        <v>2295</v>
      </c>
      <c r="B885" s="663" t="s">
        <v>180</v>
      </c>
      <c r="C885" s="663" t="s">
        <v>1211</v>
      </c>
      <c r="D885" s="663" t="s">
        <v>2234</v>
      </c>
      <c r="E885" s="664" t="s">
        <v>401</v>
      </c>
      <c r="F885" s="665">
        <v>14751.0</v>
      </c>
      <c r="G885" s="665">
        <v>4875.0</v>
      </c>
      <c r="H885" s="665">
        <v>33.05</v>
      </c>
      <c r="I885" s="665">
        <v>14.31</v>
      </c>
      <c r="J885" s="665">
        <v>18.35</v>
      </c>
      <c r="K885" s="665">
        <v>56015.0</v>
      </c>
      <c r="L885" s="665">
        <v>391470.0</v>
      </c>
      <c r="M885" s="665">
        <v>3.8</v>
      </c>
      <c r="N885" s="1">
        <v>11.4903</v>
      </c>
      <c r="O885" s="1">
        <v>56015.0</v>
      </c>
      <c r="P885" s="1">
        <v>391470.0</v>
      </c>
      <c r="Q885" s="1">
        <v>3.7974</v>
      </c>
      <c r="R885" s="1">
        <v>105456.0</v>
      </c>
    </row>
    <row r="886">
      <c r="A886" s="663" t="s">
        <v>2295</v>
      </c>
      <c r="B886" s="663" t="s">
        <v>180</v>
      </c>
      <c r="C886" s="663" t="s">
        <v>1211</v>
      </c>
      <c r="D886" s="663" t="s">
        <v>2234</v>
      </c>
      <c r="E886" s="664" t="s">
        <v>206</v>
      </c>
      <c r="F886" s="665">
        <v>14751.0</v>
      </c>
      <c r="G886" s="665">
        <v>3868.0</v>
      </c>
      <c r="H886" s="665">
        <v>26.22</v>
      </c>
      <c r="I886" s="665">
        <v>10.05</v>
      </c>
      <c r="J886" s="665">
        <v>13.09</v>
      </c>
      <c r="K886" s="665">
        <v>39330.0</v>
      </c>
      <c r="L886" s="665">
        <v>391470.0</v>
      </c>
      <c r="M886" s="665">
        <v>2.67</v>
      </c>
      <c r="N886" s="1">
        <v>10.168</v>
      </c>
      <c r="O886" s="1">
        <v>39330.0</v>
      </c>
      <c r="P886" s="1">
        <v>391470.0</v>
      </c>
      <c r="Q886" s="1">
        <v>2.6663</v>
      </c>
      <c r="R886" s="1">
        <v>105456.0</v>
      </c>
    </row>
    <row r="887">
      <c r="A887" s="663" t="s">
        <v>2295</v>
      </c>
      <c r="B887" s="663" t="s">
        <v>180</v>
      </c>
      <c r="C887" s="663" t="s">
        <v>1211</v>
      </c>
      <c r="D887" s="663" t="s">
        <v>2234</v>
      </c>
      <c r="E887" s="664" t="s">
        <v>9</v>
      </c>
      <c r="F887" s="665">
        <v>14751.0</v>
      </c>
      <c r="G887" s="665">
        <v>1529.0</v>
      </c>
      <c r="H887" s="665">
        <v>10.37</v>
      </c>
      <c r="I887" s="665">
        <v>4.54</v>
      </c>
      <c r="J887" s="665">
        <v>3.68</v>
      </c>
      <c r="K887" s="665">
        <v>17780.0</v>
      </c>
      <c r="L887" s="665">
        <v>391470.0</v>
      </c>
      <c r="M887" s="665">
        <v>1.21</v>
      </c>
      <c r="N887" s="1">
        <v>11.6285</v>
      </c>
      <c r="O887" s="1">
        <v>17780.0</v>
      </c>
      <c r="P887" s="1">
        <v>391470.0</v>
      </c>
      <c r="Q887" s="1">
        <v>1.2053</v>
      </c>
      <c r="R887" s="1">
        <v>105456.0</v>
      </c>
    </row>
    <row r="888">
      <c r="A888" s="663" t="s">
        <v>2295</v>
      </c>
      <c r="B888" s="663" t="s">
        <v>180</v>
      </c>
      <c r="C888" s="663" t="s">
        <v>1211</v>
      </c>
      <c r="D888" s="663" t="s">
        <v>2234</v>
      </c>
      <c r="E888" s="664" t="s">
        <v>73</v>
      </c>
      <c r="F888" s="665">
        <v>14751.0</v>
      </c>
      <c r="G888" s="665">
        <v>156.0</v>
      </c>
      <c r="H888" s="665">
        <v>1.06</v>
      </c>
      <c r="I888" s="665">
        <v>0.61</v>
      </c>
      <c r="J888" s="665">
        <v>0.52</v>
      </c>
      <c r="K888" s="665">
        <v>2385.0</v>
      </c>
      <c r="L888" s="665">
        <v>391470.0</v>
      </c>
      <c r="M888" s="665">
        <v>0.16</v>
      </c>
      <c r="N888" s="1">
        <v>15.2885</v>
      </c>
      <c r="O888" s="1">
        <v>2385.0</v>
      </c>
      <c r="P888" s="1">
        <v>391470.0</v>
      </c>
      <c r="Q888" s="1">
        <v>0.1617</v>
      </c>
      <c r="R888" s="1">
        <v>105456.0</v>
      </c>
    </row>
    <row r="889">
      <c r="A889" s="663" t="s">
        <v>2295</v>
      </c>
      <c r="B889" s="663" t="s">
        <v>180</v>
      </c>
      <c r="C889" s="663" t="s">
        <v>1211</v>
      </c>
      <c r="D889" s="663" t="s">
        <v>2234</v>
      </c>
      <c r="E889" s="664" t="s">
        <v>411</v>
      </c>
      <c r="F889" s="665">
        <v>14751.0</v>
      </c>
      <c r="G889" s="665">
        <v>67.0</v>
      </c>
      <c r="H889" s="665">
        <v>0.45</v>
      </c>
      <c r="I889" s="665">
        <v>0.57</v>
      </c>
      <c r="J889" s="665">
        <v>0.36</v>
      </c>
      <c r="K889" s="665">
        <v>2215.0</v>
      </c>
      <c r="L889" s="665">
        <v>391470.0</v>
      </c>
      <c r="M889" s="665">
        <v>0.15</v>
      </c>
      <c r="N889" s="1">
        <v>33.0597</v>
      </c>
      <c r="O889" s="1">
        <v>2215.0</v>
      </c>
      <c r="P889" s="1">
        <v>391470.0</v>
      </c>
      <c r="Q889" s="1">
        <v>0.1502</v>
      </c>
      <c r="R889" s="1">
        <v>105456.0</v>
      </c>
    </row>
    <row r="890">
      <c r="A890" s="663" t="s">
        <v>2295</v>
      </c>
      <c r="B890" s="663" t="s">
        <v>180</v>
      </c>
      <c r="C890" s="663" t="s">
        <v>1211</v>
      </c>
      <c r="D890" s="663" t="s">
        <v>2234</v>
      </c>
      <c r="E890" s="664" t="s">
        <v>414</v>
      </c>
      <c r="F890" s="665">
        <v>14751.0</v>
      </c>
      <c r="G890" s="665">
        <v>1.0</v>
      </c>
      <c r="H890" s="665">
        <v>0.01</v>
      </c>
      <c r="I890" s="665">
        <v>0.01</v>
      </c>
      <c r="J890" s="665">
        <v>0.0</v>
      </c>
      <c r="K890" s="665">
        <v>20.0</v>
      </c>
      <c r="L890" s="665">
        <v>391470.0</v>
      </c>
      <c r="M890" s="665">
        <v>0.0</v>
      </c>
      <c r="N890" s="1">
        <v>20.0</v>
      </c>
      <c r="O890" s="1">
        <v>20.0</v>
      </c>
      <c r="P890" s="1">
        <v>391470.0</v>
      </c>
      <c r="Q890" s="1">
        <v>0.0014</v>
      </c>
      <c r="R890" s="1">
        <v>105456.0</v>
      </c>
    </row>
    <row r="891">
      <c r="A891" s="663" t="s">
        <v>2295</v>
      </c>
      <c r="B891" s="663" t="s">
        <v>180</v>
      </c>
      <c r="C891" s="663" t="s">
        <v>1211</v>
      </c>
      <c r="D891" s="663" t="s">
        <v>2234</v>
      </c>
      <c r="E891" s="664" t="s">
        <v>151</v>
      </c>
      <c r="F891" s="665">
        <v>14751.0</v>
      </c>
      <c r="G891" s="665">
        <v>1.0</v>
      </c>
      <c r="H891" s="665">
        <v>0.01</v>
      </c>
      <c r="I891" s="665">
        <v>0.0</v>
      </c>
      <c r="J891" s="665">
        <v>0.0</v>
      </c>
      <c r="K891" s="665">
        <v>15.0</v>
      </c>
      <c r="L891" s="665">
        <v>391470.0</v>
      </c>
      <c r="M891" s="665">
        <v>0.0</v>
      </c>
      <c r="N891" s="1">
        <v>15.0</v>
      </c>
      <c r="O891" s="1">
        <v>15.0</v>
      </c>
      <c r="P891" s="1">
        <v>391470.0</v>
      </c>
      <c r="Q891" s="1">
        <v>0.001</v>
      </c>
      <c r="R891" s="1">
        <v>105456.0</v>
      </c>
    </row>
    <row r="892">
      <c r="A892" s="663" t="s">
        <v>2295</v>
      </c>
      <c r="B892" s="663" t="s">
        <v>180</v>
      </c>
      <c r="C892" s="663" t="s">
        <v>55</v>
      </c>
      <c r="D892" s="663" t="s">
        <v>2234</v>
      </c>
      <c r="E892" s="664" t="s">
        <v>418</v>
      </c>
      <c r="F892" s="665">
        <v>38968.0</v>
      </c>
      <c r="G892" s="665">
        <v>36083.0</v>
      </c>
      <c r="H892" s="665">
        <v>92.6</v>
      </c>
      <c r="I892" s="665">
        <v>27.03</v>
      </c>
      <c r="J892" s="665">
        <v>42.18</v>
      </c>
      <c r="K892" s="665">
        <v>3177965.0</v>
      </c>
      <c r="L892" s="665">
        <v>1.1758251E7</v>
      </c>
      <c r="M892" s="665">
        <v>81.55</v>
      </c>
      <c r="N892" s="1">
        <v>88.0737</v>
      </c>
      <c r="O892" s="1">
        <v>3177965.0</v>
      </c>
      <c r="P892" s="1">
        <v>1.1758251E7</v>
      </c>
      <c r="Q892" s="1">
        <v>81.5532</v>
      </c>
      <c r="R892" s="1">
        <v>105456.0</v>
      </c>
    </row>
    <row r="893">
      <c r="A893" s="663" t="s">
        <v>2295</v>
      </c>
      <c r="B893" s="663" t="s">
        <v>180</v>
      </c>
      <c r="C893" s="663" t="s">
        <v>55</v>
      </c>
      <c r="D893" s="663" t="s">
        <v>2234</v>
      </c>
      <c r="E893" s="664" t="s">
        <v>51</v>
      </c>
      <c r="F893" s="665">
        <v>38968.0</v>
      </c>
      <c r="G893" s="665">
        <v>12801.0</v>
      </c>
      <c r="H893" s="665">
        <v>32.85</v>
      </c>
      <c r="I893" s="665">
        <v>14.12</v>
      </c>
      <c r="J893" s="665">
        <v>8.74</v>
      </c>
      <c r="K893" s="665">
        <v>1660300.0</v>
      </c>
      <c r="L893" s="665">
        <v>1.1758251E7</v>
      </c>
      <c r="M893" s="665">
        <v>42.61</v>
      </c>
      <c r="N893" s="1">
        <v>129.7008</v>
      </c>
      <c r="O893" s="1">
        <v>1660300.0</v>
      </c>
      <c r="P893" s="1">
        <v>1.1758251E7</v>
      </c>
      <c r="Q893" s="1">
        <v>42.6068</v>
      </c>
      <c r="R893" s="1">
        <v>105456.0</v>
      </c>
    </row>
    <row r="894">
      <c r="A894" s="663" t="s">
        <v>2295</v>
      </c>
      <c r="B894" s="663" t="s">
        <v>180</v>
      </c>
      <c r="C894" s="663" t="s">
        <v>55</v>
      </c>
      <c r="D894" s="663" t="s">
        <v>2234</v>
      </c>
      <c r="E894" s="664" t="s">
        <v>397</v>
      </c>
      <c r="F894" s="665">
        <v>38968.0</v>
      </c>
      <c r="G894" s="665">
        <v>23571.0</v>
      </c>
      <c r="H894" s="665">
        <v>60.49</v>
      </c>
      <c r="I894" s="665">
        <v>11.32</v>
      </c>
      <c r="J894" s="665">
        <v>12.76</v>
      </c>
      <c r="K894" s="665">
        <v>1330740.0</v>
      </c>
      <c r="L894" s="665">
        <v>1.1758251E7</v>
      </c>
      <c r="M894" s="665">
        <v>34.15</v>
      </c>
      <c r="N894" s="1">
        <v>56.4567</v>
      </c>
      <c r="O894" s="1">
        <v>1330740.0</v>
      </c>
      <c r="P894" s="1">
        <v>1.1758251E7</v>
      </c>
      <c r="Q894" s="1">
        <v>34.1496</v>
      </c>
      <c r="R894" s="1">
        <v>105456.0</v>
      </c>
    </row>
    <row r="895">
      <c r="A895" s="663" t="s">
        <v>2295</v>
      </c>
      <c r="B895" s="663" t="s">
        <v>180</v>
      </c>
      <c r="C895" s="663" t="s">
        <v>55</v>
      </c>
      <c r="D895" s="663" t="s">
        <v>2234</v>
      </c>
      <c r="E895" s="664" t="s">
        <v>9</v>
      </c>
      <c r="F895" s="665">
        <v>38968.0</v>
      </c>
      <c r="G895" s="665">
        <v>13038.0</v>
      </c>
      <c r="H895" s="665">
        <v>33.46</v>
      </c>
      <c r="I895" s="665">
        <v>10.38</v>
      </c>
      <c r="J895" s="665">
        <v>7.15</v>
      </c>
      <c r="K895" s="665">
        <v>1220490.0</v>
      </c>
      <c r="L895" s="665">
        <v>1.1758251E7</v>
      </c>
      <c r="M895" s="665">
        <v>31.32</v>
      </c>
      <c r="N895" s="1">
        <v>93.6102</v>
      </c>
      <c r="O895" s="1">
        <v>1220490.0</v>
      </c>
      <c r="P895" s="1">
        <v>1.1758251E7</v>
      </c>
      <c r="Q895" s="1">
        <v>31.3203</v>
      </c>
      <c r="R895" s="1">
        <v>105456.0</v>
      </c>
    </row>
    <row r="896">
      <c r="A896" s="663" t="s">
        <v>2295</v>
      </c>
      <c r="B896" s="663" t="s">
        <v>180</v>
      </c>
      <c r="C896" s="663" t="s">
        <v>55</v>
      </c>
      <c r="D896" s="663" t="s">
        <v>2234</v>
      </c>
      <c r="E896" s="664" t="s">
        <v>396</v>
      </c>
      <c r="F896" s="665">
        <v>38968.0</v>
      </c>
      <c r="G896" s="665">
        <v>14775.0</v>
      </c>
      <c r="H896" s="665">
        <v>37.92</v>
      </c>
      <c r="I896" s="665">
        <v>7.77</v>
      </c>
      <c r="J896" s="665">
        <v>8.48</v>
      </c>
      <c r="K896" s="665">
        <v>913410.0</v>
      </c>
      <c r="L896" s="665">
        <v>1.1758251E7</v>
      </c>
      <c r="M896" s="665">
        <v>23.44</v>
      </c>
      <c r="N896" s="1">
        <v>61.8213</v>
      </c>
      <c r="O896" s="1">
        <v>913410.0</v>
      </c>
      <c r="P896" s="1">
        <v>1.1758251E7</v>
      </c>
      <c r="Q896" s="1">
        <v>23.44</v>
      </c>
      <c r="R896" s="1">
        <v>105456.0</v>
      </c>
    </row>
    <row r="897">
      <c r="A897" s="663" t="s">
        <v>2295</v>
      </c>
      <c r="B897" s="663" t="s">
        <v>180</v>
      </c>
      <c r="C897" s="663" t="s">
        <v>55</v>
      </c>
      <c r="D897" s="663" t="s">
        <v>2234</v>
      </c>
      <c r="E897" s="664" t="s">
        <v>398</v>
      </c>
      <c r="F897" s="665">
        <v>38968.0</v>
      </c>
      <c r="G897" s="665">
        <v>14817.0</v>
      </c>
      <c r="H897" s="665">
        <v>38.02</v>
      </c>
      <c r="I897" s="665">
        <v>7.53</v>
      </c>
      <c r="J897" s="665">
        <v>4.37</v>
      </c>
      <c r="K897" s="665">
        <v>885680.0</v>
      </c>
      <c r="L897" s="665">
        <v>1.1758251E7</v>
      </c>
      <c r="M897" s="665">
        <v>22.73</v>
      </c>
      <c r="N897" s="1">
        <v>59.7746</v>
      </c>
      <c r="O897" s="1">
        <v>885680.0</v>
      </c>
      <c r="P897" s="1">
        <v>1.1758251E7</v>
      </c>
      <c r="Q897" s="1">
        <v>22.7284</v>
      </c>
      <c r="R897" s="1">
        <v>105456.0</v>
      </c>
    </row>
    <row r="898">
      <c r="A898" s="663" t="s">
        <v>2295</v>
      </c>
      <c r="B898" s="663" t="s">
        <v>180</v>
      </c>
      <c r="C898" s="663" t="s">
        <v>55</v>
      </c>
      <c r="D898" s="663" t="s">
        <v>2234</v>
      </c>
      <c r="E898" s="664" t="s">
        <v>14</v>
      </c>
      <c r="F898" s="665">
        <v>38968.0</v>
      </c>
      <c r="G898" s="665">
        <v>14542.0</v>
      </c>
      <c r="H898" s="665">
        <v>37.32</v>
      </c>
      <c r="I898" s="665">
        <v>6.36</v>
      </c>
      <c r="J898" s="665">
        <v>3.89</v>
      </c>
      <c r="K898" s="665">
        <v>747270.0</v>
      </c>
      <c r="L898" s="665">
        <v>1.1758251E7</v>
      </c>
      <c r="M898" s="665">
        <v>19.18</v>
      </c>
      <c r="N898" s="1">
        <v>51.387</v>
      </c>
      <c r="O898" s="1">
        <v>747270.0</v>
      </c>
      <c r="P898" s="1">
        <v>1.1758251E7</v>
      </c>
      <c r="Q898" s="1">
        <v>19.1765</v>
      </c>
      <c r="R898" s="1">
        <v>105456.0</v>
      </c>
    </row>
    <row r="899">
      <c r="A899" s="663" t="s">
        <v>2295</v>
      </c>
      <c r="B899" s="663" t="s">
        <v>180</v>
      </c>
      <c r="C899" s="663" t="s">
        <v>55</v>
      </c>
      <c r="D899" s="663" t="s">
        <v>2234</v>
      </c>
      <c r="E899" s="664" t="s">
        <v>63</v>
      </c>
      <c r="F899" s="665">
        <v>38968.0</v>
      </c>
      <c r="G899" s="665">
        <v>11195.0</v>
      </c>
      <c r="H899" s="665">
        <v>28.73</v>
      </c>
      <c r="I899" s="665">
        <v>5.26</v>
      </c>
      <c r="J899" s="665">
        <v>4.36</v>
      </c>
      <c r="K899" s="665">
        <v>618540.0</v>
      </c>
      <c r="L899" s="665">
        <v>1.1758251E7</v>
      </c>
      <c r="M899" s="665">
        <v>15.87</v>
      </c>
      <c r="N899" s="1">
        <v>55.2515</v>
      </c>
      <c r="O899" s="1">
        <v>618540.0</v>
      </c>
      <c r="P899" s="1">
        <v>1.1758251E7</v>
      </c>
      <c r="Q899" s="1">
        <v>15.873</v>
      </c>
      <c r="R899" s="1">
        <v>105456.0</v>
      </c>
    </row>
    <row r="900">
      <c r="A900" s="663" t="s">
        <v>2295</v>
      </c>
      <c r="B900" s="663" t="s">
        <v>180</v>
      </c>
      <c r="C900" s="663" t="s">
        <v>55</v>
      </c>
      <c r="D900" s="663" t="s">
        <v>2234</v>
      </c>
      <c r="E900" s="664" t="s">
        <v>413</v>
      </c>
      <c r="F900" s="665">
        <v>38968.0</v>
      </c>
      <c r="G900" s="665">
        <v>9739.0</v>
      </c>
      <c r="H900" s="665">
        <v>24.99</v>
      </c>
      <c r="I900" s="665">
        <v>4.76</v>
      </c>
      <c r="J900" s="665">
        <v>4.23</v>
      </c>
      <c r="K900" s="665">
        <v>559180.0</v>
      </c>
      <c r="L900" s="665">
        <v>1.1758251E7</v>
      </c>
      <c r="M900" s="665">
        <v>14.35</v>
      </c>
      <c r="N900" s="1">
        <v>57.4166</v>
      </c>
      <c r="O900" s="1">
        <v>559180.0</v>
      </c>
      <c r="P900" s="1">
        <v>1.1758251E7</v>
      </c>
      <c r="Q900" s="1">
        <v>14.3497</v>
      </c>
      <c r="R900" s="1">
        <v>105456.0</v>
      </c>
    </row>
    <row r="901">
      <c r="A901" s="663" t="s">
        <v>2295</v>
      </c>
      <c r="B901" s="663" t="s">
        <v>180</v>
      </c>
      <c r="C901" s="663" t="s">
        <v>55</v>
      </c>
      <c r="D901" s="663" t="s">
        <v>2234</v>
      </c>
      <c r="E901" s="664" t="s">
        <v>7</v>
      </c>
      <c r="F901" s="665">
        <v>38968.0</v>
      </c>
      <c r="G901" s="665">
        <v>5910.0</v>
      </c>
      <c r="H901" s="665">
        <v>15.17</v>
      </c>
      <c r="I901" s="665">
        <v>2.17</v>
      </c>
      <c r="J901" s="665">
        <v>1.46</v>
      </c>
      <c r="K901" s="665">
        <v>254600.0</v>
      </c>
      <c r="L901" s="665">
        <v>1.1758251E7</v>
      </c>
      <c r="M901" s="665">
        <v>6.53</v>
      </c>
      <c r="N901" s="1">
        <v>43.0795</v>
      </c>
      <c r="O901" s="1">
        <v>254600.0</v>
      </c>
      <c r="P901" s="1">
        <v>1.1758251E7</v>
      </c>
      <c r="Q901" s="1">
        <v>6.5336</v>
      </c>
      <c r="R901" s="1">
        <v>105456.0</v>
      </c>
    </row>
    <row r="902">
      <c r="A902" s="663" t="s">
        <v>2295</v>
      </c>
      <c r="B902" s="663" t="s">
        <v>180</v>
      </c>
      <c r="C902" s="663" t="s">
        <v>55</v>
      </c>
      <c r="D902" s="663" t="s">
        <v>2234</v>
      </c>
      <c r="E902" s="664" t="s">
        <v>411</v>
      </c>
      <c r="F902" s="665">
        <v>38968.0</v>
      </c>
      <c r="G902" s="665">
        <v>2606.0</v>
      </c>
      <c r="H902" s="665">
        <v>6.69</v>
      </c>
      <c r="I902" s="665">
        <v>0.87</v>
      </c>
      <c r="J902" s="665">
        <v>0.91</v>
      </c>
      <c r="K902" s="665">
        <v>101916.0</v>
      </c>
      <c r="L902" s="665">
        <v>1.1758251E7</v>
      </c>
      <c r="M902" s="665">
        <v>2.62</v>
      </c>
      <c r="N902" s="1">
        <v>39.1082</v>
      </c>
      <c r="O902" s="1">
        <v>101916.0</v>
      </c>
      <c r="P902" s="1">
        <v>1.1758251E7</v>
      </c>
      <c r="Q902" s="1">
        <v>2.6154</v>
      </c>
      <c r="R902" s="1">
        <v>105456.0</v>
      </c>
    </row>
    <row r="903">
      <c r="A903" s="663" t="s">
        <v>2295</v>
      </c>
      <c r="B903" s="663" t="s">
        <v>180</v>
      </c>
      <c r="C903" s="663" t="s">
        <v>55</v>
      </c>
      <c r="D903" s="663" t="s">
        <v>2234</v>
      </c>
      <c r="E903" s="664" t="s">
        <v>401</v>
      </c>
      <c r="F903" s="665">
        <v>38968.0</v>
      </c>
      <c r="G903" s="665">
        <v>2315.0</v>
      </c>
      <c r="H903" s="665">
        <v>5.94</v>
      </c>
      <c r="I903" s="665">
        <v>0.75</v>
      </c>
      <c r="J903" s="665">
        <v>0.46</v>
      </c>
      <c r="K903" s="665">
        <v>87930.0</v>
      </c>
      <c r="L903" s="665">
        <v>1.1758251E7</v>
      </c>
      <c r="M903" s="665">
        <v>2.26</v>
      </c>
      <c r="N903" s="1">
        <v>37.9827</v>
      </c>
      <c r="O903" s="1">
        <v>87930.0</v>
      </c>
      <c r="P903" s="1">
        <v>1.1758251E7</v>
      </c>
      <c r="Q903" s="1">
        <v>2.2565</v>
      </c>
      <c r="R903" s="1">
        <v>105456.0</v>
      </c>
    </row>
    <row r="904">
      <c r="A904" s="663" t="s">
        <v>2295</v>
      </c>
      <c r="B904" s="663" t="s">
        <v>180</v>
      </c>
      <c r="C904" s="663" t="s">
        <v>55</v>
      </c>
      <c r="D904" s="663" t="s">
        <v>2234</v>
      </c>
      <c r="E904" s="664" t="s">
        <v>393</v>
      </c>
      <c r="F904" s="665">
        <v>38968.0</v>
      </c>
      <c r="G904" s="665">
        <v>2810.0</v>
      </c>
      <c r="H904" s="665">
        <v>7.21</v>
      </c>
      <c r="I904" s="665">
        <v>0.67</v>
      </c>
      <c r="J904" s="665">
        <v>0.34</v>
      </c>
      <c r="K904" s="665">
        <v>78410.0</v>
      </c>
      <c r="L904" s="665">
        <v>1.1758251E7</v>
      </c>
      <c r="M904" s="665">
        <v>2.01</v>
      </c>
      <c r="N904" s="1">
        <v>27.9039</v>
      </c>
      <c r="O904" s="1">
        <v>78410.0</v>
      </c>
      <c r="P904" s="1">
        <v>1.1758251E7</v>
      </c>
      <c r="Q904" s="1">
        <v>2.0122</v>
      </c>
      <c r="R904" s="1">
        <v>105456.0</v>
      </c>
    </row>
    <row r="905">
      <c r="A905" s="663" t="s">
        <v>2295</v>
      </c>
      <c r="B905" s="663" t="s">
        <v>180</v>
      </c>
      <c r="C905" s="663" t="s">
        <v>55</v>
      </c>
      <c r="D905" s="663" t="s">
        <v>2234</v>
      </c>
      <c r="E905" s="664" t="s">
        <v>206</v>
      </c>
      <c r="F905" s="665">
        <v>38968.0</v>
      </c>
      <c r="G905" s="665">
        <v>1818.0</v>
      </c>
      <c r="H905" s="665">
        <v>4.67</v>
      </c>
      <c r="I905" s="665">
        <v>0.5</v>
      </c>
      <c r="J905" s="665">
        <v>0.27</v>
      </c>
      <c r="K905" s="665">
        <v>58290.0</v>
      </c>
      <c r="L905" s="665">
        <v>1.1758251E7</v>
      </c>
      <c r="M905" s="665">
        <v>1.5</v>
      </c>
      <c r="N905" s="1">
        <v>32.0627</v>
      </c>
      <c r="O905" s="1">
        <v>58290.0</v>
      </c>
      <c r="P905" s="1">
        <v>1.1758251E7</v>
      </c>
      <c r="Q905" s="1">
        <v>1.4958</v>
      </c>
      <c r="R905" s="1">
        <v>105456.0</v>
      </c>
    </row>
    <row r="906">
      <c r="A906" s="663" t="s">
        <v>2295</v>
      </c>
      <c r="B906" s="663" t="s">
        <v>180</v>
      </c>
      <c r="C906" s="663" t="s">
        <v>55</v>
      </c>
      <c r="D906" s="663" t="s">
        <v>2234</v>
      </c>
      <c r="E906" s="664" t="s">
        <v>73</v>
      </c>
      <c r="F906" s="665">
        <v>38968.0</v>
      </c>
      <c r="G906" s="665">
        <v>1039.0</v>
      </c>
      <c r="H906" s="665">
        <v>2.67</v>
      </c>
      <c r="I906" s="665">
        <v>0.31</v>
      </c>
      <c r="J906" s="665">
        <v>0.18</v>
      </c>
      <c r="K906" s="665">
        <v>35910.0</v>
      </c>
      <c r="L906" s="665">
        <v>1.1758251E7</v>
      </c>
      <c r="M906" s="665">
        <v>0.92</v>
      </c>
      <c r="N906" s="1">
        <v>34.5621</v>
      </c>
      <c r="O906" s="1">
        <v>35910.0</v>
      </c>
      <c r="P906" s="1">
        <v>1.1758251E7</v>
      </c>
      <c r="Q906" s="1">
        <v>0.9215</v>
      </c>
      <c r="R906" s="1">
        <v>105456.0</v>
      </c>
    </row>
    <row r="907">
      <c r="A907" s="663" t="s">
        <v>2295</v>
      </c>
      <c r="B907" s="663" t="s">
        <v>180</v>
      </c>
      <c r="C907" s="663" t="s">
        <v>55</v>
      </c>
      <c r="D907" s="663" t="s">
        <v>2234</v>
      </c>
      <c r="E907" s="664" t="s">
        <v>42</v>
      </c>
      <c r="F907" s="665">
        <v>38968.0</v>
      </c>
      <c r="G907" s="665">
        <v>528.0</v>
      </c>
      <c r="H907" s="665">
        <v>1.35</v>
      </c>
      <c r="I907" s="665">
        <v>0.23</v>
      </c>
      <c r="J907" s="665">
        <v>0.23</v>
      </c>
      <c r="K907" s="665">
        <v>27575.0</v>
      </c>
      <c r="L907" s="665">
        <v>1.1758251E7</v>
      </c>
      <c r="M907" s="665">
        <v>0.71</v>
      </c>
      <c r="N907" s="1">
        <v>52.2254</v>
      </c>
      <c r="O907" s="1">
        <v>27575.0</v>
      </c>
      <c r="P907" s="1">
        <v>1.1758251E7</v>
      </c>
      <c r="Q907" s="1">
        <v>0.7076</v>
      </c>
      <c r="R907" s="1">
        <v>105456.0</v>
      </c>
    </row>
    <row r="908">
      <c r="A908" s="663" t="s">
        <v>2295</v>
      </c>
      <c r="B908" s="663" t="s">
        <v>180</v>
      </c>
      <c r="C908" s="663" t="s">
        <v>55</v>
      </c>
      <c r="D908" s="663" t="s">
        <v>2234</v>
      </c>
      <c r="E908" s="664" t="s">
        <v>414</v>
      </c>
      <c r="F908" s="665">
        <v>38968.0</v>
      </c>
      <c r="G908" s="665">
        <v>2.0</v>
      </c>
      <c r="H908" s="665">
        <v>0.01</v>
      </c>
      <c r="I908" s="665">
        <v>0.0</v>
      </c>
      <c r="J908" s="665">
        <v>0.0</v>
      </c>
      <c r="K908" s="665">
        <v>45.0</v>
      </c>
      <c r="L908" s="665">
        <v>1.1758251E7</v>
      </c>
      <c r="M908" s="665">
        <v>0.0</v>
      </c>
      <c r="N908" s="1">
        <v>22.5</v>
      </c>
      <c r="O908" s="1">
        <v>45.0</v>
      </c>
      <c r="P908" s="1">
        <v>1.1758251E7</v>
      </c>
      <c r="Q908" s="1">
        <v>0.0012</v>
      </c>
      <c r="R908" s="1">
        <v>105456.0</v>
      </c>
    </row>
    <row r="909">
      <c r="A909" s="663" t="s">
        <v>2295</v>
      </c>
      <c r="B909" s="663" t="s">
        <v>1192</v>
      </c>
      <c r="C909" s="663" t="s">
        <v>50</v>
      </c>
      <c r="D909" s="663" t="s">
        <v>599</v>
      </c>
      <c r="E909" s="664" t="s">
        <v>411</v>
      </c>
      <c r="F909" s="665">
        <v>3281.0</v>
      </c>
      <c r="G909" s="665">
        <v>2243.0</v>
      </c>
      <c r="H909" s="665">
        <v>68.36</v>
      </c>
      <c r="I909" s="665">
        <v>25.72</v>
      </c>
      <c r="J909" s="665">
        <v>33.89</v>
      </c>
      <c r="K909" s="665">
        <v>3453.0</v>
      </c>
      <c r="L909" s="665">
        <v>13427.0</v>
      </c>
      <c r="M909" s="665">
        <v>1.05</v>
      </c>
      <c r="N909" s="1">
        <v>1.5395</v>
      </c>
      <c r="O909" s="1">
        <v>3453.0</v>
      </c>
      <c r="P909" s="1">
        <v>13427.0</v>
      </c>
      <c r="Q909" s="1">
        <v>1.0524</v>
      </c>
      <c r="R909" s="1">
        <v>16507.0</v>
      </c>
    </row>
    <row r="910">
      <c r="A910" s="663" t="s">
        <v>2295</v>
      </c>
      <c r="B910" s="663" t="s">
        <v>1192</v>
      </c>
      <c r="C910" s="663" t="s">
        <v>50</v>
      </c>
      <c r="D910" s="663" t="s">
        <v>599</v>
      </c>
      <c r="E910" s="664" t="s">
        <v>418</v>
      </c>
      <c r="F910" s="665">
        <v>3281.0</v>
      </c>
      <c r="G910" s="665">
        <v>1738.0</v>
      </c>
      <c r="H910" s="665">
        <v>52.97</v>
      </c>
      <c r="I910" s="665">
        <v>16.84</v>
      </c>
      <c r="J910" s="665">
        <v>17.85</v>
      </c>
      <c r="K910" s="665">
        <v>2261.0</v>
      </c>
      <c r="L910" s="665">
        <v>13427.0</v>
      </c>
      <c r="M910" s="665">
        <v>0.69</v>
      </c>
      <c r="N910" s="1">
        <v>1.3009</v>
      </c>
      <c r="O910" s="1">
        <v>2261.0</v>
      </c>
      <c r="P910" s="1">
        <v>13427.0</v>
      </c>
      <c r="Q910" s="1">
        <v>0.6891</v>
      </c>
      <c r="R910" s="1">
        <v>16507.0</v>
      </c>
    </row>
    <row r="911">
      <c r="A911" s="663" t="s">
        <v>2295</v>
      </c>
      <c r="B911" s="663" t="s">
        <v>1192</v>
      </c>
      <c r="C911" s="663" t="s">
        <v>50</v>
      </c>
      <c r="D911" s="663" t="s">
        <v>599</v>
      </c>
      <c r="E911" s="664" t="s">
        <v>413</v>
      </c>
      <c r="F911" s="665">
        <v>3281.0</v>
      </c>
      <c r="G911" s="665">
        <v>1099.0</v>
      </c>
      <c r="H911" s="665">
        <v>33.5</v>
      </c>
      <c r="I911" s="665">
        <v>16.01</v>
      </c>
      <c r="J911" s="665">
        <v>10.05</v>
      </c>
      <c r="K911" s="665">
        <v>2149.0</v>
      </c>
      <c r="L911" s="665">
        <v>13427.0</v>
      </c>
      <c r="M911" s="665">
        <v>0.66</v>
      </c>
      <c r="N911" s="1">
        <v>1.9554</v>
      </c>
      <c r="O911" s="1">
        <v>2149.0</v>
      </c>
      <c r="P911" s="1">
        <v>13427.0</v>
      </c>
      <c r="Q911" s="1">
        <v>0.655</v>
      </c>
      <c r="R911" s="1">
        <v>16507.0</v>
      </c>
    </row>
    <row r="912">
      <c r="A912" s="663" t="s">
        <v>2295</v>
      </c>
      <c r="B912" s="663" t="s">
        <v>1192</v>
      </c>
      <c r="C912" s="663" t="s">
        <v>50</v>
      </c>
      <c r="D912" s="663" t="s">
        <v>599</v>
      </c>
      <c r="E912" s="664" t="s">
        <v>9</v>
      </c>
      <c r="F912" s="665">
        <v>3281.0</v>
      </c>
      <c r="G912" s="665">
        <v>1203.0</v>
      </c>
      <c r="H912" s="665">
        <v>36.67</v>
      </c>
      <c r="I912" s="665">
        <v>11.98</v>
      </c>
      <c r="J912" s="665">
        <v>10.03</v>
      </c>
      <c r="K912" s="665">
        <v>1609.0</v>
      </c>
      <c r="L912" s="665">
        <v>13427.0</v>
      </c>
      <c r="M912" s="665">
        <v>0.49</v>
      </c>
      <c r="N912" s="1">
        <v>1.3375</v>
      </c>
      <c r="O912" s="1">
        <v>1609.0</v>
      </c>
      <c r="P912" s="1">
        <v>13427.0</v>
      </c>
      <c r="Q912" s="1">
        <v>0.4904</v>
      </c>
      <c r="R912" s="1">
        <v>16507.0</v>
      </c>
    </row>
    <row r="913">
      <c r="A913" s="663" t="s">
        <v>2295</v>
      </c>
      <c r="B913" s="663" t="s">
        <v>1192</v>
      </c>
      <c r="C913" s="663" t="s">
        <v>50</v>
      </c>
      <c r="D913" s="663" t="s">
        <v>599</v>
      </c>
      <c r="E913" s="664" t="s">
        <v>16</v>
      </c>
      <c r="F913" s="665">
        <v>3281.0</v>
      </c>
      <c r="G913" s="665">
        <v>763.0</v>
      </c>
      <c r="H913" s="665">
        <v>23.26</v>
      </c>
      <c r="I913" s="665">
        <v>7.64</v>
      </c>
      <c r="J913" s="665">
        <v>8.64</v>
      </c>
      <c r="K913" s="665">
        <v>1026.0</v>
      </c>
      <c r="L913" s="665">
        <v>13427.0</v>
      </c>
      <c r="M913" s="665">
        <v>0.31</v>
      </c>
      <c r="N913" s="1">
        <v>1.3447</v>
      </c>
      <c r="O913" s="1">
        <v>1026.0</v>
      </c>
      <c r="P913" s="1">
        <v>13427.0</v>
      </c>
      <c r="Q913" s="1">
        <v>0.3127</v>
      </c>
      <c r="R913" s="1">
        <v>16507.0</v>
      </c>
    </row>
    <row r="914">
      <c r="A914" s="663" t="s">
        <v>2295</v>
      </c>
      <c r="B914" s="663" t="s">
        <v>1192</v>
      </c>
      <c r="C914" s="663" t="s">
        <v>50</v>
      </c>
      <c r="D914" s="663" t="s">
        <v>599</v>
      </c>
      <c r="E914" s="664" t="s">
        <v>51</v>
      </c>
      <c r="F914" s="665">
        <v>3281.0</v>
      </c>
      <c r="G914" s="665">
        <v>761.0</v>
      </c>
      <c r="H914" s="665">
        <v>23.19</v>
      </c>
      <c r="I914" s="665">
        <v>7.5</v>
      </c>
      <c r="J914" s="665">
        <v>7.03</v>
      </c>
      <c r="K914" s="665">
        <v>1007.0</v>
      </c>
      <c r="L914" s="665">
        <v>13427.0</v>
      </c>
      <c r="M914" s="665">
        <v>0.31</v>
      </c>
      <c r="N914" s="1">
        <v>1.3233</v>
      </c>
      <c r="O914" s="1">
        <v>1007.0</v>
      </c>
      <c r="P914" s="1">
        <v>13427.0</v>
      </c>
      <c r="Q914" s="1">
        <v>0.3069</v>
      </c>
      <c r="R914" s="1">
        <v>16507.0</v>
      </c>
    </row>
    <row r="915">
      <c r="A915" s="663" t="s">
        <v>2295</v>
      </c>
      <c r="B915" s="663" t="s">
        <v>1192</v>
      </c>
      <c r="C915" s="663" t="s">
        <v>50</v>
      </c>
      <c r="D915" s="663" t="s">
        <v>599</v>
      </c>
      <c r="E915" s="664" t="s">
        <v>14</v>
      </c>
      <c r="F915" s="665">
        <v>3281.0</v>
      </c>
      <c r="G915" s="665">
        <v>469.0</v>
      </c>
      <c r="H915" s="665">
        <v>14.29</v>
      </c>
      <c r="I915" s="665">
        <v>4.71</v>
      </c>
      <c r="J915" s="665">
        <v>3.04</v>
      </c>
      <c r="K915" s="665">
        <v>633.0</v>
      </c>
      <c r="L915" s="665">
        <v>13427.0</v>
      </c>
      <c r="M915" s="665">
        <v>0.19</v>
      </c>
      <c r="N915" s="1">
        <v>1.3497</v>
      </c>
      <c r="O915" s="1">
        <v>633.0</v>
      </c>
      <c r="P915" s="1">
        <v>13427.0</v>
      </c>
      <c r="Q915" s="1">
        <v>0.1929</v>
      </c>
      <c r="R915" s="1">
        <v>16507.0</v>
      </c>
    </row>
    <row r="916">
      <c r="A916" s="663" t="s">
        <v>2295</v>
      </c>
      <c r="B916" s="663" t="s">
        <v>1192</v>
      </c>
      <c r="C916" s="663" t="s">
        <v>50</v>
      </c>
      <c r="D916" s="663" t="s">
        <v>599</v>
      </c>
      <c r="E916" s="664" t="s">
        <v>42</v>
      </c>
      <c r="F916" s="665">
        <v>3281.0</v>
      </c>
      <c r="G916" s="665">
        <v>455.0</v>
      </c>
      <c r="H916" s="665">
        <v>13.87</v>
      </c>
      <c r="I916" s="665">
        <v>4.1</v>
      </c>
      <c r="J916" s="665">
        <v>3.48</v>
      </c>
      <c r="K916" s="665">
        <v>551.0</v>
      </c>
      <c r="L916" s="665">
        <v>13427.0</v>
      </c>
      <c r="M916" s="665">
        <v>0.17</v>
      </c>
      <c r="N916" s="1">
        <v>1.211</v>
      </c>
      <c r="O916" s="1">
        <v>551.0</v>
      </c>
      <c r="P916" s="1">
        <v>13427.0</v>
      </c>
      <c r="Q916" s="1">
        <v>0.1679</v>
      </c>
      <c r="R916" s="1">
        <v>16507.0</v>
      </c>
    </row>
    <row r="917">
      <c r="A917" s="663" t="s">
        <v>2295</v>
      </c>
      <c r="B917" s="663" t="s">
        <v>1192</v>
      </c>
      <c r="C917" s="663" t="s">
        <v>50</v>
      </c>
      <c r="D917" s="663" t="s">
        <v>599</v>
      </c>
      <c r="E917" s="664" t="s">
        <v>396</v>
      </c>
      <c r="F917" s="665">
        <v>3281.0</v>
      </c>
      <c r="G917" s="665">
        <v>408.0</v>
      </c>
      <c r="H917" s="665">
        <v>12.44</v>
      </c>
      <c r="I917" s="665">
        <v>3.31</v>
      </c>
      <c r="J917" s="665">
        <v>3.68</v>
      </c>
      <c r="K917" s="665">
        <v>444.0</v>
      </c>
      <c r="L917" s="665">
        <v>13427.0</v>
      </c>
      <c r="M917" s="665">
        <v>0.14</v>
      </c>
      <c r="N917" s="1">
        <v>1.0882</v>
      </c>
      <c r="O917" s="1">
        <v>444.0</v>
      </c>
      <c r="P917" s="1">
        <v>13427.0</v>
      </c>
      <c r="Q917" s="1">
        <v>0.1353</v>
      </c>
      <c r="R917" s="1">
        <v>16507.0</v>
      </c>
    </row>
    <row r="918">
      <c r="A918" s="663" t="s">
        <v>2295</v>
      </c>
      <c r="B918" s="663" t="s">
        <v>1192</v>
      </c>
      <c r="C918" s="663" t="s">
        <v>50</v>
      </c>
      <c r="D918" s="663" t="s">
        <v>599</v>
      </c>
      <c r="E918" s="664" t="s">
        <v>63</v>
      </c>
      <c r="F918" s="665">
        <v>3281.0</v>
      </c>
      <c r="G918" s="665">
        <v>222.0</v>
      </c>
      <c r="H918" s="665">
        <v>6.77</v>
      </c>
      <c r="I918" s="665">
        <v>1.85</v>
      </c>
      <c r="J918" s="665">
        <v>1.96</v>
      </c>
      <c r="K918" s="665">
        <v>248.0</v>
      </c>
      <c r="L918" s="665">
        <v>13427.0</v>
      </c>
      <c r="M918" s="665">
        <v>0.08</v>
      </c>
      <c r="N918" s="1">
        <v>1.1171</v>
      </c>
      <c r="O918" s="1">
        <v>248.0</v>
      </c>
      <c r="P918" s="1">
        <v>13427.0</v>
      </c>
      <c r="Q918" s="1">
        <v>0.0756</v>
      </c>
      <c r="R918" s="1">
        <v>16507.0</v>
      </c>
    </row>
    <row r="919">
      <c r="A919" s="663" t="s">
        <v>2295</v>
      </c>
      <c r="B919" s="663" t="s">
        <v>1192</v>
      </c>
      <c r="C919" s="663" t="s">
        <v>50</v>
      </c>
      <c r="D919" s="663" t="s">
        <v>599</v>
      </c>
      <c r="E919" s="664" t="s">
        <v>7</v>
      </c>
      <c r="F919" s="665">
        <v>3281.0</v>
      </c>
      <c r="G919" s="665">
        <v>42.0</v>
      </c>
      <c r="H919" s="665">
        <v>1.28</v>
      </c>
      <c r="I919" s="665">
        <v>0.32</v>
      </c>
      <c r="J919" s="665">
        <v>0.31</v>
      </c>
      <c r="K919" s="665">
        <v>43.0</v>
      </c>
      <c r="L919" s="665">
        <v>13427.0</v>
      </c>
      <c r="M919" s="665">
        <v>0.01</v>
      </c>
      <c r="N919" s="1">
        <v>1.0238</v>
      </c>
      <c r="O919" s="1">
        <v>43.0</v>
      </c>
      <c r="P919" s="1">
        <v>13427.0</v>
      </c>
      <c r="Q919" s="1">
        <v>0.0131</v>
      </c>
      <c r="R919" s="1">
        <v>16507.0</v>
      </c>
    </row>
    <row r="920">
      <c r="A920" s="663" t="s">
        <v>2295</v>
      </c>
      <c r="B920" s="663" t="s">
        <v>1192</v>
      </c>
      <c r="C920" s="663" t="s">
        <v>50</v>
      </c>
      <c r="D920" s="663" t="s">
        <v>599</v>
      </c>
      <c r="E920" s="664" t="s">
        <v>73</v>
      </c>
      <c r="F920" s="665">
        <v>3281.0</v>
      </c>
      <c r="G920" s="665">
        <v>1.0</v>
      </c>
      <c r="H920" s="665">
        <v>0.03</v>
      </c>
      <c r="I920" s="665">
        <v>0.01</v>
      </c>
      <c r="J920" s="665">
        <v>0.01</v>
      </c>
      <c r="K920" s="665">
        <v>1.0</v>
      </c>
      <c r="L920" s="665">
        <v>13427.0</v>
      </c>
      <c r="M920" s="665">
        <v>0.0</v>
      </c>
      <c r="N920" s="1">
        <v>1.0</v>
      </c>
      <c r="O920" s="1">
        <v>1.0</v>
      </c>
      <c r="P920" s="1">
        <v>13427.0</v>
      </c>
      <c r="Q920" s="1">
        <v>3.0E-4</v>
      </c>
      <c r="R920" s="1">
        <v>16507.0</v>
      </c>
    </row>
    <row r="921">
      <c r="A921" s="663" t="s">
        <v>2295</v>
      </c>
      <c r="B921" s="663" t="s">
        <v>1192</v>
      </c>
      <c r="C921" s="663" t="s">
        <v>50</v>
      </c>
      <c r="D921" s="663" t="s">
        <v>599</v>
      </c>
      <c r="E921" s="664" t="s">
        <v>414</v>
      </c>
      <c r="F921" s="665">
        <v>3281.0</v>
      </c>
      <c r="G921" s="665">
        <v>1.0</v>
      </c>
      <c r="H921" s="665">
        <v>0.03</v>
      </c>
      <c r="I921" s="665">
        <v>0.01</v>
      </c>
      <c r="J921" s="665">
        <v>0.03</v>
      </c>
      <c r="K921" s="665">
        <v>2.0</v>
      </c>
      <c r="L921" s="665">
        <v>13427.0</v>
      </c>
      <c r="M921" s="665">
        <v>0.0</v>
      </c>
      <c r="N921" s="1">
        <v>2.0</v>
      </c>
      <c r="O921" s="1">
        <v>2.0</v>
      </c>
      <c r="P921" s="1">
        <v>13427.0</v>
      </c>
      <c r="Q921" s="1">
        <v>6.0E-4</v>
      </c>
      <c r="R921" s="1">
        <v>16507.0</v>
      </c>
    </row>
    <row r="922">
      <c r="A922" s="663" t="s">
        <v>2295</v>
      </c>
      <c r="B922" s="663" t="s">
        <v>1192</v>
      </c>
      <c r="C922" s="663" t="s">
        <v>48</v>
      </c>
      <c r="D922" s="663" t="s">
        <v>599</v>
      </c>
      <c r="E922" s="664" t="s">
        <v>413</v>
      </c>
      <c r="F922" s="665">
        <v>3760.0</v>
      </c>
      <c r="G922" s="665">
        <v>2024.0</v>
      </c>
      <c r="H922" s="665">
        <v>53.83</v>
      </c>
      <c r="I922" s="665">
        <v>17.06</v>
      </c>
      <c r="J922" s="665">
        <v>15.29</v>
      </c>
      <c r="K922" s="665">
        <v>4254.0</v>
      </c>
      <c r="L922" s="665">
        <v>24931.0</v>
      </c>
      <c r="M922" s="665">
        <v>1.13</v>
      </c>
      <c r="N922" s="1">
        <v>2.1018</v>
      </c>
      <c r="O922" s="1">
        <v>4254.0</v>
      </c>
      <c r="P922" s="1">
        <v>24931.0</v>
      </c>
      <c r="Q922" s="1">
        <v>1.1314</v>
      </c>
      <c r="R922" s="1">
        <v>16507.0</v>
      </c>
    </row>
    <row r="923">
      <c r="A923" s="663" t="s">
        <v>2295</v>
      </c>
      <c r="B923" s="663" t="s">
        <v>1192</v>
      </c>
      <c r="C923" s="663" t="s">
        <v>48</v>
      </c>
      <c r="D923" s="663" t="s">
        <v>599</v>
      </c>
      <c r="E923" s="664" t="s">
        <v>14</v>
      </c>
      <c r="F923" s="665">
        <v>3760.0</v>
      </c>
      <c r="G923" s="665">
        <v>2442.0</v>
      </c>
      <c r="H923" s="665">
        <v>64.95</v>
      </c>
      <c r="I923" s="665">
        <v>16.22</v>
      </c>
      <c r="J923" s="665">
        <v>17.85</v>
      </c>
      <c r="K923" s="665">
        <v>4044.0</v>
      </c>
      <c r="L923" s="665">
        <v>24931.0</v>
      </c>
      <c r="M923" s="665">
        <v>1.08</v>
      </c>
      <c r="N923" s="1">
        <v>1.656</v>
      </c>
      <c r="O923" s="1">
        <v>4044.0</v>
      </c>
      <c r="P923" s="1">
        <v>24931.0</v>
      </c>
      <c r="Q923" s="1">
        <v>1.0755</v>
      </c>
      <c r="R923" s="1">
        <v>16507.0</v>
      </c>
    </row>
    <row r="924">
      <c r="A924" s="663" t="s">
        <v>2295</v>
      </c>
      <c r="B924" s="663" t="s">
        <v>1192</v>
      </c>
      <c r="C924" s="663" t="s">
        <v>48</v>
      </c>
      <c r="D924" s="663" t="s">
        <v>599</v>
      </c>
      <c r="E924" s="664" t="s">
        <v>411</v>
      </c>
      <c r="F924" s="665">
        <v>3760.0</v>
      </c>
      <c r="G924" s="665">
        <v>2250.0</v>
      </c>
      <c r="H924" s="665">
        <v>59.84</v>
      </c>
      <c r="I924" s="665">
        <v>13.87</v>
      </c>
      <c r="J924" s="665">
        <v>15.19</v>
      </c>
      <c r="K924" s="665">
        <v>3457.0</v>
      </c>
      <c r="L924" s="665">
        <v>24931.0</v>
      </c>
      <c r="M924" s="665">
        <v>0.92</v>
      </c>
      <c r="N924" s="1">
        <v>1.5364</v>
      </c>
      <c r="O924" s="1">
        <v>3457.0</v>
      </c>
      <c r="P924" s="1">
        <v>24931.0</v>
      </c>
      <c r="Q924" s="1">
        <v>0.9194</v>
      </c>
      <c r="R924" s="1">
        <v>16507.0</v>
      </c>
    </row>
    <row r="925">
      <c r="A925" s="663" t="s">
        <v>2295</v>
      </c>
      <c r="B925" s="663" t="s">
        <v>1192</v>
      </c>
      <c r="C925" s="663" t="s">
        <v>48</v>
      </c>
      <c r="D925" s="663" t="s">
        <v>599</v>
      </c>
      <c r="E925" s="664" t="s">
        <v>398</v>
      </c>
      <c r="F925" s="665">
        <v>3760.0</v>
      </c>
      <c r="G925" s="665">
        <v>1932.0</v>
      </c>
      <c r="H925" s="665">
        <v>51.38</v>
      </c>
      <c r="I925" s="665">
        <v>11.5</v>
      </c>
      <c r="J925" s="665">
        <v>11.9</v>
      </c>
      <c r="K925" s="665">
        <v>2868.0</v>
      </c>
      <c r="L925" s="665">
        <v>24931.0</v>
      </c>
      <c r="M925" s="665">
        <v>0.76</v>
      </c>
      <c r="N925" s="1">
        <v>1.4845</v>
      </c>
      <c r="O925" s="1">
        <v>2868.0</v>
      </c>
      <c r="P925" s="1">
        <v>24931.0</v>
      </c>
      <c r="Q925" s="1">
        <v>0.7628</v>
      </c>
      <c r="R925" s="1">
        <v>16507.0</v>
      </c>
    </row>
    <row r="926">
      <c r="A926" s="663" t="s">
        <v>2295</v>
      </c>
      <c r="B926" s="663" t="s">
        <v>1192</v>
      </c>
      <c r="C926" s="663" t="s">
        <v>48</v>
      </c>
      <c r="D926" s="663" t="s">
        <v>599</v>
      </c>
      <c r="E926" s="664" t="s">
        <v>9</v>
      </c>
      <c r="F926" s="665">
        <v>3760.0</v>
      </c>
      <c r="G926" s="665">
        <v>1743.0</v>
      </c>
      <c r="H926" s="665">
        <v>46.36</v>
      </c>
      <c r="I926" s="665">
        <v>9.92</v>
      </c>
      <c r="J926" s="665">
        <v>9.29</v>
      </c>
      <c r="K926" s="665">
        <v>2472.0</v>
      </c>
      <c r="L926" s="665">
        <v>24931.0</v>
      </c>
      <c r="M926" s="665">
        <v>0.66</v>
      </c>
      <c r="N926" s="1">
        <v>1.4182</v>
      </c>
      <c r="O926" s="1">
        <v>2472.0</v>
      </c>
      <c r="P926" s="1">
        <v>24931.0</v>
      </c>
      <c r="Q926" s="1">
        <v>0.6574</v>
      </c>
      <c r="R926" s="1">
        <v>16507.0</v>
      </c>
    </row>
    <row r="927">
      <c r="A927" s="663" t="s">
        <v>2295</v>
      </c>
      <c r="B927" s="663" t="s">
        <v>1192</v>
      </c>
      <c r="C927" s="663" t="s">
        <v>48</v>
      </c>
      <c r="D927" s="663" t="s">
        <v>599</v>
      </c>
      <c r="E927" s="664" t="s">
        <v>418</v>
      </c>
      <c r="F927" s="665">
        <v>3760.0</v>
      </c>
      <c r="G927" s="665">
        <v>1786.0</v>
      </c>
      <c r="H927" s="665">
        <v>47.5</v>
      </c>
      <c r="I927" s="665">
        <v>9.28</v>
      </c>
      <c r="J927" s="665">
        <v>8.67</v>
      </c>
      <c r="K927" s="665">
        <v>2314.0</v>
      </c>
      <c r="L927" s="665">
        <v>24931.0</v>
      </c>
      <c r="M927" s="665">
        <v>0.62</v>
      </c>
      <c r="N927" s="1">
        <v>1.2956</v>
      </c>
      <c r="O927" s="1">
        <v>2314.0</v>
      </c>
      <c r="P927" s="1">
        <v>24931.0</v>
      </c>
      <c r="Q927" s="1">
        <v>0.6154</v>
      </c>
      <c r="R927" s="1">
        <v>16507.0</v>
      </c>
    </row>
    <row r="928">
      <c r="A928" s="663" t="s">
        <v>2295</v>
      </c>
      <c r="B928" s="663" t="s">
        <v>1192</v>
      </c>
      <c r="C928" s="663" t="s">
        <v>48</v>
      </c>
      <c r="D928" s="663" t="s">
        <v>599</v>
      </c>
      <c r="E928" s="664" t="s">
        <v>401</v>
      </c>
      <c r="F928" s="665">
        <v>3760.0</v>
      </c>
      <c r="G928" s="665">
        <v>1016.0</v>
      </c>
      <c r="H928" s="665">
        <v>27.02</v>
      </c>
      <c r="I928" s="665">
        <v>4.5</v>
      </c>
      <c r="J928" s="665">
        <v>4.78</v>
      </c>
      <c r="K928" s="665">
        <v>1123.0</v>
      </c>
      <c r="L928" s="665">
        <v>24931.0</v>
      </c>
      <c r="M928" s="665">
        <v>0.3</v>
      </c>
      <c r="N928" s="1">
        <v>1.1053</v>
      </c>
      <c r="O928" s="1">
        <v>1123.0</v>
      </c>
      <c r="P928" s="1">
        <v>24931.0</v>
      </c>
      <c r="Q928" s="1">
        <v>0.2987</v>
      </c>
      <c r="R928" s="1">
        <v>16507.0</v>
      </c>
    </row>
    <row r="929">
      <c r="A929" s="663" t="s">
        <v>2295</v>
      </c>
      <c r="B929" s="663" t="s">
        <v>1192</v>
      </c>
      <c r="C929" s="663" t="s">
        <v>48</v>
      </c>
      <c r="D929" s="663" t="s">
        <v>599</v>
      </c>
      <c r="E929" s="664" t="s">
        <v>51</v>
      </c>
      <c r="F929" s="665">
        <v>3760.0</v>
      </c>
      <c r="G929" s="665">
        <v>761.0</v>
      </c>
      <c r="H929" s="665">
        <v>20.24</v>
      </c>
      <c r="I929" s="665">
        <v>4.04</v>
      </c>
      <c r="J929" s="665">
        <v>3.56</v>
      </c>
      <c r="K929" s="665">
        <v>1007.0</v>
      </c>
      <c r="L929" s="665">
        <v>24931.0</v>
      </c>
      <c r="M929" s="665">
        <v>0.27</v>
      </c>
      <c r="N929" s="1">
        <v>1.3233</v>
      </c>
      <c r="O929" s="1">
        <v>1007.0</v>
      </c>
      <c r="P929" s="1">
        <v>24931.0</v>
      </c>
      <c r="Q929" s="1">
        <v>0.2678</v>
      </c>
      <c r="R929" s="1">
        <v>16507.0</v>
      </c>
    </row>
    <row r="930">
      <c r="A930" s="663" t="s">
        <v>2295</v>
      </c>
      <c r="B930" s="663" t="s">
        <v>1192</v>
      </c>
      <c r="C930" s="663" t="s">
        <v>48</v>
      </c>
      <c r="D930" s="663" t="s">
        <v>599</v>
      </c>
      <c r="E930" s="664" t="s">
        <v>206</v>
      </c>
      <c r="F930" s="665">
        <v>3760.0</v>
      </c>
      <c r="G930" s="665">
        <v>944.0</v>
      </c>
      <c r="H930" s="665">
        <v>25.11</v>
      </c>
      <c r="I930" s="665">
        <v>3.86</v>
      </c>
      <c r="J930" s="665">
        <v>3.93</v>
      </c>
      <c r="K930" s="665">
        <v>962.0</v>
      </c>
      <c r="L930" s="665">
        <v>24931.0</v>
      </c>
      <c r="M930" s="665">
        <v>0.26</v>
      </c>
      <c r="N930" s="1">
        <v>1.0191</v>
      </c>
      <c r="O930" s="1">
        <v>962.0</v>
      </c>
      <c r="P930" s="1">
        <v>24931.0</v>
      </c>
      <c r="Q930" s="1">
        <v>0.2559</v>
      </c>
      <c r="R930" s="1">
        <v>16507.0</v>
      </c>
    </row>
    <row r="931">
      <c r="A931" s="663" t="s">
        <v>2295</v>
      </c>
      <c r="B931" s="663" t="s">
        <v>1192</v>
      </c>
      <c r="C931" s="663" t="s">
        <v>48</v>
      </c>
      <c r="D931" s="663" t="s">
        <v>599</v>
      </c>
      <c r="E931" s="664" t="s">
        <v>63</v>
      </c>
      <c r="F931" s="665">
        <v>3760.0</v>
      </c>
      <c r="G931" s="665">
        <v>574.0</v>
      </c>
      <c r="H931" s="665">
        <v>15.27</v>
      </c>
      <c r="I931" s="665">
        <v>2.76</v>
      </c>
      <c r="J931" s="665">
        <v>2.46</v>
      </c>
      <c r="K931" s="665">
        <v>687.0</v>
      </c>
      <c r="L931" s="665">
        <v>24931.0</v>
      </c>
      <c r="M931" s="665">
        <v>0.18</v>
      </c>
      <c r="N931" s="1">
        <v>1.1969</v>
      </c>
      <c r="O931" s="1">
        <v>687.0</v>
      </c>
      <c r="P931" s="1">
        <v>24931.0</v>
      </c>
      <c r="Q931" s="1">
        <v>0.1827</v>
      </c>
      <c r="R931" s="1">
        <v>16507.0</v>
      </c>
    </row>
    <row r="932">
      <c r="A932" s="663" t="s">
        <v>2295</v>
      </c>
      <c r="B932" s="663" t="s">
        <v>1192</v>
      </c>
      <c r="C932" s="663" t="s">
        <v>48</v>
      </c>
      <c r="D932" s="663" t="s">
        <v>599</v>
      </c>
      <c r="E932" s="664" t="s">
        <v>396</v>
      </c>
      <c r="F932" s="665">
        <v>3760.0</v>
      </c>
      <c r="G932" s="665">
        <v>447.0</v>
      </c>
      <c r="H932" s="665">
        <v>11.89</v>
      </c>
      <c r="I932" s="665">
        <v>2.12</v>
      </c>
      <c r="J932" s="665">
        <v>2.43</v>
      </c>
      <c r="K932" s="665">
        <v>528.0</v>
      </c>
      <c r="L932" s="665">
        <v>24931.0</v>
      </c>
      <c r="M932" s="665">
        <v>0.14</v>
      </c>
      <c r="N932" s="1">
        <v>1.1812</v>
      </c>
      <c r="O932" s="1">
        <v>528.0</v>
      </c>
      <c r="P932" s="1">
        <v>24931.0</v>
      </c>
      <c r="Q932" s="1">
        <v>0.1404</v>
      </c>
      <c r="R932" s="1">
        <v>16507.0</v>
      </c>
    </row>
    <row r="933">
      <c r="A933" s="663" t="s">
        <v>2295</v>
      </c>
      <c r="B933" s="663" t="s">
        <v>1192</v>
      </c>
      <c r="C933" s="663" t="s">
        <v>48</v>
      </c>
      <c r="D933" s="663" t="s">
        <v>599</v>
      </c>
      <c r="E933" s="664" t="s">
        <v>73</v>
      </c>
      <c r="F933" s="665">
        <v>3760.0</v>
      </c>
      <c r="G933" s="665">
        <v>415.0</v>
      </c>
      <c r="H933" s="665">
        <v>11.04</v>
      </c>
      <c r="I933" s="665">
        <v>1.68</v>
      </c>
      <c r="J933" s="665">
        <v>1.8</v>
      </c>
      <c r="K933" s="665">
        <v>419.0</v>
      </c>
      <c r="L933" s="665">
        <v>24931.0</v>
      </c>
      <c r="M933" s="665">
        <v>0.11</v>
      </c>
      <c r="N933" s="1">
        <v>1.0096</v>
      </c>
      <c r="O933" s="1">
        <v>419.0</v>
      </c>
      <c r="P933" s="1">
        <v>24931.0</v>
      </c>
      <c r="Q933" s="1">
        <v>0.1114</v>
      </c>
      <c r="R933" s="1">
        <v>16507.0</v>
      </c>
    </row>
    <row r="934">
      <c r="A934" s="663" t="s">
        <v>2295</v>
      </c>
      <c r="B934" s="663" t="s">
        <v>1192</v>
      </c>
      <c r="C934" s="663" t="s">
        <v>48</v>
      </c>
      <c r="D934" s="663" t="s">
        <v>599</v>
      </c>
      <c r="E934" s="664" t="s">
        <v>16</v>
      </c>
      <c r="F934" s="665">
        <v>3760.0</v>
      </c>
      <c r="G934" s="665">
        <v>329.0</v>
      </c>
      <c r="H934" s="665">
        <v>8.75</v>
      </c>
      <c r="I934" s="665">
        <v>1.54</v>
      </c>
      <c r="J934" s="665">
        <v>1.53</v>
      </c>
      <c r="K934" s="665">
        <v>383.0</v>
      </c>
      <c r="L934" s="665">
        <v>24931.0</v>
      </c>
      <c r="M934" s="665">
        <v>0.1</v>
      </c>
      <c r="N934" s="1">
        <v>1.1641</v>
      </c>
      <c r="O934" s="1">
        <v>383.0</v>
      </c>
      <c r="P934" s="1">
        <v>24931.0</v>
      </c>
      <c r="Q934" s="1">
        <v>0.1019</v>
      </c>
      <c r="R934" s="1">
        <v>16507.0</v>
      </c>
    </row>
    <row r="935">
      <c r="A935" s="663" t="s">
        <v>2295</v>
      </c>
      <c r="B935" s="663" t="s">
        <v>1192</v>
      </c>
      <c r="C935" s="663" t="s">
        <v>48</v>
      </c>
      <c r="D935" s="663" t="s">
        <v>599</v>
      </c>
      <c r="E935" s="664" t="s">
        <v>42</v>
      </c>
      <c r="F935" s="665">
        <v>3760.0</v>
      </c>
      <c r="G935" s="665">
        <v>319.0</v>
      </c>
      <c r="H935" s="665">
        <v>8.48</v>
      </c>
      <c r="I935" s="665">
        <v>1.44</v>
      </c>
      <c r="J935" s="665">
        <v>1.14</v>
      </c>
      <c r="K935" s="665">
        <v>360.0</v>
      </c>
      <c r="L935" s="665">
        <v>24931.0</v>
      </c>
      <c r="M935" s="665">
        <v>0.1</v>
      </c>
      <c r="N935" s="1">
        <v>1.1285</v>
      </c>
      <c r="O935" s="1">
        <v>360.0</v>
      </c>
      <c r="P935" s="1">
        <v>24931.0</v>
      </c>
      <c r="Q935" s="1">
        <v>0.0957</v>
      </c>
      <c r="R935" s="1">
        <v>16507.0</v>
      </c>
    </row>
    <row r="936">
      <c r="A936" s="663" t="s">
        <v>2295</v>
      </c>
      <c r="B936" s="663" t="s">
        <v>1192</v>
      </c>
      <c r="C936" s="663" t="s">
        <v>48</v>
      </c>
      <c r="D936" s="663" t="s">
        <v>599</v>
      </c>
      <c r="E936" s="664" t="s">
        <v>7</v>
      </c>
      <c r="F936" s="665">
        <v>3760.0</v>
      </c>
      <c r="G936" s="665">
        <v>50.0</v>
      </c>
      <c r="H936" s="665">
        <v>1.33</v>
      </c>
      <c r="I936" s="665">
        <v>0.2</v>
      </c>
      <c r="J936" s="665">
        <v>0.17</v>
      </c>
      <c r="K936" s="665">
        <v>51.0</v>
      </c>
      <c r="L936" s="665">
        <v>24931.0</v>
      </c>
      <c r="M936" s="665">
        <v>0.01</v>
      </c>
      <c r="N936" s="1">
        <v>1.02</v>
      </c>
      <c r="O936" s="1">
        <v>51.0</v>
      </c>
      <c r="P936" s="1">
        <v>24931.0</v>
      </c>
      <c r="Q936" s="1">
        <v>0.0136</v>
      </c>
      <c r="R936" s="1">
        <v>16507.0</v>
      </c>
    </row>
    <row r="937">
      <c r="A937" s="663" t="s">
        <v>2295</v>
      </c>
      <c r="B937" s="663" t="s">
        <v>1192</v>
      </c>
      <c r="C937" s="663" t="s">
        <v>48</v>
      </c>
      <c r="D937" s="663" t="s">
        <v>599</v>
      </c>
      <c r="E937" s="664" t="s">
        <v>151</v>
      </c>
      <c r="F937" s="665">
        <v>3760.0</v>
      </c>
      <c r="G937" s="665">
        <v>1.0</v>
      </c>
      <c r="H937" s="665">
        <v>0.03</v>
      </c>
      <c r="I937" s="665">
        <v>0.01</v>
      </c>
      <c r="J937" s="665">
        <v>0.0</v>
      </c>
      <c r="K937" s="665">
        <v>2.0</v>
      </c>
      <c r="L937" s="665">
        <v>24931.0</v>
      </c>
      <c r="M937" s="665">
        <v>0.0</v>
      </c>
      <c r="N937" s="1">
        <v>2.0</v>
      </c>
      <c r="O937" s="1">
        <v>2.0</v>
      </c>
      <c r="P937" s="1">
        <v>24931.0</v>
      </c>
      <c r="Q937" s="1">
        <v>5.0E-4</v>
      </c>
      <c r="R937" s="1">
        <v>16507.0</v>
      </c>
    </row>
    <row r="938">
      <c r="A938" s="663" t="s">
        <v>2295</v>
      </c>
      <c r="B938" s="663" t="s">
        <v>1192</v>
      </c>
      <c r="C938" s="663" t="s">
        <v>54</v>
      </c>
      <c r="D938" s="663" t="s">
        <v>599</v>
      </c>
      <c r="E938" s="664" t="s">
        <v>16</v>
      </c>
      <c r="F938" s="665">
        <v>2697.0</v>
      </c>
      <c r="G938" s="665">
        <v>1597.0</v>
      </c>
      <c r="H938" s="665">
        <v>59.21</v>
      </c>
      <c r="I938" s="665">
        <v>24.74</v>
      </c>
      <c r="J938" s="665">
        <v>30.05</v>
      </c>
      <c r="K938" s="665">
        <v>2497.0</v>
      </c>
      <c r="L938" s="665">
        <v>10092.0</v>
      </c>
      <c r="M938" s="665">
        <v>0.93</v>
      </c>
      <c r="N938" s="1">
        <v>1.5636</v>
      </c>
      <c r="O938" s="1">
        <v>2497.0</v>
      </c>
      <c r="P938" s="1">
        <v>10092.0</v>
      </c>
      <c r="Q938" s="1">
        <v>0.9258</v>
      </c>
      <c r="R938" s="1">
        <v>16507.0</v>
      </c>
    </row>
    <row r="939">
      <c r="A939" s="663" t="s">
        <v>2295</v>
      </c>
      <c r="B939" s="663" t="s">
        <v>1192</v>
      </c>
      <c r="C939" s="663" t="s">
        <v>54</v>
      </c>
      <c r="D939" s="663" t="s">
        <v>599</v>
      </c>
      <c r="E939" s="664" t="s">
        <v>14</v>
      </c>
      <c r="F939" s="665">
        <v>2697.0</v>
      </c>
      <c r="G939" s="665">
        <v>1471.0</v>
      </c>
      <c r="H939" s="665">
        <v>54.54</v>
      </c>
      <c r="I939" s="665">
        <v>20.98</v>
      </c>
      <c r="J939" s="665">
        <v>19.78</v>
      </c>
      <c r="K939" s="665">
        <v>2117.0</v>
      </c>
      <c r="L939" s="665">
        <v>10092.0</v>
      </c>
      <c r="M939" s="665">
        <v>0.78</v>
      </c>
      <c r="N939" s="1">
        <v>1.4392</v>
      </c>
      <c r="O939" s="1">
        <v>2117.0</v>
      </c>
      <c r="P939" s="1">
        <v>10092.0</v>
      </c>
      <c r="Q939" s="1">
        <v>0.7849</v>
      </c>
      <c r="R939" s="1">
        <v>16507.0</v>
      </c>
    </row>
    <row r="940">
      <c r="A940" s="663" t="s">
        <v>2295</v>
      </c>
      <c r="B940" s="663" t="s">
        <v>1192</v>
      </c>
      <c r="C940" s="663" t="s">
        <v>54</v>
      </c>
      <c r="D940" s="663" t="s">
        <v>599</v>
      </c>
      <c r="E940" s="664" t="s">
        <v>9</v>
      </c>
      <c r="F940" s="665">
        <v>2697.0</v>
      </c>
      <c r="G940" s="665">
        <v>1127.0</v>
      </c>
      <c r="H940" s="665">
        <v>41.79</v>
      </c>
      <c r="I940" s="665">
        <v>14.64</v>
      </c>
      <c r="J940" s="665">
        <v>12.7</v>
      </c>
      <c r="K940" s="665">
        <v>1477.0</v>
      </c>
      <c r="L940" s="665">
        <v>10092.0</v>
      </c>
      <c r="M940" s="665">
        <v>0.55</v>
      </c>
      <c r="N940" s="1">
        <v>1.3106</v>
      </c>
      <c r="O940" s="1">
        <v>1477.0</v>
      </c>
      <c r="P940" s="1">
        <v>10092.0</v>
      </c>
      <c r="Q940" s="1">
        <v>0.5476</v>
      </c>
      <c r="R940" s="1">
        <v>16507.0</v>
      </c>
    </row>
    <row r="941">
      <c r="A941" s="663" t="s">
        <v>2295</v>
      </c>
      <c r="B941" s="663" t="s">
        <v>1192</v>
      </c>
      <c r="C941" s="663" t="s">
        <v>54</v>
      </c>
      <c r="D941" s="663" t="s">
        <v>599</v>
      </c>
      <c r="E941" s="664" t="s">
        <v>393</v>
      </c>
      <c r="F941" s="665">
        <v>2697.0</v>
      </c>
      <c r="G941" s="665">
        <v>557.0</v>
      </c>
      <c r="H941" s="665">
        <v>20.65</v>
      </c>
      <c r="I941" s="665">
        <v>9.25</v>
      </c>
      <c r="J941" s="665">
        <v>7.06</v>
      </c>
      <c r="K941" s="665">
        <v>934.0</v>
      </c>
      <c r="L941" s="665">
        <v>10092.0</v>
      </c>
      <c r="M941" s="665">
        <v>0.35</v>
      </c>
      <c r="N941" s="1">
        <v>1.6768</v>
      </c>
      <c r="O941" s="1">
        <v>934.0</v>
      </c>
      <c r="P941" s="1">
        <v>10092.0</v>
      </c>
      <c r="Q941" s="1">
        <v>0.3463</v>
      </c>
      <c r="R941" s="1">
        <v>16507.0</v>
      </c>
    </row>
    <row r="942">
      <c r="A942" s="663" t="s">
        <v>2295</v>
      </c>
      <c r="B942" s="663" t="s">
        <v>1192</v>
      </c>
      <c r="C942" s="663" t="s">
        <v>54</v>
      </c>
      <c r="D942" s="663" t="s">
        <v>599</v>
      </c>
      <c r="E942" s="664" t="s">
        <v>413</v>
      </c>
      <c r="F942" s="665">
        <v>2697.0</v>
      </c>
      <c r="G942" s="665">
        <v>315.0</v>
      </c>
      <c r="H942" s="665">
        <v>11.68</v>
      </c>
      <c r="I942" s="665">
        <v>6.35</v>
      </c>
      <c r="J942" s="665">
        <v>4.02</v>
      </c>
      <c r="K942" s="665">
        <v>641.0</v>
      </c>
      <c r="L942" s="665">
        <v>10092.0</v>
      </c>
      <c r="M942" s="665">
        <v>0.24</v>
      </c>
      <c r="N942" s="1">
        <v>2.0349</v>
      </c>
      <c r="O942" s="1">
        <v>641.0</v>
      </c>
      <c r="P942" s="1">
        <v>10092.0</v>
      </c>
      <c r="Q942" s="1">
        <v>0.2377</v>
      </c>
      <c r="R942" s="1">
        <v>16507.0</v>
      </c>
    </row>
    <row r="943">
      <c r="A943" s="663" t="s">
        <v>2295</v>
      </c>
      <c r="B943" s="663" t="s">
        <v>1192</v>
      </c>
      <c r="C943" s="663" t="s">
        <v>54</v>
      </c>
      <c r="D943" s="663" t="s">
        <v>599</v>
      </c>
      <c r="E943" s="664" t="s">
        <v>15</v>
      </c>
      <c r="F943" s="665">
        <v>2697.0</v>
      </c>
      <c r="G943" s="665">
        <v>294.0</v>
      </c>
      <c r="H943" s="665">
        <v>10.9</v>
      </c>
      <c r="I943" s="665">
        <v>5.75</v>
      </c>
      <c r="J943" s="665">
        <v>4.97</v>
      </c>
      <c r="K943" s="665">
        <v>580.0</v>
      </c>
      <c r="L943" s="665">
        <v>10092.0</v>
      </c>
      <c r="M943" s="665">
        <v>0.22</v>
      </c>
      <c r="N943" s="1">
        <v>1.9728</v>
      </c>
      <c r="O943" s="1">
        <v>580.0</v>
      </c>
      <c r="P943" s="1">
        <v>10092.0</v>
      </c>
      <c r="Q943" s="1">
        <v>0.2151</v>
      </c>
      <c r="R943" s="1">
        <v>16507.0</v>
      </c>
    </row>
    <row r="944">
      <c r="A944" s="663" t="s">
        <v>2295</v>
      </c>
      <c r="B944" s="663" t="s">
        <v>1192</v>
      </c>
      <c r="C944" s="663" t="s">
        <v>54</v>
      </c>
      <c r="D944" s="663" t="s">
        <v>599</v>
      </c>
      <c r="E944" s="664" t="s">
        <v>396</v>
      </c>
      <c r="F944" s="665">
        <v>2697.0</v>
      </c>
      <c r="G944" s="665">
        <v>501.0</v>
      </c>
      <c r="H944" s="665">
        <v>18.58</v>
      </c>
      <c r="I944" s="665">
        <v>5.15</v>
      </c>
      <c r="J944" s="665">
        <v>7.0</v>
      </c>
      <c r="K944" s="665">
        <v>520.0</v>
      </c>
      <c r="L944" s="665">
        <v>10092.0</v>
      </c>
      <c r="M944" s="665">
        <v>0.19</v>
      </c>
      <c r="N944" s="1">
        <v>1.0379</v>
      </c>
      <c r="O944" s="1">
        <v>520.0</v>
      </c>
      <c r="P944" s="1">
        <v>10092.0</v>
      </c>
      <c r="Q944" s="1">
        <v>0.1928</v>
      </c>
      <c r="R944" s="1">
        <v>16507.0</v>
      </c>
    </row>
    <row r="945">
      <c r="A945" s="663" t="s">
        <v>2295</v>
      </c>
      <c r="B945" s="663" t="s">
        <v>1192</v>
      </c>
      <c r="C945" s="663" t="s">
        <v>54</v>
      </c>
      <c r="D945" s="663" t="s">
        <v>599</v>
      </c>
      <c r="E945" s="664" t="s">
        <v>42</v>
      </c>
      <c r="F945" s="665">
        <v>2697.0</v>
      </c>
      <c r="G945" s="665">
        <v>441.0</v>
      </c>
      <c r="H945" s="665">
        <v>16.35</v>
      </c>
      <c r="I945" s="665">
        <v>5.09</v>
      </c>
      <c r="J945" s="665">
        <v>6.91</v>
      </c>
      <c r="K945" s="665">
        <v>514.0</v>
      </c>
      <c r="L945" s="665">
        <v>10092.0</v>
      </c>
      <c r="M945" s="665">
        <v>0.19</v>
      </c>
      <c r="N945" s="1">
        <v>1.1655</v>
      </c>
      <c r="O945" s="1">
        <v>514.0</v>
      </c>
      <c r="P945" s="1">
        <v>10092.0</v>
      </c>
      <c r="Q945" s="1">
        <v>0.1906</v>
      </c>
      <c r="R945" s="1">
        <v>16507.0</v>
      </c>
    </row>
    <row r="946">
      <c r="A946" s="663" t="s">
        <v>2295</v>
      </c>
      <c r="B946" s="663" t="s">
        <v>1192</v>
      </c>
      <c r="C946" s="663" t="s">
        <v>54</v>
      </c>
      <c r="D946" s="663" t="s">
        <v>599</v>
      </c>
      <c r="E946" s="664" t="s">
        <v>411</v>
      </c>
      <c r="F946" s="665">
        <v>2697.0</v>
      </c>
      <c r="G946" s="665">
        <v>270.0</v>
      </c>
      <c r="H946" s="665">
        <v>10.01</v>
      </c>
      <c r="I946" s="665">
        <v>3.12</v>
      </c>
      <c r="J946" s="665">
        <v>2.7</v>
      </c>
      <c r="K946" s="665">
        <v>315.0</v>
      </c>
      <c r="L946" s="665">
        <v>10092.0</v>
      </c>
      <c r="M946" s="665">
        <v>0.12</v>
      </c>
      <c r="N946" s="1">
        <v>1.1667</v>
      </c>
      <c r="O946" s="1">
        <v>315.0</v>
      </c>
      <c r="P946" s="1">
        <v>10092.0</v>
      </c>
      <c r="Q946" s="1">
        <v>0.1168</v>
      </c>
      <c r="R946" s="1">
        <v>16507.0</v>
      </c>
    </row>
    <row r="947">
      <c r="A947" s="663" t="s">
        <v>2295</v>
      </c>
      <c r="B947" s="663" t="s">
        <v>1192</v>
      </c>
      <c r="C947" s="663" t="s">
        <v>54</v>
      </c>
      <c r="D947" s="663" t="s">
        <v>599</v>
      </c>
      <c r="E947" s="664" t="s">
        <v>397</v>
      </c>
      <c r="F947" s="665">
        <v>2697.0</v>
      </c>
      <c r="G947" s="665">
        <v>307.0</v>
      </c>
      <c r="H947" s="665">
        <v>11.38</v>
      </c>
      <c r="I947" s="665">
        <v>3.1</v>
      </c>
      <c r="J947" s="665">
        <v>2.51</v>
      </c>
      <c r="K947" s="665">
        <v>313.0</v>
      </c>
      <c r="L947" s="665">
        <v>10092.0</v>
      </c>
      <c r="M947" s="665">
        <v>0.12</v>
      </c>
      <c r="N947" s="1">
        <v>1.0195</v>
      </c>
      <c r="O947" s="1">
        <v>313.0</v>
      </c>
      <c r="P947" s="1">
        <v>10092.0</v>
      </c>
      <c r="Q947" s="1">
        <v>0.1161</v>
      </c>
      <c r="R947" s="1">
        <v>16507.0</v>
      </c>
    </row>
    <row r="948">
      <c r="A948" s="663" t="s">
        <v>2295</v>
      </c>
      <c r="B948" s="663" t="s">
        <v>1192</v>
      </c>
      <c r="C948" s="663" t="s">
        <v>54</v>
      </c>
      <c r="D948" s="663" t="s">
        <v>599</v>
      </c>
      <c r="E948" s="664" t="s">
        <v>63</v>
      </c>
      <c r="F948" s="665">
        <v>2697.0</v>
      </c>
      <c r="G948" s="665">
        <v>77.0</v>
      </c>
      <c r="H948" s="665">
        <v>2.86</v>
      </c>
      <c r="I948" s="665">
        <v>0.78</v>
      </c>
      <c r="J948" s="665">
        <v>0.87</v>
      </c>
      <c r="K948" s="665">
        <v>79.0</v>
      </c>
      <c r="L948" s="665">
        <v>10092.0</v>
      </c>
      <c r="M948" s="665">
        <v>0.03</v>
      </c>
      <c r="N948" s="1">
        <v>1.026</v>
      </c>
      <c r="O948" s="1">
        <v>79.0</v>
      </c>
      <c r="P948" s="1">
        <v>10092.0</v>
      </c>
      <c r="Q948" s="1">
        <v>0.0293</v>
      </c>
      <c r="R948" s="1">
        <v>16507.0</v>
      </c>
    </row>
    <row r="949">
      <c r="A949" s="663" t="s">
        <v>2295</v>
      </c>
      <c r="B949" s="663" t="s">
        <v>1192</v>
      </c>
      <c r="C949" s="663" t="s">
        <v>54</v>
      </c>
      <c r="D949" s="663" t="s">
        <v>599</v>
      </c>
      <c r="E949" s="664" t="s">
        <v>341</v>
      </c>
      <c r="F949" s="665">
        <v>2697.0</v>
      </c>
      <c r="G949" s="665">
        <v>43.0</v>
      </c>
      <c r="H949" s="665">
        <v>1.59</v>
      </c>
      <c r="I949" s="665">
        <v>0.45</v>
      </c>
      <c r="J949" s="665">
        <v>0.54</v>
      </c>
      <c r="K949" s="665">
        <v>45.0</v>
      </c>
      <c r="L949" s="665">
        <v>10092.0</v>
      </c>
      <c r="M949" s="665">
        <v>0.02</v>
      </c>
      <c r="N949" s="1">
        <v>1.0465</v>
      </c>
      <c r="O949" s="1">
        <v>45.0</v>
      </c>
      <c r="P949" s="1">
        <v>10092.0</v>
      </c>
      <c r="Q949" s="1">
        <v>0.0167</v>
      </c>
      <c r="R949" s="1">
        <v>16507.0</v>
      </c>
    </row>
    <row r="950">
      <c r="A950" s="663" t="s">
        <v>2295</v>
      </c>
      <c r="B950" s="663" t="s">
        <v>1192</v>
      </c>
      <c r="C950" s="663" t="s">
        <v>54</v>
      </c>
      <c r="D950" s="663" t="s">
        <v>599</v>
      </c>
      <c r="E950" s="664" t="s">
        <v>329</v>
      </c>
      <c r="F950" s="665">
        <v>2697.0</v>
      </c>
      <c r="G950" s="665">
        <v>20.0</v>
      </c>
      <c r="H950" s="665">
        <v>0.74</v>
      </c>
      <c r="I950" s="665">
        <v>0.2</v>
      </c>
      <c r="J950" s="665">
        <v>0.24</v>
      </c>
      <c r="K950" s="665">
        <v>20.0</v>
      </c>
      <c r="L950" s="665">
        <v>10092.0</v>
      </c>
      <c r="M950" s="665">
        <v>0.01</v>
      </c>
      <c r="N950" s="1">
        <v>1.0</v>
      </c>
      <c r="O950" s="1">
        <v>20.0</v>
      </c>
      <c r="P950" s="1">
        <v>10092.0</v>
      </c>
      <c r="Q950" s="1">
        <v>0.0074</v>
      </c>
      <c r="R950" s="1">
        <v>16507.0</v>
      </c>
    </row>
    <row r="951">
      <c r="A951" s="663" t="s">
        <v>2295</v>
      </c>
      <c r="B951" s="663" t="s">
        <v>1192</v>
      </c>
      <c r="C951" s="663" t="s">
        <v>54</v>
      </c>
      <c r="D951" s="663" t="s">
        <v>599</v>
      </c>
      <c r="E951" s="664" t="s">
        <v>338</v>
      </c>
      <c r="F951" s="665">
        <v>2697.0</v>
      </c>
      <c r="G951" s="665">
        <v>15.0</v>
      </c>
      <c r="H951" s="665">
        <v>0.56</v>
      </c>
      <c r="I951" s="665">
        <v>0.16</v>
      </c>
      <c r="J951" s="665">
        <v>0.33</v>
      </c>
      <c r="K951" s="665">
        <v>16.0</v>
      </c>
      <c r="L951" s="665">
        <v>10092.0</v>
      </c>
      <c r="M951" s="665">
        <v>0.01</v>
      </c>
      <c r="N951" s="1">
        <v>1.0667</v>
      </c>
      <c r="O951" s="1">
        <v>16.0</v>
      </c>
      <c r="P951" s="1">
        <v>10092.0</v>
      </c>
      <c r="Q951" s="1">
        <v>0.0059</v>
      </c>
      <c r="R951" s="1">
        <v>16507.0</v>
      </c>
    </row>
    <row r="952">
      <c r="A952" s="663" t="s">
        <v>2295</v>
      </c>
      <c r="B952" s="663" t="s">
        <v>1192</v>
      </c>
      <c r="C952" s="663" t="s">
        <v>54</v>
      </c>
      <c r="D952" s="663" t="s">
        <v>599</v>
      </c>
      <c r="E952" s="664" t="s">
        <v>398</v>
      </c>
      <c r="F952" s="665">
        <v>2697.0</v>
      </c>
      <c r="G952" s="665">
        <v>8.0</v>
      </c>
      <c r="H952" s="665">
        <v>0.3</v>
      </c>
      <c r="I952" s="665">
        <v>0.1</v>
      </c>
      <c r="J952" s="665">
        <v>0.05</v>
      </c>
      <c r="K952" s="665">
        <v>10.0</v>
      </c>
      <c r="L952" s="665">
        <v>10092.0</v>
      </c>
      <c r="M952" s="665">
        <v>0.0</v>
      </c>
      <c r="N952" s="1">
        <v>1.25</v>
      </c>
      <c r="O952" s="1">
        <v>10.0</v>
      </c>
      <c r="P952" s="1">
        <v>10092.0</v>
      </c>
      <c r="Q952" s="1">
        <v>0.0037</v>
      </c>
      <c r="R952" s="1">
        <v>16507.0</v>
      </c>
    </row>
    <row r="953">
      <c r="A953" s="663" t="s">
        <v>2295</v>
      </c>
      <c r="B953" s="663" t="s">
        <v>1192</v>
      </c>
      <c r="C953" s="663" t="s">
        <v>54</v>
      </c>
      <c r="D953" s="663" t="s">
        <v>599</v>
      </c>
      <c r="E953" s="664" t="s">
        <v>418</v>
      </c>
      <c r="F953" s="665">
        <v>2697.0</v>
      </c>
      <c r="G953" s="665">
        <v>8.0</v>
      </c>
      <c r="H953" s="665">
        <v>0.3</v>
      </c>
      <c r="I953" s="665">
        <v>0.08</v>
      </c>
      <c r="J953" s="665">
        <v>0.21</v>
      </c>
      <c r="K953" s="665">
        <v>8.0</v>
      </c>
      <c r="L953" s="665">
        <v>10092.0</v>
      </c>
      <c r="M953" s="665">
        <v>0.0</v>
      </c>
      <c r="N953" s="1">
        <v>1.0</v>
      </c>
      <c r="O953" s="1">
        <v>8.0</v>
      </c>
      <c r="P953" s="1">
        <v>10092.0</v>
      </c>
      <c r="Q953" s="1">
        <v>0.003</v>
      </c>
      <c r="R953" s="1">
        <v>16507.0</v>
      </c>
    </row>
    <row r="954">
      <c r="A954" s="663" t="s">
        <v>2295</v>
      </c>
      <c r="B954" s="663" t="s">
        <v>1192</v>
      </c>
      <c r="C954" s="663" t="s">
        <v>54</v>
      </c>
      <c r="D954" s="663" t="s">
        <v>599</v>
      </c>
      <c r="E954" s="664" t="s">
        <v>7</v>
      </c>
      <c r="F954" s="665">
        <v>2697.0</v>
      </c>
      <c r="G954" s="665">
        <v>4.0</v>
      </c>
      <c r="H954" s="665">
        <v>0.15</v>
      </c>
      <c r="I954" s="665">
        <v>0.04</v>
      </c>
      <c r="J954" s="665">
        <v>0.03</v>
      </c>
      <c r="K954" s="665">
        <v>4.0</v>
      </c>
      <c r="L954" s="665">
        <v>10092.0</v>
      </c>
      <c r="M954" s="665">
        <v>0.0</v>
      </c>
      <c r="N954" s="1">
        <v>1.0</v>
      </c>
      <c r="O954" s="1">
        <v>4.0</v>
      </c>
      <c r="P954" s="1">
        <v>10092.0</v>
      </c>
      <c r="Q954" s="1">
        <v>0.0015</v>
      </c>
      <c r="R954" s="1">
        <v>16507.0</v>
      </c>
    </row>
    <row r="955">
      <c r="A955" s="663" t="s">
        <v>2295</v>
      </c>
      <c r="B955" s="663" t="s">
        <v>1192</v>
      </c>
      <c r="C955" s="663" t="s">
        <v>54</v>
      </c>
      <c r="D955" s="663" t="s">
        <v>599</v>
      </c>
      <c r="E955" s="664" t="s">
        <v>151</v>
      </c>
      <c r="F955" s="665">
        <v>2697.0</v>
      </c>
      <c r="G955" s="665">
        <v>1.0</v>
      </c>
      <c r="H955" s="665">
        <v>0.04</v>
      </c>
      <c r="I955" s="665">
        <v>0.02</v>
      </c>
      <c r="J955" s="665">
        <v>0.04</v>
      </c>
      <c r="K955" s="665">
        <v>2.0</v>
      </c>
      <c r="L955" s="665">
        <v>10092.0</v>
      </c>
      <c r="M955" s="665">
        <v>0.0</v>
      </c>
      <c r="N955" s="1">
        <v>2.0</v>
      </c>
      <c r="O955" s="1">
        <v>2.0</v>
      </c>
      <c r="P955" s="1">
        <v>10092.0</v>
      </c>
      <c r="Q955" s="1">
        <v>7.0E-4</v>
      </c>
      <c r="R955" s="1">
        <v>16507.0</v>
      </c>
    </row>
    <row r="956">
      <c r="A956" s="663" t="s">
        <v>2295</v>
      </c>
      <c r="B956" s="663" t="s">
        <v>1192</v>
      </c>
      <c r="C956" s="663" t="s">
        <v>1205</v>
      </c>
      <c r="D956" s="663" t="s">
        <v>1205</v>
      </c>
      <c r="E956" s="664" t="s">
        <v>398</v>
      </c>
      <c r="F956" s="665">
        <v>4021.0</v>
      </c>
      <c r="G956" s="665">
        <v>3194.0</v>
      </c>
      <c r="H956" s="665">
        <v>79.43</v>
      </c>
      <c r="I956" s="665">
        <v>15.18</v>
      </c>
      <c r="J956" s="665">
        <v>15.58</v>
      </c>
      <c r="K956" s="665">
        <v>247900.0</v>
      </c>
      <c r="L956" s="665">
        <v>1632640.41</v>
      </c>
      <c r="M956" s="665">
        <v>61.65</v>
      </c>
      <c r="N956" s="1">
        <v>77.6143</v>
      </c>
      <c r="O956" s="1">
        <v>247900.0</v>
      </c>
      <c r="P956" s="1">
        <v>1650939.0</v>
      </c>
      <c r="Q956" s="1">
        <v>61.6513</v>
      </c>
      <c r="R956" s="1">
        <v>16507.0</v>
      </c>
    </row>
    <row r="957">
      <c r="A957" s="663" t="s">
        <v>2295</v>
      </c>
      <c r="B957" s="663" t="s">
        <v>1192</v>
      </c>
      <c r="C957" s="663" t="s">
        <v>1205</v>
      </c>
      <c r="D957" s="663" t="s">
        <v>1205</v>
      </c>
      <c r="E957" s="664" t="s">
        <v>397</v>
      </c>
      <c r="F957" s="665">
        <v>4021.0</v>
      </c>
      <c r="G957" s="665">
        <v>3334.0</v>
      </c>
      <c r="H957" s="665">
        <v>82.91</v>
      </c>
      <c r="I957" s="665">
        <v>14.35</v>
      </c>
      <c r="J957" s="665">
        <v>15.14</v>
      </c>
      <c r="K957" s="665">
        <v>234255.0</v>
      </c>
      <c r="L957" s="665">
        <v>1632640.41</v>
      </c>
      <c r="M957" s="665">
        <v>58.26</v>
      </c>
      <c r="N957" s="1">
        <v>70.2624</v>
      </c>
      <c r="O957" s="1">
        <v>234255.0</v>
      </c>
      <c r="P957" s="1">
        <v>1650939.0</v>
      </c>
      <c r="Q957" s="1">
        <v>58.2579</v>
      </c>
      <c r="R957" s="1">
        <v>16507.0</v>
      </c>
    </row>
    <row r="958">
      <c r="A958" s="663" t="s">
        <v>2295</v>
      </c>
      <c r="B958" s="663" t="s">
        <v>1192</v>
      </c>
      <c r="C958" s="663" t="s">
        <v>1205</v>
      </c>
      <c r="D958" s="663" t="s">
        <v>1205</v>
      </c>
      <c r="E958" s="664" t="s">
        <v>15</v>
      </c>
      <c r="F958" s="665">
        <v>4021.0</v>
      </c>
      <c r="G958" s="665">
        <v>1237.0</v>
      </c>
      <c r="H958" s="665">
        <v>30.76</v>
      </c>
      <c r="I958" s="665">
        <v>11.11</v>
      </c>
      <c r="J958" s="665">
        <v>7.62</v>
      </c>
      <c r="K958" s="665">
        <v>181340.0</v>
      </c>
      <c r="L958" s="665">
        <v>1632640.41</v>
      </c>
      <c r="M958" s="665">
        <v>45.1</v>
      </c>
      <c r="N958" s="1">
        <v>146.5966</v>
      </c>
      <c r="O958" s="1">
        <v>181340.0</v>
      </c>
      <c r="P958" s="1">
        <v>1650939.0</v>
      </c>
      <c r="Q958" s="1">
        <v>45.0982</v>
      </c>
      <c r="R958" s="1">
        <v>16507.0</v>
      </c>
    </row>
    <row r="959">
      <c r="A959" s="663" t="s">
        <v>2295</v>
      </c>
      <c r="B959" s="663" t="s">
        <v>1192</v>
      </c>
      <c r="C959" s="663" t="s">
        <v>1205</v>
      </c>
      <c r="D959" s="663" t="s">
        <v>1205</v>
      </c>
      <c r="E959" s="664" t="s">
        <v>16</v>
      </c>
      <c r="F959" s="665">
        <v>4021.0</v>
      </c>
      <c r="G959" s="665">
        <v>1639.0</v>
      </c>
      <c r="H959" s="665">
        <v>40.76</v>
      </c>
      <c r="I959" s="665">
        <v>10.99</v>
      </c>
      <c r="J959" s="665">
        <v>10.1</v>
      </c>
      <c r="K959" s="665">
        <v>179395.0</v>
      </c>
      <c r="L959" s="665">
        <v>1632640.41</v>
      </c>
      <c r="M959" s="665">
        <v>44.61</v>
      </c>
      <c r="N959" s="1">
        <v>109.4539</v>
      </c>
      <c r="O959" s="1">
        <v>179395.0</v>
      </c>
      <c r="P959" s="1">
        <v>1650939.0</v>
      </c>
      <c r="Q959" s="1">
        <v>44.6145</v>
      </c>
      <c r="R959" s="1">
        <v>16507.0</v>
      </c>
    </row>
    <row r="960">
      <c r="A960" s="663" t="s">
        <v>2295</v>
      </c>
      <c r="B960" s="663" t="s">
        <v>1192</v>
      </c>
      <c r="C960" s="663" t="s">
        <v>1205</v>
      </c>
      <c r="D960" s="663" t="s">
        <v>1205</v>
      </c>
      <c r="E960" s="664" t="s">
        <v>418</v>
      </c>
      <c r="F960" s="665">
        <v>4021.0</v>
      </c>
      <c r="G960" s="665">
        <v>3341.0</v>
      </c>
      <c r="H960" s="665">
        <v>83.09</v>
      </c>
      <c r="I960" s="665">
        <v>8.6</v>
      </c>
      <c r="J960" s="665">
        <v>10.98</v>
      </c>
      <c r="K960" s="665">
        <v>140415.0</v>
      </c>
      <c r="L960" s="665">
        <v>1632640.41</v>
      </c>
      <c r="M960" s="665">
        <v>34.92</v>
      </c>
      <c r="N960" s="1">
        <v>42.0278</v>
      </c>
      <c r="O960" s="1">
        <v>140415.0</v>
      </c>
      <c r="P960" s="1">
        <v>1650939.0</v>
      </c>
      <c r="Q960" s="1">
        <v>34.9204</v>
      </c>
      <c r="R960" s="1">
        <v>16507.0</v>
      </c>
    </row>
    <row r="961">
      <c r="A961" s="663" t="s">
        <v>2295</v>
      </c>
      <c r="B961" s="663" t="s">
        <v>1192</v>
      </c>
      <c r="C961" s="663" t="s">
        <v>1205</v>
      </c>
      <c r="D961" s="663" t="s">
        <v>1205</v>
      </c>
      <c r="E961" s="664" t="s">
        <v>413</v>
      </c>
      <c r="F961" s="665">
        <v>4021.0</v>
      </c>
      <c r="G961" s="665">
        <v>2396.0</v>
      </c>
      <c r="H961" s="665">
        <v>59.59</v>
      </c>
      <c r="I961" s="665">
        <v>7.81</v>
      </c>
      <c r="J961" s="665">
        <v>8.09</v>
      </c>
      <c r="K961" s="665">
        <v>127505.0</v>
      </c>
      <c r="L961" s="665">
        <v>1632640.41</v>
      </c>
      <c r="M961" s="665">
        <v>31.71</v>
      </c>
      <c r="N961" s="1">
        <v>53.2158</v>
      </c>
      <c r="O961" s="1">
        <v>127505.0</v>
      </c>
      <c r="P961" s="1">
        <v>1650939.0</v>
      </c>
      <c r="Q961" s="1">
        <v>31.7098</v>
      </c>
      <c r="R961" s="1">
        <v>16507.0</v>
      </c>
    </row>
    <row r="962">
      <c r="A962" s="663" t="s">
        <v>2295</v>
      </c>
      <c r="B962" s="663" t="s">
        <v>1192</v>
      </c>
      <c r="C962" s="663" t="s">
        <v>1205</v>
      </c>
      <c r="D962" s="663" t="s">
        <v>1205</v>
      </c>
      <c r="E962" s="664" t="s">
        <v>396</v>
      </c>
      <c r="F962" s="665">
        <v>4021.0</v>
      </c>
      <c r="G962" s="665">
        <v>2025.0</v>
      </c>
      <c r="H962" s="665">
        <v>50.36</v>
      </c>
      <c r="I962" s="665">
        <v>7.27</v>
      </c>
      <c r="J962" s="665">
        <v>8.66</v>
      </c>
      <c r="K962" s="665">
        <v>118650.0</v>
      </c>
      <c r="L962" s="665">
        <v>1632640.41</v>
      </c>
      <c r="M962" s="665">
        <v>29.51</v>
      </c>
      <c r="N962" s="1">
        <v>58.5926</v>
      </c>
      <c r="O962" s="1">
        <v>118650.0</v>
      </c>
      <c r="P962" s="1">
        <v>1650939.0</v>
      </c>
      <c r="Q962" s="1">
        <v>29.5076</v>
      </c>
      <c r="R962" s="1">
        <v>16507.0</v>
      </c>
    </row>
    <row r="963">
      <c r="A963" s="663" t="s">
        <v>2295</v>
      </c>
      <c r="B963" s="663" t="s">
        <v>1192</v>
      </c>
      <c r="C963" s="663" t="s">
        <v>1205</v>
      </c>
      <c r="D963" s="663" t="s">
        <v>1205</v>
      </c>
      <c r="E963" s="664" t="s">
        <v>14</v>
      </c>
      <c r="F963" s="665">
        <v>4021.0</v>
      </c>
      <c r="G963" s="665">
        <v>2824.0</v>
      </c>
      <c r="H963" s="665">
        <v>70.23</v>
      </c>
      <c r="I963" s="665">
        <v>5.71</v>
      </c>
      <c r="J963" s="665">
        <v>7.69</v>
      </c>
      <c r="K963" s="665">
        <v>93281.41</v>
      </c>
      <c r="L963" s="665">
        <v>1632640.41</v>
      </c>
      <c r="M963" s="665">
        <v>23.2</v>
      </c>
      <c r="N963" s="1">
        <v>33.0317</v>
      </c>
      <c r="O963" s="1">
        <v>111580.0</v>
      </c>
      <c r="P963" s="1">
        <v>1650939.0</v>
      </c>
      <c r="Q963" s="1">
        <v>27.7493</v>
      </c>
      <c r="R963" s="1">
        <v>16507.0</v>
      </c>
    </row>
    <row r="964">
      <c r="A964" s="663" t="s">
        <v>2295</v>
      </c>
      <c r="B964" s="663" t="s">
        <v>1192</v>
      </c>
      <c r="C964" s="663" t="s">
        <v>1205</v>
      </c>
      <c r="D964" s="663" t="s">
        <v>1205</v>
      </c>
      <c r="E964" s="664" t="s">
        <v>393</v>
      </c>
      <c r="F964" s="665">
        <v>4021.0</v>
      </c>
      <c r="G964" s="665">
        <v>1379.0</v>
      </c>
      <c r="H964" s="665">
        <v>34.29</v>
      </c>
      <c r="I964" s="665">
        <v>5.26</v>
      </c>
      <c r="J964" s="665">
        <v>4.07</v>
      </c>
      <c r="K964" s="665">
        <v>85835.0</v>
      </c>
      <c r="L964" s="665">
        <v>1632640.41</v>
      </c>
      <c r="M964" s="665">
        <v>21.35</v>
      </c>
      <c r="N964" s="1">
        <v>62.2444</v>
      </c>
      <c r="O964" s="1">
        <v>85835.0</v>
      </c>
      <c r="P964" s="1">
        <v>1650939.0</v>
      </c>
      <c r="Q964" s="1">
        <v>21.3467</v>
      </c>
      <c r="R964" s="1">
        <v>16507.0</v>
      </c>
    </row>
    <row r="965">
      <c r="A965" s="663" t="s">
        <v>2295</v>
      </c>
      <c r="B965" s="663" t="s">
        <v>1192</v>
      </c>
      <c r="C965" s="663" t="s">
        <v>1205</v>
      </c>
      <c r="D965" s="663" t="s">
        <v>1205</v>
      </c>
      <c r="E965" s="664" t="s">
        <v>411</v>
      </c>
      <c r="F965" s="665">
        <v>4021.0</v>
      </c>
      <c r="G965" s="665">
        <v>1240.0</v>
      </c>
      <c r="H965" s="665">
        <v>30.84</v>
      </c>
      <c r="I965" s="665">
        <v>3.57</v>
      </c>
      <c r="J965" s="665">
        <v>2.36</v>
      </c>
      <c r="K965" s="665">
        <v>58259.0</v>
      </c>
      <c r="L965" s="665">
        <v>1632640.41</v>
      </c>
      <c r="M965" s="665">
        <v>14.49</v>
      </c>
      <c r="N965" s="1">
        <v>46.9831</v>
      </c>
      <c r="O965" s="1">
        <v>58259.0</v>
      </c>
      <c r="P965" s="1">
        <v>1650939.0</v>
      </c>
      <c r="Q965" s="1">
        <v>14.4887</v>
      </c>
      <c r="R965" s="1">
        <v>16507.0</v>
      </c>
    </row>
    <row r="966">
      <c r="A966" s="663" t="s">
        <v>2295</v>
      </c>
      <c r="B966" s="663" t="s">
        <v>1192</v>
      </c>
      <c r="C966" s="663" t="s">
        <v>1205</v>
      </c>
      <c r="D966" s="663" t="s">
        <v>1205</v>
      </c>
      <c r="E966" s="664" t="s">
        <v>42</v>
      </c>
      <c r="F966" s="665">
        <v>4021.0</v>
      </c>
      <c r="G966" s="665">
        <v>1152.0</v>
      </c>
      <c r="H966" s="665">
        <v>28.65</v>
      </c>
      <c r="I966" s="665">
        <v>2.89</v>
      </c>
      <c r="J966" s="665">
        <v>3.08</v>
      </c>
      <c r="K966" s="665">
        <v>47245.0</v>
      </c>
      <c r="L966" s="665">
        <v>1632640.41</v>
      </c>
      <c r="M966" s="665">
        <v>11.75</v>
      </c>
      <c r="N966" s="1">
        <v>41.0113</v>
      </c>
      <c r="O966" s="1">
        <v>47245.0</v>
      </c>
      <c r="P966" s="1">
        <v>1650939.0</v>
      </c>
      <c r="Q966" s="1">
        <v>11.7496</v>
      </c>
      <c r="R966" s="1">
        <v>16507.0</v>
      </c>
    </row>
    <row r="967">
      <c r="A967" s="663" t="s">
        <v>2295</v>
      </c>
      <c r="B967" s="663" t="s">
        <v>1192</v>
      </c>
      <c r="C967" s="663" t="s">
        <v>1205</v>
      </c>
      <c r="D967" s="663" t="s">
        <v>1205</v>
      </c>
      <c r="E967" s="664" t="s">
        <v>9</v>
      </c>
      <c r="F967" s="665">
        <v>4021.0</v>
      </c>
      <c r="G967" s="665">
        <v>1799.0</v>
      </c>
      <c r="H967" s="665">
        <v>44.74</v>
      </c>
      <c r="I967" s="665">
        <v>2.2</v>
      </c>
      <c r="J967" s="665">
        <v>2.14</v>
      </c>
      <c r="K967" s="665">
        <v>35910.0</v>
      </c>
      <c r="L967" s="665">
        <v>1632640.41</v>
      </c>
      <c r="M967" s="665">
        <v>8.93</v>
      </c>
      <c r="N967" s="1">
        <v>19.9611</v>
      </c>
      <c r="O967" s="1">
        <v>35910.0</v>
      </c>
      <c r="P967" s="1">
        <v>1650939.0</v>
      </c>
      <c r="Q967" s="1">
        <v>8.9306</v>
      </c>
      <c r="R967" s="1">
        <v>16507.0</v>
      </c>
    </row>
    <row r="968">
      <c r="A968" s="663" t="s">
        <v>2295</v>
      </c>
      <c r="B968" s="663" t="s">
        <v>1192</v>
      </c>
      <c r="C968" s="663" t="s">
        <v>1205</v>
      </c>
      <c r="D968" s="663" t="s">
        <v>1205</v>
      </c>
      <c r="E968" s="664" t="s">
        <v>63</v>
      </c>
      <c r="F968" s="665">
        <v>4021.0</v>
      </c>
      <c r="G968" s="665">
        <v>417.0</v>
      </c>
      <c r="H968" s="665">
        <v>10.37</v>
      </c>
      <c r="I968" s="665">
        <v>1.41</v>
      </c>
      <c r="J968" s="665">
        <v>1.36</v>
      </c>
      <c r="K968" s="665">
        <v>23000.0</v>
      </c>
      <c r="L968" s="665">
        <v>1632640.41</v>
      </c>
      <c r="M968" s="665">
        <v>5.72</v>
      </c>
      <c r="N968" s="1">
        <v>55.1559</v>
      </c>
      <c r="O968" s="1">
        <v>23000.0</v>
      </c>
      <c r="P968" s="1">
        <v>1650939.0</v>
      </c>
      <c r="Q968" s="1">
        <v>5.72</v>
      </c>
      <c r="R968" s="1">
        <v>16507.0</v>
      </c>
    </row>
    <row r="969">
      <c r="A969" s="663" t="s">
        <v>2295</v>
      </c>
      <c r="B969" s="663" t="s">
        <v>1192</v>
      </c>
      <c r="C969" s="663" t="s">
        <v>1205</v>
      </c>
      <c r="D969" s="663" t="s">
        <v>1205</v>
      </c>
      <c r="E969" s="664" t="s">
        <v>341</v>
      </c>
      <c r="F969" s="665">
        <v>4021.0</v>
      </c>
      <c r="G969" s="665">
        <v>170.0</v>
      </c>
      <c r="H969" s="665">
        <v>4.23</v>
      </c>
      <c r="I969" s="665">
        <v>1.15</v>
      </c>
      <c r="J969" s="665">
        <v>1.02</v>
      </c>
      <c r="K969" s="665">
        <v>18800.0</v>
      </c>
      <c r="L969" s="665">
        <v>1632640.41</v>
      </c>
      <c r="M969" s="665">
        <v>4.68</v>
      </c>
      <c r="N969" s="1">
        <v>110.5882</v>
      </c>
      <c r="O969" s="1">
        <v>18800.0</v>
      </c>
      <c r="P969" s="1">
        <v>1650939.0</v>
      </c>
      <c r="Q969" s="1">
        <v>4.6755</v>
      </c>
      <c r="R969" s="1">
        <v>16507.0</v>
      </c>
    </row>
    <row r="970">
      <c r="A970" s="663" t="s">
        <v>2295</v>
      </c>
      <c r="B970" s="663" t="s">
        <v>1192</v>
      </c>
      <c r="C970" s="663" t="s">
        <v>1205</v>
      </c>
      <c r="D970" s="663" t="s">
        <v>1205</v>
      </c>
      <c r="E970" s="664" t="s">
        <v>329</v>
      </c>
      <c r="F970" s="665">
        <v>4021.0</v>
      </c>
      <c r="G970" s="665">
        <v>122.0</v>
      </c>
      <c r="H970" s="665">
        <v>3.03</v>
      </c>
      <c r="I970" s="665">
        <v>0.7</v>
      </c>
      <c r="J970" s="665">
        <v>0.58</v>
      </c>
      <c r="K970" s="665">
        <v>11450.0</v>
      </c>
      <c r="L970" s="665">
        <v>1632640.41</v>
      </c>
      <c r="M970" s="665">
        <v>2.85</v>
      </c>
      <c r="N970" s="1">
        <v>93.8525</v>
      </c>
      <c r="O970" s="1">
        <v>11450.0</v>
      </c>
      <c r="P970" s="1">
        <v>1650939.0</v>
      </c>
      <c r="Q970" s="1">
        <v>2.8476</v>
      </c>
      <c r="R970" s="1">
        <v>16507.0</v>
      </c>
    </row>
    <row r="971">
      <c r="A971" s="663" t="s">
        <v>2295</v>
      </c>
      <c r="B971" s="663" t="s">
        <v>1192</v>
      </c>
      <c r="C971" s="663" t="s">
        <v>1205</v>
      </c>
      <c r="D971" s="663" t="s">
        <v>1205</v>
      </c>
      <c r="E971" s="664" t="s">
        <v>338</v>
      </c>
      <c r="F971" s="665">
        <v>4021.0</v>
      </c>
      <c r="G971" s="665">
        <v>101.0</v>
      </c>
      <c r="H971" s="665">
        <v>2.51</v>
      </c>
      <c r="I971" s="665">
        <v>0.58</v>
      </c>
      <c r="J971" s="665">
        <v>0.54</v>
      </c>
      <c r="K971" s="665">
        <v>9450.0</v>
      </c>
      <c r="L971" s="665">
        <v>1632640.41</v>
      </c>
      <c r="M971" s="665">
        <v>2.35</v>
      </c>
      <c r="N971" s="1">
        <v>93.5644</v>
      </c>
      <c r="O971" s="1">
        <v>9450.0</v>
      </c>
      <c r="P971" s="1">
        <v>1650939.0</v>
      </c>
      <c r="Q971" s="1">
        <v>2.3502</v>
      </c>
      <c r="R971" s="1">
        <v>16507.0</v>
      </c>
    </row>
    <row r="972">
      <c r="A972" s="663" t="s">
        <v>2295</v>
      </c>
      <c r="B972" s="663" t="s">
        <v>1192</v>
      </c>
      <c r="C972" s="663" t="s">
        <v>1205</v>
      </c>
      <c r="D972" s="663" t="s">
        <v>1205</v>
      </c>
      <c r="E972" s="664" t="s">
        <v>401</v>
      </c>
      <c r="F972" s="665">
        <v>4021.0</v>
      </c>
      <c r="G972" s="665">
        <v>254.0</v>
      </c>
      <c r="H972" s="665">
        <v>6.32</v>
      </c>
      <c r="I972" s="665">
        <v>0.44</v>
      </c>
      <c r="J972" s="665">
        <v>0.37</v>
      </c>
      <c r="K972" s="665">
        <v>7175.0</v>
      </c>
      <c r="L972" s="665">
        <v>1632640.41</v>
      </c>
      <c r="M972" s="665">
        <v>1.78</v>
      </c>
      <c r="N972" s="1">
        <v>28.248</v>
      </c>
      <c r="O972" s="1">
        <v>7175.0</v>
      </c>
      <c r="P972" s="1">
        <v>1650939.0</v>
      </c>
      <c r="Q972" s="1">
        <v>1.7844</v>
      </c>
      <c r="R972" s="1">
        <v>16507.0</v>
      </c>
    </row>
    <row r="973">
      <c r="A973" s="663" t="s">
        <v>2295</v>
      </c>
      <c r="B973" s="663" t="s">
        <v>1192</v>
      </c>
      <c r="C973" s="663" t="s">
        <v>1205</v>
      </c>
      <c r="D973" s="663" t="s">
        <v>1205</v>
      </c>
      <c r="E973" s="664" t="s">
        <v>206</v>
      </c>
      <c r="F973" s="665">
        <v>4021.0</v>
      </c>
      <c r="G973" s="665">
        <v>196.0</v>
      </c>
      <c r="H973" s="665">
        <v>4.87</v>
      </c>
      <c r="I973" s="665">
        <v>0.32</v>
      </c>
      <c r="J973" s="665">
        <v>0.23</v>
      </c>
      <c r="K973" s="665">
        <v>5150.0</v>
      </c>
      <c r="L973" s="665">
        <v>1632640.41</v>
      </c>
      <c r="M973" s="665">
        <v>1.28</v>
      </c>
      <c r="N973" s="1">
        <v>26.2755</v>
      </c>
      <c r="O973" s="1">
        <v>5150.0</v>
      </c>
      <c r="P973" s="1">
        <v>1650939.0</v>
      </c>
      <c r="Q973" s="1">
        <v>1.2808</v>
      </c>
      <c r="R973" s="1">
        <v>16507.0</v>
      </c>
    </row>
    <row r="974">
      <c r="A974" s="663" t="s">
        <v>2295</v>
      </c>
      <c r="B974" s="663" t="s">
        <v>1192</v>
      </c>
      <c r="C974" s="663" t="s">
        <v>1205</v>
      </c>
      <c r="D974" s="663" t="s">
        <v>1205</v>
      </c>
      <c r="E974" s="664" t="s">
        <v>7</v>
      </c>
      <c r="F974" s="665">
        <v>4021.0</v>
      </c>
      <c r="G974" s="665">
        <v>33.0</v>
      </c>
      <c r="H974" s="665">
        <v>0.82</v>
      </c>
      <c r="I974" s="665">
        <v>0.29</v>
      </c>
      <c r="J974" s="665">
        <v>0.2</v>
      </c>
      <c r="K974" s="665">
        <v>4750.0</v>
      </c>
      <c r="L974" s="665">
        <v>1632640.41</v>
      </c>
      <c r="M974" s="665">
        <v>1.18</v>
      </c>
      <c r="N974" s="1">
        <v>143.9394</v>
      </c>
      <c r="O974" s="1">
        <v>4750.0</v>
      </c>
      <c r="P974" s="1">
        <v>1650939.0</v>
      </c>
      <c r="Q974" s="1">
        <v>1.1813</v>
      </c>
      <c r="R974" s="1">
        <v>16507.0</v>
      </c>
    </row>
    <row r="975">
      <c r="A975" s="663" t="s">
        <v>2295</v>
      </c>
      <c r="B975" s="663" t="s">
        <v>1192</v>
      </c>
      <c r="C975" s="663" t="s">
        <v>1205</v>
      </c>
      <c r="D975" s="663" t="s">
        <v>1205</v>
      </c>
      <c r="E975" s="664" t="s">
        <v>73</v>
      </c>
      <c r="F975" s="665">
        <v>4021.0</v>
      </c>
      <c r="G975" s="665">
        <v>101.0</v>
      </c>
      <c r="H975" s="665">
        <v>2.51</v>
      </c>
      <c r="I975" s="665">
        <v>0.17</v>
      </c>
      <c r="J975" s="665">
        <v>0.16</v>
      </c>
      <c r="K975" s="665">
        <v>2700.0</v>
      </c>
      <c r="L975" s="665">
        <v>1632640.41</v>
      </c>
      <c r="M975" s="665">
        <v>0.67</v>
      </c>
      <c r="N975" s="1">
        <v>26.7327</v>
      </c>
      <c r="O975" s="1">
        <v>2700.0</v>
      </c>
      <c r="P975" s="1">
        <v>1650939.0</v>
      </c>
      <c r="Q975" s="1">
        <v>0.6715</v>
      </c>
      <c r="R975" s="1">
        <v>16507.0</v>
      </c>
    </row>
    <row r="976">
      <c r="A976" s="663" t="s">
        <v>2295</v>
      </c>
      <c r="B976" s="663" t="s">
        <v>1192</v>
      </c>
      <c r="C976" s="663" t="s">
        <v>1205</v>
      </c>
      <c r="D976" s="663" t="s">
        <v>1205</v>
      </c>
      <c r="E976" s="664" t="s">
        <v>151</v>
      </c>
      <c r="F976" s="665">
        <v>4021.0</v>
      </c>
      <c r="G976" s="665">
        <v>5.0</v>
      </c>
      <c r="H976" s="665">
        <v>0.12</v>
      </c>
      <c r="I976" s="665">
        <v>0.01</v>
      </c>
      <c r="J976" s="665">
        <v>0.03</v>
      </c>
      <c r="K976" s="665">
        <v>175.0</v>
      </c>
      <c r="L976" s="665">
        <v>1632640.41</v>
      </c>
      <c r="M976" s="665">
        <v>0.04</v>
      </c>
      <c r="N976" s="1">
        <v>35.0</v>
      </c>
      <c r="O976" s="1">
        <v>175.0</v>
      </c>
      <c r="P976" s="1">
        <v>1650939.0</v>
      </c>
      <c r="Q976" s="1">
        <v>0.0435</v>
      </c>
      <c r="R976" s="1">
        <v>16507.0</v>
      </c>
    </row>
    <row r="977">
      <c r="A977" s="663" t="s">
        <v>2295</v>
      </c>
      <c r="B977" s="663" t="s">
        <v>1192</v>
      </c>
      <c r="C977" s="663" t="s">
        <v>47</v>
      </c>
      <c r="D977" s="663" t="s">
        <v>599</v>
      </c>
      <c r="E977" s="664" t="s">
        <v>398</v>
      </c>
      <c r="F977" s="665">
        <v>3791.0</v>
      </c>
      <c r="G977" s="665">
        <v>2707.0</v>
      </c>
      <c r="H977" s="665">
        <v>71.41</v>
      </c>
      <c r="I977" s="665">
        <v>21.95</v>
      </c>
      <c r="J977" s="665">
        <v>21.55</v>
      </c>
      <c r="K977" s="665">
        <v>5672.0</v>
      </c>
      <c r="L977" s="665">
        <v>25845.0</v>
      </c>
      <c r="M977" s="665">
        <v>1.5</v>
      </c>
      <c r="N977" s="1">
        <v>2.0953</v>
      </c>
      <c r="O977" s="1">
        <v>5672.0</v>
      </c>
      <c r="P977" s="1">
        <v>25845.0</v>
      </c>
      <c r="Q977" s="1">
        <v>1.4962</v>
      </c>
      <c r="R977" s="1">
        <v>16507.0</v>
      </c>
    </row>
    <row r="978">
      <c r="A978" s="663" t="s">
        <v>2295</v>
      </c>
      <c r="B978" s="663" t="s">
        <v>1192</v>
      </c>
      <c r="C978" s="663" t="s">
        <v>47</v>
      </c>
      <c r="D978" s="663" t="s">
        <v>599</v>
      </c>
      <c r="E978" s="664" t="s">
        <v>413</v>
      </c>
      <c r="F978" s="665">
        <v>3791.0</v>
      </c>
      <c r="G978" s="665">
        <v>1932.0</v>
      </c>
      <c r="H978" s="665">
        <v>50.96</v>
      </c>
      <c r="I978" s="665">
        <v>16.13</v>
      </c>
      <c r="J978" s="665">
        <v>13.72</v>
      </c>
      <c r="K978" s="665">
        <v>4170.0</v>
      </c>
      <c r="L978" s="665">
        <v>25845.0</v>
      </c>
      <c r="M978" s="665">
        <v>1.1</v>
      </c>
      <c r="N978" s="1">
        <v>2.1584</v>
      </c>
      <c r="O978" s="1">
        <v>4170.0</v>
      </c>
      <c r="P978" s="1">
        <v>25845.0</v>
      </c>
      <c r="Q978" s="1">
        <v>1.1</v>
      </c>
      <c r="R978" s="1">
        <v>16507.0</v>
      </c>
    </row>
    <row r="979">
      <c r="A979" s="663" t="s">
        <v>2295</v>
      </c>
      <c r="B979" s="663" t="s">
        <v>1192</v>
      </c>
      <c r="C979" s="663" t="s">
        <v>47</v>
      </c>
      <c r="D979" s="663" t="s">
        <v>599</v>
      </c>
      <c r="E979" s="664" t="s">
        <v>14</v>
      </c>
      <c r="F979" s="665">
        <v>3791.0</v>
      </c>
      <c r="G979" s="665">
        <v>2604.0</v>
      </c>
      <c r="H979" s="665">
        <v>68.69</v>
      </c>
      <c r="I979" s="665">
        <v>14.53</v>
      </c>
      <c r="J979" s="665">
        <v>17.11</v>
      </c>
      <c r="K979" s="665">
        <v>3756.0</v>
      </c>
      <c r="L979" s="665">
        <v>25845.0</v>
      </c>
      <c r="M979" s="665">
        <v>0.99</v>
      </c>
      <c r="N979" s="1">
        <v>1.4424</v>
      </c>
      <c r="O979" s="1">
        <v>3756.0</v>
      </c>
      <c r="P979" s="1">
        <v>25845.0</v>
      </c>
      <c r="Q979" s="1">
        <v>0.9908</v>
      </c>
      <c r="R979" s="1">
        <v>16507.0</v>
      </c>
    </row>
    <row r="980">
      <c r="A980" s="663" t="s">
        <v>2295</v>
      </c>
      <c r="B980" s="663" t="s">
        <v>1192</v>
      </c>
      <c r="C980" s="663" t="s">
        <v>47</v>
      </c>
      <c r="D980" s="663" t="s">
        <v>599</v>
      </c>
      <c r="E980" s="664" t="s">
        <v>9</v>
      </c>
      <c r="F980" s="665">
        <v>3791.0</v>
      </c>
      <c r="G980" s="665">
        <v>2298.0</v>
      </c>
      <c r="H980" s="665">
        <v>60.62</v>
      </c>
      <c r="I980" s="665">
        <v>13.15</v>
      </c>
      <c r="J980" s="665">
        <v>13.34</v>
      </c>
      <c r="K980" s="665">
        <v>3398.0</v>
      </c>
      <c r="L980" s="665">
        <v>25845.0</v>
      </c>
      <c r="M980" s="665">
        <v>0.9</v>
      </c>
      <c r="N980" s="1">
        <v>1.4787</v>
      </c>
      <c r="O980" s="1">
        <v>3398.0</v>
      </c>
      <c r="P980" s="1">
        <v>25845.0</v>
      </c>
      <c r="Q980" s="1">
        <v>0.8963</v>
      </c>
      <c r="R980" s="1">
        <v>16507.0</v>
      </c>
    </row>
    <row r="981">
      <c r="A981" s="663" t="s">
        <v>2295</v>
      </c>
      <c r="B981" s="663" t="s">
        <v>1192</v>
      </c>
      <c r="C981" s="663" t="s">
        <v>47</v>
      </c>
      <c r="D981" s="663" t="s">
        <v>599</v>
      </c>
      <c r="E981" s="664" t="s">
        <v>411</v>
      </c>
      <c r="F981" s="665">
        <v>3791.0</v>
      </c>
      <c r="G981" s="665">
        <v>2239.0</v>
      </c>
      <c r="H981" s="665">
        <v>59.06</v>
      </c>
      <c r="I981" s="665">
        <v>12.93</v>
      </c>
      <c r="J981" s="665">
        <v>14.81</v>
      </c>
      <c r="K981" s="665">
        <v>3341.0</v>
      </c>
      <c r="L981" s="665">
        <v>25845.0</v>
      </c>
      <c r="M981" s="665">
        <v>0.88</v>
      </c>
      <c r="N981" s="1">
        <v>1.4922</v>
      </c>
      <c r="O981" s="1">
        <v>3341.0</v>
      </c>
      <c r="P981" s="1">
        <v>25845.0</v>
      </c>
      <c r="Q981" s="1">
        <v>0.8813</v>
      </c>
      <c r="R981" s="1">
        <v>16507.0</v>
      </c>
    </row>
    <row r="982">
      <c r="A982" s="663" t="s">
        <v>2295</v>
      </c>
      <c r="B982" s="663" t="s">
        <v>1192</v>
      </c>
      <c r="C982" s="663" t="s">
        <v>47</v>
      </c>
      <c r="D982" s="663" t="s">
        <v>599</v>
      </c>
      <c r="E982" s="664" t="s">
        <v>418</v>
      </c>
      <c r="F982" s="665">
        <v>3791.0</v>
      </c>
      <c r="G982" s="665">
        <v>1789.0</v>
      </c>
      <c r="H982" s="665">
        <v>47.19</v>
      </c>
      <c r="I982" s="665">
        <v>9.02</v>
      </c>
      <c r="J982" s="665">
        <v>8.65</v>
      </c>
      <c r="K982" s="665">
        <v>2332.0</v>
      </c>
      <c r="L982" s="665">
        <v>25845.0</v>
      </c>
      <c r="M982" s="665">
        <v>0.62</v>
      </c>
      <c r="N982" s="1">
        <v>1.3035</v>
      </c>
      <c r="O982" s="1">
        <v>2332.0</v>
      </c>
      <c r="P982" s="1">
        <v>25845.0</v>
      </c>
      <c r="Q982" s="1">
        <v>0.6151</v>
      </c>
      <c r="R982" s="1">
        <v>16507.0</v>
      </c>
    </row>
    <row r="983">
      <c r="A983" s="663" t="s">
        <v>2295</v>
      </c>
      <c r="B983" s="663" t="s">
        <v>1192</v>
      </c>
      <c r="C983" s="663" t="s">
        <v>47</v>
      </c>
      <c r="D983" s="663" t="s">
        <v>599</v>
      </c>
      <c r="E983" s="664" t="s">
        <v>63</v>
      </c>
      <c r="F983" s="665">
        <v>3791.0</v>
      </c>
      <c r="G983" s="665">
        <v>824.0</v>
      </c>
      <c r="H983" s="665">
        <v>21.74</v>
      </c>
      <c r="I983" s="665">
        <v>4.16</v>
      </c>
      <c r="J983" s="665">
        <v>3.56</v>
      </c>
      <c r="K983" s="665">
        <v>1074.0</v>
      </c>
      <c r="L983" s="665">
        <v>25845.0</v>
      </c>
      <c r="M983" s="665">
        <v>0.28</v>
      </c>
      <c r="N983" s="1">
        <v>1.3034</v>
      </c>
      <c r="O983" s="1">
        <v>1074.0</v>
      </c>
      <c r="P983" s="1">
        <v>25845.0</v>
      </c>
      <c r="Q983" s="1">
        <v>0.2833</v>
      </c>
      <c r="R983" s="1">
        <v>16507.0</v>
      </c>
    </row>
    <row r="984">
      <c r="A984" s="663" t="s">
        <v>2295</v>
      </c>
      <c r="B984" s="663" t="s">
        <v>1192</v>
      </c>
      <c r="C984" s="663" t="s">
        <v>47</v>
      </c>
      <c r="D984" s="663" t="s">
        <v>599</v>
      </c>
      <c r="E984" s="664" t="s">
        <v>51</v>
      </c>
      <c r="F984" s="665">
        <v>3791.0</v>
      </c>
      <c r="G984" s="665">
        <v>761.0</v>
      </c>
      <c r="H984" s="665">
        <v>20.07</v>
      </c>
      <c r="I984" s="665">
        <v>3.9</v>
      </c>
      <c r="J984" s="665">
        <v>3.38</v>
      </c>
      <c r="K984" s="665">
        <v>1007.0</v>
      </c>
      <c r="L984" s="665">
        <v>25845.0</v>
      </c>
      <c r="M984" s="665">
        <v>0.27</v>
      </c>
      <c r="N984" s="1">
        <v>1.3233</v>
      </c>
      <c r="O984" s="1">
        <v>1007.0</v>
      </c>
      <c r="P984" s="1">
        <v>25845.0</v>
      </c>
      <c r="Q984" s="1">
        <v>0.2656</v>
      </c>
      <c r="R984" s="1">
        <v>16507.0</v>
      </c>
    </row>
    <row r="985">
      <c r="A985" s="663" t="s">
        <v>2295</v>
      </c>
      <c r="B985" s="663" t="s">
        <v>1192</v>
      </c>
      <c r="C985" s="663" t="s">
        <v>47</v>
      </c>
      <c r="D985" s="663" t="s">
        <v>599</v>
      </c>
      <c r="E985" s="664" t="s">
        <v>396</v>
      </c>
      <c r="F985" s="665">
        <v>3791.0</v>
      </c>
      <c r="G985" s="665">
        <v>407.0</v>
      </c>
      <c r="H985" s="665">
        <v>10.74</v>
      </c>
      <c r="I985" s="665">
        <v>1.67</v>
      </c>
      <c r="J985" s="665">
        <v>1.74</v>
      </c>
      <c r="K985" s="665">
        <v>432.0</v>
      </c>
      <c r="L985" s="665">
        <v>25845.0</v>
      </c>
      <c r="M985" s="665">
        <v>0.11</v>
      </c>
      <c r="N985" s="1">
        <v>1.0614</v>
      </c>
      <c r="O985" s="1">
        <v>432.0</v>
      </c>
      <c r="P985" s="1">
        <v>25845.0</v>
      </c>
      <c r="Q985" s="1">
        <v>0.114</v>
      </c>
      <c r="R985" s="1">
        <v>16507.0</v>
      </c>
    </row>
    <row r="986">
      <c r="A986" s="663" t="s">
        <v>2295</v>
      </c>
      <c r="B986" s="663" t="s">
        <v>1192</v>
      </c>
      <c r="C986" s="663" t="s">
        <v>47</v>
      </c>
      <c r="D986" s="663" t="s">
        <v>599</v>
      </c>
      <c r="E986" s="664" t="s">
        <v>16</v>
      </c>
      <c r="F986" s="665">
        <v>3791.0</v>
      </c>
      <c r="G986" s="665">
        <v>206.0</v>
      </c>
      <c r="H986" s="665">
        <v>5.43</v>
      </c>
      <c r="I986" s="665">
        <v>0.86</v>
      </c>
      <c r="J986" s="665">
        <v>0.8</v>
      </c>
      <c r="K986" s="665">
        <v>222.0</v>
      </c>
      <c r="L986" s="665">
        <v>25845.0</v>
      </c>
      <c r="M986" s="665">
        <v>0.06</v>
      </c>
      <c r="N986" s="1">
        <v>1.0777</v>
      </c>
      <c r="O986" s="1">
        <v>222.0</v>
      </c>
      <c r="P986" s="1">
        <v>25845.0</v>
      </c>
      <c r="Q986" s="1">
        <v>0.0586</v>
      </c>
      <c r="R986" s="1">
        <v>16507.0</v>
      </c>
    </row>
    <row r="987">
      <c r="A987" s="663" t="s">
        <v>2295</v>
      </c>
      <c r="B987" s="663" t="s">
        <v>1192</v>
      </c>
      <c r="C987" s="663" t="s">
        <v>47</v>
      </c>
      <c r="D987" s="663" t="s">
        <v>599</v>
      </c>
      <c r="E987" s="664" t="s">
        <v>42</v>
      </c>
      <c r="F987" s="665">
        <v>3791.0</v>
      </c>
      <c r="G987" s="665">
        <v>180.0</v>
      </c>
      <c r="H987" s="665">
        <v>4.75</v>
      </c>
      <c r="I987" s="665">
        <v>0.77</v>
      </c>
      <c r="J987" s="665">
        <v>0.57</v>
      </c>
      <c r="K987" s="665">
        <v>200.0</v>
      </c>
      <c r="L987" s="665">
        <v>25845.0</v>
      </c>
      <c r="M987" s="665">
        <v>0.05</v>
      </c>
      <c r="N987" s="1">
        <v>1.1111</v>
      </c>
      <c r="O987" s="1">
        <v>200.0</v>
      </c>
      <c r="P987" s="1">
        <v>25845.0</v>
      </c>
      <c r="Q987" s="1">
        <v>0.0528</v>
      </c>
      <c r="R987" s="1">
        <v>16507.0</v>
      </c>
    </row>
    <row r="988">
      <c r="A988" s="663" t="s">
        <v>2295</v>
      </c>
      <c r="B988" s="663" t="s">
        <v>1192</v>
      </c>
      <c r="C988" s="663" t="s">
        <v>47</v>
      </c>
      <c r="D988" s="663" t="s">
        <v>599</v>
      </c>
      <c r="E988" s="664" t="s">
        <v>401</v>
      </c>
      <c r="F988" s="665">
        <v>3791.0</v>
      </c>
      <c r="G988" s="665">
        <v>93.0</v>
      </c>
      <c r="H988" s="665">
        <v>2.45</v>
      </c>
      <c r="I988" s="665">
        <v>0.41</v>
      </c>
      <c r="J988" s="665">
        <v>0.34</v>
      </c>
      <c r="K988" s="665">
        <v>105.0</v>
      </c>
      <c r="L988" s="665">
        <v>25845.0</v>
      </c>
      <c r="M988" s="665">
        <v>0.03</v>
      </c>
      <c r="N988" s="1">
        <v>1.129</v>
      </c>
      <c r="O988" s="1">
        <v>105.0</v>
      </c>
      <c r="P988" s="1">
        <v>25845.0</v>
      </c>
      <c r="Q988" s="1">
        <v>0.0277</v>
      </c>
      <c r="R988" s="1">
        <v>16507.0</v>
      </c>
    </row>
    <row r="989">
      <c r="A989" s="663" t="s">
        <v>2295</v>
      </c>
      <c r="B989" s="663" t="s">
        <v>1192</v>
      </c>
      <c r="C989" s="663" t="s">
        <v>47</v>
      </c>
      <c r="D989" s="663" t="s">
        <v>599</v>
      </c>
      <c r="E989" s="664" t="s">
        <v>7</v>
      </c>
      <c r="F989" s="665">
        <v>3791.0</v>
      </c>
      <c r="G989" s="665">
        <v>77.0</v>
      </c>
      <c r="H989" s="665">
        <v>2.03</v>
      </c>
      <c r="I989" s="665">
        <v>0.33</v>
      </c>
      <c r="J989" s="665">
        <v>0.25</v>
      </c>
      <c r="K989" s="665">
        <v>85.0</v>
      </c>
      <c r="L989" s="665">
        <v>25845.0</v>
      </c>
      <c r="M989" s="665">
        <v>0.02</v>
      </c>
      <c r="N989" s="1">
        <v>1.1039</v>
      </c>
      <c r="O989" s="1">
        <v>85.0</v>
      </c>
      <c r="P989" s="1">
        <v>25845.0</v>
      </c>
      <c r="Q989" s="1">
        <v>0.0224</v>
      </c>
      <c r="R989" s="1">
        <v>16507.0</v>
      </c>
    </row>
    <row r="990">
      <c r="A990" s="663" t="s">
        <v>2295</v>
      </c>
      <c r="B990" s="663" t="s">
        <v>1192</v>
      </c>
      <c r="C990" s="663" t="s">
        <v>47</v>
      </c>
      <c r="D990" s="663" t="s">
        <v>599</v>
      </c>
      <c r="E990" s="664" t="s">
        <v>206</v>
      </c>
      <c r="F990" s="665">
        <v>3791.0</v>
      </c>
      <c r="G990" s="665">
        <v>38.0</v>
      </c>
      <c r="H990" s="665">
        <v>1.0</v>
      </c>
      <c r="I990" s="665">
        <v>0.15</v>
      </c>
      <c r="J990" s="665">
        <v>0.09</v>
      </c>
      <c r="K990" s="665">
        <v>38.0</v>
      </c>
      <c r="L990" s="665">
        <v>25845.0</v>
      </c>
      <c r="M990" s="665">
        <v>0.01</v>
      </c>
      <c r="N990" s="1">
        <v>1.0</v>
      </c>
      <c r="O990" s="1">
        <v>38.0</v>
      </c>
      <c r="P990" s="1">
        <v>25845.0</v>
      </c>
      <c r="Q990" s="1">
        <v>0.01</v>
      </c>
      <c r="R990" s="1">
        <v>16507.0</v>
      </c>
    </row>
    <row r="991">
      <c r="A991" s="663" t="s">
        <v>2295</v>
      </c>
      <c r="B991" s="663" t="s">
        <v>1192</v>
      </c>
      <c r="C991" s="663" t="s">
        <v>47</v>
      </c>
      <c r="D991" s="663" t="s">
        <v>599</v>
      </c>
      <c r="E991" s="664" t="s">
        <v>73</v>
      </c>
      <c r="F991" s="665">
        <v>3791.0</v>
      </c>
      <c r="G991" s="665">
        <v>11.0</v>
      </c>
      <c r="H991" s="665">
        <v>0.29</v>
      </c>
      <c r="I991" s="665">
        <v>0.04</v>
      </c>
      <c r="J991" s="665">
        <v>0.04</v>
      </c>
      <c r="K991" s="665">
        <v>11.0</v>
      </c>
      <c r="L991" s="665">
        <v>25845.0</v>
      </c>
      <c r="M991" s="665">
        <v>0.0</v>
      </c>
      <c r="N991" s="1">
        <v>1.0</v>
      </c>
      <c r="O991" s="1">
        <v>11.0</v>
      </c>
      <c r="P991" s="1">
        <v>25845.0</v>
      </c>
      <c r="Q991" s="1">
        <v>0.0029</v>
      </c>
      <c r="R991" s="1">
        <v>16507.0</v>
      </c>
    </row>
    <row r="992">
      <c r="A992" s="663" t="s">
        <v>2295</v>
      </c>
      <c r="B992" s="663" t="s">
        <v>1192</v>
      </c>
      <c r="C992" s="663" t="s">
        <v>47</v>
      </c>
      <c r="D992" s="663" t="s">
        <v>599</v>
      </c>
      <c r="E992" s="664" t="s">
        <v>151</v>
      </c>
      <c r="F992" s="665">
        <v>3791.0</v>
      </c>
      <c r="G992" s="665">
        <v>2.0</v>
      </c>
      <c r="H992" s="665">
        <v>0.05</v>
      </c>
      <c r="I992" s="665">
        <v>0.01</v>
      </c>
      <c r="J992" s="665">
        <v>0.04</v>
      </c>
      <c r="K992" s="665">
        <v>2.0</v>
      </c>
      <c r="L992" s="665">
        <v>25845.0</v>
      </c>
      <c r="M992" s="665">
        <v>0.0</v>
      </c>
      <c r="N992" s="1">
        <v>1.0</v>
      </c>
      <c r="O992" s="1">
        <v>2.0</v>
      </c>
      <c r="P992" s="1">
        <v>25845.0</v>
      </c>
      <c r="Q992" s="1">
        <v>5.0E-4</v>
      </c>
      <c r="R992" s="1">
        <v>16507.0</v>
      </c>
    </row>
    <row r="993">
      <c r="A993" s="663" t="s">
        <v>2295</v>
      </c>
      <c r="B993" s="663" t="s">
        <v>1192</v>
      </c>
      <c r="C993" s="663" t="s">
        <v>46</v>
      </c>
      <c r="D993" s="663" t="s">
        <v>599</v>
      </c>
      <c r="E993" s="664" t="s">
        <v>396</v>
      </c>
      <c r="F993" s="665">
        <v>3851.0</v>
      </c>
      <c r="G993" s="665">
        <v>3681.0</v>
      </c>
      <c r="H993" s="665">
        <v>95.59</v>
      </c>
      <c r="I993" s="665">
        <v>73.04</v>
      </c>
      <c r="J993" s="665">
        <v>71.09</v>
      </c>
      <c r="K993" s="665">
        <v>2011520.0</v>
      </c>
      <c r="L993" s="665">
        <v>2754150.6</v>
      </c>
      <c r="M993" s="665">
        <v>522.34</v>
      </c>
      <c r="N993" s="1">
        <v>546.4602</v>
      </c>
      <c r="O993" s="1">
        <v>2011520.0</v>
      </c>
      <c r="P993" s="1">
        <v>2799363.0</v>
      </c>
      <c r="Q993" s="1">
        <v>522.3371</v>
      </c>
      <c r="R993" s="1">
        <v>16507.0</v>
      </c>
    </row>
    <row r="994">
      <c r="A994" s="663" t="s">
        <v>2295</v>
      </c>
      <c r="B994" s="663" t="s">
        <v>1192</v>
      </c>
      <c r="C994" s="663" t="s">
        <v>46</v>
      </c>
      <c r="D994" s="663" t="s">
        <v>599</v>
      </c>
      <c r="E994" s="664" t="s">
        <v>14</v>
      </c>
      <c r="F994" s="665">
        <v>3851.0</v>
      </c>
      <c r="G994" s="665">
        <v>2721.0</v>
      </c>
      <c r="H994" s="665">
        <v>70.66</v>
      </c>
      <c r="I994" s="665">
        <v>14.81</v>
      </c>
      <c r="J994" s="665">
        <v>15.11</v>
      </c>
      <c r="K994" s="665">
        <v>407897.6</v>
      </c>
      <c r="L994" s="665">
        <v>2754150.6</v>
      </c>
      <c r="M994" s="665">
        <v>105.92</v>
      </c>
      <c r="N994" s="1">
        <v>149.9072</v>
      </c>
      <c r="O994" s="1">
        <v>453110.0</v>
      </c>
      <c r="P994" s="1">
        <v>2799363.0</v>
      </c>
      <c r="Q994" s="1">
        <v>117.6603</v>
      </c>
      <c r="R994" s="1">
        <v>16507.0</v>
      </c>
    </row>
    <row r="995">
      <c r="A995" s="663" t="s">
        <v>2295</v>
      </c>
      <c r="B995" s="663" t="s">
        <v>1192</v>
      </c>
      <c r="C995" s="663" t="s">
        <v>46</v>
      </c>
      <c r="D995" s="663" t="s">
        <v>599</v>
      </c>
      <c r="E995" s="664" t="s">
        <v>411</v>
      </c>
      <c r="F995" s="665">
        <v>3851.0</v>
      </c>
      <c r="G995" s="665">
        <v>2009.0</v>
      </c>
      <c r="H995" s="665">
        <v>52.17</v>
      </c>
      <c r="I995" s="665">
        <v>5.69</v>
      </c>
      <c r="J995" s="665">
        <v>7.07</v>
      </c>
      <c r="K995" s="665">
        <v>156600.0</v>
      </c>
      <c r="L995" s="665">
        <v>2754150.6</v>
      </c>
      <c r="M995" s="665">
        <v>40.66</v>
      </c>
      <c r="N995" s="1">
        <v>77.9492</v>
      </c>
      <c r="O995" s="1">
        <v>156600.0</v>
      </c>
      <c r="P995" s="1">
        <v>2799363.0</v>
      </c>
      <c r="Q995" s="1">
        <v>40.6648</v>
      </c>
      <c r="R995" s="1">
        <v>16507.0</v>
      </c>
    </row>
    <row r="996">
      <c r="A996" s="663" t="s">
        <v>2295</v>
      </c>
      <c r="B996" s="663" t="s">
        <v>1192</v>
      </c>
      <c r="C996" s="663" t="s">
        <v>46</v>
      </c>
      <c r="D996" s="663" t="s">
        <v>599</v>
      </c>
      <c r="E996" s="664" t="s">
        <v>42</v>
      </c>
      <c r="F996" s="665">
        <v>3851.0</v>
      </c>
      <c r="G996" s="665">
        <v>1500.0</v>
      </c>
      <c r="H996" s="665">
        <v>38.95</v>
      </c>
      <c r="I996" s="665">
        <v>4.57</v>
      </c>
      <c r="J996" s="665">
        <v>4.65</v>
      </c>
      <c r="K996" s="665">
        <v>125960.0</v>
      </c>
      <c r="L996" s="665">
        <v>2754150.6</v>
      </c>
      <c r="M996" s="665">
        <v>32.71</v>
      </c>
      <c r="N996" s="1">
        <v>83.9733</v>
      </c>
      <c r="O996" s="1">
        <v>125960.0</v>
      </c>
      <c r="P996" s="1">
        <v>2799363.0</v>
      </c>
      <c r="Q996" s="1">
        <v>32.7084</v>
      </c>
      <c r="R996" s="1">
        <v>16507.0</v>
      </c>
    </row>
    <row r="997">
      <c r="A997" s="663" t="s">
        <v>2295</v>
      </c>
      <c r="B997" s="663" t="s">
        <v>1192</v>
      </c>
      <c r="C997" s="663" t="s">
        <v>46</v>
      </c>
      <c r="D997" s="663" t="s">
        <v>599</v>
      </c>
      <c r="E997" s="664" t="s">
        <v>7</v>
      </c>
      <c r="F997" s="665">
        <v>3851.0</v>
      </c>
      <c r="G997" s="665">
        <v>426.0</v>
      </c>
      <c r="H997" s="665">
        <v>11.06</v>
      </c>
      <c r="I997" s="665">
        <v>1.21</v>
      </c>
      <c r="J997" s="665">
        <v>1.22</v>
      </c>
      <c r="K997" s="665">
        <v>33365.0</v>
      </c>
      <c r="L997" s="665">
        <v>2754150.6</v>
      </c>
      <c r="M997" s="665">
        <v>8.66</v>
      </c>
      <c r="N997" s="1">
        <v>78.3216</v>
      </c>
      <c r="O997" s="1">
        <v>33365.0</v>
      </c>
      <c r="P997" s="1">
        <v>2799363.0</v>
      </c>
      <c r="Q997" s="1">
        <v>8.664</v>
      </c>
      <c r="R997" s="1">
        <v>16507.0</v>
      </c>
    </row>
    <row r="998">
      <c r="A998" s="663" t="s">
        <v>2295</v>
      </c>
      <c r="B998" s="663" t="s">
        <v>1192</v>
      </c>
      <c r="C998" s="663" t="s">
        <v>46</v>
      </c>
      <c r="D998" s="663" t="s">
        <v>599</v>
      </c>
      <c r="E998" s="664" t="s">
        <v>51</v>
      </c>
      <c r="F998" s="665">
        <v>3851.0</v>
      </c>
      <c r="G998" s="665">
        <v>690.0</v>
      </c>
      <c r="H998" s="665">
        <v>17.92</v>
      </c>
      <c r="I998" s="665">
        <v>0.64</v>
      </c>
      <c r="J998" s="665">
        <v>0.71</v>
      </c>
      <c r="K998" s="665">
        <v>17660.0</v>
      </c>
      <c r="L998" s="665">
        <v>2754150.6</v>
      </c>
      <c r="M998" s="665">
        <v>4.59</v>
      </c>
      <c r="N998" s="1">
        <v>25.5942</v>
      </c>
      <c r="O998" s="1">
        <v>17660.0</v>
      </c>
      <c r="P998" s="1">
        <v>2799363.0</v>
      </c>
      <c r="Q998" s="1">
        <v>4.5858</v>
      </c>
      <c r="R998" s="1">
        <v>16507.0</v>
      </c>
    </row>
    <row r="999">
      <c r="A999" s="663" t="s">
        <v>2295</v>
      </c>
      <c r="B999" s="663" t="s">
        <v>1192</v>
      </c>
      <c r="C999" s="663" t="s">
        <v>46</v>
      </c>
      <c r="D999" s="663" t="s">
        <v>599</v>
      </c>
      <c r="E999" s="664" t="s">
        <v>413</v>
      </c>
      <c r="F999" s="665">
        <v>3851.0</v>
      </c>
      <c r="G999" s="665">
        <v>39.0</v>
      </c>
      <c r="H999" s="665">
        <v>1.01</v>
      </c>
      <c r="I999" s="665">
        <v>0.04</v>
      </c>
      <c r="J999" s="665">
        <v>0.14</v>
      </c>
      <c r="K999" s="665">
        <v>1108.0</v>
      </c>
      <c r="L999" s="665">
        <v>2754150.6</v>
      </c>
      <c r="M999" s="665">
        <v>0.29</v>
      </c>
      <c r="N999" s="1">
        <v>28.4103</v>
      </c>
      <c r="O999" s="1">
        <v>1108.0</v>
      </c>
      <c r="P999" s="1">
        <v>2799363.0</v>
      </c>
      <c r="Q999" s="1">
        <v>0.2877</v>
      </c>
      <c r="R999" s="1">
        <v>16507.0</v>
      </c>
    </row>
    <row r="1000">
      <c r="A1000" s="663" t="s">
        <v>2295</v>
      </c>
      <c r="B1000" s="663" t="s">
        <v>1192</v>
      </c>
      <c r="C1000" s="663" t="s">
        <v>46</v>
      </c>
      <c r="D1000" s="663" t="s">
        <v>599</v>
      </c>
      <c r="E1000" s="664" t="s">
        <v>151</v>
      </c>
      <c r="F1000" s="665">
        <v>3851.0</v>
      </c>
      <c r="G1000" s="665">
        <v>1.0</v>
      </c>
      <c r="H1000" s="665">
        <v>0.03</v>
      </c>
      <c r="I1000" s="665">
        <v>0.0</v>
      </c>
      <c r="J1000" s="665">
        <v>0.0</v>
      </c>
      <c r="K1000" s="665">
        <v>30.0</v>
      </c>
      <c r="L1000" s="665">
        <v>2754150.6</v>
      </c>
      <c r="M1000" s="665">
        <v>0.01</v>
      </c>
      <c r="N1000" s="1">
        <v>30.0</v>
      </c>
      <c r="O1000" s="1">
        <v>30.0</v>
      </c>
      <c r="P1000" s="1">
        <v>2799363.0</v>
      </c>
      <c r="Q1000" s="1">
        <v>0.0078</v>
      </c>
      <c r="R1000" s="1">
        <v>16507.0</v>
      </c>
    </row>
    <row r="1001">
      <c r="A1001" s="663" t="s">
        <v>2295</v>
      </c>
      <c r="B1001" s="663" t="s">
        <v>1192</v>
      </c>
      <c r="C1001" s="663" t="s">
        <v>46</v>
      </c>
      <c r="D1001" s="663" t="s">
        <v>599</v>
      </c>
      <c r="E1001" s="664" t="s">
        <v>63</v>
      </c>
      <c r="F1001" s="665">
        <v>3851.0</v>
      </c>
      <c r="G1001" s="665">
        <v>1.0</v>
      </c>
      <c r="H1001" s="665">
        <v>0.03</v>
      </c>
      <c r="I1001" s="665">
        <v>0.0</v>
      </c>
      <c r="J1001" s="665">
        <v>0.0</v>
      </c>
      <c r="K1001" s="665">
        <v>10.0</v>
      </c>
      <c r="L1001" s="665">
        <v>2754150.6</v>
      </c>
      <c r="M1001" s="665">
        <v>0.0</v>
      </c>
      <c r="N1001" s="1">
        <v>10.0</v>
      </c>
      <c r="O1001" s="1">
        <v>10.0</v>
      </c>
      <c r="P1001" s="1">
        <v>2799363.0</v>
      </c>
      <c r="Q1001" s="1">
        <v>0.0026</v>
      </c>
      <c r="R1001" s="1">
        <v>16507.0</v>
      </c>
    </row>
    <row r="1002">
      <c r="A1002" s="663" t="s">
        <v>2295</v>
      </c>
      <c r="B1002" s="663" t="s">
        <v>1192</v>
      </c>
      <c r="C1002" s="663" t="s">
        <v>1213</v>
      </c>
      <c r="D1002" s="663" t="s">
        <v>2234</v>
      </c>
      <c r="E1002" s="664" t="s">
        <v>14</v>
      </c>
      <c r="F1002" s="665">
        <v>1815.0</v>
      </c>
      <c r="G1002" s="665">
        <v>1811.0</v>
      </c>
      <c r="H1002" s="665">
        <v>99.78</v>
      </c>
      <c r="I1002" s="665">
        <v>99.58</v>
      </c>
      <c r="J1002" s="665">
        <v>99.71</v>
      </c>
      <c r="K1002" s="665">
        <v>23960.0</v>
      </c>
      <c r="L1002" s="665">
        <v>24060.0</v>
      </c>
      <c r="M1002" s="665">
        <v>13.2</v>
      </c>
      <c r="N1002" s="1">
        <v>13.2303</v>
      </c>
      <c r="O1002" s="1">
        <v>23960.0</v>
      </c>
      <c r="P1002" s="1">
        <v>24060.0</v>
      </c>
      <c r="Q1002" s="1">
        <v>13.2011</v>
      </c>
      <c r="R1002" s="1">
        <v>16507.0</v>
      </c>
    </row>
    <row r="1003">
      <c r="A1003" s="663" t="s">
        <v>2295</v>
      </c>
      <c r="B1003" s="663" t="s">
        <v>1192</v>
      </c>
      <c r="C1003" s="663" t="s">
        <v>1213</v>
      </c>
      <c r="D1003" s="663" t="s">
        <v>2234</v>
      </c>
      <c r="E1003" s="664" t="s">
        <v>397</v>
      </c>
      <c r="F1003" s="665">
        <v>1815.0</v>
      </c>
      <c r="G1003" s="665">
        <v>5.0</v>
      </c>
      <c r="H1003" s="665">
        <v>0.28</v>
      </c>
      <c r="I1003" s="665">
        <v>0.37</v>
      </c>
      <c r="J1003" s="665">
        <v>0.23</v>
      </c>
      <c r="K1003" s="665">
        <v>90.0</v>
      </c>
      <c r="L1003" s="665">
        <v>24060.0</v>
      </c>
      <c r="M1003" s="665">
        <v>0.05</v>
      </c>
      <c r="N1003" s="1">
        <v>18.0</v>
      </c>
      <c r="O1003" s="1">
        <v>90.0</v>
      </c>
      <c r="P1003" s="1">
        <v>24060.0</v>
      </c>
      <c r="Q1003" s="1">
        <v>0.0496</v>
      </c>
      <c r="R1003" s="1">
        <v>16507.0</v>
      </c>
    </row>
    <row r="1004">
      <c r="A1004" s="663" t="s">
        <v>2295</v>
      </c>
      <c r="B1004" s="663" t="s">
        <v>1192</v>
      </c>
      <c r="C1004" s="663" t="s">
        <v>1213</v>
      </c>
      <c r="D1004" s="663" t="s">
        <v>2234</v>
      </c>
      <c r="E1004" s="664" t="s">
        <v>151</v>
      </c>
      <c r="F1004" s="665">
        <v>1815.0</v>
      </c>
      <c r="G1004" s="665">
        <v>1.0</v>
      </c>
      <c r="H1004" s="665">
        <v>0.06</v>
      </c>
      <c r="I1004" s="665">
        <v>0.04</v>
      </c>
      <c r="J1004" s="665">
        <v>0.06</v>
      </c>
      <c r="K1004" s="665">
        <v>10.0</v>
      </c>
      <c r="L1004" s="665">
        <v>24060.0</v>
      </c>
      <c r="M1004" s="665">
        <v>0.01</v>
      </c>
      <c r="N1004" s="1">
        <v>10.0</v>
      </c>
      <c r="O1004" s="1">
        <v>10.0</v>
      </c>
      <c r="P1004" s="1">
        <v>24060.0</v>
      </c>
      <c r="Q1004" s="1">
        <v>0.0055</v>
      </c>
      <c r="R1004" s="1">
        <v>16507.0</v>
      </c>
    </row>
    <row r="1005">
      <c r="A1005" s="663" t="s">
        <v>2295</v>
      </c>
      <c r="B1005" s="663" t="s">
        <v>1192</v>
      </c>
      <c r="C1005" s="663" t="s">
        <v>53</v>
      </c>
      <c r="D1005" s="663" t="s">
        <v>599</v>
      </c>
      <c r="E1005" s="664" t="s">
        <v>14</v>
      </c>
      <c r="F1005" s="665">
        <v>3242.0</v>
      </c>
      <c r="G1005" s="665">
        <v>1789.0</v>
      </c>
      <c r="H1005" s="665">
        <v>55.18</v>
      </c>
      <c r="I1005" s="665">
        <v>15.81</v>
      </c>
      <c r="J1005" s="665">
        <v>15.61</v>
      </c>
      <c r="K1005" s="665">
        <v>2814.0</v>
      </c>
      <c r="L1005" s="665">
        <v>17803.0</v>
      </c>
      <c r="M1005" s="665">
        <v>0.87</v>
      </c>
      <c r="N1005" s="1">
        <v>1.5729</v>
      </c>
      <c r="O1005" s="1">
        <v>2814.0</v>
      </c>
      <c r="P1005" s="1">
        <v>17803.0</v>
      </c>
      <c r="Q1005" s="1">
        <v>0.868</v>
      </c>
      <c r="R1005" s="1">
        <v>16507.0</v>
      </c>
    </row>
    <row r="1006">
      <c r="A1006" s="663" t="s">
        <v>2295</v>
      </c>
      <c r="B1006" s="663" t="s">
        <v>1192</v>
      </c>
      <c r="C1006" s="663" t="s">
        <v>53</v>
      </c>
      <c r="D1006" s="663" t="s">
        <v>599</v>
      </c>
      <c r="E1006" s="664" t="s">
        <v>418</v>
      </c>
      <c r="F1006" s="665">
        <v>3242.0</v>
      </c>
      <c r="G1006" s="665">
        <v>1760.0</v>
      </c>
      <c r="H1006" s="665">
        <v>54.29</v>
      </c>
      <c r="I1006" s="665">
        <v>12.73</v>
      </c>
      <c r="J1006" s="665">
        <v>14.9</v>
      </c>
      <c r="K1006" s="665">
        <v>2266.0</v>
      </c>
      <c r="L1006" s="665">
        <v>17803.0</v>
      </c>
      <c r="M1006" s="665">
        <v>0.7</v>
      </c>
      <c r="N1006" s="1">
        <v>1.2875</v>
      </c>
      <c r="O1006" s="1">
        <v>2266.0</v>
      </c>
      <c r="P1006" s="1">
        <v>17803.0</v>
      </c>
      <c r="Q1006" s="1">
        <v>0.699</v>
      </c>
      <c r="R1006" s="1">
        <v>16507.0</v>
      </c>
    </row>
    <row r="1007">
      <c r="A1007" s="663" t="s">
        <v>2295</v>
      </c>
      <c r="B1007" s="663" t="s">
        <v>1192</v>
      </c>
      <c r="C1007" s="663" t="s">
        <v>53</v>
      </c>
      <c r="D1007" s="663" t="s">
        <v>599</v>
      </c>
      <c r="E1007" s="664" t="s">
        <v>413</v>
      </c>
      <c r="F1007" s="665">
        <v>3242.0</v>
      </c>
      <c r="G1007" s="665">
        <v>1264.0</v>
      </c>
      <c r="H1007" s="665">
        <v>38.99</v>
      </c>
      <c r="I1007" s="665">
        <v>11.14</v>
      </c>
      <c r="J1007" s="665">
        <v>9.99</v>
      </c>
      <c r="K1007" s="665">
        <v>1984.0</v>
      </c>
      <c r="L1007" s="665">
        <v>17803.0</v>
      </c>
      <c r="M1007" s="665">
        <v>0.61</v>
      </c>
      <c r="N1007" s="1">
        <v>1.5696</v>
      </c>
      <c r="O1007" s="1">
        <v>1984.0</v>
      </c>
      <c r="P1007" s="1">
        <v>17803.0</v>
      </c>
      <c r="Q1007" s="1">
        <v>0.612</v>
      </c>
      <c r="R1007" s="1">
        <v>16507.0</v>
      </c>
    </row>
    <row r="1008">
      <c r="A1008" s="663" t="s">
        <v>2295</v>
      </c>
      <c r="B1008" s="663" t="s">
        <v>1192</v>
      </c>
      <c r="C1008" s="663" t="s">
        <v>53</v>
      </c>
      <c r="D1008" s="663" t="s">
        <v>599</v>
      </c>
      <c r="E1008" s="664" t="s">
        <v>397</v>
      </c>
      <c r="F1008" s="665">
        <v>3242.0</v>
      </c>
      <c r="G1008" s="665">
        <v>1403.0</v>
      </c>
      <c r="H1008" s="665">
        <v>43.28</v>
      </c>
      <c r="I1008" s="665">
        <v>10.91</v>
      </c>
      <c r="J1008" s="665">
        <v>9.96</v>
      </c>
      <c r="K1008" s="665">
        <v>1943.0</v>
      </c>
      <c r="L1008" s="665">
        <v>17803.0</v>
      </c>
      <c r="M1008" s="665">
        <v>0.6</v>
      </c>
      <c r="N1008" s="1">
        <v>1.3849</v>
      </c>
      <c r="O1008" s="1">
        <v>1943.0</v>
      </c>
      <c r="P1008" s="1">
        <v>17803.0</v>
      </c>
      <c r="Q1008" s="1">
        <v>0.5993</v>
      </c>
      <c r="R1008" s="1">
        <v>16507.0</v>
      </c>
    </row>
    <row r="1009">
      <c r="A1009" s="663" t="s">
        <v>2295</v>
      </c>
      <c r="B1009" s="663" t="s">
        <v>1192</v>
      </c>
      <c r="C1009" s="663" t="s">
        <v>53</v>
      </c>
      <c r="D1009" s="663" t="s">
        <v>599</v>
      </c>
      <c r="E1009" s="664" t="s">
        <v>393</v>
      </c>
      <c r="F1009" s="665">
        <v>3242.0</v>
      </c>
      <c r="G1009" s="665">
        <v>863.0</v>
      </c>
      <c r="H1009" s="665">
        <v>26.62</v>
      </c>
      <c r="I1009" s="665">
        <v>10.46</v>
      </c>
      <c r="J1009" s="665">
        <v>7.64</v>
      </c>
      <c r="K1009" s="665">
        <v>1862.0</v>
      </c>
      <c r="L1009" s="665">
        <v>17803.0</v>
      </c>
      <c r="M1009" s="665">
        <v>0.57</v>
      </c>
      <c r="N1009" s="1">
        <v>2.1576</v>
      </c>
      <c r="O1009" s="1">
        <v>1862.0</v>
      </c>
      <c r="P1009" s="1">
        <v>17803.0</v>
      </c>
      <c r="Q1009" s="1">
        <v>0.5743</v>
      </c>
      <c r="R1009" s="1">
        <v>16507.0</v>
      </c>
    </row>
    <row r="1010">
      <c r="A1010" s="663" t="s">
        <v>2295</v>
      </c>
      <c r="B1010" s="663" t="s">
        <v>1192</v>
      </c>
      <c r="C1010" s="663" t="s">
        <v>53</v>
      </c>
      <c r="D1010" s="663" t="s">
        <v>599</v>
      </c>
      <c r="E1010" s="664" t="s">
        <v>16</v>
      </c>
      <c r="F1010" s="665">
        <v>3242.0</v>
      </c>
      <c r="G1010" s="665">
        <v>1185.0</v>
      </c>
      <c r="H1010" s="665">
        <v>36.55</v>
      </c>
      <c r="I1010" s="665">
        <v>9.48</v>
      </c>
      <c r="J1010" s="665">
        <v>10.97</v>
      </c>
      <c r="K1010" s="665">
        <v>1688.0</v>
      </c>
      <c r="L1010" s="665">
        <v>17803.0</v>
      </c>
      <c r="M1010" s="665">
        <v>0.52</v>
      </c>
      <c r="N1010" s="1">
        <v>1.4245</v>
      </c>
      <c r="O1010" s="1">
        <v>1688.0</v>
      </c>
      <c r="P1010" s="1">
        <v>17803.0</v>
      </c>
      <c r="Q1010" s="1">
        <v>0.5207</v>
      </c>
      <c r="R1010" s="1">
        <v>16507.0</v>
      </c>
    </row>
    <row r="1011">
      <c r="A1011" s="663" t="s">
        <v>2295</v>
      </c>
      <c r="B1011" s="663" t="s">
        <v>1192</v>
      </c>
      <c r="C1011" s="663" t="s">
        <v>53</v>
      </c>
      <c r="D1011" s="663" t="s">
        <v>599</v>
      </c>
      <c r="E1011" s="664" t="s">
        <v>396</v>
      </c>
      <c r="F1011" s="665">
        <v>3242.0</v>
      </c>
      <c r="G1011" s="665">
        <v>1071.0</v>
      </c>
      <c r="H1011" s="665">
        <v>33.04</v>
      </c>
      <c r="I1011" s="665">
        <v>7.09</v>
      </c>
      <c r="J1011" s="665">
        <v>8.64</v>
      </c>
      <c r="K1011" s="665">
        <v>1262.0</v>
      </c>
      <c r="L1011" s="665">
        <v>17803.0</v>
      </c>
      <c r="M1011" s="665">
        <v>0.39</v>
      </c>
      <c r="N1011" s="1">
        <v>1.1783</v>
      </c>
      <c r="O1011" s="1">
        <v>1262.0</v>
      </c>
      <c r="P1011" s="1">
        <v>17803.0</v>
      </c>
      <c r="Q1011" s="1">
        <v>0.3893</v>
      </c>
      <c r="R1011" s="1">
        <v>16507.0</v>
      </c>
    </row>
    <row r="1012">
      <c r="A1012" s="663" t="s">
        <v>2295</v>
      </c>
      <c r="B1012" s="663" t="s">
        <v>1192</v>
      </c>
      <c r="C1012" s="663" t="s">
        <v>53</v>
      </c>
      <c r="D1012" s="663" t="s">
        <v>599</v>
      </c>
      <c r="E1012" s="664" t="s">
        <v>15</v>
      </c>
      <c r="F1012" s="665">
        <v>3242.0</v>
      </c>
      <c r="G1012" s="665">
        <v>365.0</v>
      </c>
      <c r="H1012" s="665">
        <v>11.26</v>
      </c>
      <c r="I1012" s="665">
        <v>5.59</v>
      </c>
      <c r="J1012" s="665">
        <v>4.38</v>
      </c>
      <c r="K1012" s="665">
        <v>996.0</v>
      </c>
      <c r="L1012" s="665">
        <v>17803.0</v>
      </c>
      <c r="M1012" s="665">
        <v>0.31</v>
      </c>
      <c r="N1012" s="1">
        <v>2.7288</v>
      </c>
      <c r="O1012" s="1">
        <v>996.0</v>
      </c>
      <c r="P1012" s="1">
        <v>17803.0</v>
      </c>
      <c r="Q1012" s="1">
        <v>0.3072</v>
      </c>
      <c r="R1012" s="1">
        <v>16507.0</v>
      </c>
    </row>
    <row r="1013">
      <c r="A1013" s="663" t="s">
        <v>2295</v>
      </c>
      <c r="B1013" s="663" t="s">
        <v>1192</v>
      </c>
      <c r="C1013" s="663" t="s">
        <v>53</v>
      </c>
      <c r="D1013" s="663" t="s">
        <v>599</v>
      </c>
      <c r="E1013" s="664" t="s">
        <v>9</v>
      </c>
      <c r="F1013" s="665">
        <v>3242.0</v>
      </c>
      <c r="G1013" s="665">
        <v>556.0</v>
      </c>
      <c r="H1013" s="665">
        <v>17.15</v>
      </c>
      <c r="I1013" s="665">
        <v>3.67</v>
      </c>
      <c r="J1013" s="665">
        <v>2.87</v>
      </c>
      <c r="K1013" s="665">
        <v>653.0</v>
      </c>
      <c r="L1013" s="665">
        <v>17803.0</v>
      </c>
      <c r="M1013" s="665">
        <v>0.2</v>
      </c>
      <c r="N1013" s="1">
        <v>1.1745</v>
      </c>
      <c r="O1013" s="1">
        <v>653.0</v>
      </c>
      <c r="P1013" s="1">
        <v>17803.0</v>
      </c>
      <c r="Q1013" s="1">
        <v>0.2014</v>
      </c>
      <c r="R1013" s="1">
        <v>16507.0</v>
      </c>
    </row>
    <row r="1014">
      <c r="A1014" s="663" t="s">
        <v>2295</v>
      </c>
      <c r="B1014" s="663" t="s">
        <v>1192</v>
      </c>
      <c r="C1014" s="663" t="s">
        <v>53</v>
      </c>
      <c r="D1014" s="663" t="s">
        <v>599</v>
      </c>
      <c r="E1014" s="664" t="s">
        <v>411</v>
      </c>
      <c r="F1014" s="665">
        <v>3242.0</v>
      </c>
      <c r="G1014" s="665">
        <v>444.0</v>
      </c>
      <c r="H1014" s="665">
        <v>13.7</v>
      </c>
      <c r="I1014" s="665">
        <v>3.46</v>
      </c>
      <c r="J1014" s="665">
        <v>3.15</v>
      </c>
      <c r="K1014" s="665">
        <v>616.0</v>
      </c>
      <c r="L1014" s="665">
        <v>17803.0</v>
      </c>
      <c r="M1014" s="665">
        <v>0.19</v>
      </c>
      <c r="N1014" s="1">
        <v>1.3874</v>
      </c>
      <c r="O1014" s="1">
        <v>616.0</v>
      </c>
      <c r="P1014" s="1">
        <v>17803.0</v>
      </c>
      <c r="Q1014" s="1">
        <v>0.19</v>
      </c>
      <c r="R1014" s="1">
        <v>16507.0</v>
      </c>
    </row>
    <row r="1015">
      <c r="A1015" s="663" t="s">
        <v>2295</v>
      </c>
      <c r="B1015" s="663" t="s">
        <v>1192</v>
      </c>
      <c r="C1015" s="663" t="s">
        <v>53</v>
      </c>
      <c r="D1015" s="663" t="s">
        <v>599</v>
      </c>
      <c r="E1015" s="664" t="s">
        <v>42</v>
      </c>
      <c r="F1015" s="665">
        <v>3242.0</v>
      </c>
      <c r="G1015" s="665">
        <v>481.0</v>
      </c>
      <c r="H1015" s="665">
        <v>14.84</v>
      </c>
      <c r="I1015" s="665">
        <v>3.27</v>
      </c>
      <c r="J1015" s="665">
        <v>3.82</v>
      </c>
      <c r="K1015" s="665">
        <v>583.0</v>
      </c>
      <c r="L1015" s="665">
        <v>17803.0</v>
      </c>
      <c r="M1015" s="665">
        <v>0.18</v>
      </c>
      <c r="N1015" s="1">
        <v>1.2121</v>
      </c>
      <c r="O1015" s="1">
        <v>583.0</v>
      </c>
      <c r="P1015" s="1">
        <v>17803.0</v>
      </c>
      <c r="Q1015" s="1">
        <v>0.1798</v>
      </c>
      <c r="R1015" s="1">
        <v>16507.0</v>
      </c>
    </row>
    <row r="1016">
      <c r="A1016" s="663" t="s">
        <v>2295</v>
      </c>
      <c r="B1016" s="663" t="s">
        <v>1192</v>
      </c>
      <c r="C1016" s="663" t="s">
        <v>53</v>
      </c>
      <c r="D1016" s="663" t="s">
        <v>599</v>
      </c>
      <c r="E1016" s="664" t="s">
        <v>341</v>
      </c>
      <c r="F1016" s="665">
        <v>3242.0</v>
      </c>
      <c r="G1016" s="665">
        <v>291.0</v>
      </c>
      <c r="H1016" s="665">
        <v>8.98</v>
      </c>
      <c r="I1016" s="665">
        <v>1.83</v>
      </c>
      <c r="J1016" s="665">
        <v>2.27</v>
      </c>
      <c r="K1016" s="665">
        <v>326.0</v>
      </c>
      <c r="L1016" s="665">
        <v>17803.0</v>
      </c>
      <c r="M1016" s="665">
        <v>0.1</v>
      </c>
      <c r="N1016" s="1">
        <v>1.1203</v>
      </c>
      <c r="O1016" s="1">
        <v>326.0</v>
      </c>
      <c r="P1016" s="1">
        <v>17803.0</v>
      </c>
      <c r="Q1016" s="1">
        <v>0.1006</v>
      </c>
      <c r="R1016" s="1">
        <v>16507.0</v>
      </c>
    </row>
    <row r="1017">
      <c r="A1017" s="663" t="s">
        <v>2295</v>
      </c>
      <c r="B1017" s="663" t="s">
        <v>1192</v>
      </c>
      <c r="C1017" s="663" t="s">
        <v>53</v>
      </c>
      <c r="D1017" s="663" t="s">
        <v>599</v>
      </c>
      <c r="E1017" s="664" t="s">
        <v>329</v>
      </c>
      <c r="F1017" s="665">
        <v>3242.0</v>
      </c>
      <c r="G1017" s="665">
        <v>278.0</v>
      </c>
      <c r="H1017" s="665">
        <v>8.57</v>
      </c>
      <c r="I1017" s="665">
        <v>1.74</v>
      </c>
      <c r="J1017" s="665">
        <v>2.13</v>
      </c>
      <c r="K1017" s="665">
        <v>310.0</v>
      </c>
      <c r="L1017" s="665">
        <v>17803.0</v>
      </c>
      <c r="M1017" s="665">
        <v>0.1</v>
      </c>
      <c r="N1017" s="1">
        <v>1.1151</v>
      </c>
      <c r="O1017" s="1">
        <v>310.0</v>
      </c>
      <c r="P1017" s="1">
        <v>17803.0</v>
      </c>
      <c r="Q1017" s="1">
        <v>0.0956</v>
      </c>
      <c r="R1017" s="1">
        <v>16507.0</v>
      </c>
    </row>
    <row r="1018">
      <c r="A1018" s="663" t="s">
        <v>2295</v>
      </c>
      <c r="B1018" s="663" t="s">
        <v>1192</v>
      </c>
      <c r="C1018" s="663" t="s">
        <v>53</v>
      </c>
      <c r="D1018" s="663" t="s">
        <v>599</v>
      </c>
      <c r="E1018" s="664" t="s">
        <v>338</v>
      </c>
      <c r="F1018" s="665">
        <v>3242.0</v>
      </c>
      <c r="G1018" s="665">
        <v>264.0</v>
      </c>
      <c r="H1018" s="665">
        <v>8.14</v>
      </c>
      <c r="I1018" s="665">
        <v>1.6</v>
      </c>
      <c r="J1018" s="665">
        <v>1.91</v>
      </c>
      <c r="K1018" s="665">
        <v>285.0</v>
      </c>
      <c r="L1018" s="665">
        <v>17803.0</v>
      </c>
      <c r="M1018" s="665">
        <v>0.09</v>
      </c>
      <c r="N1018" s="1">
        <v>1.0795</v>
      </c>
      <c r="O1018" s="1">
        <v>285.0</v>
      </c>
      <c r="P1018" s="1">
        <v>17803.0</v>
      </c>
      <c r="Q1018" s="1">
        <v>0.0879</v>
      </c>
      <c r="R1018" s="1">
        <v>16507.0</v>
      </c>
    </row>
    <row r="1019">
      <c r="A1019" s="663" t="s">
        <v>2295</v>
      </c>
      <c r="B1019" s="663" t="s">
        <v>1192</v>
      </c>
      <c r="C1019" s="663" t="s">
        <v>53</v>
      </c>
      <c r="D1019" s="663" t="s">
        <v>599</v>
      </c>
      <c r="E1019" s="664" t="s">
        <v>63</v>
      </c>
      <c r="F1019" s="665">
        <v>3242.0</v>
      </c>
      <c r="G1019" s="665">
        <v>168.0</v>
      </c>
      <c r="H1019" s="665">
        <v>5.18</v>
      </c>
      <c r="I1019" s="665">
        <v>1.03</v>
      </c>
      <c r="J1019" s="665">
        <v>1.46</v>
      </c>
      <c r="K1019" s="665">
        <v>183.0</v>
      </c>
      <c r="L1019" s="665">
        <v>17803.0</v>
      </c>
      <c r="M1019" s="665">
        <v>0.06</v>
      </c>
      <c r="N1019" s="1">
        <v>1.0893</v>
      </c>
      <c r="O1019" s="1">
        <v>183.0</v>
      </c>
      <c r="P1019" s="1">
        <v>17803.0</v>
      </c>
      <c r="Q1019" s="1">
        <v>0.0564</v>
      </c>
      <c r="R1019" s="1">
        <v>16507.0</v>
      </c>
    </row>
    <row r="1020">
      <c r="A1020" s="663" t="s">
        <v>2295</v>
      </c>
      <c r="B1020" s="663" t="s">
        <v>1192</v>
      </c>
      <c r="C1020" s="663" t="s">
        <v>53</v>
      </c>
      <c r="D1020" s="663" t="s">
        <v>599</v>
      </c>
      <c r="E1020" s="664" t="s">
        <v>7</v>
      </c>
      <c r="F1020" s="665">
        <v>3242.0</v>
      </c>
      <c r="G1020" s="665">
        <v>26.0</v>
      </c>
      <c r="H1020" s="665">
        <v>0.8</v>
      </c>
      <c r="I1020" s="665">
        <v>0.15</v>
      </c>
      <c r="J1020" s="665">
        <v>0.2</v>
      </c>
      <c r="K1020" s="665">
        <v>27.0</v>
      </c>
      <c r="L1020" s="665">
        <v>17803.0</v>
      </c>
      <c r="M1020" s="665">
        <v>0.01</v>
      </c>
      <c r="N1020" s="1">
        <v>1.0385</v>
      </c>
      <c r="O1020" s="1">
        <v>27.0</v>
      </c>
      <c r="P1020" s="1">
        <v>17803.0</v>
      </c>
      <c r="Q1020" s="1">
        <v>0.0083</v>
      </c>
      <c r="R1020" s="1">
        <v>16507.0</v>
      </c>
    </row>
    <row r="1021">
      <c r="A1021" s="663" t="s">
        <v>2295</v>
      </c>
      <c r="B1021" s="663" t="s">
        <v>1192</v>
      </c>
      <c r="C1021" s="663" t="s">
        <v>53</v>
      </c>
      <c r="D1021" s="663" t="s">
        <v>599</v>
      </c>
      <c r="E1021" s="664" t="s">
        <v>151</v>
      </c>
      <c r="F1021" s="665">
        <v>3242.0</v>
      </c>
      <c r="G1021" s="665">
        <v>4.0</v>
      </c>
      <c r="H1021" s="665">
        <v>0.12</v>
      </c>
      <c r="I1021" s="665">
        <v>0.02</v>
      </c>
      <c r="J1021" s="665">
        <v>0.09</v>
      </c>
      <c r="K1021" s="665">
        <v>4.0</v>
      </c>
      <c r="L1021" s="665">
        <v>17803.0</v>
      </c>
      <c r="M1021" s="665">
        <v>0.0</v>
      </c>
      <c r="N1021" s="1">
        <v>1.0</v>
      </c>
      <c r="O1021" s="1">
        <v>4.0</v>
      </c>
      <c r="P1021" s="1">
        <v>17803.0</v>
      </c>
      <c r="Q1021" s="1">
        <v>0.0012</v>
      </c>
      <c r="R1021" s="1">
        <v>16507.0</v>
      </c>
    </row>
    <row r="1022">
      <c r="A1022" s="663" t="s">
        <v>2295</v>
      </c>
      <c r="B1022" s="663" t="s">
        <v>1192</v>
      </c>
      <c r="C1022" s="663" t="s">
        <v>53</v>
      </c>
      <c r="D1022" s="663" t="s">
        <v>599</v>
      </c>
      <c r="E1022" s="664" t="s">
        <v>73</v>
      </c>
      <c r="F1022" s="665">
        <v>3242.0</v>
      </c>
      <c r="G1022" s="665">
        <v>1.0</v>
      </c>
      <c r="H1022" s="665">
        <v>0.03</v>
      </c>
      <c r="I1022" s="665">
        <v>0.01</v>
      </c>
      <c r="J1022" s="665">
        <v>0.01</v>
      </c>
      <c r="K1022" s="665">
        <v>1.0</v>
      </c>
      <c r="L1022" s="665">
        <v>17803.0</v>
      </c>
      <c r="M1022" s="665">
        <v>0.0</v>
      </c>
      <c r="N1022" s="1">
        <v>1.0</v>
      </c>
      <c r="O1022" s="1">
        <v>1.0</v>
      </c>
      <c r="P1022" s="1">
        <v>17803.0</v>
      </c>
      <c r="Q1022" s="1">
        <v>3.0E-4</v>
      </c>
      <c r="R1022" s="1">
        <v>16507.0</v>
      </c>
    </row>
    <row r="1023">
      <c r="A1023" s="663" t="s">
        <v>2295</v>
      </c>
      <c r="B1023" s="663" t="s">
        <v>1192</v>
      </c>
      <c r="C1023" s="663" t="s">
        <v>52</v>
      </c>
      <c r="D1023" s="663" t="s">
        <v>599</v>
      </c>
      <c r="E1023" s="664" t="s">
        <v>14</v>
      </c>
      <c r="F1023" s="665">
        <v>3667.0</v>
      </c>
      <c r="G1023" s="665">
        <v>2513.0</v>
      </c>
      <c r="H1023" s="665">
        <v>68.53</v>
      </c>
      <c r="I1023" s="665">
        <v>27.23</v>
      </c>
      <c r="J1023" s="665">
        <v>27.09</v>
      </c>
      <c r="K1023" s="665">
        <v>7536.0</v>
      </c>
      <c r="L1023" s="665">
        <v>27671.0</v>
      </c>
      <c r="M1023" s="665">
        <v>2.06</v>
      </c>
      <c r="N1023" s="1">
        <v>2.9988</v>
      </c>
      <c r="O1023" s="1">
        <v>7536.0</v>
      </c>
      <c r="P1023" s="1">
        <v>27671.0</v>
      </c>
      <c r="Q1023" s="1">
        <v>2.0551</v>
      </c>
      <c r="R1023" s="1">
        <v>16507.0</v>
      </c>
    </row>
    <row r="1024">
      <c r="A1024" s="663" t="s">
        <v>2295</v>
      </c>
      <c r="B1024" s="663" t="s">
        <v>1192</v>
      </c>
      <c r="C1024" s="663" t="s">
        <v>52</v>
      </c>
      <c r="D1024" s="663" t="s">
        <v>599</v>
      </c>
      <c r="E1024" s="664" t="s">
        <v>397</v>
      </c>
      <c r="F1024" s="665">
        <v>3667.0</v>
      </c>
      <c r="G1024" s="665">
        <v>1771.0</v>
      </c>
      <c r="H1024" s="665">
        <v>48.3</v>
      </c>
      <c r="I1024" s="665">
        <v>10.59</v>
      </c>
      <c r="J1024" s="665">
        <v>9.71</v>
      </c>
      <c r="K1024" s="665">
        <v>2931.0</v>
      </c>
      <c r="L1024" s="665">
        <v>27671.0</v>
      </c>
      <c r="M1024" s="665">
        <v>0.8</v>
      </c>
      <c r="N1024" s="1">
        <v>1.655</v>
      </c>
      <c r="O1024" s="1">
        <v>2931.0</v>
      </c>
      <c r="P1024" s="1">
        <v>27671.0</v>
      </c>
      <c r="Q1024" s="1">
        <v>0.7993</v>
      </c>
      <c r="R1024" s="1">
        <v>16507.0</v>
      </c>
    </row>
    <row r="1025">
      <c r="A1025" s="663" t="s">
        <v>2295</v>
      </c>
      <c r="B1025" s="663" t="s">
        <v>1192</v>
      </c>
      <c r="C1025" s="663" t="s">
        <v>52</v>
      </c>
      <c r="D1025" s="663" t="s">
        <v>599</v>
      </c>
      <c r="E1025" s="664" t="s">
        <v>398</v>
      </c>
      <c r="F1025" s="665">
        <v>3667.0</v>
      </c>
      <c r="G1025" s="665">
        <v>1940.0</v>
      </c>
      <c r="H1025" s="665">
        <v>52.9</v>
      </c>
      <c r="I1025" s="665">
        <v>10.4</v>
      </c>
      <c r="J1025" s="665">
        <v>14.04</v>
      </c>
      <c r="K1025" s="665">
        <v>2878.0</v>
      </c>
      <c r="L1025" s="665">
        <v>27671.0</v>
      </c>
      <c r="M1025" s="665">
        <v>0.78</v>
      </c>
      <c r="N1025" s="1">
        <v>1.4835</v>
      </c>
      <c r="O1025" s="1">
        <v>2878.0</v>
      </c>
      <c r="P1025" s="1">
        <v>27671.0</v>
      </c>
      <c r="Q1025" s="1">
        <v>0.7848</v>
      </c>
      <c r="R1025" s="1">
        <v>16507.0</v>
      </c>
    </row>
    <row r="1026">
      <c r="A1026" s="663" t="s">
        <v>2295</v>
      </c>
      <c r="B1026" s="663" t="s">
        <v>1192</v>
      </c>
      <c r="C1026" s="663" t="s">
        <v>52</v>
      </c>
      <c r="D1026" s="663" t="s">
        <v>599</v>
      </c>
      <c r="E1026" s="664" t="s">
        <v>418</v>
      </c>
      <c r="F1026" s="665">
        <v>3667.0</v>
      </c>
      <c r="G1026" s="665">
        <v>1768.0</v>
      </c>
      <c r="H1026" s="665">
        <v>48.21</v>
      </c>
      <c r="I1026" s="665">
        <v>8.23</v>
      </c>
      <c r="J1026" s="665">
        <v>8.34</v>
      </c>
      <c r="K1026" s="665">
        <v>2277.0</v>
      </c>
      <c r="L1026" s="665">
        <v>27671.0</v>
      </c>
      <c r="M1026" s="665">
        <v>0.62</v>
      </c>
      <c r="N1026" s="1">
        <v>1.2879</v>
      </c>
      <c r="O1026" s="1">
        <v>2277.0</v>
      </c>
      <c r="P1026" s="1">
        <v>27671.0</v>
      </c>
      <c r="Q1026" s="1">
        <v>0.6209</v>
      </c>
      <c r="R1026" s="1">
        <v>16507.0</v>
      </c>
    </row>
    <row r="1027">
      <c r="A1027" s="663" t="s">
        <v>2295</v>
      </c>
      <c r="B1027" s="663" t="s">
        <v>1192</v>
      </c>
      <c r="C1027" s="663" t="s">
        <v>52</v>
      </c>
      <c r="D1027" s="663" t="s">
        <v>599</v>
      </c>
      <c r="E1027" s="664" t="s">
        <v>15</v>
      </c>
      <c r="F1027" s="665">
        <v>3667.0</v>
      </c>
      <c r="G1027" s="665">
        <v>958.0</v>
      </c>
      <c r="H1027" s="665">
        <v>26.12</v>
      </c>
      <c r="I1027" s="665">
        <v>7.26</v>
      </c>
      <c r="J1027" s="665">
        <v>6.69</v>
      </c>
      <c r="K1027" s="665">
        <v>2010.0</v>
      </c>
      <c r="L1027" s="665">
        <v>27671.0</v>
      </c>
      <c r="M1027" s="665">
        <v>0.55</v>
      </c>
      <c r="N1027" s="1">
        <v>2.0981</v>
      </c>
      <c r="O1027" s="1">
        <v>2010.0</v>
      </c>
      <c r="P1027" s="1">
        <v>27671.0</v>
      </c>
      <c r="Q1027" s="1">
        <v>0.5481</v>
      </c>
      <c r="R1027" s="1">
        <v>16507.0</v>
      </c>
    </row>
    <row r="1028">
      <c r="A1028" s="663" t="s">
        <v>2295</v>
      </c>
      <c r="B1028" s="663" t="s">
        <v>1192</v>
      </c>
      <c r="C1028" s="663" t="s">
        <v>52</v>
      </c>
      <c r="D1028" s="663" t="s">
        <v>599</v>
      </c>
      <c r="E1028" s="664" t="s">
        <v>393</v>
      </c>
      <c r="F1028" s="665">
        <v>3667.0</v>
      </c>
      <c r="G1028" s="665">
        <v>833.0</v>
      </c>
      <c r="H1028" s="665">
        <v>22.72</v>
      </c>
      <c r="I1028" s="665">
        <v>6.72</v>
      </c>
      <c r="J1028" s="665">
        <v>4.76</v>
      </c>
      <c r="K1028" s="665">
        <v>1859.0</v>
      </c>
      <c r="L1028" s="665">
        <v>27671.0</v>
      </c>
      <c r="M1028" s="665">
        <v>0.51</v>
      </c>
      <c r="N1028" s="1">
        <v>2.2317</v>
      </c>
      <c r="O1028" s="1">
        <v>1859.0</v>
      </c>
      <c r="P1028" s="1">
        <v>27671.0</v>
      </c>
      <c r="Q1028" s="1">
        <v>0.507</v>
      </c>
      <c r="R1028" s="1">
        <v>16507.0</v>
      </c>
    </row>
    <row r="1029">
      <c r="A1029" s="663" t="s">
        <v>2295</v>
      </c>
      <c r="B1029" s="663" t="s">
        <v>1192</v>
      </c>
      <c r="C1029" s="663" t="s">
        <v>52</v>
      </c>
      <c r="D1029" s="663" t="s">
        <v>599</v>
      </c>
      <c r="E1029" s="664" t="s">
        <v>413</v>
      </c>
      <c r="F1029" s="665">
        <v>3667.0</v>
      </c>
      <c r="G1029" s="665">
        <v>653.0</v>
      </c>
      <c r="H1029" s="665">
        <v>17.81</v>
      </c>
      <c r="I1029" s="665">
        <v>4.27</v>
      </c>
      <c r="J1029" s="665">
        <v>2.58</v>
      </c>
      <c r="K1029" s="665">
        <v>1181.0</v>
      </c>
      <c r="L1029" s="665">
        <v>27671.0</v>
      </c>
      <c r="M1029" s="665">
        <v>0.32</v>
      </c>
      <c r="N1029" s="1">
        <v>1.8086</v>
      </c>
      <c r="O1029" s="1">
        <v>1181.0</v>
      </c>
      <c r="P1029" s="1">
        <v>27671.0</v>
      </c>
      <c r="Q1029" s="1">
        <v>0.3221</v>
      </c>
      <c r="R1029" s="1">
        <v>16507.0</v>
      </c>
    </row>
    <row r="1030">
      <c r="A1030" s="663" t="s">
        <v>2295</v>
      </c>
      <c r="B1030" s="663" t="s">
        <v>1192</v>
      </c>
      <c r="C1030" s="663" t="s">
        <v>52</v>
      </c>
      <c r="D1030" s="663" t="s">
        <v>599</v>
      </c>
      <c r="E1030" s="664" t="s">
        <v>16</v>
      </c>
      <c r="F1030" s="665">
        <v>3667.0</v>
      </c>
      <c r="G1030" s="665">
        <v>876.0</v>
      </c>
      <c r="H1030" s="665">
        <v>23.89</v>
      </c>
      <c r="I1030" s="665">
        <v>4.05</v>
      </c>
      <c r="J1030" s="665">
        <v>4.56</v>
      </c>
      <c r="K1030" s="665">
        <v>1122.0</v>
      </c>
      <c r="L1030" s="665">
        <v>27671.0</v>
      </c>
      <c r="M1030" s="665">
        <v>0.31</v>
      </c>
      <c r="N1030" s="1">
        <v>1.2808</v>
      </c>
      <c r="O1030" s="1">
        <v>1122.0</v>
      </c>
      <c r="P1030" s="1">
        <v>27671.0</v>
      </c>
      <c r="Q1030" s="1">
        <v>0.306</v>
      </c>
      <c r="R1030" s="1">
        <v>16507.0</v>
      </c>
    </row>
    <row r="1031">
      <c r="A1031" s="663" t="s">
        <v>2295</v>
      </c>
      <c r="B1031" s="663" t="s">
        <v>1192</v>
      </c>
      <c r="C1031" s="663" t="s">
        <v>52</v>
      </c>
      <c r="D1031" s="663" t="s">
        <v>599</v>
      </c>
      <c r="E1031" s="664" t="s">
        <v>51</v>
      </c>
      <c r="F1031" s="665">
        <v>3667.0</v>
      </c>
      <c r="G1031" s="665">
        <v>761.0</v>
      </c>
      <c r="H1031" s="665">
        <v>20.75</v>
      </c>
      <c r="I1031" s="665">
        <v>3.64</v>
      </c>
      <c r="J1031" s="665">
        <v>3.37</v>
      </c>
      <c r="K1031" s="665">
        <v>1007.0</v>
      </c>
      <c r="L1031" s="665">
        <v>27671.0</v>
      </c>
      <c r="M1031" s="665">
        <v>0.27</v>
      </c>
      <c r="N1031" s="1">
        <v>1.3233</v>
      </c>
      <c r="O1031" s="1">
        <v>1007.0</v>
      </c>
      <c r="P1031" s="1">
        <v>27671.0</v>
      </c>
      <c r="Q1031" s="1">
        <v>0.2746</v>
      </c>
      <c r="R1031" s="1">
        <v>16507.0</v>
      </c>
    </row>
    <row r="1032">
      <c r="A1032" s="663" t="s">
        <v>2295</v>
      </c>
      <c r="B1032" s="663" t="s">
        <v>1192</v>
      </c>
      <c r="C1032" s="663" t="s">
        <v>52</v>
      </c>
      <c r="D1032" s="663" t="s">
        <v>599</v>
      </c>
      <c r="E1032" s="664" t="s">
        <v>396</v>
      </c>
      <c r="F1032" s="665">
        <v>3667.0</v>
      </c>
      <c r="G1032" s="665">
        <v>817.0</v>
      </c>
      <c r="H1032" s="665">
        <v>22.28</v>
      </c>
      <c r="I1032" s="665">
        <v>3.34</v>
      </c>
      <c r="J1032" s="665">
        <v>4.05</v>
      </c>
      <c r="K1032" s="665">
        <v>924.0</v>
      </c>
      <c r="L1032" s="665">
        <v>27671.0</v>
      </c>
      <c r="M1032" s="665">
        <v>0.25</v>
      </c>
      <c r="N1032" s="1">
        <v>1.131</v>
      </c>
      <c r="O1032" s="1">
        <v>924.0</v>
      </c>
      <c r="P1032" s="1">
        <v>27671.0</v>
      </c>
      <c r="Q1032" s="1">
        <v>0.252</v>
      </c>
      <c r="R1032" s="1">
        <v>16507.0</v>
      </c>
    </row>
    <row r="1033">
      <c r="A1033" s="663" t="s">
        <v>2295</v>
      </c>
      <c r="B1033" s="663" t="s">
        <v>1192</v>
      </c>
      <c r="C1033" s="663" t="s">
        <v>52</v>
      </c>
      <c r="D1033" s="663" t="s">
        <v>599</v>
      </c>
      <c r="E1033" s="664" t="s">
        <v>411</v>
      </c>
      <c r="F1033" s="665">
        <v>3667.0</v>
      </c>
      <c r="G1033" s="665">
        <v>589.0</v>
      </c>
      <c r="H1033" s="665">
        <v>16.06</v>
      </c>
      <c r="I1033" s="665">
        <v>3.02</v>
      </c>
      <c r="J1033" s="665">
        <v>2.81</v>
      </c>
      <c r="K1033" s="665">
        <v>836.0</v>
      </c>
      <c r="L1033" s="665">
        <v>27671.0</v>
      </c>
      <c r="M1033" s="665">
        <v>0.23</v>
      </c>
      <c r="N1033" s="1">
        <v>1.4194</v>
      </c>
      <c r="O1033" s="1">
        <v>836.0</v>
      </c>
      <c r="P1033" s="1">
        <v>27671.0</v>
      </c>
      <c r="Q1033" s="1">
        <v>0.228</v>
      </c>
      <c r="R1033" s="1">
        <v>16507.0</v>
      </c>
    </row>
    <row r="1034">
      <c r="A1034" s="663" t="s">
        <v>2295</v>
      </c>
      <c r="B1034" s="663" t="s">
        <v>1192</v>
      </c>
      <c r="C1034" s="663" t="s">
        <v>52</v>
      </c>
      <c r="D1034" s="663" t="s">
        <v>599</v>
      </c>
      <c r="E1034" s="664" t="s">
        <v>329</v>
      </c>
      <c r="F1034" s="665">
        <v>3667.0</v>
      </c>
      <c r="G1034" s="665">
        <v>593.0</v>
      </c>
      <c r="H1034" s="665">
        <v>16.17</v>
      </c>
      <c r="I1034" s="665">
        <v>2.46</v>
      </c>
      <c r="J1034" s="665">
        <v>2.65</v>
      </c>
      <c r="K1034" s="665">
        <v>682.0</v>
      </c>
      <c r="L1034" s="665">
        <v>27671.0</v>
      </c>
      <c r="M1034" s="665">
        <v>0.19</v>
      </c>
      <c r="N1034" s="1">
        <v>1.1501</v>
      </c>
      <c r="O1034" s="1">
        <v>682.0</v>
      </c>
      <c r="P1034" s="1">
        <v>27671.0</v>
      </c>
      <c r="Q1034" s="1">
        <v>0.186</v>
      </c>
      <c r="R1034" s="1">
        <v>16507.0</v>
      </c>
    </row>
    <row r="1035">
      <c r="A1035" s="663" t="s">
        <v>2295</v>
      </c>
      <c r="B1035" s="663" t="s">
        <v>1192</v>
      </c>
      <c r="C1035" s="663" t="s">
        <v>52</v>
      </c>
      <c r="D1035" s="663" t="s">
        <v>599</v>
      </c>
      <c r="E1035" s="664" t="s">
        <v>338</v>
      </c>
      <c r="F1035" s="665">
        <v>3667.0</v>
      </c>
      <c r="G1035" s="665">
        <v>543.0</v>
      </c>
      <c r="H1035" s="665">
        <v>14.81</v>
      </c>
      <c r="I1035" s="665">
        <v>2.22</v>
      </c>
      <c r="J1035" s="665">
        <v>2.22</v>
      </c>
      <c r="K1035" s="665">
        <v>613.0</v>
      </c>
      <c r="L1035" s="665">
        <v>27671.0</v>
      </c>
      <c r="M1035" s="665">
        <v>0.17</v>
      </c>
      <c r="N1035" s="1">
        <v>1.1289</v>
      </c>
      <c r="O1035" s="1">
        <v>613.0</v>
      </c>
      <c r="P1035" s="1">
        <v>27671.0</v>
      </c>
      <c r="Q1035" s="1">
        <v>0.1672</v>
      </c>
      <c r="R1035" s="1">
        <v>16507.0</v>
      </c>
    </row>
    <row r="1036">
      <c r="A1036" s="663" t="s">
        <v>2295</v>
      </c>
      <c r="B1036" s="663" t="s">
        <v>1192</v>
      </c>
      <c r="C1036" s="663" t="s">
        <v>52</v>
      </c>
      <c r="D1036" s="663" t="s">
        <v>599</v>
      </c>
      <c r="E1036" s="664" t="s">
        <v>63</v>
      </c>
      <c r="F1036" s="665">
        <v>3667.0</v>
      </c>
      <c r="G1036" s="665">
        <v>513.0</v>
      </c>
      <c r="H1036" s="665">
        <v>13.99</v>
      </c>
      <c r="I1036" s="665">
        <v>2.18</v>
      </c>
      <c r="J1036" s="665">
        <v>2.42</v>
      </c>
      <c r="K1036" s="665">
        <v>602.0</v>
      </c>
      <c r="L1036" s="665">
        <v>27671.0</v>
      </c>
      <c r="M1036" s="665">
        <v>0.16</v>
      </c>
      <c r="N1036" s="1">
        <v>1.1735</v>
      </c>
      <c r="O1036" s="1">
        <v>602.0</v>
      </c>
      <c r="P1036" s="1">
        <v>27671.0</v>
      </c>
      <c r="Q1036" s="1">
        <v>0.1642</v>
      </c>
      <c r="R1036" s="1">
        <v>16507.0</v>
      </c>
    </row>
    <row r="1037">
      <c r="A1037" s="663" t="s">
        <v>2295</v>
      </c>
      <c r="B1037" s="663" t="s">
        <v>1192</v>
      </c>
      <c r="C1037" s="663" t="s">
        <v>52</v>
      </c>
      <c r="D1037" s="663" t="s">
        <v>599</v>
      </c>
      <c r="E1037" s="664" t="s">
        <v>341</v>
      </c>
      <c r="F1037" s="665">
        <v>3667.0</v>
      </c>
      <c r="G1037" s="665">
        <v>449.0</v>
      </c>
      <c r="H1037" s="665">
        <v>12.24</v>
      </c>
      <c r="I1037" s="665">
        <v>1.85</v>
      </c>
      <c r="J1037" s="665">
        <v>2.24</v>
      </c>
      <c r="K1037" s="665">
        <v>513.0</v>
      </c>
      <c r="L1037" s="665">
        <v>27671.0</v>
      </c>
      <c r="M1037" s="665">
        <v>0.14</v>
      </c>
      <c r="N1037" s="1">
        <v>1.1425</v>
      </c>
      <c r="O1037" s="1">
        <v>513.0</v>
      </c>
      <c r="P1037" s="1">
        <v>27671.0</v>
      </c>
      <c r="Q1037" s="1">
        <v>0.1399</v>
      </c>
      <c r="R1037" s="1">
        <v>16507.0</v>
      </c>
    </row>
    <row r="1038">
      <c r="A1038" s="663" t="s">
        <v>2295</v>
      </c>
      <c r="B1038" s="663" t="s">
        <v>1192</v>
      </c>
      <c r="C1038" s="663" t="s">
        <v>52</v>
      </c>
      <c r="D1038" s="663" t="s">
        <v>599</v>
      </c>
      <c r="E1038" s="664" t="s">
        <v>42</v>
      </c>
      <c r="F1038" s="665">
        <v>3667.0</v>
      </c>
      <c r="G1038" s="665">
        <v>413.0</v>
      </c>
      <c r="H1038" s="665">
        <v>11.26</v>
      </c>
      <c r="I1038" s="665">
        <v>1.77</v>
      </c>
      <c r="J1038" s="665">
        <v>1.75</v>
      </c>
      <c r="K1038" s="665">
        <v>490.0</v>
      </c>
      <c r="L1038" s="665">
        <v>27671.0</v>
      </c>
      <c r="M1038" s="665">
        <v>0.13</v>
      </c>
      <c r="N1038" s="1">
        <v>1.1864</v>
      </c>
      <c r="O1038" s="1">
        <v>490.0</v>
      </c>
      <c r="P1038" s="1">
        <v>27671.0</v>
      </c>
      <c r="Q1038" s="1">
        <v>0.1336</v>
      </c>
      <c r="R1038" s="1">
        <v>16507.0</v>
      </c>
    </row>
    <row r="1039">
      <c r="A1039" s="663" t="s">
        <v>2295</v>
      </c>
      <c r="B1039" s="663" t="s">
        <v>1192</v>
      </c>
      <c r="C1039" s="663" t="s">
        <v>52</v>
      </c>
      <c r="D1039" s="663" t="s">
        <v>599</v>
      </c>
      <c r="E1039" s="664" t="s">
        <v>9</v>
      </c>
      <c r="F1039" s="665">
        <v>3667.0</v>
      </c>
      <c r="G1039" s="665">
        <v>119.0</v>
      </c>
      <c r="H1039" s="665">
        <v>3.25</v>
      </c>
      <c r="I1039" s="665">
        <v>0.46</v>
      </c>
      <c r="J1039" s="665">
        <v>0.37</v>
      </c>
      <c r="K1039" s="665">
        <v>128.0</v>
      </c>
      <c r="L1039" s="665">
        <v>27671.0</v>
      </c>
      <c r="M1039" s="665">
        <v>0.03</v>
      </c>
      <c r="N1039" s="1">
        <v>1.0756</v>
      </c>
      <c r="O1039" s="1">
        <v>128.0</v>
      </c>
      <c r="P1039" s="1">
        <v>27671.0</v>
      </c>
      <c r="Q1039" s="1">
        <v>0.0349</v>
      </c>
      <c r="R1039" s="1">
        <v>16507.0</v>
      </c>
    </row>
    <row r="1040">
      <c r="A1040" s="663" t="s">
        <v>2295</v>
      </c>
      <c r="B1040" s="663" t="s">
        <v>1192</v>
      </c>
      <c r="C1040" s="663" t="s">
        <v>52</v>
      </c>
      <c r="D1040" s="663" t="s">
        <v>599</v>
      </c>
      <c r="E1040" s="664" t="s">
        <v>7</v>
      </c>
      <c r="F1040" s="665">
        <v>3667.0</v>
      </c>
      <c r="G1040" s="665">
        <v>73.0</v>
      </c>
      <c r="H1040" s="665">
        <v>1.99</v>
      </c>
      <c r="I1040" s="665">
        <v>0.29</v>
      </c>
      <c r="J1040" s="665">
        <v>0.36</v>
      </c>
      <c r="K1040" s="665">
        <v>79.0</v>
      </c>
      <c r="L1040" s="665">
        <v>27671.0</v>
      </c>
      <c r="M1040" s="665">
        <v>0.02</v>
      </c>
      <c r="N1040" s="1">
        <v>1.0822</v>
      </c>
      <c r="O1040" s="1">
        <v>79.0</v>
      </c>
      <c r="P1040" s="1">
        <v>27671.0</v>
      </c>
      <c r="Q1040" s="1">
        <v>0.0215</v>
      </c>
      <c r="R1040" s="1">
        <v>16507.0</v>
      </c>
    </row>
    <row r="1041">
      <c r="A1041" s="663" t="s">
        <v>2295</v>
      </c>
      <c r="B1041" s="663" t="s">
        <v>1192</v>
      </c>
      <c r="C1041" s="663" t="s">
        <v>52</v>
      </c>
      <c r="D1041" s="663" t="s">
        <v>599</v>
      </c>
      <c r="E1041" s="664" t="s">
        <v>401</v>
      </c>
      <c r="F1041" s="665">
        <v>3667.0</v>
      </c>
      <c r="G1041" s="665">
        <v>2.0</v>
      </c>
      <c r="H1041" s="665">
        <v>0.05</v>
      </c>
      <c r="I1041" s="665">
        <v>0.01</v>
      </c>
      <c r="J1041" s="665">
        <v>0.01</v>
      </c>
      <c r="K1041" s="665">
        <v>3.0</v>
      </c>
      <c r="L1041" s="665">
        <v>27671.0</v>
      </c>
      <c r="M1041" s="665">
        <v>0.0</v>
      </c>
      <c r="N1041" s="1">
        <v>1.5</v>
      </c>
      <c r="O1041" s="1">
        <v>3.0</v>
      </c>
      <c r="P1041" s="1">
        <v>27671.0</v>
      </c>
      <c r="Q1041" s="1">
        <v>8.0E-4</v>
      </c>
      <c r="R1041" s="1">
        <v>16507.0</v>
      </c>
    </row>
    <row r="1042">
      <c r="A1042" s="663" t="s">
        <v>2295</v>
      </c>
      <c r="B1042" s="663" t="s">
        <v>1192</v>
      </c>
      <c r="C1042" s="663" t="s">
        <v>1209</v>
      </c>
      <c r="D1042" s="663" t="s">
        <v>2234</v>
      </c>
      <c r="E1042" s="664" t="s">
        <v>397</v>
      </c>
      <c r="F1042" s="665">
        <v>673.0</v>
      </c>
      <c r="G1042" s="665">
        <v>318.0</v>
      </c>
      <c r="H1042" s="665">
        <v>47.25</v>
      </c>
      <c r="I1042" s="665">
        <v>58.27</v>
      </c>
      <c r="J1042" s="665">
        <v>43.23</v>
      </c>
      <c r="K1042" s="665">
        <v>9720.0</v>
      </c>
      <c r="L1042" s="665">
        <v>16680.0</v>
      </c>
      <c r="M1042" s="665">
        <v>14.44</v>
      </c>
      <c r="N1042" s="1">
        <v>30.566</v>
      </c>
      <c r="O1042" s="1">
        <v>9720.0</v>
      </c>
      <c r="P1042" s="1">
        <v>16680.0</v>
      </c>
      <c r="Q1042" s="1">
        <v>14.4428</v>
      </c>
      <c r="R1042" s="1">
        <v>16507.0</v>
      </c>
    </row>
    <row r="1043">
      <c r="A1043" s="663" t="s">
        <v>2295</v>
      </c>
      <c r="B1043" s="663" t="s">
        <v>1192</v>
      </c>
      <c r="C1043" s="663" t="s">
        <v>1209</v>
      </c>
      <c r="D1043" s="663" t="s">
        <v>2234</v>
      </c>
      <c r="E1043" s="664" t="s">
        <v>413</v>
      </c>
      <c r="F1043" s="665">
        <v>673.0</v>
      </c>
      <c r="G1043" s="665">
        <v>290.0</v>
      </c>
      <c r="H1043" s="665">
        <v>43.09</v>
      </c>
      <c r="I1043" s="665">
        <v>27.91</v>
      </c>
      <c r="J1043" s="665">
        <v>36.3</v>
      </c>
      <c r="K1043" s="665">
        <v>4655.0</v>
      </c>
      <c r="L1043" s="665">
        <v>16680.0</v>
      </c>
      <c r="M1043" s="665">
        <v>6.92</v>
      </c>
      <c r="N1043" s="1">
        <v>16.0517</v>
      </c>
      <c r="O1043" s="1">
        <v>4655.0</v>
      </c>
      <c r="P1043" s="1">
        <v>16680.0</v>
      </c>
      <c r="Q1043" s="1">
        <v>6.9168</v>
      </c>
      <c r="R1043" s="1">
        <v>16507.0</v>
      </c>
    </row>
    <row r="1044">
      <c r="A1044" s="663" t="s">
        <v>2295</v>
      </c>
      <c r="B1044" s="663" t="s">
        <v>1192</v>
      </c>
      <c r="C1044" s="663" t="s">
        <v>1209</v>
      </c>
      <c r="D1044" s="663" t="s">
        <v>2234</v>
      </c>
      <c r="E1044" s="664" t="s">
        <v>401</v>
      </c>
      <c r="F1044" s="665">
        <v>673.0</v>
      </c>
      <c r="G1044" s="665">
        <v>93.0</v>
      </c>
      <c r="H1044" s="665">
        <v>13.82</v>
      </c>
      <c r="I1044" s="665">
        <v>6.18</v>
      </c>
      <c r="J1044" s="665">
        <v>9.54</v>
      </c>
      <c r="K1044" s="665">
        <v>1030.0</v>
      </c>
      <c r="L1044" s="665">
        <v>16680.0</v>
      </c>
      <c r="M1044" s="665">
        <v>1.53</v>
      </c>
      <c r="N1044" s="1">
        <v>11.0753</v>
      </c>
      <c r="O1044" s="1">
        <v>1030.0</v>
      </c>
      <c r="P1044" s="1">
        <v>16680.0</v>
      </c>
      <c r="Q1044" s="1">
        <v>1.5305</v>
      </c>
      <c r="R1044" s="1">
        <v>16507.0</v>
      </c>
    </row>
    <row r="1045">
      <c r="A1045" s="663" t="s">
        <v>2295</v>
      </c>
      <c r="B1045" s="663" t="s">
        <v>1192</v>
      </c>
      <c r="C1045" s="663" t="s">
        <v>1209</v>
      </c>
      <c r="D1045" s="663" t="s">
        <v>2234</v>
      </c>
      <c r="E1045" s="664" t="s">
        <v>206</v>
      </c>
      <c r="F1045" s="665">
        <v>673.0</v>
      </c>
      <c r="G1045" s="665">
        <v>85.0</v>
      </c>
      <c r="H1045" s="665">
        <v>12.63</v>
      </c>
      <c r="I1045" s="665">
        <v>5.28</v>
      </c>
      <c r="J1045" s="665">
        <v>9.0</v>
      </c>
      <c r="K1045" s="665">
        <v>880.0</v>
      </c>
      <c r="L1045" s="665">
        <v>16680.0</v>
      </c>
      <c r="M1045" s="665">
        <v>1.31</v>
      </c>
      <c r="N1045" s="1">
        <v>10.3529</v>
      </c>
      <c r="O1045" s="1">
        <v>880.0</v>
      </c>
      <c r="P1045" s="1">
        <v>16680.0</v>
      </c>
      <c r="Q1045" s="1">
        <v>1.3076</v>
      </c>
      <c r="R1045" s="1">
        <v>16507.0</v>
      </c>
    </row>
    <row r="1046">
      <c r="A1046" s="663" t="s">
        <v>2295</v>
      </c>
      <c r="B1046" s="663" t="s">
        <v>1192</v>
      </c>
      <c r="C1046" s="663" t="s">
        <v>1209</v>
      </c>
      <c r="D1046" s="663" t="s">
        <v>2234</v>
      </c>
      <c r="E1046" s="664" t="s">
        <v>411</v>
      </c>
      <c r="F1046" s="665">
        <v>673.0</v>
      </c>
      <c r="G1046" s="665">
        <v>11.0</v>
      </c>
      <c r="H1046" s="665">
        <v>1.63</v>
      </c>
      <c r="I1046" s="665">
        <v>2.16</v>
      </c>
      <c r="J1046" s="665">
        <v>1.63</v>
      </c>
      <c r="K1046" s="665">
        <v>360.0</v>
      </c>
      <c r="L1046" s="665">
        <v>16680.0</v>
      </c>
      <c r="M1046" s="665">
        <v>0.53</v>
      </c>
      <c r="N1046" s="1">
        <v>32.7273</v>
      </c>
      <c r="O1046" s="1">
        <v>360.0</v>
      </c>
      <c r="P1046" s="1">
        <v>16680.0</v>
      </c>
      <c r="Q1046" s="1">
        <v>0.5349</v>
      </c>
      <c r="R1046" s="1">
        <v>16507.0</v>
      </c>
    </row>
    <row r="1047">
      <c r="A1047" s="663" t="s">
        <v>2295</v>
      </c>
      <c r="B1047" s="663" t="s">
        <v>1192</v>
      </c>
      <c r="C1047" s="663" t="s">
        <v>1209</v>
      </c>
      <c r="D1047" s="663" t="s">
        <v>2234</v>
      </c>
      <c r="E1047" s="664" t="s">
        <v>151</v>
      </c>
      <c r="F1047" s="665">
        <v>673.0</v>
      </c>
      <c r="G1047" s="665">
        <v>1.0</v>
      </c>
      <c r="H1047" s="665">
        <v>0.15</v>
      </c>
      <c r="I1047" s="665">
        <v>0.12</v>
      </c>
      <c r="J1047" s="665">
        <v>0.15</v>
      </c>
      <c r="K1047" s="665">
        <v>20.0</v>
      </c>
      <c r="L1047" s="665">
        <v>16680.0</v>
      </c>
      <c r="M1047" s="665">
        <v>0.03</v>
      </c>
      <c r="N1047" s="1">
        <v>20.0</v>
      </c>
      <c r="O1047" s="1">
        <v>20.0</v>
      </c>
      <c r="P1047" s="1">
        <v>16680.0</v>
      </c>
      <c r="Q1047" s="1">
        <v>0.0297</v>
      </c>
      <c r="R1047" s="1">
        <v>16507.0</v>
      </c>
    </row>
    <row r="1048">
      <c r="A1048" s="663" t="s">
        <v>2295</v>
      </c>
      <c r="B1048" s="663" t="s">
        <v>1192</v>
      </c>
      <c r="C1048" s="663" t="s">
        <v>1209</v>
      </c>
      <c r="D1048" s="663" t="s">
        <v>2234</v>
      </c>
      <c r="E1048" s="664" t="s">
        <v>73</v>
      </c>
      <c r="F1048" s="665">
        <v>673.0</v>
      </c>
      <c r="G1048" s="665">
        <v>1.0</v>
      </c>
      <c r="H1048" s="665">
        <v>0.15</v>
      </c>
      <c r="I1048" s="665">
        <v>0.09</v>
      </c>
      <c r="J1048" s="665">
        <v>0.15</v>
      </c>
      <c r="K1048" s="665">
        <v>15.0</v>
      </c>
      <c r="L1048" s="665">
        <v>16680.0</v>
      </c>
      <c r="M1048" s="665">
        <v>0.02</v>
      </c>
      <c r="N1048" s="1">
        <v>15.0</v>
      </c>
      <c r="O1048" s="1">
        <v>15.0</v>
      </c>
      <c r="P1048" s="1">
        <v>16680.0</v>
      </c>
      <c r="Q1048" s="1">
        <v>0.0223</v>
      </c>
      <c r="R1048" s="1">
        <v>16507.0</v>
      </c>
    </row>
    <row r="1049">
      <c r="A1049" s="663" t="s">
        <v>2295</v>
      </c>
      <c r="B1049" s="663" t="s">
        <v>1192</v>
      </c>
      <c r="C1049" s="663" t="s">
        <v>1210</v>
      </c>
      <c r="D1049" s="663" t="s">
        <v>2234</v>
      </c>
      <c r="E1049" s="664" t="s">
        <v>413</v>
      </c>
      <c r="F1049" s="665">
        <v>1970.0</v>
      </c>
      <c r="G1049" s="665">
        <v>981.0</v>
      </c>
      <c r="H1049" s="665">
        <v>49.8</v>
      </c>
      <c r="I1049" s="665">
        <v>38.26</v>
      </c>
      <c r="J1049" s="665">
        <v>42.05</v>
      </c>
      <c r="K1049" s="665">
        <v>20885.0</v>
      </c>
      <c r="L1049" s="665">
        <v>54585.0</v>
      </c>
      <c r="M1049" s="665">
        <v>10.6</v>
      </c>
      <c r="N1049" s="1">
        <v>21.2895</v>
      </c>
      <c r="O1049" s="1">
        <v>20885.0</v>
      </c>
      <c r="P1049" s="1">
        <v>54585.0</v>
      </c>
      <c r="Q1049" s="1">
        <v>10.6015</v>
      </c>
      <c r="R1049" s="1">
        <v>16507.0</v>
      </c>
    </row>
    <row r="1050">
      <c r="A1050" s="663" t="s">
        <v>2295</v>
      </c>
      <c r="B1050" s="663" t="s">
        <v>1192</v>
      </c>
      <c r="C1050" s="663" t="s">
        <v>1210</v>
      </c>
      <c r="D1050" s="663" t="s">
        <v>2234</v>
      </c>
      <c r="E1050" s="664" t="s">
        <v>397</v>
      </c>
      <c r="F1050" s="665">
        <v>1970.0</v>
      </c>
      <c r="G1050" s="665">
        <v>306.0</v>
      </c>
      <c r="H1050" s="665">
        <v>15.53</v>
      </c>
      <c r="I1050" s="665">
        <v>33.97</v>
      </c>
      <c r="J1050" s="665">
        <v>13.06</v>
      </c>
      <c r="K1050" s="665">
        <v>18540.0</v>
      </c>
      <c r="L1050" s="665">
        <v>54585.0</v>
      </c>
      <c r="M1050" s="665">
        <v>9.41</v>
      </c>
      <c r="N1050" s="1">
        <v>60.5882</v>
      </c>
      <c r="O1050" s="1">
        <v>18540.0</v>
      </c>
      <c r="P1050" s="1">
        <v>54585.0</v>
      </c>
      <c r="Q1050" s="1">
        <v>9.4112</v>
      </c>
      <c r="R1050" s="1">
        <v>16507.0</v>
      </c>
    </row>
    <row r="1051">
      <c r="A1051" s="663" t="s">
        <v>2295</v>
      </c>
      <c r="B1051" s="663" t="s">
        <v>1192</v>
      </c>
      <c r="C1051" s="663" t="s">
        <v>1210</v>
      </c>
      <c r="D1051" s="663" t="s">
        <v>2234</v>
      </c>
      <c r="E1051" s="664" t="s">
        <v>401</v>
      </c>
      <c r="F1051" s="665">
        <v>1970.0</v>
      </c>
      <c r="G1051" s="665">
        <v>696.0</v>
      </c>
      <c r="H1051" s="665">
        <v>35.33</v>
      </c>
      <c r="I1051" s="665">
        <v>13.89</v>
      </c>
      <c r="J1051" s="665">
        <v>22.84</v>
      </c>
      <c r="K1051" s="665">
        <v>7580.0</v>
      </c>
      <c r="L1051" s="665">
        <v>54585.0</v>
      </c>
      <c r="M1051" s="665">
        <v>3.85</v>
      </c>
      <c r="N1051" s="1">
        <v>10.8908</v>
      </c>
      <c r="O1051" s="1">
        <v>7580.0</v>
      </c>
      <c r="P1051" s="1">
        <v>54585.0</v>
      </c>
      <c r="Q1051" s="1">
        <v>3.8477</v>
      </c>
      <c r="R1051" s="1">
        <v>16507.0</v>
      </c>
    </row>
    <row r="1052">
      <c r="A1052" s="663" t="s">
        <v>2295</v>
      </c>
      <c r="B1052" s="663" t="s">
        <v>1192</v>
      </c>
      <c r="C1052" s="663" t="s">
        <v>1210</v>
      </c>
      <c r="D1052" s="663" t="s">
        <v>2234</v>
      </c>
      <c r="E1052" s="664" t="s">
        <v>206</v>
      </c>
      <c r="F1052" s="665">
        <v>1970.0</v>
      </c>
      <c r="G1052" s="665">
        <v>611.0</v>
      </c>
      <c r="H1052" s="665">
        <v>31.02</v>
      </c>
      <c r="I1052" s="665">
        <v>11.28</v>
      </c>
      <c r="J1052" s="665">
        <v>18.65</v>
      </c>
      <c r="K1052" s="665">
        <v>6155.0</v>
      </c>
      <c r="L1052" s="665">
        <v>54585.0</v>
      </c>
      <c r="M1052" s="665">
        <v>3.12</v>
      </c>
      <c r="N1052" s="1">
        <v>10.0736</v>
      </c>
      <c r="O1052" s="1">
        <v>6155.0</v>
      </c>
      <c r="P1052" s="1">
        <v>54585.0</v>
      </c>
      <c r="Q1052" s="1">
        <v>3.1244</v>
      </c>
      <c r="R1052" s="1">
        <v>16507.0</v>
      </c>
    </row>
    <row r="1053">
      <c r="A1053" s="663" t="s">
        <v>2295</v>
      </c>
      <c r="B1053" s="663" t="s">
        <v>1192</v>
      </c>
      <c r="C1053" s="663" t="s">
        <v>1210</v>
      </c>
      <c r="D1053" s="663" t="s">
        <v>2234</v>
      </c>
      <c r="E1053" s="664" t="s">
        <v>9</v>
      </c>
      <c r="F1053" s="665">
        <v>1970.0</v>
      </c>
      <c r="G1053" s="665">
        <v>83.0</v>
      </c>
      <c r="H1053" s="665">
        <v>4.21</v>
      </c>
      <c r="I1053" s="665">
        <v>1.65</v>
      </c>
      <c r="J1053" s="665">
        <v>2.61</v>
      </c>
      <c r="K1053" s="665">
        <v>900.0</v>
      </c>
      <c r="L1053" s="665">
        <v>54585.0</v>
      </c>
      <c r="M1053" s="665">
        <v>0.46</v>
      </c>
      <c r="N1053" s="1">
        <v>10.8434</v>
      </c>
      <c r="O1053" s="1">
        <v>900.0</v>
      </c>
      <c r="P1053" s="1">
        <v>54585.0</v>
      </c>
      <c r="Q1053" s="1">
        <v>0.4569</v>
      </c>
      <c r="R1053" s="1">
        <v>16507.0</v>
      </c>
    </row>
    <row r="1054">
      <c r="A1054" s="663" t="s">
        <v>2295</v>
      </c>
      <c r="B1054" s="663" t="s">
        <v>1192</v>
      </c>
      <c r="C1054" s="663" t="s">
        <v>1210</v>
      </c>
      <c r="D1054" s="663" t="s">
        <v>2234</v>
      </c>
      <c r="E1054" s="664" t="s">
        <v>411</v>
      </c>
      <c r="F1054" s="665">
        <v>1970.0</v>
      </c>
      <c r="G1054" s="665">
        <v>12.0</v>
      </c>
      <c r="H1054" s="665">
        <v>0.61</v>
      </c>
      <c r="I1054" s="665">
        <v>0.67</v>
      </c>
      <c r="J1054" s="665">
        <v>0.5</v>
      </c>
      <c r="K1054" s="665">
        <v>365.0</v>
      </c>
      <c r="L1054" s="665">
        <v>54585.0</v>
      </c>
      <c r="M1054" s="665">
        <v>0.19</v>
      </c>
      <c r="N1054" s="1">
        <v>30.4167</v>
      </c>
      <c r="O1054" s="1">
        <v>365.0</v>
      </c>
      <c r="P1054" s="1">
        <v>54585.0</v>
      </c>
      <c r="Q1054" s="1">
        <v>0.1853</v>
      </c>
      <c r="R1054" s="1">
        <v>16507.0</v>
      </c>
    </row>
    <row r="1055">
      <c r="A1055" s="663" t="s">
        <v>2295</v>
      </c>
      <c r="B1055" s="663" t="s">
        <v>1192</v>
      </c>
      <c r="C1055" s="663" t="s">
        <v>1210</v>
      </c>
      <c r="D1055" s="663" t="s">
        <v>2234</v>
      </c>
      <c r="E1055" s="664" t="s">
        <v>14</v>
      </c>
      <c r="F1055" s="665">
        <v>1970.0</v>
      </c>
      <c r="G1055" s="665">
        <v>6.0</v>
      </c>
      <c r="H1055" s="665">
        <v>0.3</v>
      </c>
      <c r="I1055" s="665">
        <v>0.18</v>
      </c>
      <c r="J1055" s="665">
        <v>0.16</v>
      </c>
      <c r="K1055" s="665">
        <v>100.0</v>
      </c>
      <c r="L1055" s="665">
        <v>54585.0</v>
      </c>
      <c r="M1055" s="665">
        <v>0.05</v>
      </c>
      <c r="N1055" s="1">
        <v>16.6667</v>
      </c>
      <c r="O1055" s="1">
        <v>100.0</v>
      </c>
      <c r="P1055" s="1">
        <v>54585.0</v>
      </c>
      <c r="Q1055" s="1">
        <v>0.0508</v>
      </c>
      <c r="R1055" s="1">
        <v>16507.0</v>
      </c>
    </row>
    <row r="1056">
      <c r="A1056" s="663" t="s">
        <v>2295</v>
      </c>
      <c r="B1056" s="663" t="s">
        <v>1192</v>
      </c>
      <c r="C1056" s="663" t="s">
        <v>1210</v>
      </c>
      <c r="D1056" s="663" t="s">
        <v>2234</v>
      </c>
      <c r="E1056" s="664" t="s">
        <v>73</v>
      </c>
      <c r="F1056" s="665">
        <v>1970.0</v>
      </c>
      <c r="G1056" s="665">
        <v>4.0</v>
      </c>
      <c r="H1056" s="665">
        <v>0.2</v>
      </c>
      <c r="I1056" s="665">
        <v>0.11</v>
      </c>
      <c r="J1056" s="665">
        <v>0.14</v>
      </c>
      <c r="K1056" s="665">
        <v>60.0</v>
      </c>
      <c r="L1056" s="665">
        <v>54585.0</v>
      </c>
      <c r="M1056" s="665">
        <v>0.03</v>
      </c>
      <c r="N1056" s="1">
        <v>15.0</v>
      </c>
      <c r="O1056" s="1">
        <v>60.0</v>
      </c>
      <c r="P1056" s="1">
        <v>54585.0</v>
      </c>
      <c r="Q1056" s="1">
        <v>0.0305</v>
      </c>
      <c r="R1056" s="1">
        <v>16507.0</v>
      </c>
    </row>
    <row r="1057">
      <c r="A1057" s="663" t="s">
        <v>2295</v>
      </c>
      <c r="B1057" s="663" t="s">
        <v>1192</v>
      </c>
      <c r="C1057" s="663" t="s">
        <v>1211</v>
      </c>
      <c r="D1057" s="663" t="s">
        <v>2234</v>
      </c>
      <c r="E1057" s="664" t="s">
        <v>413</v>
      </c>
      <c r="F1057" s="665">
        <v>2816.0</v>
      </c>
      <c r="G1057" s="665">
        <v>1717.0</v>
      </c>
      <c r="H1057" s="665">
        <v>60.97</v>
      </c>
      <c r="I1057" s="665">
        <v>32.36</v>
      </c>
      <c r="J1057" s="665">
        <v>38.21</v>
      </c>
      <c r="K1057" s="665">
        <v>30790.0</v>
      </c>
      <c r="L1057" s="665">
        <v>95160.0</v>
      </c>
      <c r="M1057" s="665">
        <v>10.93</v>
      </c>
      <c r="N1057" s="1">
        <v>17.9324</v>
      </c>
      <c r="O1057" s="1">
        <v>30790.0</v>
      </c>
      <c r="P1057" s="1">
        <v>95160.0</v>
      </c>
      <c r="Q1057" s="1">
        <v>10.9339</v>
      </c>
      <c r="R1057" s="1">
        <v>16507.0</v>
      </c>
    </row>
    <row r="1058">
      <c r="A1058" s="663" t="s">
        <v>2295</v>
      </c>
      <c r="B1058" s="663" t="s">
        <v>1192</v>
      </c>
      <c r="C1058" s="663" t="s">
        <v>1211</v>
      </c>
      <c r="D1058" s="663" t="s">
        <v>2234</v>
      </c>
      <c r="E1058" s="664" t="s">
        <v>14</v>
      </c>
      <c r="F1058" s="665">
        <v>2816.0</v>
      </c>
      <c r="G1058" s="665">
        <v>1369.0</v>
      </c>
      <c r="H1058" s="665">
        <v>48.62</v>
      </c>
      <c r="I1058" s="665">
        <v>22.51</v>
      </c>
      <c r="J1058" s="665">
        <v>23.09</v>
      </c>
      <c r="K1058" s="665">
        <v>21420.0</v>
      </c>
      <c r="L1058" s="665">
        <v>95160.0</v>
      </c>
      <c r="M1058" s="665">
        <v>7.61</v>
      </c>
      <c r="N1058" s="1">
        <v>15.6465</v>
      </c>
      <c r="O1058" s="1">
        <v>21420.0</v>
      </c>
      <c r="P1058" s="1">
        <v>95160.0</v>
      </c>
      <c r="Q1058" s="1">
        <v>7.6065</v>
      </c>
      <c r="R1058" s="1">
        <v>16507.0</v>
      </c>
    </row>
    <row r="1059">
      <c r="A1059" s="663" t="s">
        <v>2295</v>
      </c>
      <c r="B1059" s="663" t="s">
        <v>1192</v>
      </c>
      <c r="C1059" s="663" t="s">
        <v>1211</v>
      </c>
      <c r="D1059" s="663" t="s">
        <v>2234</v>
      </c>
      <c r="E1059" s="664" t="s">
        <v>397</v>
      </c>
      <c r="F1059" s="665">
        <v>2816.0</v>
      </c>
      <c r="G1059" s="665">
        <v>303.0</v>
      </c>
      <c r="H1059" s="665">
        <v>10.76</v>
      </c>
      <c r="I1059" s="665">
        <v>19.36</v>
      </c>
      <c r="J1059" s="665">
        <v>6.97</v>
      </c>
      <c r="K1059" s="665">
        <v>18420.0</v>
      </c>
      <c r="L1059" s="665">
        <v>95160.0</v>
      </c>
      <c r="M1059" s="665">
        <v>6.54</v>
      </c>
      <c r="N1059" s="1">
        <v>60.7921</v>
      </c>
      <c r="O1059" s="1">
        <v>18420.0</v>
      </c>
      <c r="P1059" s="1">
        <v>95160.0</v>
      </c>
      <c r="Q1059" s="1">
        <v>6.5412</v>
      </c>
      <c r="R1059" s="1">
        <v>16507.0</v>
      </c>
    </row>
    <row r="1060">
      <c r="A1060" s="663" t="s">
        <v>2295</v>
      </c>
      <c r="B1060" s="663" t="s">
        <v>1192</v>
      </c>
      <c r="C1060" s="663" t="s">
        <v>1211</v>
      </c>
      <c r="D1060" s="663" t="s">
        <v>2234</v>
      </c>
      <c r="E1060" s="664" t="s">
        <v>401</v>
      </c>
      <c r="F1060" s="665">
        <v>2816.0</v>
      </c>
      <c r="G1060" s="665">
        <v>904.0</v>
      </c>
      <c r="H1060" s="665">
        <v>32.1</v>
      </c>
      <c r="I1060" s="665">
        <v>10.38</v>
      </c>
      <c r="J1060" s="665">
        <v>13.84</v>
      </c>
      <c r="K1060" s="665">
        <v>9880.0</v>
      </c>
      <c r="L1060" s="665">
        <v>95160.0</v>
      </c>
      <c r="M1060" s="665">
        <v>3.51</v>
      </c>
      <c r="N1060" s="1">
        <v>10.9292</v>
      </c>
      <c r="O1060" s="1">
        <v>9880.0</v>
      </c>
      <c r="P1060" s="1">
        <v>95160.0</v>
      </c>
      <c r="Q1060" s="1">
        <v>3.5085</v>
      </c>
      <c r="R1060" s="1">
        <v>16507.0</v>
      </c>
    </row>
    <row r="1061">
      <c r="A1061" s="663" t="s">
        <v>2295</v>
      </c>
      <c r="B1061" s="663" t="s">
        <v>1192</v>
      </c>
      <c r="C1061" s="663" t="s">
        <v>1211</v>
      </c>
      <c r="D1061" s="663" t="s">
        <v>2234</v>
      </c>
      <c r="E1061" s="664" t="s">
        <v>206</v>
      </c>
      <c r="F1061" s="665">
        <v>2816.0</v>
      </c>
      <c r="G1061" s="665">
        <v>802.0</v>
      </c>
      <c r="H1061" s="665">
        <v>28.48</v>
      </c>
      <c r="I1061" s="665">
        <v>8.56</v>
      </c>
      <c r="J1061" s="665">
        <v>11.73</v>
      </c>
      <c r="K1061" s="665">
        <v>8145.0</v>
      </c>
      <c r="L1061" s="665">
        <v>95160.0</v>
      </c>
      <c r="M1061" s="665">
        <v>2.89</v>
      </c>
      <c r="N1061" s="1">
        <v>10.1559</v>
      </c>
      <c r="O1061" s="1">
        <v>8145.0</v>
      </c>
      <c r="P1061" s="1">
        <v>95160.0</v>
      </c>
      <c r="Q1061" s="1">
        <v>2.8924</v>
      </c>
      <c r="R1061" s="1">
        <v>16507.0</v>
      </c>
    </row>
    <row r="1062">
      <c r="A1062" s="663" t="s">
        <v>2295</v>
      </c>
      <c r="B1062" s="663" t="s">
        <v>1192</v>
      </c>
      <c r="C1062" s="663" t="s">
        <v>1211</v>
      </c>
      <c r="D1062" s="663" t="s">
        <v>2234</v>
      </c>
      <c r="E1062" s="664" t="s">
        <v>9</v>
      </c>
      <c r="F1062" s="665">
        <v>2816.0</v>
      </c>
      <c r="G1062" s="665">
        <v>477.0</v>
      </c>
      <c r="H1062" s="665">
        <v>16.94</v>
      </c>
      <c r="I1062" s="665">
        <v>5.83</v>
      </c>
      <c r="J1062" s="665">
        <v>5.17</v>
      </c>
      <c r="K1062" s="665">
        <v>5550.0</v>
      </c>
      <c r="L1062" s="665">
        <v>95160.0</v>
      </c>
      <c r="M1062" s="665">
        <v>1.97</v>
      </c>
      <c r="N1062" s="1">
        <v>11.6352</v>
      </c>
      <c r="O1062" s="1">
        <v>5550.0</v>
      </c>
      <c r="P1062" s="1">
        <v>95160.0</v>
      </c>
      <c r="Q1062" s="1">
        <v>1.9709</v>
      </c>
      <c r="R1062" s="1">
        <v>16507.0</v>
      </c>
    </row>
    <row r="1063">
      <c r="A1063" s="663" t="s">
        <v>2295</v>
      </c>
      <c r="B1063" s="663" t="s">
        <v>1192</v>
      </c>
      <c r="C1063" s="663" t="s">
        <v>1211</v>
      </c>
      <c r="D1063" s="663" t="s">
        <v>2234</v>
      </c>
      <c r="E1063" s="664" t="s">
        <v>73</v>
      </c>
      <c r="F1063" s="665">
        <v>2816.0</v>
      </c>
      <c r="G1063" s="665">
        <v>39.0</v>
      </c>
      <c r="H1063" s="665">
        <v>1.38</v>
      </c>
      <c r="I1063" s="665">
        <v>0.61</v>
      </c>
      <c r="J1063" s="665">
        <v>0.61</v>
      </c>
      <c r="K1063" s="665">
        <v>585.0</v>
      </c>
      <c r="L1063" s="665">
        <v>95160.0</v>
      </c>
      <c r="M1063" s="665">
        <v>0.21</v>
      </c>
      <c r="N1063" s="1">
        <v>15.0</v>
      </c>
      <c r="O1063" s="1">
        <v>585.0</v>
      </c>
      <c r="P1063" s="1">
        <v>95160.0</v>
      </c>
      <c r="Q1063" s="1">
        <v>0.2077</v>
      </c>
      <c r="R1063" s="1">
        <v>16507.0</v>
      </c>
    </row>
    <row r="1064">
      <c r="A1064" s="663" t="s">
        <v>2295</v>
      </c>
      <c r="B1064" s="663" t="s">
        <v>1192</v>
      </c>
      <c r="C1064" s="663" t="s">
        <v>1211</v>
      </c>
      <c r="D1064" s="663" t="s">
        <v>2234</v>
      </c>
      <c r="E1064" s="664" t="s">
        <v>411</v>
      </c>
      <c r="F1064" s="665">
        <v>2816.0</v>
      </c>
      <c r="G1064" s="665">
        <v>11.0</v>
      </c>
      <c r="H1064" s="665">
        <v>0.39</v>
      </c>
      <c r="I1064" s="665">
        <v>0.38</v>
      </c>
      <c r="J1064" s="665">
        <v>0.36</v>
      </c>
      <c r="K1064" s="665">
        <v>360.0</v>
      </c>
      <c r="L1064" s="665">
        <v>95160.0</v>
      </c>
      <c r="M1064" s="665">
        <v>0.13</v>
      </c>
      <c r="N1064" s="1">
        <v>32.7273</v>
      </c>
      <c r="O1064" s="1">
        <v>360.0</v>
      </c>
      <c r="P1064" s="1">
        <v>95160.0</v>
      </c>
      <c r="Q1064" s="1">
        <v>0.1278</v>
      </c>
      <c r="R1064" s="1">
        <v>16507.0</v>
      </c>
    </row>
    <row r="1065">
      <c r="A1065" s="663" t="s">
        <v>2295</v>
      </c>
      <c r="B1065" s="663" t="s">
        <v>1192</v>
      </c>
      <c r="C1065" s="663" t="s">
        <v>1211</v>
      </c>
      <c r="D1065" s="663" t="s">
        <v>2234</v>
      </c>
      <c r="E1065" s="664" t="s">
        <v>414</v>
      </c>
      <c r="F1065" s="665">
        <v>2816.0</v>
      </c>
      <c r="G1065" s="665">
        <v>1.0</v>
      </c>
      <c r="H1065" s="665">
        <v>0.04</v>
      </c>
      <c r="I1065" s="665">
        <v>0.01</v>
      </c>
      <c r="J1065" s="665">
        <v>0.02</v>
      </c>
      <c r="K1065" s="665">
        <v>10.0</v>
      </c>
      <c r="L1065" s="665">
        <v>95160.0</v>
      </c>
      <c r="M1065" s="665">
        <v>0.0</v>
      </c>
      <c r="N1065" s="1">
        <v>10.0</v>
      </c>
      <c r="O1065" s="1">
        <v>10.0</v>
      </c>
      <c r="P1065" s="1">
        <v>95160.0</v>
      </c>
      <c r="Q1065" s="1">
        <v>0.0036</v>
      </c>
      <c r="R1065" s="1">
        <v>16507.0</v>
      </c>
    </row>
    <row r="1066">
      <c r="A1066" s="663" t="s">
        <v>2295</v>
      </c>
      <c r="B1066" s="663" t="s">
        <v>1192</v>
      </c>
      <c r="C1066" s="663" t="s">
        <v>55</v>
      </c>
      <c r="D1066" s="663" t="s">
        <v>2234</v>
      </c>
      <c r="E1066" s="664" t="s">
        <v>418</v>
      </c>
      <c r="F1066" s="665">
        <v>4022.0</v>
      </c>
      <c r="G1066" s="665">
        <v>3851.0</v>
      </c>
      <c r="H1066" s="665">
        <v>95.75</v>
      </c>
      <c r="I1066" s="665">
        <v>24.35</v>
      </c>
      <c r="J1066" s="665">
        <v>25.16</v>
      </c>
      <c r="K1066" s="665">
        <v>598695.0</v>
      </c>
      <c r="L1066" s="665">
        <v>2458708.0</v>
      </c>
      <c r="M1066" s="665">
        <v>148.86</v>
      </c>
      <c r="N1066" s="1">
        <v>155.4648</v>
      </c>
      <c r="O1066" s="1">
        <v>598695.0</v>
      </c>
      <c r="P1066" s="1">
        <v>2458708.0</v>
      </c>
      <c r="Q1066" s="1">
        <v>148.855</v>
      </c>
      <c r="R1066" s="1">
        <v>16507.0</v>
      </c>
    </row>
    <row r="1067">
      <c r="A1067" s="663" t="s">
        <v>2295</v>
      </c>
      <c r="B1067" s="663" t="s">
        <v>1192</v>
      </c>
      <c r="C1067" s="663" t="s">
        <v>55</v>
      </c>
      <c r="D1067" s="663" t="s">
        <v>2234</v>
      </c>
      <c r="E1067" s="664" t="s">
        <v>51</v>
      </c>
      <c r="F1067" s="665">
        <v>4022.0</v>
      </c>
      <c r="G1067" s="665">
        <v>2405.0</v>
      </c>
      <c r="H1067" s="665">
        <v>59.8</v>
      </c>
      <c r="I1067" s="665">
        <v>15.51</v>
      </c>
      <c r="J1067" s="665">
        <v>13.97</v>
      </c>
      <c r="K1067" s="665">
        <v>381380.0</v>
      </c>
      <c r="L1067" s="665">
        <v>2458708.0</v>
      </c>
      <c r="M1067" s="665">
        <v>94.82</v>
      </c>
      <c r="N1067" s="1">
        <v>158.578</v>
      </c>
      <c r="O1067" s="1">
        <v>381380.0</v>
      </c>
      <c r="P1067" s="1">
        <v>2458708.0</v>
      </c>
      <c r="Q1067" s="1">
        <v>94.8235</v>
      </c>
      <c r="R1067" s="1">
        <v>16507.0</v>
      </c>
    </row>
    <row r="1068">
      <c r="A1068" s="663" t="s">
        <v>2295</v>
      </c>
      <c r="B1068" s="663" t="s">
        <v>1192</v>
      </c>
      <c r="C1068" s="663" t="s">
        <v>55</v>
      </c>
      <c r="D1068" s="663" t="s">
        <v>2234</v>
      </c>
      <c r="E1068" s="664" t="s">
        <v>397</v>
      </c>
      <c r="F1068" s="665">
        <v>4022.0</v>
      </c>
      <c r="G1068" s="665">
        <v>2897.0</v>
      </c>
      <c r="H1068" s="665">
        <v>72.03</v>
      </c>
      <c r="I1068" s="665">
        <v>11.52</v>
      </c>
      <c r="J1068" s="665">
        <v>10.37</v>
      </c>
      <c r="K1068" s="665">
        <v>283305.0</v>
      </c>
      <c r="L1068" s="665">
        <v>2458708.0</v>
      </c>
      <c r="M1068" s="665">
        <v>70.44</v>
      </c>
      <c r="N1068" s="1">
        <v>97.7925</v>
      </c>
      <c r="O1068" s="1">
        <v>283305.0</v>
      </c>
      <c r="P1068" s="1">
        <v>2458708.0</v>
      </c>
      <c r="Q1068" s="1">
        <v>70.4388</v>
      </c>
      <c r="R1068" s="1">
        <v>16507.0</v>
      </c>
    </row>
    <row r="1069">
      <c r="A1069" s="663" t="s">
        <v>2295</v>
      </c>
      <c r="B1069" s="663" t="s">
        <v>1192</v>
      </c>
      <c r="C1069" s="663" t="s">
        <v>55</v>
      </c>
      <c r="D1069" s="663" t="s">
        <v>2234</v>
      </c>
      <c r="E1069" s="664" t="s">
        <v>9</v>
      </c>
      <c r="F1069" s="665">
        <v>4022.0</v>
      </c>
      <c r="G1069" s="665">
        <v>2448.0</v>
      </c>
      <c r="H1069" s="665">
        <v>60.87</v>
      </c>
      <c r="I1069" s="665">
        <v>10.26</v>
      </c>
      <c r="J1069" s="665">
        <v>10.21</v>
      </c>
      <c r="K1069" s="665">
        <v>252150.0</v>
      </c>
      <c r="L1069" s="665">
        <v>2458708.0</v>
      </c>
      <c r="M1069" s="665">
        <v>62.69</v>
      </c>
      <c r="N1069" s="1">
        <v>103.0025</v>
      </c>
      <c r="O1069" s="1">
        <v>252150.0</v>
      </c>
      <c r="P1069" s="1">
        <v>2458708.0</v>
      </c>
      <c r="Q1069" s="1">
        <v>62.6927</v>
      </c>
      <c r="R1069" s="1">
        <v>16507.0</v>
      </c>
    </row>
    <row r="1070">
      <c r="A1070" s="663" t="s">
        <v>2295</v>
      </c>
      <c r="B1070" s="663" t="s">
        <v>1192</v>
      </c>
      <c r="C1070" s="663" t="s">
        <v>55</v>
      </c>
      <c r="D1070" s="663" t="s">
        <v>2234</v>
      </c>
      <c r="E1070" s="664" t="s">
        <v>398</v>
      </c>
      <c r="F1070" s="665">
        <v>4022.0</v>
      </c>
      <c r="G1070" s="665">
        <v>3300.0</v>
      </c>
      <c r="H1070" s="665">
        <v>82.05</v>
      </c>
      <c r="I1070" s="665">
        <v>8.02</v>
      </c>
      <c r="J1070" s="665">
        <v>8.73</v>
      </c>
      <c r="K1070" s="665">
        <v>197120.0</v>
      </c>
      <c r="L1070" s="665">
        <v>2458708.0</v>
      </c>
      <c r="M1070" s="665">
        <v>49.01</v>
      </c>
      <c r="N1070" s="1">
        <v>59.7333</v>
      </c>
      <c r="O1070" s="1">
        <v>197120.0</v>
      </c>
      <c r="P1070" s="1">
        <v>2458708.0</v>
      </c>
      <c r="Q1070" s="1">
        <v>49.0104</v>
      </c>
      <c r="R1070" s="1">
        <v>16507.0</v>
      </c>
    </row>
    <row r="1071">
      <c r="A1071" s="663" t="s">
        <v>2295</v>
      </c>
      <c r="B1071" s="663" t="s">
        <v>1192</v>
      </c>
      <c r="C1071" s="663" t="s">
        <v>55</v>
      </c>
      <c r="D1071" s="663" t="s">
        <v>2234</v>
      </c>
      <c r="E1071" s="664" t="s">
        <v>413</v>
      </c>
      <c r="F1071" s="665">
        <v>4022.0</v>
      </c>
      <c r="G1071" s="665">
        <v>2033.0</v>
      </c>
      <c r="H1071" s="665">
        <v>50.55</v>
      </c>
      <c r="I1071" s="665">
        <v>7.8</v>
      </c>
      <c r="J1071" s="665">
        <v>7.78</v>
      </c>
      <c r="K1071" s="665">
        <v>191795.0</v>
      </c>
      <c r="L1071" s="665">
        <v>2458708.0</v>
      </c>
      <c r="M1071" s="665">
        <v>47.69</v>
      </c>
      <c r="N1071" s="1">
        <v>94.3409</v>
      </c>
      <c r="O1071" s="1">
        <v>191795.0</v>
      </c>
      <c r="P1071" s="1">
        <v>2458708.0</v>
      </c>
      <c r="Q1071" s="1">
        <v>47.6865</v>
      </c>
      <c r="R1071" s="1">
        <v>16507.0</v>
      </c>
    </row>
    <row r="1072">
      <c r="A1072" s="663" t="s">
        <v>2295</v>
      </c>
      <c r="B1072" s="663" t="s">
        <v>1192</v>
      </c>
      <c r="C1072" s="663" t="s">
        <v>55</v>
      </c>
      <c r="D1072" s="663" t="s">
        <v>2234</v>
      </c>
      <c r="E1072" s="664" t="s">
        <v>14</v>
      </c>
      <c r="F1072" s="665">
        <v>4022.0</v>
      </c>
      <c r="G1072" s="665">
        <v>2812.0</v>
      </c>
      <c r="H1072" s="665">
        <v>69.92</v>
      </c>
      <c r="I1072" s="665">
        <v>6.82</v>
      </c>
      <c r="J1072" s="665">
        <v>6.75</v>
      </c>
      <c r="K1072" s="665">
        <v>167700.0</v>
      </c>
      <c r="L1072" s="665">
        <v>2458708.0</v>
      </c>
      <c r="M1072" s="665">
        <v>41.7</v>
      </c>
      <c r="N1072" s="1">
        <v>59.6373</v>
      </c>
      <c r="O1072" s="1">
        <v>167700.0</v>
      </c>
      <c r="P1072" s="1">
        <v>2458708.0</v>
      </c>
      <c r="Q1072" s="1">
        <v>41.6957</v>
      </c>
      <c r="R1072" s="1">
        <v>16507.0</v>
      </c>
    </row>
    <row r="1073">
      <c r="A1073" s="663" t="s">
        <v>2295</v>
      </c>
      <c r="B1073" s="663" t="s">
        <v>1192</v>
      </c>
      <c r="C1073" s="663" t="s">
        <v>55</v>
      </c>
      <c r="D1073" s="663" t="s">
        <v>2234</v>
      </c>
      <c r="E1073" s="664" t="s">
        <v>63</v>
      </c>
      <c r="F1073" s="665">
        <v>4022.0</v>
      </c>
      <c r="G1073" s="665">
        <v>2157.0</v>
      </c>
      <c r="H1073" s="665">
        <v>53.63</v>
      </c>
      <c r="I1073" s="665">
        <v>5.75</v>
      </c>
      <c r="J1073" s="665">
        <v>6.67</v>
      </c>
      <c r="K1073" s="665">
        <v>141450.0</v>
      </c>
      <c r="L1073" s="665">
        <v>2458708.0</v>
      </c>
      <c r="M1073" s="665">
        <v>35.17</v>
      </c>
      <c r="N1073" s="1">
        <v>65.5772</v>
      </c>
      <c r="O1073" s="1">
        <v>141450.0</v>
      </c>
      <c r="P1073" s="1">
        <v>2458708.0</v>
      </c>
      <c r="Q1073" s="1">
        <v>35.1691</v>
      </c>
      <c r="R1073" s="1">
        <v>16507.0</v>
      </c>
    </row>
    <row r="1074">
      <c r="A1074" s="663" t="s">
        <v>2295</v>
      </c>
      <c r="B1074" s="663" t="s">
        <v>1192</v>
      </c>
      <c r="C1074" s="663" t="s">
        <v>55</v>
      </c>
      <c r="D1074" s="663" t="s">
        <v>2234</v>
      </c>
      <c r="E1074" s="664" t="s">
        <v>396</v>
      </c>
      <c r="F1074" s="665">
        <v>4022.0</v>
      </c>
      <c r="G1074" s="665">
        <v>1324.0</v>
      </c>
      <c r="H1074" s="665">
        <v>32.92</v>
      </c>
      <c r="I1074" s="665">
        <v>3.04</v>
      </c>
      <c r="J1074" s="665">
        <v>3.09</v>
      </c>
      <c r="K1074" s="665">
        <v>74760.0</v>
      </c>
      <c r="L1074" s="665">
        <v>2458708.0</v>
      </c>
      <c r="M1074" s="665">
        <v>18.59</v>
      </c>
      <c r="N1074" s="1">
        <v>56.4653</v>
      </c>
      <c r="O1074" s="1">
        <v>74760.0</v>
      </c>
      <c r="P1074" s="1">
        <v>2458708.0</v>
      </c>
      <c r="Q1074" s="1">
        <v>18.5878</v>
      </c>
      <c r="R1074" s="1">
        <v>16507.0</v>
      </c>
    </row>
    <row r="1075">
      <c r="A1075" s="663" t="s">
        <v>2295</v>
      </c>
      <c r="B1075" s="663" t="s">
        <v>1192</v>
      </c>
      <c r="C1075" s="663" t="s">
        <v>55</v>
      </c>
      <c r="D1075" s="663" t="s">
        <v>2234</v>
      </c>
      <c r="E1075" s="664" t="s">
        <v>7</v>
      </c>
      <c r="F1075" s="665">
        <v>4022.0</v>
      </c>
      <c r="G1075" s="665">
        <v>1366.0</v>
      </c>
      <c r="H1075" s="665">
        <v>33.96</v>
      </c>
      <c r="I1075" s="665">
        <v>2.41</v>
      </c>
      <c r="J1075" s="665">
        <v>2.7</v>
      </c>
      <c r="K1075" s="665">
        <v>59200.0</v>
      </c>
      <c r="L1075" s="665">
        <v>2458708.0</v>
      </c>
      <c r="M1075" s="665">
        <v>14.72</v>
      </c>
      <c r="N1075" s="1">
        <v>43.3382</v>
      </c>
      <c r="O1075" s="1">
        <v>59200.0</v>
      </c>
      <c r="P1075" s="1">
        <v>2458708.0</v>
      </c>
      <c r="Q1075" s="1">
        <v>14.719</v>
      </c>
      <c r="R1075" s="1">
        <v>16507.0</v>
      </c>
    </row>
    <row r="1076">
      <c r="A1076" s="663" t="s">
        <v>2295</v>
      </c>
      <c r="B1076" s="663" t="s">
        <v>1192</v>
      </c>
      <c r="C1076" s="663" t="s">
        <v>55</v>
      </c>
      <c r="D1076" s="663" t="s">
        <v>2234</v>
      </c>
      <c r="E1076" s="664" t="s">
        <v>411</v>
      </c>
      <c r="F1076" s="665">
        <v>4022.0</v>
      </c>
      <c r="G1076" s="665">
        <v>610.0</v>
      </c>
      <c r="H1076" s="665">
        <v>15.17</v>
      </c>
      <c r="I1076" s="665">
        <v>1.58</v>
      </c>
      <c r="J1076" s="665">
        <v>1.48</v>
      </c>
      <c r="K1076" s="665">
        <v>38733.0</v>
      </c>
      <c r="L1076" s="665">
        <v>2458708.0</v>
      </c>
      <c r="M1076" s="665">
        <v>9.63</v>
      </c>
      <c r="N1076" s="1">
        <v>63.4967</v>
      </c>
      <c r="O1076" s="1">
        <v>38733.0</v>
      </c>
      <c r="P1076" s="1">
        <v>2458708.0</v>
      </c>
      <c r="Q1076" s="1">
        <v>9.6303</v>
      </c>
      <c r="R1076" s="1">
        <v>16507.0</v>
      </c>
    </row>
    <row r="1077">
      <c r="A1077" s="663" t="s">
        <v>2295</v>
      </c>
      <c r="B1077" s="663" t="s">
        <v>1192</v>
      </c>
      <c r="C1077" s="663" t="s">
        <v>55</v>
      </c>
      <c r="D1077" s="663" t="s">
        <v>2234</v>
      </c>
      <c r="E1077" s="664" t="s">
        <v>393</v>
      </c>
      <c r="F1077" s="665">
        <v>4022.0</v>
      </c>
      <c r="G1077" s="665">
        <v>980.0</v>
      </c>
      <c r="H1077" s="665">
        <v>24.37</v>
      </c>
      <c r="I1077" s="665">
        <v>1.13</v>
      </c>
      <c r="J1077" s="665">
        <v>1.08</v>
      </c>
      <c r="K1077" s="665">
        <v>27695.0</v>
      </c>
      <c r="L1077" s="665">
        <v>2458708.0</v>
      </c>
      <c r="M1077" s="665">
        <v>6.89</v>
      </c>
      <c r="N1077" s="1">
        <v>28.2602</v>
      </c>
      <c r="O1077" s="1">
        <v>27695.0</v>
      </c>
      <c r="P1077" s="1">
        <v>2458708.0</v>
      </c>
      <c r="Q1077" s="1">
        <v>6.8859</v>
      </c>
      <c r="R1077" s="1">
        <v>16507.0</v>
      </c>
    </row>
    <row r="1078">
      <c r="A1078" s="663" t="s">
        <v>2295</v>
      </c>
      <c r="B1078" s="663" t="s">
        <v>1192</v>
      </c>
      <c r="C1078" s="663" t="s">
        <v>55</v>
      </c>
      <c r="D1078" s="663" t="s">
        <v>2234</v>
      </c>
      <c r="E1078" s="664" t="s">
        <v>401</v>
      </c>
      <c r="F1078" s="665">
        <v>4022.0</v>
      </c>
      <c r="G1078" s="665">
        <v>463.0</v>
      </c>
      <c r="H1078" s="665">
        <v>11.51</v>
      </c>
      <c r="I1078" s="665">
        <v>0.72</v>
      </c>
      <c r="J1078" s="665">
        <v>0.71</v>
      </c>
      <c r="K1078" s="665">
        <v>17580.0</v>
      </c>
      <c r="L1078" s="665">
        <v>2458708.0</v>
      </c>
      <c r="M1078" s="665">
        <v>4.37</v>
      </c>
      <c r="N1078" s="1">
        <v>37.9698</v>
      </c>
      <c r="O1078" s="1">
        <v>17580.0</v>
      </c>
      <c r="P1078" s="1">
        <v>2458708.0</v>
      </c>
      <c r="Q1078" s="1">
        <v>4.371</v>
      </c>
      <c r="R1078" s="1">
        <v>16507.0</v>
      </c>
    </row>
    <row r="1079">
      <c r="A1079" s="663" t="s">
        <v>2295</v>
      </c>
      <c r="B1079" s="663" t="s">
        <v>1192</v>
      </c>
      <c r="C1079" s="663" t="s">
        <v>55</v>
      </c>
      <c r="D1079" s="663" t="s">
        <v>2234</v>
      </c>
      <c r="E1079" s="664" t="s">
        <v>206</v>
      </c>
      <c r="F1079" s="665">
        <v>4022.0</v>
      </c>
      <c r="G1079" s="665">
        <v>419.0</v>
      </c>
      <c r="H1079" s="665">
        <v>10.42</v>
      </c>
      <c r="I1079" s="665">
        <v>0.55</v>
      </c>
      <c r="J1079" s="665">
        <v>0.53</v>
      </c>
      <c r="K1079" s="665">
        <v>13590.0</v>
      </c>
      <c r="L1079" s="665">
        <v>2458708.0</v>
      </c>
      <c r="M1079" s="665">
        <v>3.38</v>
      </c>
      <c r="N1079" s="1">
        <v>32.4344</v>
      </c>
      <c r="O1079" s="1">
        <v>13590.0</v>
      </c>
      <c r="P1079" s="1">
        <v>2458708.0</v>
      </c>
      <c r="Q1079" s="1">
        <v>3.3789</v>
      </c>
      <c r="R1079" s="1">
        <v>16507.0</v>
      </c>
    </row>
    <row r="1080">
      <c r="A1080" s="663" t="s">
        <v>2295</v>
      </c>
      <c r="B1080" s="663" t="s">
        <v>1192</v>
      </c>
      <c r="C1080" s="663" t="s">
        <v>55</v>
      </c>
      <c r="D1080" s="663" t="s">
        <v>2234</v>
      </c>
      <c r="E1080" s="664" t="s">
        <v>73</v>
      </c>
      <c r="F1080" s="665">
        <v>4022.0</v>
      </c>
      <c r="G1080" s="665">
        <v>234.0</v>
      </c>
      <c r="H1080" s="665">
        <v>5.82</v>
      </c>
      <c r="I1080" s="665">
        <v>0.34</v>
      </c>
      <c r="J1080" s="665">
        <v>0.36</v>
      </c>
      <c r="K1080" s="665">
        <v>8400.0</v>
      </c>
      <c r="L1080" s="665">
        <v>2458708.0</v>
      </c>
      <c r="M1080" s="665">
        <v>2.09</v>
      </c>
      <c r="N1080" s="1">
        <v>35.8974</v>
      </c>
      <c r="O1080" s="1">
        <v>8400.0</v>
      </c>
      <c r="P1080" s="1">
        <v>2458708.0</v>
      </c>
      <c r="Q1080" s="1">
        <v>2.0885</v>
      </c>
      <c r="R1080" s="1">
        <v>16507.0</v>
      </c>
    </row>
    <row r="1081">
      <c r="A1081" s="663" t="s">
        <v>2295</v>
      </c>
      <c r="B1081" s="663" t="s">
        <v>1192</v>
      </c>
      <c r="C1081" s="663" t="s">
        <v>55</v>
      </c>
      <c r="D1081" s="663" t="s">
        <v>2234</v>
      </c>
      <c r="E1081" s="664" t="s">
        <v>42</v>
      </c>
      <c r="F1081" s="665">
        <v>4022.0</v>
      </c>
      <c r="G1081" s="665">
        <v>100.0</v>
      </c>
      <c r="H1081" s="665">
        <v>2.49</v>
      </c>
      <c r="I1081" s="665">
        <v>0.21</v>
      </c>
      <c r="J1081" s="665">
        <v>0.41</v>
      </c>
      <c r="K1081" s="665">
        <v>5140.0</v>
      </c>
      <c r="L1081" s="665">
        <v>2458708.0</v>
      </c>
      <c r="M1081" s="665">
        <v>1.28</v>
      </c>
      <c r="N1081" s="1">
        <v>51.4</v>
      </c>
      <c r="O1081" s="1">
        <v>5140.0</v>
      </c>
      <c r="P1081" s="1">
        <v>2458708.0</v>
      </c>
      <c r="Q1081" s="1">
        <v>1.278</v>
      </c>
      <c r="R1081" s="1">
        <v>16507.0</v>
      </c>
    </row>
    <row r="1082">
      <c r="A1082" s="663" t="s">
        <v>2295</v>
      </c>
      <c r="B1082" s="663" t="s">
        <v>1192</v>
      </c>
      <c r="C1082" s="663" t="s">
        <v>55</v>
      </c>
      <c r="D1082" s="663" t="s">
        <v>2234</v>
      </c>
      <c r="E1082" s="664" t="s">
        <v>151</v>
      </c>
      <c r="F1082" s="665">
        <v>4022.0</v>
      </c>
      <c r="G1082" s="665">
        <v>1.0</v>
      </c>
      <c r="H1082" s="665">
        <v>0.02</v>
      </c>
      <c r="I1082" s="665">
        <v>0.0</v>
      </c>
      <c r="J1082" s="665">
        <v>0.0</v>
      </c>
      <c r="K1082" s="665">
        <v>15.0</v>
      </c>
      <c r="L1082" s="665">
        <v>2458708.0</v>
      </c>
      <c r="M1082" s="665">
        <v>0.0</v>
      </c>
      <c r="N1082" s="1">
        <v>15.0</v>
      </c>
      <c r="O1082" s="1">
        <v>15.0</v>
      </c>
      <c r="P1082" s="1">
        <v>2458708.0</v>
      </c>
      <c r="Q1082" s="1">
        <v>0.0037</v>
      </c>
      <c r="R1082" s="1">
        <v>16507.0</v>
      </c>
    </row>
    <row r="1083">
      <c r="A1083" s="663" t="s">
        <v>2351</v>
      </c>
      <c r="B1083" s="663" t="s">
        <v>180</v>
      </c>
      <c r="C1083" s="663" t="s">
        <v>50</v>
      </c>
      <c r="D1083" s="663" t="s">
        <v>599</v>
      </c>
      <c r="E1083" s="664" t="s">
        <v>396</v>
      </c>
      <c r="F1083" s="665">
        <v>24982.0</v>
      </c>
      <c r="G1083" s="665">
        <v>15401.0</v>
      </c>
      <c r="H1083" s="665">
        <v>61.65</v>
      </c>
      <c r="I1083" s="665">
        <v>27.3</v>
      </c>
      <c r="J1083" s="665">
        <v>38.23</v>
      </c>
      <c r="K1083" s="665">
        <v>27570.0</v>
      </c>
      <c r="L1083" s="665">
        <v>100974.0</v>
      </c>
      <c r="M1083" s="665">
        <v>1.1</v>
      </c>
      <c r="N1083" s="1">
        <v>1.7901</v>
      </c>
      <c r="O1083" s="1">
        <v>27570.0</v>
      </c>
      <c r="P1083" s="1">
        <v>100974.0</v>
      </c>
      <c r="Q1083" s="1">
        <v>1.1036</v>
      </c>
      <c r="R1083" s="1">
        <v>90356.0</v>
      </c>
    </row>
    <row r="1084">
      <c r="A1084" s="663" t="s">
        <v>2351</v>
      </c>
      <c r="B1084" s="663" t="s">
        <v>180</v>
      </c>
      <c r="C1084" s="663" t="s">
        <v>50</v>
      </c>
      <c r="D1084" s="663" t="s">
        <v>599</v>
      </c>
      <c r="E1084" s="664" t="s">
        <v>418</v>
      </c>
      <c r="F1084" s="665">
        <v>24982.0</v>
      </c>
      <c r="G1084" s="665">
        <v>11509.0</v>
      </c>
      <c r="H1084" s="665">
        <v>46.07</v>
      </c>
      <c r="I1084" s="665">
        <v>18.77</v>
      </c>
      <c r="J1084" s="665">
        <v>16.23</v>
      </c>
      <c r="K1084" s="665">
        <v>18955.0</v>
      </c>
      <c r="L1084" s="665">
        <v>100974.0</v>
      </c>
      <c r="M1084" s="665">
        <v>0.76</v>
      </c>
      <c r="N1084" s="1">
        <v>1.647</v>
      </c>
      <c r="O1084" s="1">
        <v>18955.0</v>
      </c>
      <c r="P1084" s="1">
        <v>100974.0</v>
      </c>
      <c r="Q1084" s="1">
        <v>0.7587</v>
      </c>
      <c r="R1084" s="1">
        <v>90356.0</v>
      </c>
    </row>
    <row r="1085">
      <c r="A1085" s="663" t="s">
        <v>2351</v>
      </c>
      <c r="B1085" s="663" t="s">
        <v>180</v>
      </c>
      <c r="C1085" s="663" t="s">
        <v>50</v>
      </c>
      <c r="D1085" s="663" t="s">
        <v>599</v>
      </c>
      <c r="E1085" s="664" t="s">
        <v>411</v>
      </c>
      <c r="F1085" s="665">
        <v>24982.0</v>
      </c>
      <c r="G1085" s="665">
        <v>13498.0</v>
      </c>
      <c r="H1085" s="665">
        <v>54.03</v>
      </c>
      <c r="I1085" s="665">
        <v>17.65</v>
      </c>
      <c r="J1085" s="665">
        <v>20.88</v>
      </c>
      <c r="K1085" s="665">
        <v>17819.0</v>
      </c>
      <c r="L1085" s="665">
        <v>100974.0</v>
      </c>
      <c r="M1085" s="665">
        <v>0.71</v>
      </c>
      <c r="N1085" s="1">
        <v>1.3201</v>
      </c>
      <c r="O1085" s="1">
        <v>17819.0</v>
      </c>
      <c r="P1085" s="1">
        <v>100974.0</v>
      </c>
      <c r="Q1085" s="1">
        <v>0.7133</v>
      </c>
      <c r="R1085" s="1">
        <v>90356.0</v>
      </c>
    </row>
    <row r="1086">
      <c r="A1086" s="663" t="s">
        <v>2351</v>
      </c>
      <c r="B1086" s="663" t="s">
        <v>180</v>
      </c>
      <c r="C1086" s="663" t="s">
        <v>50</v>
      </c>
      <c r="D1086" s="663" t="s">
        <v>599</v>
      </c>
      <c r="E1086" s="664" t="s">
        <v>9</v>
      </c>
      <c r="F1086" s="665">
        <v>24982.0</v>
      </c>
      <c r="G1086" s="665">
        <v>7324.0</v>
      </c>
      <c r="H1086" s="665">
        <v>29.32</v>
      </c>
      <c r="I1086" s="665">
        <v>9.74</v>
      </c>
      <c r="J1086" s="665">
        <v>7.19</v>
      </c>
      <c r="K1086" s="665">
        <v>9837.0</v>
      </c>
      <c r="L1086" s="665">
        <v>100974.0</v>
      </c>
      <c r="M1086" s="665">
        <v>0.39</v>
      </c>
      <c r="N1086" s="1">
        <v>1.3431</v>
      </c>
      <c r="O1086" s="1">
        <v>9837.0</v>
      </c>
      <c r="P1086" s="1">
        <v>100974.0</v>
      </c>
      <c r="Q1086" s="1">
        <v>0.3938</v>
      </c>
      <c r="R1086" s="1">
        <v>90356.0</v>
      </c>
    </row>
    <row r="1087">
      <c r="A1087" s="663" t="s">
        <v>2351</v>
      </c>
      <c r="B1087" s="663" t="s">
        <v>180</v>
      </c>
      <c r="C1087" s="663" t="s">
        <v>50</v>
      </c>
      <c r="D1087" s="663" t="s">
        <v>599</v>
      </c>
      <c r="E1087" s="664" t="s">
        <v>14</v>
      </c>
      <c r="F1087" s="665">
        <v>24982.0</v>
      </c>
      <c r="G1087" s="665">
        <v>4641.0</v>
      </c>
      <c r="H1087" s="665">
        <v>18.58</v>
      </c>
      <c r="I1087" s="665">
        <v>7.22</v>
      </c>
      <c r="J1087" s="665">
        <v>3.73</v>
      </c>
      <c r="K1087" s="665">
        <v>7288.0</v>
      </c>
      <c r="L1087" s="665">
        <v>100974.0</v>
      </c>
      <c r="M1087" s="665">
        <v>0.29</v>
      </c>
      <c r="N1087" s="1">
        <v>1.5704</v>
      </c>
      <c r="O1087" s="1">
        <v>7288.0</v>
      </c>
      <c r="P1087" s="1">
        <v>100974.0</v>
      </c>
      <c r="Q1087" s="1">
        <v>0.2917</v>
      </c>
      <c r="R1087" s="1">
        <v>90356.0</v>
      </c>
    </row>
    <row r="1088">
      <c r="A1088" s="663" t="s">
        <v>2351</v>
      </c>
      <c r="B1088" s="663" t="s">
        <v>180</v>
      </c>
      <c r="C1088" s="663" t="s">
        <v>50</v>
      </c>
      <c r="D1088" s="663" t="s">
        <v>599</v>
      </c>
      <c r="E1088" s="664" t="s">
        <v>413</v>
      </c>
      <c r="F1088" s="665">
        <v>24982.0</v>
      </c>
      <c r="G1088" s="665">
        <v>4345.0</v>
      </c>
      <c r="H1088" s="665">
        <v>17.39</v>
      </c>
      <c r="I1088" s="665">
        <v>5.74</v>
      </c>
      <c r="J1088" s="665">
        <v>3.71</v>
      </c>
      <c r="K1088" s="665">
        <v>5798.0</v>
      </c>
      <c r="L1088" s="665">
        <v>100974.0</v>
      </c>
      <c r="M1088" s="665">
        <v>0.23</v>
      </c>
      <c r="N1088" s="1">
        <v>1.3344</v>
      </c>
      <c r="O1088" s="1">
        <v>5798.0</v>
      </c>
      <c r="P1088" s="1">
        <v>100974.0</v>
      </c>
      <c r="Q1088" s="1">
        <v>0.2321</v>
      </c>
      <c r="R1088" s="1">
        <v>90356.0</v>
      </c>
    </row>
    <row r="1089">
      <c r="A1089" s="663" t="s">
        <v>2351</v>
      </c>
      <c r="B1089" s="663" t="s">
        <v>180</v>
      </c>
      <c r="C1089" s="663" t="s">
        <v>50</v>
      </c>
      <c r="D1089" s="663" t="s">
        <v>599</v>
      </c>
      <c r="E1089" s="664" t="s">
        <v>51</v>
      </c>
      <c r="F1089" s="665">
        <v>24982.0</v>
      </c>
      <c r="G1089" s="665">
        <v>3231.0</v>
      </c>
      <c r="H1089" s="665">
        <v>12.93</v>
      </c>
      <c r="I1089" s="665">
        <v>4.79</v>
      </c>
      <c r="J1089" s="665">
        <v>3.17</v>
      </c>
      <c r="K1089" s="665">
        <v>4838.0</v>
      </c>
      <c r="L1089" s="665">
        <v>100974.0</v>
      </c>
      <c r="M1089" s="665">
        <v>0.19</v>
      </c>
      <c r="N1089" s="1">
        <v>1.4974</v>
      </c>
      <c r="O1089" s="1">
        <v>4838.0</v>
      </c>
      <c r="P1089" s="1">
        <v>100974.0</v>
      </c>
      <c r="Q1089" s="1">
        <v>0.1937</v>
      </c>
      <c r="R1089" s="1">
        <v>90356.0</v>
      </c>
    </row>
    <row r="1090">
      <c r="A1090" s="663" t="s">
        <v>2351</v>
      </c>
      <c r="B1090" s="663" t="s">
        <v>180</v>
      </c>
      <c r="C1090" s="663" t="s">
        <v>50</v>
      </c>
      <c r="D1090" s="663" t="s">
        <v>599</v>
      </c>
      <c r="E1090" s="664" t="s">
        <v>42</v>
      </c>
      <c r="F1090" s="665">
        <v>24982.0</v>
      </c>
      <c r="G1090" s="665">
        <v>2989.0</v>
      </c>
      <c r="H1090" s="665">
        <v>11.96</v>
      </c>
      <c r="I1090" s="665">
        <v>3.66</v>
      </c>
      <c r="J1090" s="665">
        <v>2.71</v>
      </c>
      <c r="K1090" s="665">
        <v>3699.0</v>
      </c>
      <c r="L1090" s="665">
        <v>100974.0</v>
      </c>
      <c r="M1090" s="665">
        <v>0.15</v>
      </c>
      <c r="N1090" s="1">
        <v>1.2375</v>
      </c>
      <c r="O1090" s="1">
        <v>3699.0</v>
      </c>
      <c r="P1090" s="1">
        <v>100974.0</v>
      </c>
      <c r="Q1090" s="1">
        <v>0.1481</v>
      </c>
      <c r="R1090" s="1">
        <v>90356.0</v>
      </c>
    </row>
    <row r="1091">
      <c r="A1091" s="663" t="s">
        <v>2351</v>
      </c>
      <c r="B1091" s="663" t="s">
        <v>180</v>
      </c>
      <c r="C1091" s="663" t="s">
        <v>50</v>
      </c>
      <c r="D1091" s="663" t="s">
        <v>599</v>
      </c>
      <c r="E1091" s="664" t="s">
        <v>16</v>
      </c>
      <c r="F1091" s="665">
        <v>24982.0</v>
      </c>
      <c r="G1091" s="665">
        <v>2209.0</v>
      </c>
      <c r="H1091" s="665">
        <v>8.84</v>
      </c>
      <c r="I1091" s="665">
        <v>2.83</v>
      </c>
      <c r="J1091" s="665">
        <v>2.54</v>
      </c>
      <c r="K1091" s="665">
        <v>2856.0</v>
      </c>
      <c r="L1091" s="665">
        <v>100974.0</v>
      </c>
      <c r="M1091" s="665">
        <v>0.11</v>
      </c>
      <c r="N1091" s="1">
        <v>1.2929</v>
      </c>
      <c r="O1091" s="1">
        <v>2856.0</v>
      </c>
      <c r="P1091" s="1">
        <v>100974.0</v>
      </c>
      <c r="Q1091" s="1">
        <v>0.1143</v>
      </c>
      <c r="R1091" s="1">
        <v>90356.0</v>
      </c>
    </row>
    <row r="1092">
      <c r="A1092" s="663" t="s">
        <v>2351</v>
      </c>
      <c r="B1092" s="663" t="s">
        <v>180</v>
      </c>
      <c r="C1092" s="663" t="s">
        <v>50</v>
      </c>
      <c r="D1092" s="663" t="s">
        <v>599</v>
      </c>
      <c r="E1092" s="664" t="s">
        <v>63</v>
      </c>
      <c r="F1092" s="665">
        <v>24982.0</v>
      </c>
      <c r="G1092" s="665">
        <v>1671.0</v>
      </c>
      <c r="H1092" s="665">
        <v>6.69</v>
      </c>
      <c r="I1092" s="665">
        <v>1.92</v>
      </c>
      <c r="J1092" s="665">
        <v>1.3</v>
      </c>
      <c r="K1092" s="665">
        <v>1940.0</v>
      </c>
      <c r="L1092" s="665">
        <v>100974.0</v>
      </c>
      <c r="M1092" s="665">
        <v>0.08</v>
      </c>
      <c r="N1092" s="1">
        <v>1.161</v>
      </c>
      <c r="O1092" s="1">
        <v>1940.0</v>
      </c>
      <c r="P1092" s="1">
        <v>100974.0</v>
      </c>
      <c r="Q1092" s="1">
        <v>0.0777</v>
      </c>
      <c r="R1092" s="1">
        <v>90356.0</v>
      </c>
    </row>
    <row r="1093">
      <c r="A1093" s="663" t="s">
        <v>2351</v>
      </c>
      <c r="B1093" s="663" t="s">
        <v>180</v>
      </c>
      <c r="C1093" s="663" t="s">
        <v>50</v>
      </c>
      <c r="D1093" s="663" t="s">
        <v>599</v>
      </c>
      <c r="E1093" s="664" t="s">
        <v>7</v>
      </c>
      <c r="F1093" s="665">
        <v>24982.0</v>
      </c>
      <c r="G1093" s="665">
        <v>308.0</v>
      </c>
      <c r="H1093" s="665">
        <v>1.23</v>
      </c>
      <c r="I1093" s="665">
        <v>0.33</v>
      </c>
      <c r="J1093" s="665">
        <v>0.27</v>
      </c>
      <c r="K1093" s="665">
        <v>329.0</v>
      </c>
      <c r="L1093" s="665">
        <v>100974.0</v>
      </c>
      <c r="M1093" s="665">
        <v>0.01</v>
      </c>
      <c r="N1093" s="1">
        <v>1.0682</v>
      </c>
      <c r="O1093" s="1">
        <v>329.0</v>
      </c>
      <c r="P1093" s="1">
        <v>100974.0</v>
      </c>
      <c r="Q1093" s="1">
        <v>0.0132</v>
      </c>
      <c r="R1093" s="1">
        <v>90356.0</v>
      </c>
    </row>
    <row r="1094">
      <c r="A1094" s="663" t="s">
        <v>2351</v>
      </c>
      <c r="B1094" s="663" t="s">
        <v>180</v>
      </c>
      <c r="C1094" s="663" t="s">
        <v>50</v>
      </c>
      <c r="D1094" s="663" t="s">
        <v>599</v>
      </c>
      <c r="E1094" s="664" t="s">
        <v>393</v>
      </c>
      <c r="F1094" s="665">
        <v>24982.0</v>
      </c>
      <c r="G1094" s="665">
        <v>16.0</v>
      </c>
      <c r="H1094" s="665">
        <v>0.06</v>
      </c>
      <c r="I1094" s="665">
        <v>0.02</v>
      </c>
      <c r="J1094" s="665">
        <v>0.02</v>
      </c>
      <c r="K1094" s="665">
        <v>16.0</v>
      </c>
      <c r="L1094" s="665">
        <v>100974.0</v>
      </c>
      <c r="M1094" s="665">
        <v>0.0</v>
      </c>
      <c r="N1094" s="1">
        <v>1.0</v>
      </c>
      <c r="O1094" s="1">
        <v>16.0</v>
      </c>
      <c r="P1094" s="1">
        <v>100974.0</v>
      </c>
      <c r="Q1094" s="1">
        <v>6.0E-4</v>
      </c>
      <c r="R1094" s="1">
        <v>90356.0</v>
      </c>
    </row>
    <row r="1095">
      <c r="A1095" s="663" t="s">
        <v>2351</v>
      </c>
      <c r="B1095" s="663" t="s">
        <v>180</v>
      </c>
      <c r="C1095" s="663" t="s">
        <v>50</v>
      </c>
      <c r="D1095" s="663" t="s">
        <v>599</v>
      </c>
      <c r="E1095" s="664" t="s">
        <v>401</v>
      </c>
      <c r="F1095" s="665">
        <v>24982.0</v>
      </c>
      <c r="G1095" s="665">
        <v>13.0</v>
      </c>
      <c r="H1095" s="665">
        <v>0.05</v>
      </c>
      <c r="I1095" s="665">
        <v>0.01</v>
      </c>
      <c r="J1095" s="665">
        <v>0.01</v>
      </c>
      <c r="K1095" s="665">
        <v>14.0</v>
      </c>
      <c r="L1095" s="665">
        <v>100974.0</v>
      </c>
      <c r="M1095" s="665">
        <v>0.0</v>
      </c>
      <c r="N1095" s="1">
        <v>1.0769</v>
      </c>
      <c r="O1095" s="1">
        <v>14.0</v>
      </c>
      <c r="P1095" s="1">
        <v>100974.0</v>
      </c>
      <c r="Q1095" s="1">
        <v>6.0E-4</v>
      </c>
      <c r="R1095" s="1">
        <v>90356.0</v>
      </c>
    </row>
    <row r="1096">
      <c r="A1096" s="663" t="s">
        <v>2351</v>
      </c>
      <c r="B1096" s="663" t="s">
        <v>180</v>
      </c>
      <c r="C1096" s="663" t="s">
        <v>50</v>
      </c>
      <c r="D1096" s="663" t="s">
        <v>599</v>
      </c>
      <c r="E1096" s="664" t="s">
        <v>414</v>
      </c>
      <c r="F1096" s="665">
        <v>24982.0</v>
      </c>
      <c r="G1096" s="665">
        <v>2.0</v>
      </c>
      <c r="H1096" s="665">
        <v>0.01</v>
      </c>
      <c r="I1096" s="665">
        <v>0.0</v>
      </c>
      <c r="J1096" s="665">
        <v>0.0</v>
      </c>
      <c r="K1096" s="665">
        <v>4.0</v>
      </c>
      <c r="L1096" s="665">
        <v>100974.0</v>
      </c>
      <c r="M1096" s="665">
        <v>0.0</v>
      </c>
      <c r="N1096" s="1">
        <v>2.0</v>
      </c>
      <c r="O1096" s="1">
        <v>4.0</v>
      </c>
      <c r="P1096" s="1">
        <v>100974.0</v>
      </c>
      <c r="Q1096" s="1">
        <v>2.0E-4</v>
      </c>
      <c r="R1096" s="1">
        <v>90356.0</v>
      </c>
    </row>
    <row r="1097">
      <c r="A1097" s="663" t="s">
        <v>2351</v>
      </c>
      <c r="B1097" s="663" t="s">
        <v>180</v>
      </c>
      <c r="C1097" s="663" t="s">
        <v>50</v>
      </c>
      <c r="D1097" s="663" t="s">
        <v>599</v>
      </c>
      <c r="E1097" s="664" t="s">
        <v>151</v>
      </c>
      <c r="F1097" s="665">
        <v>24982.0</v>
      </c>
      <c r="G1097" s="665">
        <v>3.0</v>
      </c>
      <c r="H1097" s="665">
        <v>0.01</v>
      </c>
      <c r="I1097" s="665">
        <v>0.0</v>
      </c>
      <c r="J1097" s="665">
        <v>0.01</v>
      </c>
      <c r="K1097" s="665">
        <v>3.0</v>
      </c>
      <c r="L1097" s="665">
        <v>100974.0</v>
      </c>
      <c r="M1097" s="665">
        <v>0.0</v>
      </c>
      <c r="N1097" s="1">
        <v>1.0</v>
      </c>
      <c r="O1097" s="1">
        <v>3.0</v>
      </c>
      <c r="P1097" s="1">
        <v>100974.0</v>
      </c>
      <c r="Q1097" s="1">
        <v>1.0E-4</v>
      </c>
      <c r="R1097" s="1">
        <v>90356.0</v>
      </c>
    </row>
    <row r="1098">
      <c r="A1098" s="663" t="s">
        <v>2351</v>
      </c>
      <c r="B1098" s="663" t="s">
        <v>180</v>
      </c>
      <c r="C1098" s="663" t="s">
        <v>50</v>
      </c>
      <c r="D1098" s="663" t="s">
        <v>599</v>
      </c>
      <c r="E1098" s="664" t="s">
        <v>73</v>
      </c>
      <c r="F1098" s="665">
        <v>24982.0</v>
      </c>
      <c r="G1098" s="665">
        <v>1.0</v>
      </c>
      <c r="H1098" s="665">
        <v>0.0</v>
      </c>
      <c r="I1098" s="665">
        <v>0.0</v>
      </c>
      <c r="J1098" s="665">
        <v>0.0</v>
      </c>
      <c r="K1098" s="665">
        <v>1.0</v>
      </c>
      <c r="L1098" s="665">
        <v>100974.0</v>
      </c>
      <c r="M1098" s="665">
        <v>0.0</v>
      </c>
      <c r="N1098" s="1">
        <v>1.0</v>
      </c>
      <c r="O1098" s="1">
        <v>1.0</v>
      </c>
      <c r="P1098" s="1">
        <v>100974.0</v>
      </c>
      <c r="Q1098" s="1">
        <v>0.0</v>
      </c>
      <c r="R1098" s="1">
        <v>90356.0</v>
      </c>
    </row>
    <row r="1099">
      <c r="A1099" s="663" t="s">
        <v>2351</v>
      </c>
      <c r="B1099" s="663" t="s">
        <v>180</v>
      </c>
      <c r="C1099" s="663" t="s">
        <v>50</v>
      </c>
      <c r="D1099" s="663" t="s">
        <v>599</v>
      </c>
      <c r="E1099" s="664" t="s">
        <v>341</v>
      </c>
      <c r="F1099" s="665">
        <v>24982.0</v>
      </c>
      <c r="G1099" s="665">
        <v>1.0</v>
      </c>
      <c r="H1099" s="665">
        <v>0.0</v>
      </c>
      <c r="I1099" s="665">
        <v>0.0</v>
      </c>
      <c r="J1099" s="665">
        <v>0.0</v>
      </c>
      <c r="K1099" s="665">
        <v>2.0</v>
      </c>
      <c r="L1099" s="665">
        <v>100974.0</v>
      </c>
      <c r="M1099" s="665">
        <v>0.0</v>
      </c>
      <c r="N1099" s="1">
        <v>2.0</v>
      </c>
      <c r="O1099" s="1">
        <v>2.0</v>
      </c>
      <c r="P1099" s="1">
        <v>100974.0</v>
      </c>
      <c r="Q1099" s="1">
        <v>1.0E-4</v>
      </c>
      <c r="R1099" s="1">
        <v>90356.0</v>
      </c>
    </row>
    <row r="1100">
      <c r="A1100" s="663" t="s">
        <v>2351</v>
      </c>
      <c r="B1100" s="663" t="s">
        <v>180</v>
      </c>
      <c r="C1100" s="663" t="s">
        <v>50</v>
      </c>
      <c r="D1100" s="663" t="s">
        <v>599</v>
      </c>
      <c r="E1100" s="664" t="s">
        <v>206</v>
      </c>
      <c r="F1100" s="665">
        <v>24982.0</v>
      </c>
      <c r="G1100" s="665">
        <v>5.0</v>
      </c>
      <c r="H1100" s="665">
        <v>0.02</v>
      </c>
      <c r="I1100" s="665">
        <v>0.0</v>
      </c>
      <c r="J1100" s="665">
        <v>0.0</v>
      </c>
      <c r="K1100" s="665">
        <v>5.0</v>
      </c>
      <c r="L1100" s="665">
        <v>100974.0</v>
      </c>
      <c r="M1100" s="665">
        <v>0.0</v>
      </c>
      <c r="N1100" s="1">
        <v>1.0</v>
      </c>
      <c r="O1100" s="1">
        <v>5.0</v>
      </c>
      <c r="P1100" s="1">
        <v>100974.0</v>
      </c>
      <c r="Q1100" s="1">
        <v>2.0E-4</v>
      </c>
      <c r="R1100" s="1">
        <v>90356.0</v>
      </c>
    </row>
    <row r="1101">
      <c r="A1101" s="663" t="s">
        <v>2351</v>
      </c>
      <c r="B1101" s="663" t="s">
        <v>180</v>
      </c>
      <c r="C1101" s="663" t="s">
        <v>48</v>
      </c>
      <c r="D1101" s="663" t="s">
        <v>599</v>
      </c>
      <c r="E1101" s="664" t="s">
        <v>396</v>
      </c>
      <c r="F1101" s="665">
        <v>28795.0</v>
      </c>
      <c r="G1101" s="665">
        <v>17877.0</v>
      </c>
      <c r="H1101" s="665">
        <v>62.08</v>
      </c>
      <c r="I1101" s="665">
        <v>21.05</v>
      </c>
      <c r="J1101" s="665">
        <v>33.21</v>
      </c>
      <c r="K1101" s="665">
        <v>34720.0</v>
      </c>
      <c r="L1101" s="665">
        <v>164904.0</v>
      </c>
      <c r="M1101" s="665">
        <v>1.21</v>
      </c>
      <c r="N1101" s="1">
        <v>1.9422</v>
      </c>
      <c r="O1101" s="1">
        <v>34720.0</v>
      </c>
      <c r="P1101" s="1">
        <v>164904.0</v>
      </c>
      <c r="Q1101" s="1">
        <v>1.2058</v>
      </c>
      <c r="R1101" s="1">
        <v>90356.0</v>
      </c>
    </row>
    <row r="1102">
      <c r="A1102" s="663" t="s">
        <v>2351</v>
      </c>
      <c r="B1102" s="663" t="s">
        <v>180</v>
      </c>
      <c r="C1102" s="663" t="s">
        <v>48</v>
      </c>
      <c r="D1102" s="663" t="s">
        <v>599</v>
      </c>
      <c r="E1102" s="664" t="s">
        <v>413</v>
      </c>
      <c r="F1102" s="665">
        <v>28795.0</v>
      </c>
      <c r="G1102" s="665">
        <v>10797.0</v>
      </c>
      <c r="H1102" s="665">
        <v>37.5</v>
      </c>
      <c r="I1102" s="665">
        <v>13.18</v>
      </c>
      <c r="J1102" s="665">
        <v>10.32</v>
      </c>
      <c r="K1102" s="665">
        <v>21732.0</v>
      </c>
      <c r="L1102" s="665">
        <v>164904.0</v>
      </c>
      <c r="M1102" s="665">
        <v>0.75</v>
      </c>
      <c r="N1102" s="1">
        <v>2.0128</v>
      </c>
      <c r="O1102" s="1">
        <v>21732.0</v>
      </c>
      <c r="P1102" s="1">
        <v>164904.0</v>
      </c>
      <c r="Q1102" s="1">
        <v>0.7547</v>
      </c>
      <c r="R1102" s="1">
        <v>90356.0</v>
      </c>
    </row>
    <row r="1103">
      <c r="A1103" s="663" t="s">
        <v>2351</v>
      </c>
      <c r="B1103" s="663" t="s">
        <v>180</v>
      </c>
      <c r="C1103" s="663" t="s">
        <v>48</v>
      </c>
      <c r="D1103" s="663" t="s">
        <v>599</v>
      </c>
      <c r="E1103" s="664" t="s">
        <v>418</v>
      </c>
      <c r="F1103" s="665">
        <v>28795.0</v>
      </c>
      <c r="G1103" s="665">
        <v>13739.0</v>
      </c>
      <c r="H1103" s="665">
        <v>47.71</v>
      </c>
      <c r="I1103" s="665">
        <v>13.16</v>
      </c>
      <c r="J1103" s="665">
        <v>11.14</v>
      </c>
      <c r="K1103" s="665">
        <v>21702.0</v>
      </c>
      <c r="L1103" s="665">
        <v>164904.0</v>
      </c>
      <c r="M1103" s="665">
        <v>0.75</v>
      </c>
      <c r="N1103" s="1">
        <v>1.5796</v>
      </c>
      <c r="O1103" s="1">
        <v>21702.0</v>
      </c>
      <c r="P1103" s="1">
        <v>164904.0</v>
      </c>
      <c r="Q1103" s="1">
        <v>0.7537</v>
      </c>
      <c r="R1103" s="1">
        <v>90356.0</v>
      </c>
    </row>
    <row r="1104">
      <c r="A1104" s="663" t="s">
        <v>2351</v>
      </c>
      <c r="B1104" s="663" t="s">
        <v>180</v>
      </c>
      <c r="C1104" s="663" t="s">
        <v>48</v>
      </c>
      <c r="D1104" s="663" t="s">
        <v>599</v>
      </c>
      <c r="E1104" s="664" t="s">
        <v>14</v>
      </c>
      <c r="F1104" s="665">
        <v>28795.0</v>
      </c>
      <c r="G1104" s="665">
        <v>12645.0</v>
      </c>
      <c r="H1104" s="665">
        <v>43.91</v>
      </c>
      <c r="I1104" s="665">
        <v>12.0</v>
      </c>
      <c r="J1104" s="665">
        <v>10.98</v>
      </c>
      <c r="K1104" s="665">
        <v>19788.0</v>
      </c>
      <c r="L1104" s="665">
        <v>164904.0</v>
      </c>
      <c r="M1104" s="665">
        <v>0.69</v>
      </c>
      <c r="N1104" s="1">
        <v>1.5649</v>
      </c>
      <c r="O1104" s="1">
        <v>19788.0</v>
      </c>
      <c r="P1104" s="1">
        <v>164904.0</v>
      </c>
      <c r="Q1104" s="1">
        <v>0.6872</v>
      </c>
      <c r="R1104" s="1">
        <v>90356.0</v>
      </c>
    </row>
    <row r="1105">
      <c r="A1105" s="663" t="s">
        <v>2351</v>
      </c>
      <c r="B1105" s="663" t="s">
        <v>180</v>
      </c>
      <c r="C1105" s="663" t="s">
        <v>48</v>
      </c>
      <c r="D1105" s="663" t="s">
        <v>599</v>
      </c>
      <c r="E1105" s="664" t="s">
        <v>411</v>
      </c>
      <c r="F1105" s="665">
        <v>28795.0</v>
      </c>
      <c r="G1105" s="665">
        <v>13596.0</v>
      </c>
      <c r="H1105" s="665">
        <v>47.22</v>
      </c>
      <c r="I1105" s="665">
        <v>10.89</v>
      </c>
      <c r="J1105" s="665">
        <v>10.81</v>
      </c>
      <c r="K1105" s="665">
        <v>17965.0</v>
      </c>
      <c r="L1105" s="665">
        <v>164904.0</v>
      </c>
      <c r="M1105" s="665">
        <v>0.62</v>
      </c>
      <c r="N1105" s="1">
        <v>1.3213</v>
      </c>
      <c r="O1105" s="1">
        <v>17965.0</v>
      </c>
      <c r="P1105" s="1">
        <v>164904.0</v>
      </c>
      <c r="Q1105" s="1">
        <v>0.6239</v>
      </c>
      <c r="R1105" s="1">
        <v>90356.0</v>
      </c>
    </row>
    <row r="1106">
      <c r="A1106" s="663" t="s">
        <v>2351</v>
      </c>
      <c r="B1106" s="663" t="s">
        <v>180</v>
      </c>
      <c r="C1106" s="663" t="s">
        <v>48</v>
      </c>
      <c r="D1106" s="663" t="s">
        <v>599</v>
      </c>
      <c r="E1106" s="664" t="s">
        <v>9</v>
      </c>
      <c r="F1106" s="665">
        <v>28795.0</v>
      </c>
      <c r="G1106" s="665">
        <v>9631.0</v>
      </c>
      <c r="H1106" s="665">
        <v>33.45</v>
      </c>
      <c r="I1106" s="665">
        <v>7.75</v>
      </c>
      <c r="J1106" s="665">
        <v>6.4</v>
      </c>
      <c r="K1106" s="665">
        <v>12778.0</v>
      </c>
      <c r="L1106" s="665">
        <v>164904.0</v>
      </c>
      <c r="M1106" s="665">
        <v>0.44</v>
      </c>
      <c r="N1106" s="1">
        <v>1.3268</v>
      </c>
      <c r="O1106" s="1">
        <v>12778.0</v>
      </c>
      <c r="P1106" s="1">
        <v>164904.0</v>
      </c>
      <c r="Q1106" s="1">
        <v>0.4438</v>
      </c>
      <c r="R1106" s="1">
        <v>90356.0</v>
      </c>
    </row>
    <row r="1107">
      <c r="A1107" s="663" t="s">
        <v>2351</v>
      </c>
      <c r="B1107" s="663" t="s">
        <v>180</v>
      </c>
      <c r="C1107" s="663" t="s">
        <v>48</v>
      </c>
      <c r="D1107" s="663" t="s">
        <v>599</v>
      </c>
      <c r="E1107" s="664" t="s">
        <v>398</v>
      </c>
      <c r="F1107" s="665">
        <v>28795.0</v>
      </c>
      <c r="G1107" s="665">
        <v>6383.0</v>
      </c>
      <c r="H1107" s="665">
        <v>22.17</v>
      </c>
      <c r="I1107" s="665">
        <v>5.82</v>
      </c>
      <c r="J1107" s="665">
        <v>4.29</v>
      </c>
      <c r="K1107" s="665">
        <v>9594.0</v>
      </c>
      <c r="L1107" s="665">
        <v>164904.0</v>
      </c>
      <c r="M1107" s="665">
        <v>0.33</v>
      </c>
      <c r="N1107" s="1">
        <v>1.5031</v>
      </c>
      <c r="O1107" s="1">
        <v>9594.0</v>
      </c>
      <c r="P1107" s="1">
        <v>164904.0</v>
      </c>
      <c r="Q1107" s="1">
        <v>0.3332</v>
      </c>
      <c r="R1107" s="1">
        <v>90356.0</v>
      </c>
    </row>
    <row r="1108">
      <c r="A1108" s="663" t="s">
        <v>2351</v>
      </c>
      <c r="B1108" s="663" t="s">
        <v>180</v>
      </c>
      <c r="C1108" s="663" t="s">
        <v>48</v>
      </c>
      <c r="D1108" s="663" t="s">
        <v>599</v>
      </c>
      <c r="E1108" s="664" t="s">
        <v>401</v>
      </c>
      <c r="F1108" s="665">
        <v>28795.0</v>
      </c>
      <c r="G1108" s="665">
        <v>5612.0</v>
      </c>
      <c r="H1108" s="665">
        <v>19.49</v>
      </c>
      <c r="I1108" s="665">
        <v>3.74</v>
      </c>
      <c r="J1108" s="665">
        <v>3.36</v>
      </c>
      <c r="K1108" s="665">
        <v>6173.0</v>
      </c>
      <c r="L1108" s="665">
        <v>164904.0</v>
      </c>
      <c r="M1108" s="665">
        <v>0.21</v>
      </c>
      <c r="N1108" s="1">
        <v>1.1</v>
      </c>
      <c r="O1108" s="1">
        <v>6173.0</v>
      </c>
      <c r="P1108" s="1">
        <v>164904.0</v>
      </c>
      <c r="Q1108" s="1">
        <v>0.2144</v>
      </c>
      <c r="R1108" s="1">
        <v>90356.0</v>
      </c>
    </row>
    <row r="1109">
      <c r="A1109" s="663" t="s">
        <v>2351</v>
      </c>
      <c r="B1109" s="663" t="s">
        <v>180</v>
      </c>
      <c r="C1109" s="663" t="s">
        <v>48</v>
      </c>
      <c r="D1109" s="663" t="s">
        <v>599</v>
      </c>
      <c r="E1109" s="664" t="s">
        <v>206</v>
      </c>
      <c r="F1109" s="665">
        <v>28795.0</v>
      </c>
      <c r="G1109" s="665">
        <v>4922.0</v>
      </c>
      <c r="H1109" s="665">
        <v>17.09</v>
      </c>
      <c r="I1109" s="665">
        <v>3.04</v>
      </c>
      <c r="J1109" s="665">
        <v>2.79</v>
      </c>
      <c r="K1109" s="665">
        <v>5013.0</v>
      </c>
      <c r="L1109" s="665">
        <v>164904.0</v>
      </c>
      <c r="M1109" s="665">
        <v>0.17</v>
      </c>
      <c r="N1109" s="1">
        <v>1.0185</v>
      </c>
      <c r="O1109" s="1">
        <v>5013.0</v>
      </c>
      <c r="P1109" s="1">
        <v>164904.0</v>
      </c>
      <c r="Q1109" s="1">
        <v>0.1741</v>
      </c>
      <c r="R1109" s="1">
        <v>90356.0</v>
      </c>
    </row>
    <row r="1110">
      <c r="A1110" s="663" t="s">
        <v>2351</v>
      </c>
      <c r="B1110" s="663" t="s">
        <v>180</v>
      </c>
      <c r="C1110" s="663" t="s">
        <v>48</v>
      </c>
      <c r="D1110" s="663" t="s">
        <v>599</v>
      </c>
      <c r="E1110" s="664" t="s">
        <v>51</v>
      </c>
      <c r="F1110" s="665">
        <v>28795.0</v>
      </c>
      <c r="G1110" s="665">
        <v>3231.0</v>
      </c>
      <c r="H1110" s="665">
        <v>11.22</v>
      </c>
      <c r="I1110" s="665">
        <v>2.93</v>
      </c>
      <c r="J1110" s="665">
        <v>1.83</v>
      </c>
      <c r="K1110" s="665">
        <v>4838.0</v>
      </c>
      <c r="L1110" s="665">
        <v>164904.0</v>
      </c>
      <c r="M1110" s="665">
        <v>0.17</v>
      </c>
      <c r="N1110" s="1">
        <v>1.4974</v>
      </c>
      <c r="O1110" s="1">
        <v>4838.0</v>
      </c>
      <c r="P1110" s="1">
        <v>164904.0</v>
      </c>
      <c r="Q1110" s="1">
        <v>0.168</v>
      </c>
      <c r="R1110" s="1">
        <v>90356.0</v>
      </c>
    </row>
    <row r="1111">
      <c r="A1111" s="663" t="s">
        <v>2351</v>
      </c>
      <c r="B1111" s="663" t="s">
        <v>180</v>
      </c>
      <c r="C1111" s="663" t="s">
        <v>48</v>
      </c>
      <c r="D1111" s="663" t="s">
        <v>599</v>
      </c>
      <c r="E1111" s="664" t="s">
        <v>63</v>
      </c>
      <c r="F1111" s="665">
        <v>28795.0</v>
      </c>
      <c r="G1111" s="665">
        <v>3242.0</v>
      </c>
      <c r="H1111" s="665">
        <v>11.26</v>
      </c>
      <c r="I1111" s="665">
        <v>2.43</v>
      </c>
      <c r="J1111" s="665">
        <v>1.85</v>
      </c>
      <c r="K1111" s="665">
        <v>4009.0</v>
      </c>
      <c r="L1111" s="665">
        <v>164904.0</v>
      </c>
      <c r="M1111" s="665">
        <v>0.14</v>
      </c>
      <c r="N1111" s="1">
        <v>1.2366</v>
      </c>
      <c r="O1111" s="1">
        <v>4009.0</v>
      </c>
      <c r="P1111" s="1">
        <v>164904.0</v>
      </c>
      <c r="Q1111" s="1">
        <v>0.1392</v>
      </c>
      <c r="R1111" s="1">
        <v>90356.0</v>
      </c>
    </row>
    <row r="1112">
      <c r="A1112" s="663" t="s">
        <v>2351</v>
      </c>
      <c r="B1112" s="663" t="s">
        <v>180</v>
      </c>
      <c r="C1112" s="663" t="s">
        <v>48</v>
      </c>
      <c r="D1112" s="663" t="s">
        <v>599</v>
      </c>
      <c r="E1112" s="664" t="s">
        <v>73</v>
      </c>
      <c r="F1112" s="665">
        <v>28795.0</v>
      </c>
      <c r="G1112" s="665">
        <v>2806.0</v>
      </c>
      <c r="H1112" s="665">
        <v>9.74</v>
      </c>
      <c r="I1112" s="665">
        <v>1.72</v>
      </c>
      <c r="J1112" s="665">
        <v>1.43</v>
      </c>
      <c r="K1112" s="665">
        <v>2838.0</v>
      </c>
      <c r="L1112" s="665">
        <v>164904.0</v>
      </c>
      <c r="M1112" s="665">
        <v>0.1</v>
      </c>
      <c r="N1112" s="1">
        <v>1.0114</v>
      </c>
      <c r="O1112" s="1">
        <v>2838.0</v>
      </c>
      <c r="P1112" s="1">
        <v>164904.0</v>
      </c>
      <c r="Q1112" s="1">
        <v>0.0986</v>
      </c>
      <c r="R1112" s="1">
        <v>90356.0</v>
      </c>
    </row>
    <row r="1113">
      <c r="A1113" s="663" t="s">
        <v>2351</v>
      </c>
      <c r="B1113" s="663" t="s">
        <v>180</v>
      </c>
      <c r="C1113" s="663" t="s">
        <v>48</v>
      </c>
      <c r="D1113" s="663" t="s">
        <v>599</v>
      </c>
      <c r="E1113" s="664" t="s">
        <v>42</v>
      </c>
      <c r="F1113" s="665">
        <v>28795.0</v>
      </c>
      <c r="G1113" s="665">
        <v>1823.0</v>
      </c>
      <c r="H1113" s="665">
        <v>6.33</v>
      </c>
      <c r="I1113" s="665">
        <v>1.29</v>
      </c>
      <c r="J1113" s="665">
        <v>0.83</v>
      </c>
      <c r="K1113" s="665">
        <v>2123.0</v>
      </c>
      <c r="L1113" s="665">
        <v>164904.0</v>
      </c>
      <c r="M1113" s="665">
        <v>0.07</v>
      </c>
      <c r="N1113" s="1">
        <v>1.1646</v>
      </c>
      <c r="O1113" s="1">
        <v>2123.0</v>
      </c>
      <c r="P1113" s="1">
        <v>164904.0</v>
      </c>
      <c r="Q1113" s="1">
        <v>0.0737</v>
      </c>
      <c r="R1113" s="1">
        <v>90356.0</v>
      </c>
    </row>
    <row r="1114">
      <c r="A1114" s="663" t="s">
        <v>2351</v>
      </c>
      <c r="B1114" s="663" t="s">
        <v>180</v>
      </c>
      <c r="C1114" s="663" t="s">
        <v>48</v>
      </c>
      <c r="D1114" s="663" t="s">
        <v>599</v>
      </c>
      <c r="E1114" s="664" t="s">
        <v>16</v>
      </c>
      <c r="F1114" s="665">
        <v>28795.0</v>
      </c>
      <c r="G1114" s="665">
        <v>983.0</v>
      </c>
      <c r="H1114" s="665">
        <v>3.41</v>
      </c>
      <c r="I1114" s="665">
        <v>0.67</v>
      </c>
      <c r="J1114" s="665">
        <v>0.51</v>
      </c>
      <c r="K1114" s="665">
        <v>1111.0</v>
      </c>
      <c r="L1114" s="665">
        <v>164904.0</v>
      </c>
      <c r="M1114" s="665">
        <v>0.04</v>
      </c>
      <c r="N1114" s="1">
        <v>1.1302</v>
      </c>
      <c r="O1114" s="1">
        <v>1111.0</v>
      </c>
      <c r="P1114" s="1">
        <v>164904.0</v>
      </c>
      <c r="Q1114" s="1">
        <v>0.0386</v>
      </c>
      <c r="R1114" s="1">
        <v>90356.0</v>
      </c>
    </row>
    <row r="1115">
      <c r="A1115" s="663" t="s">
        <v>2351</v>
      </c>
      <c r="B1115" s="663" t="s">
        <v>180</v>
      </c>
      <c r="C1115" s="663" t="s">
        <v>48</v>
      </c>
      <c r="D1115" s="663" t="s">
        <v>599</v>
      </c>
      <c r="E1115" s="664" t="s">
        <v>7</v>
      </c>
      <c r="F1115" s="665">
        <v>28795.0</v>
      </c>
      <c r="G1115" s="665">
        <v>462.0</v>
      </c>
      <c r="H1115" s="665">
        <v>1.6</v>
      </c>
      <c r="I1115" s="665">
        <v>0.3</v>
      </c>
      <c r="J1115" s="665">
        <v>0.22</v>
      </c>
      <c r="K1115" s="665">
        <v>488.0</v>
      </c>
      <c r="L1115" s="665">
        <v>164904.0</v>
      </c>
      <c r="M1115" s="665">
        <v>0.02</v>
      </c>
      <c r="N1115" s="1">
        <v>1.0563</v>
      </c>
      <c r="O1115" s="1">
        <v>488.0</v>
      </c>
      <c r="P1115" s="1">
        <v>164904.0</v>
      </c>
      <c r="Q1115" s="1">
        <v>0.0169</v>
      </c>
      <c r="R1115" s="1">
        <v>90356.0</v>
      </c>
    </row>
    <row r="1116">
      <c r="A1116" s="663" t="s">
        <v>2351</v>
      </c>
      <c r="B1116" s="663" t="s">
        <v>180</v>
      </c>
      <c r="C1116" s="663" t="s">
        <v>48</v>
      </c>
      <c r="D1116" s="663" t="s">
        <v>599</v>
      </c>
      <c r="E1116" s="664" t="s">
        <v>393</v>
      </c>
      <c r="F1116" s="665">
        <v>28795.0</v>
      </c>
      <c r="G1116" s="665">
        <v>30.0</v>
      </c>
      <c r="H1116" s="665">
        <v>0.1</v>
      </c>
      <c r="I1116" s="665">
        <v>0.02</v>
      </c>
      <c r="J1116" s="665">
        <v>0.02</v>
      </c>
      <c r="K1116" s="665">
        <v>30.0</v>
      </c>
      <c r="L1116" s="665">
        <v>164904.0</v>
      </c>
      <c r="M1116" s="665">
        <v>0.0</v>
      </c>
      <c r="N1116" s="1">
        <v>1.0</v>
      </c>
      <c r="O1116" s="1">
        <v>30.0</v>
      </c>
      <c r="P1116" s="1">
        <v>164904.0</v>
      </c>
      <c r="Q1116" s="1">
        <v>0.001</v>
      </c>
      <c r="R1116" s="1">
        <v>90356.0</v>
      </c>
    </row>
    <row r="1117">
      <c r="A1117" s="663" t="s">
        <v>2351</v>
      </c>
      <c r="B1117" s="663" t="s">
        <v>180</v>
      </c>
      <c r="C1117" s="663" t="s">
        <v>48</v>
      </c>
      <c r="D1117" s="663" t="s">
        <v>599</v>
      </c>
      <c r="E1117" s="664" t="s">
        <v>151</v>
      </c>
      <c r="F1117" s="665">
        <v>28795.0</v>
      </c>
      <c r="G1117" s="665">
        <v>2.0</v>
      </c>
      <c r="H1117" s="665">
        <v>0.01</v>
      </c>
      <c r="I1117" s="665">
        <v>0.0</v>
      </c>
      <c r="J1117" s="665">
        <v>0.0</v>
      </c>
      <c r="K1117" s="665">
        <v>2.0</v>
      </c>
      <c r="L1117" s="665">
        <v>164904.0</v>
      </c>
      <c r="M1117" s="665">
        <v>0.0</v>
      </c>
      <c r="N1117" s="1">
        <v>1.0</v>
      </c>
      <c r="O1117" s="1">
        <v>2.0</v>
      </c>
      <c r="P1117" s="1">
        <v>164904.0</v>
      </c>
      <c r="Q1117" s="1">
        <v>1.0E-4</v>
      </c>
      <c r="R1117" s="1">
        <v>90356.0</v>
      </c>
    </row>
    <row r="1118">
      <c r="A1118" s="663" t="s">
        <v>2351</v>
      </c>
      <c r="B1118" s="663" t="s">
        <v>180</v>
      </c>
      <c r="C1118" s="663" t="s">
        <v>54</v>
      </c>
      <c r="D1118" s="663" t="s">
        <v>599</v>
      </c>
      <c r="E1118" s="664" t="s">
        <v>14</v>
      </c>
      <c r="F1118" s="665">
        <v>15255.0</v>
      </c>
      <c r="G1118" s="665">
        <v>7678.0</v>
      </c>
      <c r="H1118" s="665">
        <v>50.33</v>
      </c>
      <c r="I1118" s="665">
        <v>21.7</v>
      </c>
      <c r="J1118" s="665">
        <v>19.14</v>
      </c>
      <c r="K1118" s="665">
        <v>10953.0</v>
      </c>
      <c r="L1118" s="665">
        <v>50478.0</v>
      </c>
      <c r="M1118" s="665">
        <v>0.72</v>
      </c>
      <c r="N1118" s="1">
        <v>1.4265</v>
      </c>
      <c r="O1118" s="1">
        <v>10953.0</v>
      </c>
      <c r="P1118" s="1">
        <v>50478.0</v>
      </c>
      <c r="Q1118" s="1">
        <v>0.718</v>
      </c>
      <c r="R1118" s="1">
        <v>90356.0</v>
      </c>
    </row>
    <row r="1119">
      <c r="A1119" s="663" t="s">
        <v>2351</v>
      </c>
      <c r="B1119" s="663" t="s">
        <v>180</v>
      </c>
      <c r="C1119" s="663" t="s">
        <v>54</v>
      </c>
      <c r="D1119" s="663" t="s">
        <v>599</v>
      </c>
      <c r="E1119" s="664" t="s">
        <v>9</v>
      </c>
      <c r="F1119" s="665">
        <v>15255.0</v>
      </c>
      <c r="G1119" s="665">
        <v>6939.0</v>
      </c>
      <c r="H1119" s="665">
        <v>45.49</v>
      </c>
      <c r="I1119" s="665">
        <v>18.11</v>
      </c>
      <c r="J1119" s="665">
        <v>15.71</v>
      </c>
      <c r="K1119" s="665">
        <v>9144.0</v>
      </c>
      <c r="L1119" s="665">
        <v>50478.0</v>
      </c>
      <c r="M1119" s="665">
        <v>0.6</v>
      </c>
      <c r="N1119" s="1">
        <v>1.3178</v>
      </c>
      <c r="O1119" s="1">
        <v>9144.0</v>
      </c>
      <c r="P1119" s="1">
        <v>50478.0</v>
      </c>
      <c r="Q1119" s="1">
        <v>0.5994</v>
      </c>
      <c r="R1119" s="1">
        <v>90356.0</v>
      </c>
    </row>
    <row r="1120">
      <c r="A1120" s="663" t="s">
        <v>2351</v>
      </c>
      <c r="B1120" s="663" t="s">
        <v>180</v>
      </c>
      <c r="C1120" s="663" t="s">
        <v>54</v>
      </c>
      <c r="D1120" s="663" t="s">
        <v>599</v>
      </c>
      <c r="E1120" s="664" t="s">
        <v>396</v>
      </c>
      <c r="F1120" s="665">
        <v>15255.0</v>
      </c>
      <c r="G1120" s="665">
        <v>7756.0</v>
      </c>
      <c r="H1120" s="665">
        <v>50.84</v>
      </c>
      <c r="I1120" s="665">
        <v>17.68</v>
      </c>
      <c r="J1120" s="665">
        <v>24.01</v>
      </c>
      <c r="K1120" s="665">
        <v>8925.0</v>
      </c>
      <c r="L1120" s="665">
        <v>50478.0</v>
      </c>
      <c r="M1120" s="665">
        <v>0.59</v>
      </c>
      <c r="N1120" s="1">
        <v>1.1507</v>
      </c>
      <c r="O1120" s="1">
        <v>8925.0</v>
      </c>
      <c r="P1120" s="1">
        <v>50478.0</v>
      </c>
      <c r="Q1120" s="1">
        <v>0.5851</v>
      </c>
      <c r="R1120" s="1">
        <v>90356.0</v>
      </c>
    </row>
    <row r="1121">
      <c r="A1121" s="663" t="s">
        <v>2351</v>
      </c>
      <c r="B1121" s="663" t="s">
        <v>180</v>
      </c>
      <c r="C1121" s="663" t="s">
        <v>54</v>
      </c>
      <c r="D1121" s="663" t="s">
        <v>599</v>
      </c>
      <c r="E1121" s="664" t="s">
        <v>16</v>
      </c>
      <c r="F1121" s="665">
        <v>15255.0</v>
      </c>
      <c r="G1121" s="665">
        <v>5101.0</v>
      </c>
      <c r="H1121" s="665">
        <v>33.44</v>
      </c>
      <c r="I1121" s="665">
        <v>15.75</v>
      </c>
      <c r="J1121" s="665">
        <v>15.5</v>
      </c>
      <c r="K1121" s="665">
        <v>7952.0</v>
      </c>
      <c r="L1121" s="665">
        <v>50478.0</v>
      </c>
      <c r="M1121" s="665">
        <v>0.52</v>
      </c>
      <c r="N1121" s="1">
        <v>1.5589</v>
      </c>
      <c r="O1121" s="1">
        <v>7952.0</v>
      </c>
      <c r="P1121" s="1">
        <v>50478.0</v>
      </c>
      <c r="Q1121" s="1">
        <v>0.5213</v>
      </c>
      <c r="R1121" s="1">
        <v>90356.0</v>
      </c>
    </row>
    <row r="1122">
      <c r="A1122" s="663" t="s">
        <v>2351</v>
      </c>
      <c r="B1122" s="663" t="s">
        <v>180</v>
      </c>
      <c r="C1122" s="663" t="s">
        <v>54</v>
      </c>
      <c r="D1122" s="663" t="s">
        <v>599</v>
      </c>
      <c r="E1122" s="664" t="s">
        <v>42</v>
      </c>
      <c r="F1122" s="665">
        <v>15255.0</v>
      </c>
      <c r="G1122" s="665">
        <v>3233.0</v>
      </c>
      <c r="H1122" s="665">
        <v>21.19</v>
      </c>
      <c r="I1122" s="665">
        <v>7.68</v>
      </c>
      <c r="J1122" s="665">
        <v>9.71</v>
      </c>
      <c r="K1122" s="665">
        <v>3877.0</v>
      </c>
      <c r="L1122" s="665">
        <v>50478.0</v>
      </c>
      <c r="M1122" s="665">
        <v>0.25</v>
      </c>
      <c r="N1122" s="1">
        <v>1.1992</v>
      </c>
      <c r="O1122" s="1">
        <v>3877.0</v>
      </c>
      <c r="P1122" s="1">
        <v>50478.0</v>
      </c>
      <c r="Q1122" s="1">
        <v>0.2541</v>
      </c>
      <c r="R1122" s="1">
        <v>90356.0</v>
      </c>
    </row>
    <row r="1123">
      <c r="A1123" s="663" t="s">
        <v>2351</v>
      </c>
      <c r="B1123" s="663" t="s">
        <v>180</v>
      </c>
      <c r="C1123" s="663" t="s">
        <v>54</v>
      </c>
      <c r="D1123" s="663" t="s">
        <v>599</v>
      </c>
      <c r="E1123" s="664" t="s">
        <v>15</v>
      </c>
      <c r="F1123" s="665">
        <v>15255.0</v>
      </c>
      <c r="G1123" s="665">
        <v>1578.0</v>
      </c>
      <c r="H1123" s="665">
        <v>10.34</v>
      </c>
      <c r="I1123" s="665">
        <v>4.95</v>
      </c>
      <c r="J1123" s="665">
        <v>4.77</v>
      </c>
      <c r="K1123" s="665">
        <v>2499.0</v>
      </c>
      <c r="L1123" s="665">
        <v>50478.0</v>
      </c>
      <c r="M1123" s="665">
        <v>0.16</v>
      </c>
      <c r="N1123" s="1">
        <v>1.5837</v>
      </c>
      <c r="O1123" s="1">
        <v>2499.0</v>
      </c>
      <c r="P1123" s="1">
        <v>50478.0</v>
      </c>
      <c r="Q1123" s="1">
        <v>0.1638</v>
      </c>
      <c r="R1123" s="1">
        <v>90356.0</v>
      </c>
    </row>
    <row r="1124">
      <c r="A1124" s="663" t="s">
        <v>2351</v>
      </c>
      <c r="B1124" s="663" t="s">
        <v>180</v>
      </c>
      <c r="C1124" s="663" t="s">
        <v>54</v>
      </c>
      <c r="D1124" s="663" t="s">
        <v>599</v>
      </c>
      <c r="E1124" s="664" t="s">
        <v>393</v>
      </c>
      <c r="F1124" s="665">
        <v>15255.0</v>
      </c>
      <c r="G1124" s="665">
        <v>1369.0</v>
      </c>
      <c r="H1124" s="665">
        <v>8.97</v>
      </c>
      <c r="I1124" s="665">
        <v>4.51</v>
      </c>
      <c r="J1124" s="665">
        <v>2.94</v>
      </c>
      <c r="K1124" s="665">
        <v>2277.0</v>
      </c>
      <c r="L1124" s="665">
        <v>50478.0</v>
      </c>
      <c r="M1124" s="665">
        <v>0.15</v>
      </c>
      <c r="N1124" s="1">
        <v>1.6633</v>
      </c>
      <c r="O1124" s="1">
        <v>2277.0</v>
      </c>
      <c r="P1124" s="1">
        <v>50478.0</v>
      </c>
      <c r="Q1124" s="1">
        <v>0.1493</v>
      </c>
      <c r="R1124" s="1">
        <v>90356.0</v>
      </c>
    </row>
    <row r="1125">
      <c r="A1125" s="663" t="s">
        <v>2351</v>
      </c>
      <c r="B1125" s="663" t="s">
        <v>180</v>
      </c>
      <c r="C1125" s="663" t="s">
        <v>54</v>
      </c>
      <c r="D1125" s="663" t="s">
        <v>599</v>
      </c>
      <c r="E1125" s="664" t="s">
        <v>411</v>
      </c>
      <c r="F1125" s="665">
        <v>15255.0</v>
      </c>
      <c r="G1125" s="665">
        <v>1200.0</v>
      </c>
      <c r="H1125" s="665">
        <v>7.87</v>
      </c>
      <c r="I1125" s="665">
        <v>2.56</v>
      </c>
      <c r="J1125" s="665">
        <v>2.02</v>
      </c>
      <c r="K1125" s="665">
        <v>1293.0</v>
      </c>
      <c r="L1125" s="665">
        <v>50478.0</v>
      </c>
      <c r="M1125" s="665">
        <v>0.08</v>
      </c>
      <c r="N1125" s="1">
        <v>1.0775</v>
      </c>
      <c r="O1125" s="1">
        <v>1293.0</v>
      </c>
      <c r="P1125" s="1">
        <v>50478.0</v>
      </c>
      <c r="Q1125" s="1">
        <v>0.0848</v>
      </c>
      <c r="R1125" s="1">
        <v>90356.0</v>
      </c>
    </row>
    <row r="1126">
      <c r="A1126" s="663" t="s">
        <v>2351</v>
      </c>
      <c r="B1126" s="663" t="s">
        <v>180</v>
      </c>
      <c r="C1126" s="663" t="s">
        <v>54</v>
      </c>
      <c r="D1126" s="663" t="s">
        <v>599</v>
      </c>
      <c r="E1126" s="664" t="s">
        <v>63</v>
      </c>
      <c r="F1126" s="665">
        <v>15255.0</v>
      </c>
      <c r="G1126" s="665">
        <v>1039.0</v>
      </c>
      <c r="H1126" s="665">
        <v>6.81</v>
      </c>
      <c r="I1126" s="665">
        <v>2.29</v>
      </c>
      <c r="J1126" s="665">
        <v>1.94</v>
      </c>
      <c r="K1126" s="665">
        <v>1158.0</v>
      </c>
      <c r="L1126" s="665">
        <v>50478.0</v>
      </c>
      <c r="M1126" s="665">
        <v>0.08</v>
      </c>
      <c r="N1126" s="1">
        <v>1.1145</v>
      </c>
      <c r="O1126" s="1">
        <v>1158.0</v>
      </c>
      <c r="P1126" s="1">
        <v>50478.0</v>
      </c>
      <c r="Q1126" s="1">
        <v>0.0759</v>
      </c>
      <c r="R1126" s="1">
        <v>90356.0</v>
      </c>
    </row>
    <row r="1127">
      <c r="A1127" s="663" t="s">
        <v>2351</v>
      </c>
      <c r="B1127" s="663" t="s">
        <v>180</v>
      </c>
      <c r="C1127" s="663" t="s">
        <v>54</v>
      </c>
      <c r="D1127" s="663" t="s">
        <v>599</v>
      </c>
      <c r="E1127" s="664" t="s">
        <v>397</v>
      </c>
      <c r="F1127" s="665">
        <v>15255.0</v>
      </c>
      <c r="G1127" s="665">
        <v>813.0</v>
      </c>
      <c r="H1127" s="665">
        <v>5.33</v>
      </c>
      <c r="I1127" s="665">
        <v>1.65</v>
      </c>
      <c r="J1127" s="665">
        <v>1.1</v>
      </c>
      <c r="K1127" s="665">
        <v>835.0</v>
      </c>
      <c r="L1127" s="665">
        <v>50478.0</v>
      </c>
      <c r="M1127" s="665">
        <v>0.05</v>
      </c>
      <c r="N1127" s="1">
        <v>1.0271</v>
      </c>
      <c r="O1127" s="1">
        <v>835.0</v>
      </c>
      <c r="P1127" s="1">
        <v>50478.0</v>
      </c>
      <c r="Q1127" s="1">
        <v>0.0547</v>
      </c>
      <c r="R1127" s="1">
        <v>90356.0</v>
      </c>
    </row>
    <row r="1128">
      <c r="A1128" s="663" t="s">
        <v>2351</v>
      </c>
      <c r="B1128" s="663" t="s">
        <v>180</v>
      </c>
      <c r="C1128" s="663" t="s">
        <v>54</v>
      </c>
      <c r="D1128" s="663" t="s">
        <v>599</v>
      </c>
      <c r="E1128" s="664" t="s">
        <v>338</v>
      </c>
      <c r="F1128" s="665">
        <v>15255.0</v>
      </c>
      <c r="G1128" s="665">
        <v>411.0</v>
      </c>
      <c r="H1128" s="665">
        <v>2.69</v>
      </c>
      <c r="I1128" s="665">
        <v>0.86</v>
      </c>
      <c r="J1128" s="665">
        <v>0.74</v>
      </c>
      <c r="K1128" s="665">
        <v>432.0</v>
      </c>
      <c r="L1128" s="665">
        <v>50478.0</v>
      </c>
      <c r="M1128" s="665">
        <v>0.03</v>
      </c>
      <c r="N1128" s="1">
        <v>1.0511</v>
      </c>
      <c r="O1128" s="1">
        <v>432.0</v>
      </c>
      <c r="P1128" s="1">
        <v>50478.0</v>
      </c>
      <c r="Q1128" s="1">
        <v>0.0283</v>
      </c>
      <c r="R1128" s="1">
        <v>90356.0</v>
      </c>
    </row>
    <row r="1129">
      <c r="A1129" s="663" t="s">
        <v>2351</v>
      </c>
      <c r="B1129" s="663" t="s">
        <v>180</v>
      </c>
      <c r="C1129" s="663" t="s">
        <v>54</v>
      </c>
      <c r="D1129" s="663" t="s">
        <v>599</v>
      </c>
      <c r="E1129" s="664" t="s">
        <v>329</v>
      </c>
      <c r="F1129" s="665">
        <v>15255.0</v>
      </c>
      <c r="G1129" s="665">
        <v>379.0</v>
      </c>
      <c r="H1129" s="665">
        <v>2.48</v>
      </c>
      <c r="I1129" s="665">
        <v>0.8</v>
      </c>
      <c r="J1129" s="665">
        <v>0.77</v>
      </c>
      <c r="K1129" s="665">
        <v>405.0</v>
      </c>
      <c r="L1129" s="665">
        <v>50478.0</v>
      </c>
      <c r="M1129" s="665">
        <v>0.03</v>
      </c>
      <c r="N1129" s="1">
        <v>1.0686</v>
      </c>
      <c r="O1129" s="1">
        <v>405.0</v>
      </c>
      <c r="P1129" s="1">
        <v>50478.0</v>
      </c>
      <c r="Q1129" s="1">
        <v>0.0265</v>
      </c>
      <c r="R1129" s="1">
        <v>90356.0</v>
      </c>
    </row>
    <row r="1130">
      <c r="A1130" s="663" t="s">
        <v>2351</v>
      </c>
      <c r="B1130" s="663" t="s">
        <v>180</v>
      </c>
      <c r="C1130" s="663" t="s">
        <v>54</v>
      </c>
      <c r="D1130" s="663" t="s">
        <v>599</v>
      </c>
      <c r="E1130" s="664" t="s">
        <v>341</v>
      </c>
      <c r="F1130" s="665">
        <v>15255.0</v>
      </c>
      <c r="G1130" s="665">
        <v>374.0</v>
      </c>
      <c r="H1130" s="665">
        <v>2.45</v>
      </c>
      <c r="I1130" s="665">
        <v>0.78</v>
      </c>
      <c r="J1130" s="665">
        <v>0.66</v>
      </c>
      <c r="K1130" s="665">
        <v>396.0</v>
      </c>
      <c r="L1130" s="665">
        <v>50478.0</v>
      </c>
      <c r="M1130" s="665">
        <v>0.03</v>
      </c>
      <c r="N1130" s="1">
        <v>1.0588</v>
      </c>
      <c r="O1130" s="1">
        <v>396.0</v>
      </c>
      <c r="P1130" s="1">
        <v>50478.0</v>
      </c>
      <c r="Q1130" s="1">
        <v>0.026</v>
      </c>
      <c r="R1130" s="1">
        <v>90356.0</v>
      </c>
    </row>
    <row r="1131">
      <c r="A1131" s="663" t="s">
        <v>2351</v>
      </c>
      <c r="B1131" s="663" t="s">
        <v>180</v>
      </c>
      <c r="C1131" s="663" t="s">
        <v>54</v>
      </c>
      <c r="D1131" s="663" t="s">
        <v>599</v>
      </c>
      <c r="E1131" s="664" t="s">
        <v>418</v>
      </c>
      <c r="F1131" s="665">
        <v>15255.0</v>
      </c>
      <c r="G1131" s="665">
        <v>146.0</v>
      </c>
      <c r="H1131" s="665">
        <v>0.96</v>
      </c>
      <c r="I1131" s="665">
        <v>0.35</v>
      </c>
      <c r="J1131" s="665">
        <v>0.79</v>
      </c>
      <c r="K1131" s="665">
        <v>178.0</v>
      </c>
      <c r="L1131" s="665">
        <v>50478.0</v>
      </c>
      <c r="M1131" s="665">
        <v>0.01</v>
      </c>
      <c r="N1131" s="1">
        <v>1.2192</v>
      </c>
      <c r="O1131" s="1">
        <v>178.0</v>
      </c>
      <c r="P1131" s="1">
        <v>50478.0</v>
      </c>
      <c r="Q1131" s="1">
        <v>0.0117</v>
      </c>
      <c r="R1131" s="1">
        <v>90356.0</v>
      </c>
    </row>
    <row r="1132">
      <c r="A1132" s="663" t="s">
        <v>2351</v>
      </c>
      <c r="B1132" s="663" t="s">
        <v>180</v>
      </c>
      <c r="C1132" s="663" t="s">
        <v>54</v>
      </c>
      <c r="D1132" s="663" t="s">
        <v>599</v>
      </c>
      <c r="E1132" s="664" t="s">
        <v>398</v>
      </c>
      <c r="F1132" s="665">
        <v>15255.0</v>
      </c>
      <c r="G1132" s="665">
        <v>70.0</v>
      </c>
      <c r="H1132" s="665">
        <v>0.46</v>
      </c>
      <c r="I1132" s="665">
        <v>0.16</v>
      </c>
      <c r="J1132" s="665">
        <v>0.08</v>
      </c>
      <c r="K1132" s="665">
        <v>83.0</v>
      </c>
      <c r="L1132" s="665">
        <v>50478.0</v>
      </c>
      <c r="M1132" s="665">
        <v>0.01</v>
      </c>
      <c r="N1132" s="1">
        <v>1.1857</v>
      </c>
      <c r="O1132" s="1">
        <v>83.0</v>
      </c>
      <c r="P1132" s="1">
        <v>50478.0</v>
      </c>
      <c r="Q1132" s="1">
        <v>0.0054</v>
      </c>
      <c r="R1132" s="1">
        <v>90356.0</v>
      </c>
    </row>
    <row r="1133">
      <c r="A1133" s="663" t="s">
        <v>2351</v>
      </c>
      <c r="B1133" s="663" t="s">
        <v>180</v>
      </c>
      <c r="C1133" s="663" t="s">
        <v>54</v>
      </c>
      <c r="D1133" s="663" t="s">
        <v>599</v>
      </c>
      <c r="E1133" s="664" t="s">
        <v>7</v>
      </c>
      <c r="F1133" s="665">
        <v>15255.0</v>
      </c>
      <c r="G1133" s="665">
        <v>43.0</v>
      </c>
      <c r="H1133" s="665">
        <v>0.28</v>
      </c>
      <c r="I1133" s="665">
        <v>0.09</v>
      </c>
      <c r="J1133" s="665">
        <v>0.08</v>
      </c>
      <c r="K1133" s="665">
        <v>46.0</v>
      </c>
      <c r="L1133" s="665">
        <v>50478.0</v>
      </c>
      <c r="M1133" s="665">
        <v>0.0</v>
      </c>
      <c r="N1133" s="1">
        <v>1.0698</v>
      </c>
      <c r="O1133" s="1">
        <v>46.0</v>
      </c>
      <c r="P1133" s="1">
        <v>50478.0</v>
      </c>
      <c r="Q1133" s="1">
        <v>0.003</v>
      </c>
      <c r="R1133" s="1">
        <v>90356.0</v>
      </c>
    </row>
    <row r="1134">
      <c r="A1134" s="663" t="s">
        <v>2351</v>
      </c>
      <c r="B1134" s="663" t="s">
        <v>180</v>
      </c>
      <c r="C1134" s="663" t="s">
        <v>54</v>
      </c>
      <c r="D1134" s="663" t="s">
        <v>599</v>
      </c>
      <c r="E1134" s="664" t="s">
        <v>401</v>
      </c>
      <c r="F1134" s="665">
        <v>15255.0</v>
      </c>
      <c r="G1134" s="665">
        <v>13.0</v>
      </c>
      <c r="H1134" s="665">
        <v>0.09</v>
      </c>
      <c r="I1134" s="665">
        <v>0.03</v>
      </c>
      <c r="J1134" s="665">
        <v>0.01</v>
      </c>
      <c r="K1134" s="665">
        <v>14.0</v>
      </c>
      <c r="L1134" s="665">
        <v>50478.0</v>
      </c>
      <c r="M1134" s="665">
        <v>0.0</v>
      </c>
      <c r="N1134" s="1">
        <v>1.0769</v>
      </c>
      <c r="O1134" s="1">
        <v>14.0</v>
      </c>
      <c r="P1134" s="1">
        <v>50478.0</v>
      </c>
      <c r="Q1134" s="1">
        <v>9.0E-4</v>
      </c>
      <c r="R1134" s="1">
        <v>90356.0</v>
      </c>
    </row>
    <row r="1135">
      <c r="A1135" s="663" t="s">
        <v>2351</v>
      </c>
      <c r="B1135" s="663" t="s">
        <v>180</v>
      </c>
      <c r="C1135" s="663" t="s">
        <v>54</v>
      </c>
      <c r="D1135" s="663" t="s">
        <v>599</v>
      </c>
      <c r="E1135" s="664" t="s">
        <v>206</v>
      </c>
      <c r="F1135" s="665">
        <v>15255.0</v>
      </c>
      <c r="G1135" s="665">
        <v>5.0</v>
      </c>
      <c r="H1135" s="665">
        <v>0.03</v>
      </c>
      <c r="I1135" s="665">
        <v>0.01</v>
      </c>
      <c r="J1135" s="665">
        <v>0.0</v>
      </c>
      <c r="K1135" s="665">
        <v>5.0</v>
      </c>
      <c r="L1135" s="665">
        <v>50478.0</v>
      </c>
      <c r="M1135" s="665">
        <v>0.0</v>
      </c>
      <c r="N1135" s="1">
        <v>1.0</v>
      </c>
      <c r="O1135" s="1">
        <v>5.0</v>
      </c>
      <c r="P1135" s="1">
        <v>50478.0</v>
      </c>
      <c r="Q1135" s="1">
        <v>3.0E-4</v>
      </c>
      <c r="R1135" s="1">
        <v>90356.0</v>
      </c>
    </row>
    <row r="1136">
      <c r="A1136" s="663" t="s">
        <v>2351</v>
      </c>
      <c r="B1136" s="663" t="s">
        <v>180</v>
      </c>
      <c r="C1136" s="663" t="s">
        <v>54</v>
      </c>
      <c r="D1136" s="663" t="s">
        <v>599</v>
      </c>
      <c r="E1136" s="664" t="s">
        <v>151</v>
      </c>
      <c r="F1136" s="665">
        <v>15255.0</v>
      </c>
      <c r="G1136" s="665">
        <v>5.0</v>
      </c>
      <c r="H1136" s="665">
        <v>0.03</v>
      </c>
      <c r="I1136" s="665">
        <v>0.01</v>
      </c>
      <c r="J1136" s="665">
        <v>0.03</v>
      </c>
      <c r="K1136" s="665">
        <v>5.0</v>
      </c>
      <c r="L1136" s="665">
        <v>50478.0</v>
      </c>
      <c r="M1136" s="665">
        <v>0.0</v>
      </c>
      <c r="N1136" s="1">
        <v>1.0</v>
      </c>
      <c r="O1136" s="1">
        <v>5.0</v>
      </c>
      <c r="P1136" s="1">
        <v>50478.0</v>
      </c>
      <c r="Q1136" s="1">
        <v>3.0E-4</v>
      </c>
      <c r="R1136" s="1">
        <v>90356.0</v>
      </c>
    </row>
    <row r="1137">
      <c r="A1137" s="663" t="s">
        <v>2351</v>
      </c>
      <c r="B1137" s="663" t="s">
        <v>180</v>
      </c>
      <c r="C1137" s="663" t="s">
        <v>54</v>
      </c>
      <c r="D1137" s="663" t="s">
        <v>599</v>
      </c>
      <c r="E1137" s="664" t="s">
        <v>413</v>
      </c>
      <c r="F1137" s="665">
        <v>15255.0</v>
      </c>
      <c r="G1137" s="665">
        <v>1.0</v>
      </c>
      <c r="H1137" s="665">
        <v>0.01</v>
      </c>
      <c r="I1137" s="665">
        <v>0.0</v>
      </c>
      <c r="J1137" s="665">
        <v>0.0</v>
      </c>
      <c r="K1137" s="665">
        <v>1.0</v>
      </c>
      <c r="L1137" s="665">
        <v>50478.0</v>
      </c>
      <c r="M1137" s="665">
        <v>0.0</v>
      </c>
      <c r="N1137" s="1">
        <v>1.0</v>
      </c>
      <c r="O1137" s="1">
        <v>1.0</v>
      </c>
      <c r="P1137" s="1">
        <v>50478.0</v>
      </c>
      <c r="Q1137" s="1">
        <v>1.0E-4</v>
      </c>
      <c r="R1137" s="1">
        <v>90356.0</v>
      </c>
    </row>
    <row r="1138">
      <c r="A1138" s="663" t="s">
        <v>2351</v>
      </c>
      <c r="B1138" s="663" t="s">
        <v>180</v>
      </c>
      <c r="C1138" s="663" t="s">
        <v>1205</v>
      </c>
      <c r="D1138" s="663" t="s">
        <v>1205</v>
      </c>
      <c r="E1138" s="664" t="s">
        <v>396</v>
      </c>
      <c r="F1138" s="665">
        <v>31087.0</v>
      </c>
      <c r="G1138" s="665">
        <v>27028.0</v>
      </c>
      <c r="H1138" s="665">
        <v>86.94</v>
      </c>
      <c r="I1138" s="665">
        <v>26.67</v>
      </c>
      <c r="J1138" s="665">
        <v>40.28</v>
      </c>
      <c r="K1138" s="665">
        <v>3198330.0</v>
      </c>
      <c r="L1138" s="665">
        <v>1.199093833E7</v>
      </c>
      <c r="M1138" s="665">
        <v>102.88</v>
      </c>
      <c r="N1138" s="1">
        <v>118.3339</v>
      </c>
      <c r="O1138" s="1">
        <v>3198330.0</v>
      </c>
      <c r="P1138" s="1">
        <v>1.2115371E7</v>
      </c>
      <c r="Q1138" s="1">
        <v>102.8832</v>
      </c>
      <c r="R1138" s="1">
        <v>90356.0</v>
      </c>
    </row>
    <row r="1139">
      <c r="A1139" s="663" t="s">
        <v>2351</v>
      </c>
      <c r="B1139" s="663" t="s">
        <v>180</v>
      </c>
      <c r="C1139" s="663" t="s">
        <v>1205</v>
      </c>
      <c r="D1139" s="663" t="s">
        <v>1205</v>
      </c>
      <c r="E1139" s="664" t="s">
        <v>398</v>
      </c>
      <c r="F1139" s="665">
        <v>31087.0</v>
      </c>
      <c r="G1139" s="665">
        <v>12650.0</v>
      </c>
      <c r="H1139" s="665">
        <v>40.69</v>
      </c>
      <c r="I1139" s="665">
        <v>15.55</v>
      </c>
      <c r="J1139" s="665">
        <v>8.11</v>
      </c>
      <c r="K1139" s="665">
        <v>1865040.0</v>
      </c>
      <c r="L1139" s="665">
        <v>1.199093833E7</v>
      </c>
      <c r="M1139" s="665">
        <v>59.99</v>
      </c>
      <c r="N1139" s="1">
        <v>147.434</v>
      </c>
      <c r="O1139" s="1">
        <v>1865040.0</v>
      </c>
      <c r="P1139" s="1">
        <v>1.2115371E7</v>
      </c>
      <c r="Q1139" s="1">
        <v>59.9942</v>
      </c>
      <c r="R1139" s="1">
        <v>90356.0</v>
      </c>
    </row>
    <row r="1140">
      <c r="A1140" s="663" t="s">
        <v>2351</v>
      </c>
      <c r="B1140" s="663" t="s">
        <v>180</v>
      </c>
      <c r="C1140" s="663" t="s">
        <v>1205</v>
      </c>
      <c r="D1140" s="663" t="s">
        <v>1205</v>
      </c>
      <c r="E1140" s="664" t="s">
        <v>418</v>
      </c>
      <c r="F1140" s="665">
        <v>31087.0</v>
      </c>
      <c r="G1140" s="665">
        <v>28159.0</v>
      </c>
      <c r="H1140" s="665">
        <v>90.58</v>
      </c>
      <c r="I1140" s="665">
        <v>11.46</v>
      </c>
      <c r="J1140" s="665">
        <v>14.81</v>
      </c>
      <c r="K1140" s="665">
        <v>1373675.0</v>
      </c>
      <c r="L1140" s="665">
        <v>1.199093833E7</v>
      </c>
      <c r="M1140" s="665">
        <v>44.19</v>
      </c>
      <c r="N1140" s="1">
        <v>48.7828</v>
      </c>
      <c r="O1140" s="1">
        <v>1373675.0</v>
      </c>
      <c r="P1140" s="1">
        <v>1.2115371E7</v>
      </c>
      <c r="Q1140" s="1">
        <v>44.1881</v>
      </c>
      <c r="R1140" s="1">
        <v>90356.0</v>
      </c>
    </row>
    <row r="1141">
      <c r="A1141" s="663" t="s">
        <v>2351</v>
      </c>
      <c r="B1141" s="663" t="s">
        <v>180</v>
      </c>
      <c r="C1141" s="663" t="s">
        <v>1205</v>
      </c>
      <c r="D1141" s="663" t="s">
        <v>1205</v>
      </c>
      <c r="E1141" s="664" t="s">
        <v>397</v>
      </c>
      <c r="F1141" s="665">
        <v>31087.0</v>
      </c>
      <c r="G1141" s="665">
        <v>24241.0</v>
      </c>
      <c r="H1141" s="665">
        <v>77.98</v>
      </c>
      <c r="I1141" s="665">
        <v>8.45</v>
      </c>
      <c r="J1141" s="665">
        <v>9.64</v>
      </c>
      <c r="K1141" s="665">
        <v>1013400.0</v>
      </c>
      <c r="L1141" s="665">
        <v>1.199093833E7</v>
      </c>
      <c r="M1141" s="665">
        <v>32.6</v>
      </c>
      <c r="N1141" s="1">
        <v>41.8052</v>
      </c>
      <c r="O1141" s="1">
        <v>1013400.0</v>
      </c>
      <c r="P1141" s="1">
        <v>1.2115371E7</v>
      </c>
      <c r="Q1141" s="1">
        <v>32.5988</v>
      </c>
      <c r="R1141" s="1">
        <v>90356.0</v>
      </c>
    </row>
    <row r="1142">
      <c r="A1142" s="663" t="s">
        <v>2351</v>
      </c>
      <c r="B1142" s="663" t="s">
        <v>180</v>
      </c>
      <c r="C1142" s="663" t="s">
        <v>1205</v>
      </c>
      <c r="D1142" s="663" t="s">
        <v>1205</v>
      </c>
      <c r="E1142" s="664" t="s">
        <v>15</v>
      </c>
      <c r="F1142" s="665">
        <v>31087.0</v>
      </c>
      <c r="G1142" s="665">
        <v>4804.0</v>
      </c>
      <c r="H1142" s="665">
        <v>15.45</v>
      </c>
      <c r="I1142" s="665">
        <v>6.01</v>
      </c>
      <c r="J1142" s="665">
        <v>3.33</v>
      </c>
      <c r="K1142" s="665">
        <v>720590.0</v>
      </c>
      <c r="L1142" s="665">
        <v>1.199093833E7</v>
      </c>
      <c r="M1142" s="665">
        <v>23.18</v>
      </c>
      <c r="N1142" s="1">
        <v>149.9979</v>
      </c>
      <c r="O1142" s="1">
        <v>720590.0</v>
      </c>
      <c r="P1142" s="1">
        <v>1.2115371E7</v>
      </c>
      <c r="Q1142" s="1">
        <v>23.1798</v>
      </c>
      <c r="R1142" s="1">
        <v>90356.0</v>
      </c>
    </row>
    <row r="1143">
      <c r="A1143" s="663" t="s">
        <v>2351</v>
      </c>
      <c r="B1143" s="663" t="s">
        <v>180</v>
      </c>
      <c r="C1143" s="663" t="s">
        <v>1205</v>
      </c>
      <c r="D1143" s="663" t="s">
        <v>1205</v>
      </c>
      <c r="E1143" s="664" t="s">
        <v>16</v>
      </c>
      <c r="F1143" s="665">
        <v>31087.0</v>
      </c>
      <c r="G1143" s="665">
        <v>5099.0</v>
      </c>
      <c r="H1143" s="665">
        <v>16.4</v>
      </c>
      <c r="I1143" s="665">
        <v>4.86</v>
      </c>
      <c r="J1143" s="665">
        <v>3.45</v>
      </c>
      <c r="K1143" s="665">
        <v>583145.0</v>
      </c>
      <c r="L1143" s="665">
        <v>1.199093833E7</v>
      </c>
      <c r="M1143" s="665">
        <v>18.76</v>
      </c>
      <c r="N1143" s="1">
        <v>114.3646</v>
      </c>
      <c r="O1143" s="1">
        <v>583145.0</v>
      </c>
      <c r="P1143" s="1">
        <v>1.2115371E7</v>
      </c>
      <c r="Q1143" s="1">
        <v>18.7585</v>
      </c>
      <c r="R1143" s="1">
        <v>90356.0</v>
      </c>
    </row>
    <row r="1144">
      <c r="A1144" s="663" t="s">
        <v>2351</v>
      </c>
      <c r="B1144" s="663" t="s">
        <v>180</v>
      </c>
      <c r="C1144" s="663" t="s">
        <v>1205</v>
      </c>
      <c r="D1144" s="663" t="s">
        <v>1205</v>
      </c>
      <c r="E1144" s="664" t="s">
        <v>14</v>
      </c>
      <c r="F1144" s="665">
        <v>31087.0</v>
      </c>
      <c r="G1144" s="665">
        <v>15510.0</v>
      </c>
      <c r="H1144" s="665">
        <v>49.89</v>
      </c>
      <c r="I1144" s="665">
        <v>4.21</v>
      </c>
      <c r="J1144" s="665">
        <v>4.5</v>
      </c>
      <c r="K1144" s="665">
        <v>504997.33</v>
      </c>
      <c r="L1144" s="665">
        <v>1.199093833E7</v>
      </c>
      <c r="M1144" s="665">
        <v>16.24</v>
      </c>
      <c r="N1144" s="1">
        <v>32.5595</v>
      </c>
      <c r="O1144" s="1">
        <v>629430.0</v>
      </c>
      <c r="P1144" s="1">
        <v>1.2115371E7</v>
      </c>
      <c r="Q1144" s="1">
        <v>20.2474</v>
      </c>
      <c r="R1144" s="1">
        <v>90356.0</v>
      </c>
    </row>
    <row r="1145">
      <c r="A1145" s="663" t="s">
        <v>2351</v>
      </c>
      <c r="B1145" s="663" t="s">
        <v>180</v>
      </c>
      <c r="C1145" s="663" t="s">
        <v>1205</v>
      </c>
      <c r="D1145" s="663" t="s">
        <v>1205</v>
      </c>
      <c r="E1145" s="664" t="s">
        <v>413</v>
      </c>
      <c r="F1145" s="665">
        <v>31087.0</v>
      </c>
      <c r="G1145" s="665">
        <v>12222.0</v>
      </c>
      <c r="H1145" s="665">
        <v>39.32</v>
      </c>
      <c r="I1145" s="665">
        <v>3.65</v>
      </c>
      <c r="J1145" s="665">
        <v>3.6</v>
      </c>
      <c r="K1145" s="665">
        <v>437980.0</v>
      </c>
      <c r="L1145" s="665">
        <v>1.199093833E7</v>
      </c>
      <c r="M1145" s="665">
        <v>14.09</v>
      </c>
      <c r="N1145" s="1">
        <v>35.8354</v>
      </c>
      <c r="O1145" s="1">
        <v>437980.0</v>
      </c>
      <c r="P1145" s="1">
        <v>1.2115371E7</v>
      </c>
      <c r="Q1145" s="1">
        <v>14.0888</v>
      </c>
      <c r="R1145" s="1">
        <v>90356.0</v>
      </c>
    </row>
    <row r="1146">
      <c r="A1146" s="663" t="s">
        <v>2351</v>
      </c>
      <c r="B1146" s="663" t="s">
        <v>180</v>
      </c>
      <c r="C1146" s="663" t="s">
        <v>1205</v>
      </c>
      <c r="D1146" s="663" t="s">
        <v>1205</v>
      </c>
      <c r="E1146" s="664" t="s">
        <v>42</v>
      </c>
      <c r="F1146" s="665">
        <v>31087.0</v>
      </c>
      <c r="G1146" s="665">
        <v>7627.0</v>
      </c>
      <c r="H1146" s="665">
        <v>24.53</v>
      </c>
      <c r="I1146" s="665">
        <v>2.86</v>
      </c>
      <c r="J1146" s="665">
        <v>2.43</v>
      </c>
      <c r="K1146" s="665">
        <v>342520.0</v>
      </c>
      <c r="L1146" s="665">
        <v>1.199093833E7</v>
      </c>
      <c r="M1146" s="665">
        <v>11.02</v>
      </c>
      <c r="N1146" s="1">
        <v>44.9089</v>
      </c>
      <c r="O1146" s="1">
        <v>342520.0</v>
      </c>
      <c r="P1146" s="1">
        <v>1.2115371E7</v>
      </c>
      <c r="Q1146" s="1">
        <v>11.0181</v>
      </c>
      <c r="R1146" s="1">
        <v>90356.0</v>
      </c>
    </row>
    <row r="1147">
      <c r="A1147" s="663" t="s">
        <v>2351</v>
      </c>
      <c r="B1147" s="663" t="s">
        <v>180</v>
      </c>
      <c r="C1147" s="663" t="s">
        <v>1205</v>
      </c>
      <c r="D1147" s="663" t="s">
        <v>1205</v>
      </c>
      <c r="E1147" s="664" t="s">
        <v>411</v>
      </c>
      <c r="F1147" s="665">
        <v>31087.0</v>
      </c>
      <c r="G1147" s="665">
        <v>5700.0</v>
      </c>
      <c r="H1147" s="665">
        <v>18.34</v>
      </c>
      <c r="I1147" s="665">
        <v>2.8</v>
      </c>
      <c r="J1147" s="665">
        <v>1.71</v>
      </c>
      <c r="K1147" s="665">
        <v>336041.0</v>
      </c>
      <c r="L1147" s="665">
        <v>1.199093833E7</v>
      </c>
      <c r="M1147" s="665">
        <v>10.81</v>
      </c>
      <c r="N1147" s="1">
        <v>58.9546</v>
      </c>
      <c r="O1147" s="1">
        <v>336041.0</v>
      </c>
      <c r="P1147" s="1">
        <v>1.2115371E7</v>
      </c>
      <c r="Q1147" s="1">
        <v>10.8097</v>
      </c>
      <c r="R1147" s="1">
        <v>90356.0</v>
      </c>
    </row>
    <row r="1148">
      <c r="A1148" s="663" t="s">
        <v>2351</v>
      </c>
      <c r="B1148" s="663" t="s">
        <v>180</v>
      </c>
      <c r="C1148" s="663" t="s">
        <v>1205</v>
      </c>
      <c r="D1148" s="663" t="s">
        <v>1205</v>
      </c>
      <c r="E1148" s="664" t="s">
        <v>9</v>
      </c>
      <c r="F1148" s="665">
        <v>31087.0</v>
      </c>
      <c r="G1148" s="665">
        <v>10554.0</v>
      </c>
      <c r="H1148" s="665">
        <v>33.95</v>
      </c>
      <c r="I1148" s="665">
        <v>2.77</v>
      </c>
      <c r="J1148" s="665">
        <v>2.01</v>
      </c>
      <c r="K1148" s="665">
        <v>332410.0</v>
      </c>
      <c r="L1148" s="665">
        <v>1.199093833E7</v>
      </c>
      <c r="M1148" s="665">
        <v>10.69</v>
      </c>
      <c r="N1148" s="1">
        <v>31.4961</v>
      </c>
      <c r="O1148" s="1">
        <v>332410.0</v>
      </c>
      <c r="P1148" s="1">
        <v>1.2115371E7</v>
      </c>
      <c r="Q1148" s="1">
        <v>10.6929</v>
      </c>
      <c r="R1148" s="1">
        <v>90356.0</v>
      </c>
    </row>
    <row r="1149">
      <c r="A1149" s="663" t="s">
        <v>2351</v>
      </c>
      <c r="B1149" s="663" t="s">
        <v>180</v>
      </c>
      <c r="C1149" s="663" t="s">
        <v>1205</v>
      </c>
      <c r="D1149" s="663" t="s">
        <v>1205</v>
      </c>
      <c r="E1149" s="664" t="s">
        <v>63</v>
      </c>
      <c r="F1149" s="665">
        <v>31087.0</v>
      </c>
      <c r="G1149" s="665">
        <v>3572.0</v>
      </c>
      <c r="H1149" s="665">
        <v>11.49</v>
      </c>
      <c r="I1149" s="665">
        <v>2.11</v>
      </c>
      <c r="J1149" s="665">
        <v>1.16</v>
      </c>
      <c r="K1149" s="665">
        <v>252950.0</v>
      </c>
      <c r="L1149" s="665">
        <v>1.199093833E7</v>
      </c>
      <c r="M1149" s="665">
        <v>8.14</v>
      </c>
      <c r="N1149" s="1">
        <v>70.8147</v>
      </c>
      <c r="O1149" s="1">
        <v>252950.0</v>
      </c>
      <c r="P1149" s="1">
        <v>1.2115371E7</v>
      </c>
      <c r="Q1149" s="1">
        <v>8.1368</v>
      </c>
      <c r="R1149" s="1">
        <v>90356.0</v>
      </c>
    </row>
    <row r="1150">
      <c r="A1150" s="663" t="s">
        <v>2351</v>
      </c>
      <c r="B1150" s="663" t="s">
        <v>180</v>
      </c>
      <c r="C1150" s="663" t="s">
        <v>1205</v>
      </c>
      <c r="D1150" s="663" t="s">
        <v>1205</v>
      </c>
      <c r="E1150" s="664" t="s">
        <v>393</v>
      </c>
      <c r="F1150" s="665">
        <v>31087.0</v>
      </c>
      <c r="G1150" s="665">
        <v>4512.0</v>
      </c>
      <c r="H1150" s="665">
        <v>14.51</v>
      </c>
      <c r="I1150" s="665">
        <v>1.91</v>
      </c>
      <c r="J1150" s="665">
        <v>1.16</v>
      </c>
      <c r="K1150" s="665">
        <v>228845.0</v>
      </c>
      <c r="L1150" s="665">
        <v>1.199093833E7</v>
      </c>
      <c r="M1150" s="665">
        <v>7.36</v>
      </c>
      <c r="N1150" s="1">
        <v>50.7192</v>
      </c>
      <c r="O1150" s="1">
        <v>228845.0</v>
      </c>
      <c r="P1150" s="1">
        <v>1.2115371E7</v>
      </c>
      <c r="Q1150" s="1">
        <v>7.3614</v>
      </c>
      <c r="R1150" s="1">
        <v>90356.0</v>
      </c>
    </row>
    <row r="1151">
      <c r="A1151" s="663" t="s">
        <v>2351</v>
      </c>
      <c r="B1151" s="663" t="s">
        <v>180</v>
      </c>
      <c r="C1151" s="663" t="s">
        <v>1205</v>
      </c>
      <c r="D1151" s="663" t="s">
        <v>1205</v>
      </c>
      <c r="E1151" s="664" t="s">
        <v>338</v>
      </c>
      <c r="F1151" s="665">
        <v>31087.0</v>
      </c>
      <c r="G1151" s="665">
        <v>1631.0</v>
      </c>
      <c r="H1151" s="665">
        <v>5.25</v>
      </c>
      <c r="I1151" s="665">
        <v>1.56</v>
      </c>
      <c r="J1151" s="665">
        <v>0.8</v>
      </c>
      <c r="K1151" s="665">
        <v>186850.0</v>
      </c>
      <c r="L1151" s="665">
        <v>1.199093833E7</v>
      </c>
      <c r="M1151" s="665">
        <v>6.01</v>
      </c>
      <c r="N1151" s="1">
        <v>114.5616</v>
      </c>
      <c r="O1151" s="1">
        <v>186850.0</v>
      </c>
      <c r="P1151" s="1">
        <v>1.2115371E7</v>
      </c>
      <c r="Q1151" s="1">
        <v>6.0106</v>
      </c>
      <c r="R1151" s="1">
        <v>90356.0</v>
      </c>
    </row>
    <row r="1152">
      <c r="A1152" s="663" t="s">
        <v>2351</v>
      </c>
      <c r="B1152" s="663" t="s">
        <v>180</v>
      </c>
      <c r="C1152" s="663" t="s">
        <v>1205</v>
      </c>
      <c r="D1152" s="663" t="s">
        <v>1205</v>
      </c>
      <c r="E1152" s="664" t="s">
        <v>329</v>
      </c>
      <c r="F1152" s="665">
        <v>31087.0</v>
      </c>
      <c r="G1152" s="665">
        <v>1572.0</v>
      </c>
      <c r="H1152" s="665">
        <v>5.06</v>
      </c>
      <c r="I1152" s="665">
        <v>1.49</v>
      </c>
      <c r="J1152" s="665">
        <v>0.86</v>
      </c>
      <c r="K1152" s="665">
        <v>178650.0</v>
      </c>
      <c r="L1152" s="665">
        <v>1.199093833E7</v>
      </c>
      <c r="M1152" s="665">
        <v>5.75</v>
      </c>
      <c r="N1152" s="1">
        <v>113.645</v>
      </c>
      <c r="O1152" s="1">
        <v>178650.0</v>
      </c>
      <c r="P1152" s="1">
        <v>1.2115371E7</v>
      </c>
      <c r="Q1152" s="1">
        <v>5.7468</v>
      </c>
      <c r="R1152" s="1">
        <v>90356.0</v>
      </c>
    </row>
    <row r="1153">
      <c r="A1153" s="663" t="s">
        <v>2351</v>
      </c>
      <c r="B1153" s="663" t="s">
        <v>180</v>
      </c>
      <c r="C1153" s="663" t="s">
        <v>1205</v>
      </c>
      <c r="D1153" s="663" t="s">
        <v>1205</v>
      </c>
      <c r="E1153" s="664" t="s">
        <v>341</v>
      </c>
      <c r="F1153" s="665">
        <v>31087.0</v>
      </c>
      <c r="G1153" s="665">
        <v>1507.0</v>
      </c>
      <c r="H1153" s="665">
        <v>4.85</v>
      </c>
      <c r="I1153" s="665">
        <v>1.45</v>
      </c>
      <c r="J1153" s="665">
        <v>0.85</v>
      </c>
      <c r="K1153" s="665">
        <v>174450.0</v>
      </c>
      <c r="L1153" s="665">
        <v>1.199093833E7</v>
      </c>
      <c r="M1153" s="665">
        <v>5.61</v>
      </c>
      <c r="N1153" s="1">
        <v>115.7598</v>
      </c>
      <c r="O1153" s="1">
        <v>174450.0</v>
      </c>
      <c r="P1153" s="1">
        <v>1.2115371E7</v>
      </c>
      <c r="Q1153" s="1">
        <v>5.6117</v>
      </c>
      <c r="R1153" s="1">
        <v>90356.0</v>
      </c>
    </row>
    <row r="1154">
      <c r="A1154" s="663" t="s">
        <v>2351</v>
      </c>
      <c r="B1154" s="663" t="s">
        <v>180</v>
      </c>
      <c r="C1154" s="663" t="s">
        <v>1205</v>
      </c>
      <c r="D1154" s="663" t="s">
        <v>1205</v>
      </c>
      <c r="E1154" s="664" t="s">
        <v>401</v>
      </c>
      <c r="F1154" s="665">
        <v>31087.0</v>
      </c>
      <c r="G1154" s="665">
        <v>2867.0</v>
      </c>
      <c r="H1154" s="665">
        <v>9.22</v>
      </c>
      <c r="I1154" s="665">
        <v>0.75</v>
      </c>
      <c r="J1154" s="665">
        <v>0.51</v>
      </c>
      <c r="K1154" s="665">
        <v>89550.0</v>
      </c>
      <c r="L1154" s="665">
        <v>1.199093833E7</v>
      </c>
      <c r="M1154" s="665">
        <v>2.88</v>
      </c>
      <c r="N1154" s="1">
        <v>31.2347</v>
      </c>
      <c r="O1154" s="1">
        <v>89550.0</v>
      </c>
      <c r="P1154" s="1">
        <v>1.2115371E7</v>
      </c>
      <c r="Q1154" s="1">
        <v>2.8806</v>
      </c>
      <c r="R1154" s="1">
        <v>90356.0</v>
      </c>
    </row>
    <row r="1155">
      <c r="A1155" s="663" t="s">
        <v>2351</v>
      </c>
      <c r="B1155" s="663" t="s">
        <v>180</v>
      </c>
      <c r="C1155" s="663" t="s">
        <v>1205</v>
      </c>
      <c r="D1155" s="663" t="s">
        <v>1205</v>
      </c>
      <c r="E1155" s="664" t="s">
        <v>7</v>
      </c>
      <c r="F1155" s="665">
        <v>31087.0</v>
      </c>
      <c r="G1155" s="665">
        <v>487.0</v>
      </c>
      <c r="H1155" s="665">
        <v>1.57</v>
      </c>
      <c r="I1155" s="665">
        <v>0.59</v>
      </c>
      <c r="J1155" s="665">
        <v>0.27</v>
      </c>
      <c r="K1155" s="665">
        <v>70600.0</v>
      </c>
      <c r="L1155" s="665">
        <v>1.199093833E7</v>
      </c>
      <c r="M1155" s="665">
        <v>2.27</v>
      </c>
      <c r="N1155" s="1">
        <v>144.9692</v>
      </c>
      <c r="O1155" s="1">
        <v>70600.0</v>
      </c>
      <c r="P1155" s="1">
        <v>1.2115371E7</v>
      </c>
      <c r="Q1155" s="1">
        <v>2.271</v>
      </c>
      <c r="R1155" s="1">
        <v>90356.0</v>
      </c>
    </row>
    <row r="1156">
      <c r="A1156" s="663" t="s">
        <v>2351</v>
      </c>
      <c r="B1156" s="663" t="s">
        <v>180</v>
      </c>
      <c r="C1156" s="663" t="s">
        <v>1205</v>
      </c>
      <c r="D1156" s="663" t="s">
        <v>1205</v>
      </c>
      <c r="E1156" s="664" t="s">
        <v>206</v>
      </c>
      <c r="F1156" s="665">
        <v>31087.0</v>
      </c>
      <c r="G1156" s="665">
        <v>2344.0</v>
      </c>
      <c r="H1156" s="665">
        <v>7.54</v>
      </c>
      <c r="I1156" s="665">
        <v>0.53</v>
      </c>
      <c r="J1156" s="665">
        <v>0.33</v>
      </c>
      <c r="K1156" s="665">
        <v>63500.0</v>
      </c>
      <c r="L1156" s="665">
        <v>1.199093833E7</v>
      </c>
      <c r="M1156" s="665">
        <v>2.04</v>
      </c>
      <c r="N1156" s="1">
        <v>27.0904</v>
      </c>
      <c r="O1156" s="1">
        <v>63500.0</v>
      </c>
      <c r="P1156" s="1">
        <v>1.2115371E7</v>
      </c>
      <c r="Q1156" s="1">
        <v>2.0427</v>
      </c>
      <c r="R1156" s="1">
        <v>90356.0</v>
      </c>
    </row>
    <row r="1157">
      <c r="A1157" s="663" t="s">
        <v>2351</v>
      </c>
      <c r="B1157" s="663" t="s">
        <v>180</v>
      </c>
      <c r="C1157" s="663" t="s">
        <v>1205</v>
      </c>
      <c r="D1157" s="663" t="s">
        <v>1205</v>
      </c>
      <c r="E1157" s="664" t="s">
        <v>73</v>
      </c>
      <c r="F1157" s="665">
        <v>31087.0</v>
      </c>
      <c r="G1157" s="665">
        <v>1379.0</v>
      </c>
      <c r="H1157" s="665">
        <v>4.44</v>
      </c>
      <c r="I1157" s="665">
        <v>0.31</v>
      </c>
      <c r="J1157" s="665">
        <v>0.19</v>
      </c>
      <c r="K1157" s="665">
        <v>37225.0</v>
      </c>
      <c r="L1157" s="665">
        <v>1.199093833E7</v>
      </c>
      <c r="M1157" s="665">
        <v>1.2</v>
      </c>
      <c r="N1157" s="1">
        <v>26.9942</v>
      </c>
      <c r="O1157" s="1">
        <v>37225.0</v>
      </c>
      <c r="P1157" s="1">
        <v>1.2115371E7</v>
      </c>
      <c r="Q1157" s="1">
        <v>1.1974</v>
      </c>
      <c r="R1157" s="1">
        <v>90356.0</v>
      </c>
    </row>
    <row r="1158">
      <c r="A1158" s="663" t="s">
        <v>2351</v>
      </c>
      <c r="B1158" s="663" t="s">
        <v>180</v>
      </c>
      <c r="C1158" s="663" t="s">
        <v>1205</v>
      </c>
      <c r="D1158" s="663" t="s">
        <v>1205</v>
      </c>
      <c r="E1158" s="664" t="s">
        <v>151</v>
      </c>
      <c r="F1158" s="665">
        <v>31087.0</v>
      </c>
      <c r="G1158" s="665">
        <v>4.0</v>
      </c>
      <c r="H1158" s="665">
        <v>0.01</v>
      </c>
      <c r="I1158" s="665">
        <v>0.0</v>
      </c>
      <c r="J1158" s="665">
        <v>0.0</v>
      </c>
      <c r="K1158" s="665">
        <v>190.0</v>
      </c>
      <c r="L1158" s="665">
        <v>1.199093833E7</v>
      </c>
      <c r="M1158" s="665">
        <v>0.01</v>
      </c>
      <c r="N1158" s="1">
        <v>47.5</v>
      </c>
      <c r="O1158" s="1">
        <v>190.0</v>
      </c>
      <c r="P1158" s="1">
        <v>1.2115371E7</v>
      </c>
      <c r="Q1158" s="1">
        <v>0.0061</v>
      </c>
      <c r="R1158" s="1">
        <v>90356.0</v>
      </c>
    </row>
    <row r="1159">
      <c r="A1159" s="663" t="s">
        <v>2351</v>
      </c>
      <c r="B1159" s="663" t="s">
        <v>180</v>
      </c>
      <c r="C1159" s="663" t="s">
        <v>47</v>
      </c>
      <c r="D1159" s="663" t="s">
        <v>599</v>
      </c>
      <c r="E1159" s="664" t="s">
        <v>418</v>
      </c>
      <c r="F1159" s="665">
        <v>29063.0</v>
      </c>
      <c r="G1159" s="665">
        <v>20704.0</v>
      </c>
      <c r="H1159" s="665">
        <v>71.24</v>
      </c>
      <c r="I1159" s="665">
        <v>19.32</v>
      </c>
      <c r="J1159" s="665">
        <v>28.03</v>
      </c>
      <c r="K1159" s="665">
        <v>29265.0</v>
      </c>
      <c r="L1159" s="665">
        <v>151504.0</v>
      </c>
      <c r="M1159" s="665">
        <v>1.01</v>
      </c>
      <c r="N1159" s="1">
        <v>1.4135</v>
      </c>
      <c r="O1159" s="1">
        <v>29265.0</v>
      </c>
      <c r="P1159" s="1">
        <v>151504.0</v>
      </c>
      <c r="Q1159" s="1">
        <v>1.007</v>
      </c>
      <c r="R1159" s="1">
        <v>90356.0</v>
      </c>
    </row>
    <row r="1160">
      <c r="A1160" s="663" t="s">
        <v>2351</v>
      </c>
      <c r="B1160" s="663" t="s">
        <v>180</v>
      </c>
      <c r="C1160" s="663" t="s">
        <v>47</v>
      </c>
      <c r="D1160" s="663" t="s">
        <v>599</v>
      </c>
      <c r="E1160" s="664" t="s">
        <v>14</v>
      </c>
      <c r="F1160" s="665">
        <v>29063.0</v>
      </c>
      <c r="G1160" s="665">
        <v>14699.0</v>
      </c>
      <c r="H1160" s="665">
        <v>50.58</v>
      </c>
      <c r="I1160" s="665">
        <v>13.76</v>
      </c>
      <c r="J1160" s="665">
        <v>13.61</v>
      </c>
      <c r="K1160" s="665">
        <v>20851.0</v>
      </c>
      <c r="L1160" s="665">
        <v>151504.0</v>
      </c>
      <c r="M1160" s="665">
        <v>0.72</v>
      </c>
      <c r="N1160" s="1">
        <v>1.4185</v>
      </c>
      <c r="O1160" s="1">
        <v>20851.0</v>
      </c>
      <c r="P1160" s="1">
        <v>151504.0</v>
      </c>
      <c r="Q1160" s="1">
        <v>0.7174</v>
      </c>
      <c r="R1160" s="1">
        <v>90356.0</v>
      </c>
    </row>
    <row r="1161">
      <c r="A1161" s="663" t="s">
        <v>2351</v>
      </c>
      <c r="B1161" s="663" t="s">
        <v>180</v>
      </c>
      <c r="C1161" s="663" t="s">
        <v>47</v>
      </c>
      <c r="D1161" s="663" t="s">
        <v>599</v>
      </c>
      <c r="E1161" s="664" t="s">
        <v>398</v>
      </c>
      <c r="F1161" s="665">
        <v>29063.0</v>
      </c>
      <c r="G1161" s="665">
        <v>9556.0</v>
      </c>
      <c r="H1161" s="665">
        <v>32.88</v>
      </c>
      <c r="I1161" s="665">
        <v>12.61</v>
      </c>
      <c r="J1161" s="665">
        <v>8.27</v>
      </c>
      <c r="K1161" s="665">
        <v>19098.0</v>
      </c>
      <c r="L1161" s="665">
        <v>151504.0</v>
      </c>
      <c r="M1161" s="665">
        <v>0.66</v>
      </c>
      <c r="N1161" s="1">
        <v>1.9985</v>
      </c>
      <c r="O1161" s="1">
        <v>19098.0</v>
      </c>
      <c r="P1161" s="1">
        <v>151504.0</v>
      </c>
      <c r="Q1161" s="1">
        <v>0.6571</v>
      </c>
      <c r="R1161" s="1">
        <v>90356.0</v>
      </c>
    </row>
    <row r="1162">
      <c r="A1162" s="663" t="s">
        <v>2351</v>
      </c>
      <c r="B1162" s="663" t="s">
        <v>180</v>
      </c>
      <c r="C1162" s="663" t="s">
        <v>47</v>
      </c>
      <c r="D1162" s="663" t="s">
        <v>599</v>
      </c>
      <c r="E1162" s="664" t="s">
        <v>411</v>
      </c>
      <c r="F1162" s="665">
        <v>29063.0</v>
      </c>
      <c r="G1162" s="665">
        <v>14130.0</v>
      </c>
      <c r="H1162" s="665">
        <v>48.62</v>
      </c>
      <c r="I1162" s="665">
        <v>12.43</v>
      </c>
      <c r="J1162" s="665">
        <v>12.79</v>
      </c>
      <c r="K1162" s="665">
        <v>18834.0</v>
      </c>
      <c r="L1162" s="665">
        <v>151504.0</v>
      </c>
      <c r="M1162" s="665">
        <v>0.65</v>
      </c>
      <c r="N1162" s="1">
        <v>1.3329</v>
      </c>
      <c r="O1162" s="1">
        <v>18834.0</v>
      </c>
      <c r="P1162" s="1">
        <v>151504.0</v>
      </c>
      <c r="Q1162" s="1">
        <v>0.648</v>
      </c>
      <c r="R1162" s="1">
        <v>90356.0</v>
      </c>
    </row>
    <row r="1163">
      <c r="A1163" s="663" t="s">
        <v>2351</v>
      </c>
      <c r="B1163" s="663" t="s">
        <v>180</v>
      </c>
      <c r="C1163" s="663" t="s">
        <v>47</v>
      </c>
      <c r="D1163" s="663" t="s">
        <v>599</v>
      </c>
      <c r="E1163" s="664" t="s">
        <v>413</v>
      </c>
      <c r="F1163" s="665">
        <v>29063.0</v>
      </c>
      <c r="G1163" s="665">
        <v>8988.0</v>
      </c>
      <c r="H1163" s="665">
        <v>30.93</v>
      </c>
      <c r="I1163" s="665">
        <v>11.65</v>
      </c>
      <c r="J1163" s="665">
        <v>9.38</v>
      </c>
      <c r="K1163" s="665">
        <v>17649.0</v>
      </c>
      <c r="L1163" s="665">
        <v>151504.0</v>
      </c>
      <c r="M1163" s="665">
        <v>0.61</v>
      </c>
      <c r="N1163" s="1">
        <v>1.9636</v>
      </c>
      <c r="O1163" s="1">
        <v>17649.0</v>
      </c>
      <c r="P1163" s="1">
        <v>151504.0</v>
      </c>
      <c r="Q1163" s="1">
        <v>0.6073</v>
      </c>
      <c r="R1163" s="1">
        <v>90356.0</v>
      </c>
    </row>
    <row r="1164">
      <c r="A1164" s="663" t="s">
        <v>2351</v>
      </c>
      <c r="B1164" s="663" t="s">
        <v>180</v>
      </c>
      <c r="C1164" s="663" t="s">
        <v>47</v>
      </c>
      <c r="D1164" s="663" t="s">
        <v>599</v>
      </c>
      <c r="E1164" s="664" t="s">
        <v>9</v>
      </c>
      <c r="F1164" s="665">
        <v>29063.0</v>
      </c>
      <c r="G1164" s="665">
        <v>12543.0</v>
      </c>
      <c r="H1164" s="665">
        <v>43.16</v>
      </c>
      <c r="I1164" s="665">
        <v>10.95</v>
      </c>
      <c r="J1164" s="665">
        <v>9.71</v>
      </c>
      <c r="K1164" s="665">
        <v>16596.0</v>
      </c>
      <c r="L1164" s="665">
        <v>151504.0</v>
      </c>
      <c r="M1164" s="665">
        <v>0.57</v>
      </c>
      <c r="N1164" s="1">
        <v>1.3231</v>
      </c>
      <c r="O1164" s="1">
        <v>16596.0</v>
      </c>
      <c r="P1164" s="1">
        <v>151504.0</v>
      </c>
      <c r="Q1164" s="1">
        <v>0.571</v>
      </c>
      <c r="R1164" s="1">
        <v>90356.0</v>
      </c>
    </row>
    <row r="1165">
      <c r="A1165" s="663" t="s">
        <v>2351</v>
      </c>
      <c r="B1165" s="663" t="s">
        <v>180</v>
      </c>
      <c r="C1165" s="663" t="s">
        <v>47</v>
      </c>
      <c r="D1165" s="663" t="s">
        <v>599</v>
      </c>
      <c r="E1165" s="664" t="s">
        <v>396</v>
      </c>
      <c r="F1165" s="665">
        <v>29063.0</v>
      </c>
      <c r="G1165" s="665">
        <v>11852.0</v>
      </c>
      <c r="H1165" s="665">
        <v>40.78</v>
      </c>
      <c r="I1165" s="665">
        <v>8.56</v>
      </c>
      <c r="J1165" s="665">
        <v>11.15</v>
      </c>
      <c r="K1165" s="665">
        <v>12965.0</v>
      </c>
      <c r="L1165" s="665">
        <v>151504.0</v>
      </c>
      <c r="M1165" s="665">
        <v>0.45</v>
      </c>
      <c r="N1165" s="1">
        <v>1.0939</v>
      </c>
      <c r="O1165" s="1">
        <v>12965.0</v>
      </c>
      <c r="P1165" s="1">
        <v>151504.0</v>
      </c>
      <c r="Q1165" s="1">
        <v>0.4461</v>
      </c>
      <c r="R1165" s="1">
        <v>90356.0</v>
      </c>
    </row>
    <row r="1166">
      <c r="A1166" s="663" t="s">
        <v>2351</v>
      </c>
      <c r="B1166" s="663" t="s">
        <v>180</v>
      </c>
      <c r="C1166" s="663" t="s">
        <v>47</v>
      </c>
      <c r="D1166" s="663" t="s">
        <v>599</v>
      </c>
      <c r="E1166" s="664" t="s">
        <v>63</v>
      </c>
      <c r="F1166" s="665">
        <v>29063.0</v>
      </c>
      <c r="G1166" s="665">
        <v>4108.0</v>
      </c>
      <c r="H1166" s="665">
        <v>14.13</v>
      </c>
      <c r="I1166" s="665">
        <v>3.41</v>
      </c>
      <c r="J1166" s="665">
        <v>2.89</v>
      </c>
      <c r="K1166" s="665">
        <v>5168.0</v>
      </c>
      <c r="L1166" s="665">
        <v>151504.0</v>
      </c>
      <c r="M1166" s="665">
        <v>0.18</v>
      </c>
      <c r="N1166" s="1">
        <v>1.258</v>
      </c>
      <c r="O1166" s="1">
        <v>5168.0</v>
      </c>
      <c r="P1166" s="1">
        <v>151504.0</v>
      </c>
      <c r="Q1166" s="1">
        <v>0.1778</v>
      </c>
      <c r="R1166" s="1">
        <v>90356.0</v>
      </c>
    </row>
    <row r="1167">
      <c r="A1167" s="663" t="s">
        <v>2351</v>
      </c>
      <c r="B1167" s="663" t="s">
        <v>180</v>
      </c>
      <c r="C1167" s="663" t="s">
        <v>47</v>
      </c>
      <c r="D1167" s="663" t="s">
        <v>599</v>
      </c>
      <c r="E1167" s="664" t="s">
        <v>51</v>
      </c>
      <c r="F1167" s="665">
        <v>29063.0</v>
      </c>
      <c r="G1167" s="665">
        <v>3231.0</v>
      </c>
      <c r="H1167" s="665">
        <v>11.12</v>
      </c>
      <c r="I1167" s="665">
        <v>3.19</v>
      </c>
      <c r="J1167" s="665">
        <v>1.74</v>
      </c>
      <c r="K1167" s="665">
        <v>4838.0</v>
      </c>
      <c r="L1167" s="665">
        <v>151504.0</v>
      </c>
      <c r="M1167" s="665">
        <v>0.17</v>
      </c>
      <c r="N1167" s="1">
        <v>1.4974</v>
      </c>
      <c r="O1167" s="1">
        <v>4838.0</v>
      </c>
      <c r="P1167" s="1">
        <v>151504.0</v>
      </c>
      <c r="Q1167" s="1">
        <v>0.1665</v>
      </c>
      <c r="R1167" s="1">
        <v>90356.0</v>
      </c>
    </row>
    <row r="1168">
      <c r="A1168" s="663" t="s">
        <v>2351</v>
      </c>
      <c r="B1168" s="663" t="s">
        <v>180</v>
      </c>
      <c r="C1168" s="663" t="s">
        <v>47</v>
      </c>
      <c r="D1168" s="663" t="s">
        <v>599</v>
      </c>
      <c r="E1168" s="664" t="s">
        <v>401</v>
      </c>
      <c r="F1168" s="665">
        <v>29063.0</v>
      </c>
      <c r="G1168" s="665">
        <v>1950.0</v>
      </c>
      <c r="H1168" s="665">
        <v>6.71</v>
      </c>
      <c r="I1168" s="665">
        <v>1.48</v>
      </c>
      <c r="J1168" s="665">
        <v>0.84</v>
      </c>
      <c r="K1168" s="665">
        <v>2243.0</v>
      </c>
      <c r="L1168" s="665">
        <v>151504.0</v>
      </c>
      <c r="M1168" s="665">
        <v>0.08</v>
      </c>
      <c r="N1168" s="1">
        <v>1.1503</v>
      </c>
      <c r="O1168" s="1">
        <v>2243.0</v>
      </c>
      <c r="P1168" s="1">
        <v>151504.0</v>
      </c>
      <c r="Q1168" s="1">
        <v>0.0772</v>
      </c>
      <c r="R1168" s="1">
        <v>90356.0</v>
      </c>
    </row>
    <row r="1169">
      <c r="A1169" s="663" t="s">
        <v>2351</v>
      </c>
      <c r="B1169" s="663" t="s">
        <v>180</v>
      </c>
      <c r="C1169" s="663" t="s">
        <v>47</v>
      </c>
      <c r="D1169" s="663" t="s">
        <v>599</v>
      </c>
      <c r="E1169" s="664" t="s">
        <v>206</v>
      </c>
      <c r="F1169" s="665">
        <v>29063.0</v>
      </c>
      <c r="G1169" s="665">
        <v>1138.0</v>
      </c>
      <c r="H1169" s="665">
        <v>3.92</v>
      </c>
      <c r="I1169" s="665">
        <v>0.77</v>
      </c>
      <c r="J1169" s="665">
        <v>0.38</v>
      </c>
      <c r="K1169" s="665">
        <v>1165.0</v>
      </c>
      <c r="L1169" s="665">
        <v>151504.0</v>
      </c>
      <c r="M1169" s="665">
        <v>0.04</v>
      </c>
      <c r="N1169" s="1">
        <v>1.0237</v>
      </c>
      <c r="O1169" s="1">
        <v>1165.0</v>
      </c>
      <c r="P1169" s="1">
        <v>151504.0</v>
      </c>
      <c r="Q1169" s="1">
        <v>0.0401</v>
      </c>
      <c r="R1169" s="1">
        <v>90356.0</v>
      </c>
    </row>
    <row r="1170">
      <c r="A1170" s="663" t="s">
        <v>2351</v>
      </c>
      <c r="B1170" s="663" t="s">
        <v>180</v>
      </c>
      <c r="C1170" s="663" t="s">
        <v>47</v>
      </c>
      <c r="D1170" s="663" t="s">
        <v>599</v>
      </c>
      <c r="E1170" s="664" t="s">
        <v>42</v>
      </c>
      <c r="F1170" s="665">
        <v>29063.0</v>
      </c>
      <c r="G1170" s="665">
        <v>961.0</v>
      </c>
      <c r="H1170" s="665">
        <v>3.31</v>
      </c>
      <c r="I1170" s="665">
        <v>0.72</v>
      </c>
      <c r="J1170" s="665">
        <v>0.43</v>
      </c>
      <c r="K1170" s="665">
        <v>1086.0</v>
      </c>
      <c r="L1170" s="665">
        <v>151504.0</v>
      </c>
      <c r="M1170" s="665">
        <v>0.04</v>
      </c>
      <c r="N1170" s="1">
        <v>1.1301</v>
      </c>
      <c r="O1170" s="1">
        <v>1086.0</v>
      </c>
      <c r="P1170" s="1">
        <v>151504.0</v>
      </c>
      <c r="Q1170" s="1">
        <v>0.0374</v>
      </c>
      <c r="R1170" s="1">
        <v>90356.0</v>
      </c>
    </row>
    <row r="1171">
      <c r="A1171" s="663" t="s">
        <v>2351</v>
      </c>
      <c r="B1171" s="663" t="s">
        <v>180</v>
      </c>
      <c r="C1171" s="663" t="s">
        <v>47</v>
      </c>
      <c r="D1171" s="663" t="s">
        <v>599</v>
      </c>
      <c r="E1171" s="664" t="s">
        <v>16</v>
      </c>
      <c r="F1171" s="665">
        <v>29063.0</v>
      </c>
      <c r="G1171" s="665">
        <v>616.0</v>
      </c>
      <c r="H1171" s="665">
        <v>2.12</v>
      </c>
      <c r="I1171" s="665">
        <v>0.44</v>
      </c>
      <c r="J1171" s="665">
        <v>0.28</v>
      </c>
      <c r="K1171" s="665">
        <v>660.0</v>
      </c>
      <c r="L1171" s="665">
        <v>151504.0</v>
      </c>
      <c r="M1171" s="665">
        <v>0.02</v>
      </c>
      <c r="N1171" s="1">
        <v>1.0714</v>
      </c>
      <c r="O1171" s="1">
        <v>660.0</v>
      </c>
      <c r="P1171" s="1">
        <v>151504.0</v>
      </c>
      <c r="Q1171" s="1">
        <v>0.0227</v>
      </c>
      <c r="R1171" s="1">
        <v>90356.0</v>
      </c>
    </row>
    <row r="1172">
      <c r="A1172" s="663" t="s">
        <v>2351</v>
      </c>
      <c r="B1172" s="663" t="s">
        <v>180</v>
      </c>
      <c r="C1172" s="663" t="s">
        <v>47</v>
      </c>
      <c r="D1172" s="663" t="s">
        <v>599</v>
      </c>
      <c r="E1172" s="664" t="s">
        <v>73</v>
      </c>
      <c r="F1172" s="665">
        <v>29063.0</v>
      </c>
      <c r="G1172" s="665">
        <v>488.0</v>
      </c>
      <c r="H1172" s="665">
        <v>1.68</v>
      </c>
      <c r="I1172" s="665">
        <v>0.33</v>
      </c>
      <c r="J1172" s="665">
        <v>0.21</v>
      </c>
      <c r="K1172" s="665">
        <v>502.0</v>
      </c>
      <c r="L1172" s="665">
        <v>151504.0</v>
      </c>
      <c r="M1172" s="665">
        <v>0.02</v>
      </c>
      <c r="N1172" s="1">
        <v>1.0287</v>
      </c>
      <c r="O1172" s="1">
        <v>502.0</v>
      </c>
      <c r="P1172" s="1">
        <v>151504.0</v>
      </c>
      <c r="Q1172" s="1">
        <v>0.0173</v>
      </c>
      <c r="R1172" s="1">
        <v>90356.0</v>
      </c>
    </row>
    <row r="1173">
      <c r="A1173" s="663" t="s">
        <v>2351</v>
      </c>
      <c r="B1173" s="663" t="s">
        <v>180</v>
      </c>
      <c r="C1173" s="663" t="s">
        <v>47</v>
      </c>
      <c r="D1173" s="663" t="s">
        <v>599</v>
      </c>
      <c r="E1173" s="664" t="s">
        <v>7</v>
      </c>
      <c r="F1173" s="665">
        <v>29063.0</v>
      </c>
      <c r="G1173" s="665">
        <v>458.0</v>
      </c>
      <c r="H1173" s="665">
        <v>1.58</v>
      </c>
      <c r="I1173" s="665">
        <v>0.32</v>
      </c>
      <c r="J1173" s="665">
        <v>0.21</v>
      </c>
      <c r="K1173" s="665">
        <v>481.0</v>
      </c>
      <c r="L1173" s="665">
        <v>151504.0</v>
      </c>
      <c r="M1173" s="665">
        <v>0.02</v>
      </c>
      <c r="N1173" s="1">
        <v>1.0502</v>
      </c>
      <c r="O1173" s="1">
        <v>481.0</v>
      </c>
      <c r="P1173" s="1">
        <v>151504.0</v>
      </c>
      <c r="Q1173" s="1">
        <v>0.0166</v>
      </c>
      <c r="R1173" s="1">
        <v>90356.0</v>
      </c>
    </row>
    <row r="1174">
      <c r="A1174" s="663" t="s">
        <v>2351</v>
      </c>
      <c r="B1174" s="663" t="s">
        <v>180</v>
      </c>
      <c r="C1174" s="663" t="s">
        <v>47</v>
      </c>
      <c r="D1174" s="663" t="s">
        <v>599</v>
      </c>
      <c r="E1174" s="664" t="s">
        <v>393</v>
      </c>
      <c r="F1174" s="665">
        <v>29063.0</v>
      </c>
      <c r="G1174" s="665">
        <v>92.0</v>
      </c>
      <c r="H1174" s="665">
        <v>0.32</v>
      </c>
      <c r="I1174" s="665">
        <v>0.07</v>
      </c>
      <c r="J1174" s="665">
        <v>0.07</v>
      </c>
      <c r="K1174" s="665">
        <v>99.0</v>
      </c>
      <c r="L1174" s="665">
        <v>151504.0</v>
      </c>
      <c r="M1174" s="665">
        <v>0.0</v>
      </c>
      <c r="N1174" s="1">
        <v>1.0761</v>
      </c>
      <c r="O1174" s="1">
        <v>99.0</v>
      </c>
      <c r="P1174" s="1">
        <v>151504.0</v>
      </c>
      <c r="Q1174" s="1">
        <v>0.0034</v>
      </c>
      <c r="R1174" s="1">
        <v>90356.0</v>
      </c>
    </row>
    <row r="1175">
      <c r="A1175" s="663" t="s">
        <v>2351</v>
      </c>
      <c r="B1175" s="663" t="s">
        <v>180</v>
      </c>
      <c r="C1175" s="663" t="s">
        <v>47</v>
      </c>
      <c r="D1175" s="663" t="s">
        <v>599</v>
      </c>
      <c r="E1175" s="664" t="s">
        <v>338</v>
      </c>
      <c r="F1175" s="665">
        <v>29063.0</v>
      </c>
      <c r="G1175" s="665">
        <v>1.0</v>
      </c>
      <c r="H1175" s="665">
        <v>0.0</v>
      </c>
      <c r="I1175" s="665">
        <v>0.0</v>
      </c>
      <c r="J1175" s="665">
        <v>0.0</v>
      </c>
      <c r="K1175" s="665">
        <v>1.0</v>
      </c>
      <c r="L1175" s="665">
        <v>151504.0</v>
      </c>
      <c r="M1175" s="665">
        <v>0.0</v>
      </c>
      <c r="N1175" s="1">
        <v>1.0</v>
      </c>
      <c r="O1175" s="1">
        <v>1.0</v>
      </c>
      <c r="P1175" s="1">
        <v>151504.0</v>
      </c>
      <c r="Q1175" s="1">
        <v>0.0</v>
      </c>
      <c r="R1175" s="1">
        <v>90356.0</v>
      </c>
    </row>
    <row r="1176">
      <c r="A1176" s="663" t="s">
        <v>2351</v>
      </c>
      <c r="B1176" s="663" t="s">
        <v>180</v>
      </c>
      <c r="C1176" s="663" t="s">
        <v>47</v>
      </c>
      <c r="D1176" s="663" t="s">
        <v>599</v>
      </c>
      <c r="E1176" s="664" t="s">
        <v>151</v>
      </c>
      <c r="F1176" s="665">
        <v>29063.0</v>
      </c>
      <c r="G1176" s="665">
        <v>3.0</v>
      </c>
      <c r="H1176" s="665">
        <v>0.01</v>
      </c>
      <c r="I1176" s="665">
        <v>0.0</v>
      </c>
      <c r="J1176" s="665">
        <v>0.0</v>
      </c>
      <c r="K1176" s="665">
        <v>3.0</v>
      </c>
      <c r="L1176" s="665">
        <v>151504.0</v>
      </c>
      <c r="M1176" s="665">
        <v>0.0</v>
      </c>
      <c r="N1176" s="1">
        <v>1.0</v>
      </c>
      <c r="O1176" s="1">
        <v>3.0</v>
      </c>
      <c r="P1176" s="1">
        <v>151504.0</v>
      </c>
      <c r="Q1176" s="1">
        <v>1.0E-4</v>
      </c>
      <c r="R1176" s="1">
        <v>90356.0</v>
      </c>
    </row>
    <row r="1177">
      <c r="A1177" s="663" t="s">
        <v>2351</v>
      </c>
      <c r="B1177" s="663" t="s">
        <v>180</v>
      </c>
      <c r="C1177" s="663" t="s">
        <v>46</v>
      </c>
      <c r="D1177" s="663" t="s">
        <v>599</v>
      </c>
      <c r="E1177" s="664" t="s">
        <v>396</v>
      </c>
      <c r="F1177" s="665">
        <v>26602.0</v>
      </c>
      <c r="G1177" s="665">
        <v>26053.0</v>
      </c>
      <c r="H1177" s="665">
        <v>97.94</v>
      </c>
      <c r="I1177" s="665">
        <v>78.95</v>
      </c>
      <c r="J1177" s="665">
        <v>79.42</v>
      </c>
      <c r="K1177" s="665">
        <v>1.6452498E7</v>
      </c>
      <c r="L1177" s="665">
        <v>2.083853766E7</v>
      </c>
      <c r="M1177" s="665">
        <v>618.47</v>
      </c>
      <c r="N1177" s="1">
        <v>631.5011</v>
      </c>
      <c r="O1177" s="1">
        <v>1.6452498E7</v>
      </c>
      <c r="P1177" s="1">
        <v>2.1170345E7</v>
      </c>
      <c r="Q1177" s="1">
        <v>618.4685</v>
      </c>
      <c r="R1177" s="1">
        <v>90356.0</v>
      </c>
    </row>
    <row r="1178">
      <c r="A1178" s="663" t="s">
        <v>2351</v>
      </c>
      <c r="B1178" s="663" t="s">
        <v>180</v>
      </c>
      <c r="C1178" s="663" t="s">
        <v>46</v>
      </c>
      <c r="D1178" s="663" t="s">
        <v>599</v>
      </c>
      <c r="E1178" s="664" t="s">
        <v>14</v>
      </c>
      <c r="F1178" s="665">
        <v>26602.0</v>
      </c>
      <c r="G1178" s="665">
        <v>14446.0</v>
      </c>
      <c r="H1178" s="665">
        <v>54.3</v>
      </c>
      <c r="I1178" s="665">
        <v>12.18</v>
      </c>
      <c r="J1178" s="665">
        <v>9.93</v>
      </c>
      <c r="K1178" s="665">
        <v>2537777.66</v>
      </c>
      <c r="L1178" s="665">
        <v>2.083853766E7</v>
      </c>
      <c r="M1178" s="665">
        <v>95.4</v>
      </c>
      <c r="N1178" s="1">
        <v>175.6734</v>
      </c>
      <c r="O1178" s="1">
        <v>2869585.0</v>
      </c>
      <c r="P1178" s="1">
        <v>2.1170345E7</v>
      </c>
      <c r="Q1178" s="1">
        <v>107.871</v>
      </c>
      <c r="R1178" s="1">
        <v>90356.0</v>
      </c>
    </row>
    <row r="1179">
      <c r="A1179" s="663" t="s">
        <v>2351</v>
      </c>
      <c r="B1179" s="663" t="s">
        <v>180</v>
      </c>
      <c r="C1179" s="663" t="s">
        <v>46</v>
      </c>
      <c r="D1179" s="663" t="s">
        <v>599</v>
      </c>
      <c r="E1179" s="664" t="s">
        <v>42</v>
      </c>
      <c r="F1179" s="665">
        <v>26602.0</v>
      </c>
      <c r="G1179" s="665">
        <v>9266.0</v>
      </c>
      <c r="H1179" s="665">
        <v>34.83</v>
      </c>
      <c r="I1179" s="665">
        <v>4.09</v>
      </c>
      <c r="J1179" s="665">
        <v>3.75</v>
      </c>
      <c r="K1179" s="665">
        <v>852125.0</v>
      </c>
      <c r="L1179" s="665">
        <v>2.083853766E7</v>
      </c>
      <c r="M1179" s="665">
        <v>32.03</v>
      </c>
      <c r="N1179" s="1">
        <v>91.9626</v>
      </c>
      <c r="O1179" s="1">
        <v>852125.0</v>
      </c>
      <c r="P1179" s="1">
        <v>2.1170345E7</v>
      </c>
      <c r="Q1179" s="1">
        <v>32.0324</v>
      </c>
      <c r="R1179" s="1">
        <v>90356.0</v>
      </c>
    </row>
    <row r="1180">
      <c r="A1180" s="663" t="s">
        <v>2351</v>
      </c>
      <c r="B1180" s="663" t="s">
        <v>180</v>
      </c>
      <c r="C1180" s="663" t="s">
        <v>46</v>
      </c>
      <c r="D1180" s="663" t="s">
        <v>599</v>
      </c>
      <c r="E1180" s="664" t="s">
        <v>411</v>
      </c>
      <c r="F1180" s="665">
        <v>26602.0</v>
      </c>
      <c r="G1180" s="665">
        <v>12155.0</v>
      </c>
      <c r="H1180" s="665">
        <v>45.69</v>
      </c>
      <c r="I1180" s="665">
        <v>2.96</v>
      </c>
      <c r="J1180" s="665">
        <v>5.24</v>
      </c>
      <c r="K1180" s="665">
        <v>615869.0</v>
      </c>
      <c r="L1180" s="665">
        <v>2.083853766E7</v>
      </c>
      <c r="M1180" s="665">
        <v>23.15</v>
      </c>
      <c r="N1180" s="1">
        <v>50.668</v>
      </c>
      <c r="O1180" s="1">
        <v>615869.0</v>
      </c>
      <c r="P1180" s="1">
        <v>2.1170345E7</v>
      </c>
      <c r="Q1180" s="1">
        <v>23.1512</v>
      </c>
      <c r="R1180" s="1">
        <v>90356.0</v>
      </c>
    </row>
    <row r="1181">
      <c r="A1181" s="663" t="s">
        <v>2351</v>
      </c>
      <c r="B1181" s="663" t="s">
        <v>180</v>
      </c>
      <c r="C1181" s="663" t="s">
        <v>46</v>
      </c>
      <c r="D1181" s="663" t="s">
        <v>599</v>
      </c>
      <c r="E1181" s="664" t="s">
        <v>7</v>
      </c>
      <c r="F1181" s="665">
        <v>26602.0</v>
      </c>
      <c r="G1181" s="665">
        <v>2873.0</v>
      </c>
      <c r="H1181" s="665">
        <v>10.8</v>
      </c>
      <c r="I1181" s="665">
        <v>1.35</v>
      </c>
      <c r="J1181" s="665">
        <v>1.11</v>
      </c>
      <c r="K1181" s="665">
        <v>280800.0</v>
      </c>
      <c r="L1181" s="665">
        <v>2.083853766E7</v>
      </c>
      <c r="M1181" s="665">
        <v>10.56</v>
      </c>
      <c r="N1181" s="1">
        <v>97.7376</v>
      </c>
      <c r="O1181" s="1">
        <v>280800.0</v>
      </c>
      <c r="P1181" s="1">
        <v>2.1170345E7</v>
      </c>
      <c r="Q1181" s="1">
        <v>10.5556</v>
      </c>
      <c r="R1181" s="1">
        <v>90356.0</v>
      </c>
    </row>
    <row r="1182">
      <c r="A1182" s="663" t="s">
        <v>2351</v>
      </c>
      <c r="B1182" s="663" t="s">
        <v>180</v>
      </c>
      <c r="C1182" s="663" t="s">
        <v>46</v>
      </c>
      <c r="D1182" s="663" t="s">
        <v>599</v>
      </c>
      <c r="E1182" s="664" t="s">
        <v>51</v>
      </c>
      <c r="F1182" s="665">
        <v>26602.0</v>
      </c>
      <c r="G1182" s="665">
        <v>2979.0</v>
      </c>
      <c r="H1182" s="665">
        <v>11.2</v>
      </c>
      <c r="I1182" s="665">
        <v>0.42</v>
      </c>
      <c r="J1182" s="665">
        <v>0.34</v>
      </c>
      <c r="K1182" s="665">
        <v>87100.0</v>
      </c>
      <c r="L1182" s="665">
        <v>2.083853766E7</v>
      </c>
      <c r="M1182" s="665">
        <v>3.27</v>
      </c>
      <c r="N1182" s="1">
        <v>29.238</v>
      </c>
      <c r="O1182" s="1">
        <v>87100.0</v>
      </c>
      <c r="P1182" s="1">
        <v>2.1170345E7</v>
      </c>
      <c r="Q1182" s="1">
        <v>3.2742</v>
      </c>
      <c r="R1182" s="1">
        <v>90356.0</v>
      </c>
    </row>
    <row r="1183">
      <c r="A1183" s="663" t="s">
        <v>2351</v>
      </c>
      <c r="B1183" s="663" t="s">
        <v>180</v>
      </c>
      <c r="C1183" s="663" t="s">
        <v>46</v>
      </c>
      <c r="D1183" s="663" t="s">
        <v>599</v>
      </c>
      <c r="E1183" s="664" t="s">
        <v>413</v>
      </c>
      <c r="F1183" s="665">
        <v>26602.0</v>
      </c>
      <c r="G1183" s="665">
        <v>211.0</v>
      </c>
      <c r="H1183" s="665">
        <v>0.79</v>
      </c>
      <c r="I1183" s="665">
        <v>0.06</v>
      </c>
      <c r="J1183" s="665">
        <v>0.2</v>
      </c>
      <c r="K1183" s="665">
        <v>12278.0</v>
      </c>
      <c r="L1183" s="665">
        <v>2.083853766E7</v>
      </c>
      <c r="M1183" s="665">
        <v>0.46</v>
      </c>
      <c r="N1183" s="1">
        <v>58.1896</v>
      </c>
      <c r="O1183" s="1">
        <v>12278.0</v>
      </c>
      <c r="P1183" s="1">
        <v>2.1170345E7</v>
      </c>
      <c r="Q1183" s="1">
        <v>0.4615</v>
      </c>
      <c r="R1183" s="1">
        <v>90356.0</v>
      </c>
    </row>
    <row r="1184">
      <c r="A1184" s="663" t="s">
        <v>2351</v>
      </c>
      <c r="B1184" s="663" t="s">
        <v>180</v>
      </c>
      <c r="C1184" s="663" t="s">
        <v>46</v>
      </c>
      <c r="D1184" s="663" t="s">
        <v>599</v>
      </c>
      <c r="E1184" s="664" t="s">
        <v>418</v>
      </c>
      <c r="F1184" s="665">
        <v>26602.0</v>
      </c>
      <c r="G1184" s="665">
        <v>1.0</v>
      </c>
      <c r="H1184" s="665">
        <v>0.0</v>
      </c>
      <c r="I1184" s="665">
        <v>0.0</v>
      </c>
      <c r="J1184" s="665">
        <v>0.0</v>
      </c>
      <c r="K1184" s="665">
        <v>60.0</v>
      </c>
      <c r="L1184" s="665">
        <v>2.083853766E7</v>
      </c>
      <c r="M1184" s="665">
        <v>0.0</v>
      </c>
      <c r="N1184" s="1">
        <v>60.0</v>
      </c>
      <c r="O1184" s="1">
        <v>60.0</v>
      </c>
      <c r="P1184" s="1">
        <v>2.1170345E7</v>
      </c>
      <c r="Q1184" s="1">
        <v>0.0023</v>
      </c>
      <c r="R1184" s="1">
        <v>90356.0</v>
      </c>
    </row>
    <row r="1185">
      <c r="A1185" s="663" t="s">
        <v>2351</v>
      </c>
      <c r="B1185" s="663" t="s">
        <v>180</v>
      </c>
      <c r="C1185" s="663" t="s">
        <v>46</v>
      </c>
      <c r="D1185" s="663" t="s">
        <v>599</v>
      </c>
      <c r="E1185" s="664" t="s">
        <v>63</v>
      </c>
      <c r="F1185" s="665">
        <v>26602.0</v>
      </c>
      <c r="G1185" s="665">
        <v>1.0</v>
      </c>
      <c r="H1185" s="665">
        <v>0.0</v>
      </c>
      <c r="I1185" s="665">
        <v>0.0</v>
      </c>
      <c r="J1185" s="665">
        <v>0.0</v>
      </c>
      <c r="K1185" s="665">
        <v>10.0</v>
      </c>
      <c r="L1185" s="665">
        <v>2.083853766E7</v>
      </c>
      <c r="M1185" s="665">
        <v>0.0</v>
      </c>
      <c r="N1185" s="1">
        <v>10.0</v>
      </c>
      <c r="O1185" s="1">
        <v>10.0</v>
      </c>
      <c r="P1185" s="1">
        <v>2.1170345E7</v>
      </c>
      <c r="Q1185" s="1">
        <v>4.0E-4</v>
      </c>
      <c r="R1185" s="1">
        <v>90356.0</v>
      </c>
    </row>
    <row r="1186">
      <c r="A1186" s="663" t="s">
        <v>2351</v>
      </c>
      <c r="B1186" s="663" t="s">
        <v>180</v>
      </c>
      <c r="C1186" s="663" t="s">
        <v>46</v>
      </c>
      <c r="D1186" s="663" t="s">
        <v>599</v>
      </c>
      <c r="E1186" s="664" t="s">
        <v>151</v>
      </c>
      <c r="F1186" s="665">
        <v>26602.0</v>
      </c>
      <c r="G1186" s="665">
        <v>1.0</v>
      </c>
      <c r="H1186" s="665">
        <v>0.0</v>
      </c>
      <c r="I1186" s="665">
        <v>0.0</v>
      </c>
      <c r="J1186" s="665">
        <v>0.0</v>
      </c>
      <c r="K1186" s="665">
        <v>20.0</v>
      </c>
      <c r="L1186" s="665">
        <v>2.083853766E7</v>
      </c>
      <c r="M1186" s="665">
        <v>0.0</v>
      </c>
      <c r="N1186" s="1">
        <v>20.0</v>
      </c>
      <c r="O1186" s="1">
        <v>20.0</v>
      </c>
      <c r="P1186" s="1">
        <v>2.1170345E7</v>
      </c>
      <c r="Q1186" s="1">
        <v>8.0E-4</v>
      </c>
      <c r="R1186" s="1">
        <v>90356.0</v>
      </c>
    </row>
    <row r="1187">
      <c r="A1187" s="663" t="s">
        <v>2351</v>
      </c>
      <c r="B1187" s="663" t="s">
        <v>180</v>
      </c>
      <c r="C1187" s="663" t="s">
        <v>1213</v>
      </c>
      <c r="D1187" s="663" t="s">
        <v>2234</v>
      </c>
      <c r="E1187" s="664" t="s">
        <v>14</v>
      </c>
      <c r="F1187" s="665">
        <v>9076.0</v>
      </c>
      <c r="G1187" s="665">
        <v>9065.0</v>
      </c>
      <c r="H1187" s="665">
        <v>99.88</v>
      </c>
      <c r="I1187" s="665">
        <v>99.77</v>
      </c>
      <c r="J1187" s="665">
        <v>99.85</v>
      </c>
      <c r="K1187" s="665">
        <v>134650.0</v>
      </c>
      <c r="L1187" s="665">
        <v>134960.0</v>
      </c>
      <c r="M1187" s="665">
        <v>14.84</v>
      </c>
      <c r="N1187" s="1">
        <v>14.8538</v>
      </c>
      <c r="O1187" s="1">
        <v>134650.0</v>
      </c>
      <c r="P1187" s="1">
        <v>134960.0</v>
      </c>
      <c r="Q1187" s="1">
        <v>14.8358</v>
      </c>
      <c r="R1187" s="1">
        <v>90356.0</v>
      </c>
    </row>
    <row r="1188">
      <c r="A1188" s="663" t="s">
        <v>2351</v>
      </c>
      <c r="B1188" s="663" t="s">
        <v>180</v>
      </c>
      <c r="C1188" s="663" t="s">
        <v>1213</v>
      </c>
      <c r="D1188" s="663" t="s">
        <v>2234</v>
      </c>
      <c r="E1188" s="664" t="s">
        <v>397</v>
      </c>
      <c r="F1188" s="665">
        <v>9076.0</v>
      </c>
      <c r="G1188" s="665">
        <v>14.0</v>
      </c>
      <c r="H1188" s="665">
        <v>0.15</v>
      </c>
      <c r="I1188" s="665">
        <v>0.22</v>
      </c>
      <c r="J1188" s="665">
        <v>0.13</v>
      </c>
      <c r="K1188" s="665">
        <v>300.0</v>
      </c>
      <c r="L1188" s="665">
        <v>134960.0</v>
      </c>
      <c r="M1188" s="665">
        <v>0.03</v>
      </c>
      <c r="N1188" s="1">
        <v>21.4286</v>
      </c>
      <c r="O1188" s="1">
        <v>300.0</v>
      </c>
      <c r="P1188" s="1">
        <v>134960.0</v>
      </c>
      <c r="Q1188" s="1">
        <v>0.0331</v>
      </c>
      <c r="R1188" s="1">
        <v>90356.0</v>
      </c>
    </row>
    <row r="1189">
      <c r="A1189" s="663" t="s">
        <v>2351</v>
      </c>
      <c r="B1189" s="663" t="s">
        <v>180</v>
      </c>
      <c r="C1189" s="663" t="s">
        <v>1213</v>
      </c>
      <c r="D1189" s="663" t="s">
        <v>2234</v>
      </c>
      <c r="E1189" s="664" t="s">
        <v>151</v>
      </c>
      <c r="F1189" s="665">
        <v>9076.0</v>
      </c>
      <c r="G1189" s="665">
        <v>1.0</v>
      </c>
      <c r="H1189" s="665">
        <v>0.01</v>
      </c>
      <c r="I1189" s="665">
        <v>0.01</v>
      </c>
      <c r="J1189" s="665">
        <v>0.01</v>
      </c>
      <c r="K1189" s="665">
        <v>10.0</v>
      </c>
      <c r="L1189" s="665">
        <v>134960.0</v>
      </c>
      <c r="M1189" s="665">
        <v>0.0</v>
      </c>
      <c r="N1189" s="1">
        <v>10.0</v>
      </c>
      <c r="O1189" s="1">
        <v>10.0</v>
      </c>
      <c r="P1189" s="1">
        <v>134960.0</v>
      </c>
      <c r="Q1189" s="1">
        <v>0.0011</v>
      </c>
      <c r="R1189" s="1">
        <v>90356.0</v>
      </c>
    </row>
    <row r="1190">
      <c r="A1190" s="663" t="s">
        <v>2351</v>
      </c>
      <c r="B1190" s="663" t="s">
        <v>180</v>
      </c>
      <c r="C1190" s="663" t="s">
        <v>53</v>
      </c>
      <c r="D1190" s="663" t="s">
        <v>599</v>
      </c>
      <c r="E1190" s="664" t="s">
        <v>396</v>
      </c>
      <c r="F1190" s="665">
        <v>21620.0</v>
      </c>
      <c r="G1190" s="665">
        <v>16122.0</v>
      </c>
      <c r="H1190" s="665">
        <v>74.57</v>
      </c>
      <c r="I1190" s="665">
        <v>23.65</v>
      </c>
      <c r="J1190" s="665">
        <v>34.39</v>
      </c>
      <c r="K1190" s="665">
        <v>28247.0</v>
      </c>
      <c r="L1190" s="665">
        <v>119445.0</v>
      </c>
      <c r="M1190" s="665">
        <v>1.31</v>
      </c>
      <c r="N1190" s="1">
        <v>1.7521</v>
      </c>
      <c r="O1190" s="1">
        <v>28247.0</v>
      </c>
      <c r="P1190" s="1">
        <v>119445.0</v>
      </c>
      <c r="Q1190" s="1">
        <v>1.3065</v>
      </c>
      <c r="R1190" s="1">
        <v>90356.0</v>
      </c>
    </row>
    <row r="1191">
      <c r="A1191" s="663" t="s">
        <v>2351</v>
      </c>
      <c r="B1191" s="663" t="s">
        <v>180</v>
      </c>
      <c r="C1191" s="663" t="s">
        <v>53</v>
      </c>
      <c r="D1191" s="663" t="s">
        <v>599</v>
      </c>
      <c r="E1191" s="664" t="s">
        <v>418</v>
      </c>
      <c r="F1191" s="665">
        <v>21620.0</v>
      </c>
      <c r="G1191" s="665">
        <v>13221.0</v>
      </c>
      <c r="H1191" s="665">
        <v>61.15</v>
      </c>
      <c r="I1191" s="665">
        <v>17.46</v>
      </c>
      <c r="J1191" s="665">
        <v>17.53</v>
      </c>
      <c r="K1191" s="665">
        <v>20851.0</v>
      </c>
      <c r="L1191" s="665">
        <v>119445.0</v>
      </c>
      <c r="M1191" s="665">
        <v>0.96</v>
      </c>
      <c r="N1191" s="1">
        <v>1.5771</v>
      </c>
      <c r="O1191" s="1">
        <v>20851.0</v>
      </c>
      <c r="P1191" s="1">
        <v>119445.0</v>
      </c>
      <c r="Q1191" s="1">
        <v>0.9644</v>
      </c>
      <c r="R1191" s="1">
        <v>90356.0</v>
      </c>
    </row>
    <row r="1192">
      <c r="A1192" s="663" t="s">
        <v>2351</v>
      </c>
      <c r="B1192" s="663" t="s">
        <v>180</v>
      </c>
      <c r="C1192" s="663" t="s">
        <v>53</v>
      </c>
      <c r="D1192" s="663" t="s">
        <v>599</v>
      </c>
      <c r="E1192" s="664" t="s">
        <v>14</v>
      </c>
      <c r="F1192" s="665">
        <v>21620.0</v>
      </c>
      <c r="G1192" s="665">
        <v>9347.0</v>
      </c>
      <c r="H1192" s="665">
        <v>43.23</v>
      </c>
      <c r="I1192" s="665">
        <v>13.04</v>
      </c>
      <c r="J1192" s="665">
        <v>10.79</v>
      </c>
      <c r="K1192" s="665">
        <v>15577.0</v>
      </c>
      <c r="L1192" s="665">
        <v>119445.0</v>
      </c>
      <c r="M1192" s="665">
        <v>0.72</v>
      </c>
      <c r="N1192" s="1">
        <v>1.6665</v>
      </c>
      <c r="O1192" s="1">
        <v>15577.0</v>
      </c>
      <c r="P1192" s="1">
        <v>119445.0</v>
      </c>
      <c r="Q1192" s="1">
        <v>0.7205</v>
      </c>
      <c r="R1192" s="1">
        <v>90356.0</v>
      </c>
    </row>
    <row r="1193">
      <c r="A1193" s="663" t="s">
        <v>2351</v>
      </c>
      <c r="B1193" s="663" t="s">
        <v>180</v>
      </c>
      <c r="C1193" s="663" t="s">
        <v>53</v>
      </c>
      <c r="D1193" s="663" t="s">
        <v>599</v>
      </c>
      <c r="E1193" s="664" t="s">
        <v>397</v>
      </c>
      <c r="F1193" s="665">
        <v>21620.0</v>
      </c>
      <c r="G1193" s="665">
        <v>6432.0</v>
      </c>
      <c r="H1193" s="665">
        <v>29.75</v>
      </c>
      <c r="I1193" s="665">
        <v>7.12</v>
      </c>
      <c r="J1193" s="665">
        <v>5.41</v>
      </c>
      <c r="K1193" s="665">
        <v>8501.0</v>
      </c>
      <c r="L1193" s="665">
        <v>119445.0</v>
      </c>
      <c r="M1193" s="665">
        <v>0.39</v>
      </c>
      <c r="N1193" s="1">
        <v>1.3217</v>
      </c>
      <c r="O1193" s="1">
        <v>8501.0</v>
      </c>
      <c r="P1193" s="1">
        <v>119445.0</v>
      </c>
      <c r="Q1193" s="1">
        <v>0.3932</v>
      </c>
      <c r="R1193" s="1">
        <v>90356.0</v>
      </c>
    </row>
    <row r="1194">
      <c r="A1194" s="663" t="s">
        <v>2351</v>
      </c>
      <c r="B1194" s="663" t="s">
        <v>180</v>
      </c>
      <c r="C1194" s="663" t="s">
        <v>53</v>
      </c>
      <c r="D1194" s="663" t="s">
        <v>599</v>
      </c>
      <c r="E1194" s="664" t="s">
        <v>9</v>
      </c>
      <c r="F1194" s="665">
        <v>21620.0</v>
      </c>
      <c r="G1194" s="665">
        <v>5406.0</v>
      </c>
      <c r="H1194" s="665">
        <v>25.0</v>
      </c>
      <c r="I1194" s="665">
        <v>5.99</v>
      </c>
      <c r="J1194" s="665">
        <v>4.06</v>
      </c>
      <c r="K1194" s="665">
        <v>7152.0</v>
      </c>
      <c r="L1194" s="665">
        <v>119445.0</v>
      </c>
      <c r="M1194" s="665">
        <v>0.33</v>
      </c>
      <c r="N1194" s="1">
        <v>1.323</v>
      </c>
      <c r="O1194" s="1">
        <v>7152.0</v>
      </c>
      <c r="P1194" s="1">
        <v>119445.0</v>
      </c>
      <c r="Q1194" s="1">
        <v>0.3308</v>
      </c>
      <c r="R1194" s="1">
        <v>90356.0</v>
      </c>
    </row>
    <row r="1195">
      <c r="A1195" s="663" t="s">
        <v>2351</v>
      </c>
      <c r="B1195" s="663" t="s">
        <v>180</v>
      </c>
      <c r="C1195" s="663" t="s">
        <v>53</v>
      </c>
      <c r="D1195" s="663" t="s">
        <v>599</v>
      </c>
      <c r="E1195" s="664" t="s">
        <v>413</v>
      </c>
      <c r="F1195" s="665">
        <v>21620.0</v>
      </c>
      <c r="G1195" s="665">
        <v>5101.0</v>
      </c>
      <c r="H1195" s="665">
        <v>23.59</v>
      </c>
      <c r="I1195" s="665">
        <v>5.05</v>
      </c>
      <c r="J1195" s="665">
        <v>4.44</v>
      </c>
      <c r="K1195" s="665">
        <v>6036.0</v>
      </c>
      <c r="L1195" s="665">
        <v>119445.0</v>
      </c>
      <c r="M1195" s="665">
        <v>0.28</v>
      </c>
      <c r="N1195" s="1">
        <v>1.1833</v>
      </c>
      <c r="O1195" s="1">
        <v>6036.0</v>
      </c>
      <c r="P1195" s="1">
        <v>119445.0</v>
      </c>
      <c r="Q1195" s="1">
        <v>0.2792</v>
      </c>
      <c r="R1195" s="1">
        <v>90356.0</v>
      </c>
    </row>
    <row r="1196">
      <c r="A1196" s="663" t="s">
        <v>2351</v>
      </c>
      <c r="B1196" s="663" t="s">
        <v>180</v>
      </c>
      <c r="C1196" s="663" t="s">
        <v>53</v>
      </c>
      <c r="D1196" s="663" t="s">
        <v>599</v>
      </c>
      <c r="E1196" s="664" t="s">
        <v>16</v>
      </c>
      <c r="F1196" s="665">
        <v>21620.0</v>
      </c>
      <c r="G1196" s="665">
        <v>4120.0</v>
      </c>
      <c r="H1196" s="665">
        <v>19.06</v>
      </c>
      <c r="I1196" s="665">
        <v>4.66</v>
      </c>
      <c r="J1196" s="665">
        <v>4.72</v>
      </c>
      <c r="K1196" s="665">
        <v>5562.0</v>
      </c>
      <c r="L1196" s="665">
        <v>119445.0</v>
      </c>
      <c r="M1196" s="665">
        <v>0.26</v>
      </c>
      <c r="N1196" s="1">
        <v>1.35</v>
      </c>
      <c r="O1196" s="1">
        <v>5562.0</v>
      </c>
      <c r="P1196" s="1">
        <v>119445.0</v>
      </c>
      <c r="Q1196" s="1">
        <v>0.2573</v>
      </c>
      <c r="R1196" s="1">
        <v>90356.0</v>
      </c>
    </row>
    <row r="1197">
      <c r="A1197" s="663" t="s">
        <v>2351</v>
      </c>
      <c r="B1197" s="663" t="s">
        <v>180</v>
      </c>
      <c r="C1197" s="663" t="s">
        <v>53</v>
      </c>
      <c r="D1197" s="663" t="s">
        <v>599</v>
      </c>
      <c r="E1197" s="664" t="s">
        <v>393</v>
      </c>
      <c r="F1197" s="665">
        <v>21620.0</v>
      </c>
      <c r="G1197" s="665">
        <v>2324.0</v>
      </c>
      <c r="H1197" s="665">
        <v>10.75</v>
      </c>
      <c r="I1197" s="665">
        <v>4.33</v>
      </c>
      <c r="J1197" s="665">
        <v>2.5</v>
      </c>
      <c r="K1197" s="665">
        <v>5175.0</v>
      </c>
      <c r="L1197" s="665">
        <v>119445.0</v>
      </c>
      <c r="M1197" s="665">
        <v>0.24</v>
      </c>
      <c r="N1197" s="1">
        <v>2.2268</v>
      </c>
      <c r="O1197" s="1">
        <v>5175.0</v>
      </c>
      <c r="P1197" s="1">
        <v>119445.0</v>
      </c>
      <c r="Q1197" s="1">
        <v>0.2394</v>
      </c>
      <c r="R1197" s="1">
        <v>90356.0</v>
      </c>
    </row>
    <row r="1198">
      <c r="A1198" s="663" t="s">
        <v>2351</v>
      </c>
      <c r="B1198" s="663" t="s">
        <v>180</v>
      </c>
      <c r="C1198" s="663" t="s">
        <v>53</v>
      </c>
      <c r="D1198" s="663" t="s">
        <v>599</v>
      </c>
      <c r="E1198" s="664" t="s">
        <v>42</v>
      </c>
      <c r="F1198" s="665">
        <v>21620.0</v>
      </c>
      <c r="G1198" s="665">
        <v>3416.0</v>
      </c>
      <c r="H1198" s="665">
        <v>15.8</v>
      </c>
      <c r="I1198" s="665">
        <v>3.47</v>
      </c>
      <c r="J1198" s="665">
        <v>3.22</v>
      </c>
      <c r="K1198" s="665">
        <v>4140.0</v>
      </c>
      <c r="L1198" s="665">
        <v>119445.0</v>
      </c>
      <c r="M1198" s="665">
        <v>0.19</v>
      </c>
      <c r="N1198" s="1">
        <v>1.2119</v>
      </c>
      <c r="O1198" s="1">
        <v>4140.0</v>
      </c>
      <c r="P1198" s="1">
        <v>119445.0</v>
      </c>
      <c r="Q1198" s="1">
        <v>0.1915</v>
      </c>
      <c r="R1198" s="1">
        <v>90356.0</v>
      </c>
    </row>
    <row r="1199">
      <c r="A1199" s="663" t="s">
        <v>2351</v>
      </c>
      <c r="B1199" s="663" t="s">
        <v>180</v>
      </c>
      <c r="C1199" s="663" t="s">
        <v>53</v>
      </c>
      <c r="D1199" s="663" t="s">
        <v>599</v>
      </c>
      <c r="E1199" s="664" t="s">
        <v>411</v>
      </c>
      <c r="F1199" s="665">
        <v>21620.0</v>
      </c>
      <c r="G1199" s="665">
        <v>2767.0</v>
      </c>
      <c r="H1199" s="665">
        <v>12.8</v>
      </c>
      <c r="I1199" s="665">
        <v>3.23</v>
      </c>
      <c r="J1199" s="665">
        <v>2.98</v>
      </c>
      <c r="K1199" s="665">
        <v>3858.0</v>
      </c>
      <c r="L1199" s="665">
        <v>119445.0</v>
      </c>
      <c r="M1199" s="665">
        <v>0.18</v>
      </c>
      <c r="N1199" s="1">
        <v>1.3943</v>
      </c>
      <c r="O1199" s="1">
        <v>3858.0</v>
      </c>
      <c r="P1199" s="1">
        <v>119445.0</v>
      </c>
      <c r="Q1199" s="1">
        <v>0.1784</v>
      </c>
      <c r="R1199" s="1">
        <v>90356.0</v>
      </c>
    </row>
    <row r="1200">
      <c r="A1200" s="663" t="s">
        <v>2351</v>
      </c>
      <c r="B1200" s="663" t="s">
        <v>180</v>
      </c>
      <c r="C1200" s="663" t="s">
        <v>53</v>
      </c>
      <c r="D1200" s="663" t="s">
        <v>599</v>
      </c>
      <c r="E1200" s="664" t="s">
        <v>15</v>
      </c>
      <c r="F1200" s="665">
        <v>21620.0</v>
      </c>
      <c r="G1200" s="665">
        <v>1321.0</v>
      </c>
      <c r="H1200" s="665">
        <v>6.11</v>
      </c>
      <c r="I1200" s="665">
        <v>2.81</v>
      </c>
      <c r="J1200" s="665">
        <v>1.86</v>
      </c>
      <c r="K1200" s="665">
        <v>3362.0</v>
      </c>
      <c r="L1200" s="665">
        <v>119445.0</v>
      </c>
      <c r="M1200" s="665">
        <v>0.16</v>
      </c>
      <c r="N1200" s="1">
        <v>2.545</v>
      </c>
      <c r="O1200" s="1">
        <v>3362.0</v>
      </c>
      <c r="P1200" s="1">
        <v>119445.0</v>
      </c>
      <c r="Q1200" s="1">
        <v>0.1555</v>
      </c>
      <c r="R1200" s="1">
        <v>90356.0</v>
      </c>
    </row>
    <row r="1201">
      <c r="A1201" s="663" t="s">
        <v>2351</v>
      </c>
      <c r="B1201" s="663" t="s">
        <v>180</v>
      </c>
      <c r="C1201" s="663" t="s">
        <v>53</v>
      </c>
      <c r="D1201" s="663" t="s">
        <v>599</v>
      </c>
      <c r="E1201" s="664" t="s">
        <v>329</v>
      </c>
      <c r="F1201" s="665">
        <v>21620.0</v>
      </c>
      <c r="G1201" s="665">
        <v>2591.0</v>
      </c>
      <c r="H1201" s="665">
        <v>11.98</v>
      </c>
      <c r="I1201" s="665">
        <v>2.54</v>
      </c>
      <c r="J1201" s="665">
        <v>2.31</v>
      </c>
      <c r="K1201" s="665">
        <v>3032.0</v>
      </c>
      <c r="L1201" s="665">
        <v>119445.0</v>
      </c>
      <c r="M1201" s="665">
        <v>0.14</v>
      </c>
      <c r="N1201" s="1">
        <v>1.1702</v>
      </c>
      <c r="O1201" s="1">
        <v>3032.0</v>
      </c>
      <c r="P1201" s="1">
        <v>119445.0</v>
      </c>
      <c r="Q1201" s="1">
        <v>0.1402</v>
      </c>
      <c r="R1201" s="1">
        <v>90356.0</v>
      </c>
    </row>
    <row r="1202">
      <c r="A1202" s="663" t="s">
        <v>2351</v>
      </c>
      <c r="B1202" s="663" t="s">
        <v>180</v>
      </c>
      <c r="C1202" s="663" t="s">
        <v>53</v>
      </c>
      <c r="D1202" s="663" t="s">
        <v>599</v>
      </c>
      <c r="E1202" s="664" t="s">
        <v>338</v>
      </c>
      <c r="F1202" s="665">
        <v>21620.0</v>
      </c>
      <c r="G1202" s="665">
        <v>2588.0</v>
      </c>
      <c r="H1202" s="665">
        <v>11.97</v>
      </c>
      <c r="I1202" s="665">
        <v>2.52</v>
      </c>
      <c r="J1202" s="665">
        <v>2.05</v>
      </c>
      <c r="K1202" s="665">
        <v>3013.0</v>
      </c>
      <c r="L1202" s="665">
        <v>119445.0</v>
      </c>
      <c r="M1202" s="665">
        <v>0.14</v>
      </c>
      <c r="N1202" s="1">
        <v>1.1642</v>
      </c>
      <c r="O1202" s="1">
        <v>3013.0</v>
      </c>
      <c r="P1202" s="1">
        <v>119445.0</v>
      </c>
      <c r="Q1202" s="1">
        <v>0.1394</v>
      </c>
      <c r="R1202" s="1">
        <v>90356.0</v>
      </c>
    </row>
    <row r="1203">
      <c r="A1203" s="663" t="s">
        <v>2351</v>
      </c>
      <c r="B1203" s="663" t="s">
        <v>180</v>
      </c>
      <c r="C1203" s="663" t="s">
        <v>53</v>
      </c>
      <c r="D1203" s="663" t="s">
        <v>599</v>
      </c>
      <c r="E1203" s="664" t="s">
        <v>341</v>
      </c>
      <c r="F1203" s="665">
        <v>21620.0</v>
      </c>
      <c r="G1203" s="665">
        <v>2416.0</v>
      </c>
      <c r="H1203" s="665">
        <v>11.17</v>
      </c>
      <c r="I1203" s="665">
        <v>2.36</v>
      </c>
      <c r="J1203" s="665">
        <v>2.27</v>
      </c>
      <c r="K1203" s="665">
        <v>2816.0</v>
      </c>
      <c r="L1203" s="665">
        <v>119445.0</v>
      </c>
      <c r="M1203" s="665">
        <v>0.13</v>
      </c>
      <c r="N1203" s="1">
        <v>1.1656</v>
      </c>
      <c r="O1203" s="1">
        <v>2816.0</v>
      </c>
      <c r="P1203" s="1">
        <v>119445.0</v>
      </c>
      <c r="Q1203" s="1">
        <v>0.1302</v>
      </c>
      <c r="R1203" s="1">
        <v>90356.0</v>
      </c>
    </row>
    <row r="1204">
      <c r="A1204" s="663" t="s">
        <v>2351</v>
      </c>
      <c r="B1204" s="663" t="s">
        <v>180</v>
      </c>
      <c r="C1204" s="663" t="s">
        <v>53</v>
      </c>
      <c r="D1204" s="663" t="s">
        <v>599</v>
      </c>
      <c r="E1204" s="664" t="s">
        <v>63</v>
      </c>
      <c r="F1204" s="665">
        <v>21620.0</v>
      </c>
      <c r="G1204" s="665">
        <v>1530.0</v>
      </c>
      <c r="H1204" s="665">
        <v>7.08</v>
      </c>
      <c r="I1204" s="665">
        <v>1.46</v>
      </c>
      <c r="J1204" s="665">
        <v>1.21</v>
      </c>
      <c r="K1204" s="665">
        <v>1745.0</v>
      </c>
      <c r="L1204" s="665">
        <v>119445.0</v>
      </c>
      <c r="M1204" s="665">
        <v>0.08</v>
      </c>
      <c r="N1204" s="1">
        <v>1.1405</v>
      </c>
      <c r="O1204" s="1">
        <v>1745.0</v>
      </c>
      <c r="P1204" s="1">
        <v>119445.0</v>
      </c>
      <c r="Q1204" s="1">
        <v>0.0807</v>
      </c>
      <c r="R1204" s="1">
        <v>90356.0</v>
      </c>
    </row>
    <row r="1205">
      <c r="A1205" s="663" t="s">
        <v>2351</v>
      </c>
      <c r="B1205" s="663" t="s">
        <v>180</v>
      </c>
      <c r="C1205" s="663" t="s">
        <v>53</v>
      </c>
      <c r="D1205" s="663" t="s">
        <v>599</v>
      </c>
      <c r="E1205" s="664" t="s">
        <v>7</v>
      </c>
      <c r="F1205" s="665">
        <v>21620.0</v>
      </c>
      <c r="G1205" s="665">
        <v>341.0</v>
      </c>
      <c r="H1205" s="665">
        <v>1.58</v>
      </c>
      <c r="I1205" s="665">
        <v>0.3</v>
      </c>
      <c r="J1205" s="665">
        <v>0.25</v>
      </c>
      <c r="K1205" s="665">
        <v>358.0</v>
      </c>
      <c r="L1205" s="665">
        <v>119445.0</v>
      </c>
      <c r="M1205" s="665">
        <v>0.02</v>
      </c>
      <c r="N1205" s="1">
        <v>1.0499</v>
      </c>
      <c r="O1205" s="1">
        <v>358.0</v>
      </c>
      <c r="P1205" s="1">
        <v>119445.0</v>
      </c>
      <c r="Q1205" s="1">
        <v>0.0166</v>
      </c>
      <c r="R1205" s="1">
        <v>90356.0</v>
      </c>
    </row>
    <row r="1206">
      <c r="A1206" s="663" t="s">
        <v>2351</v>
      </c>
      <c r="B1206" s="663" t="s">
        <v>180</v>
      </c>
      <c r="C1206" s="663" t="s">
        <v>53</v>
      </c>
      <c r="D1206" s="663" t="s">
        <v>599</v>
      </c>
      <c r="E1206" s="664" t="s">
        <v>73</v>
      </c>
      <c r="F1206" s="665">
        <v>21620.0</v>
      </c>
      <c r="G1206" s="665">
        <v>11.0</v>
      </c>
      <c r="H1206" s="665">
        <v>0.05</v>
      </c>
      <c r="I1206" s="665">
        <v>0.01</v>
      </c>
      <c r="J1206" s="665">
        <v>0.0</v>
      </c>
      <c r="K1206" s="665">
        <v>11.0</v>
      </c>
      <c r="L1206" s="665">
        <v>119445.0</v>
      </c>
      <c r="M1206" s="665">
        <v>0.0</v>
      </c>
      <c r="N1206" s="1">
        <v>1.0</v>
      </c>
      <c r="O1206" s="1">
        <v>11.0</v>
      </c>
      <c r="P1206" s="1">
        <v>119445.0</v>
      </c>
      <c r="Q1206" s="1">
        <v>5.0E-4</v>
      </c>
      <c r="R1206" s="1">
        <v>90356.0</v>
      </c>
    </row>
    <row r="1207">
      <c r="A1207" s="663" t="s">
        <v>2351</v>
      </c>
      <c r="B1207" s="663" t="s">
        <v>180</v>
      </c>
      <c r="C1207" s="663" t="s">
        <v>53</v>
      </c>
      <c r="D1207" s="663" t="s">
        <v>599</v>
      </c>
      <c r="E1207" s="664" t="s">
        <v>151</v>
      </c>
      <c r="F1207" s="665">
        <v>21620.0</v>
      </c>
      <c r="G1207" s="665">
        <v>2.0</v>
      </c>
      <c r="H1207" s="665">
        <v>0.01</v>
      </c>
      <c r="I1207" s="665">
        <v>0.0</v>
      </c>
      <c r="J1207" s="665">
        <v>0.0</v>
      </c>
      <c r="K1207" s="665">
        <v>2.0</v>
      </c>
      <c r="L1207" s="665">
        <v>119445.0</v>
      </c>
      <c r="M1207" s="665">
        <v>0.0</v>
      </c>
      <c r="N1207" s="1">
        <v>1.0</v>
      </c>
      <c r="O1207" s="1">
        <v>2.0</v>
      </c>
      <c r="P1207" s="1">
        <v>119445.0</v>
      </c>
      <c r="Q1207" s="1">
        <v>1.0E-4</v>
      </c>
      <c r="R1207" s="1">
        <v>90356.0</v>
      </c>
    </row>
    <row r="1208">
      <c r="A1208" s="663" t="s">
        <v>2351</v>
      </c>
      <c r="B1208" s="663" t="s">
        <v>180</v>
      </c>
      <c r="C1208" s="663" t="s">
        <v>53</v>
      </c>
      <c r="D1208" s="663" t="s">
        <v>599</v>
      </c>
      <c r="E1208" s="664" t="s">
        <v>206</v>
      </c>
      <c r="F1208" s="665">
        <v>21620.0</v>
      </c>
      <c r="G1208" s="665">
        <v>5.0</v>
      </c>
      <c r="H1208" s="665">
        <v>0.02</v>
      </c>
      <c r="I1208" s="665">
        <v>0.0</v>
      </c>
      <c r="J1208" s="665">
        <v>0.0</v>
      </c>
      <c r="K1208" s="665">
        <v>5.0</v>
      </c>
      <c r="L1208" s="665">
        <v>119445.0</v>
      </c>
      <c r="M1208" s="665">
        <v>0.0</v>
      </c>
      <c r="N1208" s="1">
        <v>1.0</v>
      </c>
      <c r="O1208" s="1">
        <v>5.0</v>
      </c>
      <c r="P1208" s="1">
        <v>119445.0</v>
      </c>
      <c r="Q1208" s="1">
        <v>2.0E-4</v>
      </c>
      <c r="R1208" s="1">
        <v>90356.0</v>
      </c>
    </row>
    <row r="1209">
      <c r="A1209" s="663" t="s">
        <v>2351</v>
      </c>
      <c r="B1209" s="663" t="s">
        <v>180</v>
      </c>
      <c r="C1209" s="663" t="s">
        <v>53</v>
      </c>
      <c r="D1209" s="663" t="s">
        <v>599</v>
      </c>
      <c r="E1209" s="664" t="s">
        <v>398</v>
      </c>
      <c r="F1209" s="665">
        <v>21620.0</v>
      </c>
      <c r="G1209" s="665">
        <v>1.0</v>
      </c>
      <c r="H1209" s="665">
        <v>0.0</v>
      </c>
      <c r="I1209" s="665">
        <v>0.0</v>
      </c>
      <c r="J1209" s="665">
        <v>0.0</v>
      </c>
      <c r="K1209" s="665">
        <v>2.0</v>
      </c>
      <c r="L1209" s="665">
        <v>119445.0</v>
      </c>
      <c r="M1209" s="665">
        <v>0.0</v>
      </c>
      <c r="N1209" s="1">
        <v>2.0</v>
      </c>
      <c r="O1209" s="1">
        <v>2.0</v>
      </c>
      <c r="P1209" s="1">
        <v>119445.0</v>
      </c>
      <c r="Q1209" s="1">
        <v>1.0E-4</v>
      </c>
      <c r="R1209" s="1">
        <v>90356.0</v>
      </c>
    </row>
    <row r="1210">
      <c r="A1210" s="663" t="s">
        <v>2351</v>
      </c>
      <c r="B1210" s="663" t="s">
        <v>180</v>
      </c>
      <c r="C1210" s="663" t="s">
        <v>52</v>
      </c>
      <c r="D1210" s="663" t="s">
        <v>599</v>
      </c>
      <c r="E1210" s="664" t="s">
        <v>14</v>
      </c>
      <c r="F1210" s="665">
        <v>23822.0</v>
      </c>
      <c r="G1210" s="665">
        <v>13002.0</v>
      </c>
      <c r="H1210" s="665">
        <v>54.58</v>
      </c>
      <c r="I1210" s="665">
        <v>25.11</v>
      </c>
      <c r="J1210" s="665">
        <v>20.67</v>
      </c>
      <c r="K1210" s="665">
        <v>40026.0</v>
      </c>
      <c r="L1210" s="665">
        <v>159383.0</v>
      </c>
      <c r="M1210" s="665">
        <v>1.68</v>
      </c>
      <c r="N1210" s="1">
        <v>3.0784</v>
      </c>
      <c r="O1210" s="1">
        <v>40026.0</v>
      </c>
      <c r="P1210" s="1">
        <v>159383.0</v>
      </c>
      <c r="Q1210" s="1">
        <v>1.6802</v>
      </c>
      <c r="R1210" s="1">
        <v>90356.0</v>
      </c>
    </row>
    <row r="1211">
      <c r="A1211" s="663" t="s">
        <v>2351</v>
      </c>
      <c r="B1211" s="663" t="s">
        <v>180</v>
      </c>
      <c r="C1211" s="663" t="s">
        <v>52</v>
      </c>
      <c r="D1211" s="663" t="s">
        <v>599</v>
      </c>
      <c r="E1211" s="664" t="s">
        <v>396</v>
      </c>
      <c r="F1211" s="665">
        <v>23822.0</v>
      </c>
      <c r="G1211" s="665">
        <v>16267.0</v>
      </c>
      <c r="H1211" s="665">
        <v>68.29</v>
      </c>
      <c r="I1211" s="665">
        <v>16.78</v>
      </c>
      <c r="J1211" s="665">
        <v>26.98</v>
      </c>
      <c r="K1211" s="665">
        <v>26750.0</v>
      </c>
      <c r="L1211" s="665">
        <v>159383.0</v>
      </c>
      <c r="M1211" s="665">
        <v>1.12</v>
      </c>
      <c r="N1211" s="1">
        <v>1.6444</v>
      </c>
      <c r="O1211" s="1">
        <v>26750.0</v>
      </c>
      <c r="P1211" s="1">
        <v>159383.0</v>
      </c>
      <c r="Q1211" s="1">
        <v>1.1229</v>
      </c>
      <c r="R1211" s="1">
        <v>90356.0</v>
      </c>
    </row>
    <row r="1212">
      <c r="A1212" s="663" t="s">
        <v>2351</v>
      </c>
      <c r="B1212" s="663" t="s">
        <v>180</v>
      </c>
      <c r="C1212" s="663" t="s">
        <v>52</v>
      </c>
      <c r="D1212" s="663" t="s">
        <v>599</v>
      </c>
      <c r="E1212" s="664" t="s">
        <v>418</v>
      </c>
      <c r="F1212" s="665">
        <v>23822.0</v>
      </c>
      <c r="G1212" s="665">
        <v>14261.0</v>
      </c>
      <c r="H1212" s="665">
        <v>59.86</v>
      </c>
      <c r="I1212" s="665">
        <v>13.75</v>
      </c>
      <c r="J1212" s="665">
        <v>15.32</v>
      </c>
      <c r="K1212" s="665">
        <v>21916.0</v>
      </c>
      <c r="L1212" s="665">
        <v>159383.0</v>
      </c>
      <c r="M1212" s="665">
        <v>0.92</v>
      </c>
      <c r="N1212" s="1">
        <v>1.5368</v>
      </c>
      <c r="O1212" s="1">
        <v>21916.0</v>
      </c>
      <c r="P1212" s="1">
        <v>159383.0</v>
      </c>
      <c r="Q1212" s="1">
        <v>0.92</v>
      </c>
      <c r="R1212" s="1">
        <v>90356.0</v>
      </c>
    </row>
    <row r="1213">
      <c r="A1213" s="663" t="s">
        <v>2351</v>
      </c>
      <c r="B1213" s="663" t="s">
        <v>180</v>
      </c>
      <c r="C1213" s="663" t="s">
        <v>52</v>
      </c>
      <c r="D1213" s="663" t="s">
        <v>599</v>
      </c>
      <c r="E1213" s="664" t="s">
        <v>397</v>
      </c>
      <c r="F1213" s="665">
        <v>23822.0</v>
      </c>
      <c r="G1213" s="665">
        <v>9816.0</v>
      </c>
      <c r="H1213" s="665">
        <v>41.21</v>
      </c>
      <c r="I1213" s="665">
        <v>8.73</v>
      </c>
      <c r="J1213" s="665">
        <v>8.09</v>
      </c>
      <c r="K1213" s="665">
        <v>13914.0</v>
      </c>
      <c r="L1213" s="665">
        <v>159383.0</v>
      </c>
      <c r="M1213" s="665">
        <v>0.58</v>
      </c>
      <c r="N1213" s="1">
        <v>1.4175</v>
      </c>
      <c r="O1213" s="1">
        <v>13914.0</v>
      </c>
      <c r="P1213" s="1">
        <v>159383.0</v>
      </c>
      <c r="Q1213" s="1">
        <v>0.5841</v>
      </c>
      <c r="R1213" s="1">
        <v>90356.0</v>
      </c>
    </row>
    <row r="1214">
      <c r="A1214" s="663" t="s">
        <v>2351</v>
      </c>
      <c r="B1214" s="663" t="s">
        <v>180</v>
      </c>
      <c r="C1214" s="663" t="s">
        <v>52</v>
      </c>
      <c r="D1214" s="663" t="s">
        <v>599</v>
      </c>
      <c r="E1214" s="664" t="s">
        <v>398</v>
      </c>
      <c r="F1214" s="665">
        <v>23822.0</v>
      </c>
      <c r="G1214" s="665">
        <v>6444.0</v>
      </c>
      <c r="H1214" s="665">
        <v>27.05</v>
      </c>
      <c r="I1214" s="665">
        <v>6.07</v>
      </c>
      <c r="J1214" s="665">
        <v>5.94</v>
      </c>
      <c r="K1214" s="665">
        <v>9677.0</v>
      </c>
      <c r="L1214" s="665">
        <v>159383.0</v>
      </c>
      <c r="M1214" s="665">
        <v>0.41</v>
      </c>
      <c r="N1214" s="1">
        <v>1.5017</v>
      </c>
      <c r="O1214" s="1">
        <v>9677.0</v>
      </c>
      <c r="P1214" s="1">
        <v>159383.0</v>
      </c>
      <c r="Q1214" s="1">
        <v>0.4062</v>
      </c>
      <c r="R1214" s="1">
        <v>90356.0</v>
      </c>
    </row>
    <row r="1215">
      <c r="A1215" s="663" t="s">
        <v>2351</v>
      </c>
      <c r="B1215" s="663" t="s">
        <v>180</v>
      </c>
      <c r="C1215" s="663" t="s">
        <v>52</v>
      </c>
      <c r="D1215" s="663" t="s">
        <v>599</v>
      </c>
      <c r="E1215" s="664" t="s">
        <v>15</v>
      </c>
      <c r="F1215" s="665">
        <v>23822.0</v>
      </c>
      <c r="G1215" s="665">
        <v>3748.0</v>
      </c>
      <c r="H1215" s="665">
        <v>15.73</v>
      </c>
      <c r="I1215" s="665">
        <v>4.94</v>
      </c>
      <c r="J1215" s="665">
        <v>3.77</v>
      </c>
      <c r="K1215" s="665">
        <v>7875.0</v>
      </c>
      <c r="L1215" s="665">
        <v>159383.0</v>
      </c>
      <c r="M1215" s="665">
        <v>0.33</v>
      </c>
      <c r="N1215" s="1">
        <v>2.1011</v>
      </c>
      <c r="O1215" s="1">
        <v>7875.0</v>
      </c>
      <c r="P1215" s="1">
        <v>159383.0</v>
      </c>
      <c r="Q1215" s="1">
        <v>0.3306</v>
      </c>
      <c r="R1215" s="1">
        <v>90356.0</v>
      </c>
    </row>
    <row r="1216">
      <c r="A1216" s="663" t="s">
        <v>2351</v>
      </c>
      <c r="B1216" s="663" t="s">
        <v>180</v>
      </c>
      <c r="C1216" s="663" t="s">
        <v>52</v>
      </c>
      <c r="D1216" s="663" t="s">
        <v>599</v>
      </c>
      <c r="E1216" s="664" t="s">
        <v>51</v>
      </c>
      <c r="F1216" s="665">
        <v>23822.0</v>
      </c>
      <c r="G1216" s="665">
        <v>3231.0</v>
      </c>
      <c r="H1216" s="665">
        <v>13.56</v>
      </c>
      <c r="I1216" s="665">
        <v>3.04</v>
      </c>
      <c r="J1216" s="665">
        <v>1.93</v>
      </c>
      <c r="K1216" s="665">
        <v>4838.0</v>
      </c>
      <c r="L1216" s="665">
        <v>159383.0</v>
      </c>
      <c r="M1216" s="665">
        <v>0.2</v>
      </c>
      <c r="N1216" s="1">
        <v>1.4974</v>
      </c>
      <c r="O1216" s="1">
        <v>4838.0</v>
      </c>
      <c r="P1216" s="1">
        <v>159383.0</v>
      </c>
      <c r="Q1216" s="1">
        <v>0.2031</v>
      </c>
      <c r="R1216" s="1">
        <v>90356.0</v>
      </c>
    </row>
    <row r="1217">
      <c r="A1217" s="663" t="s">
        <v>2351</v>
      </c>
      <c r="B1217" s="663" t="s">
        <v>180</v>
      </c>
      <c r="C1217" s="663" t="s">
        <v>52</v>
      </c>
      <c r="D1217" s="663" t="s">
        <v>599</v>
      </c>
      <c r="E1217" s="664" t="s">
        <v>393</v>
      </c>
      <c r="F1217" s="665">
        <v>23822.0</v>
      </c>
      <c r="G1217" s="665">
        <v>2260.0</v>
      </c>
      <c r="H1217" s="665">
        <v>9.49</v>
      </c>
      <c r="I1217" s="665">
        <v>3.03</v>
      </c>
      <c r="J1217" s="665">
        <v>1.65</v>
      </c>
      <c r="K1217" s="665">
        <v>4831.0</v>
      </c>
      <c r="L1217" s="665">
        <v>159383.0</v>
      </c>
      <c r="M1217" s="665">
        <v>0.2</v>
      </c>
      <c r="N1217" s="1">
        <v>2.1376</v>
      </c>
      <c r="O1217" s="1">
        <v>4831.0</v>
      </c>
      <c r="P1217" s="1">
        <v>159383.0</v>
      </c>
      <c r="Q1217" s="1">
        <v>0.2028</v>
      </c>
      <c r="R1217" s="1">
        <v>90356.0</v>
      </c>
    </row>
    <row r="1218">
      <c r="A1218" s="663" t="s">
        <v>2351</v>
      </c>
      <c r="B1218" s="663" t="s">
        <v>180</v>
      </c>
      <c r="C1218" s="663" t="s">
        <v>52</v>
      </c>
      <c r="D1218" s="663" t="s">
        <v>599</v>
      </c>
      <c r="E1218" s="664" t="s">
        <v>63</v>
      </c>
      <c r="F1218" s="665">
        <v>23822.0</v>
      </c>
      <c r="G1218" s="665">
        <v>3337.0</v>
      </c>
      <c r="H1218" s="665">
        <v>14.01</v>
      </c>
      <c r="I1218" s="665">
        <v>2.65</v>
      </c>
      <c r="J1218" s="665">
        <v>2.25</v>
      </c>
      <c r="K1218" s="665">
        <v>4231.0</v>
      </c>
      <c r="L1218" s="665">
        <v>159383.0</v>
      </c>
      <c r="M1218" s="665">
        <v>0.18</v>
      </c>
      <c r="N1218" s="1">
        <v>1.2679</v>
      </c>
      <c r="O1218" s="1">
        <v>4231.0</v>
      </c>
      <c r="P1218" s="1">
        <v>159383.0</v>
      </c>
      <c r="Q1218" s="1">
        <v>0.1776</v>
      </c>
      <c r="R1218" s="1">
        <v>90356.0</v>
      </c>
    </row>
    <row r="1219">
      <c r="A1219" s="663" t="s">
        <v>2351</v>
      </c>
      <c r="B1219" s="663" t="s">
        <v>180</v>
      </c>
      <c r="C1219" s="663" t="s">
        <v>52</v>
      </c>
      <c r="D1219" s="663" t="s">
        <v>599</v>
      </c>
      <c r="E1219" s="664" t="s">
        <v>9</v>
      </c>
      <c r="F1219" s="665">
        <v>23822.0</v>
      </c>
      <c r="G1219" s="665">
        <v>2913.0</v>
      </c>
      <c r="H1219" s="665">
        <v>12.23</v>
      </c>
      <c r="I1219" s="665">
        <v>2.33</v>
      </c>
      <c r="J1219" s="665">
        <v>1.28</v>
      </c>
      <c r="K1219" s="665">
        <v>3709.0</v>
      </c>
      <c r="L1219" s="665">
        <v>159383.0</v>
      </c>
      <c r="M1219" s="665">
        <v>0.16</v>
      </c>
      <c r="N1219" s="1">
        <v>1.2733</v>
      </c>
      <c r="O1219" s="1">
        <v>3709.0</v>
      </c>
      <c r="P1219" s="1">
        <v>159383.0</v>
      </c>
      <c r="Q1219" s="1">
        <v>0.1557</v>
      </c>
      <c r="R1219" s="1">
        <v>90356.0</v>
      </c>
    </row>
    <row r="1220">
      <c r="A1220" s="663" t="s">
        <v>2351</v>
      </c>
      <c r="B1220" s="663" t="s">
        <v>180</v>
      </c>
      <c r="C1220" s="663" t="s">
        <v>52</v>
      </c>
      <c r="D1220" s="663" t="s">
        <v>599</v>
      </c>
      <c r="E1220" s="664" t="s">
        <v>16</v>
      </c>
      <c r="F1220" s="665">
        <v>23822.0</v>
      </c>
      <c r="G1220" s="665">
        <v>2626.0</v>
      </c>
      <c r="H1220" s="665">
        <v>11.02</v>
      </c>
      <c r="I1220" s="665">
        <v>2.1</v>
      </c>
      <c r="J1220" s="665">
        <v>1.74</v>
      </c>
      <c r="K1220" s="665">
        <v>3344.0</v>
      </c>
      <c r="L1220" s="665">
        <v>159383.0</v>
      </c>
      <c r="M1220" s="665">
        <v>0.14</v>
      </c>
      <c r="N1220" s="1">
        <v>1.2734</v>
      </c>
      <c r="O1220" s="1">
        <v>3344.0</v>
      </c>
      <c r="P1220" s="1">
        <v>159383.0</v>
      </c>
      <c r="Q1220" s="1">
        <v>0.1404</v>
      </c>
      <c r="R1220" s="1">
        <v>90356.0</v>
      </c>
    </row>
    <row r="1221">
      <c r="A1221" s="663" t="s">
        <v>2351</v>
      </c>
      <c r="B1221" s="663" t="s">
        <v>180</v>
      </c>
      <c r="C1221" s="663" t="s">
        <v>52</v>
      </c>
      <c r="D1221" s="663" t="s">
        <v>599</v>
      </c>
      <c r="E1221" s="664" t="s">
        <v>341</v>
      </c>
      <c r="F1221" s="665">
        <v>23822.0</v>
      </c>
      <c r="G1221" s="665">
        <v>2822.0</v>
      </c>
      <c r="H1221" s="665">
        <v>11.85</v>
      </c>
      <c r="I1221" s="665">
        <v>2.05</v>
      </c>
      <c r="J1221" s="665">
        <v>2.13</v>
      </c>
      <c r="K1221" s="665">
        <v>3268.0</v>
      </c>
      <c r="L1221" s="665">
        <v>159383.0</v>
      </c>
      <c r="M1221" s="665">
        <v>0.14</v>
      </c>
      <c r="N1221" s="1">
        <v>1.158</v>
      </c>
      <c r="O1221" s="1">
        <v>3268.0</v>
      </c>
      <c r="P1221" s="1">
        <v>159383.0</v>
      </c>
      <c r="Q1221" s="1">
        <v>0.1372</v>
      </c>
      <c r="R1221" s="1">
        <v>90356.0</v>
      </c>
    </row>
    <row r="1222">
      <c r="A1222" s="663" t="s">
        <v>2351</v>
      </c>
      <c r="B1222" s="663" t="s">
        <v>180</v>
      </c>
      <c r="C1222" s="663" t="s">
        <v>52</v>
      </c>
      <c r="D1222" s="663" t="s">
        <v>599</v>
      </c>
      <c r="E1222" s="664" t="s">
        <v>42</v>
      </c>
      <c r="F1222" s="665">
        <v>23822.0</v>
      </c>
      <c r="G1222" s="665">
        <v>2612.0</v>
      </c>
      <c r="H1222" s="665">
        <v>10.96</v>
      </c>
      <c r="I1222" s="665">
        <v>1.97</v>
      </c>
      <c r="J1222" s="665">
        <v>1.59</v>
      </c>
      <c r="K1222" s="665">
        <v>3142.0</v>
      </c>
      <c r="L1222" s="665">
        <v>159383.0</v>
      </c>
      <c r="M1222" s="665">
        <v>0.13</v>
      </c>
      <c r="N1222" s="1">
        <v>1.2029</v>
      </c>
      <c r="O1222" s="1">
        <v>3142.0</v>
      </c>
      <c r="P1222" s="1">
        <v>159383.0</v>
      </c>
      <c r="Q1222" s="1">
        <v>0.1319</v>
      </c>
      <c r="R1222" s="1">
        <v>90356.0</v>
      </c>
    </row>
    <row r="1223">
      <c r="A1223" s="663" t="s">
        <v>2351</v>
      </c>
      <c r="B1223" s="663" t="s">
        <v>180</v>
      </c>
      <c r="C1223" s="663" t="s">
        <v>52</v>
      </c>
      <c r="D1223" s="663" t="s">
        <v>599</v>
      </c>
      <c r="E1223" s="664" t="s">
        <v>329</v>
      </c>
      <c r="F1223" s="665">
        <v>23822.0</v>
      </c>
      <c r="G1223" s="665">
        <v>2667.0</v>
      </c>
      <c r="H1223" s="665">
        <v>11.2</v>
      </c>
      <c r="I1223" s="665">
        <v>1.95</v>
      </c>
      <c r="J1223" s="665">
        <v>2.0</v>
      </c>
      <c r="K1223" s="665">
        <v>3102.0</v>
      </c>
      <c r="L1223" s="665">
        <v>159383.0</v>
      </c>
      <c r="M1223" s="665">
        <v>0.13</v>
      </c>
      <c r="N1223" s="1">
        <v>1.1631</v>
      </c>
      <c r="O1223" s="1">
        <v>3102.0</v>
      </c>
      <c r="P1223" s="1">
        <v>159383.0</v>
      </c>
      <c r="Q1223" s="1">
        <v>0.1302</v>
      </c>
      <c r="R1223" s="1">
        <v>90356.0</v>
      </c>
    </row>
    <row r="1224">
      <c r="A1224" s="663" t="s">
        <v>2351</v>
      </c>
      <c r="B1224" s="663" t="s">
        <v>180</v>
      </c>
      <c r="C1224" s="663" t="s">
        <v>52</v>
      </c>
      <c r="D1224" s="663" t="s">
        <v>599</v>
      </c>
      <c r="E1224" s="664" t="s">
        <v>338</v>
      </c>
      <c r="F1224" s="665">
        <v>23822.0</v>
      </c>
      <c r="G1224" s="665">
        <v>2617.0</v>
      </c>
      <c r="H1224" s="665">
        <v>10.99</v>
      </c>
      <c r="I1224" s="665">
        <v>1.9</v>
      </c>
      <c r="J1224" s="665">
        <v>1.79</v>
      </c>
      <c r="K1224" s="665">
        <v>3029.0</v>
      </c>
      <c r="L1224" s="665">
        <v>159383.0</v>
      </c>
      <c r="M1224" s="665">
        <v>0.13</v>
      </c>
      <c r="N1224" s="1">
        <v>1.1574</v>
      </c>
      <c r="O1224" s="1">
        <v>3029.0</v>
      </c>
      <c r="P1224" s="1">
        <v>159383.0</v>
      </c>
      <c r="Q1224" s="1">
        <v>0.1272</v>
      </c>
      <c r="R1224" s="1">
        <v>90356.0</v>
      </c>
    </row>
    <row r="1225">
      <c r="A1225" s="663" t="s">
        <v>2351</v>
      </c>
      <c r="B1225" s="663" t="s">
        <v>180</v>
      </c>
      <c r="C1225" s="663" t="s">
        <v>52</v>
      </c>
      <c r="D1225" s="663" t="s">
        <v>599</v>
      </c>
      <c r="E1225" s="664" t="s">
        <v>411</v>
      </c>
      <c r="F1225" s="665">
        <v>23822.0</v>
      </c>
      <c r="G1225" s="665">
        <v>2189.0</v>
      </c>
      <c r="H1225" s="665">
        <v>9.19</v>
      </c>
      <c r="I1225" s="665">
        <v>1.54</v>
      </c>
      <c r="J1225" s="665">
        <v>1.58</v>
      </c>
      <c r="K1225" s="665">
        <v>2460.0</v>
      </c>
      <c r="L1225" s="665">
        <v>159383.0</v>
      </c>
      <c r="M1225" s="665">
        <v>0.1</v>
      </c>
      <c r="N1225" s="1">
        <v>1.1238</v>
      </c>
      <c r="O1225" s="1">
        <v>2460.0</v>
      </c>
      <c r="P1225" s="1">
        <v>159383.0</v>
      </c>
      <c r="Q1225" s="1">
        <v>0.1033</v>
      </c>
      <c r="R1225" s="1">
        <v>90356.0</v>
      </c>
    </row>
    <row r="1226">
      <c r="A1226" s="663" t="s">
        <v>2351</v>
      </c>
      <c r="B1226" s="663" t="s">
        <v>180</v>
      </c>
      <c r="C1226" s="663" t="s">
        <v>52</v>
      </c>
      <c r="D1226" s="663" t="s">
        <v>599</v>
      </c>
      <c r="E1226" s="664" t="s">
        <v>413</v>
      </c>
      <c r="F1226" s="665">
        <v>23822.0</v>
      </c>
      <c r="G1226" s="665">
        <v>2183.0</v>
      </c>
      <c r="H1226" s="665">
        <v>9.16</v>
      </c>
      <c r="I1226" s="665">
        <v>1.49</v>
      </c>
      <c r="J1226" s="665">
        <v>0.84</v>
      </c>
      <c r="K1226" s="665">
        <v>2372.0</v>
      </c>
      <c r="L1226" s="665">
        <v>159383.0</v>
      </c>
      <c r="M1226" s="665">
        <v>0.1</v>
      </c>
      <c r="N1226" s="1">
        <v>1.0866</v>
      </c>
      <c r="O1226" s="1">
        <v>2372.0</v>
      </c>
      <c r="P1226" s="1">
        <v>159383.0</v>
      </c>
      <c r="Q1226" s="1">
        <v>0.0996</v>
      </c>
      <c r="R1226" s="1">
        <v>90356.0</v>
      </c>
    </row>
    <row r="1227">
      <c r="A1227" s="663" t="s">
        <v>2351</v>
      </c>
      <c r="B1227" s="663" t="s">
        <v>180</v>
      </c>
      <c r="C1227" s="663" t="s">
        <v>52</v>
      </c>
      <c r="D1227" s="663" t="s">
        <v>599</v>
      </c>
      <c r="E1227" s="664" t="s">
        <v>7</v>
      </c>
      <c r="F1227" s="665">
        <v>23822.0</v>
      </c>
      <c r="G1227" s="665">
        <v>799.0</v>
      </c>
      <c r="H1227" s="665">
        <v>3.35</v>
      </c>
      <c r="I1227" s="665">
        <v>0.54</v>
      </c>
      <c r="J1227" s="665">
        <v>0.42</v>
      </c>
      <c r="K1227" s="665">
        <v>860.0</v>
      </c>
      <c r="L1227" s="665">
        <v>159383.0</v>
      </c>
      <c r="M1227" s="665">
        <v>0.04</v>
      </c>
      <c r="N1227" s="1">
        <v>1.0763</v>
      </c>
      <c r="O1227" s="1">
        <v>860.0</v>
      </c>
      <c r="P1227" s="1">
        <v>159383.0</v>
      </c>
      <c r="Q1227" s="1">
        <v>0.0361</v>
      </c>
      <c r="R1227" s="1">
        <v>90356.0</v>
      </c>
    </row>
    <row r="1228">
      <c r="A1228" s="663" t="s">
        <v>2351</v>
      </c>
      <c r="B1228" s="663" t="s">
        <v>180</v>
      </c>
      <c r="C1228" s="663" t="s">
        <v>52</v>
      </c>
      <c r="D1228" s="663" t="s">
        <v>599</v>
      </c>
      <c r="E1228" s="664" t="s">
        <v>401</v>
      </c>
      <c r="F1228" s="665">
        <v>23822.0</v>
      </c>
      <c r="G1228" s="665">
        <v>24.0</v>
      </c>
      <c r="H1228" s="665">
        <v>0.1</v>
      </c>
      <c r="I1228" s="665">
        <v>0.02</v>
      </c>
      <c r="J1228" s="665">
        <v>0.01</v>
      </c>
      <c r="K1228" s="665">
        <v>24.0</v>
      </c>
      <c r="L1228" s="665">
        <v>159383.0</v>
      </c>
      <c r="M1228" s="665">
        <v>0.0</v>
      </c>
      <c r="N1228" s="1">
        <v>1.0</v>
      </c>
      <c r="O1228" s="1">
        <v>24.0</v>
      </c>
      <c r="P1228" s="1">
        <v>159383.0</v>
      </c>
      <c r="Q1228" s="1">
        <v>0.001</v>
      </c>
      <c r="R1228" s="1">
        <v>90356.0</v>
      </c>
    </row>
    <row r="1229">
      <c r="A1229" s="663" t="s">
        <v>2351</v>
      </c>
      <c r="B1229" s="663" t="s">
        <v>180</v>
      </c>
      <c r="C1229" s="663" t="s">
        <v>52</v>
      </c>
      <c r="D1229" s="663" t="s">
        <v>599</v>
      </c>
      <c r="E1229" s="664" t="s">
        <v>206</v>
      </c>
      <c r="F1229" s="665">
        <v>23822.0</v>
      </c>
      <c r="G1229" s="665">
        <v>15.0</v>
      </c>
      <c r="H1229" s="665">
        <v>0.06</v>
      </c>
      <c r="I1229" s="665">
        <v>0.01</v>
      </c>
      <c r="J1229" s="665">
        <v>0.01</v>
      </c>
      <c r="K1229" s="665">
        <v>15.0</v>
      </c>
      <c r="L1229" s="665">
        <v>159383.0</v>
      </c>
      <c r="M1229" s="665">
        <v>0.0</v>
      </c>
      <c r="N1229" s="1">
        <v>1.0</v>
      </c>
      <c r="O1229" s="1">
        <v>15.0</v>
      </c>
      <c r="P1229" s="1">
        <v>159383.0</v>
      </c>
      <c r="Q1229" s="1">
        <v>6.0E-4</v>
      </c>
      <c r="R1229" s="1">
        <v>90356.0</v>
      </c>
    </row>
    <row r="1230">
      <c r="A1230" s="663" t="s">
        <v>2351</v>
      </c>
      <c r="B1230" s="663" t="s">
        <v>180</v>
      </c>
      <c r="C1230" s="663" t="s">
        <v>1209</v>
      </c>
      <c r="D1230" s="663" t="s">
        <v>2234</v>
      </c>
      <c r="E1230" s="664" t="s">
        <v>397</v>
      </c>
      <c r="F1230" s="665">
        <v>3819.0</v>
      </c>
      <c r="G1230" s="665">
        <v>1016.0</v>
      </c>
      <c r="H1230" s="665">
        <v>26.6</v>
      </c>
      <c r="I1230" s="665">
        <v>42.76</v>
      </c>
      <c r="J1230" s="665">
        <v>22.22</v>
      </c>
      <c r="K1230" s="665">
        <v>31050.0</v>
      </c>
      <c r="L1230" s="665">
        <v>72610.0</v>
      </c>
      <c r="M1230" s="665">
        <v>8.13</v>
      </c>
      <c r="N1230" s="1">
        <v>30.561</v>
      </c>
      <c r="O1230" s="1">
        <v>31050.0</v>
      </c>
      <c r="P1230" s="1">
        <v>72610.0</v>
      </c>
      <c r="Q1230" s="1">
        <v>8.1304</v>
      </c>
      <c r="R1230" s="1">
        <v>90356.0</v>
      </c>
    </row>
    <row r="1231">
      <c r="A1231" s="663" t="s">
        <v>2351</v>
      </c>
      <c r="B1231" s="663" t="s">
        <v>180</v>
      </c>
      <c r="C1231" s="663" t="s">
        <v>1209</v>
      </c>
      <c r="D1231" s="663" t="s">
        <v>2234</v>
      </c>
      <c r="E1231" s="664" t="s">
        <v>401</v>
      </c>
      <c r="F1231" s="665">
        <v>3819.0</v>
      </c>
      <c r="G1231" s="665">
        <v>1957.0</v>
      </c>
      <c r="H1231" s="665">
        <v>51.24</v>
      </c>
      <c r="I1231" s="665">
        <v>30.75</v>
      </c>
      <c r="J1231" s="665">
        <v>41.6</v>
      </c>
      <c r="K1231" s="665">
        <v>22325.0</v>
      </c>
      <c r="L1231" s="665">
        <v>72610.0</v>
      </c>
      <c r="M1231" s="665">
        <v>5.85</v>
      </c>
      <c r="N1231" s="1">
        <v>11.4078</v>
      </c>
      <c r="O1231" s="1">
        <v>22325.0</v>
      </c>
      <c r="P1231" s="1">
        <v>72610.0</v>
      </c>
      <c r="Q1231" s="1">
        <v>5.8458</v>
      </c>
      <c r="R1231" s="1">
        <v>90356.0</v>
      </c>
    </row>
    <row r="1232">
      <c r="A1232" s="663" t="s">
        <v>2351</v>
      </c>
      <c r="B1232" s="663" t="s">
        <v>180</v>
      </c>
      <c r="C1232" s="663" t="s">
        <v>1209</v>
      </c>
      <c r="D1232" s="663" t="s">
        <v>2234</v>
      </c>
      <c r="E1232" s="664" t="s">
        <v>206</v>
      </c>
      <c r="F1232" s="665">
        <v>3819.0</v>
      </c>
      <c r="G1232" s="665">
        <v>1689.0</v>
      </c>
      <c r="H1232" s="665">
        <v>44.23</v>
      </c>
      <c r="I1232" s="665">
        <v>23.72</v>
      </c>
      <c r="J1232" s="665">
        <v>34.35</v>
      </c>
      <c r="K1232" s="665">
        <v>17220.0</v>
      </c>
      <c r="L1232" s="665">
        <v>72610.0</v>
      </c>
      <c r="M1232" s="665">
        <v>4.51</v>
      </c>
      <c r="N1232" s="1">
        <v>10.1954</v>
      </c>
      <c r="O1232" s="1">
        <v>17220.0</v>
      </c>
      <c r="P1232" s="1">
        <v>72610.0</v>
      </c>
      <c r="Q1232" s="1">
        <v>4.509</v>
      </c>
      <c r="R1232" s="1">
        <v>90356.0</v>
      </c>
    </row>
    <row r="1233">
      <c r="A1233" s="663" t="s">
        <v>2351</v>
      </c>
      <c r="B1233" s="663" t="s">
        <v>180</v>
      </c>
      <c r="C1233" s="663" t="s">
        <v>1209</v>
      </c>
      <c r="D1233" s="663" t="s">
        <v>2234</v>
      </c>
      <c r="E1233" s="664" t="s">
        <v>411</v>
      </c>
      <c r="F1233" s="665">
        <v>3819.0</v>
      </c>
      <c r="G1233" s="665">
        <v>38.0</v>
      </c>
      <c r="H1233" s="665">
        <v>1.0</v>
      </c>
      <c r="I1233" s="665">
        <v>1.88</v>
      </c>
      <c r="J1233" s="665">
        <v>0.99</v>
      </c>
      <c r="K1233" s="665">
        <v>1365.0</v>
      </c>
      <c r="L1233" s="665">
        <v>72610.0</v>
      </c>
      <c r="M1233" s="665">
        <v>0.36</v>
      </c>
      <c r="N1233" s="1">
        <v>35.9211</v>
      </c>
      <c r="O1233" s="1">
        <v>1365.0</v>
      </c>
      <c r="P1233" s="1">
        <v>72610.0</v>
      </c>
      <c r="Q1233" s="1">
        <v>0.3574</v>
      </c>
      <c r="R1233" s="1">
        <v>90356.0</v>
      </c>
    </row>
    <row r="1234">
      <c r="A1234" s="663" t="s">
        <v>2351</v>
      </c>
      <c r="B1234" s="663" t="s">
        <v>180</v>
      </c>
      <c r="C1234" s="663" t="s">
        <v>1209</v>
      </c>
      <c r="D1234" s="663" t="s">
        <v>2234</v>
      </c>
      <c r="E1234" s="664" t="s">
        <v>73</v>
      </c>
      <c r="F1234" s="665">
        <v>3819.0</v>
      </c>
      <c r="G1234" s="665">
        <v>32.0</v>
      </c>
      <c r="H1234" s="665">
        <v>0.84</v>
      </c>
      <c r="I1234" s="665">
        <v>0.66</v>
      </c>
      <c r="J1234" s="665">
        <v>0.52</v>
      </c>
      <c r="K1234" s="665">
        <v>480.0</v>
      </c>
      <c r="L1234" s="665">
        <v>72610.0</v>
      </c>
      <c r="M1234" s="665">
        <v>0.13</v>
      </c>
      <c r="N1234" s="1">
        <v>15.0</v>
      </c>
      <c r="O1234" s="1">
        <v>480.0</v>
      </c>
      <c r="P1234" s="1">
        <v>72610.0</v>
      </c>
      <c r="Q1234" s="1">
        <v>0.1257</v>
      </c>
      <c r="R1234" s="1">
        <v>90356.0</v>
      </c>
    </row>
    <row r="1235">
      <c r="A1235" s="663" t="s">
        <v>2351</v>
      </c>
      <c r="B1235" s="663" t="s">
        <v>180</v>
      </c>
      <c r="C1235" s="663" t="s">
        <v>1209</v>
      </c>
      <c r="D1235" s="663" t="s">
        <v>2234</v>
      </c>
      <c r="E1235" s="664" t="s">
        <v>413</v>
      </c>
      <c r="F1235" s="665">
        <v>3819.0</v>
      </c>
      <c r="G1235" s="665">
        <v>15.0</v>
      </c>
      <c r="H1235" s="665">
        <v>0.39</v>
      </c>
      <c r="I1235" s="665">
        <v>0.23</v>
      </c>
      <c r="J1235" s="665">
        <v>0.31</v>
      </c>
      <c r="K1235" s="665">
        <v>170.0</v>
      </c>
      <c r="L1235" s="665">
        <v>72610.0</v>
      </c>
      <c r="M1235" s="665">
        <v>0.04</v>
      </c>
      <c r="N1235" s="1">
        <v>11.3333</v>
      </c>
      <c r="O1235" s="1">
        <v>170.0</v>
      </c>
      <c r="P1235" s="1">
        <v>72610.0</v>
      </c>
      <c r="Q1235" s="1">
        <v>0.0445</v>
      </c>
      <c r="R1235" s="1">
        <v>90356.0</v>
      </c>
    </row>
    <row r="1236">
      <c r="A1236" s="663" t="s">
        <v>2351</v>
      </c>
      <c r="B1236" s="663" t="s">
        <v>180</v>
      </c>
      <c r="C1236" s="663" t="s">
        <v>1210</v>
      </c>
      <c r="D1236" s="663" t="s">
        <v>2234</v>
      </c>
      <c r="E1236" s="664" t="s">
        <v>413</v>
      </c>
      <c r="F1236" s="665">
        <v>12143.0</v>
      </c>
      <c r="G1236" s="665">
        <v>5584.0</v>
      </c>
      <c r="H1236" s="665">
        <v>45.99</v>
      </c>
      <c r="I1236" s="665">
        <v>30.49</v>
      </c>
      <c r="J1236" s="665">
        <v>38.68</v>
      </c>
      <c r="K1236" s="665">
        <v>88740.0</v>
      </c>
      <c r="L1236" s="665">
        <v>291070.0</v>
      </c>
      <c r="M1236" s="665">
        <v>7.31</v>
      </c>
      <c r="N1236" s="1">
        <v>15.8918</v>
      </c>
      <c r="O1236" s="1">
        <v>88740.0</v>
      </c>
      <c r="P1236" s="1">
        <v>291070.0</v>
      </c>
      <c r="Q1236" s="1">
        <v>7.3079</v>
      </c>
      <c r="R1236" s="1">
        <v>90356.0</v>
      </c>
    </row>
    <row r="1237">
      <c r="A1237" s="663" t="s">
        <v>2351</v>
      </c>
      <c r="B1237" s="663" t="s">
        <v>180</v>
      </c>
      <c r="C1237" s="663" t="s">
        <v>1210</v>
      </c>
      <c r="D1237" s="663" t="s">
        <v>2234</v>
      </c>
      <c r="E1237" s="664" t="s">
        <v>397</v>
      </c>
      <c r="F1237" s="665">
        <v>12143.0</v>
      </c>
      <c r="G1237" s="665">
        <v>1227.0</v>
      </c>
      <c r="H1237" s="665">
        <v>10.1</v>
      </c>
      <c r="I1237" s="665">
        <v>25.56</v>
      </c>
      <c r="J1237" s="665">
        <v>7.86</v>
      </c>
      <c r="K1237" s="665">
        <v>74400.0</v>
      </c>
      <c r="L1237" s="665">
        <v>291070.0</v>
      </c>
      <c r="M1237" s="665">
        <v>6.13</v>
      </c>
      <c r="N1237" s="1">
        <v>60.6357</v>
      </c>
      <c r="O1237" s="1">
        <v>74400.0</v>
      </c>
      <c r="P1237" s="1">
        <v>291070.0</v>
      </c>
      <c r="Q1237" s="1">
        <v>6.127</v>
      </c>
      <c r="R1237" s="1">
        <v>90356.0</v>
      </c>
    </row>
    <row r="1238">
      <c r="A1238" s="663" t="s">
        <v>2351</v>
      </c>
      <c r="B1238" s="663" t="s">
        <v>180</v>
      </c>
      <c r="C1238" s="663" t="s">
        <v>1210</v>
      </c>
      <c r="D1238" s="663" t="s">
        <v>2234</v>
      </c>
      <c r="E1238" s="664" t="s">
        <v>401</v>
      </c>
      <c r="F1238" s="665">
        <v>12143.0</v>
      </c>
      <c r="G1238" s="665">
        <v>4382.0</v>
      </c>
      <c r="H1238" s="665">
        <v>36.09</v>
      </c>
      <c r="I1238" s="665">
        <v>17.22</v>
      </c>
      <c r="J1238" s="665">
        <v>22.52</v>
      </c>
      <c r="K1238" s="665">
        <v>50110.0</v>
      </c>
      <c r="L1238" s="665">
        <v>291070.0</v>
      </c>
      <c r="M1238" s="665">
        <v>4.13</v>
      </c>
      <c r="N1238" s="1">
        <v>11.4354</v>
      </c>
      <c r="O1238" s="1">
        <v>50110.0</v>
      </c>
      <c r="P1238" s="1">
        <v>291070.0</v>
      </c>
      <c r="Q1238" s="1">
        <v>4.1267</v>
      </c>
      <c r="R1238" s="1">
        <v>90356.0</v>
      </c>
    </row>
    <row r="1239">
      <c r="A1239" s="663" t="s">
        <v>2351</v>
      </c>
      <c r="B1239" s="663" t="s">
        <v>180</v>
      </c>
      <c r="C1239" s="663" t="s">
        <v>1210</v>
      </c>
      <c r="D1239" s="663" t="s">
        <v>2234</v>
      </c>
      <c r="E1239" s="664" t="s">
        <v>206</v>
      </c>
      <c r="F1239" s="665">
        <v>12143.0</v>
      </c>
      <c r="G1239" s="665">
        <v>3664.0</v>
      </c>
      <c r="H1239" s="665">
        <v>30.17</v>
      </c>
      <c r="I1239" s="665">
        <v>12.93</v>
      </c>
      <c r="J1239" s="665">
        <v>17.54</v>
      </c>
      <c r="K1239" s="665">
        <v>37645.0</v>
      </c>
      <c r="L1239" s="665">
        <v>291070.0</v>
      </c>
      <c r="M1239" s="665">
        <v>3.1</v>
      </c>
      <c r="N1239" s="1">
        <v>10.2743</v>
      </c>
      <c r="O1239" s="1">
        <v>37645.0</v>
      </c>
      <c r="P1239" s="1">
        <v>291070.0</v>
      </c>
      <c r="Q1239" s="1">
        <v>3.1001</v>
      </c>
      <c r="R1239" s="1">
        <v>90356.0</v>
      </c>
    </row>
    <row r="1240">
      <c r="A1240" s="663" t="s">
        <v>2351</v>
      </c>
      <c r="B1240" s="663" t="s">
        <v>180</v>
      </c>
      <c r="C1240" s="663" t="s">
        <v>1210</v>
      </c>
      <c r="D1240" s="663" t="s">
        <v>2234</v>
      </c>
      <c r="E1240" s="664" t="s">
        <v>9</v>
      </c>
      <c r="F1240" s="665">
        <v>12143.0</v>
      </c>
      <c r="G1240" s="665">
        <v>2660.0</v>
      </c>
      <c r="H1240" s="665">
        <v>21.91</v>
      </c>
      <c r="I1240" s="665">
        <v>11.34</v>
      </c>
      <c r="J1240" s="665">
        <v>11.61</v>
      </c>
      <c r="K1240" s="665">
        <v>33010.0</v>
      </c>
      <c r="L1240" s="665">
        <v>291070.0</v>
      </c>
      <c r="M1240" s="665">
        <v>2.72</v>
      </c>
      <c r="N1240" s="1">
        <v>12.4098</v>
      </c>
      <c r="O1240" s="1">
        <v>33010.0</v>
      </c>
      <c r="P1240" s="1">
        <v>291070.0</v>
      </c>
      <c r="Q1240" s="1">
        <v>2.7184</v>
      </c>
      <c r="R1240" s="1">
        <v>90356.0</v>
      </c>
    </row>
    <row r="1241">
      <c r="A1241" s="663" t="s">
        <v>2351</v>
      </c>
      <c r="B1241" s="663" t="s">
        <v>180</v>
      </c>
      <c r="C1241" s="663" t="s">
        <v>1210</v>
      </c>
      <c r="D1241" s="663" t="s">
        <v>2234</v>
      </c>
      <c r="E1241" s="664" t="s">
        <v>73</v>
      </c>
      <c r="F1241" s="665">
        <v>12143.0</v>
      </c>
      <c r="G1241" s="665">
        <v>222.0</v>
      </c>
      <c r="H1241" s="665">
        <v>1.83</v>
      </c>
      <c r="I1241" s="665">
        <v>1.17</v>
      </c>
      <c r="J1241" s="665">
        <v>1.01</v>
      </c>
      <c r="K1241" s="665">
        <v>3420.0</v>
      </c>
      <c r="L1241" s="665">
        <v>291070.0</v>
      </c>
      <c r="M1241" s="665">
        <v>0.28</v>
      </c>
      <c r="N1241" s="1">
        <v>15.4054</v>
      </c>
      <c r="O1241" s="1">
        <v>3420.0</v>
      </c>
      <c r="P1241" s="1">
        <v>291070.0</v>
      </c>
      <c r="Q1241" s="1">
        <v>0.2816</v>
      </c>
      <c r="R1241" s="1">
        <v>90356.0</v>
      </c>
    </row>
    <row r="1242">
      <c r="A1242" s="663" t="s">
        <v>2351</v>
      </c>
      <c r="B1242" s="663" t="s">
        <v>180</v>
      </c>
      <c r="C1242" s="663" t="s">
        <v>1210</v>
      </c>
      <c r="D1242" s="663" t="s">
        <v>2234</v>
      </c>
      <c r="E1242" s="664" t="s">
        <v>14</v>
      </c>
      <c r="F1242" s="665">
        <v>12143.0</v>
      </c>
      <c r="G1242" s="665">
        <v>187.0</v>
      </c>
      <c r="H1242" s="665">
        <v>1.54</v>
      </c>
      <c r="I1242" s="665">
        <v>0.8</v>
      </c>
      <c r="J1242" s="665">
        <v>0.5</v>
      </c>
      <c r="K1242" s="665">
        <v>2340.0</v>
      </c>
      <c r="L1242" s="665">
        <v>291070.0</v>
      </c>
      <c r="M1242" s="665">
        <v>0.19</v>
      </c>
      <c r="N1242" s="1">
        <v>12.5134</v>
      </c>
      <c r="O1242" s="1">
        <v>2340.0</v>
      </c>
      <c r="P1242" s="1">
        <v>291070.0</v>
      </c>
      <c r="Q1242" s="1">
        <v>0.1927</v>
      </c>
      <c r="R1242" s="1">
        <v>90356.0</v>
      </c>
    </row>
    <row r="1243">
      <c r="A1243" s="663" t="s">
        <v>2351</v>
      </c>
      <c r="B1243" s="663" t="s">
        <v>180</v>
      </c>
      <c r="C1243" s="663" t="s">
        <v>1210</v>
      </c>
      <c r="D1243" s="663" t="s">
        <v>2234</v>
      </c>
      <c r="E1243" s="664" t="s">
        <v>411</v>
      </c>
      <c r="F1243" s="665">
        <v>12143.0</v>
      </c>
      <c r="G1243" s="665">
        <v>40.0</v>
      </c>
      <c r="H1243" s="665">
        <v>0.33</v>
      </c>
      <c r="I1243" s="665">
        <v>0.47</v>
      </c>
      <c r="J1243" s="665">
        <v>0.27</v>
      </c>
      <c r="K1243" s="665">
        <v>1380.0</v>
      </c>
      <c r="L1243" s="665">
        <v>291070.0</v>
      </c>
      <c r="M1243" s="665">
        <v>0.11</v>
      </c>
      <c r="N1243" s="1">
        <v>34.5</v>
      </c>
      <c r="O1243" s="1">
        <v>1380.0</v>
      </c>
      <c r="P1243" s="1">
        <v>291070.0</v>
      </c>
      <c r="Q1243" s="1">
        <v>0.1136</v>
      </c>
      <c r="R1243" s="1">
        <v>90356.0</v>
      </c>
    </row>
    <row r="1244">
      <c r="A1244" s="663" t="s">
        <v>2351</v>
      </c>
      <c r="B1244" s="663" t="s">
        <v>180</v>
      </c>
      <c r="C1244" s="663" t="s">
        <v>1210</v>
      </c>
      <c r="D1244" s="663" t="s">
        <v>2234</v>
      </c>
      <c r="E1244" s="664" t="s">
        <v>151</v>
      </c>
      <c r="F1244" s="665">
        <v>12143.0</v>
      </c>
      <c r="G1244" s="665">
        <v>2.0</v>
      </c>
      <c r="H1244" s="665">
        <v>0.02</v>
      </c>
      <c r="I1244" s="665">
        <v>0.01</v>
      </c>
      <c r="J1244" s="665">
        <v>0.01</v>
      </c>
      <c r="K1244" s="665">
        <v>25.0</v>
      </c>
      <c r="L1244" s="665">
        <v>291070.0</v>
      </c>
      <c r="M1244" s="665">
        <v>0.0</v>
      </c>
      <c r="N1244" s="1">
        <v>12.5</v>
      </c>
      <c r="O1244" s="1">
        <v>25.0</v>
      </c>
      <c r="P1244" s="1">
        <v>291070.0</v>
      </c>
      <c r="Q1244" s="1">
        <v>0.0021</v>
      </c>
      <c r="R1244" s="1">
        <v>90356.0</v>
      </c>
    </row>
    <row r="1245">
      <c r="A1245" s="663" t="s">
        <v>2351</v>
      </c>
      <c r="B1245" s="663" t="s">
        <v>180</v>
      </c>
      <c r="C1245" s="663" t="s">
        <v>1211</v>
      </c>
      <c r="D1245" s="663" t="s">
        <v>2234</v>
      </c>
      <c r="E1245" s="664" t="s">
        <v>413</v>
      </c>
      <c r="F1245" s="665">
        <v>16526.0</v>
      </c>
      <c r="G1245" s="665">
        <v>9477.0</v>
      </c>
      <c r="H1245" s="665">
        <v>57.35</v>
      </c>
      <c r="I1245" s="665">
        <v>25.51</v>
      </c>
      <c r="J1245" s="665">
        <v>36.61</v>
      </c>
      <c r="K1245" s="665">
        <v>145515.0</v>
      </c>
      <c r="L1245" s="665">
        <v>570505.0</v>
      </c>
      <c r="M1245" s="665">
        <v>8.81</v>
      </c>
      <c r="N1245" s="1">
        <v>15.3545</v>
      </c>
      <c r="O1245" s="1">
        <v>145515.0</v>
      </c>
      <c r="P1245" s="1">
        <v>570505.0</v>
      </c>
      <c r="Q1245" s="1">
        <v>8.8052</v>
      </c>
      <c r="R1245" s="1">
        <v>90356.0</v>
      </c>
    </row>
    <row r="1246">
      <c r="A1246" s="663" t="s">
        <v>2351</v>
      </c>
      <c r="B1246" s="663" t="s">
        <v>180</v>
      </c>
      <c r="C1246" s="663" t="s">
        <v>1211</v>
      </c>
      <c r="D1246" s="663" t="s">
        <v>2234</v>
      </c>
      <c r="E1246" s="664" t="s">
        <v>14</v>
      </c>
      <c r="F1246" s="665">
        <v>16526.0</v>
      </c>
      <c r="G1246" s="665">
        <v>7342.0</v>
      </c>
      <c r="H1246" s="665">
        <v>44.43</v>
      </c>
      <c r="I1246" s="665">
        <v>21.48</v>
      </c>
      <c r="J1246" s="665">
        <v>19.63</v>
      </c>
      <c r="K1246" s="665">
        <v>122570.0</v>
      </c>
      <c r="L1246" s="665">
        <v>570505.0</v>
      </c>
      <c r="M1246" s="665">
        <v>7.42</v>
      </c>
      <c r="N1246" s="1">
        <v>16.6944</v>
      </c>
      <c r="O1246" s="1">
        <v>122570.0</v>
      </c>
      <c r="P1246" s="1">
        <v>570505.0</v>
      </c>
      <c r="Q1246" s="1">
        <v>7.4168</v>
      </c>
      <c r="R1246" s="1">
        <v>90356.0</v>
      </c>
    </row>
    <row r="1247">
      <c r="A1247" s="663" t="s">
        <v>2351</v>
      </c>
      <c r="B1247" s="663" t="s">
        <v>180</v>
      </c>
      <c r="C1247" s="663" t="s">
        <v>1211</v>
      </c>
      <c r="D1247" s="663" t="s">
        <v>2234</v>
      </c>
      <c r="E1247" s="664" t="s">
        <v>397</v>
      </c>
      <c r="F1247" s="665">
        <v>16526.0</v>
      </c>
      <c r="G1247" s="665">
        <v>1782.0</v>
      </c>
      <c r="H1247" s="665">
        <v>10.78</v>
      </c>
      <c r="I1247" s="665">
        <v>19.06</v>
      </c>
      <c r="J1247" s="665">
        <v>6.95</v>
      </c>
      <c r="K1247" s="665">
        <v>108720.0</v>
      </c>
      <c r="L1247" s="665">
        <v>570505.0</v>
      </c>
      <c r="M1247" s="665">
        <v>6.58</v>
      </c>
      <c r="N1247" s="1">
        <v>61.0101</v>
      </c>
      <c r="O1247" s="1">
        <v>108720.0</v>
      </c>
      <c r="P1247" s="1">
        <v>570505.0</v>
      </c>
      <c r="Q1247" s="1">
        <v>6.5787</v>
      </c>
      <c r="R1247" s="1">
        <v>90356.0</v>
      </c>
    </row>
    <row r="1248">
      <c r="A1248" s="663" t="s">
        <v>2351</v>
      </c>
      <c r="B1248" s="663" t="s">
        <v>180</v>
      </c>
      <c r="C1248" s="663" t="s">
        <v>1211</v>
      </c>
      <c r="D1248" s="663" t="s">
        <v>2234</v>
      </c>
      <c r="E1248" s="664" t="s">
        <v>9</v>
      </c>
      <c r="F1248" s="665">
        <v>16526.0</v>
      </c>
      <c r="G1248" s="665">
        <v>5152.0</v>
      </c>
      <c r="H1248" s="665">
        <v>31.18</v>
      </c>
      <c r="I1248" s="665">
        <v>11.85</v>
      </c>
      <c r="J1248" s="665">
        <v>10.2</v>
      </c>
      <c r="K1248" s="665">
        <v>67610.0</v>
      </c>
      <c r="L1248" s="665">
        <v>570505.0</v>
      </c>
      <c r="M1248" s="665">
        <v>4.09</v>
      </c>
      <c r="N1248" s="1">
        <v>13.1231</v>
      </c>
      <c r="O1248" s="1">
        <v>67610.0</v>
      </c>
      <c r="P1248" s="1">
        <v>570505.0</v>
      </c>
      <c r="Q1248" s="1">
        <v>4.0911</v>
      </c>
      <c r="R1248" s="1">
        <v>90356.0</v>
      </c>
    </row>
    <row r="1249">
      <c r="A1249" s="663" t="s">
        <v>2351</v>
      </c>
      <c r="B1249" s="663" t="s">
        <v>180</v>
      </c>
      <c r="C1249" s="663" t="s">
        <v>1211</v>
      </c>
      <c r="D1249" s="663" t="s">
        <v>2234</v>
      </c>
      <c r="E1249" s="664" t="s">
        <v>401</v>
      </c>
      <c r="F1249" s="665">
        <v>16526.0</v>
      </c>
      <c r="G1249" s="665">
        <v>5075.0</v>
      </c>
      <c r="H1249" s="665">
        <v>30.71</v>
      </c>
      <c r="I1249" s="665">
        <v>11.33</v>
      </c>
      <c r="J1249" s="665">
        <v>13.77</v>
      </c>
      <c r="K1249" s="665">
        <v>64640.0</v>
      </c>
      <c r="L1249" s="665">
        <v>570505.0</v>
      </c>
      <c r="M1249" s="665">
        <v>3.91</v>
      </c>
      <c r="N1249" s="1">
        <v>12.7369</v>
      </c>
      <c r="O1249" s="1">
        <v>64640.0</v>
      </c>
      <c r="P1249" s="1">
        <v>570505.0</v>
      </c>
      <c r="Q1249" s="1">
        <v>3.9114</v>
      </c>
      <c r="R1249" s="1">
        <v>90356.0</v>
      </c>
    </row>
    <row r="1250">
      <c r="A1250" s="663" t="s">
        <v>2351</v>
      </c>
      <c r="B1250" s="663" t="s">
        <v>180</v>
      </c>
      <c r="C1250" s="663" t="s">
        <v>1211</v>
      </c>
      <c r="D1250" s="663" t="s">
        <v>2234</v>
      </c>
      <c r="E1250" s="664" t="s">
        <v>206</v>
      </c>
      <c r="F1250" s="665">
        <v>16526.0</v>
      </c>
      <c r="G1250" s="665">
        <v>4247.0</v>
      </c>
      <c r="H1250" s="665">
        <v>25.7</v>
      </c>
      <c r="I1250" s="665">
        <v>8.27</v>
      </c>
      <c r="J1250" s="665">
        <v>10.64</v>
      </c>
      <c r="K1250" s="665">
        <v>47175.0</v>
      </c>
      <c r="L1250" s="665">
        <v>570505.0</v>
      </c>
      <c r="M1250" s="665">
        <v>2.85</v>
      </c>
      <c r="N1250" s="1">
        <v>11.1078</v>
      </c>
      <c r="O1250" s="1">
        <v>47175.0</v>
      </c>
      <c r="P1250" s="1">
        <v>570505.0</v>
      </c>
      <c r="Q1250" s="1">
        <v>2.8546</v>
      </c>
      <c r="R1250" s="1">
        <v>90356.0</v>
      </c>
    </row>
    <row r="1251">
      <c r="A1251" s="663" t="s">
        <v>2351</v>
      </c>
      <c r="B1251" s="663" t="s">
        <v>180</v>
      </c>
      <c r="C1251" s="663" t="s">
        <v>1211</v>
      </c>
      <c r="D1251" s="663" t="s">
        <v>2234</v>
      </c>
      <c r="E1251" s="664" t="s">
        <v>73</v>
      </c>
      <c r="F1251" s="665">
        <v>16526.0</v>
      </c>
      <c r="G1251" s="665">
        <v>847.0</v>
      </c>
      <c r="H1251" s="665">
        <v>5.13</v>
      </c>
      <c r="I1251" s="665">
        <v>2.25</v>
      </c>
      <c r="J1251" s="665">
        <v>2.01</v>
      </c>
      <c r="K1251" s="665">
        <v>12855.0</v>
      </c>
      <c r="L1251" s="665">
        <v>570505.0</v>
      </c>
      <c r="M1251" s="665">
        <v>0.78</v>
      </c>
      <c r="N1251" s="1">
        <v>15.1771</v>
      </c>
      <c r="O1251" s="1">
        <v>12855.0</v>
      </c>
      <c r="P1251" s="1">
        <v>570505.0</v>
      </c>
      <c r="Q1251" s="1">
        <v>0.7779</v>
      </c>
      <c r="R1251" s="1">
        <v>90356.0</v>
      </c>
    </row>
    <row r="1252">
      <c r="A1252" s="663" t="s">
        <v>2351</v>
      </c>
      <c r="B1252" s="663" t="s">
        <v>180</v>
      </c>
      <c r="C1252" s="663" t="s">
        <v>1211</v>
      </c>
      <c r="D1252" s="663" t="s">
        <v>2234</v>
      </c>
      <c r="E1252" s="664" t="s">
        <v>411</v>
      </c>
      <c r="F1252" s="665">
        <v>16526.0</v>
      </c>
      <c r="G1252" s="665">
        <v>40.0</v>
      </c>
      <c r="H1252" s="665">
        <v>0.24</v>
      </c>
      <c r="I1252" s="665">
        <v>0.24</v>
      </c>
      <c r="J1252" s="665">
        <v>0.19</v>
      </c>
      <c r="K1252" s="665">
        <v>1390.0</v>
      </c>
      <c r="L1252" s="665">
        <v>570505.0</v>
      </c>
      <c r="M1252" s="665">
        <v>0.08</v>
      </c>
      <c r="N1252" s="1">
        <v>34.75</v>
      </c>
      <c r="O1252" s="1">
        <v>1390.0</v>
      </c>
      <c r="P1252" s="1">
        <v>570505.0</v>
      </c>
      <c r="Q1252" s="1">
        <v>0.0841</v>
      </c>
      <c r="R1252" s="1">
        <v>90356.0</v>
      </c>
    </row>
    <row r="1253">
      <c r="A1253" s="663" t="s">
        <v>2351</v>
      </c>
      <c r="B1253" s="663" t="s">
        <v>180</v>
      </c>
      <c r="C1253" s="663" t="s">
        <v>1211</v>
      </c>
      <c r="D1253" s="663" t="s">
        <v>2234</v>
      </c>
      <c r="E1253" s="664" t="s">
        <v>151</v>
      </c>
      <c r="F1253" s="665">
        <v>16526.0</v>
      </c>
      <c r="G1253" s="665">
        <v>1.0</v>
      </c>
      <c r="H1253" s="665">
        <v>0.01</v>
      </c>
      <c r="I1253" s="665">
        <v>0.0</v>
      </c>
      <c r="J1253" s="665">
        <v>0.0</v>
      </c>
      <c r="K1253" s="665">
        <v>10.0</v>
      </c>
      <c r="L1253" s="665">
        <v>570505.0</v>
      </c>
      <c r="M1253" s="665">
        <v>0.0</v>
      </c>
      <c r="N1253" s="1">
        <v>10.0</v>
      </c>
      <c r="O1253" s="1">
        <v>10.0</v>
      </c>
      <c r="P1253" s="1">
        <v>570505.0</v>
      </c>
      <c r="Q1253" s="1">
        <v>6.0E-4</v>
      </c>
      <c r="R1253" s="1">
        <v>90356.0</v>
      </c>
    </row>
    <row r="1254">
      <c r="A1254" s="663" t="s">
        <v>2351</v>
      </c>
      <c r="B1254" s="663" t="s">
        <v>180</v>
      </c>
      <c r="C1254" s="663" t="s">
        <v>1211</v>
      </c>
      <c r="D1254" s="663" t="s">
        <v>2234</v>
      </c>
      <c r="E1254" s="664" t="s">
        <v>414</v>
      </c>
      <c r="F1254" s="665">
        <v>16526.0</v>
      </c>
      <c r="G1254" s="665">
        <v>2.0</v>
      </c>
      <c r="H1254" s="665">
        <v>0.01</v>
      </c>
      <c r="I1254" s="665">
        <v>0.0</v>
      </c>
      <c r="J1254" s="665">
        <v>0.0</v>
      </c>
      <c r="K1254" s="665">
        <v>20.0</v>
      </c>
      <c r="L1254" s="665">
        <v>570505.0</v>
      </c>
      <c r="M1254" s="665">
        <v>0.0</v>
      </c>
      <c r="N1254" s="1">
        <v>10.0</v>
      </c>
      <c r="O1254" s="1">
        <v>20.0</v>
      </c>
      <c r="P1254" s="1">
        <v>570505.0</v>
      </c>
      <c r="Q1254" s="1">
        <v>0.0012</v>
      </c>
      <c r="R1254" s="1">
        <v>90356.0</v>
      </c>
    </row>
    <row r="1255">
      <c r="A1255" s="663" t="s">
        <v>2351</v>
      </c>
      <c r="B1255" s="663" t="s">
        <v>180</v>
      </c>
      <c r="C1255" s="663" t="s">
        <v>55</v>
      </c>
      <c r="D1255" s="663" t="s">
        <v>2234</v>
      </c>
      <c r="E1255" s="664" t="s">
        <v>418</v>
      </c>
      <c r="F1255" s="665">
        <v>31008.0</v>
      </c>
      <c r="G1255" s="665">
        <v>29822.0</v>
      </c>
      <c r="H1255" s="665">
        <v>96.18</v>
      </c>
      <c r="I1255" s="665">
        <v>35.55</v>
      </c>
      <c r="J1255" s="665">
        <v>41.51</v>
      </c>
      <c r="K1255" s="665">
        <v>5407575.0</v>
      </c>
      <c r="L1255" s="665">
        <v>1.5211919E7</v>
      </c>
      <c r="M1255" s="665">
        <v>174.39</v>
      </c>
      <c r="N1255" s="1">
        <v>181.3284</v>
      </c>
      <c r="O1255" s="1">
        <v>5407575.0</v>
      </c>
      <c r="P1255" s="1">
        <v>1.5211919E7</v>
      </c>
      <c r="Q1255" s="1">
        <v>174.3929</v>
      </c>
      <c r="R1255" s="1">
        <v>90356.0</v>
      </c>
    </row>
    <row r="1256">
      <c r="A1256" s="663" t="s">
        <v>2351</v>
      </c>
      <c r="B1256" s="663" t="s">
        <v>180</v>
      </c>
      <c r="C1256" s="663" t="s">
        <v>55</v>
      </c>
      <c r="D1256" s="663" t="s">
        <v>2234</v>
      </c>
      <c r="E1256" s="664" t="s">
        <v>51</v>
      </c>
      <c r="F1256" s="665">
        <v>31008.0</v>
      </c>
      <c r="G1256" s="665">
        <v>13867.0</v>
      </c>
      <c r="H1256" s="665">
        <v>44.72</v>
      </c>
      <c r="I1256" s="665">
        <v>11.77</v>
      </c>
      <c r="J1256" s="665">
        <v>10.04</v>
      </c>
      <c r="K1256" s="665">
        <v>1790280.0</v>
      </c>
      <c r="L1256" s="665">
        <v>1.5211919E7</v>
      </c>
      <c r="M1256" s="665">
        <v>57.74</v>
      </c>
      <c r="N1256" s="1">
        <v>129.1036</v>
      </c>
      <c r="O1256" s="1">
        <v>1790280.0</v>
      </c>
      <c r="P1256" s="1">
        <v>1.5211919E7</v>
      </c>
      <c r="Q1256" s="1">
        <v>57.7361</v>
      </c>
      <c r="R1256" s="1">
        <v>90356.0</v>
      </c>
    </row>
    <row r="1257">
      <c r="A1257" s="663" t="s">
        <v>2351</v>
      </c>
      <c r="B1257" s="663" t="s">
        <v>180</v>
      </c>
      <c r="C1257" s="663" t="s">
        <v>55</v>
      </c>
      <c r="D1257" s="663" t="s">
        <v>2234</v>
      </c>
      <c r="E1257" s="664" t="s">
        <v>396</v>
      </c>
      <c r="F1257" s="665">
        <v>31008.0</v>
      </c>
      <c r="G1257" s="665">
        <v>18754.0</v>
      </c>
      <c r="H1257" s="665">
        <v>60.48</v>
      </c>
      <c r="I1257" s="665">
        <v>11.02</v>
      </c>
      <c r="J1257" s="665">
        <v>12.56</v>
      </c>
      <c r="K1257" s="665">
        <v>1675830.0</v>
      </c>
      <c r="L1257" s="665">
        <v>1.5211919E7</v>
      </c>
      <c r="M1257" s="665">
        <v>54.05</v>
      </c>
      <c r="N1257" s="1">
        <v>89.3585</v>
      </c>
      <c r="O1257" s="1">
        <v>1675830.0</v>
      </c>
      <c r="P1257" s="1">
        <v>1.5211919E7</v>
      </c>
      <c r="Q1257" s="1">
        <v>54.0451</v>
      </c>
      <c r="R1257" s="1">
        <v>90356.0</v>
      </c>
    </row>
    <row r="1258">
      <c r="A1258" s="663" t="s">
        <v>2351</v>
      </c>
      <c r="B1258" s="663" t="s">
        <v>180</v>
      </c>
      <c r="C1258" s="663" t="s">
        <v>55</v>
      </c>
      <c r="D1258" s="663" t="s">
        <v>2234</v>
      </c>
      <c r="E1258" s="664" t="s">
        <v>9</v>
      </c>
      <c r="F1258" s="665">
        <v>31008.0</v>
      </c>
      <c r="G1258" s="665">
        <v>13561.0</v>
      </c>
      <c r="H1258" s="665">
        <v>43.73</v>
      </c>
      <c r="I1258" s="665">
        <v>8.49</v>
      </c>
      <c r="J1258" s="665">
        <v>7.24</v>
      </c>
      <c r="K1258" s="665">
        <v>1290870.0</v>
      </c>
      <c r="L1258" s="665">
        <v>1.5211919E7</v>
      </c>
      <c r="M1258" s="665">
        <v>41.63</v>
      </c>
      <c r="N1258" s="1">
        <v>95.1899</v>
      </c>
      <c r="O1258" s="1">
        <v>1290870.0</v>
      </c>
      <c r="P1258" s="1">
        <v>1.5211919E7</v>
      </c>
      <c r="Q1258" s="1">
        <v>41.6302</v>
      </c>
      <c r="R1258" s="1">
        <v>90356.0</v>
      </c>
    </row>
    <row r="1259">
      <c r="A1259" s="663" t="s">
        <v>2351</v>
      </c>
      <c r="B1259" s="663" t="s">
        <v>180</v>
      </c>
      <c r="C1259" s="663" t="s">
        <v>55</v>
      </c>
      <c r="D1259" s="663" t="s">
        <v>2234</v>
      </c>
      <c r="E1259" s="664" t="s">
        <v>397</v>
      </c>
      <c r="F1259" s="665">
        <v>31008.0</v>
      </c>
      <c r="G1259" s="665">
        <v>19442.0</v>
      </c>
      <c r="H1259" s="665">
        <v>62.7</v>
      </c>
      <c r="I1259" s="665">
        <v>7.93</v>
      </c>
      <c r="J1259" s="665">
        <v>7.88</v>
      </c>
      <c r="K1259" s="665">
        <v>1206105.0</v>
      </c>
      <c r="L1259" s="665">
        <v>1.5211919E7</v>
      </c>
      <c r="M1259" s="665">
        <v>38.9</v>
      </c>
      <c r="N1259" s="1">
        <v>62.0361</v>
      </c>
      <c r="O1259" s="1">
        <v>1206105.0</v>
      </c>
      <c r="P1259" s="1">
        <v>1.5211919E7</v>
      </c>
      <c r="Q1259" s="1">
        <v>38.8966</v>
      </c>
      <c r="R1259" s="1">
        <v>90356.0</v>
      </c>
    </row>
    <row r="1260">
      <c r="A1260" s="663" t="s">
        <v>2351</v>
      </c>
      <c r="B1260" s="663" t="s">
        <v>180</v>
      </c>
      <c r="C1260" s="663" t="s">
        <v>55</v>
      </c>
      <c r="D1260" s="663" t="s">
        <v>2234</v>
      </c>
      <c r="E1260" s="664" t="s">
        <v>14</v>
      </c>
      <c r="F1260" s="665">
        <v>31008.0</v>
      </c>
      <c r="G1260" s="665">
        <v>14912.0</v>
      </c>
      <c r="H1260" s="665">
        <v>48.09</v>
      </c>
      <c r="I1260" s="665">
        <v>5.92</v>
      </c>
      <c r="J1260" s="665">
        <v>4.42</v>
      </c>
      <c r="K1260" s="665">
        <v>900985.0</v>
      </c>
      <c r="L1260" s="665">
        <v>1.5211919E7</v>
      </c>
      <c r="M1260" s="665">
        <v>29.06</v>
      </c>
      <c r="N1260" s="1">
        <v>60.4201</v>
      </c>
      <c r="O1260" s="1">
        <v>900985.0</v>
      </c>
      <c r="P1260" s="1">
        <v>1.5211919E7</v>
      </c>
      <c r="Q1260" s="1">
        <v>29.0565</v>
      </c>
      <c r="R1260" s="1">
        <v>90356.0</v>
      </c>
    </row>
    <row r="1261">
      <c r="A1261" s="663" t="s">
        <v>2351</v>
      </c>
      <c r="B1261" s="663" t="s">
        <v>180</v>
      </c>
      <c r="C1261" s="663" t="s">
        <v>55</v>
      </c>
      <c r="D1261" s="663" t="s">
        <v>2234</v>
      </c>
      <c r="E1261" s="664" t="s">
        <v>398</v>
      </c>
      <c r="F1261" s="665">
        <v>31008.0</v>
      </c>
      <c r="G1261" s="665">
        <v>12795.0</v>
      </c>
      <c r="H1261" s="665">
        <v>41.26</v>
      </c>
      <c r="I1261" s="665">
        <v>5.04</v>
      </c>
      <c r="J1261" s="665">
        <v>3.15</v>
      </c>
      <c r="K1261" s="665">
        <v>766470.0</v>
      </c>
      <c r="L1261" s="665">
        <v>1.5211919E7</v>
      </c>
      <c r="M1261" s="665">
        <v>24.72</v>
      </c>
      <c r="N1261" s="1">
        <v>59.9039</v>
      </c>
      <c r="O1261" s="1">
        <v>766470.0</v>
      </c>
      <c r="P1261" s="1">
        <v>1.5211919E7</v>
      </c>
      <c r="Q1261" s="1">
        <v>24.7185</v>
      </c>
      <c r="R1261" s="1">
        <v>90356.0</v>
      </c>
    </row>
    <row r="1262">
      <c r="A1262" s="663" t="s">
        <v>2351</v>
      </c>
      <c r="B1262" s="663" t="s">
        <v>180</v>
      </c>
      <c r="C1262" s="663" t="s">
        <v>55</v>
      </c>
      <c r="D1262" s="663" t="s">
        <v>2234</v>
      </c>
      <c r="E1262" s="664" t="s">
        <v>413</v>
      </c>
      <c r="F1262" s="665">
        <v>31008.0</v>
      </c>
      <c r="G1262" s="665">
        <v>10325.0</v>
      </c>
      <c r="H1262" s="665">
        <v>33.3</v>
      </c>
      <c r="I1262" s="665">
        <v>4.3</v>
      </c>
      <c r="J1262" s="665">
        <v>4.46</v>
      </c>
      <c r="K1262" s="665">
        <v>653470.0</v>
      </c>
      <c r="L1262" s="665">
        <v>1.5211919E7</v>
      </c>
      <c r="M1262" s="665">
        <v>21.07</v>
      </c>
      <c r="N1262" s="1">
        <v>63.2901</v>
      </c>
      <c r="O1262" s="1">
        <v>653470.0</v>
      </c>
      <c r="P1262" s="1">
        <v>1.5211919E7</v>
      </c>
      <c r="Q1262" s="1">
        <v>21.0742</v>
      </c>
      <c r="R1262" s="1">
        <v>90356.0</v>
      </c>
    </row>
    <row r="1263">
      <c r="A1263" s="663" t="s">
        <v>2351</v>
      </c>
      <c r="B1263" s="663" t="s">
        <v>180</v>
      </c>
      <c r="C1263" s="663" t="s">
        <v>55</v>
      </c>
      <c r="D1263" s="663" t="s">
        <v>2234</v>
      </c>
      <c r="E1263" s="664" t="s">
        <v>63</v>
      </c>
      <c r="F1263" s="665">
        <v>31008.0</v>
      </c>
      <c r="G1263" s="665">
        <v>10415.0</v>
      </c>
      <c r="H1263" s="665">
        <v>33.59</v>
      </c>
      <c r="I1263" s="665">
        <v>3.7</v>
      </c>
      <c r="J1263" s="665">
        <v>3.92</v>
      </c>
      <c r="K1263" s="665">
        <v>563370.0</v>
      </c>
      <c r="L1263" s="665">
        <v>1.5211919E7</v>
      </c>
      <c r="M1263" s="665">
        <v>18.17</v>
      </c>
      <c r="N1263" s="1">
        <v>54.0922</v>
      </c>
      <c r="O1263" s="1">
        <v>563370.0</v>
      </c>
      <c r="P1263" s="1">
        <v>1.5211919E7</v>
      </c>
      <c r="Q1263" s="1">
        <v>18.1685</v>
      </c>
      <c r="R1263" s="1">
        <v>90356.0</v>
      </c>
    </row>
    <row r="1264">
      <c r="A1264" s="663" t="s">
        <v>2351</v>
      </c>
      <c r="B1264" s="663" t="s">
        <v>180</v>
      </c>
      <c r="C1264" s="663" t="s">
        <v>55</v>
      </c>
      <c r="D1264" s="663" t="s">
        <v>2234</v>
      </c>
      <c r="E1264" s="664" t="s">
        <v>7</v>
      </c>
      <c r="F1264" s="665">
        <v>31008.0</v>
      </c>
      <c r="G1264" s="665">
        <v>7181.0</v>
      </c>
      <c r="H1264" s="665">
        <v>23.16</v>
      </c>
      <c r="I1264" s="665">
        <v>2.1</v>
      </c>
      <c r="J1264" s="665">
        <v>1.71</v>
      </c>
      <c r="K1264" s="665">
        <v>319000.0</v>
      </c>
      <c r="L1264" s="665">
        <v>1.5211919E7</v>
      </c>
      <c r="M1264" s="665">
        <v>10.29</v>
      </c>
      <c r="N1264" s="1">
        <v>44.4228</v>
      </c>
      <c r="O1264" s="1">
        <v>319000.0</v>
      </c>
      <c r="P1264" s="1">
        <v>1.5211919E7</v>
      </c>
      <c r="Q1264" s="1">
        <v>10.2877</v>
      </c>
      <c r="R1264" s="1">
        <v>90356.0</v>
      </c>
    </row>
    <row r="1265">
      <c r="A1265" s="663" t="s">
        <v>2351</v>
      </c>
      <c r="B1265" s="663" t="s">
        <v>180</v>
      </c>
      <c r="C1265" s="663" t="s">
        <v>55</v>
      </c>
      <c r="D1265" s="663" t="s">
        <v>2234</v>
      </c>
      <c r="E1265" s="664" t="s">
        <v>401</v>
      </c>
      <c r="F1265" s="665">
        <v>31008.0</v>
      </c>
      <c r="G1265" s="665">
        <v>3801.0</v>
      </c>
      <c r="H1265" s="665">
        <v>12.26</v>
      </c>
      <c r="I1265" s="665">
        <v>1.35</v>
      </c>
      <c r="J1265" s="665">
        <v>0.88</v>
      </c>
      <c r="K1265" s="665">
        <v>205740.0</v>
      </c>
      <c r="L1265" s="665">
        <v>1.5211919E7</v>
      </c>
      <c r="M1265" s="665">
        <v>6.64</v>
      </c>
      <c r="N1265" s="1">
        <v>54.1279</v>
      </c>
      <c r="O1265" s="1">
        <v>205740.0</v>
      </c>
      <c r="P1265" s="1">
        <v>1.5211919E7</v>
      </c>
      <c r="Q1265" s="1">
        <v>6.6351</v>
      </c>
      <c r="R1265" s="1">
        <v>90356.0</v>
      </c>
    </row>
    <row r="1266">
      <c r="A1266" s="663" t="s">
        <v>2351</v>
      </c>
      <c r="B1266" s="663" t="s">
        <v>180</v>
      </c>
      <c r="C1266" s="663" t="s">
        <v>55</v>
      </c>
      <c r="D1266" s="663" t="s">
        <v>2234</v>
      </c>
      <c r="E1266" s="664" t="s">
        <v>206</v>
      </c>
      <c r="F1266" s="665">
        <v>31008.0</v>
      </c>
      <c r="G1266" s="665">
        <v>3156.0</v>
      </c>
      <c r="H1266" s="665">
        <v>10.18</v>
      </c>
      <c r="I1266" s="665">
        <v>0.88</v>
      </c>
      <c r="J1266" s="665">
        <v>0.54</v>
      </c>
      <c r="K1266" s="665">
        <v>133380.0</v>
      </c>
      <c r="L1266" s="665">
        <v>1.5211919E7</v>
      </c>
      <c r="M1266" s="665">
        <v>4.3</v>
      </c>
      <c r="N1266" s="1">
        <v>42.2624</v>
      </c>
      <c r="O1266" s="1">
        <v>133380.0</v>
      </c>
      <c r="P1266" s="1">
        <v>1.5211919E7</v>
      </c>
      <c r="Q1266" s="1">
        <v>4.3015</v>
      </c>
      <c r="R1266" s="1">
        <v>90356.0</v>
      </c>
    </row>
    <row r="1267">
      <c r="A1267" s="663" t="s">
        <v>2351</v>
      </c>
      <c r="B1267" s="663" t="s">
        <v>180</v>
      </c>
      <c r="C1267" s="663" t="s">
        <v>55</v>
      </c>
      <c r="D1267" s="663" t="s">
        <v>2234</v>
      </c>
      <c r="E1267" s="664" t="s">
        <v>73</v>
      </c>
      <c r="F1267" s="665">
        <v>31008.0</v>
      </c>
      <c r="G1267" s="665">
        <v>2208.0</v>
      </c>
      <c r="H1267" s="665">
        <v>7.12</v>
      </c>
      <c r="I1267" s="665">
        <v>0.65</v>
      </c>
      <c r="J1267" s="665">
        <v>0.45</v>
      </c>
      <c r="K1267" s="665">
        <v>98460.0</v>
      </c>
      <c r="L1267" s="665">
        <v>1.5211919E7</v>
      </c>
      <c r="M1267" s="665">
        <v>3.18</v>
      </c>
      <c r="N1267" s="1">
        <v>44.5924</v>
      </c>
      <c r="O1267" s="1">
        <v>98460.0</v>
      </c>
      <c r="P1267" s="1">
        <v>1.5211919E7</v>
      </c>
      <c r="Q1267" s="1">
        <v>3.1753</v>
      </c>
      <c r="R1267" s="1">
        <v>90356.0</v>
      </c>
    </row>
    <row r="1268">
      <c r="A1268" s="663" t="s">
        <v>2351</v>
      </c>
      <c r="B1268" s="663" t="s">
        <v>180</v>
      </c>
      <c r="C1268" s="663" t="s">
        <v>55</v>
      </c>
      <c r="D1268" s="663" t="s">
        <v>2234</v>
      </c>
      <c r="E1268" s="664" t="s">
        <v>411</v>
      </c>
      <c r="F1268" s="665">
        <v>31008.0</v>
      </c>
      <c r="G1268" s="665">
        <v>2449.0</v>
      </c>
      <c r="H1268" s="665">
        <v>7.9</v>
      </c>
      <c r="I1268" s="665">
        <v>0.61</v>
      </c>
      <c r="J1268" s="665">
        <v>0.68</v>
      </c>
      <c r="K1268" s="665">
        <v>92039.0</v>
      </c>
      <c r="L1268" s="665">
        <v>1.5211919E7</v>
      </c>
      <c r="M1268" s="665">
        <v>2.97</v>
      </c>
      <c r="N1268" s="1">
        <v>37.5823</v>
      </c>
      <c r="O1268" s="1">
        <v>92039.0</v>
      </c>
      <c r="P1268" s="1">
        <v>1.5211919E7</v>
      </c>
      <c r="Q1268" s="1">
        <v>2.9682</v>
      </c>
      <c r="R1268" s="1">
        <v>90356.0</v>
      </c>
    </row>
    <row r="1269">
      <c r="A1269" s="663" t="s">
        <v>2351</v>
      </c>
      <c r="B1269" s="663" t="s">
        <v>180</v>
      </c>
      <c r="C1269" s="663" t="s">
        <v>55</v>
      </c>
      <c r="D1269" s="663" t="s">
        <v>2234</v>
      </c>
      <c r="E1269" s="664" t="s">
        <v>393</v>
      </c>
      <c r="F1269" s="665">
        <v>31008.0</v>
      </c>
      <c r="G1269" s="665">
        <v>2861.0</v>
      </c>
      <c r="H1269" s="665">
        <v>9.23</v>
      </c>
      <c r="I1269" s="665">
        <v>0.52</v>
      </c>
      <c r="J1269" s="665">
        <v>0.33</v>
      </c>
      <c r="K1269" s="665">
        <v>78580.0</v>
      </c>
      <c r="L1269" s="665">
        <v>1.5211919E7</v>
      </c>
      <c r="M1269" s="665">
        <v>2.53</v>
      </c>
      <c r="N1269" s="1">
        <v>27.4659</v>
      </c>
      <c r="O1269" s="1">
        <v>78580.0</v>
      </c>
      <c r="P1269" s="1">
        <v>1.5211919E7</v>
      </c>
      <c r="Q1269" s="1">
        <v>2.5342</v>
      </c>
      <c r="R1269" s="1">
        <v>90356.0</v>
      </c>
    </row>
    <row r="1270">
      <c r="A1270" s="663" t="s">
        <v>2351</v>
      </c>
      <c r="B1270" s="663" t="s">
        <v>180</v>
      </c>
      <c r="C1270" s="663" t="s">
        <v>55</v>
      </c>
      <c r="D1270" s="663" t="s">
        <v>2234</v>
      </c>
      <c r="E1270" s="664" t="s">
        <v>42</v>
      </c>
      <c r="F1270" s="665">
        <v>31008.0</v>
      </c>
      <c r="G1270" s="665">
        <v>574.0</v>
      </c>
      <c r="H1270" s="665">
        <v>1.85</v>
      </c>
      <c r="I1270" s="665">
        <v>0.2</v>
      </c>
      <c r="J1270" s="665">
        <v>0.24</v>
      </c>
      <c r="K1270" s="665">
        <v>29750.0</v>
      </c>
      <c r="L1270" s="665">
        <v>1.5211919E7</v>
      </c>
      <c r="M1270" s="665">
        <v>0.96</v>
      </c>
      <c r="N1270" s="1">
        <v>51.8293</v>
      </c>
      <c r="O1270" s="1">
        <v>29750.0</v>
      </c>
      <c r="P1270" s="1">
        <v>1.5211919E7</v>
      </c>
      <c r="Q1270" s="1">
        <v>0.9594</v>
      </c>
      <c r="R1270" s="1">
        <v>90356.0</v>
      </c>
    </row>
    <row r="1271">
      <c r="A1271" s="663" t="s">
        <v>2351</v>
      </c>
      <c r="B1271" s="663" t="s">
        <v>180</v>
      </c>
      <c r="C1271" s="663" t="s">
        <v>55</v>
      </c>
      <c r="D1271" s="663" t="s">
        <v>2234</v>
      </c>
      <c r="E1271" s="664" t="s">
        <v>151</v>
      </c>
      <c r="F1271" s="665">
        <v>31008.0</v>
      </c>
      <c r="G1271" s="665">
        <v>1.0</v>
      </c>
      <c r="H1271" s="665">
        <v>0.0</v>
      </c>
      <c r="I1271" s="665">
        <v>0.0</v>
      </c>
      <c r="J1271" s="665">
        <v>0.0</v>
      </c>
      <c r="K1271" s="665">
        <v>15.0</v>
      </c>
      <c r="L1271" s="665">
        <v>1.5211919E7</v>
      </c>
      <c r="M1271" s="665">
        <v>0.0</v>
      </c>
      <c r="N1271" s="1">
        <v>15.0</v>
      </c>
      <c r="O1271" s="1">
        <v>15.0</v>
      </c>
      <c r="P1271" s="1">
        <v>1.5211919E7</v>
      </c>
      <c r="Q1271" s="1">
        <v>5.0E-4</v>
      </c>
      <c r="R1271" s="1">
        <v>90356.0</v>
      </c>
    </row>
    <row r="1272">
      <c r="A1272" s="663" t="s">
        <v>2351</v>
      </c>
      <c r="B1272" s="663" t="s">
        <v>1192</v>
      </c>
      <c r="C1272" s="663" t="s">
        <v>50</v>
      </c>
      <c r="D1272" s="663" t="s">
        <v>599</v>
      </c>
      <c r="E1272" s="664" t="s">
        <v>418</v>
      </c>
      <c r="F1272" s="665">
        <v>2821.0</v>
      </c>
      <c r="G1272" s="665">
        <v>1905.0</v>
      </c>
      <c r="H1272" s="665">
        <v>67.53</v>
      </c>
      <c r="I1272" s="665">
        <v>20.14</v>
      </c>
      <c r="J1272" s="665">
        <v>20.76</v>
      </c>
      <c r="K1272" s="665">
        <v>3274.0</v>
      </c>
      <c r="L1272" s="665">
        <v>16254.0</v>
      </c>
      <c r="M1272" s="665">
        <v>1.16</v>
      </c>
      <c r="N1272" s="1">
        <v>1.7186</v>
      </c>
      <c r="O1272" s="1">
        <v>3274.0</v>
      </c>
      <c r="P1272" s="1">
        <v>16254.0</v>
      </c>
      <c r="Q1272" s="1">
        <v>1.1606</v>
      </c>
      <c r="R1272" s="1">
        <v>12544.0</v>
      </c>
    </row>
    <row r="1273">
      <c r="A1273" s="663" t="s">
        <v>2351</v>
      </c>
      <c r="B1273" s="663" t="s">
        <v>1192</v>
      </c>
      <c r="C1273" s="663" t="s">
        <v>50</v>
      </c>
      <c r="D1273" s="663" t="s">
        <v>599</v>
      </c>
      <c r="E1273" s="664" t="s">
        <v>411</v>
      </c>
      <c r="F1273" s="665">
        <v>2821.0</v>
      </c>
      <c r="G1273" s="665">
        <v>1873.0</v>
      </c>
      <c r="H1273" s="665">
        <v>66.39</v>
      </c>
      <c r="I1273" s="665">
        <v>18.11</v>
      </c>
      <c r="J1273" s="665">
        <v>24.0</v>
      </c>
      <c r="K1273" s="665">
        <v>2943.0</v>
      </c>
      <c r="L1273" s="665">
        <v>16254.0</v>
      </c>
      <c r="M1273" s="665">
        <v>1.04</v>
      </c>
      <c r="N1273" s="1">
        <v>1.5713</v>
      </c>
      <c r="O1273" s="1">
        <v>2943.0</v>
      </c>
      <c r="P1273" s="1">
        <v>16254.0</v>
      </c>
      <c r="Q1273" s="1">
        <v>1.0432</v>
      </c>
      <c r="R1273" s="1">
        <v>12544.0</v>
      </c>
    </row>
    <row r="1274">
      <c r="A1274" s="663" t="s">
        <v>2351</v>
      </c>
      <c r="B1274" s="663" t="s">
        <v>1192</v>
      </c>
      <c r="C1274" s="663" t="s">
        <v>50</v>
      </c>
      <c r="D1274" s="663" t="s">
        <v>599</v>
      </c>
      <c r="E1274" s="664" t="s">
        <v>413</v>
      </c>
      <c r="F1274" s="665">
        <v>2821.0</v>
      </c>
      <c r="G1274" s="665">
        <v>1157.0</v>
      </c>
      <c r="H1274" s="665">
        <v>41.01</v>
      </c>
      <c r="I1274" s="665">
        <v>13.88</v>
      </c>
      <c r="J1274" s="665">
        <v>10.95</v>
      </c>
      <c r="K1274" s="665">
        <v>2256.0</v>
      </c>
      <c r="L1274" s="665">
        <v>16254.0</v>
      </c>
      <c r="M1274" s="665">
        <v>0.8</v>
      </c>
      <c r="N1274" s="1">
        <v>1.9499</v>
      </c>
      <c r="O1274" s="1">
        <v>2256.0</v>
      </c>
      <c r="P1274" s="1">
        <v>16254.0</v>
      </c>
      <c r="Q1274" s="1">
        <v>0.7997</v>
      </c>
      <c r="R1274" s="1">
        <v>12544.0</v>
      </c>
    </row>
    <row r="1275">
      <c r="A1275" s="663" t="s">
        <v>2351</v>
      </c>
      <c r="B1275" s="663" t="s">
        <v>1192</v>
      </c>
      <c r="C1275" s="663" t="s">
        <v>50</v>
      </c>
      <c r="D1275" s="663" t="s">
        <v>599</v>
      </c>
      <c r="E1275" s="664" t="s">
        <v>9</v>
      </c>
      <c r="F1275" s="665">
        <v>2821.0</v>
      </c>
      <c r="G1275" s="665">
        <v>1359.0</v>
      </c>
      <c r="H1275" s="665">
        <v>48.17</v>
      </c>
      <c r="I1275" s="665">
        <v>11.58</v>
      </c>
      <c r="J1275" s="665">
        <v>10.42</v>
      </c>
      <c r="K1275" s="665">
        <v>1882.0</v>
      </c>
      <c r="L1275" s="665">
        <v>16254.0</v>
      </c>
      <c r="M1275" s="665">
        <v>0.67</v>
      </c>
      <c r="N1275" s="1">
        <v>1.3848</v>
      </c>
      <c r="O1275" s="1">
        <v>1882.0</v>
      </c>
      <c r="P1275" s="1">
        <v>16254.0</v>
      </c>
      <c r="Q1275" s="1">
        <v>0.6671</v>
      </c>
      <c r="R1275" s="1">
        <v>12544.0</v>
      </c>
    </row>
    <row r="1276">
      <c r="A1276" s="663" t="s">
        <v>2351</v>
      </c>
      <c r="B1276" s="663" t="s">
        <v>1192</v>
      </c>
      <c r="C1276" s="663" t="s">
        <v>50</v>
      </c>
      <c r="D1276" s="663" t="s">
        <v>599</v>
      </c>
      <c r="E1276" s="664" t="s">
        <v>14</v>
      </c>
      <c r="F1276" s="665">
        <v>2821.0</v>
      </c>
      <c r="G1276" s="665">
        <v>1064.0</v>
      </c>
      <c r="H1276" s="665">
        <v>37.72</v>
      </c>
      <c r="I1276" s="665">
        <v>9.95</v>
      </c>
      <c r="J1276" s="665">
        <v>7.39</v>
      </c>
      <c r="K1276" s="665">
        <v>1618.0</v>
      </c>
      <c r="L1276" s="665">
        <v>16254.0</v>
      </c>
      <c r="M1276" s="665">
        <v>0.57</v>
      </c>
      <c r="N1276" s="1">
        <v>1.5207</v>
      </c>
      <c r="O1276" s="1">
        <v>1618.0</v>
      </c>
      <c r="P1276" s="1">
        <v>16254.0</v>
      </c>
      <c r="Q1276" s="1">
        <v>0.5736</v>
      </c>
      <c r="R1276" s="1">
        <v>12544.0</v>
      </c>
    </row>
    <row r="1277">
      <c r="A1277" s="663" t="s">
        <v>2351</v>
      </c>
      <c r="B1277" s="663" t="s">
        <v>1192</v>
      </c>
      <c r="C1277" s="663" t="s">
        <v>50</v>
      </c>
      <c r="D1277" s="663" t="s">
        <v>599</v>
      </c>
      <c r="E1277" s="664" t="s">
        <v>51</v>
      </c>
      <c r="F1277" s="665">
        <v>2821.0</v>
      </c>
      <c r="G1277" s="665">
        <v>865.0</v>
      </c>
      <c r="H1277" s="665">
        <v>30.66</v>
      </c>
      <c r="I1277" s="665">
        <v>8.37</v>
      </c>
      <c r="J1277" s="665">
        <v>7.3</v>
      </c>
      <c r="K1277" s="665">
        <v>1360.0</v>
      </c>
      <c r="L1277" s="665">
        <v>16254.0</v>
      </c>
      <c r="M1277" s="665">
        <v>0.48</v>
      </c>
      <c r="N1277" s="1">
        <v>1.5723</v>
      </c>
      <c r="O1277" s="1">
        <v>1360.0</v>
      </c>
      <c r="P1277" s="1">
        <v>16254.0</v>
      </c>
      <c r="Q1277" s="1">
        <v>0.4821</v>
      </c>
      <c r="R1277" s="1">
        <v>12544.0</v>
      </c>
    </row>
    <row r="1278">
      <c r="A1278" s="663" t="s">
        <v>2351</v>
      </c>
      <c r="B1278" s="663" t="s">
        <v>1192</v>
      </c>
      <c r="C1278" s="663" t="s">
        <v>50</v>
      </c>
      <c r="D1278" s="663" t="s">
        <v>599</v>
      </c>
      <c r="E1278" s="664" t="s">
        <v>396</v>
      </c>
      <c r="F1278" s="665">
        <v>2821.0</v>
      </c>
      <c r="G1278" s="665">
        <v>703.0</v>
      </c>
      <c r="H1278" s="665">
        <v>24.92</v>
      </c>
      <c r="I1278" s="665">
        <v>5.91</v>
      </c>
      <c r="J1278" s="665">
        <v>6.29</v>
      </c>
      <c r="K1278" s="665">
        <v>960.0</v>
      </c>
      <c r="L1278" s="665">
        <v>16254.0</v>
      </c>
      <c r="M1278" s="665">
        <v>0.34</v>
      </c>
      <c r="N1278" s="1">
        <v>1.3656</v>
      </c>
      <c r="O1278" s="1">
        <v>960.0</v>
      </c>
      <c r="P1278" s="1">
        <v>16254.0</v>
      </c>
      <c r="Q1278" s="1">
        <v>0.3403</v>
      </c>
      <c r="R1278" s="1">
        <v>12544.0</v>
      </c>
    </row>
    <row r="1279">
      <c r="A1279" s="663" t="s">
        <v>2351</v>
      </c>
      <c r="B1279" s="663" t="s">
        <v>1192</v>
      </c>
      <c r="C1279" s="663" t="s">
        <v>50</v>
      </c>
      <c r="D1279" s="663" t="s">
        <v>599</v>
      </c>
      <c r="E1279" s="664" t="s">
        <v>16</v>
      </c>
      <c r="F1279" s="665">
        <v>2821.0</v>
      </c>
      <c r="G1279" s="665">
        <v>671.0</v>
      </c>
      <c r="H1279" s="665">
        <v>23.79</v>
      </c>
      <c r="I1279" s="665">
        <v>5.17</v>
      </c>
      <c r="J1279" s="665">
        <v>6.26</v>
      </c>
      <c r="K1279" s="665">
        <v>840.0</v>
      </c>
      <c r="L1279" s="665">
        <v>16254.0</v>
      </c>
      <c r="M1279" s="665">
        <v>0.3</v>
      </c>
      <c r="N1279" s="1">
        <v>1.2519</v>
      </c>
      <c r="O1279" s="1">
        <v>840.0</v>
      </c>
      <c r="P1279" s="1">
        <v>16254.0</v>
      </c>
      <c r="Q1279" s="1">
        <v>0.2978</v>
      </c>
      <c r="R1279" s="1">
        <v>12544.0</v>
      </c>
    </row>
    <row r="1280">
      <c r="A1280" s="663" t="s">
        <v>2351</v>
      </c>
      <c r="B1280" s="663" t="s">
        <v>1192</v>
      </c>
      <c r="C1280" s="663" t="s">
        <v>50</v>
      </c>
      <c r="D1280" s="663" t="s">
        <v>599</v>
      </c>
      <c r="E1280" s="664" t="s">
        <v>42</v>
      </c>
      <c r="F1280" s="665">
        <v>2821.0</v>
      </c>
      <c r="G1280" s="665">
        <v>554.0</v>
      </c>
      <c r="H1280" s="665">
        <v>19.64</v>
      </c>
      <c r="I1280" s="665">
        <v>4.23</v>
      </c>
      <c r="J1280" s="665">
        <v>4.01</v>
      </c>
      <c r="K1280" s="665">
        <v>687.0</v>
      </c>
      <c r="L1280" s="665">
        <v>16254.0</v>
      </c>
      <c r="M1280" s="665">
        <v>0.24</v>
      </c>
      <c r="N1280" s="1">
        <v>1.2401</v>
      </c>
      <c r="O1280" s="1">
        <v>687.0</v>
      </c>
      <c r="P1280" s="1">
        <v>16254.0</v>
      </c>
      <c r="Q1280" s="1">
        <v>0.2435</v>
      </c>
      <c r="R1280" s="1">
        <v>12544.0</v>
      </c>
    </row>
    <row r="1281">
      <c r="A1281" s="663" t="s">
        <v>2351</v>
      </c>
      <c r="B1281" s="663" t="s">
        <v>1192</v>
      </c>
      <c r="C1281" s="663" t="s">
        <v>50</v>
      </c>
      <c r="D1281" s="663" t="s">
        <v>599</v>
      </c>
      <c r="E1281" s="664" t="s">
        <v>63</v>
      </c>
      <c r="F1281" s="665">
        <v>2821.0</v>
      </c>
      <c r="G1281" s="665">
        <v>322.0</v>
      </c>
      <c r="H1281" s="665">
        <v>11.41</v>
      </c>
      <c r="I1281" s="665">
        <v>2.2</v>
      </c>
      <c r="J1281" s="665">
        <v>2.19</v>
      </c>
      <c r="K1281" s="665">
        <v>357.0</v>
      </c>
      <c r="L1281" s="665">
        <v>16254.0</v>
      </c>
      <c r="M1281" s="665">
        <v>0.13</v>
      </c>
      <c r="N1281" s="1">
        <v>1.1087</v>
      </c>
      <c r="O1281" s="1">
        <v>357.0</v>
      </c>
      <c r="P1281" s="1">
        <v>16254.0</v>
      </c>
      <c r="Q1281" s="1">
        <v>0.1266</v>
      </c>
      <c r="R1281" s="1">
        <v>12544.0</v>
      </c>
    </row>
    <row r="1282">
      <c r="A1282" s="663" t="s">
        <v>2351</v>
      </c>
      <c r="B1282" s="663" t="s">
        <v>1192</v>
      </c>
      <c r="C1282" s="663" t="s">
        <v>50</v>
      </c>
      <c r="D1282" s="663" t="s">
        <v>599</v>
      </c>
      <c r="E1282" s="664" t="s">
        <v>7</v>
      </c>
      <c r="F1282" s="665">
        <v>2821.0</v>
      </c>
      <c r="G1282" s="665">
        <v>65.0</v>
      </c>
      <c r="H1282" s="665">
        <v>2.3</v>
      </c>
      <c r="I1282" s="665">
        <v>0.44</v>
      </c>
      <c r="J1282" s="665">
        <v>0.39</v>
      </c>
      <c r="K1282" s="665">
        <v>71.0</v>
      </c>
      <c r="L1282" s="665">
        <v>16254.0</v>
      </c>
      <c r="M1282" s="665">
        <v>0.03</v>
      </c>
      <c r="N1282" s="1">
        <v>1.0923</v>
      </c>
      <c r="O1282" s="1">
        <v>71.0</v>
      </c>
      <c r="P1282" s="1">
        <v>16254.0</v>
      </c>
      <c r="Q1282" s="1">
        <v>0.0252</v>
      </c>
      <c r="R1282" s="1">
        <v>12544.0</v>
      </c>
    </row>
    <row r="1283">
      <c r="A1283" s="663" t="s">
        <v>2351</v>
      </c>
      <c r="B1283" s="663" t="s">
        <v>1192</v>
      </c>
      <c r="C1283" s="663" t="s">
        <v>50</v>
      </c>
      <c r="D1283" s="663" t="s">
        <v>599</v>
      </c>
      <c r="E1283" s="664" t="s">
        <v>393</v>
      </c>
      <c r="F1283" s="665">
        <v>2821.0</v>
      </c>
      <c r="G1283" s="665">
        <v>1.0</v>
      </c>
      <c r="H1283" s="665">
        <v>0.04</v>
      </c>
      <c r="I1283" s="665">
        <v>0.01</v>
      </c>
      <c r="J1283" s="665">
        <v>0.01</v>
      </c>
      <c r="K1283" s="665">
        <v>1.0</v>
      </c>
      <c r="L1283" s="665">
        <v>16254.0</v>
      </c>
      <c r="M1283" s="665">
        <v>0.0</v>
      </c>
      <c r="N1283" s="1">
        <v>1.0</v>
      </c>
      <c r="O1283" s="1">
        <v>1.0</v>
      </c>
      <c r="P1283" s="1">
        <v>16254.0</v>
      </c>
      <c r="Q1283" s="1">
        <v>4.0E-4</v>
      </c>
      <c r="R1283" s="1">
        <v>12544.0</v>
      </c>
    </row>
    <row r="1284">
      <c r="A1284" s="663" t="s">
        <v>2351</v>
      </c>
      <c r="B1284" s="663" t="s">
        <v>1192</v>
      </c>
      <c r="C1284" s="663" t="s">
        <v>50</v>
      </c>
      <c r="D1284" s="663" t="s">
        <v>599</v>
      </c>
      <c r="E1284" s="664" t="s">
        <v>151</v>
      </c>
      <c r="F1284" s="665">
        <v>2821.0</v>
      </c>
      <c r="G1284" s="665">
        <v>2.0</v>
      </c>
      <c r="H1284" s="665">
        <v>0.07</v>
      </c>
      <c r="I1284" s="665">
        <v>0.01</v>
      </c>
      <c r="J1284" s="665">
        <v>0.01</v>
      </c>
      <c r="K1284" s="665">
        <v>2.0</v>
      </c>
      <c r="L1284" s="665">
        <v>16254.0</v>
      </c>
      <c r="M1284" s="665">
        <v>0.0</v>
      </c>
      <c r="N1284" s="1">
        <v>1.0</v>
      </c>
      <c r="O1284" s="1">
        <v>2.0</v>
      </c>
      <c r="P1284" s="1">
        <v>16254.0</v>
      </c>
      <c r="Q1284" s="1">
        <v>7.0E-4</v>
      </c>
      <c r="R1284" s="1">
        <v>12544.0</v>
      </c>
    </row>
    <row r="1285">
      <c r="A1285" s="663" t="s">
        <v>2351</v>
      </c>
      <c r="B1285" s="663" t="s">
        <v>1192</v>
      </c>
      <c r="C1285" s="663" t="s">
        <v>50</v>
      </c>
      <c r="D1285" s="663" t="s">
        <v>599</v>
      </c>
      <c r="E1285" s="664" t="s">
        <v>206</v>
      </c>
      <c r="F1285" s="665">
        <v>2821.0</v>
      </c>
      <c r="G1285" s="665">
        <v>1.0</v>
      </c>
      <c r="H1285" s="665">
        <v>0.04</v>
      </c>
      <c r="I1285" s="665">
        <v>0.01</v>
      </c>
      <c r="J1285" s="665">
        <v>0.0</v>
      </c>
      <c r="K1285" s="665">
        <v>1.0</v>
      </c>
      <c r="L1285" s="665">
        <v>16254.0</v>
      </c>
      <c r="M1285" s="665">
        <v>0.0</v>
      </c>
      <c r="N1285" s="1">
        <v>1.0</v>
      </c>
      <c r="O1285" s="1">
        <v>1.0</v>
      </c>
      <c r="P1285" s="1">
        <v>16254.0</v>
      </c>
      <c r="Q1285" s="1">
        <v>4.0E-4</v>
      </c>
      <c r="R1285" s="1">
        <v>12544.0</v>
      </c>
    </row>
    <row r="1286">
      <c r="A1286" s="663" t="s">
        <v>2351</v>
      </c>
      <c r="B1286" s="663" t="s">
        <v>1192</v>
      </c>
      <c r="C1286" s="663" t="s">
        <v>50</v>
      </c>
      <c r="D1286" s="663" t="s">
        <v>599</v>
      </c>
      <c r="E1286" s="664" t="s">
        <v>341</v>
      </c>
      <c r="F1286" s="665">
        <v>2821.0</v>
      </c>
      <c r="G1286" s="665">
        <v>1.0</v>
      </c>
      <c r="H1286" s="665">
        <v>0.04</v>
      </c>
      <c r="I1286" s="665">
        <v>0.01</v>
      </c>
      <c r="J1286" s="665">
        <v>0.02</v>
      </c>
      <c r="K1286" s="665">
        <v>2.0</v>
      </c>
      <c r="L1286" s="665">
        <v>16254.0</v>
      </c>
      <c r="M1286" s="665">
        <v>0.0</v>
      </c>
      <c r="N1286" s="1">
        <v>2.0</v>
      </c>
      <c r="O1286" s="1">
        <v>2.0</v>
      </c>
      <c r="P1286" s="1">
        <v>16254.0</v>
      </c>
      <c r="Q1286" s="1">
        <v>7.0E-4</v>
      </c>
      <c r="R1286" s="1">
        <v>12544.0</v>
      </c>
    </row>
    <row r="1287">
      <c r="A1287" s="663" t="s">
        <v>2351</v>
      </c>
      <c r="B1287" s="663" t="s">
        <v>1192</v>
      </c>
      <c r="C1287" s="663" t="s">
        <v>48</v>
      </c>
      <c r="D1287" s="663" t="s">
        <v>599</v>
      </c>
      <c r="E1287" s="664" t="s">
        <v>413</v>
      </c>
      <c r="F1287" s="665">
        <v>3006.0</v>
      </c>
      <c r="G1287" s="665">
        <v>1707.0</v>
      </c>
      <c r="H1287" s="665">
        <v>56.79</v>
      </c>
      <c r="I1287" s="665">
        <v>17.06</v>
      </c>
      <c r="J1287" s="665">
        <v>15.78</v>
      </c>
      <c r="K1287" s="665">
        <v>4186.0</v>
      </c>
      <c r="L1287" s="665">
        <v>24537.0</v>
      </c>
      <c r="M1287" s="665">
        <v>1.39</v>
      </c>
      <c r="N1287" s="1">
        <v>2.4523</v>
      </c>
      <c r="O1287" s="1">
        <v>4186.0</v>
      </c>
      <c r="P1287" s="1">
        <v>24537.0</v>
      </c>
      <c r="Q1287" s="1">
        <v>1.3925</v>
      </c>
      <c r="R1287" s="1">
        <v>12544.0</v>
      </c>
    </row>
    <row r="1288">
      <c r="A1288" s="663" t="s">
        <v>2351</v>
      </c>
      <c r="B1288" s="663" t="s">
        <v>1192</v>
      </c>
      <c r="C1288" s="663" t="s">
        <v>48</v>
      </c>
      <c r="D1288" s="663" t="s">
        <v>599</v>
      </c>
      <c r="E1288" s="664" t="s">
        <v>418</v>
      </c>
      <c r="F1288" s="665">
        <v>3006.0</v>
      </c>
      <c r="G1288" s="665">
        <v>1906.0</v>
      </c>
      <c r="H1288" s="665">
        <v>63.41</v>
      </c>
      <c r="I1288" s="665">
        <v>13.53</v>
      </c>
      <c r="J1288" s="665">
        <v>12.64</v>
      </c>
      <c r="K1288" s="665">
        <v>3321.0</v>
      </c>
      <c r="L1288" s="665">
        <v>24537.0</v>
      </c>
      <c r="M1288" s="665">
        <v>1.1</v>
      </c>
      <c r="N1288" s="1">
        <v>1.7424</v>
      </c>
      <c r="O1288" s="1">
        <v>3321.0</v>
      </c>
      <c r="P1288" s="1">
        <v>24537.0</v>
      </c>
      <c r="Q1288" s="1">
        <v>1.1048</v>
      </c>
      <c r="R1288" s="1">
        <v>12544.0</v>
      </c>
    </row>
    <row r="1289">
      <c r="A1289" s="663" t="s">
        <v>2351</v>
      </c>
      <c r="B1289" s="663" t="s">
        <v>1192</v>
      </c>
      <c r="C1289" s="663" t="s">
        <v>48</v>
      </c>
      <c r="D1289" s="663" t="s">
        <v>599</v>
      </c>
      <c r="E1289" s="664" t="s">
        <v>14</v>
      </c>
      <c r="F1289" s="665">
        <v>3006.0</v>
      </c>
      <c r="G1289" s="665">
        <v>1972.0</v>
      </c>
      <c r="H1289" s="665">
        <v>65.6</v>
      </c>
      <c r="I1289" s="665">
        <v>13.42</v>
      </c>
      <c r="J1289" s="665">
        <v>15.03</v>
      </c>
      <c r="K1289" s="665">
        <v>3294.0</v>
      </c>
      <c r="L1289" s="665">
        <v>24537.0</v>
      </c>
      <c r="M1289" s="665">
        <v>1.1</v>
      </c>
      <c r="N1289" s="1">
        <v>1.6704</v>
      </c>
      <c r="O1289" s="1">
        <v>3294.0</v>
      </c>
      <c r="P1289" s="1">
        <v>24537.0</v>
      </c>
      <c r="Q1289" s="1">
        <v>1.0958</v>
      </c>
      <c r="R1289" s="1">
        <v>12544.0</v>
      </c>
    </row>
    <row r="1290">
      <c r="A1290" s="663" t="s">
        <v>2351</v>
      </c>
      <c r="B1290" s="663" t="s">
        <v>1192</v>
      </c>
      <c r="C1290" s="663" t="s">
        <v>48</v>
      </c>
      <c r="D1290" s="663" t="s">
        <v>599</v>
      </c>
      <c r="E1290" s="664" t="s">
        <v>411</v>
      </c>
      <c r="F1290" s="665">
        <v>3006.0</v>
      </c>
      <c r="G1290" s="665">
        <v>1878.0</v>
      </c>
      <c r="H1290" s="665">
        <v>62.48</v>
      </c>
      <c r="I1290" s="665">
        <v>11.99</v>
      </c>
      <c r="J1290" s="665">
        <v>12.97</v>
      </c>
      <c r="K1290" s="665">
        <v>2943.0</v>
      </c>
      <c r="L1290" s="665">
        <v>24537.0</v>
      </c>
      <c r="M1290" s="665">
        <v>0.98</v>
      </c>
      <c r="N1290" s="1">
        <v>1.5671</v>
      </c>
      <c r="O1290" s="1">
        <v>2943.0</v>
      </c>
      <c r="P1290" s="1">
        <v>24537.0</v>
      </c>
      <c r="Q1290" s="1">
        <v>0.979</v>
      </c>
      <c r="R1290" s="1">
        <v>12544.0</v>
      </c>
    </row>
    <row r="1291">
      <c r="A1291" s="663" t="s">
        <v>2351</v>
      </c>
      <c r="B1291" s="663" t="s">
        <v>1192</v>
      </c>
      <c r="C1291" s="663" t="s">
        <v>48</v>
      </c>
      <c r="D1291" s="663" t="s">
        <v>599</v>
      </c>
      <c r="E1291" s="664" t="s">
        <v>398</v>
      </c>
      <c r="F1291" s="665">
        <v>3006.0</v>
      </c>
      <c r="G1291" s="665">
        <v>1552.0</v>
      </c>
      <c r="H1291" s="665">
        <v>51.63</v>
      </c>
      <c r="I1291" s="665">
        <v>9.61</v>
      </c>
      <c r="J1291" s="665">
        <v>9.66</v>
      </c>
      <c r="K1291" s="665">
        <v>2357.0</v>
      </c>
      <c r="L1291" s="665">
        <v>24537.0</v>
      </c>
      <c r="M1291" s="665">
        <v>0.78</v>
      </c>
      <c r="N1291" s="1">
        <v>1.5187</v>
      </c>
      <c r="O1291" s="1">
        <v>2357.0</v>
      </c>
      <c r="P1291" s="1">
        <v>24537.0</v>
      </c>
      <c r="Q1291" s="1">
        <v>0.7841</v>
      </c>
      <c r="R1291" s="1">
        <v>12544.0</v>
      </c>
    </row>
    <row r="1292">
      <c r="A1292" s="663" t="s">
        <v>2351</v>
      </c>
      <c r="B1292" s="663" t="s">
        <v>1192</v>
      </c>
      <c r="C1292" s="663" t="s">
        <v>48</v>
      </c>
      <c r="D1292" s="663" t="s">
        <v>599</v>
      </c>
      <c r="E1292" s="664" t="s">
        <v>9</v>
      </c>
      <c r="F1292" s="665">
        <v>3006.0</v>
      </c>
      <c r="G1292" s="665">
        <v>1621.0</v>
      </c>
      <c r="H1292" s="665">
        <v>53.93</v>
      </c>
      <c r="I1292" s="665">
        <v>9.3</v>
      </c>
      <c r="J1292" s="665">
        <v>9.32</v>
      </c>
      <c r="K1292" s="665">
        <v>2283.0</v>
      </c>
      <c r="L1292" s="665">
        <v>24537.0</v>
      </c>
      <c r="M1292" s="665">
        <v>0.76</v>
      </c>
      <c r="N1292" s="1">
        <v>1.4084</v>
      </c>
      <c r="O1292" s="1">
        <v>2283.0</v>
      </c>
      <c r="P1292" s="1">
        <v>24537.0</v>
      </c>
      <c r="Q1292" s="1">
        <v>0.7595</v>
      </c>
      <c r="R1292" s="1">
        <v>12544.0</v>
      </c>
    </row>
    <row r="1293">
      <c r="A1293" s="663" t="s">
        <v>2351</v>
      </c>
      <c r="B1293" s="663" t="s">
        <v>1192</v>
      </c>
      <c r="C1293" s="663" t="s">
        <v>48</v>
      </c>
      <c r="D1293" s="663" t="s">
        <v>599</v>
      </c>
      <c r="E1293" s="664" t="s">
        <v>51</v>
      </c>
      <c r="F1293" s="665">
        <v>3006.0</v>
      </c>
      <c r="G1293" s="665">
        <v>865.0</v>
      </c>
      <c r="H1293" s="665">
        <v>28.78</v>
      </c>
      <c r="I1293" s="665">
        <v>5.54</v>
      </c>
      <c r="J1293" s="665">
        <v>4.65</v>
      </c>
      <c r="K1293" s="665">
        <v>1360.0</v>
      </c>
      <c r="L1293" s="665">
        <v>24537.0</v>
      </c>
      <c r="M1293" s="665">
        <v>0.45</v>
      </c>
      <c r="N1293" s="1">
        <v>1.5723</v>
      </c>
      <c r="O1293" s="1">
        <v>1360.0</v>
      </c>
      <c r="P1293" s="1">
        <v>24537.0</v>
      </c>
      <c r="Q1293" s="1">
        <v>0.4524</v>
      </c>
      <c r="R1293" s="1">
        <v>12544.0</v>
      </c>
    </row>
    <row r="1294">
      <c r="A1294" s="663" t="s">
        <v>2351</v>
      </c>
      <c r="B1294" s="663" t="s">
        <v>1192</v>
      </c>
      <c r="C1294" s="663" t="s">
        <v>48</v>
      </c>
      <c r="D1294" s="663" t="s">
        <v>599</v>
      </c>
      <c r="E1294" s="664" t="s">
        <v>396</v>
      </c>
      <c r="F1294" s="665">
        <v>3006.0</v>
      </c>
      <c r="G1294" s="665">
        <v>788.0</v>
      </c>
      <c r="H1294" s="665">
        <v>26.21</v>
      </c>
      <c r="I1294" s="665">
        <v>5.03</v>
      </c>
      <c r="J1294" s="665">
        <v>5.45</v>
      </c>
      <c r="K1294" s="665">
        <v>1235.0</v>
      </c>
      <c r="L1294" s="665">
        <v>24537.0</v>
      </c>
      <c r="M1294" s="665">
        <v>0.41</v>
      </c>
      <c r="N1294" s="1">
        <v>1.5673</v>
      </c>
      <c r="O1294" s="1">
        <v>1235.0</v>
      </c>
      <c r="P1294" s="1">
        <v>24537.0</v>
      </c>
      <c r="Q1294" s="1">
        <v>0.4108</v>
      </c>
      <c r="R1294" s="1">
        <v>12544.0</v>
      </c>
    </row>
    <row r="1295">
      <c r="A1295" s="663" t="s">
        <v>2351</v>
      </c>
      <c r="B1295" s="663" t="s">
        <v>1192</v>
      </c>
      <c r="C1295" s="663" t="s">
        <v>48</v>
      </c>
      <c r="D1295" s="663" t="s">
        <v>599</v>
      </c>
      <c r="E1295" s="664" t="s">
        <v>401</v>
      </c>
      <c r="F1295" s="665">
        <v>3006.0</v>
      </c>
      <c r="G1295" s="665">
        <v>833.0</v>
      </c>
      <c r="H1295" s="665">
        <v>27.71</v>
      </c>
      <c r="I1295" s="665">
        <v>3.66</v>
      </c>
      <c r="J1295" s="665">
        <v>3.79</v>
      </c>
      <c r="K1295" s="665">
        <v>899.0</v>
      </c>
      <c r="L1295" s="665">
        <v>24537.0</v>
      </c>
      <c r="M1295" s="665">
        <v>0.3</v>
      </c>
      <c r="N1295" s="1">
        <v>1.0792</v>
      </c>
      <c r="O1295" s="1">
        <v>899.0</v>
      </c>
      <c r="P1295" s="1">
        <v>24537.0</v>
      </c>
      <c r="Q1295" s="1">
        <v>0.2991</v>
      </c>
      <c r="R1295" s="1">
        <v>12544.0</v>
      </c>
    </row>
    <row r="1296">
      <c r="A1296" s="663" t="s">
        <v>2351</v>
      </c>
      <c r="B1296" s="663" t="s">
        <v>1192</v>
      </c>
      <c r="C1296" s="663" t="s">
        <v>48</v>
      </c>
      <c r="D1296" s="663" t="s">
        <v>599</v>
      </c>
      <c r="E1296" s="664" t="s">
        <v>206</v>
      </c>
      <c r="F1296" s="665">
        <v>3006.0</v>
      </c>
      <c r="G1296" s="665">
        <v>751.0</v>
      </c>
      <c r="H1296" s="665">
        <v>24.98</v>
      </c>
      <c r="I1296" s="665">
        <v>3.16</v>
      </c>
      <c r="J1296" s="665">
        <v>3.16</v>
      </c>
      <c r="K1296" s="665">
        <v>775.0</v>
      </c>
      <c r="L1296" s="665">
        <v>24537.0</v>
      </c>
      <c r="M1296" s="665">
        <v>0.26</v>
      </c>
      <c r="N1296" s="1">
        <v>1.032</v>
      </c>
      <c r="O1296" s="1">
        <v>775.0</v>
      </c>
      <c r="P1296" s="1">
        <v>24537.0</v>
      </c>
      <c r="Q1296" s="1">
        <v>0.2578</v>
      </c>
      <c r="R1296" s="1">
        <v>12544.0</v>
      </c>
    </row>
    <row r="1297">
      <c r="A1297" s="663" t="s">
        <v>2351</v>
      </c>
      <c r="B1297" s="663" t="s">
        <v>1192</v>
      </c>
      <c r="C1297" s="663" t="s">
        <v>48</v>
      </c>
      <c r="D1297" s="663" t="s">
        <v>599</v>
      </c>
      <c r="E1297" s="664" t="s">
        <v>63</v>
      </c>
      <c r="F1297" s="665">
        <v>3006.0</v>
      </c>
      <c r="G1297" s="665">
        <v>528.0</v>
      </c>
      <c r="H1297" s="665">
        <v>17.56</v>
      </c>
      <c r="I1297" s="665">
        <v>2.6</v>
      </c>
      <c r="J1297" s="665">
        <v>2.42</v>
      </c>
      <c r="K1297" s="665">
        <v>637.0</v>
      </c>
      <c r="L1297" s="665">
        <v>24537.0</v>
      </c>
      <c r="M1297" s="665">
        <v>0.21</v>
      </c>
      <c r="N1297" s="1">
        <v>1.2064</v>
      </c>
      <c r="O1297" s="1">
        <v>637.0</v>
      </c>
      <c r="P1297" s="1">
        <v>24537.0</v>
      </c>
      <c r="Q1297" s="1">
        <v>0.2119</v>
      </c>
      <c r="R1297" s="1">
        <v>12544.0</v>
      </c>
    </row>
    <row r="1298">
      <c r="A1298" s="663" t="s">
        <v>2351</v>
      </c>
      <c r="B1298" s="663" t="s">
        <v>1192</v>
      </c>
      <c r="C1298" s="663" t="s">
        <v>48</v>
      </c>
      <c r="D1298" s="663" t="s">
        <v>599</v>
      </c>
      <c r="E1298" s="664" t="s">
        <v>73</v>
      </c>
      <c r="F1298" s="665">
        <v>3006.0</v>
      </c>
      <c r="G1298" s="665">
        <v>494.0</v>
      </c>
      <c r="H1298" s="665">
        <v>16.43</v>
      </c>
      <c r="I1298" s="665">
        <v>2.06</v>
      </c>
      <c r="J1298" s="665">
        <v>2.46</v>
      </c>
      <c r="K1298" s="665">
        <v>506.0</v>
      </c>
      <c r="L1298" s="665">
        <v>24537.0</v>
      </c>
      <c r="M1298" s="665">
        <v>0.17</v>
      </c>
      <c r="N1298" s="1">
        <v>1.0243</v>
      </c>
      <c r="O1298" s="1">
        <v>506.0</v>
      </c>
      <c r="P1298" s="1">
        <v>24537.0</v>
      </c>
      <c r="Q1298" s="1">
        <v>0.1683</v>
      </c>
      <c r="R1298" s="1">
        <v>12544.0</v>
      </c>
    </row>
    <row r="1299">
      <c r="A1299" s="663" t="s">
        <v>2351</v>
      </c>
      <c r="B1299" s="663" t="s">
        <v>1192</v>
      </c>
      <c r="C1299" s="663" t="s">
        <v>48</v>
      </c>
      <c r="D1299" s="663" t="s">
        <v>599</v>
      </c>
      <c r="E1299" s="664" t="s">
        <v>42</v>
      </c>
      <c r="F1299" s="665">
        <v>3006.0</v>
      </c>
      <c r="G1299" s="665">
        <v>285.0</v>
      </c>
      <c r="H1299" s="665">
        <v>9.48</v>
      </c>
      <c r="I1299" s="665">
        <v>1.34</v>
      </c>
      <c r="J1299" s="665">
        <v>1.06</v>
      </c>
      <c r="K1299" s="665">
        <v>330.0</v>
      </c>
      <c r="L1299" s="665">
        <v>24537.0</v>
      </c>
      <c r="M1299" s="665">
        <v>0.11</v>
      </c>
      <c r="N1299" s="1">
        <v>1.1579</v>
      </c>
      <c r="O1299" s="1">
        <v>330.0</v>
      </c>
      <c r="P1299" s="1">
        <v>24537.0</v>
      </c>
      <c r="Q1299" s="1">
        <v>0.1098</v>
      </c>
      <c r="R1299" s="1">
        <v>12544.0</v>
      </c>
    </row>
    <row r="1300">
      <c r="A1300" s="663" t="s">
        <v>2351</v>
      </c>
      <c r="B1300" s="663" t="s">
        <v>1192</v>
      </c>
      <c r="C1300" s="663" t="s">
        <v>48</v>
      </c>
      <c r="D1300" s="663" t="s">
        <v>599</v>
      </c>
      <c r="E1300" s="664" t="s">
        <v>16</v>
      </c>
      <c r="F1300" s="665">
        <v>3006.0</v>
      </c>
      <c r="G1300" s="665">
        <v>247.0</v>
      </c>
      <c r="H1300" s="665">
        <v>8.22</v>
      </c>
      <c r="I1300" s="665">
        <v>1.11</v>
      </c>
      <c r="J1300" s="665">
        <v>1.11</v>
      </c>
      <c r="K1300" s="665">
        <v>272.0</v>
      </c>
      <c r="L1300" s="665">
        <v>24537.0</v>
      </c>
      <c r="M1300" s="665">
        <v>0.09</v>
      </c>
      <c r="N1300" s="1">
        <v>1.1012</v>
      </c>
      <c r="O1300" s="1">
        <v>272.0</v>
      </c>
      <c r="P1300" s="1">
        <v>24537.0</v>
      </c>
      <c r="Q1300" s="1">
        <v>0.0905</v>
      </c>
      <c r="R1300" s="1">
        <v>12544.0</v>
      </c>
    </row>
    <row r="1301">
      <c r="A1301" s="663" t="s">
        <v>2351</v>
      </c>
      <c r="B1301" s="663" t="s">
        <v>1192</v>
      </c>
      <c r="C1301" s="663" t="s">
        <v>48</v>
      </c>
      <c r="D1301" s="663" t="s">
        <v>599</v>
      </c>
      <c r="E1301" s="664" t="s">
        <v>7</v>
      </c>
      <c r="F1301" s="665">
        <v>3006.0</v>
      </c>
      <c r="G1301" s="665">
        <v>128.0</v>
      </c>
      <c r="H1301" s="665">
        <v>4.26</v>
      </c>
      <c r="I1301" s="665">
        <v>0.55</v>
      </c>
      <c r="J1301" s="665">
        <v>0.49</v>
      </c>
      <c r="K1301" s="665">
        <v>136.0</v>
      </c>
      <c r="L1301" s="665">
        <v>24537.0</v>
      </c>
      <c r="M1301" s="665">
        <v>0.05</v>
      </c>
      <c r="N1301" s="1">
        <v>1.0625</v>
      </c>
      <c r="O1301" s="1">
        <v>136.0</v>
      </c>
      <c r="P1301" s="1">
        <v>24537.0</v>
      </c>
      <c r="Q1301" s="1">
        <v>0.0452</v>
      </c>
      <c r="R1301" s="1">
        <v>12544.0</v>
      </c>
    </row>
    <row r="1302">
      <c r="A1302" s="663" t="s">
        <v>2351</v>
      </c>
      <c r="B1302" s="663" t="s">
        <v>1192</v>
      </c>
      <c r="C1302" s="663" t="s">
        <v>48</v>
      </c>
      <c r="D1302" s="663" t="s">
        <v>599</v>
      </c>
      <c r="E1302" s="664" t="s">
        <v>393</v>
      </c>
      <c r="F1302" s="665">
        <v>3006.0</v>
      </c>
      <c r="G1302" s="665">
        <v>2.0</v>
      </c>
      <c r="H1302" s="665">
        <v>0.07</v>
      </c>
      <c r="I1302" s="665">
        <v>0.01</v>
      </c>
      <c r="J1302" s="665">
        <v>0.01</v>
      </c>
      <c r="K1302" s="665">
        <v>2.0</v>
      </c>
      <c r="L1302" s="665">
        <v>24537.0</v>
      </c>
      <c r="M1302" s="665">
        <v>0.0</v>
      </c>
      <c r="N1302" s="1">
        <v>1.0</v>
      </c>
      <c r="O1302" s="1">
        <v>2.0</v>
      </c>
      <c r="P1302" s="1">
        <v>24537.0</v>
      </c>
      <c r="Q1302" s="1">
        <v>7.0E-4</v>
      </c>
      <c r="R1302" s="1">
        <v>12544.0</v>
      </c>
    </row>
    <row r="1303">
      <c r="A1303" s="663" t="s">
        <v>2351</v>
      </c>
      <c r="B1303" s="663" t="s">
        <v>1192</v>
      </c>
      <c r="C1303" s="663" t="s">
        <v>48</v>
      </c>
      <c r="D1303" s="663" t="s">
        <v>599</v>
      </c>
      <c r="E1303" s="664" t="s">
        <v>151</v>
      </c>
      <c r="F1303" s="665">
        <v>3006.0</v>
      </c>
      <c r="G1303" s="665">
        <v>1.0</v>
      </c>
      <c r="H1303" s="665">
        <v>0.03</v>
      </c>
      <c r="I1303" s="665">
        <v>0.0</v>
      </c>
      <c r="J1303" s="665">
        <v>0.0</v>
      </c>
      <c r="K1303" s="665">
        <v>1.0</v>
      </c>
      <c r="L1303" s="665">
        <v>24537.0</v>
      </c>
      <c r="M1303" s="665">
        <v>0.0</v>
      </c>
      <c r="N1303" s="1">
        <v>1.0</v>
      </c>
      <c r="O1303" s="1">
        <v>1.0</v>
      </c>
      <c r="P1303" s="1">
        <v>24537.0</v>
      </c>
      <c r="Q1303" s="1">
        <v>3.0E-4</v>
      </c>
      <c r="R1303" s="1">
        <v>12544.0</v>
      </c>
    </row>
    <row r="1304">
      <c r="A1304" s="663" t="s">
        <v>2351</v>
      </c>
      <c r="B1304" s="663" t="s">
        <v>1192</v>
      </c>
      <c r="C1304" s="663" t="s">
        <v>54</v>
      </c>
      <c r="D1304" s="663" t="s">
        <v>599</v>
      </c>
      <c r="E1304" s="664" t="s">
        <v>14</v>
      </c>
      <c r="F1304" s="665">
        <v>2446.0</v>
      </c>
      <c r="G1304" s="665">
        <v>1532.0</v>
      </c>
      <c r="H1304" s="665">
        <v>62.63</v>
      </c>
      <c r="I1304" s="665">
        <v>20.85</v>
      </c>
      <c r="J1304" s="665">
        <v>21.06</v>
      </c>
      <c r="K1304" s="665">
        <v>2229.0</v>
      </c>
      <c r="L1304" s="665">
        <v>10691.0</v>
      </c>
      <c r="M1304" s="665">
        <v>0.91</v>
      </c>
      <c r="N1304" s="1">
        <v>1.455</v>
      </c>
      <c r="O1304" s="1">
        <v>2229.0</v>
      </c>
      <c r="P1304" s="1">
        <v>10691.0</v>
      </c>
      <c r="Q1304" s="1">
        <v>0.9113</v>
      </c>
      <c r="R1304" s="1">
        <v>12544.0</v>
      </c>
    </row>
    <row r="1305">
      <c r="A1305" s="663" t="s">
        <v>2351</v>
      </c>
      <c r="B1305" s="663" t="s">
        <v>1192</v>
      </c>
      <c r="C1305" s="663" t="s">
        <v>54</v>
      </c>
      <c r="D1305" s="663" t="s">
        <v>599</v>
      </c>
      <c r="E1305" s="664" t="s">
        <v>16</v>
      </c>
      <c r="F1305" s="665">
        <v>2446.0</v>
      </c>
      <c r="G1305" s="665">
        <v>1279.0</v>
      </c>
      <c r="H1305" s="665">
        <v>52.29</v>
      </c>
      <c r="I1305" s="665">
        <v>19.4</v>
      </c>
      <c r="J1305" s="665">
        <v>20.72</v>
      </c>
      <c r="K1305" s="665">
        <v>2074.0</v>
      </c>
      <c r="L1305" s="665">
        <v>10691.0</v>
      </c>
      <c r="M1305" s="665">
        <v>0.85</v>
      </c>
      <c r="N1305" s="1">
        <v>1.6216</v>
      </c>
      <c r="O1305" s="1">
        <v>2074.0</v>
      </c>
      <c r="P1305" s="1">
        <v>10691.0</v>
      </c>
      <c r="Q1305" s="1">
        <v>0.8479</v>
      </c>
      <c r="R1305" s="1">
        <v>12544.0</v>
      </c>
    </row>
    <row r="1306">
      <c r="A1306" s="663" t="s">
        <v>2351</v>
      </c>
      <c r="B1306" s="663" t="s">
        <v>1192</v>
      </c>
      <c r="C1306" s="663" t="s">
        <v>54</v>
      </c>
      <c r="D1306" s="663" t="s">
        <v>599</v>
      </c>
      <c r="E1306" s="664" t="s">
        <v>9</v>
      </c>
      <c r="F1306" s="665">
        <v>2446.0</v>
      </c>
      <c r="G1306" s="665">
        <v>1304.0</v>
      </c>
      <c r="H1306" s="665">
        <v>53.31</v>
      </c>
      <c r="I1306" s="665">
        <v>16.6</v>
      </c>
      <c r="J1306" s="665">
        <v>15.35</v>
      </c>
      <c r="K1306" s="665">
        <v>1775.0</v>
      </c>
      <c r="L1306" s="665">
        <v>10691.0</v>
      </c>
      <c r="M1306" s="665">
        <v>0.73</v>
      </c>
      <c r="N1306" s="1">
        <v>1.3612</v>
      </c>
      <c r="O1306" s="1">
        <v>1775.0</v>
      </c>
      <c r="P1306" s="1">
        <v>10691.0</v>
      </c>
      <c r="Q1306" s="1">
        <v>0.7257</v>
      </c>
      <c r="R1306" s="1">
        <v>12544.0</v>
      </c>
    </row>
    <row r="1307">
      <c r="A1307" s="663" t="s">
        <v>2351</v>
      </c>
      <c r="B1307" s="663" t="s">
        <v>1192</v>
      </c>
      <c r="C1307" s="663" t="s">
        <v>54</v>
      </c>
      <c r="D1307" s="663" t="s">
        <v>599</v>
      </c>
      <c r="E1307" s="664" t="s">
        <v>396</v>
      </c>
      <c r="F1307" s="665">
        <v>2446.0</v>
      </c>
      <c r="G1307" s="665">
        <v>811.0</v>
      </c>
      <c r="H1307" s="665">
        <v>33.16</v>
      </c>
      <c r="I1307" s="665">
        <v>8.73</v>
      </c>
      <c r="J1307" s="665">
        <v>10.32</v>
      </c>
      <c r="K1307" s="665">
        <v>933.0</v>
      </c>
      <c r="L1307" s="665">
        <v>10691.0</v>
      </c>
      <c r="M1307" s="665">
        <v>0.38</v>
      </c>
      <c r="N1307" s="1">
        <v>1.1504</v>
      </c>
      <c r="O1307" s="1">
        <v>933.0</v>
      </c>
      <c r="P1307" s="1">
        <v>10691.0</v>
      </c>
      <c r="Q1307" s="1">
        <v>0.3814</v>
      </c>
      <c r="R1307" s="1">
        <v>12544.0</v>
      </c>
    </row>
    <row r="1308">
      <c r="A1308" s="663" t="s">
        <v>2351</v>
      </c>
      <c r="B1308" s="663" t="s">
        <v>1192</v>
      </c>
      <c r="C1308" s="663" t="s">
        <v>54</v>
      </c>
      <c r="D1308" s="663" t="s">
        <v>599</v>
      </c>
      <c r="E1308" s="664" t="s">
        <v>42</v>
      </c>
      <c r="F1308" s="665">
        <v>2446.0</v>
      </c>
      <c r="G1308" s="665">
        <v>638.0</v>
      </c>
      <c r="H1308" s="665">
        <v>26.08</v>
      </c>
      <c r="I1308" s="665">
        <v>7.34</v>
      </c>
      <c r="J1308" s="665">
        <v>9.24</v>
      </c>
      <c r="K1308" s="665">
        <v>785.0</v>
      </c>
      <c r="L1308" s="665">
        <v>10691.0</v>
      </c>
      <c r="M1308" s="665">
        <v>0.32</v>
      </c>
      <c r="N1308" s="1">
        <v>1.2304</v>
      </c>
      <c r="O1308" s="1">
        <v>785.0</v>
      </c>
      <c r="P1308" s="1">
        <v>10691.0</v>
      </c>
      <c r="Q1308" s="1">
        <v>0.3209</v>
      </c>
      <c r="R1308" s="1">
        <v>12544.0</v>
      </c>
    </row>
    <row r="1309">
      <c r="A1309" s="663" t="s">
        <v>2351</v>
      </c>
      <c r="B1309" s="663" t="s">
        <v>1192</v>
      </c>
      <c r="C1309" s="663" t="s">
        <v>54</v>
      </c>
      <c r="D1309" s="663" t="s">
        <v>599</v>
      </c>
      <c r="E1309" s="664" t="s">
        <v>413</v>
      </c>
      <c r="F1309" s="665">
        <v>2446.0</v>
      </c>
      <c r="G1309" s="665">
        <v>317.0</v>
      </c>
      <c r="H1309" s="665">
        <v>12.96</v>
      </c>
      <c r="I1309" s="665">
        <v>6.16</v>
      </c>
      <c r="J1309" s="665">
        <v>4.39</v>
      </c>
      <c r="K1309" s="665">
        <v>659.0</v>
      </c>
      <c r="L1309" s="665">
        <v>10691.0</v>
      </c>
      <c r="M1309" s="665">
        <v>0.27</v>
      </c>
      <c r="N1309" s="1">
        <v>2.0789</v>
      </c>
      <c r="O1309" s="1">
        <v>659.0</v>
      </c>
      <c r="P1309" s="1">
        <v>10691.0</v>
      </c>
      <c r="Q1309" s="1">
        <v>0.2694</v>
      </c>
      <c r="R1309" s="1">
        <v>12544.0</v>
      </c>
    </row>
    <row r="1310">
      <c r="A1310" s="663" t="s">
        <v>2351</v>
      </c>
      <c r="B1310" s="663" t="s">
        <v>1192</v>
      </c>
      <c r="C1310" s="663" t="s">
        <v>54</v>
      </c>
      <c r="D1310" s="663" t="s">
        <v>599</v>
      </c>
      <c r="E1310" s="664" t="s">
        <v>393</v>
      </c>
      <c r="F1310" s="665">
        <v>2446.0</v>
      </c>
      <c r="G1310" s="665">
        <v>398.0</v>
      </c>
      <c r="H1310" s="665">
        <v>16.27</v>
      </c>
      <c r="I1310" s="665">
        <v>5.83</v>
      </c>
      <c r="J1310" s="665">
        <v>4.81</v>
      </c>
      <c r="K1310" s="665">
        <v>623.0</v>
      </c>
      <c r="L1310" s="665">
        <v>10691.0</v>
      </c>
      <c r="M1310" s="665">
        <v>0.25</v>
      </c>
      <c r="N1310" s="1">
        <v>1.5653</v>
      </c>
      <c r="O1310" s="1">
        <v>623.0</v>
      </c>
      <c r="P1310" s="1">
        <v>10691.0</v>
      </c>
      <c r="Q1310" s="1">
        <v>0.2547</v>
      </c>
      <c r="R1310" s="1">
        <v>12544.0</v>
      </c>
    </row>
    <row r="1311">
      <c r="A1311" s="663" t="s">
        <v>2351</v>
      </c>
      <c r="B1311" s="663" t="s">
        <v>1192</v>
      </c>
      <c r="C1311" s="663" t="s">
        <v>54</v>
      </c>
      <c r="D1311" s="663" t="s">
        <v>599</v>
      </c>
      <c r="E1311" s="664" t="s">
        <v>411</v>
      </c>
      <c r="F1311" s="665">
        <v>2446.0</v>
      </c>
      <c r="G1311" s="665">
        <v>364.0</v>
      </c>
      <c r="H1311" s="665">
        <v>14.88</v>
      </c>
      <c r="I1311" s="665">
        <v>4.15</v>
      </c>
      <c r="J1311" s="665">
        <v>3.45</v>
      </c>
      <c r="K1311" s="665">
        <v>444.0</v>
      </c>
      <c r="L1311" s="665">
        <v>10691.0</v>
      </c>
      <c r="M1311" s="665">
        <v>0.18</v>
      </c>
      <c r="N1311" s="1">
        <v>1.2198</v>
      </c>
      <c r="O1311" s="1">
        <v>444.0</v>
      </c>
      <c r="P1311" s="1">
        <v>10691.0</v>
      </c>
      <c r="Q1311" s="1">
        <v>0.1815</v>
      </c>
      <c r="R1311" s="1">
        <v>12544.0</v>
      </c>
    </row>
    <row r="1312">
      <c r="A1312" s="663" t="s">
        <v>2351</v>
      </c>
      <c r="B1312" s="663" t="s">
        <v>1192</v>
      </c>
      <c r="C1312" s="663" t="s">
        <v>54</v>
      </c>
      <c r="D1312" s="663" t="s">
        <v>599</v>
      </c>
      <c r="E1312" s="664" t="s">
        <v>15</v>
      </c>
      <c r="F1312" s="665">
        <v>2446.0</v>
      </c>
      <c r="G1312" s="665">
        <v>265.0</v>
      </c>
      <c r="H1312" s="665">
        <v>10.83</v>
      </c>
      <c r="I1312" s="665">
        <v>3.66</v>
      </c>
      <c r="J1312" s="665">
        <v>3.86</v>
      </c>
      <c r="K1312" s="665">
        <v>391.0</v>
      </c>
      <c r="L1312" s="665">
        <v>10691.0</v>
      </c>
      <c r="M1312" s="665">
        <v>0.16</v>
      </c>
      <c r="N1312" s="1">
        <v>1.4755</v>
      </c>
      <c r="O1312" s="1">
        <v>391.0</v>
      </c>
      <c r="P1312" s="1">
        <v>10691.0</v>
      </c>
      <c r="Q1312" s="1">
        <v>0.1599</v>
      </c>
      <c r="R1312" s="1">
        <v>12544.0</v>
      </c>
    </row>
    <row r="1313">
      <c r="A1313" s="663" t="s">
        <v>2351</v>
      </c>
      <c r="B1313" s="663" t="s">
        <v>1192</v>
      </c>
      <c r="C1313" s="663" t="s">
        <v>54</v>
      </c>
      <c r="D1313" s="663" t="s">
        <v>599</v>
      </c>
      <c r="E1313" s="664" t="s">
        <v>63</v>
      </c>
      <c r="F1313" s="665">
        <v>2446.0</v>
      </c>
      <c r="G1313" s="665">
        <v>259.0</v>
      </c>
      <c r="H1313" s="665">
        <v>10.59</v>
      </c>
      <c r="I1313" s="665">
        <v>2.62</v>
      </c>
      <c r="J1313" s="665">
        <v>2.63</v>
      </c>
      <c r="K1313" s="665">
        <v>280.0</v>
      </c>
      <c r="L1313" s="665">
        <v>10691.0</v>
      </c>
      <c r="M1313" s="665">
        <v>0.11</v>
      </c>
      <c r="N1313" s="1">
        <v>1.0811</v>
      </c>
      <c r="O1313" s="1">
        <v>280.0</v>
      </c>
      <c r="P1313" s="1">
        <v>10691.0</v>
      </c>
      <c r="Q1313" s="1">
        <v>0.1145</v>
      </c>
      <c r="R1313" s="1">
        <v>12544.0</v>
      </c>
    </row>
    <row r="1314">
      <c r="A1314" s="663" t="s">
        <v>2351</v>
      </c>
      <c r="B1314" s="663" t="s">
        <v>1192</v>
      </c>
      <c r="C1314" s="663" t="s">
        <v>54</v>
      </c>
      <c r="D1314" s="663" t="s">
        <v>599</v>
      </c>
      <c r="E1314" s="664" t="s">
        <v>397</v>
      </c>
      <c r="F1314" s="665">
        <v>2446.0</v>
      </c>
      <c r="G1314" s="665">
        <v>196.0</v>
      </c>
      <c r="H1314" s="665">
        <v>8.01</v>
      </c>
      <c r="I1314" s="665">
        <v>1.93</v>
      </c>
      <c r="J1314" s="665">
        <v>1.53</v>
      </c>
      <c r="K1314" s="665">
        <v>206.0</v>
      </c>
      <c r="L1314" s="665">
        <v>10691.0</v>
      </c>
      <c r="M1314" s="665">
        <v>0.08</v>
      </c>
      <c r="N1314" s="1">
        <v>1.051</v>
      </c>
      <c r="O1314" s="1">
        <v>206.0</v>
      </c>
      <c r="P1314" s="1">
        <v>10691.0</v>
      </c>
      <c r="Q1314" s="1">
        <v>0.0842</v>
      </c>
      <c r="R1314" s="1">
        <v>12544.0</v>
      </c>
    </row>
    <row r="1315">
      <c r="A1315" s="663" t="s">
        <v>2351</v>
      </c>
      <c r="B1315" s="663" t="s">
        <v>1192</v>
      </c>
      <c r="C1315" s="663" t="s">
        <v>54</v>
      </c>
      <c r="D1315" s="663" t="s">
        <v>599</v>
      </c>
      <c r="E1315" s="664" t="s">
        <v>341</v>
      </c>
      <c r="F1315" s="665">
        <v>2446.0</v>
      </c>
      <c r="G1315" s="665">
        <v>80.0</v>
      </c>
      <c r="H1315" s="665">
        <v>3.27</v>
      </c>
      <c r="I1315" s="665">
        <v>0.81</v>
      </c>
      <c r="J1315" s="665">
        <v>0.94</v>
      </c>
      <c r="K1315" s="665">
        <v>87.0</v>
      </c>
      <c r="L1315" s="665">
        <v>10691.0</v>
      </c>
      <c r="M1315" s="665">
        <v>0.04</v>
      </c>
      <c r="N1315" s="1">
        <v>1.0875</v>
      </c>
      <c r="O1315" s="1">
        <v>87.0</v>
      </c>
      <c r="P1315" s="1">
        <v>10691.0</v>
      </c>
      <c r="Q1315" s="1">
        <v>0.0356</v>
      </c>
      <c r="R1315" s="1">
        <v>12544.0</v>
      </c>
    </row>
    <row r="1316">
      <c r="A1316" s="663" t="s">
        <v>2351</v>
      </c>
      <c r="B1316" s="663" t="s">
        <v>1192</v>
      </c>
      <c r="C1316" s="663" t="s">
        <v>54</v>
      </c>
      <c r="D1316" s="663" t="s">
        <v>599</v>
      </c>
      <c r="E1316" s="664" t="s">
        <v>338</v>
      </c>
      <c r="F1316" s="665">
        <v>2446.0</v>
      </c>
      <c r="G1316" s="665">
        <v>75.0</v>
      </c>
      <c r="H1316" s="665">
        <v>3.07</v>
      </c>
      <c r="I1316" s="665">
        <v>0.78</v>
      </c>
      <c r="J1316" s="665">
        <v>0.69</v>
      </c>
      <c r="K1316" s="665">
        <v>83.0</v>
      </c>
      <c r="L1316" s="665">
        <v>10691.0</v>
      </c>
      <c r="M1316" s="665">
        <v>0.03</v>
      </c>
      <c r="N1316" s="1">
        <v>1.1067</v>
      </c>
      <c r="O1316" s="1">
        <v>83.0</v>
      </c>
      <c r="P1316" s="1">
        <v>10691.0</v>
      </c>
      <c r="Q1316" s="1">
        <v>0.0339</v>
      </c>
      <c r="R1316" s="1">
        <v>12544.0</v>
      </c>
    </row>
    <row r="1317">
      <c r="A1317" s="663" t="s">
        <v>2351</v>
      </c>
      <c r="B1317" s="663" t="s">
        <v>1192</v>
      </c>
      <c r="C1317" s="663" t="s">
        <v>54</v>
      </c>
      <c r="D1317" s="663" t="s">
        <v>599</v>
      </c>
      <c r="E1317" s="664" t="s">
        <v>329</v>
      </c>
      <c r="F1317" s="665">
        <v>2446.0</v>
      </c>
      <c r="G1317" s="665">
        <v>53.0</v>
      </c>
      <c r="H1317" s="665">
        <v>2.17</v>
      </c>
      <c r="I1317" s="665">
        <v>0.55</v>
      </c>
      <c r="J1317" s="665">
        <v>0.54</v>
      </c>
      <c r="K1317" s="665">
        <v>59.0</v>
      </c>
      <c r="L1317" s="665">
        <v>10691.0</v>
      </c>
      <c r="M1317" s="665">
        <v>0.02</v>
      </c>
      <c r="N1317" s="1">
        <v>1.1132</v>
      </c>
      <c r="O1317" s="1">
        <v>59.0</v>
      </c>
      <c r="P1317" s="1">
        <v>10691.0</v>
      </c>
      <c r="Q1317" s="1">
        <v>0.0241</v>
      </c>
      <c r="R1317" s="1">
        <v>12544.0</v>
      </c>
    </row>
    <row r="1318">
      <c r="A1318" s="663" t="s">
        <v>2351</v>
      </c>
      <c r="B1318" s="663" t="s">
        <v>1192</v>
      </c>
      <c r="C1318" s="663" t="s">
        <v>54</v>
      </c>
      <c r="D1318" s="663" t="s">
        <v>599</v>
      </c>
      <c r="E1318" s="664" t="s">
        <v>398</v>
      </c>
      <c r="F1318" s="665">
        <v>2446.0</v>
      </c>
      <c r="G1318" s="665">
        <v>27.0</v>
      </c>
      <c r="H1318" s="665">
        <v>1.1</v>
      </c>
      <c r="I1318" s="665">
        <v>0.31</v>
      </c>
      <c r="J1318" s="665">
        <v>0.16</v>
      </c>
      <c r="K1318" s="665">
        <v>33.0</v>
      </c>
      <c r="L1318" s="665">
        <v>10691.0</v>
      </c>
      <c r="M1318" s="665">
        <v>0.01</v>
      </c>
      <c r="N1318" s="1">
        <v>1.2222</v>
      </c>
      <c r="O1318" s="1">
        <v>33.0</v>
      </c>
      <c r="P1318" s="1">
        <v>10691.0</v>
      </c>
      <c r="Q1318" s="1">
        <v>0.0135</v>
      </c>
      <c r="R1318" s="1">
        <v>12544.0</v>
      </c>
    </row>
    <row r="1319">
      <c r="A1319" s="663" t="s">
        <v>2351</v>
      </c>
      <c r="B1319" s="663" t="s">
        <v>1192</v>
      </c>
      <c r="C1319" s="663" t="s">
        <v>54</v>
      </c>
      <c r="D1319" s="663" t="s">
        <v>599</v>
      </c>
      <c r="E1319" s="664" t="s">
        <v>7</v>
      </c>
      <c r="F1319" s="665">
        <v>2446.0</v>
      </c>
      <c r="G1319" s="665">
        <v>17.0</v>
      </c>
      <c r="H1319" s="665">
        <v>0.7</v>
      </c>
      <c r="I1319" s="665">
        <v>0.18</v>
      </c>
      <c r="J1319" s="665">
        <v>0.11</v>
      </c>
      <c r="K1319" s="665">
        <v>19.0</v>
      </c>
      <c r="L1319" s="665">
        <v>10691.0</v>
      </c>
      <c r="M1319" s="665">
        <v>0.01</v>
      </c>
      <c r="N1319" s="1">
        <v>1.1176</v>
      </c>
      <c r="O1319" s="1">
        <v>19.0</v>
      </c>
      <c r="P1319" s="1">
        <v>10691.0</v>
      </c>
      <c r="Q1319" s="1">
        <v>0.0078</v>
      </c>
      <c r="R1319" s="1">
        <v>12544.0</v>
      </c>
    </row>
    <row r="1320">
      <c r="A1320" s="663" t="s">
        <v>2351</v>
      </c>
      <c r="B1320" s="663" t="s">
        <v>1192</v>
      </c>
      <c r="C1320" s="663" t="s">
        <v>54</v>
      </c>
      <c r="D1320" s="663" t="s">
        <v>599</v>
      </c>
      <c r="E1320" s="664" t="s">
        <v>418</v>
      </c>
      <c r="F1320" s="665">
        <v>2446.0</v>
      </c>
      <c r="G1320" s="665">
        <v>8.0</v>
      </c>
      <c r="H1320" s="665">
        <v>0.33</v>
      </c>
      <c r="I1320" s="665">
        <v>0.07</v>
      </c>
      <c r="J1320" s="665">
        <v>0.19</v>
      </c>
      <c r="K1320" s="665">
        <v>8.0</v>
      </c>
      <c r="L1320" s="665">
        <v>10691.0</v>
      </c>
      <c r="M1320" s="665">
        <v>0.0</v>
      </c>
      <c r="N1320" s="1">
        <v>1.0</v>
      </c>
      <c r="O1320" s="1">
        <v>8.0</v>
      </c>
      <c r="P1320" s="1">
        <v>10691.0</v>
      </c>
      <c r="Q1320" s="1">
        <v>0.0033</v>
      </c>
      <c r="R1320" s="1">
        <v>12544.0</v>
      </c>
    </row>
    <row r="1321">
      <c r="A1321" s="663" t="s">
        <v>2351</v>
      </c>
      <c r="B1321" s="663" t="s">
        <v>1192</v>
      </c>
      <c r="C1321" s="663" t="s">
        <v>54</v>
      </c>
      <c r="D1321" s="663" t="s">
        <v>599</v>
      </c>
      <c r="E1321" s="664" t="s">
        <v>151</v>
      </c>
      <c r="F1321" s="665">
        <v>2446.0</v>
      </c>
      <c r="G1321" s="665">
        <v>1.0</v>
      </c>
      <c r="H1321" s="665">
        <v>0.04</v>
      </c>
      <c r="I1321" s="665">
        <v>0.02</v>
      </c>
      <c r="J1321" s="665">
        <v>0.02</v>
      </c>
      <c r="K1321" s="665">
        <v>2.0</v>
      </c>
      <c r="L1321" s="665">
        <v>10691.0</v>
      </c>
      <c r="M1321" s="665">
        <v>0.0</v>
      </c>
      <c r="N1321" s="1">
        <v>2.0</v>
      </c>
      <c r="O1321" s="1">
        <v>2.0</v>
      </c>
      <c r="P1321" s="1">
        <v>10691.0</v>
      </c>
      <c r="Q1321" s="1">
        <v>8.0E-4</v>
      </c>
      <c r="R1321" s="1">
        <v>12544.0</v>
      </c>
    </row>
    <row r="1322">
      <c r="A1322" s="663" t="s">
        <v>2351</v>
      </c>
      <c r="B1322" s="663" t="s">
        <v>1192</v>
      </c>
      <c r="C1322" s="663" t="s">
        <v>54</v>
      </c>
      <c r="D1322" s="663" t="s">
        <v>599</v>
      </c>
      <c r="E1322" s="664" t="s">
        <v>206</v>
      </c>
      <c r="F1322" s="665">
        <v>2446.0</v>
      </c>
      <c r="G1322" s="665">
        <v>1.0</v>
      </c>
      <c r="H1322" s="665">
        <v>0.04</v>
      </c>
      <c r="I1322" s="665">
        <v>0.01</v>
      </c>
      <c r="J1322" s="665">
        <v>0.0</v>
      </c>
      <c r="K1322" s="665">
        <v>1.0</v>
      </c>
      <c r="L1322" s="665">
        <v>10691.0</v>
      </c>
      <c r="M1322" s="665">
        <v>0.0</v>
      </c>
      <c r="N1322" s="1">
        <v>1.0</v>
      </c>
      <c r="O1322" s="1">
        <v>1.0</v>
      </c>
      <c r="P1322" s="1">
        <v>10691.0</v>
      </c>
      <c r="Q1322" s="1">
        <v>4.0E-4</v>
      </c>
      <c r="R1322" s="1">
        <v>12544.0</v>
      </c>
    </row>
    <row r="1323">
      <c r="A1323" s="663" t="s">
        <v>2351</v>
      </c>
      <c r="B1323" s="663" t="s">
        <v>1192</v>
      </c>
      <c r="C1323" s="663" t="s">
        <v>1205</v>
      </c>
      <c r="D1323" s="663" t="s">
        <v>1205</v>
      </c>
      <c r="E1323" s="664" t="s">
        <v>398</v>
      </c>
      <c r="F1323" s="665">
        <v>3122.0</v>
      </c>
      <c r="G1323" s="665">
        <v>2490.0</v>
      </c>
      <c r="H1323" s="665">
        <v>79.76</v>
      </c>
      <c r="I1323" s="665">
        <v>20.06</v>
      </c>
      <c r="J1323" s="665">
        <v>17.39</v>
      </c>
      <c r="K1323" s="665">
        <v>404010.0</v>
      </c>
      <c r="L1323" s="665">
        <v>2013516.86</v>
      </c>
      <c r="M1323" s="665">
        <v>129.41</v>
      </c>
      <c r="N1323" s="1">
        <v>162.253</v>
      </c>
      <c r="O1323" s="1">
        <v>404010.0</v>
      </c>
      <c r="P1323" s="1">
        <v>2032062.0</v>
      </c>
      <c r="Q1323" s="1">
        <v>129.4074</v>
      </c>
      <c r="R1323" s="1">
        <v>12544.0</v>
      </c>
    </row>
    <row r="1324">
      <c r="A1324" s="663" t="s">
        <v>2351</v>
      </c>
      <c r="B1324" s="663" t="s">
        <v>1192</v>
      </c>
      <c r="C1324" s="663" t="s">
        <v>1205</v>
      </c>
      <c r="D1324" s="663" t="s">
        <v>1205</v>
      </c>
      <c r="E1324" s="664" t="s">
        <v>396</v>
      </c>
      <c r="F1324" s="665">
        <v>3122.0</v>
      </c>
      <c r="G1324" s="665">
        <v>2246.0</v>
      </c>
      <c r="H1324" s="665">
        <v>71.94</v>
      </c>
      <c r="I1324" s="665">
        <v>11.45</v>
      </c>
      <c r="J1324" s="665">
        <v>13.12</v>
      </c>
      <c r="K1324" s="665">
        <v>230605.0</v>
      </c>
      <c r="L1324" s="665">
        <v>2013516.86</v>
      </c>
      <c r="M1324" s="665">
        <v>73.86</v>
      </c>
      <c r="N1324" s="1">
        <v>102.6736</v>
      </c>
      <c r="O1324" s="1">
        <v>230605.0</v>
      </c>
      <c r="P1324" s="1">
        <v>2032062.0</v>
      </c>
      <c r="Q1324" s="1">
        <v>73.8645</v>
      </c>
      <c r="R1324" s="1">
        <v>12544.0</v>
      </c>
    </row>
    <row r="1325">
      <c r="A1325" s="663" t="s">
        <v>2351</v>
      </c>
      <c r="B1325" s="663" t="s">
        <v>1192</v>
      </c>
      <c r="C1325" s="663" t="s">
        <v>1205</v>
      </c>
      <c r="D1325" s="663" t="s">
        <v>1205</v>
      </c>
      <c r="E1325" s="664" t="s">
        <v>418</v>
      </c>
      <c r="F1325" s="665">
        <v>3122.0</v>
      </c>
      <c r="G1325" s="665">
        <v>2900.0</v>
      </c>
      <c r="H1325" s="665">
        <v>92.89</v>
      </c>
      <c r="I1325" s="665">
        <v>10.09</v>
      </c>
      <c r="J1325" s="665">
        <v>11.77</v>
      </c>
      <c r="K1325" s="665">
        <v>203170.0</v>
      </c>
      <c r="L1325" s="665">
        <v>2013516.86</v>
      </c>
      <c r="M1325" s="665">
        <v>65.08</v>
      </c>
      <c r="N1325" s="1">
        <v>70.0586</v>
      </c>
      <c r="O1325" s="1">
        <v>203170.0</v>
      </c>
      <c r="P1325" s="1">
        <v>2032062.0</v>
      </c>
      <c r="Q1325" s="1">
        <v>65.0769</v>
      </c>
      <c r="R1325" s="1">
        <v>12544.0</v>
      </c>
    </row>
    <row r="1326">
      <c r="A1326" s="663" t="s">
        <v>2351</v>
      </c>
      <c r="B1326" s="663" t="s">
        <v>1192</v>
      </c>
      <c r="C1326" s="663" t="s">
        <v>1205</v>
      </c>
      <c r="D1326" s="663" t="s">
        <v>1205</v>
      </c>
      <c r="E1326" s="664" t="s">
        <v>397</v>
      </c>
      <c r="F1326" s="665">
        <v>3122.0</v>
      </c>
      <c r="G1326" s="665">
        <v>2579.0</v>
      </c>
      <c r="H1326" s="665">
        <v>82.61</v>
      </c>
      <c r="I1326" s="665">
        <v>8.49</v>
      </c>
      <c r="J1326" s="665">
        <v>9.01</v>
      </c>
      <c r="K1326" s="665">
        <v>171005.0</v>
      </c>
      <c r="L1326" s="665">
        <v>2013516.86</v>
      </c>
      <c r="M1326" s="665">
        <v>54.77</v>
      </c>
      <c r="N1326" s="1">
        <v>66.3067</v>
      </c>
      <c r="O1326" s="1">
        <v>171005.0</v>
      </c>
      <c r="P1326" s="1">
        <v>2032062.0</v>
      </c>
      <c r="Q1326" s="1">
        <v>54.7742</v>
      </c>
      <c r="R1326" s="1">
        <v>12544.0</v>
      </c>
    </row>
    <row r="1327">
      <c r="A1327" s="663" t="s">
        <v>2351</v>
      </c>
      <c r="B1327" s="663" t="s">
        <v>1192</v>
      </c>
      <c r="C1327" s="663" t="s">
        <v>1205</v>
      </c>
      <c r="D1327" s="663" t="s">
        <v>1205</v>
      </c>
      <c r="E1327" s="664" t="s">
        <v>16</v>
      </c>
      <c r="F1327" s="665">
        <v>3122.0</v>
      </c>
      <c r="G1327" s="665">
        <v>1309.0</v>
      </c>
      <c r="H1327" s="665">
        <v>41.93</v>
      </c>
      <c r="I1327" s="665">
        <v>7.37</v>
      </c>
      <c r="J1327" s="665">
        <v>7.59</v>
      </c>
      <c r="K1327" s="665">
        <v>148360.0</v>
      </c>
      <c r="L1327" s="665">
        <v>2013516.86</v>
      </c>
      <c r="M1327" s="665">
        <v>47.52</v>
      </c>
      <c r="N1327" s="1">
        <v>113.3384</v>
      </c>
      <c r="O1327" s="1">
        <v>148360.0</v>
      </c>
      <c r="P1327" s="1">
        <v>2032062.0</v>
      </c>
      <c r="Q1327" s="1">
        <v>47.5208</v>
      </c>
      <c r="R1327" s="1">
        <v>12544.0</v>
      </c>
    </row>
    <row r="1328">
      <c r="A1328" s="663" t="s">
        <v>2351</v>
      </c>
      <c r="B1328" s="663" t="s">
        <v>1192</v>
      </c>
      <c r="C1328" s="663" t="s">
        <v>1205</v>
      </c>
      <c r="D1328" s="663" t="s">
        <v>1205</v>
      </c>
      <c r="E1328" s="664" t="s">
        <v>413</v>
      </c>
      <c r="F1328" s="665">
        <v>3122.0</v>
      </c>
      <c r="G1328" s="665">
        <v>1981.0</v>
      </c>
      <c r="H1328" s="665">
        <v>63.45</v>
      </c>
      <c r="I1328" s="665">
        <v>6.64</v>
      </c>
      <c r="J1328" s="665">
        <v>7.49</v>
      </c>
      <c r="K1328" s="665">
        <v>133795.0</v>
      </c>
      <c r="L1328" s="665">
        <v>2013516.86</v>
      </c>
      <c r="M1328" s="665">
        <v>42.86</v>
      </c>
      <c r="N1328" s="1">
        <v>67.5391</v>
      </c>
      <c r="O1328" s="1">
        <v>133795.0</v>
      </c>
      <c r="P1328" s="1">
        <v>2032062.0</v>
      </c>
      <c r="Q1328" s="1">
        <v>42.8555</v>
      </c>
      <c r="R1328" s="1">
        <v>12544.0</v>
      </c>
    </row>
    <row r="1329">
      <c r="A1329" s="663" t="s">
        <v>2351</v>
      </c>
      <c r="B1329" s="663" t="s">
        <v>1192</v>
      </c>
      <c r="C1329" s="663" t="s">
        <v>1205</v>
      </c>
      <c r="D1329" s="663" t="s">
        <v>1205</v>
      </c>
      <c r="E1329" s="664" t="s">
        <v>15</v>
      </c>
      <c r="F1329" s="665">
        <v>3122.0</v>
      </c>
      <c r="G1329" s="665">
        <v>1111.0</v>
      </c>
      <c r="H1329" s="665">
        <v>35.59</v>
      </c>
      <c r="I1329" s="665">
        <v>6.57</v>
      </c>
      <c r="J1329" s="665">
        <v>5.52</v>
      </c>
      <c r="K1329" s="665">
        <v>132280.0</v>
      </c>
      <c r="L1329" s="665">
        <v>2013516.86</v>
      </c>
      <c r="M1329" s="665">
        <v>42.37</v>
      </c>
      <c r="N1329" s="1">
        <v>119.0639</v>
      </c>
      <c r="O1329" s="1">
        <v>132280.0</v>
      </c>
      <c r="P1329" s="1">
        <v>2032062.0</v>
      </c>
      <c r="Q1329" s="1">
        <v>42.3703</v>
      </c>
      <c r="R1329" s="1">
        <v>12544.0</v>
      </c>
    </row>
    <row r="1330">
      <c r="A1330" s="663" t="s">
        <v>2351</v>
      </c>
      <c r="B1330" s="663" t="s">
        <v>1192</v>
      </c>
      <c r="C1330" s="663" t="s">
        <v>1205</v>
      </c>
      <c r="D1330" s="663" t="s">
        <v>1205</v>
      </c>
      <c r="E1330" s="664" t="s">
        <v>411</v>
      </c>
      <c r="F1330" s="665">
        <v>3122.0</v>
      </c>
      <c r="G1330" s="665">
        <v>1218.0</v>
      </c>
      <c r="H1330" s="665">
        <v>39.01</v>
      </c>
      <c r="I1330" s="665">
        <v>4.8</v>
      </c>
      <c r="J1330" s="665">
        <v>3.75</v>
      </c>
      <c r="K1330" s="665">
        <v>96687.0</v>
      </c>
      <c r="L1330" s="665">
        <v>2013516.86</v>
      </c>
      <c r="M1330" s="665">
        <v>30.97</v>
      </c>
      <c r="N1330" s="1">
        <v>79.3818</v>
      </c>
      <c r="O1330" s="1">
        <v>96687.0</v>
      </c>
      <c r="P1330" s="1">
        <v>2032062.0</v>
      </c>
      <c r="Q1330" s="1">
        <v>30.9696</v>
      </c>
      <c r="R1330" s="1">
        <v>12544.0</v>
      </c>
    </row>
    <row r="1331">
      <c r="A1331" s="663" t="s">
        <v>2351</v>
      </c>
      <c r="B1331" s="663" t="s">
        <v>1192</v>
      </c>
      <c r="C1331" s="663" t="s">
        <v>1205</v>
      </c>
      <c r="D1331" s="663" t="s">
        <v>1205</v>
      </c>
      <c r="E1331" s="664" t="s">
        <v>14</v>
      </c>
      <c r="F1331" s="665">
        <v>3122.0</v>
      </c>
      <c r="G1331" s="665">
        <v>2212.0</v>
      </c>
      <c r="H1331" s="665">
        <v>70.85</v>
      </c>
      <c r="I1331" s="665">
        <v>4.6</v>
      </c>
      <c r="J1331" s="665">
        <v>6.14</v>
      </c>
      <c r="K1331" s="665">
        <v>92664.86</v>
      </c>
      <c r="L1331" s="665">
        <v>2013516.86</v>
      </c>
      <c r="M1331" s="665">
        <v>29.68</v>
      </c>
      <c r="N1331" s="1">
        <v>41.8919</v>
      </c>
      <c r="O1331" s="1">
        <v>111210.0</v>
      </c>
      <c r="P1331" s="1">
        <v>2032062.0</v>
      </c>
      <c r="Q1331" s="1">
        <v>35.6214</v>
      </c>
      <c r="R1331" s="1">
        <v>12544.0</v>
      </c>
    </row>
    <row r="1332">
      <c r="A1332" s="663" t="s">
        <v>2351</v>
      </c>
      <c r="B1332" s="663" t="s">
        <v>1192</v>
      </c>
      <c r="C1332" s="663" t="s">
        <v>1205</v>
      </c>
      <c r="D1332" s="663" t="s">
        <v>1205</v>
      </c>
      <c r="E1332" s="664" t="s">
        <v>9</v>
      </c>
      <c r="F1332" s="665">
        <v>3122.0</v>
      </c>
      <c r="G1332" s="665">
        <v>1792.0</v>
      </c>
      <c r="H1332" s="665">
        <v>57.4</v>
      </c>
      <c r="I1332" s="665">
        <v>3.31</v>
      </c>
      <c r="J1332" s="665">
        <v>2.9</v>
      </c>
      <c r="K1332" s="665">
        <v>66605.0</v>
      </c>
      <c r="L1332" s="665">
        <v>2013516.86</v>
      </c>
      <c r="M1332" s="665">
        <v>21.33</v>
      </c>
      <c r="N1332" s="1">
        <v>37.168</v>
      </c>
      <c r="O1332" s="1">
        <v>66605.0</v>
      </c>
      <c r="P1332" s="1">
        <v>2032062.0</v>
      </c>
      <c r="Q1332" s="1">
        <v>21.3341</v>
      </c>
      <c r="R1332" s="1">
        <v>12544.0</v>
      </c>
    </row>
    <row r="1333">
      <c r="A1333" s="663" t="s">
        <v>2351</v>
      </c>
      <c r="B1333" s="663" t="s">
        <v>1192</v>
      </c>
      <c r="C1333" s="663" t="s">
        <v>1205</v>
      </c>
      <c r="D1333" s="663" t="s">
        <v>1205</v>
      </c>
      <c r="E1333" s="664" t="s">
        <v>42</v>
      </c>
      <c r="F1333" s="665">
        <v>3122.0</v>
      </c>
      <c r="G1333" s="665">
        <v>1335.0</v>
      </c>
      <c r="H1333" s="665">
        <v>42.76</v>
      </c>
      <c r="I1333" s="665">
        <v>3.23</v>
      </c>
      <c r="J1333" s="665">
        <v>3.72</v>
      </c>
      <c r="K1333" s="665">
        <v>65135.0</v>
      </c>
      <c r="L1333" s="665">
        <v>2013516.86</v>
      </c>
      <c r="M1333" s="665">
        <v>20.86</v>
      </c>
      <c r="N1333" s="1">
        <v>48.7903</v>
      </c>
      <c r="O1333" s="1">
        <v>65135.0</v>
      </c>
      <c r="P1333" s="1">
        <v>2032062.0</v>
      </c>
      <c r="Q1333" s="1">
        <v>20.8632</v>
      </c>
      <c r="R1333" s="1">
        <v>12544.0</v>
      </c>
    </row>
    <row r="1334">
      <c r="A1334" s="663" t="s">
        <v>2351</v>
      </c>
      <c r="B1334" s="663" t="s">
        <v>1192</v>
      </c>
      <c r="C1334" s="663" t="s">
        <v>1205</v>
      </c>
      <c r="D1334" s="663" t="s">
        <v>1205</v>
      </c>
      <c r="E1334" s="664" t="s">
        <v>393</v>
      </c>
      <c r="F1334" s="665">
        <v>3122.0</v>
      </c>
      <c r="G1334" s="665">
        <v>1103.0</v>
      </c>
      <c r="H1334" s="665">
        <v>35.33</v>
      </c>
      <c r="I1334" s="665">
        <v>2.9</v>
      </c>
      <c r="J1334" s="665">
        <v>2.68</v>
      </c>
      <c r="K1334" s="665">
        <v>58460.0</v>
      </c>
      <c r="L1334" s="665">
        <v>2013516.86</v>
      </c>
      <c r="M1334" s="665">
        <v>18.73</v>
      </c>
      <c r="N1334" s="1">
        <v>53.0009</v>
      </c>
      <c r="O1334" s="1">
        <v>58460.0</v>
      </c>
      <c r="P1334" s="1">
        <v>2032062.0</v>
      </c>
      <c r="Q1334" s="1">
        <v>18.7252</v>
      </c>
      <c r="R1334" s="1">
        <v>12544.0</v>
      </c>
    </row>
    <row r="1335">
      <c r="A1335" s="663" t="s">
        <v>2351</v>
      </c>
      <c r="B1335" s="663" t="s">
        <v>1192</v>
      </c>
      <c r="C1335" s="663" t="s">
        <v>1205</v>
      </c>
      <c r="D1335" s="663" t="s">
        <v>1205</v>
      </c>
      <c r="E1335" s="664" t="s">
        <v>63</v>
      </c>
      <c r="F1335" s="665">
        <v>3122.0</v>
      </c>
      <c r="G1335" s="665">
        <v>788.0</v>
      </c>
      <c r="H1335" s="665">
        <v>25.24</v>
      </c>
      <c r="I1335" s="665">
        <v>2.82</v>
      </c>
      <c r="J1335" s="665">
        <v>2.62</v>
      </c>
      <c r="K1335" s="665">
        <v>56825.0</v>
      </c>
      <c r="L1335" s="665">
        <v>2013516.86</v>
      </c>
      <c r="M1335" s="665">
        <v>18.2</v>
      </c>
      <c r="N1335" s="1">
        <v>72.1129</v>
      </c>
      <c r="O1335" s="1">
        <v>56825.0</v>
      </c>
      <c r="P1335" s="1">
        <v>2032062.0</v>
      </c>
      <c r="Q1335" s="1">
        <v>18.2015</v>
      </c>
      <c r="R1335" s="1">
        <v>12544.0</v>
      </c>
    </row>
    <row r="1336">
      <c r="A1336" s="663" t="s">
        <v>2351</v>
      </c>
      <c r="B1336" s="663" t="s">
        <v>1192</v>
      </c>
      <c r="C1336" s="663" t="s">
        <v>1205</v>
      </c>
      <c r="D1336" s="663" t="s">
        <v>1205</v>
      </c>
      <c r="E1336" s="664" t="s">
        <v>341</v>
      </c>
      <c r="F1336" s="665">
        <v>3122.0</v>
      </c>
      <c r="G1336" s="665">
        <v>286.0</v>
      </c>
      <c r="H1336" s="665">
        <v>9.16</v>
      </c>
      <c r="I1336" s="665">
        <v>1.75</v>
      </c>
      <c r="J1336" s="665">
        <v>1.48</v>
      </c>
      <c r="K1336" s="665">
        <v>35325.0</v>
      </c>
      <c r="L1336" s="665">
        <v>2013516.86</v>
      </c>
      <c r="M1336" s="665">
        <v>11.31</v>
      </c>
      <c r="N1336" s="1">
        <v>123.514</v>
      </c>
      <c r="O1336" s="1">
        <v>35325.0</v>
      </c>
      <c r="P1336" s="1">
        <v>2032062.0</v>
      </c>
      <c r="Q1336" s="1">
        <v>11.3149</v>
      </c>
      <c r="R1336" s="1">
        <v>12544.0</v>
      </c>
    </row>
    <row r="1337">
      <c r="A1337" s="663" t="s">
        <v>2351</v>
      </c>
      <c r="B1337" s="663" t="s">
        <v>1192</v>
      </c>
      <c r="C1337" s="663" t="s">
        <v>1205</v>
      </c>
      <c r="D1337" s="663" t="s">
        <v>1205</v>
      </c>
      <c r="E1337" s="664" t="s">
        <v>338</v>
      </c>
      <c r="F1337" s="665">
        <v>3122.0</v>
      </c>
      <c r="G1337" s="665">
        <v>283.0</v>
      </c>
      <c r="H1337" s="665">
        <v>9.06</v>
      </c>
      <c r="I1337" s="665">
        <v>1.73</v>
      </c>
      <c r="J1337" s="665">
        <v>1.37</v>
      </c>
      <c r="K1337" s="665">
        <v>34750.0</v>
      </c>
      <c r="L1337" s="665">
        <v>2013516.86</v>
      </c>
      <c r="M1337" s="665">
        <v>11.13</v>
      </c>
      <c r="N1337" s="1">
        <v>122.7915</v>
      </c>
      <c r="O1337" s="1">
        <v>34750.0</v>
      </c>
      <c r="P1337" s="1">
        <v>2032062.0</v>
      </c>
      <c r="Q1337" s="1">
        <v>11.1307</v>
      </c>
      <c r="R1337" s="1">
        <v>12544.0</v>
      </c>
    </row>
    <row r="1338">
      <c r="A1338" s="663" t="s">
        <v>2351</v>
      </c>
      <c r="B1338" s="663" t="s">
        <v>1192</v>
      </c>
      <c r="C1338" s="663" t="s">
        <v>1205</v>
      </c>
      <c r="D1338" s="663" t="s">
        <v>1205</v>
      </c>
      <c r="E1338" s="664" t="s">
        <v>329</v>
      </c>
      <c r="F1338" s="665">
        <v>3122.0</v>
      </c>
      <c r="G1338" s="665">
        <v>250.0</v>
      </c>
      <c r="H1338" s="665">
        <v>8.01</v>
      </c>
      <c r="I1338" s="665">
        <v>1.4</v>
      </c>
      <c r="J1338" s="665">
        <v>1.25</v>
      </c>
      <c r="K1338" s="665">
        <v>28200.0</v>
      </c>
      <c r="L1338" s="665">
        <v>2013516.86</v>
      </c>
      <c r="M1338" s="665">
        <v>9.03</v>
      </c>
      <c r="N1338" s="1">
        <v>112.8</v>
      </c>
      <c r="O1338" s="1">
        <v>28200.0</v>
      </c>
      <c r="P1338" s="1">
        <v>2032062.0</v>
      </c>
      <c r="Q1338" s="1">
        <v>9.0327</v>
      </c>
      <c r="R1338" s="1">
        <v>12544.0</v>
      </c>
    </row>
    <row r="1339">
      <c r="A1339" s="663" t="s">
        <v>2351</v>
      </c>
      <c r="B1339" s="663" t="s">
        <v>1192</v>
      </c>
      <c r="C1339" s="663" t="s">
        <v>1205</v>
      </c>
      <c r="D1339" s="663" t="s">
        <v>1205</v>
      </c>
      <c r="E1339" s="664" t="s">
        <v>7</v>
      </c>
      <c r="F1339" s="665">
        <v>3122.0</v>
      </c>
      <c r="G1339" s="665">
        <v>126.0</v>
      </c>
      <c r="H1339" s="665">
        <v>4.04</v>
      </c>
      <c r="I1339" s="665">
        <v>0.97</v>
      </c>
      <c r="J1339" s="665">
        <v>0.63</v>
      </c>
      <c r="K1339" s="665">
        <v>19600.0</v>
      </c>
      <c r="L1339" s="665">
        <v>2013516.86</v>
      </c>
      <c r="M1339" s="665">
        <v>6.28</v>
      </c>
      <c r="N1339" s="1">
        <v>155.5556</v>
      </c>
      <c r="O1339" s="1">
        <v>19600.0</v>
      </c>
      <c r="P1339" s="1">
        <v>2032062.0</v>
      </c>
      <c r="Q1339" s="1">
        <v>6.278</v>
      </c>
      <c r="R1339" s="1">
        <v>12544.0</v>
      </c>
    </row>
    <row r="1340">
      <c r="A1340" s="663" t="s">
        <v>2351</v>
      </c>
      <c r="B1340" s="663" t="s">
        <v>1192</v>
      </c>
      <c r="C1340" s="663" t="s">
        <v>1205</v>
      </c>
      <c r="D1340" s="663" t="s">
        <v>1205</v>
      </c>
      <c r="E1340" s="664" t="s">
        <v>401</v>
      </c>
      <c r="F1340" s="665">
        <v>3122.0</v>
      </c>
      <c r="G1340" s="665">
        <v>510.0</v>
      </c>
      <c r="H1340" s="665">
        <v>16.34</v>
      </c>
      <c r="I1340" s="665">
        <v>0.74</v>
      </c>
      <c r="J1340" s="665">
        <v>0.63</v>
      </c>
      <c r="K1340" s="665">
        <v>15000.0</v>
      </c>
      <c r="L1340" s="665">
        <v>2013516.86</v>
      </c>
      <c r="M1340" s="665">
        <v>4.8</v>
      </c>
      <c r="N1340" s="1">
        <v>29.4118</v>
      </c>
      <c r="O1340" s="1">
        <v>15000.0</v>
      </c>
      <c r="P1340" s="1">
        <v>2032062.0</v>
      </c>
      <c r="Q1340" s="1">
        <v>4.8046</v>
      </c>
      <c r="R1340" s="1">
        <v>12544.0</v>
      </c>
    </row>
    <row r="1341">
      <c r="A1341" s="663" t="s">
        <v>2351</v>
      </c>
      <c r="B1341" s="663" t="s">
        <v>1192</v>
      </c>
      <c r="C1341" s="663" t="s">
        <v>1205</v>
      </c>
      <c r="D1341" s="663" t="s">
        <v>1205</v>
      </c>
      <c r="E1341" s="664" t="s">
        <v>206</v>
      </c>
      <c r="F1341" s="665">
        <v>3122.0</v>
      </c>
      <c r="G1341" s="665">
        <v>490.0</v>
      </c>
      <c r="H1341" s="665">
        <v>15.7</v>
      </c>
      <c r="I1341" s="665">
        <v>0.67</v>
      </c>
      <c r="J1341" s="665">
        <v>0.57</v>
      </c>
      <c r="K1341" s="665">
        <v>13450.0</v>
      </c>
      <c r="L1341" s="665">
        <v>2013516.86</v>
      </c>
      <c r="M1341" s="665">
        <v>4.31</v>
      </c>
      <c r="N1341" s="1">
        <v>27.449</v>
      </c>
      <c r="O1341" s="1">
        <v>13450.0</v>
      </c>
      <c r="P1341" s="1">
        <v>2032062.0</v>
      </c>
      <c r="Q1341" s="1">
        <v>4.3081</v>
      </c>
      <c r="R1341" s="1">
        <v>12544.0</v>
      </c>
    </row>
    <row r="1342">
      <c r="A1342" s="663" t="s">
        <v>2351</v>
      </c>
      <c r="B1342" s="663" t="s">
        <v>1192</v>
      </c>
      <c r="C1342" s="663" t="s">
        <v>1205</v>
      </c>
      <c r="D1342" s="663" t="s">
        <v>1205</v>
      </c>
      <c r="E1342" s="664" t="s">
        <v>73</v>
      </c>
      <c r="F1342" s="665">
        <v>3122.0</v>
      </c>
      <c r="G1342" s="665">
        <v>270.0</v>
      </c>
      <c r="H1342" s="665">
        <v>8.65</v>
      </c>
      <c r="I1342" s="665">
        <v>0.37</v>
      </c>
      <c r="J1342" s="665">
        <v>0.38</v>
      </c>
      <c r="K1342" s="665">
        <v>7475.0</v>
      </c>
      <c r="L1342" s="665">
        <v>2013516.86</v>
      </c>
      <c r="M1342" s="665">
        <v>2.39</v>
      </c>
      <c r="N1342" s="1">
        <v>27.6852</v>
      </c>
      <c r="O1342" s="1">
        <v>7475.0</v>
      </c>
      <c r="P1342" s="1">
        <v>2032062.0</v>
      </c>
      <c r="Q1342" s="1">
        <v>2.3943</v>
      </c>
      <c r="R1342" s="1">
        <v>12544.0</v>
      </c>
    </row>
    <row r="1343">
      <c r="A1343" s="663" t="s">
        <v>2351</v>
      </c>
      <c r="B1343" s="663" t="s">
        <v>1192</v>
      </c>
      <c r="C1343" s="663" t="s">
        <v>1205</v>
      </c>
      <c r="D1343" s="663" t="s">
        <v>1205</v>
      </c>
      <c r="E1343" s="664" t="s">
        <v>151</v>
      </c>
      <c r="F1343" s="665">
        <v>3122.0</v>
      </c>
      <c r="G1343" s="665">
        <v>3.0</v>
      </c>
      <c r="H1343" s="665">
        <v>0.1</v>
      </c>
      <c r="I1343" s="665">
        <v>0.01</v>
      </c>
      <c r="J1343" s="665">
        <v>0.02</v>
      </c>
      <c r="K1343" s="665">
        <v>115.0</v>
      </c>
      <c r="L1343" s="665">
        <v>2013516.86</v>
      </c>
      <c r="M1343" s="665">
        <v>0.04</v>
      </c>
      <c r="N1343" s="1">
        <v>38.3333</v>
      </c>
      <c r="O1343" s="1">
        <v>115.0</v>
      </c>
      <c r="P1343" s="1">
        <v>2032062.0</v>
      </c>
      <c r="Q1343" s="1">
        <v>0.0368</v>
      </c>
      <c r="R1343" s="1">
        <v>12544.0</v>
      </c>
    </row>
    <row r="1344">
      <c r="A1344" s="663" t="s">
        <v>2351</v>
      </c>
      <c r="B1344" s="663" t="s">
        <v>1192</v>
      </c>
      <c r="C1344" s="663" t="s">
        <v>47</v>
      </c>
      <c r="D1344" s="663" t="s">
        <v>599</v>
      </c>
      <c r="E1344" s="664" t="s">
        <v>398</v>
      </c>
      <c r="F1344" s="665">
        <v>3016.0</v>
      </c>
      <c r="G1344" s="665">
        <v>2056.0</v>
      </c>
      <c r="H1344" s="665">
        <v>68.17</v>
      </c>
      <c r="I1344" s="665">
        <v>16.97</v>
      </c>
      <c r="J1344" s="665">
        <v>16.43</v>
      </c>
      <c r="K1344" s="665">
        <v>4151.0</v>
      </c>
      <c r="L1344" s="665">
        <v>24468.0</v>
      </c>
      <c r="M1344" s="665">
        <v>1.38</v>
      </c>
      <c r="N1344" s="1">
        <v>2.019</v>
      </c>
      <c r="O1344" s="1">
        <v>4151.0</v>
      </c>
      <c r="P1344" s="1">
        <v>24468.0</v>
      </c>
      <c r="Q1344" s="1">
        <v>1.3763</v>
      </c>
      <c r="R1344" s="1">
        <v>12544.0</v>
      </c>
    </row>
    <row r="1345">
      <c r="A1345" s="663" t="s">
        <v>2351</v>
      </c>
      <c r="B1345" s="663" t="s">
        <v>1192</v>
      </c>
      <c r="C1345" s="663" t="s">
        <v>47</v>
      </c>
      <c r="D1345" s="663" t="s">
        <v>599</v>
      </c>
      <c r="E1345" s="664" t="s">
        <v>413</v>
      </c>
      <c r="F1345" s="665">
        <v>3016.0</v>
      </c>
      <c r="G1345" s="665">
        <v>1529.0</v>
      </c>
      <c r="H1345" s="665">
        <v>50.7</v>
      </c>
      <c r="I1345" s="665">
        <v>14.87</v>
      </c>
      <c r="J1345" s="665">
        <v>13.92</v>
      </c>
      <c r="K1345" s="665">
        <v>3639.0</v>
      </c>
      <c r="L1345" s="665">
        <v>24468.0</v>
      </c>
      <c r="M1345" s="665">
        <v>1.21</v>
      </c>
      <c r="N1345" s="1">
        <v>2.38</v>
      </c>
      <c r="O1345" s="1">
        <v>3639.0</v>
      </c>
      <c r="P1345" s="1">
        <v>24468.0</v>
      </c>
      <c r="Q1345" s="1">
        <v>1.2066</v>
      </c>
      <c r="R1345" s="1">
        <v>12544.0</v>
      </c>
    </row>
    <row r="1346">
      <c r="A1346" s="663" t="s">
        <v>2351</v>
      </c>
      <c r="B1346" s="663" t="s">
        <v>1192</v>
      </c>
      <c r="C1346" s="663" t="s">
        <v>47</v>
      </c>
      <c r="D1346" s="663" t="s">
        <v>599</v>
      </c>
      <c r="E1346" s="664" t="s">
        <v>418</v>
      </c>
      <c r="F1346" s="665">
        <v>3016.0</v>
      </c>
      <c r="G1346" s="665">
        <v>2019.0</v>
      </c>
      <c r="H1346" s="665">
        <v>66.94</v>
      </c>
      <c r="I1346" s="665">
        <v>14.36</v>
      </c>
      <c r="J1346" s="665">
        <v>14.41</v>
      </c>
      <c r="K1346" s="665">
        <v>3514.0</v>
      </c>
      <c r="L1346" s="665">
        <v>24468.0</v>
      </c>
      <c r="M1346" s="665">
        <v>1.17</v>
      </c>
      <c r="N1346" s="1">
        <v>1.7405</v>
      </c>
      <c r="O1346" s="1">
        <v>3514.0</v>
      </c>
      <c r="P1346" s="1">
        <v>24468.0</v>
      </c>
      <c r="Q1346" s="1">
        <v>1.1651</v>
      </c>
      <c r="R1346" s="1">
        <v>12544.0</v>
      </c>
    </row>
    <row r="1347">
      <c r="A1347" s="663" t="s">
        <v>2351</v>
      </c>
      <c r="B1347" s="663" t="s">
        <v>1192</v>
      </c>
      <c r="C1347" s="663" t="s">
        <v>47</v>
      </c>
      <c r="D1347" s="663" t="s">
        <v>599</v>
      </c>
      <c r="E1347" s="664" t="s">
        <v>14</v>
      </c>
      <c r="F1347" s="665">
        <v>3016.0</v>
      </c>
      <c r="G1347" s="665">
        <v>2083.0</v>
      </c>
      <c r="H1347" s="665">
        <v>69.06</v>
      </c>
      <c r="I1347" s="665">
        <v>13.99</v>
      </c>
      <c r="J1347" s="665">
        <v>15.2</v>
      </c>
      <c r="K1347" s="665">
        <v>3424.0</v>
      </c>
      <c r="L1347" s="665">
        <v>24468.0</v>
      </c>
      <c r="M1347" s="665">
        <v>1.14</v>
      </c>
      <c r="N1347" s="1">
        <v>1.6438</v>
      </c>
      <c r="O1347" s="1">
        <v>3424.0</v>
      </c>
      <c r="P1347" s="1">
        <v>24468.0</v>
      </c>
      <c r="Q1347" s="1">
        <v>1.1353</v>
      </c>
      <c r="R1347" s="1">
        <v>12544.0</v>
      </c>
    </row>
    <row r="1348">
      <c r="A1348" s="663" t="s">
        <v>2351</v>
      </c>
      <c r="B1348" s="663" t="s">
        <v>1192</v>
      </c>
      <c r="C1348" s="663" t="s">
        <v>47</v>
      </c>
      <c r="D1348" s="663" t="s">
        <v>599</v>
      </c>
      <c r="E1348" s="664" t="s">
        <v>411</v>
      </c>
      <c r="F1348" s="665">
        <v>3016.0</v>
      </c>
      <c r="G1348" s="665">
        <v>1881.0</v>
      </c>
      <c r="H1348" s="665">
        <v>62.37</v>
      </c>
      <c r="I1348" s="665">
        <v>11.48</v>
      </c>
      <c r="J1348" s="665">
        <v>13.42</v>
      </c>
      <c r="K1348" s="665">
        <v>2808.0</v>
      </c>
      <c r="L1348" s="665">
        <v>24468.0</v>
      </c>
      <c r="M1348" s="665">
        <v>0.93</v>
      </c>
      <c r="N1348" s="1">
        <v>1.4928</v>
      </c>
      <c r="O1348" s="1">
        <v>2808.0</v>
      </c>
      <c r="P1348" s="1">
        <v>24468.0</v>
      </c>
      <c r="Q1348" s="1">
        <v>0.931</v>
      </c>
      <c r="R1348" s="1">
        <v>12544.0</v>
      </c>
    </row>
    <row r="1349">
      <c r="A1349" s="663" t="s">
        <v>2351</v>
      </c>
      <c r="B1349" s="663" t="s">
        <v>1192</v>
      </c>
      <c r="C1349" s="663" t="s">
        <v>47</v>
      </c>
      <c r="D1349" s="663" t="s">
        <v>599</v>
      </c>
      <c r="E1349" s="664" t="s">
        <v>9</v>
      </c>
      <c r="F1349" s="665">
        <v>3016.0</v>
      </c>
      <c r="G1349" s="665">
        <v>1882.0</v>
      </c>
      <c r="H1349" s="665">
        <v>62.4</v>
      </c>
      <c r="I1349" s="665">
        <v>10.94</v>
      </c>
      <c r="J1349" s="665">
        <v>11.47</v>
      </c>
      <c r="K1349" s="665">
        <v>2678.0</v>
      </c>
      <c r="L1349" s="665">
        <v>24468.0</v>
      </c>
      <c r="M1349" s="665">
        <v>0.89</v>
      </c>
      <c r="N1349" s="1">
        <v>1.423</v>
      </c>
      <c r="O1349" s="1">
        <v>2678.0</v>
      </c>
      <c r="P1349" s="1">
        <v>24468.0</v>
      </c>
      <c r="Q1349" s="1">
        <v>0.8879</v>
      </c>
      <c r="R1349" s="1">
        <v>12544.0</v>
      </c>
    </row>
    <row r="1350">
      <c r="A1350" s="663" t="s">
        <v>2351</v>
      </c>
      <c r="B1350" s="663" t="s">
        <v>1192</v>
      </c>
      <c r="C1350" s="663" t="s">
        <v>47</v>
      </c>
      <c r="D1350" s="663" t="s">
        <v>599</v>
      </c>
      <c r="E1350" s="664" t="s">
        <v>51</v>
      </c>
      <c r="F1350" s="665">
        <v>3016.0</v>
      </c>
      <c r="G1350" s="665">
        <v>865.0</v>
      </c>
      <c r="H1350" s="665">
        <v>28.68</v>
      </c>
      <c r="I1350" s="665">
        <v>5.56</v>
      </c>
      <c r="J1350" s="665">
        <v>4.45</v>
      </c>
      <c r="K1350" s="665">
        <v>1360.0</v>
      </c>
      <c r="L1350" s="665">
        <v>24468.0</v>
      </c>
      <c r="M1350" s="665">
        <v>0.45</v>
      </c>
      <c r="N1350" s="1">
        <v>1.5723</v>
      </c>
      <c r="O1350" s="1">
        <v>1360.0</v>
      </c>
      <c r="P1350" s="1">
        <v>24468.0</v>
      </c>
      <c r="Q1350" s="1">
        <v>0.4509</v>
      </c>
      <c r="R1350" s="1">
        <v>12544.0</v>
      </c>
    </row>
    <row r="1351">
      <c r="A1351" s="663" t="s">
        <v>2351</v>
      </c>
      <c r="B1351" s="663" t="s">
        <v>1192</v>
      </c>
      <c r="C1351" s="663" t="s">
        <v>47</v>
      </c>
      <c r="D1351" s="663" t="s">
        <v>599</v>
      </c>
      <c r="E1351" s="664" t="s">
        <v>63</v>
      </c>
      <c r="F1351" s="665">
        <v>3016.0</v>
      </c>
      <c r="G1351" s="665">
        <v>638.0</v>
      </c>
      <c r="H1351" s="665">
        <v>21.15</v>
      </c>
      <c r="I1351" s="665">
        <v>3.43</v>
      </c>
      <c r="J1351" s="665">
        <v>3.18</v>
      </c>
      <c r="K1351" s="665">
        <v>839.0</v>
      </c>
      <c r="L1351" s="665">
        <v>24468.0</v>
      </c>
      <c r="M1351" s="665">
        <v>0.28</v>
      </c>
      <c r="N1351" s="1">
        <v>1.315</v>
      </c>
      <c r="O1351" s="1">
        <v>839.0</v>
      </c>
      <c r="P1351" s="1">
        <v>24468.0</v>
      </c>
      <c r="Q1351" s="1">
        <v>0.2782</v>
      </c>
      <c r="R1351" s="1">
        <v>12544.0</v>
      </c>
    </row>
    <row r="1352">
      <c r="A1352" s="663" t="s">
        <v>2351</v>
      </c>
      <c r="B1352" s="663" t="s">
        <v>1192</v>
      </c>
      <c r="C1352" s="663" t="s">
        <v>47</v>
      </c>
      <c r="D1352" s="663" t="s">
        <v>599</v>
      </c>
      <c r="E1352" s="664" t="s">
        <v>396</v>
      </c>
      <c r="F1352" s="665">
        <v>3016.0</v>
      </c>
      <c r="G1352" s="665">
        <v>687.0</v>
      </c>
      <c r="H1352" s="665">
        <v>22.78</v>
      </c>
      <c r="I1352" s="665">
        <v>3.27</v>
      </c>
      <c r="J1352" s="665">
        <v>3.3</v>
      </c>
      <c r="K1352" s="665">
        <v>801.0</v>
      </c>
      <c r="L1352" s="665">
        <v>24468.0</v>
      </c>
      <c r="M1352" s="665">
        <v>0.27</v>
      </c>
      <c r="N1352" s="1">
        <v>1.1659</v>
      </c>
      <c r="O1352" s="1">
        <v>801.0</v>
      </c>
      <c r="P1352" s="1">
        <v>24468.0</v>
      </c>
      <c r="Q1352" s="1">
        <v>0.2656</v>
      </c>
      <c r="R1352" s="1">
        <v>12544.0</v>
      </c>
    </row>
    <row r="1353">
      <c r="A1353" s="663" t="s">
        <v>2351</v>
      </c>
      <c r="B1353" s="663" t="s">
        <v>1192</v>
      </c>
      <c r="C1353" s="663" t="s">
        <v>47</v>
      </c>
      <c r="D1353" s="663" t="s">
        <v>599</v>
      </c>
      <c r="E1353" s="664" t="s">
        <v>401</v>
      </c>
      <c r="F1353" s="665">
        <v>3016.0</v>
      </c>
      <c r="G1353" s="665">
        <v>367.0</v>
      </c>
      <c r="H1353" s="665">
        <v>12.17</v>
      </c>
      <c r="I1353" s="665">
        <v>1.62</v>
      </c>
      <c r="J1353" s="665">
        <v>1.21</v>
      </c>
      <c r="K1353" s="665">
        <v>396.0</v>
      </c>
      <c r="L1353" s="665">
        <v>24468.0</v>
      </c>
      <c r="M1353" s="665">
        <v>0.13</v>
      </c>
      <c r="N1353" s="1">
        <v>1.079</v>
      </c>
      <c r="O1353" s="1">
        <v>396.0</v>
      </c>
      <c r="P1353" s="1">
        <v>24468.0</v>
      </c>
      <c r="Q1353" s="1">
        <v>0.1313</v>
      </c>
      <c r="R1353" s="1">
        <v>12544.0</v>
      </c>
    </row>
    <row r="1354">
      <c r="A1354" s="663" t="s">
        <v>2351</v>
      </c>
      <c r="B1354" s="663" t="s">
        <v>1192</v>
      </c>
      <c r="C1354" s="663" t="s">
        <v>47</v>
      </c>
      <c r="D1354" s="663" t="s">
        <v>599</v>
      </c>
      <c r="E1354" s="664" t="s">
        <v>206</v>
      </c>
      <c r="F1354" s="665">
        <v>3016.0</v>
      </c>
      <c r="G1354" s="665">
        <v>267.0</v>
      </c>
      <c r="H1354" s="665">
        <v>8.85</v>
      </c>
      <c r="I1354" s="665">
        <v>1.11</v>
      </c>
      <c r="J1354" s="665">
        <v>0.82</v>
      </c>
      <c r="K1354" s="665">
        <v>272.0</v>
      </c>
      <c r="L1354" s="665">
        <v>24468.0</v>
      </c>
      <c r="M1354" s="665">
        <v>0.09</v>
      </c>
      <c r="N1354" s="1">
        <v>1.0187</v>
      </c>
      <c r="O1354" s="1">
        <v>272.0</v>
      </c>
      <c r="P1354" s="1">
        <v>24468.0</v>
      </c>
      <c r="Q1354" s="1">
        <v>0.0902</v>
      </c>
      <c r="R1354" s="1">
        <v>12544.0</v>
      </c>
    </row>
    <row r="1355">
      <c r="A1355" s="663" t="s">
        <v>2351</v>
      </c>
      <c r="B1355" s="663" t="s">
        <v>1192</v>
      </c>
      <c r="C1355" s="663" t="s">
        <v>47</v>
      </c>
      <c r="D1355" s="663" t="s">
        <v>599</v>
      </c>
      <c r="E1355" s="664" t="s">
        <v>42</v>
      </c>
      <c r="F1355" s="665">
        <v>3016.0</v>
      </c>
      <c r="G1355" s="665">
        <v>158.0</v>
      </c>
      <c r="H1355" s="665">
        <v>5.24</v>
      </c>
      <c r="I1355" s="665">
        <v>0.75</v>
      </c>
      <c r="J1355" s="665">
        <v>0.68</v>
      </c>
      <c r="K1355" s="665">
        <v>183.0</v>
      </c>
      <c r="L1355" s="665">
        <v>24468.0</v>
      </c>
      <c r="M1355" s="665">
        <v>0.06</v>
      </c>
      <c r="N1355" s="1">
        <v>1.1582</v>
      </c>
      <c r="O1355" s="1">
        <v>183.0</v>
      </c>
      <c r="P1355" s="1">
        <v>24468.0</v>
      </c>
      <c r="Q1355" s="1">
        <v>0.0607</v>
      </c>
      <c r="R1355" s="1">
        <v>12544.0</v>
      </c>
    </row>
    <row r="1356">
      <c r="A1356" s="663" t="s">
        <v>2351</v>
      </c>
      <c r="B1356" s="663" t="s">
        <v>1192</v>
      </c>
      <c r="C1356" s="663" t="s">
        <v>47</v>
      </c>
      <c r="D1356" s="663" t="s">
        <v>599</v>
      </c>
      <c r="E1356" s="664" t="s">
        <v>16</v>
      </c>
      <c r="F1356" s="665">
        <v>3016.0</v>
      </c>
      <c r="G1356" s="665">
        <v>163.0</v>
      </c>
      <c r="H1356" s="665">
        <v>5.4</v>
      </c>
      <c r="I1356" s="665">
        <v>0.73</v>
      </c>
      <c r="J1356" s="665">
        <v>0.67</v>
      </c>
      <c r="K1356" s="665">
        <v>178.0</v>
      </c>
      <c r="L1356" s="665">
        <v>24468.0</v>
      </c>
      <c r="M1356" s="665">
        <v>0.06</v>
      </c>
      <c r="N1356" s="1">
        <v>1.092</v>
      </c>
      <c r="O1356" s="1">
        <v>178.0</v>
      </c>
      <c r="P1356" s="1">
        <v>24468.0</v>
      </c>
      <c r="Q1356" s="1">
        <v>0.059</v>
      </c>
      <c r="R1356" s="1">
        <v>12544.0</v>
      </c>
    </row>
    <row r="1357">
      <c r="A1357" s="663" t="s">
        <v>2351</v>
      </c>
      <c r="B1357" s="663" t="s">
        <v>1192</v>
      </c>
      <c r="C1357" s="663" t="s">
        <v>47</v>
      </c>
      <c r="D1357" s="663" t="s">
        <v>599</v>
      </c>
      <c r="E1357" s="664" t="s">
        <v>73</v>
      </c>
      <c r="F1357" s="665">
        <v>3016.0</v>
      </c>
      <c r="G1357" s="665">
        <v>113.0</v>
      </c>
      <c r="H1357" s="665">
        <v>3.75</v>
      </c>
      <c r="I1357" s="665">
        <v>0.47</v>
      </c>
      <c r="J1357" s="665">
        <v>0.45</v>
      </c>
      <c r="K1357" s="665">
        <v>116.0</v>
      </c>
      <c r="L1357" s="665">
        <v>24468.0</v>
      </c>
      <c r="M1357" s="665">
        <v>0.04</v>
      </c>
      <c r="N1357" s="1">
        <v>1.0265</v>
      </c>
      <c r="O1357" s="1">
        <v>116.0</v>
      </c>
      <c r="P1357" s="1">
        <v>24468.0</v>
      </c>
      <c r="Q1357" s="1">
        <v>0.0385</v>
      </c>
      <c r="R1357" s="1">
        <v>12544.0</v>
      </c>
    </row>
    <row r="1358">
      <c r="A1358" s="663" t="s">
        <v>2351</v>
      </c>
      <c r="B1358" s="663" t="s">
        <v>1192</v>
      </c>
      <c r="C1358" s="663" t="s">
        <v>47</v>
      </c>
      <c r="D1358" s="663" t="s">
        <v>599</v>
      </c>
      <c r="E1358" s="664" t="s">
        <v>7</v>
      </c>
      <c r="F1358" s="665">
        <v>3016.0</v>
      </c>
      <c r="G1358" s="665">
        <v>100.0</v>
      </c>
      <c r="H1358" s="665">
        <v>3.32</v>
      </c>
      <c r="I1358" s="665">
        <v>0.44</v>
      </c>
      <c r="J1358" s="665">
        <v>0.39</v>
      </c>
      <c r="K1358" s="665">
        <v>108.0</v>
      </c>
      <c r="L1358" s="665">
        <v>24468.0</v>
      </c>
      <c r="M1358" s="665">
        <v>0.04</v>
      </c>
      <c r="N1358" s="1">
        <v>1.08</v>
      </c>
      <c r="O1358" s="1">
        <v>108.0</v>
      </c>
      <c r="P1358" s="1">
        <v>24468.0</v>
      </c>
      <c r="Q1358" s="1">
        <v>0.0358</v>
      </c>
      <c r="R1358" s="1">
        <v>12544.0</v>
      </c>
    </row>
    <row r="1359">
      <c r="A1359" s="663" t="s">
        <v>2351</v>
      </c>
      <c r="B1359" s="663" t="s">
        <v>1192</v>
      </c>
      <c r="C1359" s="663" t="s">
        <v>47</v>
      </c>
      <c r="D1359" s="663" t="s">
        <v>599</v>
      </c>
      <c r="E1359" s="664" t="s">
        <v>151</v>
      </c>
      <c r="F1359" s="665">
        <v>3016.0</v>
      </c>
      <c r="G1359" s="665">
        <v>1.0</v>
      </c>
      <c r="H1359" s="665">
        <v>0.03</v>
      </c>
      <c r="I1359" s="665">
        <v>0.0</v>
      </c>
      <c r="J1359" s="665">
        <v>0.01</v>
      </c>
      <c r="K1359" s="665">
        <v>1.0</v>
      </c>
      <c r="L1359" s="665">
        <v>24468.0</v>
      </c>
      <c r="M1359" s="665">
        <v>0.0</v>
      </c>
      <c r="N1359" s="1">
        <v>1.0</v>
      </c>
      <c r="O1359" s="1">
        <v>1.0</v>
      </c>
      <c r="P1359" s="1">
        <v>24468.0</v>
      </c>
      <c r="Q1359" s="1">
        <v>3.0E-4</v>
      </c>
      <c r="R1359" s="1">
        <v>12544.0</v>
      </c>
    </row>
    <row r="1360">
      <c r="A1360" s="663" t="s">
        <v>2351</v>
      </c>
      <c r="B1360" s="663" t="s">
        <v>1192</v>
      </c>
      <c r="C1360" s="663" t="s">
        <v>46</v>
      </c>
      <c r="D1360" s="663" t="s">
        <v>599</v>
      </c>
      <c r="E1360" s="664" t="s">
        <v>396</v>
      </c>
      <c r="F1360" s="665">
        <v>3032.0</v>
      </c>
      <c r="G1360" s="665">
        <v>2834.0</v>
      </c>
      <c r="H1360" s="665">
        <v>93.47</v>
      </c>
      <c r="I1360" s="665">
        <v>73.21</v>
      </c>
      <c r="J1360" s="665">
        <v>69.67</v>
      </c>
      <c r="K1360" s="665">
        <v>2508205.0</v>
      </c>
      <c r="L1360" s="665">
        <v>3425999.92</v>
      </c>
      <c r="M1360" s="665">
        <v>827.24</v>
      </c>
      <c r="N1360" s="1">
        <v>885.0406</v>
      </c>
      <c r="O1360" s="1">
        <v>2508205.0</v>
      </c>
      <c r="P1360" s="1">
        <v>3482061.0</v>
      </c>
      <c r="Q1360" s="1">
        <v>827.2444</v>
      </c>
      <c r="R1360" s="1">
        <v>12544.0</v>
      </c>
    </row>
    <row r="1361">
      <c r="A1361" s="663" t="s">
        <v>2351</v>
      </c>
      <c r="B1361" s="663" t="s">
        <v>1192</v>
      </c>
      <c r="C1361" s="663" t="s">
        <v>46</v>
      </c>
      <c r="D1361" s="663" t="s">
        <v>599</v>
      </c>
      <c r="E1361" s="664" t="s">
        <v>14</v>
      </c>
      <c r="F1361" s="665">
        <v>3032.0</v>
      </c>
      <c r="G1361" s="665">
        <v>2202.0</v>
      </c>
      <c r="H1361" s="665">
        <v>72.63</v>
      </c>
      <c r="I1361" s="665">
        <v>15.08</v>
      </c>
      <c r="J1361" s="665">
        <v>16.13</v>
      </c>
      <c r="K1361" s="665">
        <v>516583.92</v>
      </c>
      <c r="L1361" s="665">
        <v>3425999.92</v>
      </c>
      <c r="M1361" s="665">
        <v>170.38</v>
      </c>
      <c r="N1361" s="1">
        <v>234.5976</v>
      </c>
      <c r="O1361" s="1">
        <v>572645.0</v>
      </c>
      <c r="P1361" s="1">
        <v>3482061.0</v>
      </c>
      <c r="Q1361" s="1">
        <v>188.8671</v>
      </c>
      <c r="R1361" s="1">
        <v>12544.0</v>
      </c>
    </row>
    <row r="1362">
      <c r="A1362" s="663" t="s">
        <v>2351</v>
      </c>
      <c r="B1362" s="663" t="s">
        <v>1192</v>
      </c>
      <c r="C1362" s="663" t="s">
        <v>46</v>
      </c>
      <c r="D1362" s="663" t="s">
        <v>599</v>
      </c>
      <c r="E1362" s="664" t="s">
        <v>42</v>
      </c>
      <c r="F1362" s="665">
        <v>3032.0</v>
      </c>
      <c r="G1362" s="665">
        <v>1568.0</v>
      </c>
      <c r="H1362" s="665">
        <v>51.72</v>
      </c>
      <c r="I1362" s="665">
        <v>4.44</v>
      </c>
      <c r="J1362" s="665">
        <v>5.73</v>
      </c>
      <c r="K1362" s="665">
        <v>152260.0</v>
      </c>
      <c r="L1362" s="665">
        <v>3425999.92</v>
      </c>
      <c r="M1362" s="665">
        <v>50.22</v>
      </c>
      <c r="N1362" s="1">
        <v>97.1046</v>
      </c>
      <c r="O1362" s="1">
        <v>152260.0</v>
      </c>
      <c r="P1362" s="1">
        <v>3482061.0</v>
      </c>
      <c r="Q1362" s="1">
        <v>50.2177</v>
      </c>
      <c r="R1362" s="1">
        <v>12544.0</v>
      </c>
    </row>
    <row r="1363">
      <c r="A1363" s="663" t="s">
        <v>2351</v>
      </c>
      <c r="B1363" s="663" t="s">
        <v>1192</v>
      </c>
      <c r="C1363" s="663" t="s">
        <v>46</v>
      </c>
      <c r="D1363" s="663" t="s">
        <v>599</v>
      </c>
      <c r="E1363" s="664" t="s">
        <v>411</v>
      </c>
      <c r="F1363" s="665">
        <v>3032.0</v>
      </c>
      <c r="G1363" s="665">
        <v>1665.0</v>
      </c>
      <c r="H1363" s="665">
        <v>54.91</v>
      </c>
      <c r="I1363" s="665">
        <v>4.43</v>
      </c>
      <c r="J1363" s="665">
        <v>5.36</v>
      </c>
      <c r="K1363" s="665">
        <v>151710.0</v>
      </c>
      <c r="L1363" s="665">
        <v>3425999.92</v>
      </c>
      <c r="M1363" s="665">
        <v>50.04</v>
      </c>
      <c r="N1363" s="1">
        <v>91.1171</v>
      </c>
      <c r="O1363" s="1">
        <v>151710.0</v>
      </c>
      <c r="P1363" s="1">
        <v>3482061.0</v>
      </c>
      <c r="Q1363" s="1">
        <v>50.0363</v>
      </c>
      <c r="R1363" s="1">
        <v>12544.0</v>
      </c>
    </row>
    <row r="1364">
      <c r="A1364" s="663" t="s">
        <v>2351</v>
      </c>
      <c r="B1364" s="663" t="s">
        <v>1192</v>
      </c>
      <c r="C1364" s="663" t="s">
        <v>46</v>
      </c>
      <c r="D1364" s="663" t="s">
        <v>599</v>
      </c>
      <c r="E1364" s="664" t="s">
        <v>7</v>
      </c>
      <c r="F1364" s="665">
        <v>3032.0</v>
      </c>
      <c r="G1364" s="665">
        <v>662.0</v>
      </c>
      <c r="H1364" s="665">
        <v>21.83</v>
      </c>
      <c r="I1364" s="665">
        <v>2.03</v>
      </c>
      <c r="J1364" s="665">
        <v>2.08</v>
      </c>
      <c r="K1364" s="665">
        <v>69615.0</v>
      </c>
      <c r="L1364" s="665">
        <v>3425999.92</v>
      </c>
      <c r="M1364" s="665">
        <v>22.96</v>
      </c>
      <c r="N1364" s="1">
        <v>105.1586</v>
      </c>
      <c r="O1364" s="1">
        <v>69615.0</v>
      </c>
      <c r="P1364" s="1">
        <v>3482061.0</v>
      </c>
      <c r="Q1364" s="1">
        <v>22.9601</v>
      </c>
      <c r="R1364" s="1">
        <v>12544.0</v>
      </c>
    </row>
    <row r="1365">
      <c r="A1365" s="663" t="s">
        <v>2351</v>
      </c>
      <c r="B1365" s="663" t="s">
        <v>1192</v>
      </c>
      <c r="C1365" s="663" t="s">
        <v>46</v>
      </c>
      <c r="D1365" s="663" t="s">
        <v>599</v>
      </c>
      <c r="E1365" s="664" t="s">
        <v>51</v>
      </c>
      <c r="F1365" s="665">
        <v>3032.0</v>
      </c>
      <c r="G1365" s="665">
        <v>781.0</v>
      </c>
      <c r="H1365" s="665">
        <v>25.76</v>
      </c>
      <c r="I1365" s="665">
        <v>0.7</v>
      </c>
      <c r="J1365" s="665">
        <v>0.88</v>
      </c>
      <c r="K1365" s="665">
        <v>23840.0</v>
      </c>
      <c r="L1365" s="665">
        <v>3425999.92</v>
      </c>
      <c r="M1365" s="665">
        <v>7.86</v>
      </c>
      <c r="N1365" s="1">
        <v>30.525</v>
      </c>
      <c r="O1365" s="1">
        <v>23840.0</v>
      </c>
      <c r="P1365" s="1">
        <v>3482061.0</v>
      </c>
      <c r="Q1365" s="1">
        <v>7.8628</v>
      </c>
      <c r="R1365" s="1">
        <v>12544.0</v>
      </c>
    </row>
    <row r="1366">
      <c r="A1366" s="663" t="s">
        <v>2351</v>
      </c>
      <c r="B1366" s="663" t="s">
        <v>1192</v>
      </c>
      <c r="C1366" s="663" t="s">
        <v>46</v>
      </c>
      <c r="D1366" s="663" t="s">
        <v>599</v>
      </c>
      <c r="E1366" s="664" t="s">
        <v>413</v>
      </c>
      <c r="F1366" s="665">
        <v>3032.0</v>
      </c>
      <c r="G1366" s="665">
        <v>36.0</v>
      </c>
      <c r="H1366" s="665">
        <v>1.19</v>
      </c>
      <c r="I1366" s="665">
        <v>0.11</v>
      </c>
      <c r="J1366" s="665">
        <v>0.15</v>
      </c>
      <c r="K1366" s="665">
        <v>3766.0</v>
      </c>
      <c r="L1366" s="665">
        <v>3425999.92</v>
      </c>
      <c r="M1366" s="665">
        <v>1.24</v>
      </c>
      <c r="N1366" s="1">
        <v>104.6111</v>
      </c>
      <c r="O1366" s="1">
        <v>3766.0</v>
      </c>
      <c r="P1366" s="1">
        <v>3482061.0</v>
      </c>
      <c r="Q1366" s="1">
        <v>1.2421</v>
      </c>
      <c r="R1366" s="1">
        <v>12544.0</v>
      </c>
    </row>
    <row r="1367">
      <c r="A1367" s="663" t="s">
        <v>2351</v>
      </c>
      <c r="B1367" s="663" t="s">
        <v>1192</v>
      </c>
      <c r="C1367" s="663" t="s">
        <v>46</v>
      </c>
      <c r="D1367" s="663" t="s">
        <v>599</v>
      </c>
      <c r="E1367" s="664" t="s">
        <v>151</v>
      </c>
      <c r="F1367" s="665">
        <v>3032.0</v>
      </c>
      <c r="G1367" s="665">
        <v>1.0</v>
      </c>
      <c r="H1367" s="665">
        <v>0.03</v>
      </c>
      <c r="I1367" s="665">
        <v>0.0</v>
      </c>
      <c r="J1367" s="665">
        <v>0.0</v>
      </c>
      <c r="K1367" s="665">
        <v>20.0</v>
      </c>
      <c r="L1367" s="665">
        <v>3425999.92</v>
      </c>
      <c r="M1367" s="665">
        <v>0.01</v>
      </c>
      <c r="N1367" s="1">
        <v>20.0</v>
      </c>
      <c r="O1367" s="1">
        <v>20.0</v>
      </c>
      <c r="P1367" s="1">
        <v>3482061.0</v>
      </c>
      <c r="Q1367" s="1">
        <v>0.0066</v>
      </c>
      <c r="R1367" s="1">
        <v>12544.0</v>
      </c>
    </row>
    <row r="1368">
      <c r="A1368" s="663" t="s">
        <v>2351</v>
      </c>
      <c r="B1368" s="663" t="s">
        <v>1192</v>
      </c>
      <c r="C1368" s="663" t="s">
        <v>1213</v>
      </c>
      <c r="D1368" s="663" t="s">
        <v>2234</v>
      </c>
      <c r="E1368" s="664" t="s">
        <v>14</v>
      </c>
      <c r="F1368" s="665">
        <v>1517.0</v>
      </c>
      <c r="G1368" s="665">
        <v>1513.0</v>
      </c>
      <c r="H1368" s="665">
        <v>99.74</v>
      </c>
      <c r="I1368" s="665">
        <v>99.79</v>
      </c>
      <c r="J1368" s="665">
        <v>99.74</v>
      </c>
      <c r="K1368" s="665">
        <v>25730.0</v>
      </c>
      <c r="L1368" s="665">
        <v>25785.0</v>
      </c>
      <c r="M1368" s="665">
        <v>16.96</v>
      </c>
      <c r="N1368" s="1">
        <v>17.0059</v>
      </c>
      <c r="O1368" s="1">
        <v>25730.0</v>
      </c>
      <c r="P1368" s="1">
        <v>25785.0</v>
      </c>
      <c r="Q1368" s="1">
        <v>16.9611</v>
      </c>
      <c r="R1368" s="1">
        <v>12544.0</v>
      </c>
    </row>
    <row r="1369">
      <c r="A1369" s="663" t="s">
        <v>2351</v>
      </c>
      <c r="B1369" s="663" t="s">
        <v>1192</v>
      </c>
      <c r="C1369" s="663" t="s">
        <v>1213</v>
      </c>
      <c r="D1369" s="663" t="s">
        <v>2234</v>
      </c>
      <c r="E1369" s="664" t="s">
        <v>397</v>
      </c>
      <c r="F1369" s="665">
        <v>1517.0</v>
      </c>
      <c r="G1369" s="665">
        <v>3.0</v>
      </c>
      <c r="H1369" s="665">
        <v>0.2</v>
      </c>
      <c r="I1369" s="665">
        <v>0.17</v>
      </c>
      <c r="J1369" s="665">
        <v>0.2</v>
      </c>
      <c r="K1369" s="665">
        <v>45.0</v>
      </c>
      <c r="L1369" s="665">
        <v>25785.0</v>
      </c>
      <c r="M1369" s="665">
        <v>0.03</v>
      </c>
      <c r="N1369" s="1">
        <v>15.0</v>
      </c>
      <c r="O1369" s="1">
        <v>45.0</v>
      </c>
      <c r="P1369" s="1">
        <v>25785.0</v>
      </c>
      <c r="Q1369" s="1">
        <v>0.0297</v>
      </c>
      <c r="R1369" s="1">
        <v>12544.0</v>
      </c>
    </row>
    <row r="1370">
      <c r="A1370" s="663" t="s">
        <v>2351</v>
      </c>
      <c r="B1370" s="663" t="s">
        <v>1192</v>
      </c>
      <c r="C1370" s="663" t="s">
        <v>1213</v>
      </c>
      <c r="D1370" s="663" t="s">
        <v>2234</v>
      </c>
      <c r="E1370" s="664" t="s">
        <v>151</v>
      </c>
      <c r="F1370" s="665">
        <v>1517.0</v>
      </c>
      <c r="G1370" s="665">
        <v>1.0</v>
      </c>
      <c r="H1370" s="665">
        <v>0.07</v>
      </c>
      <c r="I1370" s="665">
        <v>0.04</v>
      </c>
      <c r="J1370" s="665">
        <v>0.07</v>
      </c>
      <c r="K1370" s="665">
        <v>10.0</v>
      </c>
      <c r="L1370" s="665">
        <v>25785.0</v>
      </c>
      <c r="M1370" s="665">
        <v>0.01</v>
      </c>
      <c r="N1370" s="1">
        <v>10.0</v>
      </c>
      <c r="O1370" s="1">
        <v>10.0</v>
      </c>
      <c r="P1370" s="1">
        <v>25785.0</v>
      </c>
      <c r="Q1370" s="1">
        <v>0.0066</v>
      </c>
      <c r="R1370" s="1">
        <v>12544.0</v>
      </c>
    </row>
    <row r="1371">
      <c r="A1371" s="663" t="s">
        <v>2351</v>
      </c>
      <c r="B1371" s="663" t="s">
        <v>1192</v>
      </c>
      <c r="C1371" s="663" t="s">
        <v>53</v>
      </c>
      <c r="D1371" s="663" t="s">
        <v>599</v>
      </c>
      <c r="E1371" s="664" t="s">
        <v>418</v>
      </c>
      <c r="F1371" s="665">
        <v>2849.0</v>
      </c>
      <c r="G1371" s="665">
        <v>1935.0</v>
      </c>
      <c r="H1371" s="665">
        <v>67.92</v>
      </c>
      <c r="I1371" s="665">
        <v>16.03</v>
      </c>
      <c r="J1371" s="665">
        <v>17.54</v>
      </c>
      <c r="K1371" s="665">
        <v>3321.0</v>
      </c>
      <c r="L1371" s="665">
        <v>20712.0</v>
      </c>
      <c r="M1371" s="665">
        <v>1.17</v>
      </c>
      <c r="N1371" s="1">
        <v>1.7163</v>
      </c>
      <c r="O1371" s="1">
        <v>3321.0</v>
      </c>
      <c r="P1371" s="1">
        <v>20712.0</v>
      </c>
      <c r="Q1371" s="1">
        <v>1.1657</v>
      </c>
      <c r="R1371" s="1">
        <v>12544.0</v>
      </c>
    </row>
    <row r="1372">
      <c r="A1372" s="663" t="s">
        <v>2351</v>
      </c>
      <c r="B1372" s="663" t="s">
        <v>1192</v>
      </c>
      <c r="C1372" s="663" t="s">
        <v>53</v>
      </c>
      <c r="D1372" s="663" t="s">
        <v>599</v>
      </c>
      <c r="E1372" s="664" t="s">
        <v>14</v>
      </c>
      <c r="F1372" s="665">
        <v>2849.0</v>
      </c>
      <c r="G1372" s="665">
        <v>1813.0</v>
      </c>
      <c r="H1372" s="665">
        <v>63.64</v>
      </c>
      <c r="I1372" s="665">
        <v>15.2</v>
      </c>
      <c r="J1372" s="665">
        <v>16.8</v>
      </c>
      <c r="K1372" s="665">
        <v>3148.0</v>
      </c>
      <c r="L1372" s="665">
        <v>20712.0</v>
      </c>
      <c r="M1372" s="665">
        <v>1.1</v>
      </c>
      <c r="N1372" s="1">
        <v>1.7363</v>
      </c>
      <c r="O1372" s="1">
        <v>3148.0</v>
      </c>
      <c r="P1372" s="1">
        <v>20712.0</v>
      </c>
      <c r="Q1372" s="1">
        <v>1.1049</v>
      </c>
      <c r="R1372" s="1">
        <v>12544.0</v>
      </c>
    </row>
    <row r="1373">
      <c r="A1373" s="663" t="s">
        <v>2351</v>
      </c>
      <c r="B1373" s="663" t="s">
        <v>1192</v>
      </c>
      <c r="C1373" s="663" t="s">
        <v>53</v>
      </c>
      <c r="D1373" s="663" t="s">
        <v>599</v>
      </c>
      <c r="E1373" s="664" t="s">
        <v>396</v>
      </c>
      <c r="F1373" s="665">
        <v>2849.0</v>
      </c>
      <c r="G1373" s="665">
        <v>1494.0</v>
      </c>
      <c r="H1373" s="665">
        <v>52.44</v>
      </c>
      <c r="I1373" s="665">
        <v>11.95</v>
      </c>
      <c r="J1373" s="665">
        <v>12.62</v>
      </c>
      <c r="K1373" s="665">
        <v>2475.0</v>
      </c>
      <c r="L1373" s="665">
        <v>20712.0</v>
      </c>
      <c r="M1373" s="665">
        <v>0.87</v>
      </c>
      <c r="N1373" s="1">
        <v>1.6566</v>
      </c>
      <c r="O1373" s="1">
        <v>2475.0</v>
      </c>
      <c r="P1373" s="1">
        <v>20712.0</v>
      </c>
      <c r="Q1373" s="1">
        <v>0.8687</v>
      </c>
      <c r="R1373" s="1">
        <v>12544.0</v>
      </c>
    </row>
    <row r="1374">
      <c r="A1374" s="663" t="s">
        <v>2351</v>
      </c>
      <c r="B1374" s="663" t="s">
        <v>1192</v>
      </c>
      <c r="C1374" s="663" t="s">
        <v>53</v>
      </c>
      <c r="D1374" s="663" t="s">
        <v>599</v>
      </c>
      <c r="E1374" s="664" t="s">
        <v>413</v>
      </c>
      <c r="F1374" s="665">
        <v>2849.0</v>
      </c>
      <c r="G1374" s="665">
        <v>1177.0</v>
      </c>
      <c r="H1374" s="665">
        <v>41.31</v>
      </c>
      <c r="I1374" s="665">
        <v>9.24</v>
      </c>
      <c r="J1374" s="665">
        <v>8.77</v>
      </c>
      <c r="K1374" s="665">
        <v>1913.0</v>
      </c>
      <c r="L1374" s="665">
        <v>20712.0</v>
      </c>
      <c r="M1374" s="665">
        <v>0.67</v>
      </c>
      <c r="N1374" s="1">
        <v>1.6253</v>
      </c>
      <c r="O1374" s="1">
        <v>1913.0</v>
      </c>
      <c r="P1374" s="1">
        <v>20712.0</v>
      </c>
      <c r="Q1374" s="1">
        <v>0.6715</v>
      </c>
      <c r="R1374" s="1">
        <v>12544.0</v>
      </c>
    </row>
    <row r="1375">
      <c r="A1375" s="663" t="s">
        <v>2351</v>
      </c>
      <c r="B1375" s="663" t="s">
        <v>1192</v>
      </c>
      <c r="C1375" s="663" t="s">
        <v>53</v>
      </c>
      <c r="D1375" s="663" t="s">
        <v>599</v>
      </c>
      <c r="E1375" s="664" t="s">
        <v>397</v>
      </c>
      <c r="F1375" s="665">
        <v>2849.0</v>
      </c>
      <c r="G1375" s="665">
        <v>1139.0</v>
      </c>
      <c r="H1375" s="665">
        <v>39.98</v>
      </c>
      <c r="I1375" s="665">
        <v>7.31</v>
      </c>
      <c r="J1375" s="665">
        <v>6.6</v>
      </c>
      <c r="K1375" s="665">
        <v>1514.0</v>
      </c>
      <c r="L1375" s="665">
        <v>20712.0</v>
      </c>
      <c r="M1375" s="665">
        <v>0.53</v>
      </c>
      <c r="N1375" s="1">
        <v>1.3292</v>
      </c>
      <c r="O1375" s="1">
        <v>1514.0</v>
      </c>
      <c r="P1375" s="1">
        <v>20712.0</v>
      </c>
      <c r="Q1375" s="1">
        <v>0.5314</v>
      </c>
      <c r="R1375" s="1">
        <v>12544.0</v>
      </c>
    </row>
    <row r="1376">
      <c r="A1376" s="663" t="s">
        <v>2351</v>
      </c>
      <c r="B1376" s="663" t="s">
        <v>1192</v>
      </c>
      <c r="C1376" s="663" t="s">
        <v>53</v>
      </c>
      <c r="D1376" s="663" t="s">
        <v>599</v>
      </c>
      <c r="E1376" s="664" t="s">
        <v>9</v>
      </c>
      <c r="F1376" s="665">
        <v>2849.0</v>
      </c>
      <c r="G1376" s="665">
        <v>1080.0</v>
      </c>
      <c r="H1376" s="665">
        <v>37.91</v>
      </c>
      <c r="I1376" s="665">
        <v>6.98</v>
      </c>
      <c r="J1376" s="665">
        <v>5.45</v>
      </c>
      <c r="K1376" s="665">
        <v>1446.0</v>
      </c>
      <c r="L1376" s="665">
        <v>20712.0</v>
      </c>
      <c r="M1376" s="665">
        <v>0.51</v>
      </c>
      <c r="N1376" s="1">
        <v>1.3389</v>
      </c>
      <c r="O1376" s="1">
        <v>1446.0</v>
      </c>
      <c r="P1376" s="1">
        <v>20712.0</v>
      </c>
      <c r="Q1376" s="1">
        <v>0.5075</v>
      </c>
      <c r="R1376" s="1">
        <v>12544.0</v>
      </c>
    </row>
    <row r="1377">
      <c r="A1377" s="663" t="s">
        <v>2351</v>
      </c>
      <c r="B1377" s="663" t="s">
        <v>1192</v>
      </c>
      <c r="C1377" s="663" t="s">
        <v>53</v>
      </c>
      <c r="D1377" s="663" t="s">
        <v>599</v>
      </c>
      <c r="E1377" s="664" t="s">
        <v>16</v>
      </c>
      <c r="F1377" s="665">
        <v>2849.0</v>
      </c>
      <c r="G1377" s="665">
        <v>967.0</v>
      </c>
      <c r="H1377" s="665">
        <v>33.94</v>
      </c>
      <c r="I1377" s="665">
        <v>6.47</v>
      </c>
      <c r="J1377" s="665">
        <v>7.25</v>
      </c>
      <c r="K1377" s="665">
        <v>1341.0</v>
      </c>
      <c r="L1377" s="665">
        <v>20712.0</v>
      </c>
      <c r="M1377" s="665">
        <v>0.47</v>
      </c>
      <c r="N1377" s="1">
        <v>1.3868</v>
      </c>
      <c r="O1377" s="1">
        <v>1341.0</v>
      </c>
      <c r="P1377" s="1">
        <v>20712.0</v>
      </c>
      <c r="Q1377" s="1">
        <v>0.4707</v>
      </c>
      <c r="R1377" s="1">
        <v>12544.0</v>
      </c>
    </row>
    <row r="1378">
      <c r="A1378" s="663" t="s">
        <v>2351</v>
      </c>
      <c r="B1378" s="663" t="s">
        <v>1192</v>
      </c>
      <c r="C1378" s="663" t="s">
        <v>53</v>
      </c>
      <c r="D1378" s="663" t="s">
        <v>599</v>
      </c>
      <c r="E1378" s="664" t="s">
        <v>393</v>
      </c>
      <c r="F1378" s="665">
        <v>2849.0</v>
      </c>
      <c r="G1378" s="665">
        <v>655.0</v>
      </c>
      <c r="H1378" s="665">
        <v>22.99</v>
      </c>
      <c r="I1378" s="665">
        <v>6.12</v>
      </c>
      <c r="J1378" s="665">
        <v>4.77</v>
      </c>
      <c r="K1378" s="665">
        <v>1268.0</v>
      </c>
      <c r="L1378" s="665">
        <v>20712.0</v>
      </c>
      <c r="M1378" s="665">
        <v>0.45</v>
      </c>
      <c r="N1378" s="1">
        <v>1.9359</v>
      </c>
      <c r="O1378" s="1">
        <v>1268.0</v>
      </c>
      <c r="P1378" s="1">
        <v>20712.0</v>
      </c>
      <c r="Q1378" s="1">
        <v>0.4451</v>
      </c>
      <c r="R1378" s="1">
        <v>12544.0</v>
      </c>
    </row>
    <row r="1379">
      <c r="A1379" s="663" t="s">
        <v>2351</v>
      </c>
      <c r="B1379" s="663" t="s">
        <v>1192</v>
      </c>
      <c r="C1379" s="663" t="s">
        <v>53</v>
      </c>
      <c r="D1379" s="663" t="s">
        <v>599</v>
      </c>
      <c r="E1379" s="664" t="s">
        <v>411</v>
      </c>
      <c r="F1379" s="665">
        <v>2849.0</v>
      </c>
      <c r="G1379" s="665">
        <v>593.0</v>
      </c>
      <c r="H1379" s="665">
        <v>20.81</v>
      </c>
      <c r="I1379" s="665">
        <v>4.29</v>
      </c>
      <c r="J1379" s="665">
        <v>4.05</v>
      </c>
      <c r="K1379" s="665">
        <v>889.0</v>
      </c>
      <c r="L1379" s="665">
        <v>20712.0</v>
      </c>
      <c r="M1379" s="665">
        <v>0.31</v>
      </c>
      <c r="N1379" s="1">
        <v>1.4992</v>
      </c>
      <c r="O1379" s="1">
        <v>889.0</v>
      </c>
      <c r="P1379" s="1">
        <v>20712.0</v>
      </c>
      <c r="Q1379" s="1">
        <v>0.312</v>
      </c>
      <c r="R1379" s="1">
        <v>12544.0</v>
      </c>
    </row>
    <row r="1380">
      <c r="A1380" s="663" t="s">
        <v>2351</v>
      </c>
      <c r="B1380" s="663" t="s">
        <v>1192</v>
      </c>
      <c r="C1380" s="663" t="s">
        <v>53</v>
      </c>
      <c r="D1380" s="663" t="s">
        <v>599</v>
      </c>
      <c r="E1380" s="664" t="s">
        <v>15</v>
      </c>
      <c r="F1380" s="665">
        <v>2849.0</v>
      </c>
      <c r="G1380" s="665">
        <v>297.0</v>
      </c>
      <c r="H1380" s="665">
        <v>10.42</v>
      </c>
      <c r="I1380" s="665">
        <v>3.66</v>
      </c>
      <c r="J1380" s="665">
        <v>2.66</v>
      </c>
      <c r="K1380" s="665">
        <v>758.0</v>
      </c>
      <c r="L1380" s="665">
        <v>20712.0</v>
      </c>
      <c r="M1380" s="665">
        <v>0.27</v>
      </c>
      <c r="N1380" s="1">
        <v>2.5522</v>
      </c>
      <c r="O1380" s="1">
        <v>758.0</v>
      </c>
      <c r="P1380" s="1">
        <v>20712.0</v>
      </c>
      <c r="Q1380" s="1">
        <v>0.2661</v>
      </c>
      <c r="R1380" s="1">
        <v>12544.0</v>
      </c>
    </row>
    <row r="1381">
      <c r="A1381" s="663" t="s">
        <v>2351</v>
      </c>
      <c r="B1381" s="663" t="s">
        <v>1192</v>
      </c>
      <c r="C1381" s="663" t="s">
        <v>53</v>
      </c>
      <c r="D1381" s="663" t="s">
        <v>599</v>
      </c>
      <c r="E1381" s="664" t="s">
        <v>42</v>
      </c>
      <c r="F1381" s="665">
        <v>2849.0</v>
      </c>
      <c r="G1381" s="665">
        <v>594.0</v>
      </c>
      <c r="H1381" s="665">
        <v>20.85</v>
      </c>
      <c r="I1381" s="665">
        <v>3.48</v>
      </c>
      <c r="J1381" s="665">
        <v>4.05</v>
      </c>
      <c r="K1381" s="665">
        <v>720.0</v>
      </c>
      <c r="L1381" s="665">
        <v>20712.0</v>
      </c>
      <c r="M1381" s="665">
        <v>0.25</v>
      </c>
      <c r="N1381" s="1">
        <v>1.2121</v>
      </c>
      <c r="O1381" s="1">
        <v>720.0</v>
      </c>
      <c r="P1381" s="1">
        <v>20712.0</v>
      </c>
      <c r="Q1381" s="1">
        <v>0.2527</v>
      </c>
      <c r="R1381" s="1">
        <v>12544.0</v>
      </c>
    </row>
    <row r="1382">
      <c r="A1382" s="663" t="s">
        <v>2351</v>
      </c>
      <c r="B1382" s="663" t="s">
        <v>1192</v>
      </c>
      <c r="C1382" s="663" t="s">
        <v>53</v>
      </c>
      <c r="D1382" s="663" t="s">
        <v>599</v>
      </c>
      <c r="E1382" s="664" t="s">
        <v>338</v>
      </c>
      <c r="F1382" s="665">
        <v>2849.0</v>
      </c>
      <c r="G1382" s="665">
        <v>438.0</v>
      </c>
      <c r="H1382" s="665">
        <v>15.37</v>
      </c>
      <c r="I1382" s="665">
        <v>2.47</v>
      </c>
      <c r="J1382" s="665">
        <v>2.4</v>
      </c>
      <c r="K1382" s="665">
        <v>511.0</v>
      </c>
      <c r="L1382" s="665">
        <v>20712.0</v>
      </c>
      <c r="M1382" s="665">
        <v>0.18</v>
      </c>
      <c r="N1382" s="1">
        <v>1.1667</v>
      </c>
      <c r="O1382" s="1">
        <v>511.0</v>
      </c>
      <c r="P1382" s="1">
        <v>20712.0</v>
      </c>
      <c r="Q1382" s="1">
        <v>0.1794</v>
      </c>
      <c r="R1382" s="1">
        <v>12544.0</v>
      </c>
    </row>
    <row r="1383">
      <c r="A1383" s="663" t="s">
        <v>2351</v>
      </c>
      <c r="B1383" s="663" t="s">
        <v>1192</v>
      </c>
      <c r="C1383" s="663" t="s">
        <v>53</v>
      </c>
      <c r="D1383" s="663" t="s">
        <v>599</v>
      </c>
      <c r="E1383" s="664" t="s">
        <v>329</v>
      </c>
      <c r="F1383" s="665">
        <v>2849.0</v>
      </c>
      <c r="G1383" s="665">
        <v>415.0</v>
      </c>
      <c r="H1383" s="665">
        <v>14.57</v>
      </c>
      <c r="I1383" s="665">
        <v>2.32</v>
      </c>
      <c r="J1383" s="665">
        <v>2.35</v>
      </c>
      <c r="K1383" s="665">
        <v>481.0</v>
      </c>
      <c r="L1383" s="665">
        <v>20712.0</v>
      </c>
      <c r="M1383" s="665">
        <v>0.17</v>
      </c>
      <c r="N1383" s="1">
        <v>1.159</v>
      </c>
      <c r="O1383" s="1">
        <v>481.0</v>
      </c>
      <c r="P1383" s="1">
        <v>20712.0</v>
      </c>
      <c r="Q1383" s="1">
        <v>0.1688</v>
      </c>
      <c r="R1383" s="1">
        <v>12544.0</v>
      </c>
    </row>
    <row r="1384">
      <c r="A1384" s="663" t="s">
        <v>2351</v>
      </c>
      <c r="B1384" s="663" t="s">
        <v>1192</v>
      </c>
      <c r="C1384" s="663" t="s">
        <v>53</v>
      </c>
      <c r="D1384" s="663" t="s">
        <v>599</v>
      </c>
      <c r="E1384" s="664" t="s">
        <v>341</v>
      </c>
      <c r="F1384" s="665">
        <v>2849.0</v>
      </c>
      <c r="G1384" s="665">
        <v>381.0</v>
      </c>
      <c r="H1384" s="665">
        <v>13.37</v>
      </c>
      <c r="I1384" s="665">
        <v>2.13</v>
      </c>
      <c r="J1384" s="665">
        <v>2.21</v>
      </c>
      <c r="K1384" s="665">
        <v>441.0</v>
      </c>
      <c r="L1384" s="665">
        <v>20712.0</v>
      </c>
      <c r="M1384" s="665">
        <v>0.15</v>
      </c>
      <c r="N1384" s="1">
        <v>1.1575</v>
      </c>
      <c r="O1384" s="1">
        <v>441.0</v>
      </c>
      <c r="P1384" s="1">
        <v>20712.0</v>
      </c>
      <c r="Q1384" s="1">
        <v>0.1548</v>
      </c>
      <c r="R1384" s="1">
        <v>12544.0</v>
      </c>
    </row>
    <row r="1385">
      <c r="A1385" s="663" t="s">
        <v>2351</v>
      </c>
      <c r="B1385" s="663" t="s">
        <v>1192</v>
      </c>
      <c r="C1385" s="663" t="s">
        <v>53</v>
      </c>
      <c r="D1385" s="663" t="s">
        <v>599</v>
      </c>
      <c r="E1385" s="664" t="s">
        <v>63</v>
      </c>
      <c r="F1385" s="665">
        <v>2849.0</v>
      </c>
      <c r="G1385" s="665">
        <v>339.0</v>
      </c>
      <c r="H1385" s="665">
        <v>11.9</v>
      </c>
      <c r="I1385" s="665">
        <v>1.85</v>
      </c>
      <c r="J1385" s="665">
        <v>1.97</v>
      </c>
      <c r="K1385" s="665">
        <v>384.0</v>
      </c>
      <c r="L1385" s="665">
        <v>20712.0</v>
      </c>
      <c r="M1385" s="665">
        <v>0.13</v>
      </c>
      <c r="N1385" s="1">
        <v>1.1327</v>
      </c>
      <c r="O1385" s="1">
        <v>384.0</v>
      </c>
      <c r="P1385" s="1">
        <v>20712.0</v>
      </c>
      <c r="Q1385" s="1">
        <v>0.1348</v>
      </c>
      <c r="R1385" s="1">
        <v>12544.0</v>
      </c>
    </row>
    <row r="1386">
      <c r="A1386" s="663" t="s">
        <v>2351</v>
      </c>
      <c r="B1386" s="663" t="s">
        <v>1192</v>
      </c>
      <c r="C1386" s="663" t="s">
        <v>53</v>
      </c>
      <c r="D1386" s="663" t="s">
        <v>599</v>
      </c>
      <c r="E1386" s="664" t="s">
        <v>7</v>
      </c>
      <c r="F1386" s="665">
        <v>2849.0</v>
      </c>
      <c r="G1386" s="665">
        <v>93.0</v>
      </c>
      <c r="H1386" s="665">
        <v>3.26</v>
      </c>
      <c r="I1386" s="665">
        <v>0.46</v>
      </c>
      <c r="J1386" s="665">
        <v>0.45</v>
      </c>
      <c r="K1386" s="665">
        <v>96.0</v>
      </c>
      <c r="L1386" s="665">
        <v>20712.0</v>
      </c>
      <c r="M1386" s="665">
        <v>0.03</v>
      </c>
      <c r="N1386" s="1">
        <v>1.0323</v>
      </c>
      <c r="O1386" s="1">
        <v>96.0</v>
      </c>
      <c r="P1386" s="1">
        <v>20712.0</v>
      </c>
      <c r="Q1386" s="1">
        <v>0.0337</v>
      </c>
      <c r="R1386" s="1">
        <v>12544.0</v>
      </c>
    </row>
    <row r="1387">
      <c r="A1387" s="663" t="s">
        <v>2351</v>
      </c>
      <c r="B1387" s="663" t="s">
        <v>1192</v>
      </c>
      <c r="C1387" s="663" t="s">
        <v>53</v>
      </c>
      <c r="D1387" s="663" t="s">
        <v>599</v>
      </c>
      <c r="E1387" s="664" t="s">
        <v>151</v>
      </c>
      <c r="F1387" s="665">
        <v>2849.0</v>
      </c>
      <c r="G1387" s="665">
        <v>2.0</v>
      </c>
      <c r="H1387" s="665">
        <v>0.07</v>
      </c>
      <c r="I1387" s="665">
        <v>0.01</v>
      </c>
      <c r="J1387" s="665">
        <v>0.04</v>
      </c>
      <c r="K1387" s="665">
        <v>2.0</v>
      </c>
      <c r="L1387" s="665">
        <v>20712.0</v>
      </c>
      <c r="M1387" s="665">
        <v>0.0</v>
      </c>
      <c r="N1387" s="1">
        <v>1.0</v>
      </c>
      <c r="O1387" s="1">
        <v>2.0</v>
      </c>
      <c r="P1387" s="1">
        <v>20712.0</v>
      </c>
      <c r="Q1387" s="1">
        <v>7.0E-4</v>
      </c>
      <c r="R1387" s="1">
        <v>12544.0</v>
      </c>
    </row>
    <row r="1388">
      <c r="A1388" s="663" t="s">
        <v>2351</v>
      </c>
      <c r="B1388" s="663" t="s">
        <v>1192</v>
      </c>
      <c r="C1388" s="663" t="s">
        <v>53</v>
      </c>
      <c r="D1388" s="663" t="s">
        <v>599</v>
      </c>
      <c r="E1388" s="664" t="s">
        <v>73</v>
      </c>
      <c r="F1388" s="665">
        <v>2849.0</v>
      </c>
      <c r="G1388" s="665">
        <v>2.0</v>
      </c>
      <c r="H1388" s="665">
        <v>0.07</v>
      </c>
      <c r="I1388" s="665">
        <v>0.01</v>
      </c>
      <c r="J1388" s="665">
        <v>0.0</v>
      </c>
      <c r="K1388" s="665">
        <v>3.0</v>
      </c>
      <c r="L1388" s="665">
        <v>20712.0</v>
      </c>
      <c r="M1388" s="665">
        <v>0.0</v>
      </c>
      <c r="N1388" s="1">
        <v>1.5</v>
      </c>
      <c r="O1388" s="1">
        <v>3.0</v>
      </c>
      <c r="P1388" s="1">
        <v>20712.0</v>
      </c>
      <c r="Q1388" s="1">
        <v>0.0011</v>
      </c>
      <c r="R1388" s="1">
        <v>12544.0</v>
      </c>
    </row>
    <row r="1389">
      <c r="A1389" s="663" t="s">
        <v>2351</v>
      </c>
      <c r="B1389" s="663" t="s">
        <v>1192</v>
      </c>
      <c r="C1389" s="663" t="s">
        <v>53</v>
      </c>
      <c r="D1389" s="663" t="s">
        <v>599</v>
      </c>
      <c r="E1389" s="664" t="s">
        <v>206</v>
      </c>
      <c r="F1389" s="665">
        <v>2849.0</v>
      </c>
      <c r="G1389" s="665">
        <v>1.0</v>
      </c>
      <c r="H1389" s="665">
        <v>0.04</v>
      </c>
      <c r="I1389" s="665">
        <v>0.0</v>
      </c>
      <c r="J1389" s="665">
        <v>0.0</v>
      </c>
      <c r="K1389" s="665">
        <v>1.0</v>
      </c>
      <c r="L1389" s="665">
        <v>20712.0</v>
      </c>
      <c r="M1389" s="665">
        <v>0.0</v>
      </c>
      <c r="N1389" s="1">
        <v>1.0</v>
      </c>
      <c r="O1389" s="1">
        <v>1.0</v>
      </c>
      <c r="P1389" s="1">
        <v>20712.0</v>
      </c>
      <c r="Q1389" s="1">
        <v>4.0E-4</v>
      </c>
      <c r="R1389" s="1">
        <v>12544.0</v>
      </c>
    </row>
    <row r="1390">
      <c r="A1390" s="663" t="s">
        <v>2351</v>
      </c>
      <c r="B1390" s="663" t="s">
        <v>1192</v>
      </c>
      <c r="C1390" s="663" t="s">
        <v>52</v>
      </c>
      <c r="D1390" s="663" t="s">
        <v>599</v>
      </c>
      <c r="E1390" s="664" t="s">
        <v>14</v>
      </c>
      <c r="F1390" s="665">
        <v>2966.0</v>
      </c>
      <c r="G1390" s="665">
        <v>2130.0</v>
      </c>
      <c r="H1390" s="665">
        <v>71.81</v>
      </c>
      <c r="I1390" s="665">
        <v>25.45</v>
      </c>
      <c r="J1390" s="665">
        <v>25.33</v>
      </c>
      <c r="K1390" s="665">
        <v>7095.0</v>
      </c>
      <c r="L1390" s="665">
        <v>27882.0</v>
      </c>
      <c r="M1390" s="665">
        <v>2.39</v>
      </c>
      <c r="N1390" s="1">
        <v>3.331</v>
      </c>
      <c r="O1390" s="1">
        <v>7095.0</v>
      </c>
      <c r="P1390" s="1">
        <v>27882.0</v>
      </c>
      <c r="Q1390" s="1">
        <v>2.3921</v>
      </c>
      <c r="R1390" s="1">
        <v>12544.0</v>
      </c>
    </row>
    <row r="1391">
      <c r="A1391" s="663" t="s">
        <v>2351</v>
      </c>
      <c r="B1391" s="663" t="s">
        <v>1192</v>
      </c>
      <c r="C1391" s="663" t="s">
        <v>52</v>
      </c>
      <c r="D1391" s="663" t="s">
        <v>599</v>
      </c>
      <c r="E1391" s="664" t="s">
        <v>418</v>
      </c>
      <c r="F1391" s="665">
        <v>2966.0</v>
      </c>
      <c r="G1391" s="665">
        <v>1893.0</v>
      </c>
      <c r="H1391" s="665">
        <v>63.82</v>
      </c>
      <c r="I1391" s="665">
        <v>11.89</v>
      </c>
      <c r="J1391" s="665">
        <v>12.15</v>
      </c>
      <c r="K1391" s="665">
        <v>3316.0</v>
      </c>
      <c r="L1391" s="665">
        <v>27882.0</v>
      </c>
      <c r="M1391" s="665">
        <v>1.12</v>
      </c>
      <c r="N1391" s="1">
        <v>1.7517</v>
      </c>
      <c r="O1391" s="1">
        <v>3316.0</v>
      </c>
      <c r="P1391" s="1">
        <v>27882.0</v>
      </c>
      <c r="Q1391" s="1">
        <v>1.118</v>
      </c>
      <c r="R1391" s="1">
        <v>12544.0</v>
      </c>
    </row>
    <row r="1392">
      <c r="A1392" s="663" t="s">
        <v>2351</v>
      </c>
      <c r="B1392" s="663" t="s">
        <v>1192</v>
      </c>
      <c r="C1392" s="663" t="s">
        <v>52</v>
      </c>
      <c r="D1392" s="663" t="s">
        <v>599</v>
      </c>
      <c r="E1392" s="664" t="s">
        <v>398</v>
      </c>
      <c r="F1392" s="665">
        <v>2966.0</v>
      </c>
      <c r="G1392" s="665">
        <v>1573.0</v>
      </c>
      <c r="H1392" s="665">
        <v>53.03</v>
      </c>
      <c r="I1392" s="665">
        <v>8.57</v>
      </c>
      <c r="J1392" s="665">
        <v>12.07</v>
      </c>
      <c r="K1392" s="665">
        <v>2390.0</v>
      </c>
      <c r="L1392" s="665">
        <v>27882.0</v>
      </c>
      <c r="M1392" s="665">
        <v>0.81</v>
      </c>
      <c r="N1392" s="1">
        <v>1.5194</v>
      </c>
      <c r="O1392" s="1">
        <v>2390.0</v>
      </c>
      <c r="P1392" s="1">
        <v>27882.0</v>
      </c>
      <c r="Q1392" s="1">
        <v>0.8058</v>
      </c>
      <c r="R1392" s="1">
        <v>12544.0</v>
      </c>
    </row>
    <row r="1393">
      <c r="A1393" s="663" t="s">
        <v>2351</v>
      </c>
      <c r="B1393" s="663" t="s">
        <v>1192</v>
      </c>
      <c r="C1393" s="663" t="s">
        <v>52</v>
      </c>
      <c r="D1393" s="663" t="s">
        <v>599</v>
      </c>
      <c r="E1393" s="664" t="s">
        <v>397</v>
      </c>
      <c r="F1393" s="665">
        <v>2966.0</v>
      </c>
      <c r="G1393" s="665">
        <v>1442.0</v>
      </c>
      <c r="H1393" s="665">
        <v>48.62</v>
      </c>
      <c r="I1393" s="665">
        <v>8.15</v>
      </c>
      <c r="J1393" s="665">
        <v>7.72</v>
      </c>
      <c r="K1393" s="665">
        <v>2273.0</v>
      </c>
      <c r="L1393" s="665">
        <v>27882.0</v>
      </c>
      <c r="M1393" s="665">
        <v>0.77</v>
      </c>
      <c r="N1393" s="1">
        <v>1.5763</v>
      </c>
      <c r="O1393" s="1">
        <v>2273.0</v>
      </c>
      <c r="P1393" s="1">
        <v>27882.0</v>
      </c>
      <c r="Q1393" s="1">
        <v>0.7664</v>
      </c>
      <c r="R1393" s="1">
        <v>12544.0</v>
      </c>
    </row>
    <row r="1394">
      <c r="A1394" s="663" t="s">
        <v>2351</v>
      </c>
      <c r="B1394" s="663" t="s">
        <v>1192</v>
      </c>
      <c r="C1394" s="663" t="s">
        <v>52</v>
      </c>
      <c r="D1394" s="663" t="s">
        <v>599</v>
      </c>
      <c r="E1394" s="664" t="s">
        <v>396</v>
      </c>
      <c r="F1394" s="665">
        <v>2966.0</v>
      </c>
      <c r="G1394" s="665">
        <v>1210.0</v>
      </c>
      <c r="H1394" s="665">
        <v>40.8</v>
      </c>
      <c r="I1394" s="665">
        <v>6.53</v>
      </c>
      <c r="J1394" s="665">
        <v>7.23</v>
      </c>
      <c r="K1394" s="665">
        <v>1820.0</v>
      </c>
      <c r="L1394" s="665">
        <v>27882.0</v>
      </c>
      <c r="M1394" s="665">
        <v>0.61</v>
      </c>
      <c r="N1394" s="1">
        <v>1.5041</v>
      </c>
      <c r="O1394" s="1">
        <v>1820.0</v>
      </c>
      <c r="P1394" s="1">
        <v>27882.0</v>
      </c>
      <c r="Q1394" s="1">
        <v>0.6136</v>
      </c>
      <c r="R1394" s="1">
        <v>12544.0</v>
      </c>
    </row>
    <row r="1395">
      <c r="A1395" s="663" t="s">
        <v>2351</v>
      </c>
      <c r="B1395" s="663" t="s">
        <v>1192</v>
      </c>
      <c r="C1395" s="663" t="s">
        <v>52</v>
      </c>
      <c r="D1395" s="663" t="s">
        <v>599</v>
      </c>
      <c r="E1395" s="664" t="s">
        <v>15</v>
      </c>
      <c r="F1395" s="665">
        <v>2966.0</v>
      </c>
      <c r="G1395" s="665">
        <v>882.0</v>
      </c>
      <c r="H1395" s="665">
        <v>29.74</v>
      </c>
      <c r="I1395" s="665">
        <v>5.65</v>
      </c>
      <c r="J1395" s="665">
        <v>5.24</v>
      </c>
      <c r="K1395" s="665">
        <v>1574.0</v>
      </c>
      <c r="L1395" s="665">
        <v>27882.0</v>
      </c>
      <c r="M1395" s="665">
        <v>0.53</v>
      </c>
      <c r="N1395" s="1">
        <v>1.7846</v>
      </c>
      <c r="O1395" s="1">
        <v>1574.0</v>
      </c>
      <c r="P1395" s="1">
        <v>27882.0</v>
      </c>
      <c r="Q1395" s="1">
        <v>0.5307</v>
      </c>
      <c r="R1395" s="1">
        <v>12544.0</v>
      </c>
    </row>
    <row r="1396">
      <c r="A1396" s="663" t="s">
        <v>2351</v>
      </c>
      <c r="B1396" s="663" t="s">
        <v>1192</v>
      </c>
      <c r="C1396" s="663" t="s">
        <v>52</v>
      </c>
      <c r="D1396" s="663" t="s">
        <v>599</v>
      </c>
      <c r="E1396" s="664" t="s">
        <v>51</v>
      </c>
      <c r="F1396" s="665">
        <v>2966.0</v>
      </c>
      <c r="G1396" s="665">
        <v>865.0</v>
      </c>
      <c r="H1396" s="665">
        <v>29.16</v>
      </c>
      <c r="I1396" s="665">
        <v>4.88</v>
      </c>
      <c r="J1396" s="665">
        <v>4.19</v>
      </c>
      <c r="K1396" s="665">
        <v>1360.0</v>
      </c>
      <c r="L1396" s="665">
        <v>27882.0</v>
      </c>
      <c r="M1396" s="665">
        <v>0.46</v>
      </c>
      <c r="N1396" s="1">
        <v>1.5723</v>
      </c>
      <c r="O1396" s="1">
        <v>1360.0</v>
      </c>
      <c r="P1396" s="1">
        <v>27882.0</v>
      </c>
      <c r="Q1396" s="1">
        <v>0.4585</v>
      </c>
      <c r="R1396" s="1">
        <v>12544.0</v>
      </c>
    </row>
    <row r="1397">
      <c r="A1397" s="663" t="s">
        <v>2351</v>
      </c>
      <c r="B1397" s="663" t="s">
        <v>1192</v>
      </c>
      <c r="C1397" s="663" t="s">
        <v>52</v>
      </c>
      <c r="D1397" s="663" t="s">
        <v>599</v>
      </c>
      <c r="E1397" s="664" t="s">
        <v>393</v>
      </c>
      <c r="F1397" s="665">
        <v>2966.0</v>
      </c>
      <c r="G1397" s="665">
        <v>671.0</v>
      </c>
      <c r="H1397" s="665">
        <v>22.62</v>
      </c>
      <c r="I1397" s="665">
        <v>4.73</v>
      </c>
      <c r="J1397" s="665">
        <v>3.9</v>
      </c>
      <c r="K1397" s="665">
        <v>1320.0</v>
      </c>
      <c r="L1397" s="665">
        <v>27882.0</v>
      </c>
      <c r="M1397" s="665">
        <v>0.45</v>
      </c>
      <c r="N1397" s="1">
        <v>1.9672</v>
      </c>
      <c r="O1397" s="1">
        <v>1320.0</v>
      </c>
      <c r="P1397" s="1">
        <v>27882.0</v>
      </c>
      <c r="Q1397" s="1">
        <v>0.445</v>
      </c>
      <c r="R1397" s="1">
        <v>12544.0</v>
      </c>
    </row>
    <row r="1398">
      <c r="A1398" s="663" t="s">
        <v>2351</v>
      </c>
      <c r="B1398" s="663" t="s">
        <v>1192</v>
      </c>
      <c r="C1398" s="663" t="s">
        <v>52</v>
      </c>
      <c r="D1398" s="663" t="s">
        <v>599</v>
      </c>
      <c r="E1398" s="664" t="s">
        <v>413</v>
      </c>
      <c r="F1398" s="665">
        <v>2966.0</v>
      </c>
      <c r="G1398" s="665">
        <v>754.0</v>
      </c>
      <c r="H1398" s="665">
        <v>25.42</v>
      </c>
      <c r="I1398" s="665">
        <v>4.73</v>
      </c>
      <c r="J1398" s="665">
        <v>3.87</v>
      </c>
      <c r="K1398" s="665">
        <v>1318.0</v>
      </c>
      <c r="L1398" s="665">
        <v>27882.0</v>
      </c>
      <c r="M1398" s="665">
        <v>0.44</v>
      </c>
      <c r="N1398" s="1">
        <v>1.748</v>
      </c>
      <c r="O1398" s="1">
        <v>1318.0</v>
      </c>
      <c r="P1398" s="1">
        <v>27882.0</v>
      </c>
      <c r="Q1398" s="1">
        <v>0.4444</v>
      </c>
      <c r="R1398" s="1">
        <v>12544.0</v>
      </c>
    </row>
    <row r="1399">
      <c r="A1399" s="663" t="s">
        <v>2351</v>
      </c>
      <c r="B1399" s="663" t="s">
        <v>1192</v>
      </c>
      <c r="C1399" s="663" t="s">
        <v>52</v>
      </c>
      <c r="D1399" s="663" t="s">
        <v>599</v>
      </c>
      <c r="E1399" s="664" t="s">
        <v>411</v>
      </c>
      <c r="F1399" s="665">
        <v>2966.0</v>
      </c>
      <c r="G1399" s="665">
        <v>579.0</v>
      </c>
      <c r="H1399" s="665">
        <v>19.52</v>
      </c>
      <c r="I1399" s="665">
        <v>3.3</v>
      </c>
      <c r="J1399" s="665">
        <v>2.88</v>
      </c>
      <c r="K1399" s="665">
        <v>919.0</v>
      </c>
      <c r="L1399" s="665">
        <v>27882.0</v>
      </c>
      <c r="M1399" s="665">
        <v>0.31</v>
      </c>
      <c r="N1399" s="1">
        <v>1.5872</v>
      </c>
      <c r="O1399" s="1">
        <v>919.0</v>
      </c>
      <c r="P1399" s="1">
        <v>27882.0</v>
      </c>
      <c r="Q1399" s="1">
        <v>0.3098</v>
      </c>
      <c r="R1399" s="1">
        <v>12544.0</v>
      </c>
    </row>
    <row r="1400">
      <c r="A1400" s="663" t="s">
        <v>2351</v>
      </c>
      <c r="B1400" s="663" t="s">
        <v>1192</v>
      </c>
      <c r="C1400" s="663" t="s">
        <v>52</v>
      </c>
      <c r="D1400" s="663" t="s">
        <v>599</v>
      </c>
      <c r="E1400" s="664" t="s">
        <v>16</v>
      </c>
      <c r="F1400" s="665">
        <v>2966.0</v>
      </c>
      <c r="G1400" s="665">
        <v>697.0</v>
      </c>
      <c r="H1400" s="665">
        <v>23.5</v>
      </c>
      <c r="I1400" s="665">
        <v>3.19</v>
      </c>
      <c r="J1400" s="665">
        <v>3.57</v>
      </c>
      <c r="K1400" s="665">
        <v>889.0</v>
      </c>
      <c r="L1400" s="665">
        <v>27882.0</v>
      </c>
      <c r="M1400" s="665">
        <v>0.3</v>
      </c>
      <c r="N1400" s="1">
        <v>1.2755</v>
      </c>
      <c r="O1400" s="1">
        <v>889.0</v>
      </c>
      <c r="P1400" s="1">
        <v>27882.0</v>
      </c>
      <c r="Q1400" s="1">
        <v>0.2997</v>
      </c>
      <c r="R1400" s="1">
        <v>12544.0</v>
      </c>
    </row>
    <row r="1401">
      <c r="A1401" s="663" t="s">
        <v>2351</v>
      </c>
      <c r="B1401" s="663" t="s">
        <v>1192</v>
      </c>
      <c r="C1401" s="663" t="s">
        <v>52</v>
      </c>
      <c r="D1401" s="663" t="s">
        <v>599</v>
      </c>
      <c r="E1401" s="664" t="s">
        <v>9</v>
      </c>
      <c r="F1401" s="665">
        <v>2966.0</v>
      </c>
      <c r="G1401" s="665">
        <v>652.0</v>
      </c>
      <c r="H1401" s="665">
        <v>21.98</v>
      </c>
      <c r="I1401" s="665">
        <v>2.87</v>
      </c>
      <c r="J1401" s="665">
        <v>1.97</v>
      </c>
      <c r="K1401" s="665">
        <v>801.0</v>
      </c>
      <c r="L1401" s="665">
        <v>27882.0</v>
      </c>
      <c r="M1401" s="665">
        <v>0.27</v>
      </c>
      <c r="N1401" s="1">
        <v>1.2285</v>
      </c>
      <c r="O1401" s="1">
        <v>801.0</v>
      </c>
      <c r="P1401" s="1">
        <v>27882.0</v>
      </c>
      <c r="Q1401" s="1">
        <v>0.2701</v>
      </c>
      <c r="R1401" s="1">
        <v>12544.0</v>
      </c>
    </row>
    <row r="1402">
      <c r="A1402" s="663" t="s">
        <v>2351</v>
      </c>
      <c r="B1402" s="663" t="s">
        <v>1192</v>
      </c>
      <c r="C1402" s="663" t="s">
        <v>52</v>
      </c>
      <c r="D1402" s="663" t="s">
        <v>599</v>
      </c>
      <c r="E1402" s="664" t="s">
        <v>63</v>
      </c>
      <c r="F1402" s="665">
        <v>2966.0</v>
      </c>
      <c r="G1402" s="665">
        <v>566.0</v>
      </c>
      <c r="H1402" s="665">
        <v>19.08</v>
      </c>
      <c r="I1402" s="665">
        <v>2.44</v>
      </c>
      <c r="J1402" s="665">
        <v>2.53</v>
      </c>
      <c r="K1402" s="665">
        <v>679.0</v>
      </c>
      <c r="L1402" s="665">
        <v>27882.0</v>
      </c>
      <c r="M1402" s="665">
        <v>0.23</v>
      </c>
      <c r="N1402" s="1">
        <v>1.1996</v>
      </c>
      <c r="O1402" s="1">
        <v>679.0</v>
      </c>
      <c r="P1402" s="1">
        <v>27882.0</v>
      </c>
      <c r="Q1402" s="1">
        <v>0.2289</v>
      </c>
      <c r="R1402" s="1">
        <v>12544.0</v>
      </c>
    </row>
    <row r="1403">
      <c r="A1403" s="663" t="s">
        <v>2351</v>
      </c>
      <c r="B1403" s="663" t="s">
        <v>1192</v>
      </c>
      <c r="C1403" s="663" t="s">
        <v>52</v>
      </c>
      <c r="D1403" s="663" t="s">
        <v>599</v>
      </c>
      <c r="E1403" s="664" t="s">
        <v>42</v>
      </c>
      <c r="F1403" s="665">
        <v>2966.0</v>
      </c>
      <c r="G1403" s="665">
        <v>432.0</v>
      </c>
      <c r="H1403" s="665">
        <v>14.57</v>
      </c>
      <c r="I1403" s="665">
        <v>1.91</v>
      </c>
      <c r="J1403" s="665">
        <v>1.92</v>
      </c>
      <c r="K1403" s="665">
        <v>533.0</v>
      </c>
      <c r="L1403" s="665">
        <v>27882.0</v>
      </c>
      <c r="M1403" s="665">
        <v>0.18</v>
      </c>
      <c r="N1403" s="1">
        <v>1.2338</v>
      </c>
      <c r="O1403" s="1">
        <v>533.0</v>
      </c>
      <c r="P1403" s="1">
        <v>27882.0</v>
      </c>
      <c r="Q1403" s="1">
        <v>0.1797</v>
      </c>
      <c r="R1403" s="1">
        <v>12544.0</v>
      </c>
    </row>
    <row r="1404">
      <c r="A1404" s="663" t="s">
        <v>2351</v>
      </c>
      <c r="B1404" s="663" t="s">
        <v>1192</v>
      </c>
      <c r="C1404" s="663" t="s">
        <v>52</v>
      </c>
      <c r="D1404" s="663" t="s">
        <v>599</v>
      </c>
      <c r="E1404" s="664" t="s">
        <v>338</v>
      </c>
      <c r="F1404" s="665">
        <v>2966.0</v>
      </c>
      <c r="G1404" s="665">
        <v>420.0</v>
      </c>
      <c r="H1404" s="665">
        <v>14.16</v>
      </c>
      <c r="I1404" s="665">
        <v>1.79</v>
      </c>
      <c r="J1404" s="665">
        <v>1.54</v>
      </c>
      <c r="K1404" s="665">
        <v>498.0</v>
      </c>
      <c r="L1404" s="665">
        <v>27882.0</v>
      </c>
      <c r="M1404" s="665">
        <v>0.17</v>
      </c>
      <c r="N1404" s="1">
        <v>1.1857</v>
      </c>
      <c r="O1404" s="1">
        <v>498.0</v>
      </c>
      <c r="P1404" s="1">
        <v>27882.0</v>
      </c>
      <c r="Q1404" s="1">
        <v>0.1679</v>
      </c>
      <c r="R1404" s="1">
        <v>12544.0</v>
      </c>
    </row>
    <row r="1405">
      <c r="A1405" s="663" t="s">
        <v>2351</v>
      </c>
      <c r="B1405" s="663" t="s">
        <v>1192</v>
      </c>
      <c r="C1405" s="663" t="s">
        <v>52</v>
      </c>
      <c r="D1405" s="663" t="s">
        <v>599</v>
      </c>
      <c r="E1405" s="664" t="s">
        <v>329</v>
      </c>
      <c r="F1405" s="665">
        <v>2966.0</v>
      </c>
      <c r="G1405" s="665">
        <v>399.0</v>
      </c>
      <c r="H1405" s="665">
        <v>13.45</v>
      </c>
      <c r="I1405" s="665">
        <v>1.66</v>
      </c>
      <c r="J1405" s="665">
        <v>1.69</v>
      </c>
      <c r="K1405" s="665">
        <v>462.0</v>
      </c>
      <c r="L1405" s="665">
        <v>27882.0</v>
      </c>
      <c r="M1405" s="665">
        <v>0.16</v>
      </c>
      <c r="N1405" s="1">
        <v>1.1579</v>
      </c>
      <c r="O1405" s="1">
        <v>462.0</v>
      </c>
      <c r="P1405" s="1">
        <v>27882.0</v>
      </c>
      <c r="Q1405" s="1">
        <v>0.1558</v>
      </c>
      <c r="R1405" s="1">
        <v>12544.0</v>
      </c>
    </row>
    <row r="1406">
      <c r="A1406" s="663" t="s">
        <v>2351</v>
      </c>
      <c r="B1406" s="663" t="s">
        <v>1192</v>
      </c>
      <c r="C1406" s="663" t="s">
        <v>52</v>
      </c>
      <c r="D1406" s="663" t="s">
        <v>599</v>
      </c>
      <c r="E1406" s="664" t="s">
        <v>341</v>
      </c>
      <c r="F1406" s="665">
        <v>2966.0</v>
      </c>
      <c r="G1406" s="665">
        <v>359.0</v>
      </c>
      <c r="H1406" s="665">
        <v>12.1</v>
      </c>
      <c r="I1406" s="665">
        <v>1.51</v>
      </c>
      <c r="J1406" s="665">
        <v>1.56</v>
      </c>
      <c r="K1406" s="665">
        <v>422.0</v>
      </c>
      <c r="L1406" s="665">
        <v>27882.0</v>
      </c>
      <c r="M1406" s="665">
        <v>0.14</v>
      </c>
      <c r="N1406" s="1">
        <v>1.1755</v>
      </c>
      <c r="O1406" s="1">
        <v>422.0</v>
      </c>
      <c r="P1406" s="1">
        <v>27882.0</v>
      </c>
      <c r="Q1406" s="1">
        <v>0.1423</v>
      </c>
      <c r="R1406" s="1">
        <v>12544.0</v>
      </c>
    </row>
    <row r="1407">
      <c r="A1407" s="663" t="s">
        <v>2351</v>
      </c>
      <c r="B1407" s="663" t="s">
        <v>1192</v>
      </c>
      <c r="C1407" s="663" t="s">
        <v>52</v>
      </c>
      <c r="D1407" s="663" t="s">
        <v>599</v>
      </c>
      <c r="E1407" s="664" t="s">
        <v>7</v>
      </c>
      <c r="F1407" s="665">
        <v>2966.0</v>
      </c>
      <c r="G1407" s="665">
        <v>194.0</v>
      </c>
      <c r="H1407" s="665">
        <v>6.54</v>
      </c>
      <c r="I1407" s="665">
        <v>0.74</v>
      </c>
      <c r="J1407" s="665">
        <v>0.62</v>
      </c>
      <c r="K1407" s="665">
        <v>205.0</v>
      </c>
      <c r="L1407" s="665">
        <v>27882.0</v>
      </c>
      <c r="M1407" s="665">
        <v>0.07</v>
      </c>
      <c r="N1407" s="1">
        <v>1.0567</v>
      </c>
      <c r="O1407" s="1">
        <v>205.0</v>
      </c>
      <c r="P1407" s="1">
        <v>27882.0</v>
      </c>
      <c r="Q1407" s="1">
        <v>0.0691</v>
      </c>
      <c r="R1407" s="1">
        <v>12544.0</v>
      </c>
    </row>
    <row r="1408">
      <c r="A1408" s="663" t="s">
        <v>2351</v>
      </c>
      <c r="B1408" s="663" t="s">
        <v>1192</v>
      </c>
      <c r="C1408" s="663" t="s">
        <v>52</v>
      </c>
      <c r="D1408" s="663" t="s">
        <v>599</v>
      </c>
      <c r="E1408" s="664" t="s">
        <v>206</v>
      </c>
      <c r="F1408" s="665">
        <v>2966.0</v>
      </c>
      <c r="G1408" s="665">
        <v>5.0</v>
      </c>
      <c r="H1408" s="665">
        <v>0.17</v>
      </c>
      <c r="I1408" s="665">
        <v>0.02</v>
      </c>
      <c r="J1408" s="665">
        <v>0.02</v>
      </c>
      <c r="K1408" s="665">
        <v>5.0</v>
      </c>
      <c r="L1408" s="665">
        <v>27882.0</v>
      </c>
      <c r="M1408" s="665">
        <v>0.0</v>
      </c>
      <c r="N1408" s="1">
        <v>1.0</v>
      </c>
      <c r="O1408" s="1">
        <v>5.0</v>
      </c>
      <c r="P1408" s="1">
        <v>27882.0</v>
      </c>
      <c r="Q1408" s="1">
        <v>0.0017</v>
      </c>
      <c r="R1408" s="1">
        <v>12544.0</v>
      </c>
    </row>
    <row r="1409">
      <c r="A1409" s="663" t="s">
        <v>2351</v>
      </c>
      <c r="B1409" s="663" t="s">
        <v>1192</v>
      </c>
      <c r="C1409" s="663" t="s">
        <v>52</v>
      </c>
      <c r="D1409" s="663" t="s">
        <v>599</v>
      </c>
      <c r="E1409" s="664" t="s">
        <v>401</v>
      </c>
      <c r="F1409" s="665">
        <v>2966.0</v>
      </c>
      <c r="G1409" s="665">
        <v>2.0</v>
      </c>
      <c r="H1409" s="665">
        <v>0.07</v>
      </c>
      <c r="I1409" s="665">
        <v>0.01</v>
      </c>
      <c r="J1409" s="665">
        <v>0.01</v>
      </c>
      <c r="K1409" s="665">
        <v>3.0</v>
      </c>
      <c r="L1409" s="665">
        <v>27882.0</v>
      </c>
      <c r="M1409" s="665">
        <v>0.0</v>
      </c>
      <c r="N1409" s="1">
        <v>1.5</v>
      </c>
      <c r="O1409" s="1">
        <v>3.0</v>
      </c>
      <c r="P1409" s="1">
        <v>27882.0</v>
      </c>
      <c r="Q1409" s="1">
        <v>0.001</v>
      </c>
      <c r="R1409" s="1">
        <v>12544.0</v>
      </c>
    </row>
    <row r="1410">
      <c r="A1410" s="663" t="s">
        <v>2351</v>
      </c>
      <c r="B1410" s="663" t="s">
        <v>1192</v>
      </c>
      <c r="C1410" s="663" t="s">
        <v>1209</v>
      </c>
      <c r="D1410" s="663" t="s">
        <v>2234</v>
      </c>
      <c r="E1410" s="664" t="s">
        <v>413</v>
      </c>
      <c r="F1410" s="665">
        <v>959.0</v>
      </c>
      <c r="G1410" s="665">
        <v>299.0</v>
      </c>
      <c r="H1410" s="665">
        <v>31.18</v>
      </c>
      <c r="I1410" s="665">
        <v>34.91</v>
      </c>
      <c r="J1410" s="665">
        <v>24.16</v>
      </c>
      <c r="K1410" s="665">
        <v>8025.0</v>
      </c>
      <c r="L1410" s="665">
        <v>22990.0</v>
      </c>
      <c r="M1410" s="665">
        <v>8.37</v>
      </c>
      <c r="N1410" s="1">
        <v>26.8395</v>
      </c>
      <c r="O1410" s="1">
        <v>8025.0</v>
      </c>
      <c r="P1410" s="1">
        <v>22990.0</v>
      </c>
      <c r="Q1410" s="1">
        <v>8.3681</v>
      </c>
      <c r="R1410" s="1">
        <v>12544.0</v>
      </c>
    </row>
    <row r="1411">
      <c r="A1411" s="663" t="s">
        <v>2351</v>
      </c>
      <c r="B1411" s="663" t="s">
        <v>1192</v>
      </c>
      <c r="C1411" s="663" t="s">
        <v>1209</v>
      </c>
      <c r="D1411" s="663" t="s">
        <v>2234</v>
      </c>
      <c r="E1411" s="664" t="s">
        <v>397</v>
      </c>
      <c r="F1411" s="665">
        <v>959.0</v>
      </c>
      <c r="G1411" s="665">
        <v>220.0</v>
      </c>
      <c r="H1411" s="665">
        <v>22.94</v>
      </c>
      <c r="I1411" s="665">
        <v>29.1</v>
      </c>
      <c r="J1411" s="665">
        <v>18.62</v>
      </c>
      <c r="K1411" s="665">
        <v>6690.0</v>
      </c>
      <c r="L1411" s="665">
        <v>22990.0</v>
      </c>
      <c r="M1411" s="665">
        <v>6.98</v>
      </c>
      <c r="N1411" s="1">
        <v>30.4091</v>
      </c>
      <c r="O1411" s="1">
        <v>6690.0</v>
      </c>
      <c r="P1411" s="1">
        <v>22990.0</v>
      </c>
      <c r="Q1411" s="1">
        <v>6.976</v>
      </c>
      <c r="R1411" s="1">
        <v>12544.0</v>
      </c>
    </row>
    <row r="1412">
      <c r="A1412" s="663" t="s">
        <v>2351</v>
      </c>
      <c r="B1412" s="663" t="s">
        <v>1192</v>
      </c>
      <c r="C1412" s="663" t="s">
        <v>1209</v>
      </c>
      <c r="D1412" s="663" t="s">
        <v>2234</v>
      </c>
      <c r="E1412" s="664" t="s">
        <v>401</v>
      </c>
      <c r="F1412" s="665">
        <v>959.0</v>
      </c>
      <c r="G1412" s="665">
        <v>367.0</v>
      </c>
      <c r="H1412" s="665">
        <v>38.27</v>
      </c>
      <c r="I1412" s="665">
        <v>17.05</v>
      </c>
      <c r="J1412" s="665">
        <v>27.65</v>
      </c>
      <c r="K1412" s="665">
        <v>3920.0</v>
      </c>
      <c r="L1412" s="665">
        <v>22990.0</v>
      </c>
      <c r="M1412" s="665">
        <v>4.09</v>
      </c>
      <c r="N1412" s="1">
        <v>10.6812</v>
      </c>
      <c r="O1412" s="1">
        <v>3920.0</v>
      </c>
      <c r="P1412" s="1">
        <v>22990.0</v>
      </c>
      <c r="Q1412" s="1">
        <v>4.0876</v>
      </c>
      <c r="R1412" s="1">
        <v>12544.0</v>
      </c>
    </row>
    <row r="1413">
      <c r="A1413" s="663" t="s">
        <v>2351</v>
      </c>
      <c r="B1413" s="663" t="s">
        <v>1192</v>
      </c>
      <c r="C1413" s="663" t="s">
        <v>1209</v>
      </c>
      <c r="D1413" s="663" t="s">
        <v>2234</v>
      </c>
      <c r="E1413" s="664" t="s">
        <v>206</v>
      </c>
      <c r="F1413" s="665">
        <v>959.0</v>
      </c>
      <c r="G1413" s="665">
        <v>370.0</v>
      </c>
      <c r="H1413" s="665">
        <v>38.58</v>
      </c>
      <c r="I1413" s="665">
        <v>16.59</v>
      </c>
      <c r="J1413" s="665">
        <v>27.99</v>
      </c>
      <c r="K1413" s="665">
        <v>3815.0</v>
      </c>
      <c r="L1413" s="665">
        <v>22990.0</v>
      </c>
      <c r="M1413" s="665">
        <v>3.98</v>
      </c>
      <c r="N1413" s="1">
        <v>10.3108</v>
      </c>
      <c r="O1413" s="1">
        <v>3815.0</v>
      </c>
      <c r="P1413" s="1">
        <v>22990.0</v>
      </c>
      <c r="Q1413" s="1">
        <v>3.9781</v>
      </c>
      <c r="R1413" s="1">
        <v>12544.0</v>
      </c>
    </row>
    <row r="1414">
      <c r="A1414" s="663" t="s">
        <v>2351</v>
      </c>
      <c r="B1414" s="663" t="s">
        <v>1192</v>
      </c>
      <c r="C1414" s="663" t="s">
        <v>1209</v>
      </c>
      <c r="D1414" s="663" t="s">
        <v>2234</v>
      </c>
      <c r="E1414" s="664" t="s">
        <v>411</v>
      </c>
      <c r="F1414" s="665">
        <v>959.0</v>
      </c>
      <c r="G1414" s="665">
        <v>11.0</v>
      </c>
      <c r="H1414" s="665">
        <v>1.15</v>
      </c>
      <c r="I1414" s="665">
        <v>1.7</v>
      </c>
      <c r="J1414" s="665">
        <v>1.13</v>
      </c>
      <c r="K1414" s="665">
        <v>390.0</v>
      </c>
      <c r="L1414" s="665">
        <v>22990.0</v>
      </c>
      <c r="M1414" s="665">
        <v>0.41</v>
      </c>
      <c r="N1414" s="1">
        <v>35.4545</v>
      </c>
      <c r="O1414" s="1">
        <v>390.0</v>
      </c>
      <c r="P1414" s="1">
        <v>22990.0</v>
      </c>
      <c r="Q1414" s="1">
        <v>0.4067</v>
      </c>
      <c r="R1414" s="1">
        <v>12544.0</v>
      </c>
    </row>
    <row r="1415">
      <c r="A1415" s="663" t="s">
        <v>2351</v>
      </c>
      <c r="B1415" s="663" t="s">
        <v>1192</v>
      </c>
      <c r="C1415" s="663" t="s">
        <v>1209</v>
      </c>
      <c r="D1415" s="663" t="s">
        <v>2234</v>
      </c>
      <c r="E1415" s="664" t="s">
        <v>73</v>
      </c>
      <c r="F1415" s="665">
        <v>959.0</v>
      </c>
      <c r="G1415" s="665">
        <v>9.0</v>
      </c>
      <c r="H1415" s="665">
        <v>0.94</v>
      </c>
      <c r="I1415" s="665">
        <v>0.65</v>
      </c>
      <c r="J1415" s="665">
        <v>0.46</v>
      </c>
      <c r="K1415" s="665">
        <v>150.0</v>
      </c>
      <c r="L1415" s="665">
        <v>22990.0</v>
      </c>
      <c r="M1415" s="665">
        <v>0.16</v>
      </c>
      <c r="N1415" s="1">
        <v>16.6667</v>
      </c>
      <c r="O1415" s="1">
        <v>150.0</v>
      </c>
      <c r="P1415" s="1">
        <v>22990.0</v>
      </c>
      <c r="Q1415" s="1">
        <v>0.1564</v>
      </c>
      <c r="R1415" s="1">
        <v>12544.0</v>
      </c>
    </row>
    <row r="1416">
      <c r="A1416" s="663" t="s">
        <v>2351</v>
      </c>
      <c r="B1416" s="663" t="s">
        <v>1192</v>
      </c>
      <c r="C1416" s="663" t="s">
        <v>1210</v>
      </c>
      <c r="D1416" s="663" t="s">
        <v>2234</v>
      </c>
      <c r="E1416" s="664" t="s">
        <v>413</v>
      </c>
      <c r="F1416" s="665">
        <v>1968.0</v>
      </c>
      <c r="G1416" s="665">
        <v>934.0</v>
      </c>
      <c r="H1416" s="665">
        <v>47.46</v>
      </c>
      <c r="I1416" s="665">
        <v>34.19</v>
      </c>
      <c r="J1416" s="665">
        <v>35.8</v>
      </c>
      <c r="K1416" s="665">
        <v>20490.0</v>
      </c>
      <c r="L1416" s="665">
        <v>59930.0</v>
      </c>
      <c r="M1416" s="665">
        <v>10.41</v>
      </c>
      <c r="N1416" s="1">
        <v>21.9379</v>
      </c>
      <c r="O1416" s="1">
        <v>20490.0</v>
      </c>
      <c r="P1416" s="1">
        <v>59930.0</v>
      </c>
      <c r="Q1416" s="1">
        <v>10.4116</v>
      </c>
      <c r="R1416" s="1">
        <v>12544.0</v>
      </c>
    </row>
    <row r="1417">
      <c r="A1417" s="663" t="s">
        <v>2351</v>
      </c>
      <c r="B1417" s="663" t="s">
        <v>1192</v>
      </c>
      <c r="C1417" s="663" t="s">
        <v>1210</v>
      </c>
      <c r="D1417" s="663" t="s">
        <v>2234</v>
      </c>
      <c r="E1417" s="664" t="s">
        <v>397</v>
      </c>
      <c r="F1417" s="665">
        <v>1968.0</v>
      </c>
      <c r="G1417" s="665">
        <v>241.0</v>
      </c>
      <c r="H1417" s="665">
        <v>12.25</v>
      </c>
      <c r="I1417" s="665">
        <v>24.83</v>
      </c>
      <c r="J1417" s="665">
        <v>9.2</v>
      </c>
      <c r="K1417" s="665">
        <v>14880.0</v>
      </c>
      <c r="L1417" s="665">
        <v>59930.0</v>
      </c>
      <c r="M1417" s="665">
        <v>7.56</v>
      </c>
      <c r="N1417" s="1">
        <v>61.7427</v>
      </c>
      <c r="O1417" s="1">
        <v>14880.0</v>
      </c>
      <c r="P1417" s="1">
        <v>59930.0</v>
      </c>
      <c r="Q1417" s="1">
        <v>7.561</v>
      </c>
      <c r="R1417" s="1">
        <v>12544.0</v>
      </c>
    </row>
    <row r="1418">
      <c r="A1418" s="663" t="s">
        <v>2351</v>
      </c>
      <c r="B1418" s="663" t="s">
        <v>1192</v>
      </c>
      <c r="C1418" s="663" t="s">
        <v>1210</v>
      </c>
      <c r="D1418" s="663" t="s">
        <v>2234</v>
      </c>
      <c r="E1418" s="664" t="s">
        <v>401</v>
      </c>
      <c r="F1418" s="665">
        <v>1968.0</v>
      </c>
      <c r="G1418" s="665">
        <v>725.0</v>
      </c>
      <c r="H1418" s="665">
        <v>36.84</v>
      </c>
      <c r="I1418" s="665">
        <v>13.26</v>
      </c>
      <c r="J1418" s="665">
        <v>18.93</v>
      </c>
      <c r="K1418" s="665">
        <v>7945.0</v>
      </c>
      <c r="L1418" s="665">
        <v>59930.0</v>
      </c>
      <c r="M1418" s="665">
        <v>4.04</v>
      </c>
      <c r="N1418" s="1">
        <v>10.9586</v>
      </c>
      <c r="O1418" s="1">
        <v>7945.0</v>
      </c>
      <c r="P1418" s="1">
        <v>59930.0</v>
      </c>
      <c r="Q1418" s="1">
        <v>4.0371</v>
      </c>
      <c r="R1418" s="1">
        <v>12544.0</v>
      </c>
    </row>
    <row r="1419">
      <c r="A1419" s="663" t="s">
        <v>2351</v>
      </c>
      <c r="B1419" s="663" t="s">
        <v>1192</v>
      </c>
      <c r="C1419" s="663" t="s">
        <v>1210</v>
      </c>
      <c r="D1419" s="663" t="s">
        <v>2234</v>
      </c>
      <c r="E1419" s="664" t="s">
        <v>9</v>
      </c>
      <c r="F1419" s="665">
        <v>1968.0</v>
      </c>
      <c r="G1419" s="665">
        <v>616.0</v>
      </c>
      <c r="H1419" s="665">
        <v>31.3</v>
      </c>
      <c r="I1419" s="665">
        <v>12.48</v>
      </c>
      <c r="J1419" s="665">
        <v>15.32</v>
      </c>
      <c r="K1419" s="665">
        <v>7480.0</v>
      </c>
      <c r="L1419" s="665">
        <v>59930.0</v>
      </c>
      <c r="M1419" s="665">
        <v>3.8</v>
      </c>
      <c r="N1419" s="1">
        <v>12.1429</v>
      </c>
      <c r="O1419" s="1">
        <v>7480.0</v>
      </c>
      <c r="P1419" s="1">
        <v>59930.0</v>
      </c>
      <c r="Q1419" s="1">
        <v>3.8008</v>
      </c>
      <c r="R1419" s="1">
        <v>12544.0</v>
      </c>
    </row>
    <row r="1420">
      <c r="A1420" s="663" t="s">
        <v>2351</v>
      </c>
      <c r="B1420" s="663" t="s">
        <v>1192</v>
      </c>
      <c r="C1420" s="663" t="s">
        <v>1210</v>
      </c>
      <c r="D1420" s="663" t="s">
        <v>2234</v>
      </c>
      <c r="E1420" s="664" t="s">
        <v>206</v>
      </c>
      <c r="F1420" s="665">
        <v>1968.0</v>
      </c>
      <c r="G1420" s="665">
        <v>667.0</v>
      </c>
      <c r="H1420" s="665">
        <v>33.89</v>
      </c>
      <c r="I1420" s="665">
        <v>11.56</v>
      </c>
      <c r="J1420" s="665">
        <v>17.57</v>
      </c>
      <c r="K1420" s="665">
        <v>6930.0</v>
      </c>
      <c r="L1420" s="665">
        <v>59930.0</v>
      </c>
      <c r="M1420" s="665">
        <v>3.52</v>
      </c>
      <c r="N1420" s="1">
        <v>10.3898</v>
      </c>
      <c r="O1420" s="1">
        <v>6930.0</v>
      </c>
      <c r="P1420" s="1">
        <v>59930.0</v>
      </c>
      <c r="Q1420" s="1">
        <v>3.5213</v>
      </c>
      <c r="R1420" s="1">
        <v>12544.0</v>
      </c>
    </row>
    <row r="1421">
      <c r="A1421" s="663" t="s">
        <v>2351</v>
      </c>
      <c r="B1421" s="663" t="s">
        <v>1192</v>
      </c>
      <c r="C1421" s="663" t="s">
        <v>1210</v>
      </c>
      <c r="D1421" s="663" t="s">
        <v>2234</v>
      </c>
      <c r="E1421" s="664" t="s">
        <v>14</v>
      </c>
      <c r="F1421" s="665">
        <v>1968.0</v>
      </c>
      <c r="G1421" s="665">
        <v>73.0</v>
      </c>
      <c r="H1421" s="665">
        <v>3.71</v>
      </c>
      <c r="I1421" s="665">
        <v>1.64</v>
      </c>
      <c r="J1421" s="665">
        <v>1.23</v>
      </c>
      <c r="K1421" s="665">
        <v>980.0</v>
      </c>
      <c r="L1421" s="665">
        <v>59930.0</v>
      </c>
      <c r="M1421" s="665">
        <v>0.5</v>
      </c>
      <c r="N1421" s="1">
        <v>13.4247</v>
      </c>
      <c r="O1421" s="1">
        <v>980.0</v>
      </c>
      <c r="P1421" s="1">
        <v>59930.0</v>
      </c>
      <c r="Q1421" s="1">
        <v>0.498</v>
      </c>
      <c r="R1421" s="1">
        <v>12544.0</v>
      </c>
    </row>
    <row r="1422">
      <c r="A1422" s="663" t="s">
        <v>2351</v>
      </c>
      <c r="B1422" s="663" t="s">
        <v>1192</v>
      </c>
      <c r="C1422" s="663" t="s">
        <v>1210</v>
      </c>
      <c r="D1422" s="663" t="s">
        <v>2234</v>
      </c>
      <c r="E1422" s="664" t="s">
        <v>73</v>
      </c>
      <c r="F1422" s="665">
        <v>1968.0</v>
      </c>
      <c r="G1422" s="665">
        <v>54.0</v>
      </c>
      <c r="H1422" s="665">
        <v>2.74</v>
      </c>
      <c r="I1422" s="665">
        <v>1.38</v>
      </c>
      <c r="J1422" s="665">
        <v>1.53</v>
      </c>
      <c r="K1422" s="665">
        <v>825.0</v>
      </c>
      <c r="L1422" s="665">
        <v>59930.0</v>
      </c>
      <c r="M1422" s="665">
        <v>0.42</v>
      </c>
      <c r="N1422" s="1">
        <v>15.2778</v>
      </c>
      <c r="O1422" s="1">
        <v>825.0</v>
      </c>
      <c r="P1422" s="1">
        <v>59930.0</v>
      </c>
      <c r="Q1422" s="1">
        <v>0.4192</v>
      </c>
      <c r="R1422" s="1">
        <v>12544.0</v>
      </c>
    </row>
    <row r="1423">
      <c r="A1423" s="663" t="s">
        <v>2351</v>
      </c>
      <c r="B1423" s="663" t="s">
        <v>1192</v>
      </c>
      <c r="C1423" s="663" t="s">
        <v>1210</v>
      </c>
      <c r="D1423" s="663" t="s">
        <v>2234</v>
      </c>
      <c r="E1423" s="664" t="s">
        <v>411</v>
      </c>
      <c r="F1423" s="665">
        <v>1968.0</v>
      </c>
      <c r="G1423" s="665">
        <v>11.0</v>
      </c>
      <c r="H1423" s="665">
        <v>0.56</v>
      </c>
      <c r="I1423" s="665">
        <v>0.65</v>
      </c>
      <c r="J1423" s="665">
        <v>0.42</v>
      </c>
      <c r="K1423" s="665">
        <v>390.0</v>
      </c>
      <c r="L1423" s="665">
        <v>59930.0</v>
      </c>
      <c r="M1423" s="665">
        <v>0.2</v>
      </c>
      <c r="N1423" s="1">
        <v>35.4545</v>
      </c>
      <c r="O1423" s="1">
        <v>390.0</v>
      </c>
      <c r="P1423" s="1">
        <v>59930.0</v>
      </c>
      <c r="Q1423" s="1">
        <v>0.1982</v>
      </c>
      <c r="R1423" s="1">
        <v>12544.0</v>
      </c>
    </row>
    <row r="1424">
      <c r="A1424" s="663" t="s">
        <v>2351</v>
      </c>
      <c r="B1424" s="663" t="s">
        <v>1192</v>
      </c>
      <c r="C1424" s="663" t="s">
        <v>1210</v>
      </c>
      <c r="D1424" s="663" t="s">
        <v>2234</v>
      </c>
      <c r="E1424" s="664" t="s">
        <v>151</v>
      </c>
      <c r="F1424" s="665">
        <v>1968.0</v>
      </c>
      <c r="G1424" s="665">
        <v>1.0</v>
      </c>
      <c r="H1424" s="665">
        <v>0.05</v>
      </c>
      <c r="I1424" s="665">
        <v>0.02</v>
      </c>
      <c r="J1424" s="665">
        <v>0.01</v>
      </c>
      <c r="K1424" s="665">
        <v>10.0</v>
      </c>
      <c r="L1424" s="665">
        <v>59930.0</v>
      </c>
      <c r="M1424" s="665">
        <v>0.01</v>
      </c>
      <c r="N1424" s="1">
        <v>10.0</v>
      </c>
      <c r="O1424" s="1">
        <v>10.0</v>
      </c>
      <c r="P1424" s="1">
        <v>59930.0</v>
      </c>
      <c r="Q1424" s="1">
        <v>0.0051</v>
      </c>
      <c r="R1424" s="1">
        <v>12544.0</v>
      </c>
    </row>
    <row r="1425">
      <c r="A1425" s="663" t="s">
        <v>2351</v>
      </c>
      <c r="B1425" s="663" t="s">
        <v>1192</v>
      </c>
      <c r="C1425" s="663" t="s">
        <v>1211</v>
      </c>
      <c r="D1425" s="663" t="s">
        <v>2234</v>
      </c>
      <c r="E1425" s="664" t="s">
        <v>413</v>
      </c>
      <c r="F1425" s="665">
        <v>2512.0</v>
      </c>
      <c r="G1425" s="665">
        <v>1540.0</v>
      </c>
      <c r="H1425" s="665">
        <v>61.31</v>
      </c>
      <c r="I1425" s="665">
        <v>29.71</v>
      </c>
      <c r="J1425" s="665">
        <v>33.37</v>
      </c>
      <c r="K1425" s="665">
        <v>31180.0</v>
      </c>
      <c r="L1425" s="665">
        <v>104955.0</v>
      </c>
      <c r="M1425" s="665">
        <v>12.41</v>
      </c>
      <c r="N1425" s="1">
        <v>20.2468</v>
      </c>
      <c r="O1425" s="1">
        <v>31180.0</v>
      </c>
      <c r="P1425" s="1">
        <v>104955.0</v>
      </c>
      <c r="Q1425" s="1">
        <v>12.4124</v>
      </c>
      <c r="R1425" s="1">
        <v>12544.0</v>
      </c>
    </row>
    <row r="1426">
      <c r="A1426" s="663" t="s">
        <v>2351</v>
      </c>
      <c r="B1426" s="663" t="s">
        <v>1192</v>
      </c>
      <c r="C1426" s="663" t="s">
        <v>1211</v>
      </c>
      <c r="D1426" s="663" t="s">
        <v>2234</v>
      </c>
      <c r="E1426" s="664" t="s">
        <v>14</v>
      </c>
      <c r="F1426" s="665">
        <v>2512.0</v>
      </c>
      <c r="G1426" s="665">
        <v>1469.0</v>
      </c>
      <c r="H1426" s="665">
        <v>58.48</v>
      </c>
      <c r="I1426" s="665">
        <v>23.29</v>
      </c>
      <c r="J1426" s="665">
        <v>24.32</v>
      </c>
      <c r="K1426" s="665">
        <v>24440.0</v>
      </c>
      <c r="L1426" s="665">
        <v>104955.0</v>
      </c>
      <c r="M1426" s="665">
        <v>9.73</v>
      </c>
      <c r="N1426" s="1">
        <v>16.6372</v>
      </c>
      <c r="O1426" s="1">
        <v>24440.0</v>
      </c>
      <c r="P1426" s="1">
        <v>104955.0</v>
      </c>
      <c r="Q1426" s="1">
        <v>9.7293</v>
      </c>
      <c r="R1426" s="1">
        <v>12544.0</v>
      </c>
    </row>
    <row r="1427">
      <c r="A1427" s="663" t="s">
        <v>2351</v>
      </c>
      <c r="B1427" s="663" t="s">
        <v>1192</v>
      </c>
      <c r="C1427" s="663" t="s">
        <v>1211</v>
      </c>
      <c r="D1427" s="663" t="s">
        <v>2234</v>
      </c>
      <c r="E1427" s="664" t="s">
        <v>397</v>
      </c>
      <c r="F1427" s="665">
        <v>2512.0</v>
      </c>
      <c r="G1427" s="665">
        <v>233.0</v>
      </c>
      <c r="H1427" s="665">
        <v>9.28</v>
      </c>
      <c r="I1427" s="665">
        <v>13.38</v>
      </c>
      <c r="J1427" s="665">
        <v>5.4</v>
      </c>
      <c r="K1427" s="665">
        <v>14040.0</v>
      </c>
      <c r="L1427" s="665">
        <v>104955.0</v>
      </c>
      <c r="M1427" s="665">
        <v>5.59</v>
      </c>
      <c r="N1427" s="1">
        <v>60.2575</v>
      </c>
      <c r="O1427" s="1">
        <v>14040.0</v>
      </c>
      <c r="P1427" s="1">
        <v>104955.0</v>
      </c>
      <c r="Q1427" s="1">
        <v>5.5892</v>
      </c>
      <c r="R1427" s="1">
        <v>12544.0</v>
      </c>
    </row>
    <row r="1428">
      <c r="A1428" s="663" t="s">
        <v>2351</v>
      </c>
      <c r="B1428" s="663" t="s">
        <v>1192</v>
      </c>
      <c r="C1428" s="663" t="s">
        <v>1211</v>
      </c>
      <c r="D1428" s="663" t="s">
        <v>2234</v>
      </c>
      <c r="E1428" s="664" t="s">
        <v>9</v>
      </c>
      <c r="F1428" s="665">
        <v>2512.0</v>
      </c>
      <c r="G1428" s="665">
        <v>1043.0</v>
      </c>
      <c r="H1428" s="665">
        <v>41.52</v>
      </c>
      <c r="I1428" s="665">
        <v>13.03</v>
      </c>
      <c r="J1428" s="665">
        <v>12.25</v>
      </c>
      <c r="K1428" s="665">
        <v>13680.0</v>
      </c>
      <c r="L1428" s="665">
        <v>104955.0</v>
      </c>
      <c r="M1428" s="665">
        <v>5.45</v>
      </c>
      <c r="N1428" s="1">
        <v>13.116</v>
      </c>
      <c r="O1428" s="1">
        <v>13680.0</v>
      </c>
      <c r="P1428" s="1">
        <v>104955.0</v>
      </c>
      <c r="Q1428" s="1">
        <v>5.4459</v>
      </c>
      <c r="R1428" s="1">
        <v>12544.0</v>
      </c>
    </row>
    <row r="1429">
      <c r="A1429" s="663" t="s">
        <v>2351</v>
      </c>
      <c r="B1429" s="663" t="s">
        <v>1192</v>
      </c>
      <c r="C1429" s="663" t="s">
        <v>1211</v>
      </c>
      <c r="D1429" s="663" t="s">
        <v>2234</v>
      </c>
      <c r="E1429" s="664" t="s">
        <v>401</v>
      </c>
      <c r="F1429" s="665">
        <v>2512.0</v>
      </c>
      <c r="G1429" s="665">
        <v>817.0</v>
      </c>
      <c r="H1429" s="665">
        <v>32.52</v>
      </c>
      <c r="I1429" s="665">
        <v>9.85</v>
      </c>
      <c r="J1429" s="665">
        <v>11.92</v>
      </c>
      <c r="K1429" s="665">
        <v>10335.0</v>
      </c>
      <c r="L1429" s="665">
        <v>104955.0</v>
      </c>
      <c r="M1429" s="665">
        <v>4.11</v>
      </c>
      <c r="N1429" s="1">
        <v>12.6499</v>
      </c>
      <c r="O1429" s="1">
        <v>10335.0</v>
      </c>
      <c r="P1429" s="1">
        <v>104955.0</v>
      </c>
      <c r="Q1429" s="1">
        <v>4.1143</v>
      </c>
      <c r="R1429" s="1">
        <v>12544.0</v>
      </c>
    </row>
    <row r="1430">
      <c r="A1430" s="663" t="s">
        <v>2351</v>
      </c>
      <c r="B1430" s="663" t="s">
        <v>1192</v>
      </c>
      <c r="C1430" s="663" t="s">
        <v>1211</v>
      </c>
      <c r="D1430" s="663" t="s">
        <v>2234</v>
      </c>
      <c r="E1430" s="664" t="s">
        <v>206</v>
      </c>
      <c r="F1430" s="665">
        <v>2512.0</v>
      </c>
      <c r="G1430" s="665">
        <v>728.0</v>
      </c>
      <c r="H1430" s="665">
        <v>28.98</v>
      </c>
      <c r="I1430" s="665">
        <v>7.93</v>
      </c>
      <c r="J1430" s="665">
        <v>9.78</v>
      </c>
      <c r="K1430" s="665">
        <v>8325.0</v>
      </c>
      <c r="L1430" s="665">
        <v>104955.0</v>
      </c>
      <c r="M1430" s="665">
        <v>3.31</v>
      </c>
      <c r="N1430" s="1">
        <v>11.4354</v>
      </c>
      <c r="O1430" s="1">
        <v>8325.0</v>
      </c>
      <c r="P1430" s="1">
        <v>104955.0</v>
      </c>
      <c r="Q1430" s="1">
        <v>3.3141</v>
      </c>
      <c r="R1430" s="1">
        <v>12544.0</v>
      </c>
    </row>
    <row r="1431">
      <c r="A1431" s="663" t="s">
        <v>2351</v>
      </c>
      <c r="B1431" s="663" t="s">
        <v>1192</v>
      </c>
      <c r="C1431" s="663" t="s">
        <v>1211</v>
      </c>
      <c r="D1431" s="663" t="s">
        <v>2234</v>
      </c>
      <c r="E1431" s="664" t="s">
        <v>73</v>
      </c>
      <c r="F1431" s="665">
        <v>2512.0</v>
      </c>
      <c r="G1431" s="665">
        <v>167.0</v>
      </c>
      <c r="H1431" s="665">
        <v>6.65</v>
      </c>
      <c r="I1431" s="665">
        <v>2.44</v>
      </c>
      <c r="J1431" s="665">
        <v>2.65</v>
      </c>
      <c r="K1431" s="665">
        <v>2565.0</v>
      </c>
      <c r="L1431" s="665">
        <v>104955.0</v>
      </c>
      <c r="M1431" s="665">
        <v>1.02</v>
      </c>
      <c r="N1431" s="1">
        <v>15.3593</v>
      </c>
      <c r="O1431" s="1">
        <v>2565.0</v>
      </c>
      <c r="P1431" s="1">
        <v>104955.0</v>
      </c>
      <c r="Q1431" s="1">
        <v>1.0211</v>
      </c>
      <c r="R1431" s="1">
        <v>12544.0</v>
      </c>
    </row>
    <row r="1432">
      <c r="A1432" s="663" t="s">
        <v>2351</v>
      </c>
      <c r="B1432" s="663" t="s">
        <v>1192</v>
      </c>
      <c r="C1432" s="663" t="s">
        <v>1211</v>
      </c>
      <c r="D1432" s="663" t="s">
        <v>2234</v>
      </c>
      <c r="E1432" s="664" t="s">
        <v>411</v>
      </c>
      <c r="F1432" s="665">
        <v>2512.0</v>
      </c>
      <c r="G1432" s="665">
        <v>11.0</v>
      </c>
      <c r="H1432" s="665">
        <v>0.44</v>
      </c>
      <c r="I1432" s="665">
        <v>0.37</v>
      </c>
      <c r="J1432" s="665">
        <v>0.3</v>
      </c>
      <c r="K1432" s="665">
        <v>390.0</v>
      </c>
      <c r="L1432" s="665">
        <v>104955.0</v>
      </c>
      <c r="M1432" s="665">
        <v>0.16</v>
      </c>
      <c r="N1432" s="1">
        <v>35.4545</v>
      </c>
      <c r="O1432" s="1">
        <v>390.0</v>
      </c>
      <c r="P1432" s="1">
        <v>104955.0</v>
      </c>
      <c r="Q1432" s="1">
        <v>0.1553</v>
      </c>
      <c r="R1432" s="1">
        <v>12544.0</v>
      </c>
    </row>
    <row r="1433">
      <c r="A1433" s="663" t="s">
        <v>2351</v>
      </c>
      <c r="B1433" s="663" t="s">
        <v>1192</v>
      </c>
      <c r="C1433" s="663" t="s">
        <v>55</v>
      </c>
      <c r="D1433" s="663" t="s">
        <v>2234</v>
      </c>
      <c r="E1433" s="664" t="s">
        <v>418</v>
      </c>
      <c r="F1433" s="665">
        <v>3136.0</v>
      </c>
      <c r="G1433" s="665">
        <v>3071.0</v>
      </c>
      <c r="H1433" s="665">
        <v>97.93</v>
      </c>
      <c r="I1433" s="665">
        <v>33.89</v>
      </c>
      <c r="J1433" s="665">
        <v>32.86</v>
      </c>
      <c r="K1433" s="665">
        <v>872640.0</v>
      </c>
      <c r="L1433" s="665">
        <v>2575084.0</v>
      </c>
      <c r="M1433" s="665">
        <v>278.27</v>
      </c>
      <c r="N1433" s="1">
        <v>284.155</v>
      </c>
      <c r="O1433" s="1">
        <v>872640.0</v>
      </c>
      <c r="P1433" s="1">
        <v>2575084.0</v>
      </c>
      <c r="Q1433" s="1">
        <v>278.2653</v>
      </c>
      <c r="R1433" s="1">
        <v>12544.0</v>
      </c>
    </row>
    <row r="1434">
      <c r="A1434" s="663" t="s">
        <v>2351</v>
      </c>
      <c r="B1434" s="663" t="s">
        <v>1192</v>
      </c>
      <c r="C1434" s="663" t="s">
        <v>55</v>
      </c>
      <c r="D1434" s="663" t="s">
        <v>2234</v>
      </c>
      <c r="E1434" s="664" t="s">
        <v>51</v>
      </c>
      <c r="F1434" s="665">
        <v>3136.0</v>
      </c>
      <c r="G1434" s="665">
        <v>2022.0</v>
      </c>
      <c r="H1434" s="665">
        <v>64.48</v>
      </c>
      <c r="I1434" s="665">
        <v>12.13</v>
      </c>
      <c r="J1434" s="665">
        <v>11.88</v>
      </c>
      <c r="K1434" s="665">
        <v>312480.0</v>
      </c>
      <c r="L1434" s="665">
        <v>2575084.0</v>
      </c>
      <c r="M1434" s="665">
        <v>99.64</v>
      </c>
      <c r="N1434" s="1">
        <v>154.5401</v>
      </c>
      <c r="O1434" s="1">
        <v>312480.0</v>
      </c>
      <c r="P1434" s="1">
        <v>2575084.0</v>
      </c>
      <c r="Q1434" s="1">
        <v>99.6429</v>
      </c>
      <c r="R1434" s="1">
        <v>12544.0</v>
      </c>
    </row>
    <row r="1435">
      <c r="A1435" s="663" t="s">
        <v>2351</v>
      </c>
      <c r="B1435" s="663" t="s">
        <v>1192</v>
      </c>
      <c r="C1435" s="663" t="s">
        <v>55</v>
      </c>
      <c r="D1435" s="663" t="s">
        <v>2234</v>
      </c>
      <c r="E1435" s="664" t="s">
        <v>9</v>
      </c>
      <c r="F1435" s="665">
        <v>3136.0</v>
      </c>
      <c r="G1435" s="665">
        <v>2040.0</v>
      </c>
      <c r="H1435" s="665">
        <v>65.05</v>
      </c>
      <c r="I1435" s="665">
        <v>8.43</v>
      </c>
      <c r="J1435" s="665">
        <v>8.92</v>
      </c>
      <c r="K1435" s="665">
        <v>217140.0</v>
      </c>
      <c r="L1435" s="665">
        <v>2575084.0</v>
      </c>
      <c r="M1435" s="665">
        <v>69.24</v>
      </c>
      <c r="N1435" s="1">
        <v>106.4412</v>
      </c>
      <c r="O1435" s="1">
        <v>217140.0</v>
      </c>
      <c r="P1435" s="1">
        <v>2575084.0</v>
      </c>
      <c r="Q1435" s="1">
        <v>69.2411</v>
      </c>
      <c r="R1435" s="1">
        <v>12544.0</v>
      </c>
    </row>
    <row r="1436">
      <c r="A1436" s="663" t="s">
        <v>2351</v>
      </c>
      <c r="B1436" s="663" t="s">
        <v>1192</v>
      </c>
      <c r="C1436" s="663" t="s">
        <v>55</v>
      </c>
      <c r="D1436" s="663" t="s">
        <v>2234</v>
      </c>
      <c r="E1436" s="664" t="s">
        <v>397</v>
      </c>
      <c r="F1436" s="665">
        <v>3136.0</v>
      </c>
      <c r="G1436" s="665">
        <v>2240.0</v>
      </c>
      <c r="H1436" s="665">
        <v>71.43</v>
      </c>
      <c r="I1436" s="665">
        <v>7.9</v>
      </c>
      <c r="J1436" s="665">
        <v>7.44</v>
      </c>
      <c r="K1436" s="665">
        <v>203370.0</v>
      </c>
      <c r="L1436" s="665">
        <v>2575084.0</v>
      </c>
      <c r="M1436" s="665">
        <v>64.85</v>
      </c>
      <c r="N1436" s="1">
        <v>90.7902</v>
      </c>
      <c r="O1436" s="1">
        <v>203370.0</v>
      </c>
      <c r="P1436" s="1">
        <v>2575084.0</v>
      </c>
      <c r="Q1436" s="1">
        <v>64.8501</v>
      </c>
      <c r="R1436" s="1">
        <v>12544.0</v>
      </c>
    </row>
    <row r="1437">
      <c r="A1437" s="663" t="s">
        <v>2351</v>
      </c>
      <c r="B1437" s="663" t="s">
        <v>1192</v>
      </c>
      <c r="C1437" s="663" t="s">
        <v>55</v>
      </c>
      <c r="D1437" s="663" t="s">
        <v>2234</v>
      </c>
      <c r="E1437" s="664" t="s">
        <v>413</v>
      </c>
      <c r="F1437" s="665">
        <v>3136.0</v>
      </c>
      <c r="G1437" s="665">
        <v>1684.0</v>
      </c>
      <c r="H1437" s="665">
        <v>53.7</v>
      </c>
      <c r="I1437" s="665">
        <v>7.67</v>
      </c>
      <c r="J1437" s="665">
        <v>7.9</v>
      </c>
      <c r="K1437" s="665">
        <v>197610.0</v>
      </c>
      <c r="L1437" s="665">
        <v>2575084.0</v>
      </c>
      <c r="M1437" s="665">
        <v>63.01</v>
      </c>
      <c r="N1437" s="1">
        <v>117.3456</v>
      </c>
      <c r="O1437" s="1">
        <v>197610.0</v>
      </c>
      <c r="P1437" s="1">
        <v>2575084.0</v>
      </c>
      <c r="Q1437" s="1">
        <v>63.0134</v>
      </c>
      <c r="R1437" s="1">
        <v>12544.0</v>
      </c>
    </row>
    <row r="1438">
      <c r="A1438" s="663" t="s">
        <v>2351</v>
      </c>
      <c r="B1438" s="663" t="s">
        <v>1192</v>
      </c>
      <c r="C1438" s="663" t="s">
        <v>55</v>
      </c>
      <c r="D1438" s="663" t="s">
        <v>2234</v>
      </c>
      <c r="E1438" s="664" t="s">
        <v>14</v>
      </c>
      <c r="F1438" s="665">
        <v>3136.0</v>
      </c>
      <c r="G1438" s="665">
        <v>2221.0</v>
      </c>
      <c r="H1438" s="665">
        <v>70.82</v>
      </c>
      <c r="I1438" s="665">
        <v>6.4</v>
      </c>
      <c r="J1438" s="665">
        <v>6.61</v>
      </c>
      <c r="K1438" s="665">
        <v>164690.0</v>
      </c>
      <c r="L1438" s="665">
        <v>2575084.0</v>
      </c>
      <c r="M1438" s="665">
        <v>52.52</v>
      </c>
      <c r="N1438" s="1">
        <v>74.1513</v>
      </c>
      <c r="O1438" s="1">
        <v>164690.0</v>
      </c>
      <c r="P1438" s="1">
        <v>2575084.0</v>
      </c>
      <c r="Q1438" s="1">
        <v>52.5159</v>
      </c>
      <c r="R1438" s="1">
        <v>12544.0</v>
      </c>
    </row>
    <row r="1439">
      <c r="A1439" s="663" t="s">
        <v>2351</v>
      </c>
      <c r="B1439" s="663" t="s">
        <v>1192</v>
      </c>
      <c r="C1439" s="663" t="s">
        <v>55</v>
      </c>
      <c r="D1439" s="663" t="s">
        <v>2234</v>
      </c>
      <c r="E1439" s="664" t="s">
        <v>398</v>
      </c>
      <c r="F1439" s="665">
        <v>3136.0</v>
      </c>
      <c r="G1439" s="665">
        <v>2502.0</v>
      </c>
      <c r="H1439" s="665">
        <v>79.78</v>
      </c>
      <c r="I1439" s="665">
        <v>5.79</v>
      </c>
      <c r="J1439" s="665">
        <v>6.04</v>
      </c>
      <c r="K1439" s="665">
        <v>148970.0</v>
      </c>
      <c r="L1439" s="665">
        <v>2575084.0</v>
      </c>
      <c r="M1439" s="665">
        <v>47.5</v>
      </c>
      <c r="N1439" s="1">
        <v>59.5404</v>
      </c>
      <c r="O1439" s="1">
        <v>148970.0</v>
      </c>
      <c r="P1439" s="1">
        <v>2575084.0</v>
      </c>
      <c r="Q1439" s="1">
        <v>47.5032</v>
      </c>
      <c r="R1439" s="1">
        <v>12544.0</v>
      </c>
    </row>
    <row r="1440">
      <c r="A1440" s="663" t="s">
        <v>2351</v>
      </c>
      <c r="B1440" s="663" t="s">
        <v>1192</v>
      </c>
      <c r="C1440" s="663" t="s">
        <v>55</v>
      </c>
      <c r="D1440" s="663" t="s">
        <v>2234</v>
      </c>
      <c r="E1440" s="664" t="s">
        <v>396</v>
      </c>
      <c r="F1440" s="665">
        <v>3136.0</v>
      </c>
      <c r="G1440" s="665">
        <v>1705.0</v>
      </c>
      <c r="H1440" s="665">
        <v>54.37</v>
      </c>
      <c r="I1440" s="665">
        <v>5.48</v>
      </c>
      <c r="J1440" s="665">
        <v>5.23</v>
      </c>
      <c r="K1440" s="665">
        <v>141240.0</v>
      </c>
      <c r="L1440" s="665">
        <v>2575084.0</v>
      </c>
      <c r="M1440" s="665">
        <v>45.04</v>
      </c>
      <c r="N1440" s="1">
        <v>82.8387</v>
      </c>
      <c r="O1440" s="1">
        <v>141240.0</v>
      </c>
      <c r="P1440" s="1">
        <v>2575084.0</v>
      </c>
      <c r="Q1440" s="1">
        <v>45.0383</v>
      </c>
      <c r="R1440" s="1">
        <v>12544.0</v>
      </c>
    </row>
    <row r="1441">
      <c r="A1441" s="663" t="s">
        <v>2351</v>
      </c>
      <c r="B1441" s="663" t="s">
        <v>1192</v>
      </c>
      <c r="C1441" s="663" t="s">
        <v>55</v>
      </c>
      <c r="D1441" s="663" t="s">
        <v>2234</v>
      </c>
      <c r="E1441" s="664" t="s">
        <v>63</v>
      </c>
      <c r="F1441" s="665">
        <v>3136.0</v>
      </c>
      <c r="G1441" s="665">
        <v>1690.0</v>
      </c>
      <c r="H1441" s="665">
        <v>53.89</v>
      </c>
      <c r="I1441" s="665">
        <v>4.03</v>
      </c>
      <c r="J1441" s="665">
        <v>5.05</v>
      </c>
      <c r="K1441" s="665">
        <v>103830.0</v>
      </c>
      <c r="L1441" s="665">
        <v>2575084.0</v>
      </c>
      <c r="M1441" s="665">
        <v>33.11</v>
      </c>
      <c r="N1441" s="1">
        <v>61.4379</v>
      </c>
      <c r="O1441" s="1">
        <v>103830.0</v>
      </c>
      <c r="P1441" s="1">
        <v>2575084.0</v>
      </c>
      <c r="Q1441" s="1">
        <v>33.1091</v>
      </c>
      <c r="R1441" s="1">
        <v>12544.0</v>
      </c>
    </row>
    <row r="1442">
      <c r="A1442" s="663" t="s">
        <v>2351</v>
      </c>
      <c r="B1442" s="663" t="s">
        <v>1192</v>
      </c>
      <c r="C1442" s="663" t="s">
        <v>55</v>
      </c>
      <c r="D1442" s="663" t="s">
        <v>2234</v>
      </c>
      <c r="E1442" s="664" t="s">
        <v>7</v>
      </c>
      <c r="F1442" s="665">
        <v>3136.0</v>
      </c>
      <c r="G1442" s="665">
        <v>1299.0</v>
      </c>
      <c r="H1442" s="665">
        <v>41.42</v>
      </c>
      <c r="I1442" s="665">
        <v>2.34</v>
      </c>
      <c r="J1442" s="665">
        <v>2.6</v>
      </c>
      <c r="K1442" s="665">
        <v>60355.0</v>
      </c>
      <c r="L1442" s="665">
        <v>2575084.0</v>
      </c>
      <c r="M1442" s="665">
        <v>19.25</v>
      </c>
      <c r="N1442" s="1">
        <v>46.4627</v>
      </c>
      <c r="O1442" s="1">
        <v>60355.0</v>
      </c>
      <c r="P1442" s="1">
        <v>2575084.0</v>
      </c>
      <c r="Q1442" s="1">
        <v>19.2459</v>
      </c>
      <c r="R1442" s="1">
        <v>12544.0</v>
      </c>
    </row>
    <row r="1443">
      <c r="A1443" s="663" t="s">
        <v>2351</v>
      </c>
      <c r="B1443" s="663" t="s">
        <v>1192</v>
      </c>
      <c r="C1443" s="663" t="s">
        <v>55</v>
      </c>
      <c r="D1443" s="663" t="s">
        <v>2234</v>
      </c>
      <c r="E1443" s="664" t="s">
        <v>411</v>
      </c>
      <c r="F1443" s="665">
        <v>3136.0</v>
      </c>
      <c r="G1443" s="665">
        <v>629.0</v>
      </c>
      <c r="H1443" s="665">
        <v>20.06</v>
      </c>
      <c r="I1443" s="665">
        <v>1.74</v>
      </c>
      <c r="J1443" s="665">
        <v>1.48</v>
      </c>
      <c r="K1443" s="665">
        <v>44844.0</v>
      </c>
      <c r="L1443" s="665">
        <v>2575084.0</v>
      </c>
      <c r="M1443" s="665">
        <v>14.3</v>
      </c>
      <c r="N1443" s="1">
        <v>71.2941</v>
      </c>
      <c r="O1443" s="1">
        <v>44844.0</v>
      </c>
      <c r="P1443" s="1">
        <v>2575084.0</v>
      </c>
      <c r="Q1443" s="1">
        <v>14.2997</v>
      </c>
      <c r="R1443" s="1">
        <v>12544.0</v>
      </c>
    </row>
    <row r="1444">
      <c r="A1444" s="663" t="s">
        <v>2351</v>
      </c>
      <c r="B1444" s="663" t="s">
        <v>1192</v>
      </c>
      <c r="C1444" s="663" t="s">
        <v>55</v>
      </c>
      <c r="D1444" s="663" t="s">
        <v>2234</v>
      </c>
      <c r="E1444" s="664" t="s">
        <v>401</v>
      </c>
      <c r="F1444" s="665">
        <v>3136.0</v>
      </c>
      <c r="G1444" s="665">
        <v>654.0</v>
      </c>
      <c r="H1444" s="665">
        <v>20.85</v>
      </c>
      <c r="I1444" s="665">
        <v>1.37</v>
      </c>
      <c r="J1444" s="665">
        <v>1.1</v>
      </c>
      <c r="K1444" s="665">
        <v>35370.0</v>
      </c>
      <c r="L1444" s="665">
        <v>2575084.0</v>
      </c>
      <c r="M1444" s="665">
        <v>11.28</v>
      </c>
      <c r="N1444" s="1">
        <v>54.0826</v>
      </c>
      <c r="O1444" s="1">
        <v>35370.0</v>
      </c>
      <c r="P1444" s="1">
        <v>2575084.0</v>
      </c>
      <c r="Q1444" s="1">
        <v>11.2787</v>
      </c>
      <c r="R1444" s="1">
        <v>12544.0</v>
      </c>
    </row>
    <row r="1445">
      <c r="A1445" s="663" t="s">
        <v>2351</v>
      </c>
      <c r="B1445" s="663" t="s">
        <v>1192</v>
      </c>
      <c r="C1445" s="663" t="s">
        <v>55</v>
      </c>
      <c r="D1445" s="663" t="s">
        <v>2234</v>
      </c>
      <c r="E1445" s="664" t="s">
        <v>206</v>
      </c>
      <c r="F1445" s="665">
        <v>3136.0</v>
      </c>
      <c r="G1445" s="665">
        <v>627.0</v>
      </c>
      <c r="H1445" s="665">
        <v>19.99</v>
      </c>
      <c r="I1445" s="665">
        <v>1.09</v>
      </c>
      <c r="J1445" s="665">
        <v>0.96</v>
      </c>
      <c r="K1445" s="665">
        <v>28065.0</v>
      </c>
      <c r="L1445" s="665">
        <v>2575084.0</v>
      </c>
      <c r="M1445" s="665">
        <v>8.95</v>
      </c>
      <c r="N1445" s="1">
        <v>44.7608</v>
      </c>
      <c r="O1445" s="1">
        <v>28065.0</v>
      </c>
      <c r="P1445" s="1">
        <v>2575084.0</v>
      </c>
      <c r="Q1445" s="1">
        <v>8.9493</v>
      </c>
      <c r="R1445" s="1">
        <v>12544.0</v>
      </c>
    </row>
    <row r="1446">
      <c r="A1446" s="663" t="s">
        <v>2351</v>
      </c>
      <c r="B1446" s="663" t="s">
        <v>1192</v>
      </c>
      <c r="C1446" s="663" t="s">
        <v>55</v>
      </c>
      <c r="D1446" s="663" t="s">
        <v>2234</v>
      </c>
      <c r="E1446" s="664" t="s">
        <v>393</v>
      </c>
      <c r="F1446" s="665">
        <v>3136.0</v>
      </c>
      <c r="G1446" s="665">
        <v>732.0</v>
      </c>
      <c r="H1446" s="665">
        <v>23.34</v>
      </c>
      <c r="I1446" s="665">
        <v>0.75</v>
      </c>
      <c r="J1446" s="665">
        <v>0.67</v>
      </c>
      <c r="K1446" s="665">
        <v>19360.0</v>
      </c>
      <c r="L1446" s="665">
        <v>2575084.0</v>
      </c>
      <c r="M1446" s="665">
        <v>6.17</v>
      </c>
      <c r="N1446" s="1">
        <v>26.4481</v>
      </c>
      <c r="O1446" s="1">
        <v>19360.0</v>
      </c>
      <c r="P1446" s="1">
        <v>2575084.0</v>
      </c>
      <c r="Q1446" s="1">
        <v>6.1735</v>
      </c>
      <c r="R1446" s="1">
        <v>12544.0</v>
      </c>
    </row>
    <row r="1447">
      <c r="A1447" s="663" t="s">
        <v>2351</v>
      </c>
      <c r="B1447" s="663" t="s">
        <v>1192</v>
      </c>
      <c r="C1447" s="663" t="s">
        <v>55</v>
      </c>
      <c r="D1447" s="663" t="s">
        <v>2234</v>
      </c>
      <c r="E1447" s="664" t="s">
        <v>73</v>
      </c>
      <c r="F1447" s="665">
        <v>3136.0</v>
      </c>
      <c r="G1447" s="665">
        <v>407.0</v>
      </c>
      <c r="H1447" s="665">
        <v>12.98</v>
      </c>
      <c r="I1447" s="665">
        <v>0.74</v>
      </c>
      <c r="J1447" s="665">
        <v>0.82</v>
      </c>
      <c r="K1447" s="665">
        <v>18960.0</v>
      </c>
      <c r="L1447" s="665">
        <v>2575084.0</v>
      </c>
      <c r="M1447" s="665">
        <v>6.05</v>
      </c>
      <c r="N1447" s="1">
        <v>46.5848</v>
      </c>
      <c r="O1447" s="1">
        <v>18960.0</v>
      </c>
      <c r="P1447" s="1">
        <v>2575084.0</v>
      </c>
      <c r="Q1447" s="1">
        <v>6.0459</v>
      </c>
      <c r="R1447" s="1">
        <v>12544.0</v>
      </c>
    </row>
    <row r="1448">
      <c r="A1448" s="663" t="s">
        <v>2351</v>
      </c>
      <c r="B1448" s="663" t="s">
        <v>1192</v>
      </c>
      <c r="C1448" s="663" t="s">
        <v>55</v>
      </c>
      <c r="D1448" s="663" t="s">
        <v>2234</v>
      </c>
      <c r="E1448" s="664" t="s">
        <v>42</v>
      </c>
      <c r="F1448" s="665">
        <v>3136.0</v>
      </c>
      <c r="G1448" s="665">
        <v>117.0</v>
      </c>
      <c r="H1448" s="665">
        <v>3.73</v>
      </c>
      <c r="I1448" s="665">
        <v>0.24</v>
      </c>
      <c r="J1448" s="665">
        <v>0.41</v>
      </c>
      <c r="K1448" s="665">
        <v>6160.0</v>
      </c>
      <c r="L1448" s="665">
        <v>2575084.0</v>
      </c>
      <c r="M1448" s="665">
        <v>1.96</v>
      </c>
      <c r="N1448" s="1">
        <v>52.6496</v>
      </c>
      <c r="O1448" s="1">
        <v>6160.0</v>
      </c>
      <c r="P1448" s="1">
        <v>2575084.0</v>
      </c>
      <c r="Q1448" s="1">
        <v>1.9643</v>
      </c>
      <c r="R1448" s="1">
        <v>12544.0</v>
      </c>
    </row>
    <row r="1449">
      <c r="A1449" s="663" t="s">
        <v>2352</v>
      </c>
      <c r="B1449" s="663" t="s">
        <v>180</v>
      </c>
      <c r="C1449" s="663" t="s">
        <v>50</v>
      </c>
      <c r="D1449" s="663" t="s">
        <v>599</v>
      </c>
      <c r="E1449" s="664" t="s">
        <v>396</v>
      </c>
      <c r="F1449" s="665">
        <v>15580.0</v>
      </c>
      <c r="G1449" s="665">
        <v>12167.0</v>
      </c>
      <c r="H1449" s="665">
        <v>78.09</v>
      </c>
      <c r="I1449" s="665">
        <v>26.07</v>
      </c>
      <c r="J1449" s="665">
        <v>37.08</v>
      </c>
      <c r="K1449" s="665">
        <v>26734.0</v>
      </c>
      <c r="L1449" s="665">
        <v>102564.0</v>
      </c>
      <c r="M1449" s="665">
        <v>1.72</v>
      </c>
      <c r="N1449" s="1">
        <v>2.1973</v>
      </c>
      <c r="O1449" s="1">
        <v>26734.0</v>
      </c>
      <c r="P1449" s="1">
        <v>102564.0</v>
      </c>
      <c r="Q1449" s="1">
        <v>1.7159</v>
      </c>
      <c r="R1449" s="1">
        <v>54005.0</v>
      </c>
    </row>
    <row r="1450">
      <c r="A1450" s="663" t="s">
        <v>2352</v>
      </c>
      <c r="B1450" s="663" t="s">
        <v>180</v>
      </c>
      <c r="C1450" s="663" t="s">
        <v>50</v>
      </c>
      <c r="D1450" s="663" t="s">
        <v>599</v>
      </c>
      <c r="E1450" s="664" t="s">
        <v>418</v>
      </c>
      <c r="F1450" s="665">
        <v>15580.0</v>
      </c>
      <c r="G1450" s="665">
        <v>10421.0</v>
      </c>
      <c r="H1450" s="665">
        <v>66.89</v>
      </c>
      <c r="I1450" s="665">
        <v>24.79</v>
      </c>
      <c r="J1450" s="665">
        <v>20.48</v>
      </c>
      <c r="K1450" s="665">
        <v>25424.0</v>
      </c>
      <c r="L1450" s="665">
        <v>102564.0</v>
      </c>
      <c r="M1450" s="665">
        <v>1.63</v>
      </c>
      <c r="N1450" s="1">
        <v>2.4397</v>
      </c>
      <c r="O1450" s="1">
        <v>25424.0</v>
      </c>
      <c r="P1450" s="1">
        <v>102564.0</v>
      </c>
      <c r="Q1450" s="1">
        <v>1.6318</v>
      </c>
      <c r="R1450" s="1">
        <v>54005.0</v>
      </c>
    </row>
    <row r="1451">
      <c r="A1451" s="663" t="s">
        <v>2352</v>
      </c>
      <c r="B1451" s="663" t="s">
        <v>180</v>
      </c>
      <c r="C1451" s="663" t="s">
        <v>50</v>
      </c>
      <c r="D1451" s="663" t="s">
        <v>599</v>
      </c>
      <c r="E1451" s="664" t="s">
        <v>411</v>
      </c>
      <c r="F1451" s="665">
        <v>15580.0</v>
      </c>
      <c r="G1451" s="665">
        <v>10651.0</v>
      </c>
      <c r="H1451" s="665">
        <v>68.36</v>
      </c>
      <c r="I1451" s="665">
        <v>14.29</v>
      </c>
      <c r="J1451" s="665">
        <v>17.04</v>
      </c>
      <c r="K1451" s="665">
        <v>14658.0</v>
      </c>
      <c r="L1451" s="665">
        <v>102564.0</v>
      </c>
      <c r="M1451" s="665">
        <v>0.94</v>
      </c>
      <c r="N1451" s="1">
        <v>1.3762</v>
      </c>
      <c r="O1451" s="1">
        <v>14658.0</v>
      </c>
      <c r="P1451" s="1">
        <v>102564.0</v>
      </c>
      <c r="Q1451" s="1">
        <v>0.9408</v>
      </c>
      <c r="R1451" s="1">
        <v>54005.0</v>
      </c>
    </row>
    <row r="1452">
      <c r="A1452" s="663" t="s">
        <v>2352</v>
      </c>
      <c r="B1452" s="663" t="s">
        <v>180</v>
      </c>
      <c r="C1452" s="663" t="s">
        <v>50</v>
      </c>
      <c r="D1452" s="663" t="s">
        <v>599</v>
      </c>
      <c r="E1452" s="664" t="s">
        <v>14</v>
      </c>
      <c r="F1452" s="665">
        <v>15580.0</v>
      </c>
      <c r="G1452" s="665">
        <v>5029.0</v>
      </c>
      <c r="H1452" s="665">
        <v>32.28</v>
      </c>
      <c r="I1452" s="665">
        <v>8.94</v>
      </c>
      <c r="J1452" s="665">
        <v>5.69</v>
      </c>
      <c r="K1452" s="665">
        <v>9174.0</v>
      </c>
      <c r="L1452" s="665">
        <v>102564.0</v>
      </c>
      <c r="M1452" s="665">
        <v>0.59</v>
      </c>
      <c r="N1452" s="1">
        <v>1.8242</v>
      </c>
      <c r="O1452" s="1">
        <v>9174.0</v>
      </c>
      <c r="P1452" s="1">
        <v>102564.0</v>
      </c>
      <c r="Q1452" s="1">
        <v>0.5888</v>
      </c>
      <c r="R1452" s="1">
        <v>54005.0</v>
      </c>
    </row>
    <row r="1453">
      <c r="A1453" s="663" t="s">
        <v>2352</v>
      </c>
      <c r="B1453" s="663" t="s">
        <v>180</v>
      </c>
      <c r="C1453" s="663" t="s">
        <v>50</v>
      </c>
      <c r="D1453" s="663" t="s">
        <v>599</v>
      </c>
      <c r="E1453" s="664" t="s">
        <v>9</v>
      </c>
      <c r="F1453" s="665">
        <v>15580.0</v>
      </c>
      <c r="G1453" s="665">
        <v>6426.0</v>
      </c>
      <c r="H1453" s="665">
        <v>41.25</v>
      </c>
      <c r="I1453" s="665">
        <v>8.28</v>
      </c>
      <c r="J1453" s="665">
        <v>6.93</v>
      </c>
      <c r="K1453" s="665">
        <v>8496.0</v>
      </c>
      <c r="L1453" s="665">
        <v>102564.0</v>
      </c>
      <c r="M1453" s="665">
        <v>0.55</v>
      </c>
      <c r="N1453" s="1">
        <v>1.3221</v>
      </c>
      <c r="O1453" s="1">
        <v>8496.0</v>
      </c>
      <c r="P1453" s="1">
        <v>102564.0</v>
      </c>
      <c r="Q1453" s="1">
        <v>0.5453</v>
      </c>
      <c r="R1453" s="1">
        <v>54005.0</v>
      </c>
    </row>
    <row r="1454">
      <c r="A1454" s="663" t="s">
        <v>2352</v>
      </c>
      <c r="B1454" s="663" t="s">
        <v>180</v>
      </c>
      <c r="C1454" s="663" t="s">
        <v>50</v>
      </c>
      <c r="D1454" s="663" t="s">
        <v>599</v>
      </c>
      <c r="E1454" s="664" t="s">
        <v>413</v>
      </c>
      <c r="F1454" s="665">
        <v>15580.0</v>
      </c>
      <c r="G1454" s="665">
        <v>3926.0</v>
      </c>
      <c r="H1454" s="665">
        <v>25.2</v>
      </c>
      <c r="I1454" s="665">
        <v>5.33</v>
      </c>
      <c r="J1454" s="665">
        <v>4.24</v>
      </c>
      <c r="K1454" s="665">
        <v>5466.0</v>
      </c>
      <c r="L1454" s="665">
        <v>102564.0</v>
      </c>
      <c r="M1454" s="665">
        <v>0.35</v>
      </c>
      <c r="N1454" s="1">
        <v>1.3923</v>
      </c>
      <c r="O1454" s="1">
        <v>5466.0</v>
      </c>
      <c r="P1454" s="1">
        <v>102564.0</v>
      </c>
      <c r="Q1454" s="1">
        <v>0.3508</v>
      </c>
      <c r="R1454" s="1">
        <v>54005.0</v>
      </c>
    </row>
    <row r="1455">
      <c r="A1455" s="663" t="s">
        <v>2352</v>
      </c>
      <c r="B1455" s="663" t="s">
        <v>180</v>
      </c>
      <c r="C1455" s="663" t="s">
        <v>50</v>
      </c>
      <c r="D1455" s="663" t="s">
        <v>599</v>
      </c>
      <c r="E1455" s="664" t="s">
        <v>51</v>
      </c>
      <c r="F1455" s="665">
        <v>15580.0</v>
      </c>
      <c r="G1455" s="665">
        <v>2678.0</v>
      </c>
      <c r="H1455" s="665">
        <v>17.19</v>
      </c>
      <c r="I1455" s="665">
        <v>4.58</v>
      </c>
      <c r="J1455" s="665">
        <v>2.9</v>
      </c>
      <c r="K1455" s="665">
        <v>4697.0</v>
      </c>
      <c r="L1455" s="665">
        <v>102564.0</v>
      </c>
      <c r="M1455" s="665">
        <v>0.3</v>
      </c>
      <c r="N1455" s="1">
        <v>1.7539</v>
      </c>
      <c r="O1455" s="1">
        <v>4697.0</v>
      </c>
      <c r="P1455" s="1">
        <v>102564.0</v>
      </c>
      <c r="Q1455" s="1">
        <v>0.3015</v>
      </c>
      <c r="R1455" s="1">
        <v>54005.0</v>
      </c>
    </row>
    <row r="1456">
      <c r="A1456" s="663" t="s">
        <v>2352</v>
      </c>
      <c r="B1456" s="663" t="s">
        <v>180</v>
      </c>
      <c r="C1456" s="663" t="s">
        <v>50</v>
      </c>
      <c r="D1456" s="663" t="s">
        <v>599</v>
      </c>
      <c r="E1456" s="664" t="s">
        <v>42</v>
      </c>
      <c r="F1456" s="665">
        <v>15580.0</v>
      </c>
      <c r="G1456" s="665">
        <v>2360.0</v>
      </c>
      <c r="H1456" s="665">
        <v>15.15</v>
      </c>
      <c r="I1456" s="665">
        <v>2.99</v>
      </c>
      <c r="J1456" s="665">
        <v>2.22</v>
      </c>
      <c r="K1456" s="665">
        <v>3066.0</v>
      </c>
      <c r="L1456" s="665">
        <v>102564.0</v>
      </c>
      <c r="M1456" s="665">
        <v>0.2</v>
      </c>
      <c r="N1456" s="1">
        <v>1.2992</v>
      </c>
      <c r="O1456" s="1">
        <v>3066.0</v>
      </c>
      <c r="P1456" s="1">
        <v>102564.0</v>
      </c>
      <c r="Q1456" s="1">
        <v>0.1968</v>
      </c>
      <c r="R1456" s="1">
        <v>54005.0</v>
      </c>
    </row>
    <row r="1457">
      <c r="A1457" s="663" t="s">
        <v>2352</v>
      </c>
      <c r="B1457" s="663" t="s">
        <v>180</v>
      </c>
      <c r="C1457" s="663" t="s">
        <v>50</v>
      </c>
      <c r="D1457" s="663" t="s">
        <v>599</v>
      </c>
      <c r="E1457" s="664" t="s">
        <v>63</v>
      </c>
      <c r="F1457" s="665">
        <v>15580.0</v>
      </c>
      <c r="G1457" s="665">
        <v>1665.0</v>
      </c>
      <c r="H1457" s="665">
        <v>10.69</v>
      </c>
      <c r="I1457" s="665">
        <v>2.02</v>
      </c>
      <c r="J1457" s="665">
        <v>1.37</v>
      </c>
      <c r="K1457" s="665">
        <v>2070.0</v>
      </c>
      <c r="L1457" s="665">
        <v>102564.0</v>
      </c>
      <c r="M1457" s="665">
        <v>0.13</v>
      </c>
      <c r="N1457" s="1">
        <v>1.2432</v>
      </c>
      <c r="O1457" s="1">
        <v>2070.0</v>
      </c>
      <c r="P1457" s="1">
        <v>102564.0</v>
      </c>
      <c r="Q1457" s="1">
        <v>0.1329</v>
      </c>
      <c r="R1457" s="1">
        <v>54005.0</v>
      </c>
    </row>
    <row r="1458">
      <c r="A1458" s="663" t="s">
        <v>2352</v>
      </c>
      <c r="B1458" s="663" t="s">
        <v>180</v>
      </c>
      <c r="C1458" s="663" t="s">
        <v>50</v>
      </c>
      <c r="D1458" s="663" t="s">
        <v>599</v>
      </c>
      <c r="E1458" s="664" t="s">
        <v>16</v>
      </c>
      <c r="F1458" s="665">
        <v>15580.0</v>
      </c>
      <c r="G1458" s="665">
        <v>1327.0</v>
      </c>
      <c r="H1458" s="665">
        <v>8.52</v>
      </c>
      <c r="I1458" s="665">
        <v>1.72</v>
      </c>
      <c r="J1458" s="665">
        <v>1.52</v>
      </c>
      <c r="K1458" s="665">
        <v>1766.0</v>
      </c>
      <c r="L1458" s="665">
        <v>102564.0</v>
      </c>
      <c r="M1458" s="665">
        <v>0.11</v>
      </c>
      <c r="N1458" s="1">
        <v>1.3308</v>
      </c>
      <c r="O1458" s="1">
        <v>1766.0</v>
      </c>
      <c r="P1458" s="1">
        <v>102564.0</v>
      </c>
      <c r="Q1458" s="1">
        <v>0.1134</v>
      </c>
      <c r="R1458" s="1">
        <v>54005.0</v>
      </c>
    </row>
    <row r="1459">
      <c r="A1459" s="663" t="s">
        <v>2352</v>
      </c>
      <c r="B1459" s="663" t="s">
        <v>180</v>
      </c>
      <c r="C1459" s="663" t="s">
        <v>50</v>
      </c>
      <c r="D1459" s="663" t="s">
        <v>599</v>
      </c>
      <c r="E1459" s="664" t="s">
        <v>7</v>
      </c>
      <c r="F1459" s="665">
        <v>15580.0</v>
      </c>
      <c r="G1459" s="665">
        <v>330.0</v>
      </c>
      <c r="H1459" s="665">
        <v>2.12</v>
      </c>
      <c r="I1459" s="665">
        <v>0.34</v>
      </c>
      <c r="J1459" s="665">
        <v>0.25</v>
      </c>
      <c r="K1459" s="665">
        <v>348.0</v>
      </c>
      <c r="L1459" s="665">
        <v>102564.0</v>
      </c>
      <c r="M1459" s="665">
        <v>0.02</v>
      </c>
      <c r="N1459" s="1">
        <v>1.0545</v>
      </c>
      <c r="O1459" s="1">
        <v>348.0</v>
      </c>
      <c r="P1459" s="1">
        <v>102564.0</v>
      </c>
      <c r="Q1459" s="1">
        <v>0.0223</v>
      </c>
      <c r="R1459" s="1">
        <v>54005.0</v>
      </c>
    </row>
    <row r="1460">
      <c r="A1460" s="663" t="s">
        <v>2352</v>
      </c>
      <c r="B1460" s="663" t="s">
        <v>180</v>
      </c>
      <c r="C1460" s="663" t="s">
        <v>50</v>
      </c>
      <c r="D1460" s="663" t="s">
        <v>599</v>
      </c>
      <c r="E1460" s="664" t="s">
        <v>401</v>
      </c>
      <c r="F1460" s="665">
        <v>15580.0</v>
      </c>
      <c r="G1460" s="665">
        <v>331.0</v>
      </c>
      <c r="H1460" s="665">
        <v>2.12</v>
      </c>
      <c r="I1460" s="665">
        <v>0.33</v>
      </c>
      <c r="J1460" s="665">
        <v>0.12</v>
      </c>
      <c r="K1460" s="665">
        <v>337.0</v>
      </c>
      <c r="L1460" s="665">
        <v>102564.0</v>
      </c>
      <c r="M1460" s="665">
        <v>0.02</v>
      </c>
      <c r="N1460" s="1">
        <v>1.0181</v>
      </c>
      <c r="O1460" s="1">
        <v>337.0</v>
      </c>
      <c r="P1460" s="1">
        <v>102564.0</v>
      </c>
      <c r="Q1460" s="1">
        <v>0.0216</v>
      </c>
      <c r="R1460" s="1">
        <v>54005.0</v>
      </c>
    </row>
    <row r="1461">
      <c r="A1461" s="663" t="s">
        <v>2352</v>
      </c>
      <c r="B1461" s="663" t="s">
        <v>180</v>
      </c>
      <c r="C1461" s="663" t="s">
        <v>50</v>
      </c>
      <c r="D1461" s="663" t="s">
        <v>599</v>
      </c>
      <c r="E1461" s="664" t="s">
        <v>73</v>
      </c>
      <c r="F1461" s="665">
        <v>15580.0</v>
      </c>
      <c r="G1461" s="665">
        <v>180.0</v>
      </c>
      <c r="H1461" s="665">
        <v>1.16</v>
      </c>
      <c r="I1461" s="665">
        <v>0.18</v>
      </c>
      <c r="J1461" s="665">
        <v>0.08</v>
      </c>
      <c r="K1461" s="665">
        <v>183.0</v>
      </c>
      <c r="L1461" s="665">
        <v>102564.0</v>
      </c>
      <c r="M1461" s="665">
        <v>0.01</v>
      </c>
      <c r="N1461" s="1">
        <v>1.0167</v>
      </c>
      <c r="O1461" s="1">
        <v>183.0</v>
      </c>
      <c r="P1461" s="1">
        <v>102564.0</v>
      </c>
      <c r="Q1461" s="1">
        <v>0.0117</v>
      </c>
      <c r="R1461" s="1">
        <v>54005.0</v>
      </c>
    </row>
    <row r="1462">
      <c r="A1462" s="663" t="s">
        <v>2352</v>
      </c>
      <c r="B1462" s="663" t="s">
        <v>180</v>
      </c>
      <c r="C1462" s="663" t="s">
        <v>50</v>
      </c>
      <c r="D1462" s="663" t="s">
        <v>599</v>
      </c>
      <c r="E1462" s="664" t="s">
        <v>206</v>
      </c>
      <c r="F1462" s="665">
        <v>15580.0</v>
      </c>
      <c r="G1462" s="665">
        <v>112.0</v>
      </c>
      <c r="H1462" s="665">
        <v>0.72</v>
      </c>
      <c r="I1462" s="665">
        <v>0.11</v>
      </c>
      <c r="J1462" s="665">
        <v>0.04</v>
      </c>
      <c r="K1462" s="665">
        <v>116.0</v>
      </c>
      <c r="L1462" s="665">
        <v>102564.0</v>
      </c>
      <c r="M1462" s="665">
        <v>0.01</v>
      </c>
      <c r="N1462" s="1">
        <v>1.0357</v>
      </c>
      <c r="O1462" s="1">
        <v>116.0</v>
      </c>
      <c r="P1462" s="1">
        <v>102564.0</v>
      </c>
      <c r="Q1462" s="1">
        <v>0.0074</v>
      </c>
      <c r="R1462" s="1">
        <v>54005.0</v>
      </c>
    </row>
    <row r="1463">
      <c r="A1463" s="663" t="s">
        <v>2352</v>
      </c>
      <c r="B1463" s="663" t="s">
        <v>180</v>
      </c>
      <c r="C1463" s="663" t="s">
        <v>50</v>
      </c>
      <c r="D1463" s="663" t="s">
        <v>599</v>
      </c>
      <c r="E1463" s="664" t="s">
        <v>393</v>
      </c>
      <c r="F1463" s="665">
        <v>15580.0</v>
      </c>
      <c r="G1463" s="665">
        <v>26.0</v>
      </c>
      <c r="H1463" s="665">
        <v>0.17</v>
      </c>
      <c r="I1463" s="665">
        <v>0.03</v>
      </c>
      <c r="J1463" s="665">
        <v>0.03</v>
      </c>
      <c r="K1463" s="665">
        <v>26.0</v>
      </c>
      <c r="L1463" s="665">
        <v>102564.0</v>
      </c>
      <c r="M1463" s="665">
        <v>0.0</v>
      </c>
      <c r="N1463" s="1">
        <v>1.0</v>
      </c>
      <c r="O1463" s="1">
        <v>26.0</v>
      </c>
      <c r="P1463" s="1">
        <v>102564.0</v>
      </c>
      <c r="Q1463" s="1">
        <v>0.0017</v>
      </c>
      <c r="R1463" s="1">
        <v>54005.0</v>
      </c>
    </row>
    <row r="1464">
      <c r="A1464" s="663" t="s">
        <v>2352</v>
      </c>
      <c r="B1464" s="663" t="s">
        <v>180</v>
      </c>
      <c r="C1464" s="663" t="s">
        <v>50</v>
      </c>
      <c r="D1464" s="663" t="s">
        <v>599</v>
      </c>
      <c r="E1464" s="664" t="s">
        <v>151</v>
      </c>
      <c r="F1464" s="665">
        <v>15580.0</v>
      </c>
      <c r="G1464" s="665">
        <v>1.0</v>
      </c>
      <c r="H1464" s="665">
        <v>0.01</v>
      </c>
      <c r="I1464" s="665">
        <v>0.0</v>
      </c>
      <c r="J1464" s="665">
        <v>0.01</v>
      </c>
      <c r="K1464" s="665">
        <v>1.0</v>
      </c>
      <c r="L1464" s="665">
        <v>102564.0</v>
      </c>
      <c r="M1464" s="665">
        <v>0.0</v>
      </c>
      <c r="N1464" s="1">
        <v>1.0</v>
      </c>
      <c r="O1464" s="1">
        <v>1.0</v>
      </c>
      <c r="P1464" s="1">
        <v>102564.0</v>
      </c>
      <c r="Q1464" s="1">
        <v>1.0E-4</v>
      </c>
      <c r="R1464" s="1">
        <v>54005.0</v>
      </c>
    </row>
    <row r="1465">
      <c r="A1465" s="663" t="s">
        <v>2352</v>
      </c>
      <c r="B1465" s="663" t="s">
        <v>180</v>
      </c>
      <c r="C1465" s="663" t="s">
        <v>50</v>
      </c>
      <c r="D1465" s="663" t="s">
        <v>599</v>
      </c>
      <c r="E1465" s="664" t="s">
        <v>341</v>
      </c>
      <c r="F1465" s="665">
        <v>15580.0</v>
      </c>
      <c r="G1465" s="665">
        <v>1.0</v>
      </c>
      <c r="H1465" s="665">
        <v>0.01</v>
      </c>
      <c r="I1465" s="665">
        <v>0.0</v>
      </c>
      <c r="J1465" s="665">
        <v>0.0</v>
      </c>
      <c r="K1465" s="665">
        <v>2.0</v>
      </c>
      <c r="L1465" s="665">
        <v>102564.0</v>
      </c>
      <c r="M1465" s="665">
        <v>0.0</v>
      </c>
      <c r="N1465" s="1">
        <v>2.0</v>
      </c>
      <c r="O1465" s="1">
        <v>2.0</v>
      </c>
      <c r="P1465" s="1">
        <v>102564.0</v>
      </c>
      <c r="Q1465" s="1">
        <v>1.0E-4</v>
      </c>
      <c r="R1465" s="1">
        <v>54005.0</v>
      </c>
    </row>
    <row r="1466">
      <c r="A1466" s="663" t="s">
        <v>2352</v>
      </c>
      <c r="B1466" s="663" t="s">
        <v>180</v>
      </c>
      <c r="C1466" s="663" t="s">
        <v>48</v>
      </c>
      <c r="D1466" s="663" t="s">
        <v>599</v>
      </c>
      <c r="E1466" s="664" t="s">
        <v>396</v>
      </c>
      <c r="F1466" s="665">
        <v>15888.0</v>
      </c>
      <c r="G1466" s="665">
        <v>12748.0</v>
      </c>
      <c r="H1466" s="665">
        <v>80.24</v>
      </c>
      <c r="I1466" s="665">
        <v>22.36</v>
      </c>
      <c r="J1466" s="665">
        <v>28.56</v>
      </c>
      <c r="K1466" s="665">
        <v>33996.0</v>
      </c>
      <c r="L1466" s="665">
        <v>152025.0</v>
      </c>
      <c r="M1466" s="665">
        <v>2.14</v>
      </c>
      <c r="N1466" s="1">
        <v>2.6668</v>
      </c>
      <c r="O1466" s="1">
        <v>33996.0</v>
      </c>
      <c r="P1466" s="1">
        <v>152025.0</v>
      </c>
      <c r="Q1466" s="1">
        <v>2.1397</v>
      </c>
      <c r="R1466" s="1">
        <v>54005.0</v>
      </c>
    </row>
    <row r="1467">
      <c r="A1467" s="663" t="s">
        <v>2352</v>
      </c>
      <c r="B1467" s="663" t="s">
        <v>180</v>
      </c>
      <c r="C1467" s="663" t="s">
        <v>48</v>
      </c>
      <c r="D1467" s="663" t="s">
        <v>599</v>
      </c>
      <c r="E1467" s="664" t="s">
        <v>418</v>
      </c>
      <c r="F1467" s="665">
        <v>15888.0</v>
      </c>
      <c r="G1467" s="665">
        <v>12202.0</v>
      </c>
      <c r="H1467" s="665">
        <v>76.8</v>
      </c>
      <c r="I1467" s="665">
        <v>18.64</v>
      </c>
      <c r="J1467" s="665">
        <v>16.18</v>
      </c>
      <c r="K1467" s="665">
        <v>28333.0</v>
      </c>
      <c r="L1467" s="665">
        <v>152025.0</v>
      </c>
      <c r="M1467" s="665">
        <v>1.78</v>
      </c>
      <c r="N1467" s="1">
        <v>2.322</v>
      </c>
      <c r="O1467" s="1">
        <v>28333.0</v>
      </c>
      <c r="P1467" s="1">
        <v>152025.0</v>
      </c>
      <c r="Q1467" s="1">
        <v>1.7833</v>
      </c>
      <c r="R1467" s="1">
        <v>54005.0</v>
      </c>
    </row>
    <row r="1468">
      <c r="A1468" s="663" t="s">
        <v>2352</v>
      </c>
      <c r="B1468" s="663" t="s">
        <v>180</v>
      </c>
      <c r="C1468" s="663" t="s">
        <v>48</v>
      </c>
      <c r="D1468" s="663" t="s">
        <v>599</v>
      </c>
      <c r="E1468" s="664" t="s">
        <v>413</v>
      </c>
      <c r="F1468" s="665">
        <v>15888.0</v>
      </c>
      <c r="G1468" s="665">
        <v>8471.0</v>
      </c>
      <c r="H1468" s="665">
        <v>53.32</v>
      </c>
      <c r="I1468" s="665">
        <v>13.89</v>
      </c>
      <c r="J1468" s="665">
        <v>12.79</v>
      </c>
      <c r="K1468" s="665">
        <v>21118.0</v>
      </c>
      <c r="L1468" s="665">
        <v>152025.0</v>
      </c>
      <c r="M1468" s="665">
        <v>1.33</v>
      </c>
      <c r="N1468" s="1">
        <v>2.493</v>
      </c>
      <c r="O1468" s="1">
        <v>21118.0</v>
      </c>
      <c r="P1468" s="1">
        <v>152025.0</v>
      </c>
      <c r="Q1468" s="1">
        <v>1.3292</v>
      </c>
      <c r="R1468" s="1">
        <v>54005.0</v>
      </c>
    </row>
    <row r="1469">
      <c r="A1469" s="663" t="s">
        <v>2352</v>
      </c>
      <c r="B1469" s="663" t="s">
        <v>180</v>
      </c>
      <c r="C1469" s="663" t="s">
        <v>48</v>
      </c>
      <c r="D1469" s="663" t="s">
        <v>599</v>
      </c>
      <c r="E1469" s="664" t="s">
        <v>14</v>
      </c>
      <c r="F1469" s="665">
        <v>15888.0</v>
      </c>
      <c r="G1469" s="665">
        <v>9604.0</v>
      </c>
      <c r="H1469" s="665">
        <v>60.45</v>
      </c>
      <c r="I1469" s="665">
        <v>11.78</v>
      </c>
      <c r="J1469" s="665">
        <v>11.06</v>
      </c>
      <c r="K1469" s="665">
        <v>17913.0</v>
      </c>
      <c r="L1469" s="665">
        <v>152025.0</v>
      </c>
      <c r="M1469" s="665">
        <v>1.13</v>
      </c>
      <c r="N1469" s="1">
        <v>1.8652</v>
      </c>
      <c r="O1469" s="1">
        <v>17913.0</v>
      </c>
      <c r="P1469" s="1">
        <v>152025.0</v>
      </c>
      <c r="Q1469" s="1">
        <v>1.1275</v>
      </c>
      <c r="R1469" s="1">
        <v>54005.0</v>
      </c>
    </row>
    <row r="1470">
      <c r="A1470" s="663" t="s">
        <v>2352</v>
      </c>
      <c r="B1470" s="663" t="s">
        <v>180</v>
      </c>
      <c r="C1470" s="663" t="s">
        <v>48</v>
      </c>
      <c r="D1470" s="663" t="s">
        <v>599</v>
      </c>
      <c r="E1470" s="664" t="s">
        <v>411</v>
      </c>
      <c r="F1470" s="665">
        <v>15888.0</v>
      </c>
      <c r="G1470" s="665">
        <v>10709.0</v>
      </c>
      <c r="H1470" s="665">
        <v>67.4</v>
      </c>
      <c r="I1470" s="665">
        <v>9.71</v>
      </c>
      <c r="J1470" s="665">
        <v>10.36</v>
      </c>
      <c r="K1470" s="665">
        <v>14769.0</v>
      </c>
      <c r="L1470" s="665">
        <v>152025.0</v>
      </c>
      <c r="M1470" s="665">
        <v>0.93</v>
      </c>
      <c r="N1470" s="1">
        <v>1.3791</v>
      </c>
      <c r="O1470" s="1">
        <v>14769.0</v>
      </c>
      <c r="P1470" s="1">
        <v>152025.0</v>
      </c>
      <c r="Q1470" s="1">
        <v>0.9296</v>
      </c>
      <c r="R1470" s="1">
        <v>54005.0</v>
      </c>
    </row>
    <row r="1471">
      <c r="A1471" s="663" t="s">
        <v>2352</v>
      </c>
      <c r="B1471" s="663" t="s">
        <v>180</v>
      </c>
      <c r="C1471" s="663" t="s">
        <v>48</v>
      </c>
      <c r="D1471" s="663" t="s">
        <v>599</v>
      </c>
      <c r="E1471" s="664" t="s">
        <v>9</v>
      </c>
      <c r="F1471" s="665">
        <v>15888.0</v>
      </c>
      <c r="G1471" s="665">
        <v>7743.0</v>
      </c>
      <c r="H1471" s="665">
        <v>48.73</v>
      </c>
      <c r="I1471" s="665">
        <v>6.61</v>
      </c>
      <c r="J1471" s="665">
        <v>6.07</v>
      </c>
      <c r="K1471" s="665">
        <v>10053.0</v>
      </c>
      <c r="L1471" s="665">
        <v>152025.0</v>
      </c>
      <c r="M1471" s="665">
        <v>0.63</v>
      </c>
      <c r="N1471" s="1">
        <v>1.2983</v>
      </c>
      <c r="O1471" s="1">
        <v>10053.0</v>
      </c>
      <c r="P1471" s="1">
        <v>152025.0</v>
      </c>
      <c r="Q1471" s="1">
        <v>0.6327</v>
      </c>
      <c r="R1471" s="1">
        <v>54005.0</v>
      </c>
    </row>
    <row r="1472">
      <c r="A1472" s="663" t="s">
        <v>2352</v>
      </c>
      <c r="B1472" s="663" t="s">
        <v>180</v>
      </c>
      <c r="C1472" s="663" t="s">
        <v>48</v>
      </c>
      <c r="D1472" s="663" t="s">
        <v>599</v>
      </c>
      <c r="E1472" s="664" t="s">
        <v>398</v>
      </c>
      <c r="F1472" s="665">
        <v>15888.0</v>
      </c>
      <c r="G1472" s="665">
        <v>5604.0</v>
      </c>
      <c r="H1472" s="665">
        <v>35.27</v>
      </c>
      <c r="I1472" s="665">
        <v>4.75</v>
      </c>
      <c r="J1472" s="665">
        <v>4.68</v>
      </c>
      <c r="K1472" s="665">
        <v>7227.0</v>
      </c>
      <c r="L1472" s="665">
        <v>152025.0</v>
      </c>
      <c r="M1472" s="665">
        <v>0.45</v>
      </c>
      <c r="N1472" s="1">
        <v>1.2896</v>
      </c>
      <c r="O1472" s="1">
        <v>7227.0</v>
      </c>
      <c r="P1472" s="1">
        <v>152025.0</v>
      </c>
      <c r="Q1472" s="1">
        <v>0.4549</v>
      </c>
      <c r="R1472" s="1">
        <v>54005.0</v>
      </c>
    </row>
    <row r="1473">
      <c r="A1473" s="663" t="s">
        <v>2352</v>
      </c>
      <c r="B1473" s="663" t="s">
        <v>180</v>
      </c>
      <c r="C1473" s="663" t="s">
        <v>48</v>
      </c>
      <c r="D1473" s="663" t="s">
        <v>599</v>
      </c>
      <c r="E1473" s="664" t="s">
        <v>51</v>
      </c>
      <c r="F1473" s="665">
        <v>15888.0</v>
      </c>
      <c r="G1473" s="665">
        <v>2678.0</v>
      </c>
      <c r="H1473" s="665">
        <v>16.86</v>
      </c>
      <c r="I1473" s="665">
        <v>3.09</v>
      </c>
      <c r="J1473" s="665">
        <v>2.11</v>
      </c>
      <c r="K1473" s="665">
        <v>4697.0</v>
      </c>
      <c r="L1473" s="665">
        <v>152025.0</v>
      </c>
      <c r="M1473" s="665">
        <v>0.3</v>
      </c>
      <c r="N1473" s="1">
        <v>1.7539</v>
      </c>
      <c r="O1473" s="1">
        <v>4697.0</v>
      </c>
      <c r="P1473" s="1">
        <v>152025.0</v>
      </c>
      <c r="Q1473" s="1">
        <v>0.2956</v>
      </c>
      <c r="R1473" s="1">
        <v>54005.0</v>
      </c>
    </row>
    <row r="1474">
      <c r="A1474" s="663" t="s">
        <v>2352</v>
      </c>
      <c r="B1474" s="663" t="s">
        <v>180</v>
      </c>
      <c r="C1474" s="663" t="s">
        <v>48</v>
      </c>
      <c r="D1474" s="663" t="s">
        <v>599</v>
      </c>
      <c r="E1474" s="664" t="s">
        <v>401</v>
      </c>
      <c r="F1474" s="665">
        <v>15888.0</v>
      </c>
      <c r="G1474" s="665">
        <v>3596.0</v>
      </c>
      <c r="H1474" s="665">
        <v>22.63</v>
      </c>
      <c r="I1474" s="665">
        <v>2.5</v>
      </c>
      <c r="J1474" s="665">
        <v>2.37</v>
      </c>
      <c r="K1474" s="665">
        <v>3807.0</v>
      </c>
      <c r="L1474" s="665">
        <v>152025.0</v>
      </c>
      <c r="M1474" s="665">
        <v>0.24</v>
      </c>
      <c r="N1474" s="1">
        <v>1.0587</v>
      </c>
      <c r="O1474" s="1">
        <v>3807.0</v>
      </c>
      <c r="P1474" s="1">
        <v>152025.0</v>
      </c>
      <c r="Q1474" s="1">
        <v>0.2396</v>
      </c>
      <c r="R1474" s="1">
        <v>54005.0</v>
      </c>
    </row>
    <row r="1475">
      <c r="A1475" s="663" t="s">
        <v>2352</v>
      </c>
      <c r="B1475" s="663" t="s">
        <v>180</v>
      </c>
      <c r="C1475" s="663" t="s">
        <v>48</v>
      </c>
      <c r="D1475" s="663" t="s">
        <v>599</v>
      </c>
      <c r="E1475" s="664" t="s">
        <v>206</v>
      </c>
      <c r="F1475" s="665">
        <v>15888.0</v>
      </c>
      <c r="G1475" s="665">
        <v>3219.0</v>
      </c>
      <c r="H1475" s="665">
        <v>20.26</v>
      </c>
      <c r="I1475" s="665">
        <v>2.15</v>
      </c>
      <c r="J1475" s="665">
        <v>2.1</v>
      </c>
      <c r="K1475" s="665">
        <v>3265.0</v>
      </c>
      <c r="L1475" s="665">
        <v>152025.0</v>
      </c>
      <c r="M1475" s="665">
        <v>0.21</v>
      </c>
      <c r="N1475" s="1">
        <v>1.0143</v>
      </c>
      <c r="O1475" s="1">
        <v>3265.0</v>
      </c>
      <c r="P1475" s="1">
        <v>152025.0</v>
      </c>
      <c r="Q1475" s="1">
        <v>0.2055</v>
      </c>
      <c r="R1475" s="1">
        <v>54005.0</v>
      </c>
    </row>
    <row r="1476">
      <c r="A1476" s="663" t="s">
        <v>2352</v>
      </c>
      <c r="B1476" s="663" t="s">
        <v>180</v>
      </c>
      <c r="C1476" s="663" t="s">
        <v>48</v>
      </c>
      <c r="D1476" s="663" t="s">
        <v>599</v>
      </c>
      <c r="E1476" s="664" t="s">
        <v>73</v>
      </c>
      <c r="F1476" s="665">
        <v>15888.0</v>
      </c>
      <c r="G1476" s="665">
        <v>2224.0</v>
      </c>
      <c r="H1476" s="665">
        <v>14.0</v>
      </c>
      <c r="I1476" s="665">
        <v>1.49</v>
      </c>
      <c r="J1476" s="665">
        <v>1.35</v>
      </c>
      <c r="K1476" s="665">
        <v>2260.0</v>
      </c>
      <c r="L1476" s="665">
        <v>152025.0</v>
      </c>
      <c r="M1476" s="665">
        <v>0.14</v>
      </c>
      <c r="N1476" s="1">
        <v>1.0162</v>
      </c>
      <c r="O1476" s="1">
        <v>2260.0</v>
      </c>
      <c r="P1476" s="1">
        <v>152025.0</v>
      </c>
      <c r="Q1476" s="1">
        <v>0.1422</v>
      </c>
      <c r="R1476" s="1">
        <v>54005.0</v>
      </c>
    </row>
    <row r="1477">
      <c r="A1477" s="663" t="s">
        <v>2352</v>
      </c>
      <c r="B1477" s="663" t="s">
        <v>180</v>
      </c>
      <c r="C1477" s="663" t="s">
        <v>48</v>
      </c>
      <c r="D1477" s="663" t="s">
        <v>599</v>
      </c>
      <c r="E1477" s="664" t="s">
        <v>63</v>
      </c>
      <c r="F1477" s="665">
        <v>15888.0</v>
      </c>
      <c r="G1477" s="665">
        <v>1787.0</v>
      </c>
      <c r="H1477" s="665">
        <v>11.25</v>
      </c>
      <c r="I1477" s="665">
        <v>1.4</v>
      </c>
      <c r="J1477" s="665">
        <v>1.11</v>
      </c>
      <c r="K1477" s="665">
        <v>2135.0</v>
      </c>
      <c r="L1477" s="665">
        <v>152025.0</v>
      </c>
      <c r="M1477" s="665">
        <v>0.13</v>
      </c>
      <c r="N1477" s="1">
        <v>1.1947</v>
      </c>
      <c r="O1477" s="1">
        <v>2135.0</v>
      </c>
      <c r="P1477" s="1">
        <v>152025.0</v>
      </c>
      <c r="Q1477" s="1">
        <v>0.1344</v>
      </c>
      <c r="R1477" s="1">
        <v>54005.0</v>
      </c>
    </row>
    <row r="1478">
      <c r="A1478" s="663" t="s">
        <v>2352</v>
      </c>
      <c r="B1478" s="663" t="s">
        <v>180</v>
      </c>
      <c r="C1478" s="663" t="s">
        <v>48</v>
      </c>
      <c r="D1478" s="663" t="s">
        <v>599</v>
      </c>
      <c r="E1478" s="664" t="s">
        <v>42</v>
      </c>
      <c r="F1478" s="665">
        <v>15888.0</v>
      </c>
      <c r="G1478" s="665">
        <v>1221.0</v>
      </c>
      <c r="H1478" s="665">
        <v>7.69</v>
      </c>
      <c r="I1478" s="665">
        <v>0.92</v>
      </c>
      <c r="J1478" s="665">
        <v>0.69</v>
      </c>
      <c r="K1478" s="665">
        <v>1394.0</v>
      </c>
      <c r="L1478" s="665">
        <v>152025.0</v>
      </c>
      <c r="M1478" s="665">
        <v>0.09</v>
      </c>
      <c r="N1478" s="1">
        <v>1.1417</v>
      </c>
      <c r="O1478" s="1">
        <v>1394.0</v>
      </c>
      <c r="P1478" s="1">
        <v>152025.0</v>
      </c>
      <c r="Q1478" s="1">
        <v>0.0877</v>
      </c>
      <c r="R1478" s="1">
        <v>54005.0</v>
      </c>
    </row>
    <row r="1479">
      <c r="A1479" s="663" t="s">
        <v>2352</v>
      </c>
      <c r="B1479" s="663" t="s">
        <v>180</v>
      </c>
      <c r="C1479" s="663" t="s">
        <v>48</v>
      </c>
      <c r="D1479" s="663" t="s">
        <v>599</v>
      </c>
      <c r="E1479" s="664" t="s">
        <v>16</v>
      </c>
      <c r="F1479" s="665">
        <v>15888.0</v>
      </c>
      <c r="G1479" s="665">
        <v>607.0</v>
      </c>
      <c r="H1479" s="665">
        <v>3.82</v>
      </c>
      <c r="I1479" s="665">
        <v>0.45</v>
      </c>
      <c r="J1479" s="665">
        <v>0.4</v>
      </c>
      <c r="K1479" s="665">
        <v>683.0</v>
      </c>
      <c r="L1479" s="665">
        <v>152025.0</v>
      </c>
      <c r="M1479" s="665">
        <v>0.04</v>
      </c>
      <c r="N1479" s="1">
        <v>1.1252</v>
      </c>
      <c r="O1479" s="1">
        <v>683.0</v>
      </c>
      <c r="P1479" s="1">
        <v>152025.0</v>
      </c>
      <c r="Q1479" s="1">
        <v>0.043</v>
      </c>
      <c r="R1479" s="1">
        <v>54005.0</v>
      </c>
    </row>
    <row r="1480">
      <c r="A1480" s="663" t="s">
        <v>2352</v>
      </c>
      <c r="B1480" s="663" t="s">
        <v>180</v>
      </c>
      <c r="C1480" s="663" t="s">
        <v>48</v>
      </c>
      <c r="D1480" s="663" t="s">
        <v>599</v>
      </c>
      <c r="E1480" s="664" t="s">
        <v>7</v>
      </c>
      <c r="F1480" s="665">
        <v>15888.0</v>
      </c>
      <c r="G1480" s="665">
        <v>313.0</v>
      </c>
      <c r="H1480" s="665">
        <v>1.97</v>
      </c>
      <c r="I1480" s="665">
        <v>0.22</v>
      </c>
      <c r="J1480" s="665">
        <v>0.15</v>
      </c>
      <c r="K1480" s="665">
        <v>331.0</v>
      </c>
      <c r="L1480" s="665">
        <v>152025.0</v>
      </c>
      <c r="M1480" s="665">
        <v>0.02</v>
      </c>
      <c r="N1480" s="1">
        <v>1.0575</v>
      </c>
      <c r="O1480" s="1">
        <v>331.0</v>
      </c>
      <c r="P1480" s="1">
        <v>152025.0</v>
      </c>
      <c r="Q1480" s="1">
        <v>0.0208</v>
      </c>
      <c r="R1480" s="1">
        <v>54005.0</v>
      </c>
    </row>
    <row r="1481">
      <c r="A1481" s="663" t="s">
        <v>2352</v>
      </c>
      <c r="B1481" s="663" t="s">
        <v>180</v>
      </c>
      <c r="C1481" s="663" t="s">
        <v>48</v>
      </c>
      <c r="D1481" s="663" t="s">
        <v>599</v>
      </c>
      <c r="E1481" s="664" t="s">
        <v>393</v>
      </c>
      <c r="F1481" s="665">
        <v>15888.0</v>
      </c>
      <c r="G1481" s="665">
        <v>40.0</v>
      </c>
      <c r="H1481" s="665">
        <v>0.25</v>
      </c>
      <c r="I1481" s="665">
        <v>0.03</v>
      </c>
      <c r="J1481" s="665">
        <v>0.03</v>
      </c>
      <c r="K1481" s="665">
        <v>41.0</v>
      </c>
      <c r="L1481" s="665">
        <v>152025.0</v>
      </c>
      <c r="M1481" s="665">
        <v>0.0</v>
      </c>
      <c r="N1481" s="1">
        <v>1.025</v>
      </c>
      <c r="O1481" s="1">
        <v>41.0</v>
      </c>
      <c r="P1481" s="1">
        <v>152025.0</v>
      </c>
      <c r="Q1481" s="1">
        <v>0.0026</v>
      </c>
      <c r="R1481" s="1">
        <v>54005.0</v>
      </c>
    </row>
    <row r="1482">
      <c r="A1482" s="663" t="s">
        <v>2352</v>
      </c>
      <c r="B1482" s="663" t="s">
        <v>180</v>
      </c>
      <c r="C1482" s="663" t="s">
        <v>48</v>
      </c>
      <c r="D1482" s="663" t="s">
        <v>599</v>
      </c>
      <c r="E1482" s="664" t="s">
        <v>415</v>
      </c>
      <c r="F1482" s="665">
        <v>15888.0</v>
      </c>
      <c r="G1482" s="665">
        <v>1.0</v>
      </c>
      <c r="H1482" s="665">
        <v>0.01</v>
      </c>
      <c r="I1482" s="665">
        <v>0.0</v>
      </c>
      <c r="J1482" s="665">
        <v>0.0</v>
      </c>
      <c r="K1482" s="665">
        <v>2.0</v>
      </c>
      <c r="L1482" s="665">
        <v>152025.0</v>
      </c>
      <c r="M1482" s="665">
        <v>0.0</v>
      </c>
      <c r="N1482" s="1">
        <v>2.0</v>
      </c>
      <c r="O1482" s="1">
        <v>2.0</v>
      </c>
      <c r="P1482" s="1">
        <v>152025.0</v>
      </c>
      <c r="Q1482" s="1">
        <v>1.0E-4</v>
      </c>
      <c r="R1482" s="1">
        <v>54005.0</v>
      </c>
    </row>
    <row r="1483">
      <c r="A1483" s="663" t="s">
        <v>2352</v>
      </c>
      <c r="B1483" s="663" t="s">
        <v>180</v>
      </c>
      <c r="C1483" s="663" t="s">
        <v>48</v>
      </c>
      <c r="D1483" s="663" t="s">
        <v>599</v>
      </c>
      <c r="E1483" s="664" t="s">
        <v>151</v>
      </c>
      <c r="F1483" s="665">
        <v>15888.0</v>
      </c>
      <c r="G1483" s="665">
        <v>1.0</v>
      </c>
      <c r="H1483" s="665">
        <v>0.01</v>
      </c>
      <c r="I1483" s="665">
        <v>0.0</v>
      </c>
      <c r="J1483" s="665">
        <v>0.0</v>
      </c>
      <c r="K1483" s="665">
        <v>1.0</v>
      </c>
      <c r="L1483" s="665">
        <v>152025.0</v>
      </c>
      <c r="M1483" s="665">
        <v>0.0</v>
      </c>
      <c r="N1483" s="1">
        <v>1.0</v>
      </c>
      <c r="O1483" s="1">
        <v>1.0</v>
      </c>
      <c r="P1483" s="1">
        <v>152025.0</v>
      </c>
      <c r="Q1483" s="1">
        <v>1.0E-4</v>
      </c>
      <c r="R1483" s="1">
        <v>54005.0</v>
      </c>
    </row>
    <row r="1484">
      <c r="A1484" s="663" t="s">
        <v>2352</v>
      </c>
      <c r="B1484" s="663" t="s">
        <v>180</v>
      </c>
      <c r="C1484" s="663" t="s">
        <v>54</v>
      </c>
      <c r="D1484" s="663" t="s">
        <v>599</v>
      </c>
      <c r="E1484" s="664" t="s">
        <v>396</v>
      </c>
      <c r="F1484" s="665">
        <v>11681.0</v>
      </c>
      <c r="G1484" s="665">
        <v>8774.0</v>
      </c>
      <c r="H1484" s="665">
        <v>75.11</v>
      </c>
      <c r="I1484" s="665">
        <v>24.2</v>
      </c>
      <c r="J1484" s="665">
        <v>33.05</v>
      </c>
      <c r="K1484" s="665">
        <v>13251.0</v>
      </c>
      <c r="L1484" s="665">
        <v>54756.0</v>
      </c>
      <c r="M1484" s="665">
        <v>1.13</v>
      </c>
      <c r="N1484" s="1">
        <v>1.5103</v>
      </c>
      <c r="O1484" s="1">
        <v>13251.0</v>
      </c>
      <c r="P1484" s="1">
        <v>54756.0</v>
      </c>
      <c r="Q1484" s="1">
        <v>1.1344</v>
      </c>
      <c r="R1484" s="1">
        <v>54005.0</v>
      </c>
    </row>
    <row r="1485">
      <c r="A1485" s="663" t="s">
        <v>2352</v>
      </c>
      <c r="B1485" s="663" t="s">
        <v>180</v>
      </c>
      <c r="C1485" s="663" t="s">
        <v>54</v>
      </c>
      <c r="D1485" s="663" t="s">
        <v>599</v>
      </c>
      <c r="E1485" s="664" t="s">
        <v>14</v>
      </c>
      <c r="F1485" s="665">
        <v>11681.0</v>
      </c>
      <c r="G1485" s="665">
        <v>6730.0</v>
      </c>
      <c r="H1485" s="665">
        <v>57.61</v>
      </c>
      <c r="I1485" s="665">
        <v>19.02</v>
      </c>
      <c r="J1485" s="665">
        <v>17.43</v>
      </c>
      <c r="K1485" s="665">
        <v>10415.0</v>
      </c>
      <c r="L1485" s="665">
        <v>54756.0</v>
      </c>
      <c r="M1485" s="665">
        <v>0.89</v>
      </c>
      <c r="N1485" s="1">
        <v>1.5475</v>
      </c>
      <c r="O1485" s="1">
        <v>10415.0</v>
      </c>
      <c r="P1485" s="1">
        <v>54756.0</v>
      </c>
      <c r="Q1485" s="1">
        <v>0.8916</v>
      </c>
      <c r="R1485" s="1">
        <v>54005.0</v>
      </c>
    </row>
    <row r="1486">
      <c r="A1486" s="663" t="s">
        <v>2352</v>
      </c>
      <c r="B1486" s="663" t="s">
        <v>180</v>
      </c>
      <c r="C1486" s="663" t="s">
        <v>54</v>
      </c>
      <c r="D1486" s="663" t="s">
        <v>599</v>
      </c>
      <c r="E1486" s="664" t="s">
        <v>9</v>
      </c>
      <c r="F1486" s="665">
        <v>11681.0</v>
      </c>
      <c r="G1486" s="665">
        <v>6323.0</v>
      </c>
      <c r="H1486" s="665">
        <v>54.13</v>
      </c>
      <c r="I1486" s="665">
        <v>15.22</v>
      </c>
      <c r="J1486" s="665">
        <v>14.69</v>
      </c>
      <c r="K1486" s="665">
        <v>8332.0</v>
      </c>
      <c r="L1486" s="665">
        <v>54756.0</v>
      </c>
      <c r="M1486" s="665">
        <v>0.71</v>
      </c>
      <c r="N1486" s="1">
        <v>1.3177</v>
      </c>
      <c r="O1486" s="1">
        <v>8332.0</v>
      </c>
      <c r="P1486" s="1">
        <v>54756.0</v>
      </c>
      <c r="Q1486" s="1">
        <v>0.7133</v>
      </c>
      <c r="R1486" s="1">
        <v>54005.0</v>
      </c>
    </row>
    <row r="1487">
      <c r="A1487" s="663" t="s">
        <v>2352</v>
      </c>
      <c r="B1487" s="663" t="s">
        <v>180</v>
      </c>
      <c r="C1487" s="663" t="s">
        <v>54</v>
      </c>
      <c r="D1487" s="663" t="s">
        <v>599</v>
      </c>
      <c r="E1487" s="664" t="s">
        <v>16</v>
      </c>
      <c r="F1487" s="665">
        <v>11681.0</v>
      </c>
      <c r="G1487" s="665">
        <v>2880.0</v>
      </c>
      <c r="H1487" s="665">
        <v>24.66</v>
      </c>
      <c r="I1487" s="665">
        <v>9.26</v>
      </c>
      <c r="J1487" s="665">
        <v>7.53</v>
      </c>
      <c r="K1487" s="665">
        <v>5069.0</v>
      </c>
      <c r="L1487" s="665">
        <v>54756.0</v>
      </c>
      <c r="M1487" s="665">
        <v>0.43</v>
      </c>
      <c r="N1487" s="1">
        <v>1.7601</v>
      </c>
      <c r="O1487" s="1">
        <v>5069.0</v>
      </c>
      <c r="P1487" s="1">
        <v>54756.0</v>
      </c>
      <c r="Q1487" s="1">
        <v>0.434</v>
      </c>
      <c r="R1487" s="1">
        <v>54005.0</v>
      </c>
    </row>
    <row r="1488">
      <c r="A1488" s="663" t="s">
        <v>2352</v>
      </c>
      <c r="B1488" s="663" t="s">
        <v>180</v>
      </c>
      <c r="C1488" s="663" t="s">
        <v>54</v>
      </c>
      <c r="D1488" s="663" t="s">
        <v>599</v>
      </c>
      <c r="E1488" s="664" t="s">
        <v>42</v>
      </c>
      <c r="F1488" s="665">
        <v>11681.0</v>
      </c>
      <c r="G1488" s="665">
        <v>3304.0</v>
      </c>
      <c r="H1488" s="665">
        <v>28.29</v>
      </c>
      <c r="I1488" s="665">
        <v>7.83</v>
      </c>
      <c r="J1488" s="665">
        <v>10.38</v>
      </c>
      <c r="K1488" s="665">
        <v>4285.0</v>
      </c>
      <c r="L1488" s="665">
        <v>54756.0</v>
      </c>
      <c r="M1488" s="665">
        <v>0.37</v>
      </c>
      <c r="N1488" s="1">
        <v>1.2969</v>
      </c>
      <c r="O1488" s="1">
        <v>4285.0</v>
      </c>
      <c r="P1488" s="1">
        <v>54756.0</v>
      </c>
      <c r="Q1488" s="1">
        <v>0.3668</v>
      </c>
      <c r="R1488" s="1">
        <v>54005.0</v>
      </c>
    </row>
    <row r="1489">
      <c r="A1489" s="663" t="s">
        <v>2352</v>
      </c>
      <c r="B1489" s="663" t="s">
        <v>180</v>
      </c>
      <c r="C1489" s="663" t="s">
        <v>54</v>
      </c>
      <c r="D1489" s="663" t="s">
        <v>599</v>
      </c>
      <c r="E1489" s="664" t="s">
        <v>63</v>
      </c>
      <c r="F1489" s="665">
        <v>11681.0</v>
      </c>
      <c r="G1489" s="665">
        <v>1974.0</v>
      </c>
      <c r="H1489" s="665">
        <v>16.9</v>
      </c>
      <c r="I1489" s="665">
        <v>4.97</v>
      </c>
      <c r="J1489" s="665">
        <v>3.66</v>
      </c>
      <c r="K1489" s="665">
        <v>2724.0</v>
      </c>
      <c r="L1489" s="665">
        <v>54756.0</v>
      </c>
      <c r="M1489" s="665">
        <v>0.23</v>
      </c>
      <c r="N1489" s="1">
        <v>1.3799</v>
      </c>
      <c r="O1489" s="1">
        <v>2724.0</v>
      </c>
      <c r="P1489" s="1">
        <v>54756.0</v>
      </c>
      <c r="Q1489" s="1">
        <v>0.2332</v>
      </c>
      <c r="R1489" s="1">
        <v>54005.0</v>
      </c>
    </row>
    <row r="1490">
      <c r="A1490" s="663" t="s">
        <v>2352</v>
      </c>
      <c r="B1490" s="663" t="s">
        <v>180</v>
      </c>
      <c r="C1490" s="663" t="s">
        <v>54</v>
      </c>
      <c r="D1490" s="663" t="s">
        <v>599</v>
      </c>
      <c r="E1490" s="664" t="s">
        <v>393</v>
      </c>
      <c r="F1490" s="665">
        <v>11681.0</v>
      </c>
      <c r="G1490" s="665">
        <v>1024.0</v>
      </c>
      <c r="H1490" s="665">
        <v>8.77</v>
      </c>
      <c r="I1490" s="665">
        <v>3.16</v>
      </c>
      <c r="J1490" s="665">
        <v>2.03</v>
      </c>
      <c r="K1490" s="665">
        <v>1732.0</v>
      </c>
      <c r="L1490" s="665">
        <v>54756.0</v>
      </c>
      <c r="M1490" s="665">
        <v>0.15</v>
      </c>
      <c r="N1490" s="1">
        <v>1.6914</v>
      </c>
      <c r="O1490" s="1">
        <v>1732.0</v>
      </c>
      <c r="P1490" s="1">
        <v>54756.0</v>
      </c>
      <c r="Q1490" s="1">
        <v>0.1483</v>
      </c>
      <c r="R1490" s="1">
        <v>54005.0</v>
      </c>
    </row>
    <row r="1491">
      <c r="A1491" s="663" t="s">
        <v>2352</v>
      </c>
      <c r="B1491" s="663" t="s">
        <v>180</v>
      </c>
      <c r="C1491" s="663" t="s">
        <v>54</v>
      </c>
      <c r="D1491" s="663" t="s">
        <v>599</v>
      </c>
      <c r="E1491" s="664" t="s">
        <v>411</v>
      </c>
      <c r="F1491" s="665">
        <v>11681.0</v>
      </c>
      <c r="G1491" s="665">
        <v>1376.0</v>
      </c>
      <c r="H1491" s="665">
        <v>11.78</v>
      </c>
      <c r="I1491" s="665">
        <v>3.02</v>
      </c>
      <c r="J1491" s="665">
        <v>1.96</v>
      </c>
      <c r="K1491" s="665">
        <v>1656.0</v>
      </c>
      <c r="L1491" s="665">
        <v>54756.0</v>
      </c>
      <c r="M1491" s="665">
        <v>0.14</v>
      </c>
      <c r="N1491" s="1">
        <v>1.2035</v>
      </c>
      <c r="O1491" s="1">
        <v>1656.0</v>
      </c>
      <c r="P1491" s="1">
        <v>54756.0</v>
      </c>
      <c r="Q1491" s="1">
        <v>0.1418</v>
      </c>
      <c r="R1491" s="1">
        <v>54005.0</v>
      </c>
    </row>
    <row r="1492">
      <c r="A1492" s="663" t="s">
        <v>2352</v>
      </c>
      <c r="B1492" s="663" t="s">
        <v>180</v>
      </c>
      <c r="C1492" s="663" t="s">
        <v>54</v>
      </c>
      <c r="D1492" s="663" t="s">
        <v>599</v>
      </c>
      <c r="E1492" s="664" t="s">
        <v>15</v>
      </c>
      <c r="F1492" s="665">
        <v>11681.0</v>
      </c>
      <c r="G1492" s="665">
        <v>1228.0</v>
      </c>
      <c r="H1492" s="665">
        <v>10.51</v>
      </c>
      <c r="I1492" s="665">
        <v>3.02</v>
      </c>
      <c r="J1492" s="665">
        <v>2.48</v>
      </c>
      <c r="K1492" s="665">
        <v>1652.0</v>
      </c>
      <c r="L1492" s="665">
        <v>54756.0</v>
      </c>
      <c r="M1492" s="665">
        <v>0.14</v>
      </c>
      <c r="N1492" s="1">
        <v>1.3453</v>
      </c>
      <c r="O1492" s="1">
        <v>1652.0</v>
      </c>
      <c r="P1492" s="1">
        <v>54756.0</v>
      </c>
      <c r="Q1492" s="1">
        <v>0.1414</v>
      </c>
      <c r="R1492" s="1">
        <v>54005.0</v>
      </c>
    </row>
    <row r="1493">
      <c r="A1493" s="663" t="s">
        <v>2352</v>
      </c>
      <c r="B1493" s="663" t="s">
        <v>180</v>
      </c>
      <c r="C1493" s="663" t="s">
        <v>54</v>
      </c>
      <c r="D1493" s="663" t="s">
        <v>599</v>
      </c>
      <c r="E1493" s="664" t="s">
        <v>398</v>
      </c>
      <c r="F1493" s="665">
        <v>11681.0</v>
      </c>
      <c r="G1493" s="665">
        <v>859.0</v>
      </c>
      <c r="H1493" s="665">
        <v>7.35</v>
      </c>
      <c r="I1493" s="665">
        <v>2.87</v>
      </c>
      <c r="J1493" s="665">
        <v>0.94</v>
      </c>
      <c r="K1493" s="665">
        <v>1572.0</v>
      </c>
      <c r="L1493" s="665">
        <v>54756.0</v>
      </c>
      <c r="M1493" s="665">
        <v>0.13</v>
      </c>
      <c r="N1493" s="1">
        <v>1.83</v>
      </c>
      <c r="O1493" s="1">
        <v>1572.0</v>
      </c>
      <c r="P1493" s="1">
        <v>54756.0</v>
      </c>
      <c r="Q1493" s="1">
        <v>0.1346</v>
      </c>
      <c r="R1493" s="1">
        <v>54005.0</v>
      </c>
    </row>
    <row r="1494">
      <c r="A1494" s="663" t="s">
        <v>2352</v>
      </c>
      <c r="B1494" s="663" t="s">
        <v>180</v>
      </c>
      <c r="C1494" s="663" t="s">
        <v>54</v>
      </c>
      <c r="D1494" s="663" t="s">
        <v>599</v>
      </c>
      <c r="E1494" s="664" t="s">
        <v>338</v>
      </c>
      <c r="F1494" s="665">
        <v>11681.0</v>
      </c>
      <c r="G1494" s="665">
        <v>913.0</v>
      </c>
      <c r="H1494" s="665">
        <v>7.82</v>
      </c>
      <c r="I1494" s="665">
        <v>1.86</v>
      </c>
      <c r="J1494" s="665">
        <v>1.48</v>
      </c>
      <c r="K1494" s="665">
        <v>1019.0</v>
      </c>
      <c r="L1494" s="665">
        <v>54756.0</v>
      </c>
      <c r="M1494" s="665">
        <v>0.09</v>
      </c>
      <c r="N1494" s="1">
        <v>1.1161</v>
      </c>
      <c r="O1494" s="1">
        <v>1019.0</v>
      </c>
      <c r="P1494" s="1">
        <v>54756.0</v>
      </c>
      <c r="Q1494" s="1">
        <v>0.0872</v>
      </c>
      <c r="R1494" s="1">
        <v>54005.0</v>
      </c>
    </row>
    <row r="1495">
      <c r="A1495" s="663" t="s">
        <v>2352</v>
      </c>
      <c r="B1495" s="663" t="s">
        <v>180</v>
      </c>
      <c r="C1495" s="663" t="s">
        <v>54</v>
      </c>
      <c r="D1495" s="663" t="s">
        <v>599</v>
      </c>
      <c r="E1495" s="664" t="s">
        <v>329</v>
      </c>
      <c r="F1495" s="665">
        <v>11681.0</v>
      </c>
      <c r="G1495" s="665">
        <v>837.0</v>
      </c>
      <c r="H1495" s="665">
        <v>7.17</v>
      </c>
      <c r="I1495" s="665">
        <v>1.72</v>
      </c>
      <c r="J1495" s="665">
        <v>1.57</v>
      </c>
      <c r="K1495" s="665">
        <v>941.0</v>
      </c>
      <c r="L1495" s="665">
        <v>54756.0</v>
      </c>
      <c r="M1495" s="665">
        <v>0.08</v>
      </c>
      <c r="N1495" s="1">
        <v>1.1243</v>
      </c>
      <c r="O1495" s="1">
        <v>941.0</v>
      </c>
      <c r="P1495" s="1">
        <v>54756.0</v>
      </c>
      <c r="Q1495" s="1">
        <v>0.0806</v>
      </c>
      <c r="R1495" s="1">
        <v>54005.0</v>
      </c>
    </row>
    <row r="1496">
      <c r="A1496" s="663" t="s">
        <v>2352</v>
      </c>
      <c r="B1496" s="663" t="s">
        <v>180</v>
      </c>
      <c r="C1496" s="663" t="s">
        <v>54</v>
      </c>
      <c r="D1496" s="663" t="s">
        <v>599</v>
      </c>
      <c r="E1496" s="664" t="s">
        <v>341</v>
      </c>
      <c r="F1496" s="665">
        <v>11681.0</v>
      </c>
      <c r="G1496" s="665">
        <v>764.0</v>
      </c>
      <c r="H1496" s="665">
        <v>6.54</v>
      </c>
      <c r="I1496" s="665">
        <v>1.57</v>
      </c>
      <c r="J1496" s="665">
        <v>1.49</v>
      </c>
      <c r="K1496" s="665">
        <v>860.0</v>
      </c>
      <c r="L1496" s="665">
        <v>54756.0</v>
      </c>
      <c r="M1496" s="665">
        <v>0.07</v>
      </c>
      <c r="N1496" s="1">
        <v>1.1257</v>
      </c>
      <c r="O1496" s="1">
        <v>860.0</v>
      </c>
      <c r="P1496" s="1">
        <v>54756.0</v>
      </c>
      <c r="Q1496" s="1">
        <v>0.0736</v>
      </c>
      <c r="R1496" s="1">
        <v>54005.0</v>
      </c>
    </row>
    <row r="1497">
      <c r="A1497" s="663" t="s">
        <v>2352</v>
      </c>
      <c r="B1497" s="663" t="s">
        <v>180</v>
      </c>
      <c r="C1497" s="663" t="s">
        <v>54</v>
      </c>
      <c r="D1497" s="663" t="s">
        <v>599</v>
      </c>
      <c r="E1497" s="664" t="s">
        <v>397</v>
      </c>
      <c r="F1497" s="665">
        <v>11681.0</v>
      </c>
      <c r="G1497" s="665">
        <v>477.0</v>
      </c>
      <c r="H1497" s="665">
        <v>4.08</v>
      </c>
      <c r="I1497" s="665">
        <v>0.9</v>
      </c>
      <c r="J1497" s="665">
        <v>0.49</v>
      </c>
      <c r="K1497" s="665">
        <v>494.0</v>
      </c>
      <c r="L1497" s="665">
        <v>54756.0</v>
      </c>
      <c r="M1497" s="665">
        <v>0.04</v>
      </c>
      <c r="N1497" s="1">
        <v>1.0356</v>
      </c>
      <c r="O1497" s="1">
        <v>494.0</v>
      </c>
      <c r="P1497" s="1">
        <v>54756.0</v>
      </c>
      <c r="Q1497" s="1">
        <v>0.0423</v>
      </c>
      <c r="R1497" s="1">
        <v>54005.0</v>
      </c>
    </row>
    <row r="1498">
      <c r="A1498" s="663" t="s">
        <v>2352</v>
      </c>
      <c r="B1498" s="663" t="s">
        <v>180</v>
      </c>
      <c r="C1498" s="663" t="s">
        <v>54</v>
      </c>
      <c r="D1498" s="663" t="s">
        <v>599</v>
      </c>
      <c r="E1498" s="664" t="s">
        <v>401</v>
      </c>
      <c r="F1498" s="665">
        <v>11681.0</v>
      </c>
      <c r="G1498" s="665">
        <v>331.0</v>
      </c>
      <c r="H1498" s="665">
        <v>2.83</v>
      </c>
      <c r="I1498" s="665">
        <v>0.62</v>
      </c>
      <c r="J1498" s="665">
        <v>0.23</v>
      </c>
      <c r="K1498" s="665">
        <v>337.0</v>
      </c>
      <c r="L1498" s="665">
        <v>54756.0</v>
      </c>
      <c r="M1498" s="665">
        <v>0.03</v>
      </c>
      <c r="N1498" s="1">
        <v>1.0181</v>
      </c>
      <c r="O1498" s="1">
        <v>337.0</v>
      </c>
      <c r="P1498" s="1">
        <v>54756.0</v>
      </c>
      <c r="Q1498" s="1">
        <v>0.0289</v>
      </c>
      <c r="R1498" s="1">
        <v>54005.0</v>
      </c>
    </row>
    <row r="1499">
      <c r="A1499" s="663" t="s">
        <v>2352</v>
      </c>
      <c r="B1499" s="663" t="s">
        <v>180</v>
      </c>
      <c r="C1499" s="663" t="s">
        <v>54</v>
      </c>
      <c r="D1499" s="663" t="s">
        <v>599</v>
      </c>
      <c r="E1499" s="664" t="s">
        <v>7</v>
      </c>
      <c r="F1499" s="665">
        <v>11681.0</v>
      </c>
      <c r="G1499" s="665">
        <v>215.0</v>
      </c>
      <c r="H1499" s="665">
        <v>1.84</v>
      </c>
      <c r="I1499" s="665">
        <v>0.44</v>
      </c>
      <c r="J1499" s="665">
        <v>0.24</v>
      </c>
      <c r="K1499" s="665">
        <v>241.0</v>
      </c>
      <c r="L1499" s="665">
        <v>54756.0</v>
      </c>
      <c r="M1499" s="665">
        <v>0.02</v>
      </c>
      <c r="N1499" s="1">
        <v>1.1209</v>
      </c>
      <c r="O1499" s="1">
        <v>241.0</v>
      </c>
      <c r="P1499" s="1">
        <v>54756.0</v>
      </c>
      <c r="Q1499" s="1">
        <v>0.0206</v>
      </c>
      <c r="R1499" s="1">
        <v>54005.0</v>
      </c>
    </row>
    <row r="1500">
      <c r="A1500" s="663" t="s">
        <v>2352</v>
      </c>
      <c r="B1500" s="663" t="s">
        <v>180</v>
      </c>
      <c r="C1500" s="663" t="s">
        <v>54</v>
      </c>
      <c r="D1500" s="663" t="s">
        <v>599</v>
      </c>
      <c r="E1500" s="664" t="s">
        <v>206</v>
      </c>
      <c r="F1500" s="665">
        <v>11681.0</v>
      </c>
      <c r="G1500" s="665">
        <v>112.0</v>
      </c>
      <c r="H1500" s="665">
        <v>0.96</v>
      </c>
      <c r="I1500" s="665">
        <v>0.21</v>
      </c>
      <c r="J1500" s="665">
        <v>0.06</v>
      </c>
      <c r="K1500" s="665">
        <v>116.0</v>
      </c>
      <c r="L1500" s="665">
        <v>54756.0</v>
      </c>
      <c r="M1500" s="665">
        <v>0.01</v>
      </c>
      <c r="N1500" s="1">
        <v>1.0357</v>
      </c>
      <c r="O1500" s="1">
        <v>116.0</v>
      </c>
      <c r="P1500" s="1">
        <v>54756.0</v>
      </c>
      <c r="Q1500" s="1">
        <v>0.0099</v>
      </c>
      <c r="R1500" s="1">
        <v>54005.0</v>
      </c>
    </row>
    <row r="1501">
      <c r="A1501" s="663" t="s">
        <v>2352</v>
      </c>
      <c r="B1501" s="663" t="s">
        <v>180</v>
      </c>
      <c r="C1501" s="663" t="s">
        <v>54</v>
      </c>
      <c r="D1501" s="663" t="s">
        <v>599</v>
      </c>
      <c r="E1501" s="664" t="s">
        <v>418</v>
      </c>
      <c r="F1501" s="665">
        <v>11681.0</v>
      </c>
      <c r="G1501" s="665">
        <v>52.0</v>
      </c>
      <c r="H1501" s="665">
        <v>0.45</v>
      </c>
      <c r="I1501" s="665">
        <v>0.1</v>
      </c>
      <c r="J1501" s="665">
        <v>0.27</v>
      </c>
      <c r="K1501" s="665">
        <v>55.0</v>
      </c>
      <c r="L1501" s="665">
        <v>54756.0</v>
      </c>
      <c r="M1501" s="665">
        <v>0.0</v>
      </c>
      <c r="N1501" s="1">
        <v>1.0577</v>
      </c>
      <c r="O1501" s="1">
        <v>55.0</v>
      </c>
      <c r="P1501" s="1">
        <v>54756.0</v>
      </c>
      <c r="Q1501" s="1">
        <v>0.0047</v>
      </c>
      <c r="R1501" s="1">
        <v>54005.0</v>
      </c>
    </row>
    <row r="1502">
      <c r="A1502" s="663" t="s">
        <v>2352</v>
      </c>
      <c r="B1502" s="663" t="s">
        <v>180</v>
      </c>
      <c r="C1502" s="663" t="s">
        <v>54</v>
      </c>
      <c r="D1502" s="663" t="s">
        <v>599</v>
      </c>
      <c r="E1502" s="664" t="s">
        <v>151</v>
      </c>
      <c r="F1502" s="665">
        <v>11681.0</v>
      </c>
      <c r="G1502" s="665">
        <v>4.0</v>
      </c>
      <c r="H1502" s="665">
        <v>0.03</v>
      </c>
      <c r="I1502" s="665">
        <v>0.01</v>
      </c>
      <c r="J1502" s="665">
        <v>0.01</v>
      </c>
      <c r="K1502" s="665">
        <v>4.0</v>
      </c>
      <c r="L1502" s="665">
        <v>54756.0</v>
      </c>
      <c r="M1502" s="665">
        <v>0.0</v>
      </c>
      <c r="N1502" s="1">
        <v>1.0</v>
      </c>
      <c r="O1502" s="1">
        <v>4.0</v>
      </c>
      <c r="P1502" s="1">
        <v>54756.0</v>
      </c>
      <c r="Q1502" s="1">
        <v>3.0E-4</v>
      </c>
      <c r="R1502" s="1">
        <v>54005.0</v>
      </c>
    </row>
    <row r="1503">
      <c r="A1503" s="663" t="s">
        <v>2352</v>
      </c>
      <c r="B1503" s="663" t="s">
        <v>180</v>
      </c>
      <c r="C1503" s="663" t="s">
        <v>54</v>
      </c>
      <c r="D1503" s="663" t="s">
        <v>599</v>
      </c>
      <c r="E1503" s="664" t="s">
        <v>413</v>
      </c>
      <c r="F1503" s="665">
        <v>11681.0</v>
      </c>
      <c r="G1503" s="665">
        <v>1.0</v>
      </c>
      <c r="H1503" s="665">
        <v>0.01</v>
      </c>
      <c r="I1503" s="665">
        <v>0.0</v>
      </c>
      <c r="J1503" s="665">
        <v>0.0</v>
      </c>
      <c r="K1503" s="665">
        <v>1.0</v>
      </c>
      <c r="L1503" s="665">
        <v>54756.0</v>
      </c>
      <c r="M1503" s="665">
        <v>0.0</v>
      </c>
      <c r="N1503" s="1">
        <v>1.0</v>
      </c>
      <c r="O1503" s="1">
        <v>1.0</v>
      </c>
      <c r="P1503" s="1">
        <v>54756.0</v>
      </c>
      <c r="Q1503" s="1">
        <v>1.0E-4</v>
      </c>
      <c r="R1503" s="1">
        <v>54005.0</v>
      </c>
    </row>
    <row r="1504">
      <c r="A1504" s="663" t="s">
        <v>2352</v>
      </c>
      <c r="B1504" s="663" t="s">
        <v>180</v>
      </c>
      <c r="C1504" s="663" t="s">
        <v>1205</v>
      </c>
      <c r="D1504" s="663" t="s">
        <v>1205</v>
      </c>
      <c r="E1504" s="664" t="s">
        <v>396</v>
      </c>
      <c r="F1504" s="665">
        <v>16208.0</v>
      </c>
      <c r="G1504" s="665">
        <v>15577.0</v>
      </c>
      <c r="H1504" s="665">
        <v>96.11</v>
      </c>
      <c r="I1504" s="665">
        <v>29.65</v>
      </c>
      <c r="J1504" s="665">
        <v>43.82</v>
      </c>
      <c r="K1504" s="665">
        <v>4043210.0</v>
      </c>
      <c r="L1504" s="665">
        <v>1.363794143E7</v>
      </c>
      <c r="M1504" s="665">
        <v>249.46</v>
      </c>
      <c r="N1504" s="1">
        <v>259.5628</v>
      </c>
      <c r="O1504" s="1">
        <v>4043210.0</v>
      </c>
      <c r="P1504" s="1">
        <v>1.3798118E7</v>
      </c>
      <c r="Q1504" s="1">
        <v>249.4577</v>
      </c>
      <c r="R1504" s="1">
        <v>54005.0</v>
      </c>
    </row>
    <row r="1505">
      <c r="A1505" s="663" t="s">
        <v>2352</v>
      </c>
      <c r="B1505" s="663" t="s">
        <v>180</v>
      </c>
      <c r="C1505" s="663" t="s">
        <v>1205</v>
      </c>
      <c r="D1505" s="663" t="s">
        <v>1205</v>
      </c>
      <c r="E1505" s="664" t="s">
        <v>398</v>
      </c>
      <c r="F1505" s="665">
        <v>16208.0</v>
      </c>
      <c r="G1505" s="665">
        <v>8960.0</v>
      </c>
      <c r="H1505" s="665">
        <v>55.28</v>
      </c>
      <c r="I1505" s="665">
        <v>17.07</v>
      </c>
      <c r="J1505" s="665">
        <v>8.72</v>
      </c>
      <c r="K1505" s="665">
        <v>2328010.0</v>
      </c>
      <c r="L1505" s="665">
        <v>1.363794143E7</v>
      </c>
      <c r="M1505" s="665">
        <v>143.63</v>
      </c>
      <c r="N1505" s="1">
        <v>259.8225</v>
      </c>
      <c r="O1505" s="1">
        <v>2328010.0</v>
      </c>
      <c r="P1505" s="1">
        <v>1.3798118E7</v>
      </c>
      <c r="Q1505" s="1">
        <v>143.6334</v>
      </c>
      <c r="R1505" s="1">
        <v>54005.0</v>
      </c>
    </row>
    <row r="1506">
      <c r="A1506" s="663" t="s">
        <v>2352</v>
      </c>
      <c r="B1506" s="663" t="s">
        <v>180</v>
      </c>
      <c r="C1506" s="663" t="s">
        <v>1205</v>
      </c>
      <c r="D1506" s="663" t="s">
        <v>1205</v>
      </c>
      <c r="E1506" s="664" t="s">
        <v>418</v>
      </c>
      <c r="F1506" s="665">
        <v>16208.0</v>
      </c>
      <c r="G1506" s="665">
        <v>15912.0</v>
      </c>
      <c r="H1506" s="665">
        <v>98.17</v>
      </c>
      <c r="I1506" s="665">
        <v>11.98</v>
      </c>
      <c r="J1506" s="665">
        <v>12.58</v>
      </c>
      <c r="K1506" s="665">
        <v>1634270.0</v>
      </c>
      <c r="L1506" s="665">
        <v>1.363794143E7</v>
      </c>
      <c r="M1506" s="665">
        <v>100.83</v>
      </c>
      <c r="N1506" s="1">
        <v>102.7068</v>
      </c>
      <c r="O1506" s="1">
        <v>1634270.0</v>
      </c>
      <c r="P1506" s="1">
        <v>1.3798118E7</v>
      </c>
      <c r="Q1506" s="1">
        <v>100.8311</v>
      </c>
      <c r="R1506" s="1">
        <v>54005.0</v>
      </c>
    </row>
    <row r="1507">
      <c r="A1507" s="663" t="s">
        <v>2352</v>
      </c>
      <c r="B1507" s="663" t="s">
        <v>180</v>
      </c>
      <c r="C1507" s="663" t="s">
        <v>1205</v>
      </c>
      <c r="D1507" s="663" t="s">
        <v>1205</v>
      </c>
      <c r="E1507" s="664" t="s">
        <v>397</v>
      </c>
      <c r="F1507" s="665">
        <v>16208.0</v>
      </c>
      <c r="G1507" s="665">
        <v>13881.0</v>
      </c>
      <c r="H1507" s="665">
        <v>85.64</v>
      </c>
      <c r="I1507" s="665">
        <v>4.9</v>
      </c>
      <c r="J1507" s="665">
        <v>4.86</v>
      </c>
      <c r="K1507" s="665">
        <v>668040.0</v>
      </c>
      <c r="L1507" s="665">
        <v>1.363794143E7</v>
      </c>
      <c r="M1507" s="665">
        <v>41.22</v>
      </c>
      <c r="N1507" s="1">
        <v>48.1262</v>
      </c>
      <c r="O1507" s="1">
        <v>668040.0</v>
      </c>
      <c r="P1507" s="1">
        <v>1.3798118E7</v>
      </c>
      <c r="Q1507" s="1">
        <v>41.2167</v>
      </c>
      <c r="R1507" s="1">
        <v>54005.0</v>
      </c>
    </row>
    <row r="1508">
      <c r="A1508" s="663" t="s">
        <v>2352</v>
      </c>
      <c r="B1508" s="663" t="s">
        <v>180</v>
      </c>
      <c r="C1508" s="663" t="s">
        <v>1205</v>
      </c>
      <c r="D1508" s="663" t="s">
        <v>1205</v>
      </c>
      <c r="E1508" s="664" t="s">
        <v>14</v>
      </c>
      <c r="F1508" s="665">
        <v>16208.0</v>
      </c>
      <c r="G1508" s="665">
        <v>11236.0</v>
      </c>
      <c r="H1508" s="665">
        <v>69.32</v>
      </c>
      <c r="I1508" s="665">
        <v>3.92</v>
      </c>
      <c r="J1508" s="665">
        <v>4.17</v>
      </c>
      <c r="K1508" s="665">
        <v>535243.43</v>
      </c>
      <c r="L1508" s="665">
        <v>1.363794143E7</v>
      </c>
      <c r="M1508" s="665">
        <v>33.02</v>
      </c>
      <c r="N1508" s="1">
        <v>47.6365</v>
      </c>
      <c r="O1508" s="1">
        <v>695420.0</v>
      </c>
      <c r="P1508" s="1">
        <v>1.3798118E7</v>
      </c>
      <c r="Q1508" s="1">
        <v>42.906</v>
      </c>
      <c r="R1508" s="1">
        <v>54005.0</v>
      </c>
    </row>
    <row r="1509">
      <c r="A1509" s="663" t="s">
        <v>2352</v>
      </c>
      <c r="B1509" s="663" t="s">
        <v>180</v>
      </c>
      <c r="C1509" s="663" t="s">
        <v>1205</v>
      </c>
      <c r="D1509" s="663" t="s">
        <v>1205</v>
      </c>
      <c r="E1509" s="664" t="s">
        <v>15</v>
      </c>
      <c r="F1509" s="665">
        <v>16208.0</v>
      </c>
      <c r="G1509" s="665">
        <v>2847.0</v>
      </c>
      <c r="H1509" s="665">
        <v>17.57</v>
      </c>
      <c r="I1509" s="665">
        <v>3.33</v>
      </c>
      <c r="J1509" s="665">
        <v>2.07</v>
      </c>
      <c r="K1509" s="665">
        <v>453500.0</v>
      </c>
      <c r="L1509" s="665">
        <v>1.363794143E7</v>
      </c>
      <c r="M1509" s="665">
        <v>27.98</v>
      </c>
      <c r="N1509" s="1">
        <v>159.2905</v>
      </c>
      <c r="O1509" s="1">
        <v>453500.0</v>
      </c>
      <c r="P1509" s="1">
        <v>1.3798118E7</v>
      </c>
      <c r="Q1509" s="1">
        <v>27.98</v>
      </c>
      <c r="R1509" s="1">
        <v>54005.0</v>
      </c>
    </row>
    <row r="1510">
      <c r="A1510" s="663" t="s">
        <v>2352</v>
      </c>
      <c r="B1510" s="663" t="s">
        <v>180</v>
      </c>
      <c r="C1510" s="663" t="s">
        <v>1205</v>
      </c>
      <c r="D1510" s="663" t="s">
        <v>1205</v>
      </c>
      <c r="E1510" s="664" t="s">
        <v>63</v>
      </c>
      <c r="F1510" s="665">
        <v>16208.0</v>
      </c>
      <c r="G1510" s="665">
        <v>4055.0</v>
      </c>
      <c r="H1510" s="665">
        <v>25.02</v>
      </c>
      <c r="I1510" s="665">
        <v>3.26</v>
      </c>
      <c r="J1510" s="665">
        <v>2.11</v>
      </c>
      <c r="K1510" s="665">
        <v>444925.0</v>
      </c>
      <c r="L1510" s="665">
        <v>1.363794143E7</v>
      </c>
      <c r="M1510" s="665">
        <v>27.45</v>
      </c>
      <c r="N1510" s="1">
        <v>109.7226</v>
      </c>
      <c r="O1510" s="1">
        <v>444925.0</v>
      </c>
      <c r="P1510" s="1">
        <v>1.3798118E7</v>
      </c>
      <c r="Q1510" s="1">
        <v>27.451</v>
      </c>
      <c r="R1510" s="1">
        <v>54005.0</v>
      </c>
    </row>
    <row r="1511">
      <c r="A1511" s="663" t="s">
        <v>2352</v>
      </c>
      <c r="B1511" s="663" t="s">
        <v>180</v>
      </c>
      <c r="C1511" s="663" t="s">
        <v>1205</v>
      </c>
      <c r="D1511" s="663" t="s">
        <v>1205</v>
      </c>
      <c r="E1511" s="664" t="s">
        <v>413</v>
      </c>
      <c r="F1511" s="665">
        <v>16208.0</v>
      </c>
      <c r="G1511" s="665">
        <v>9410.0</v>
      </c>
      <c r="H1511" s="665">
        <v>58.06</v>
      </c>
      <c r="I1511" s="665">
        <v>3.16</v>
      </c>
      <c r="J1511" s="665">
        <v>4.06</v>
      </c>
      <c r="K1511" s="665">
        <v>431110.0</v>
      </c>
      <c r="L1511" s="665">
        <v>1.363794143E7</v>
      </c>
      <c r="M1511" s="665">
        <v>26.6</v>
      </c>
      <c r="N1511" s="1">
        <v>45.814</v>
      </c>
      <c r="O1511" s="1">
        <v>431110.0</v>
      </c>
      <c r="P1511" s="1">
        <v>1.3798118E7</v>
      </c>
      <c r="Q1511" s="1">
        <v>26.5986</v>
      </c>
      <c r="R1511" s="1">
        <v>54005.0</v>
      </c>
    </row>
    <row r="1512">
      <c r="A1512" s="663" t="s">
        <v>2352</v>
      </c>
      <c r="B1512" s="663" t="s">
        <v>180</v>
      </c>
      <c r="C1512" s="663" t="s">
        <v>1205</v>
      </c>
      <c r="D1512" s="663" t="s">
        <v>1205</v>
      </c>
      <c r="E1512" s="664" t="s">
        <v>411</v>
      </c>
      <c r="F1512" s="665">
        <v>16208.0</v>
      </c>
      <c r="G1512" s="665">
        <v>5050.0</v>
      </c>
      <c r="H1512" s="665">
        <v>31.16</v>
      </c>
      <c r="I1512" s="665">
        <v>2.99</v>
      </c>
      <c r="J1512" s="665">
        <v>2.58</v>
      </c>
      <c r="K1512" s="665">
        <v>408398.0</v>
      </c>
      <c r="L1512" s="665">
        <v>1.363794143E7</v>
      </c>
      <c r="M1512" s="665">
        <v>25.2</v>
      </c>
      <c r="N1512" s="1">
        <v>80.8709</v>
      </c>
      <c r="O1512" s="1">
        <v>408398.0</v>
      </c>
      <c r="P1512" s="1">
        <v>1.3798118E7</v>
      </c>
      <c r="Q1512" s="1">
        <v>25.1973</v>
      </c>
      <c r="R1512" s="1">
        <v>54005.0</v>
      </c>
    </row>
    <row r="1513">
      <c r="A1513" s="663" t="s">
        <v>2352</v>
      </c>
      <c r="B1513" s="663" t="s">
        <v>180</v>
      </c>
      <c r="C1513" s="663" t="s">
        <v>1205</v>
      </c>
      <c r="D1513" s="663" t="s">
        <v>1205</v>
      </c>
      <c r="E1513" s="664" t="s">
        <v>16</v>
      </c>
      <c r="F1513" s="665">
        <v>16208.0</v>
      </c>
      <c r="G1513" s="665">
        <v>2875.0</v>
      </c>
      <c r="H1513" s="665">
        <v>17.74</v>
      </c>
      <c r="I1513" s="665">
        <v>2.89</v>
      </c>
      <c r="J1513" s="665">
        <v>2.4</v>
      </c>
      <c r="K1513" s="665">
        <v>394775.0</v>
      </c>
      <c r="L1513" s="665">
        <v>1.363794143E7</v>
      </c>
      <c r="M1513" s="665">
        <v>24.36</v>
      </c>
      <c r="N1513" s="1">
        <v>137.313</v>
      </c>
      <c r="O1513" s="1">
        <v>394775.0</v>
      </c>
      <c r="P1513" s="1">
        <v>1.3798118E7</v>
      </c>
      <c r="Q1513" s="1">
        <v>24.3568</v>
      </c>
      <c r="R1513" s="1">
        <v>54005.0</v>
      </c>
    </row>
    <row r="1514">
      <c r="A1514" s="663" t="s">
        <v>2352</v>
      </c>
      <c r="B1514" s="663" t="s">
        <v>180</v>
      </c>
      <c r="C1514" s="663" t="s">
        <v>1205</v>
      </c>
      <c r="D1514" s="663" t="s">
        <v>1205</v>
      </c>
      <c r="E1514" s="664" t="s">
        <v>9</v>
      </c>
      <c r="F1514" s="665">
        <v>16208.0</v>
      </c>
      <c r="G1514" s="665">
        <v>8383.0</v>
      </c>
      <c r="H1514" s="665">
        <v>51.72</v>
      </c>
      <c r="I1514" s="665">
        <v>2.8</v>
      </c>
      <c r="J1514" s="665">
        <v>2.34</v>
      </c>
      <c r="K1514" s="665">
        <v>381355.0</v>
      </c>
      <c r="L1514" s="665">
        <v>1.363794143E7</v>
      </c>
      <c r="M1514" s="665">
        <v>23.53</v>
      </c>
      <c r="N1514" s="1">
        <v>45.4915</v>
      </c>
      <c r="O1514" s="1">
        <v>381355.0</v>
      </c>
      <c r="P1514" s="1">
        <v>1.3798118E7</v>
      </c>
      <c r="Q1514" s="1">
        <v>23.5288</v>
      </c>
      <c r="R1514" s="1">
        <v>54005.0</v>
      </c>
    </row>
    <row r="1515">
      <c r="A1515" s="663" t="s">
        <v>2352</v>
      </c>
      <c r="B1515" s="663" t="s">
        <v>180</v>
      </c>
      <c r="C1515" s="663" t="s">
        <v>1205</v>
      </c>
      <c r="D1515" s="663" t="s">
        <v>1205</v>
      </c>
      <c r="E1515" s="664" t="s">
        <v>42</v>
      </c>
      <c r="F1515" s="665">
        <v>16208.0</v>
      </c>
      <c r="G1515" s="665">
        <v>6150.0</v>
      </c>
      <c r="H1515" s="665">
        <v>37.94</v>
      </c>
      <c r="I1515" s="665">
        <v>2.46</v>
      </c>
      <c r="J1515" s="665">
        <v>2.5</v>
      </c>
      <c r="K1515" s="665">
        <v>336010.0</v>
      </c>
      <c r="L1515" s="665">
        <v>1.363794143E7</v>
      </c>
      <c r="M1515" s="665">
        <v>20.73</v>
      </c>
      <c r="N1515" s="1">
        <v>54.6358</v>
      </c>
      <c r="O1515" s="1">
        <v>336010.0</v>
      </c>
      <c r="P1515" s="1">
        <v>1.3798118E7</v>
      </c>
      <c r="Q1515" s="1">
        <v>20.7311</v>
      </c>
      <c r="R1515" s="1">
        <v>54005.0</v>
      </c>
    </row>
    <row r="1516">
      <c r="A1516" s="663" t="s">
        <v>2352</v>
      </c>
      <c r="B1516" s="663" t="s">
        <v>180</v>
      </c>
      <c r="C1516" s="663" t="s">
        <v>1205</v>
      </c>
      <c r="D1516" s="663" t="s">
        <v>1205</v>
      </c>
      <c r="E1516" s="664" t="s">
        <v>338</v>
      </c>
      <c r="F1516" s="665">
        <v>16208.0</v>
      </c>
      <c r="G1516" s="665">
        <v>2068.0</v>
      </c>
      <c r="H1516" s="665">
        <v>12.76</v>
      </c>
      <c r="I1516" s="665">
        <v>2.41</v>
      </c>
      <c r="J1516" s="665">
        <v>1.51</v>
      </c>
      <c r="K1516" s="665">
        <v>328550.0</v>
      </c>
      <c r="L1516" s="665">
        <v>1.363794143E7</v>
      </c>
      <c r="M1516" s="665">
        <v>20.27</v>
      </c>
      <c r="N1516" s="1">
        <v>158.8733</v>
      </c>
      <c r="O1516" s="1">
        <v>328550.0</v>
      </c>
      <c r="P1516" s="1">
        <v>1.3798118E7</v>
      </c>
      <c r="Q1516" s="1">
        <v>20.2709</v>
      </c>
      <c r="R1516" s="1">
        <v>54005.0</v>
      </c>
    </row>
    <row r="1517">
      <c r="A1517" s="663" t="s">
        <v>2352</v>
      </c>
      <c r="B1517" s="663" t="s">
        <v>180</v>
      </c>
      <c r="C1517" s="663" t="s">
        <v>1205</v>
      </c>
      <c r="D1517" s="663" t="s">
        <v>1205</v>
      </c>
      <c r="E1517" s="664" t="s">
        <v>329</v>
      </c>
      <c r="F1517" s="665">
        <v>16208.0</v>
      </c>
      <c r="G1517" s="665">
        <v>2059.0</v>
      </c>
      <c r="H1517" s="665">
        <v>12.7</v>
      </c>
      <c r="I1517" s="665">
        <v>2.3</v>
      </c>
      <c r="J1517" s="665">
        <v>1.61</v>
      </c>
      <c r="K1517" s="665">
        <v>313900.0</v>
      </c>
      <c r="L1517" s="665">
        <v>1.363794143E7</v>
      </c>
      <c r="M1517" s="665">
        <v>19.37</v>
      </c>
      <c r="N1517" s="1">
        <v>152.4526</v>
      </c>
      <c r="O1517" s="1">
        <v>313900.0</v>
      </c>
      <c r="P1517" s="1">
        <v>1.3798118E7</v>
      </c>
      <c r="Q1517" s="1">
        <v>19.367</v>
      </c>
      <c r="R1517" s="1">
        <v>54005.0</v>
      </c>
    </row>
    <row r="1518">
      <c r="A1518" s="663" t="s">
        <v>2352</v>
      </c>
      <c r="B1518" s="663" t="s">
        <v>180</v>
      </c>
      <c r="C1518" s="663" t="s">
        <v>1205</v>
      </c>
      <c r="D1518" s="663" t="s">
        <v>1205</v>
      </c>
      <c r="E1518" s="664" t="s">
        <v>341</v>
      </c>
      <c r="F1518" s="665">
        <v>16208.0</v>
      </c>
      <c r="G1518" s="665">
        <v>1939.0</v>
      </c>
      <c r="H1518" s="665">
        <v>11.96</v>
      </c>
      <c r="I1518" s="665">
        <v>2.14</v>
      </c>
      <c r="J1518" s="665">
        <v>1.57</v>
      </c>
      <c r="K1518" s="665">
        <v>291200.0</v>
      </c>
      <c r="L1518" s="665">
        <v>1.363794143E7</v>
      </c>
      <c r="M1518" s="665">
        <v>17.97</v>
      </c>
      <c r="N1518" s="1">
        <v>150.1805</v>
      </c>
      <c r="O1518" s="1">
        <v>291200.0</v>
      </c>
      <c r="P1518" s="1">
        <v>1.3798118E7</v>
      </c>
      <c r="Q1518" s="1">
        <v>17.9664</v>
      </c>
      <c r="R1518" s="1">
        <v>54005.0</v>
      </c>
    </row>
    <row r="1519">
      <c r="A1519" s="663" t="s">
        <v>2352</v>
      </c>
      <c r="B1519" s="663" t="s">
        <v>180</v>
      </c>
      <c r="C1519" s="663" t="s">
        <v>1205</v>
      </c>
      <c r="D1519" s="663" t="s">
        <v>1205</v>
      </c>
      <c r="E1519" s="664" t="s">
        <v>7</v>
      </c>
      <c r="F1519" s="665">
        <v>16208.0</v>
      </c>
      <c r="G1519" s="665">
        <v>1055.0</v>
      </c>
      <c r="H1519" s="665">
        <v>6.51</v>
      </c>
      <c r="I1519" s="665">
        <v>1.44</v>
      </c>
      <c r="J1519" s="665">
        <v>0.69</v>
      </c>
      <c r="K1519" s="665">
        <v>195925.0</v>
      </c>
      <c r="L1519" s="665">
        <v>1.363794143E7</v>
      </c>
      <c r="M1519" s="665">
        <v>12.09</v>
      </c>
      <c r="N1519" s="1">
        <v>185.7109</v>
      </c>
      <c r="O1519" s="1">
        <v>195925.0</v>
      </c>
      <c r="P1519" s="1">
        <v>1.3798118E7</v>
      </c>
      <c r="Q1519" s="1">
        <v>12.0882</v>
      </c>
      <c r="R1519" s="1">
        <v>54005.0</v>
      </c>
    </row>
    <row r="1520">
      <c r="A1520" s="663" t="s">
        <v>2352</v>
      </c>
      <c r="B1520" s="663" t="s">
        <v>180</v>
      </c>
      <c r="C1520" s="663" t="s">
        <v>1205</v>
      </c>
      <c r="D1520" s="663" t="s">
        <v>1205</v>
      </c>
      <c r="E1520" s="664" t="s">
        <v>393</v>
      </c>
      <c r="F1520" s="665">
        <v>16208.0</v>
      </c>
      <c r="G1520" s="665">
        <v>3572.0</v>
      </c>
      <c r="H1520" s="665">
        <v>22.04</v>
      </c>
      <c r="I1520" s="665">
        <v>1.3</v>
      </c>
      <c r="J1520" s="665">
        <v>1.0</v>
      </c>
      <c r="K1520" s="665">
        <v>177010.0</v>
      </c>
      <c r="L1520" s="665">
        <v>1.363794143E7</v>
      </c>
      <c r="M1520" s="665">
        <v>10.92</v>
      </c>
      <c r="N1520" s="1">
        <v>49.5549</v>
      </c>
      <c r="O1520" s="1">
        <v>177010.0</v>
      </c>
      <c r="P1520" s="1">
        <v>1.3798118E7</v>
      </c>
      <c r="Q1520" s="1">
        <v>10.9212</v>
      </c>
      <c r="R1520" s="1">
        <v>54005.0</v>
      </c>
    </row>
    <row r="1521">
      <c r="A1521" s="663" t="s">
        <v>2352</v>
      </c>
      <c r="B1521" s="663" t="s">
        <v>180</v>
      </c>
      <c r="C1521" s="663" t="s">
        <v>1205</v>
      </c>
      <c r="D1521" s="663" t="s">
        <v>1205</v>
      </c>
      <c r="E1521" s="664" t="s">
        <v>401</v>
      </c>
      <c r="F1521" s="665">
        <v>16208.0</v>
      </c>
      <c r="G1521" s="665">
        <v>2743.0</v>
      </c>
      <c r="H1521" s="665">
        <v>16.92</v>
      </c>
      <c r="I1521" s="665">
        <v>0.88</v>
      </c>
      <c r="J1521" s="665">
        <v>0.62</v>
      </c>
      <c r="K1521" s="665">
        <v>119700.0</v>
      </c>
      <c r="L1521" s="665">
        <v>1.363794143E7</v>
      </c>
      <c r="M1521" s="665">
        <v>7.39</v>
      </c>
      <c r="N1521" s="1">
        <v>43.6384</v>
      </c>
      <c r="O1521" s="1">
        <v>119700.0</v>
      </c>
      <c r="P1521" s="1">
        <v>1.3798118E7</v>
      </c>
      <c r="Q1521" s="1">
        <v>7.3852</v>
      </c>
      <c r="R1521" s="1">
        <v>54005.0</v>
      </c>
    </row>
    <row r="1522">
      <c r="A1522" s="663" t="s">
        <v>2352</v>
      </c>
      <c r="B1522" s="663" t="s">
        <v>180</v>
      </c>
      <c r="C1522" s="663" t="s">
        <v>1205</v>
      </c>
      <c r="D1522" s="663" t="s">
        <v>1205</v>
      </c>
      <c r="E1522" s="664" t="s">
        <v>206</v>
      </c>
      <c r="F1522" s="665">
        <v>16208.0</v>
      </c>
      <c r="G1522" s="665">
        <v>2408.0</v>
      </c>
      <c r="H1522" s="665">
        <v>14.86</v>
      </c>
      <c r="I1522" s="665">
        <v>0.64</v>
      </c>
      <c r="J1522" s="665">
        <v>0.45</v>
      </c>
      <c r="K1522" s="665">
        <v>87325.0</v>
      </c>
      <c r="L1522" s="665">
        <v>1.363794143E7</v>
      </c>
      <c r="M1522" s="665">
        <v>5.39</v>
      </c>
      <c r="N1522" s="1">
        <v>36.2645</v>
      </c>
      <c r="O1522" s="1">
        <v>87325.0</v>
      </c>
      <c r="P1522" s="1">
        <v>1.3798118E7</v>
      </c>
      <c r="Q1522" s="1">
        <v>5.3878</v>
      </c>
      <c r="R1522" s="1">
        <v>54005.0</v>
      </c>
    </row>
    <row r="1523">
      <c r="A1523" s="663" t="s">
        <v>2352</v>
      </c>
      <c r="B1523" s="663" t="s">
        <v>180</v>
      </c>
      <c r="C1523" s="663" t="s">
        <v>1205</v>
      </c>
      <c r="D1523" s="663" t="s">
        <v>1205</v>
      </c>
      <c r="E1523" s="664" t="s">
        <v>73</v>
      </c>
      <c r="F1523" s="665">
        <v>16208.0</v>
      </c>
      <c r="G1523" s="665">
        <v>1680.0</v>
      </c>
      <c r="H1523" s="665">
        <v>10.37</v>
      </c>
      <c r="I1523" s="665">
        <v>0.48</v>
      </c>
      <c r="J1523" s="665">
        <v>0.34</v>
      </c>
      <c r="K1523" s="665">
        <v>65300.0</v>
      </c>
      <c r="L1523" s="665">
        <v>1.363794143E7</v>
      </c>
      <c r="M1523" s="665">
        <v>4.03</v>
      </c>
      <c r="N1523" s="1">
        <v>38.869</v>
      </c>
      <c r="O1523" s="1">
        <v>65300.0</v>
      </c>
      <c r="P1523" s="1">
        <v>1.3798118E7</v>
      </c>
      <c r="Q1523" s="1">
        <v>4.0289</v>
      </c>
      <c r="R1523" s="1">
        <v>54005.0</v>
      </c>
    </row>
    <row r="1524">
      <c r="A1524" s="663" t="s">
        <v>2352</v>
      </c>
      <c r="B1524" s="663" t="s">
        <v>180</v>
      </c>
      <c r="C1524" s="663" t="s">
        <v>1205</v>
      </c>
      <c r="D1524" s="663" t="s">
        <v>1205</v>
      </c>
      <c r="E1524" s="664" t="s">
        <v>151</v>
      </c>
      <c r="F1524" s="665">
        <v>16208.0</v>
      </c>
      <c r="G1524" s="665">
        <v>3.0</v>
      </c>
      <c r="H1524" s="665">
        <v>0.02</v>
      </c>
      <c r="I1524" s="665">
        <v>0.0</v>
      </c>
      <c r="J1524" s="665">
        <v>0.0</v>
      </c>
      <c r="K1524" s="665">
        <v>115.0</v>
      </c>
      <c r="L1524" s="665">
        <v>1.363794143E7</v>
      </c>
      <c r="M1524" s="665">
        <v>0.01</v>
      </c>
      <c r="N1524" s="1">
        <v>38.3333</v>
      </c>
      <c r="O1524" s="1">
        <v>115.0</v>
      </c>
      <c r="P1524" s="1">
        <v>1.3798118E7</v>
      </c>
      <c r="Q1524" s="1">
        <v>0.0071</v>
      </c>
      <c r="R1524" s="1">
        <v>54005.0</v>
      </c>
    </row>
    <row r="1525">
      <c r="A1525" s="663" t="s">
        <v>2352</v>
      </c>
      <c r="B1525" s="663" t="s">
        <v>180</v>
      </c>
      <c r="C1525" s="663" t="s">
        <v>1205</v>
      </c>
      <c r="D1525" s="663" t="s">
        <v>1205</v>
      </c>
      <c r="E1525" s="664" t="s">
        <v>415</v>
      </c>
      <c r="F1525" s="665">
        <v>16208.0</v>
      </c>
      <c r="G1525" s="665">
        <v>1.0</v>
      </c>
      <c r="H1525" s="665">
        <v>0.01</v>
      </c>
      <c r="I1525" s="665">
        <v>0.0</v>
      </c>
      <c r="J1525" s="665">
        <v>0.0</v>
      </c>
      <c r="K1525" s="665">
        <v>70.0</v>
      </c>
      <c r="L1525" s="665">
        <v>1.363794143E7</v>
      </c>
      <c r="M1525" s="665">
        <v>0.0</v>
      </c>
      <c r="N1525" s="1">
        <v>70.0</v>
      </c>
      <c r="O1525" s="1">
        <v>70.0</v>
      </c>
      <c r="P1525" s="1">
        <v>1.3798118E7</v>
      </c>
      <c r="Q1525" s="1">
        <v>0.0043</v>
      </c>
      <c r="R1525" s="1">
        <v>54005.0</v>
      </c>
    </row>
    <row r="1526">
      <c r="A1526" s="663" t="s">
        <v>2352</v>
      </c>
      <c r="B1526" s="663" t="s">
        <v>180</v>
      </c>
      <c r="C1526" s="663" t="s">
        <v>47</v>
      </c>
      <c r="D1526" s="663" t="s">
        <v>599</v>
      </c>
      <c r="E1526" s="664" t="s">
        <v>418</v>
      </c>
      <c r="F1526" s="665">
        <v>15929.0</v>
      </c>
      <c r="G1526" s="665">
        <v>13957.0</v>
      </c>
      <c r="H1526" s="665">
        <v>87.62</v>
      </c>
      <c r="I1526" s="665">
        <v>22.22</v>
      </c>
      <c r="J1526" s="665">
        <v>22.66</v>
      </c>
      <c r="K1526" s="665">
        <v>30993.0</v>
      </c>
      <c r="L1526" s="665">
        <v>139508.0</v>
      </c>
      <c r="M1526" s="665">
        <v>1.95</v>
      </c>
      <c r="N1526" s="1">
        <v>2.2206</v>
      </c>
      <c r="O1526" s="1">
        <v>30993.0</v>
      </c>
      <c r="P1526" s="1">
        <v>139508.0</v>
      </c>
      <c r="Q1526" s="1">
        <v>1.9457</v>
      </c>
      <c r="R1526" s="1">
        <v>54005.0</v>
      </c>
    </row>
    <row r="1527">
      <c r="A1527" s="663" t="s">
        <v>2352</v>
      </c>
      <c r="B1527" s="663" t="s">
        <v>180</v>
      </c>
      <c r="C1527" s="663" t="s">
        <v>47</v>
      </c>
      <c r="D1527" s="663" t="s">
        <v>599</v>
      </c>
      <c r="E1527" s="664" t="s">
        <v>14</v>
      </c>
      <c r="F1527" s="665">
        <v>15929.0</v>
      </c>
      <c r="G1527" s="665">
        <v>11059.0</v>
      </c>
      <c r="H1527" s="665">
        <v>69.43</v>
      </c>
      <c r="I1527" s="665">
        <v>15.14</v>
      </c>
      <c r="J1527" s="665">
        <v>14.78</v>
      </c>
      <c r="K1527" s="665">
        <v>21120.0</v>
      </c>
      <c r="L1527" s="665">
        <v>139508.0</v>
      </c>
      <c r="M1527" s="665">
        <v>1.33</v>
      </c>
      <c r="N1527" s="1">
        <v>1.9098</v>
      </c>
      <c r="O1527" s="1">
        <v>21120.0</v>
      </c>
      <c r="P1527" s="1">
        <v>139508.0</v>
      </c>
      <c r="Q1527" s="1">
        <v>1.3259</v>
      </c>
      <c r="R1527" s="1">
        <v>54005.0</v>
      </c>
    </row>
    <row r="1528">
      <c r="A1528" s="663" t="s">
        <v>2352</v>
      </c>
      <c r="B1528" s="663" t="s">
        <v>180</v>
      </c>
      <c r="C1528" s="663" t="s">
        <v>47</v>
      </c>
      <c r="D1528" s="663" t="s">
        <v>599</v>
      </c>
      <c r="E1528" s="664" t="s">
        <v>413</v>
      </c>
      <c r="F1528" s="665">
        <v>15929.0</v>
      </c>
      <c r="G1528" s="665">
        <v>6977.0</v>
      </c>
      <c r="H1528" s="665">
        <v>43.8</v>
      </c>
      <c r="I1528" s="665">
        <v>12.58</v>
      </c>
      <c r="J1528" s="665">
        <v>11.71</v>
      </c>
      <c r="K1528" s="665">
        <v>17546.0</v>
      </c>
      <c r="L1528" s="665">
        <v>139508.0</v>
      </c>
      <c r="M1528" s="665">
        <v>1.1</v>
      </c>
      <c r="N1528" s="1">
        <v>2.5148</v>
      </c>
      <c r="O1528" s="1">
        <v>17546.0</v>
      </c>
      <c r="P1528" s="1">
        <v>139508.0</v>
      </c>
      <c r="Q1528" s="1">
        <v>1.1015</v>
      </c>
      <c r="R1528" s="1">
        <v>54005.0</v>
      </c>
    </row>
    <row r="1529">
      <c r="A1529" s="663" t="s">
        <v>2352</v>
      </c>
      <c r="B1529" s="663" t="s">
        <v>180</v>
      </c>
      <c r="C1529" s="663" t="s">
        <v>47</v>
      </c>
      <c r="D1529" s="663" t="s">
        <v>599</v>
      </c>
      <c r="E1529" s="664" t="s">
        <v>396</v>
      </c>
      <c r="F1529" s="665">
        <v>15929.0</v>
      </c>
      <c r="G1529" s="665">
        <v>11665.0</v>
      </c>
      <c r="H1529" s="665">
        <v>73.23</v>
      </c>
      <c r="I1529" s="665">
        <v>11.14</v>
      </c>
      <c r="J1529" s="665">
        <v>14.57</v>
      </c>
      <c r="K1529" s="665">
        <v>15541.0</v>
      </c>
      <c r="L1529" s="665">
        <v>139508.0</v>
      </c>
      <c r="M1529" s="665">
        <v>0.98</v>
      </c>
      <c r="N1529" s="1">
        <v>1.3323</v>
      </c>
      <c r="O1529" s="1">
        <v>15541.0</v>
      </c>
      <c r="P1529" s="1">
        <v>139508.0</v>
      </c>
      <c r="Q1529" s="1">
        <v>0.9756</v>
      </c>
      <c r="R1529" s="1">
        <v>54005.0</v>
      </c>
    </row>
    <row r="1530">
      <c r="A1530" s="663" t="s">
        <v>2352</v>
      </c>
      <c r="B1530" s="663" t="s">
        <v>180</v>
      </c>
      <c r="C1530" s="663" t="s">
        <v>47</v>
      </c>
      <c r="D1530" s="663" t="s">
        <v>599</v>
      </c>
      <c r="E1530" s="664" t="s">
        <v>411</v>
      </c>
      <c r="F1530" s="665">
        <v>15929.0</v>
      </c>
      <c r="G1530" s="665">
        <v>11161.0</v>
      </c>
      <c r="H1530" s="665">
        <v>70.07</v>
      </c>
      <c r="I1530" s="665">
        <v>11.09</v>
      </c>
      <c r="J1530" s="665">
        <v>12.99</v>
      </c>
      <c r="K1530" s="665">
        <v>15471.0</v>
      </c>
      <c r="L1530" s="665">
        <v>139508.0</v>
      </c>
      <c r="M1530" s="665">
        <v>0.97</v>
      </c>
      <c r="N1530" s="1">
        <v>1.3862</v>
      </c>
      <c r="O1530" s="1">
        <v>15471.0</v>
      </c>
      <c r="P1530" s="1">
        <v>139508.0</v>
      </c>
      <c r="Q1530" s="1">
        <v>0.9712</v>
      </c>
      <c r="R1530" s="1">
        <v>54005.0</v>
      </c>
    </row>
    <row r="1531">
      <c r="A1531" s="663" t="s">
        <v>2352</v>
      </c>
      <c r="B1531" s="663" t="s">
        <v>180</v>
      </c>
      <c r="C1531" s="663" t="s">
        <v>47</v>
      </c>
      <c r="D1531" s="663" t="s">
        <v>599</v>
      </c>
      <c r="E1531" s="664" t="s">
        <v>398</v>
      </c>
      <c r="F1531" s="665">
        <v>15929.0</v>
      </c>
      <c r="G1531" s="665">
        <v>7715.0</v>
      </c>
      <c r="H1531" s="665">
        <v>48.43</v>
      </c>
      <c r="I1531" s="665">
        <v>10.01</v>
      </c>
      <c r="J1531" s="665">
        <v>8.44</v>
      </c>
      <c r="K1531" s="665">
        <v>13965.0</v>
      </c>
      <c r="L1531" s="665">
        <v>139508.0</v>
      </c>
      <c r="M1531" s="665">
        <v>0.88</v>
      </c>
      <c r="N1531" s="1">
        <v>1.8101</v>
      </c>
      <c r="O1531" s="1">
        <v>13965.0</v>
      </c>
      <c r="P1531" s="1">
        <v>139508.0</v>
      </c>
      <c r="Q1531" s="1">
        <v>0.8767</v>
      </c>
      <c r="R1531" s="1">
        <v>54005.0</v>
      </c>
    </row>
    <row r="1532">
      <c r="A1532" s="663" t="s">
        <v>2352</v>
      </c>
      <c r="B1532" s="663" t="s">
        <v>180</v>
      </c>
      <c r="C1532" s="663" t="s">
        <v>47</v>
      </c>
      <c r="D1532" s="663" t="s">
        <v>599</v>
      </c>
      <c r="E1532" s="664" t="s">
        <v>9</v>
      </c>
      <c r="F1532" s="665">
        <v>15929.0</v>
      </c>
      <c r="G1532" s="665">
        <v>8840.0</v>
      </c>
      <c r="H1532" s="665">
        <v>55.5</v>
      </c>
      <c r="I1532" s="665">
        <v>8.18</v>
      </c>
      <c r="J1532" s="665">
        <v>8.18</v>
      </c>
      <c r="K1532" s="665">
        <v>11416.0</v>
      </c>
      <c r="L1532" s="665">
        <v>139508.0</v>
      </c>
      <c r="M1532" s="665">
        <v>0.72</v>
      </c>
      <c r="N1532" s="1">
        <v>1.2914</v>
      </c>
      <c r="O1532" s="1">
        <v>11416.0</v>
      </c>
      <c r="P1532" s="1">
        <v>139508.0</v>
      </c>
      <c r="Q1532" s="1">
        <v>0.7167</v>
      </c>
      <c r="R1532" s="1">
        <v>54005.0</v>
      </c>
    </row>
    <row r="1533">
      <c r="A1533" s="663" t="s">
        <v>2352</v>
      </c>
      <c r="B1533" s="663" t="s">
        <v>180</v>
      </c>
      <c r="C1533" s="663" t="s">
        <v>47</v>
      </c>
      <c r="D1533" s="663" t="s">
        <v>599</v>
      </c>
      <c r="E1533" s="664" t="s">
        <v>51</v>
      </c>
      <c r="F1533" s="665">
        <v>15929.0</v>
      </c>
      <c r="G1533" s="665">
        <v>2678.0</v>
      </c>
      <c r="H1533" s="665">
        <v>16.81</v>
      </c>
      <c r="I1533" s="665">
        <v>3.37</v>
      </c>
      <c r="J1533" s="665">
        <v>2.04</v>
      </c>
      <c r="K1533" s="665">
        <v>4697.0</v>
      </c>
      <c r="L1533" s="665">
        <v>139508.0</v>
      </c>
      <c r="M1533" s="665">
        <v>0.29</v>
      </c>
      <c r="N1533" s="1">
        <v>1.7539</v>
      </c>
      <c r="O1533" s="1">
        <v>4697.0</v>
      </c>
      <c r="P1533" s="1">
        <v>139508.0</v>
      </c>
      <c r="Q1533" s="1">
        <v>0.2949</v>
      </c>
      <c r="R1533" s="1">
        <v>54005.0</v>
      </c>
    </row>
    <row r="1534">
      <c r="A1534" s="663" t="s">
        <v>2352</v>
      </c>
      <c r="B1534" s="663" t="s">
        <v>180</v>
      </c>
      <c r="C1534" s="663" t="s">
        <v>47</v>
      </c>
      <c r="D1534" s="663" t="s">
        <v>599</v>
      </c>
      <c r="E1534" s="664" t="s">
        <v>401</v>
      </c>
      <c r="F1534" s="665">
        <v>15929.0</v>
      </c>
      <c r="G1534" s="665">
        <v>2227.0</v>
      </c>
      <c r="H1534" s="665">
        <v>13.98</v>
      </c>
      <c r="I1534" s="665">
        <v>1.75</v>
      </c>
      <c r="J1534" s="665">
        <v>1.2</v>
      </c>
      <c r="K1534" s="665">
        <v>2437.0</v>
      </c>
      <c r="L1534" s="665">
        <v>139508.0</v>
      </c>
      <c r="M1534" s="665">
        <v>0.15</v>
      </c>
      <c r="N1534" s="1">
        <v>1.0943</v>
      </c>
      <c r="O1534" s="1">
        <v>2437.0</v>
      </c>
      <c r="P1534" s="1">
        <v>139508.0</v>
      </c>
      <c r="Q1534" s="1">
        <v>0.153</v>
      </c>
      <c r="R1534" s="1">
        <v>54005.0</v>
      </c>
    </row>
    <row r="1535">
      <c r="A1535" s="663" t="s">
        <v>2352</v>
      </c>
      <c r="B1535" s="663" t="s">
        <v>180</v>
      </c>
      <c r="C1535" s="663" t="s">
        <v>47</v>
      </c>
      <c r="D1535" s="663" t="s">
        <v>599</v>
      </c>
      <c r="E1535" s="664" t="s">
        <v>63</v>
      </c>
      <c r="F1535" s="665">
        <v>15929.0</v>
      </c>
      <c r="G1535" s="665">
        <v>1788.0</v>
      </c>
      <c r="H1535" s="665">
        <v>11.22</v>
      </c>
      <c r="I1535" s="665">
        <v>1.5</v>
      </c>
      <c r="J1535" s="665">
        <v>1.29</v>
      </c>
      <c r="K1535" s="665">
        <v>2098.0</v>
      </c>
      <c r="L1535" s="665">
        <v>139508.0</v>
      </c>
      <c r="M1535" s="665">
        <v>0.13</v>
      </c>
      <c r="N1535" s="1">
        <v>1.1734</v>
      </c>
      <c r="O1535" s="1">
        <v>2098.0</v>
      </c>
      <c r="P1535" s="1">
        <v>139508.0</v>
      </c>
      <c r="Q1535" s="1">
        <v>0.1317</v>
      </c>
      <c r="R1535" s="1">
        <v>54005.0</v>
      </c>
    </row>
    <row r="1536">
      <c r="A1536" s="663" t="s">
        <v>2352</v>
      </c>
      <c r="B1536" s="663" t="s">
        <v>180</v>
      </c>
      <c r="C1536" s="663" t="s">
        <v>47</v>
      </c>
      <c r="D1536" s="663" t="s">
        <v>599</v>
      </c>
      <c r="E1536" s="664" t="s">
        <v>206</v>
      </c>
      <c r="F1536" s="665">
        <v>15929.0</v>
      </c>
      <c r="G1536" s="665">
        <v>1721.0</v>
      </c>
      <c r="H1536" s="665">
        <v>10.8</v>
      </c>
      <c r="I1536" s="665">
        <v>1.25</v>
      </c>
      <c r="J1536" s="665">
        <v>0.82</v>
      </c>
      <c r="K1536" s="665">
        <v>1745.0</v>
      </c>
      <c r="L1536" s="665">
        <v>139508.0</v>
      </c>
      <c r="M1536" s="665">
        <v>0.11</v>
      </c>
      <c r="N1536" s="1">
        <v>1.0139</v>
      </c>
      <c r="O1536" s="1">
        <v>1745.0</v>
      </c>
      <c r="P1536" s="1">
        <v>139508.0</v>
      </c>
      <c r="Q1536" s="1">
        <v>0.1095</v>
      </c>
      <c r="R1536" s="1">
        <v>54005.0</v>
      </c>
    </row>
    <row r="1537">
      <c r="A1537" s="663" t="s">
        <v>2352</v>
      </c>
      <c r="B1537" s="663" t="s">
        <v>180</v>
      </c>
      <c r="C1537" s="663" t="s">
        <v>47</v>
      </c>
      <c r="D1537" s="663" t="s">
        <v>599</v>
      </c>
      <c r="E1537" s="664" t="s">
        <v>73</v>
      </c>
      <c r="F1537" s="665">
        <v>15929.0</v>
      </c>
      <c r="G1537" s="665">
        <v>991.0</v>
      </c>
      <c r="H1537" s="665">
        <v>6.22</v>
      </c>
      <c r="I1537" s="665">
        <v>0.74</v>
      </c>
      <c r="J1537" s="665">
        <v>0.53</v>
      </c>
      <c r="K1537" s="665">
        <v>1030.0</v>
      </c>
      <c r="L1537" s="665">
        <v>139508.0</v>
      </c>
      <c r="M1537" s="665">
        <v>0.06</v>
      </c>
      <c r="N1537" s="1">
        <v>1.0394</v>
      </c>
      <c r="O1537" s="1">
        <v>1030.0</v>
      </c>
      <c r="P1537" s="1">
        <v>139508.0</v>
      </c>
      <c r="Q1537" s="1">
        <v>0.0647</v>
      </c>
      <c r="R1537" s="1">
        <v>54005.0</v>
      </c>
    </row>
    <row r="1538">
      <c r="A1538" s="663" t="s">
        <v>2352</v>
      </c>
      <c r="B1538" s="663" t="s">
        <v>180</v>
      </c>
      <c r="C1538" s="663" t="s">
        <v>47</v>
      </c>
      <c r="D1538" s="663" t="s">
        <v>599</v>
      </c>
      <c r="E1538" s="664" t="s">
        <v>42</v>
      </c>
      <c r="F1538" s="665">
        <v>15929.0</v>
      </c>
      <c r="G1538" s="665">
        <v>650.0</v>
      </c>
      <c r="H1538" s="665">
        <v>4.08</v>
      </c>
      <c r="I1538" s="665">
        <v>0.52</v>
      </c>
      <c r="J1538" s="665">
        <v>0.36</v>
      </c>
      <c r="K1538" s="665">
        <v>722.0</v>
      </c>
      <c r="L1538" s="665">
        <v>139508.0</v>
      </c>
      <c r="M1538" s="665">
        <v>0.05</v>
      </c>
      <c r="N1538" s="1">
        <v>1.1108</v>
      </c>
      <c r="O1538" s="1">
        <v>722.0</v>
      </c>
      <c r="P1538" s="1">
        <v>139508.0</v>
      </c>
      <c r="Q1538" s="1">
        <v>0.0453</v>
      </c>
      <c r="R1538" s="1">
        <v>54005.0</v>
      </c>
    </row>
    <row r="1539">
      <c r="A1539" s="663" t="s">
        <v>2352</v>
      </c>
      <c r="B1539" s="663" t="s">
        <v>180</v>
      </c>
      <c r="C1539" s="663" t="s">
        <v>47</v>
      </c>
      <c r="D1539" s="663" t="s">
        <v>599</v>
      </c>
      <c r="E1539" s="664" t="s">
        <v>16</v>
      </c>
      <c r="F1539" s="665">
        <v>15929.0</v>
      </c>
      <c r="G1539" s="665">
        <v>346.0</v>
      </c>
      <c r="H1539" s="665">
        <v>2.17</v>
      </c>
      <c r="I1539" s="665">
        <v>0.27</v>
      </c>
      <c r="J1539" s="665">
        <v>0.19</v>
      </c>
      <c r="K1539" s="665">
        <v>370.0</v>
      </c>
      <c r="L1539" s="665">
        <v>139508.0</v>
      </c>
      <c r="M1539" s="665">
        <v>0.02</v>
      </c>
      <c r="N1539" s="1">
        <v>1.0694</v>
      </c>
      <c r="O1539" s="1">
        <v>370.0</v>
      </c>
      <c r="P1539" s="1">
        <v>139508.0</v>
      </c>
      <c r="Q1539" s="1">
        <v>0.0232</v>
      </c>
      <c r="R1539" s="1">
        <v>54005.0</v>
      </c>
    </row>
    <row r="1540">
      <c r="A1540" s="663" t="s">
        <v>2352</v>
      </c>
      <c r="B1540" s="663" t="s">
        <v>180</v>
      </c>
      <c r="C1540" s="663" t="s">
        <v>47</v>
      </c>
      <c r="D1540" s="663" t="s">
        <v>599</v>
      </c>
      <c r="E1540" s="664" t="s">
        <v>7</v>
      </c>
      <c r="F1540" s="665">
        <v>15929.0</v>
      </c>
      <c r="G1540" s="665">
        <v>267.0</v>
      </c>
      <c r="H1540" s="665">
        <v>1.68</v>
      </c>
      <c r="I1540" s="665">
        <v>0.2</v>
      </c>
      <c r="J1540" s="665">
        <v>0.16</v>
      </c>
      <c r="K1540" s="665">
        <v>274.0</v>
      </c>
      <c r="L1540" s="665">
        <v>139508.0</v>
      </c>
      <c r="M1540" s="665">
        <v>0.02</v>
      </c>
      <c r="N1540" s="1">
        <v>1.0262</v>
      </c>
      <c r="O1540" s="1">
        <v>274.0</v>
      </c>
      <c r="P1540" s="1">
        <v>139508.0</v>
      </c>
      <c r="Q1540" s="1">
        <v>0.0172</v>
      </c>
      <c r="R1540" s="1">
        <v>54005.0</v>
      </c>
    </row>
    <row r="1541">
      <c r="A1541" s="663" t="s">
        <v>2352</v>
      </c>
      <c r="B1541" s="663" t="s">
        <v>180</v>
      </c>
      <c r="C1541" s="663" t="s">
        <v>47</v>
      </c>
      <c r="D1541" s="663" t="s">
        <v>599</v>
      </c>
      <c r="E1541" s="664" t="s">
        <v>393</v>
      </c>
      <c r="F1541" s="665">
        <v>15929.0</v>
      </c>
      <c r="G1541" s="665">
        <v>78.0</v>
      </c>
      <c r="H1541" s="665">
        <v>0.49</v>
      </c>
      <c r="I1541" s="665">
        <v>0.06</v>
      </c>
      <c r="J1541" s="665">
        <v>0.07</v>
      </c>
      <c r="K1541" s="665">
        <v>81.0</v>
      </c>
      <c r="L1541" s="665">
        <v>139508.0</v>
      </c>
      <c r="M1541" s="665">
        <v>0.01</v>
      </c>
      <c r="N1541" s="1">
        <v>1.0385</v>
      </c>
      <c r="O1541" s="1">
        <v>81.0</v>
      </c>
      <c r="P1541" s="1">
        <v>139508.0</v>
      </c>
      <c r="Q1541" s="1">
        <v>0.0051</v>
      </c>
      <c r="R1541" s="1">
        <v>54005.0</v>
      </c>
    </row>
    <row r="1542">
      <c r="A1542" s="663" t="s">
        <v>2352</v>
      </c>
      <c r="B1542" s="663" t="s">
        <v>180</v>
      </c>
      <c r="C1542" s="663" t="s">
        <v>47</v>
      </c>
      <c r="D1542" s="663" t="s">
        <v>599</v>
      </c>
      <c r="E1542" s="664" t="s">
        <v>151</v>
      </c>
      <c r="F1542" s="665">
        <v>15929.0</v>
      </c>
      <c r="G1542" s="665">
        <v>2.0</v>
      </c>
      <c r="H1542" s="665">
        <v>0.01</v>
      </c>
      <c r="I1542" s="665">
        <v>0.0</v>
      </c>
      <c r="J1542" s="665">
        <v>0.0</v>
      </c>
      <c r="K1542" s="665">
        <v>2.0</v>
      </c>
      <c r="L1542" s="665">
        <v>139508.0</v>
      </c>
      <c r="M1542" s="665">
        <v>0.0</v>
      </c>
      <c r="N1542" s="1">
        <v>1.0</v>
      </c>
      <c r="O1542" s="1">
        <v>2.0</v>
      </c>
      <c r="P1542" s="1">
        <v>139508.0</v>
      </c>
      <c r="Q1542" s="1">
        <v>1.0E-4</v>
      </c>
      <c r="R1542" s="1">
        <v>54005.0</v>
      </c>
    </row>
    <row r="1543">
      <c r="A1543" s="663" t="s">
        <v>2352</v>
      </c>
      <c r="B1543" s="663" t="s">
        <v>180</v>
      </c>
      <c r="C1543" s="663" t="s">
        <v>46</v>
      </c>
      <c r="D1543" s="663" t="s">
        <v>599</v>
      </c>
      <c r="E1543" s="664" t="s">
        <v>396</v>
      </c>
      <c r="F1543" s="665">
        <v>15818.0</v>
      </c>
      <c r="G1543" s="665">
        <v>15404.0</v>
      </c>
      <c r="H1543" s="665">
        <v>97.38</v>
      </c>
      <c r="I1543" s="665">
        <v>80.36</v>
      </c>
      <c r="J1543" s="665">
        <v>78.62</v>
      </c>
      <c r="K1543" s="665">
        <v>1.9861398E7</v>
      </c>
      <c r="L1543" s="665">
        <v>2.471490536E7</v>
      </c>
      <c r="M1543" s="665">
        <v>1255.62</v>
      </c>
      <c r="N1543" s="1">
        <v>1289.3663</v>
      </c>
      <c r="O1543" s="1">
        <v>1.9861398E7</v>
      </c>
      <c r="P1543" s="1">
        <v>2.5076039E7</v>
      </c>
      <c r="Q1543" s="1">
        <v>1255.6201</v>
      </c>
      <c r="R1543" s="1">
        <v>54005.0</v>
      </c>
    </row>
    <row r="1544">
      <c r="A1544" s="663" t="s">
        <v>2352</v>
      </c>
      <c r="B1544" s="663" t="s">
        <v>180</v>
      </c>
      <c r="C1544" s="663" t="s">
        <v>46</v>
      </c>
      <c r="D1544" s="663" t="s">
        <v>599</v>
      </c>
      <c r="E1544" s="664" t="s">
        <v>14</v>
      </c>
      <c r="F1544" s="665">
        <v>15818.0</v>
      </c>
      <c r="G1544" s="665">
        <v>10595.0</v>
      </c>
      <c r="H1544" s="665">
        <v>66.98</v>
      </c>
      <c r="I1544" s="665">
        <v>12.62</v>
      </c>
      <c r="J1544" s="665">
        <v>11.56</v>
      </c>
      <c r="K1544" s="665">
        <v>3118151.36</v>
      </c>
      <c r="L1544" s="665">
        <v>2.471490536E7</v>
      </c>
      <c r="M1544" s="665">
        <v>197.13</v>
      </c>
      <c r="N1544" s="1">
        <v>294.304</v>
      </c>
      <c r="O1544" s="1">
        <v>3479285.0</v>
      </c>
      <c r="P1544" s="1">
        <v>2.5076039E7</v>
      </c>
      <c r="Q1544" s="1">
        <v>219.9573</v>
      </c>
      <c r="R1544" s="1">
        <v>54005.0</v>
      </c>
    </row>
    <row r="1545">
      <c r="A1545" s="663" t="s">
        <v>2352</v>
      </c>
      <c r="B1545" s="663" t="s">
        <v>180</v>
      </c>
      <c r="C1545" s="663" t="s">
        <v>46</v>
      </c>
      <c r="D1545" s="663" t="s">
        <v>599</v>
      </c>
      <c r="E1545" s="664" t="s">
        <v>42</v>
      </c>
      <c r="F1545" s="665">
        <v>15818.0</v>
      </c>
      <c r="G1545" s="665">
        <v>7131.0</v>
      </c>
      <c r="H1545" s="665">
        <v>45.08</v>
      </c>
      <c r="I1545" s="665">
        <v>3.0</v>
      </c>
      <c r="J1545" s="665">
        <v>3.39</v>
      </c>
      <c r="K1545" s="665">
        <v>742315.0</v>
      </c>
      <c r="L1545" s="665">
        <v>2.471490536E7</v>
      </c>
      <c r="M1545" s="665">
        <v>46.93</v>
      </c>
      <c r="N1545" s="1">
        <v>104.0969</v>
      </c>
      <c r="O1545" s="1">
        <v>742315.0</v>
      </c>
      <c r="P1545" s="1">
        <v>2.5076039E7</v>
      </c>
      <c r="Q1545" s="1">
        <v>46.9285</v>
      </c>
      <c r="R1545" s="1">
        <v>54005.0</v>
      </c>
    </row>
    <row r="1546">
      <c r="A1546" s="663" t="s">
        <v>2352</v>
      </c>
      <c r="B1546" s="663" t="s">
        <v>180</v>
      </c>
      <c r="C1546" s="663" t="s">
        <v>46</v>
      </c>
      <c r="D1546" s="663" t="s">
        <v>599</v>
      </c>
      <c r="E1546" s="664" t="s">
        <v>411</v>
      </c>
      <c r="F1546" s="665">
        <v>15818.0</v>
      </c>
      <c r="G1546" s="665">
        <v>10000.0</v>
      </c>
      <c r="H1546" s="665">
        <v>63.22</v>
      </c>
      <c r="I1546" s="665">
        <v>2.08</v>
      </c>
      <c r="J1546" s="665">
        <v>4.78</v>
      </c>
      <c r="K1546" s="665">
        <v>512952.0</v>
      </c>
      <c r="L1546" s="665">
        <v>2.471490536E7</v>
      </c>
      <c r="M1546" s="665">
        <v>32.43</v>
      </c>
      <c r="N1546" s="1">
        <v>51.2952</v>
      </c>
      <c r="O1546" s="1">
        <v>512952.0</v>
      </c>
      <c r="P1546" s="1">
        <v>2.5076039E7</v>
      </c>
      <c r="Q1546" s="1">
        <v>32.4284</v>
      </c>
      <c r="R1546" s="1">
        <v>54005.0</v>
      </c>
    </row>
    <row r="1547">
      <c r="A1547" s="663" t="s">
        <v>2352</v>
      </c>
      <c r="B1547" s="663" t="s">
        <v>180</v>
      </c>
      <c r="C1547" s="663" t="s">
        <v>46</v>
      </c>
      <c r="D1547" s="663" t="s">
        <v>599</v>
      </c>
      <c r="E1547" s="664" t="s">
        <v>7</v>
      </c>
      <c r="F1547" s="665">
        <v>15818.0</v>
      </c>
      <c r="G1547" s="665">
        <v>2493.0</v>
      </c>
      <c r="H1547" s="665">
        <v>15.76</v>
      </c>
      <c r="I1547" s="665">
        <v>1.58</v>
      </c>
      <c r="J1547" s="665">
        <v>1.3</v>
      </c>
      <c r="K1547" s="665">
        <v>389400.0</v>
      </c>
      <c r="L1547" s="665">
        <v>2.471490536E7</v>
      </c>
      <c r="M1547" s="665">
        <v>24.62</v>
      </c>
      <c r="N1547" s="1">
        <v>156.1974</v>
      </c>
      <c r="O1547" s="1">
        <v>389400.0</v>
      </c>
      <c r="P1547" s="1">
        <v>2.5076039E7</v>
      </c>
      <c r="Q1547" s="1">
        <v>24.6175</v>
      </c>
      <c r="R1547" s="1">
        <v>54005.0</v>
      </c>
    </row>
    <row r="1548">
      <c r="A1548" s="663" t="s">
        <v>2352</v>
      </c>
      <c r="B1548" s="663" t="s">
        <v>180</v>
      </c>
      <c r="C1548" s="663" t="s">
        <v>46</v>
      </c>
      <c r="D1548" s="663" t="s">
        <v>599</v>
      </c>
      <c r="E1548" s="664" t="s">
        <v>51</v>
      </c>
      <c r="F1548" s="665">
        <v>15818.0</v>
      </c>
      <c r="G1548" s="665">
        <v>2537.0</v>
      </c>
      <c r="H1548" s="665">
        <v>16.04</v>
      </c>
      <c r="I1548" s="665">
        <v>0.35</v>
      </c>
      <c r="J1548" s="665">
        <v>0.31</v>
      </c>
      <c r="K1548" s="665">
        <v>86680.0</v>
      </c>
      <c r="L1548" s="665">
        <v>2.471490536E7</v>
      </c>
      <c r="M1548" s="665">
        <v>5.48</v>
      </c>
      <c r="N1548" s="1">
        <v>34.1663</v>
      </c>
      <c r="O1548" s="1">
        <v>86680.0</v>
      </c>
      <c r="P1548" s="1">
        <v>2.5076039E7</v>
      </c>
      <c r="Q1548" s="1">
        <v>5.4798</v>
      </c>
      <c r="R1548" s="1">
        <v>54005.0</v>
      </c>
    </row>
    <row r="1549">
      <c r="A1549" s="663" t="s">
        <v>2352</v>
      </c>
      <c r="B1549" s="663" t="s">
        <v>180</v>
      </c>
      <c r="C1549" s="663" t="s">
        <v>46</v>
      </c>
      <c r="D1549" s="663" t="s">
        <v>599</v>
      </c>
      <c r="E1549" s="664" t="s">
        <v>413</v>
      </c>
      <c r="F1549" s="665">
        <v>15818.0</v>
      </c>
      <c r="G1549" s="665">
        <v>63.0</v>
      </c>
      <c r="H1549" s="665">
        <v>0.4</v>
      </c>
      <c r="I1549" s="665">
        <v>0.02</v>
      </c>
      <c r="J1549" s="665">
        <v>0.04</v>
      </c>
      <c r="K1549" s="665">
        <v>3939.0</v>
      </c>
      <c r="L1549" s="665">
        <v>2.471490536E7</v>
      </c>
      <c r="M1549" s="665">
        <v>0.25</v>
      </c>
      <c r="N1549" s="1">
        <v>62.5238</v>
      </c>
      <c r="O1549" s="1">
        <v>3939.0</v>
      </c>
      <c r="P1549" s="1">
        <v>2.5076039E7</v>
      </c>
      <c r="Q1549" s="1">
        <v>0.249</v>
      </c>
      <c r="R1549" s="1">
        <v>54005.0</v>
      </c>
    </row>
    <row r="1550">
      <c r="A1550" s="663" t="s">
        <v>2352</v>
      </c>
      <c r="B1550" s="663" t="s">
        <v>180</v>
      </c>
      <c r="C1550" s="663" t="s">
        <v>46</v>
      </c>
      <c r="D1550" s="663" t="s">
        <v>599</v>
      </c>
      <c r="E1550" s="664" t="s">
        <v>151</v>
      </c>
      <c r="F1550" s="665">
        <v>15818.0</v>
      </c>
      <c r="G1550" s="665">
        <v>2.0</v>
      </c>
      <c r="H1550" s="665">
        <v>0.01</v>
      </c>
      <c r="I1550" s="665">
        <v>0.0</v>
      </c>
      <c r="J1550" s="665">
        <v>0.0</v>
      </c>
      <c r="K1550" s="665">
        <v>50.0</v>
      </c>
      <c r="L1550" s="665">
        <v>2.471490536E7</v>
      </c>
      <c r="M1550" s="665">
        <v>0.0</v>
      </c>
      <c r="N1550" s="1">
        <v>25.0</v>
      </c>
      <c r="O1550" s="1">
        <v>50.0</v>
      </c>
      <c r="P1550" s="1">
        <v>2.5076039E7</v>
      </c>
      <c r="Q1550" s="1">
        <v>0.0032</v>
      </c>
      <c r="R1550" s="1">
        <v>54005.0</v>
      </c>
    </row>
    <row r="1551">
      <c r="A1551" s="663" t="s">
        <v>2352</v>
      </c>
      <c r="B1551" s="663" t="s">
        <v>180</v>
      </c>
      <c r="C1551" s="663" t="s">
        <v>46</v>
      </c>
      <c r="D1551" s="663" t="s">
        <v>599</v>
      </c>
      <c r="E1551" s="664" t="s">
        <v>63</v>
      </c>
      <c r="F1551" s="665">
        <v>15818.0</v>
      </c>
      <c r="G1551" s="665">
        <v>1.0</v>
      </c>
      <c r="H1551" s="665">
        <v>0.01</v>
      </c>
      <c r="I1551" s="665">
        <v>0.0</v>
      </c>
      <c r="J1551" s="665">
        <v>0.0</v>
      </c>
      <c r="K1551" s="665">
        <v>20.0</v>
      </c>
      <c r="L1551" s="665">
        <v>2.471490536E7</v>
      </c>
      <c r="M1551" s="665">
        <v>0.0</v>
      </c>
      <c r="N1551" s="1">
        <v>20.0</v>
      </c>
      <c r="O1551" s="1">
        <v>20.0</v>
      </c>
      <c r="P1551" s="1">
        <v>2.5076039E7</v>
      </c>
      <c r="Q1551" s="1">
        <v>0.0013</v>
      </c>
      <c r="R1551" s="1">
        <v>54005.0</v>
      </c>
    </row>
    <row r="1552">
      <c r="A1552" s="663" t="s">
        <v>2352</v>
      </c>
      <c r="B1552" s="663" t="s">
        <v>180</v>
      </c>
      <c r="C1552" s="663" t="s">
        <v>1213</v>
      </c>
      <c r="D1552" s="663" t="s">
        <v>2234</v>
      </c>
      <c r="E1552" s="664" t="s">
        <v>14</v>
      </c>
      <c r="F1552" s="665">
        <v>6847.0</v>
      </c>
      <c r="G1552" s="665">
        <v>6837.0</v>
      </c>
      <c r="H1552" s="665">
        <v>99.85</v>
      </c>
      <c r="I1552" s="665">
        <v>99.85</v>
      </c>
      <c r="J1552" s="665">
        <v>99.82</v>
      </c>
      <c r="K1552" s="665">
        <v>152670.0</v>
      </c>
      <c r="L1552" s="665">
        <v>152905.0</v>
      </c>
      <c r="M1552" s="665">
        <v>22.3</v>
      </c>
      <c r="N1552" s="1">
        <v>22.33</v>
      </c>
      <c r="O1552" s="1">
        <v>152670.0</v>
      </c>
      <c r="P1552" s="1">
        <v>152905.0</v>
      </c>
      <c r="Q1552" s="1">
        <v>22.2974</v>
      </c>
      <c r="R1552" s="1">
        <v>54005.0</v>
      </c>
    </row>
    <row r="1553">
      <c r="A1553" s="663" t="s">
        <v>2352</v>
      </c>
      <c r="B1553" s="663" t="s">
        <v>180</v>
      </c>
      <c r="C1553" s="663" t="s">
        <v>1213</v>
      </c>
      <c r="D1553" s="663" t="s">
        <v>2234</v>
      </c>
      <c r="E1553" s="664" t="s">
        <v>397</v>
      </c>
      <c r="F1553" s="665">
        <v>6847.0</v>
      </c>
      <c r="G1553" s="665">
        <v>13.0</v>
      </c>
      <c r="H1553" s="665">
        <v>0.19</v>
      </c>
      <c r="I1553" s="665">
        <v>0.15</v>
      </c>
      <c r="J1553" s="665">
        <v>0.17</v>
      </c>
      <c r="K1553" s="665">
        <v>225.0</v>
      </c>
      <c r="L1553" s="665">
        <v>152905.0</v>
      </c>
      <c r="M1553" s="665">
        <v>0.03</v>
      </c>
      <c r="N1553" s="1">
        <v>17.3077</v>
      </c>
      <c r="O1553" s="1">
        <v>225.0</v>
      </c>
      <c r="P1553" s="1">
        <v>152905.0</v>
      </c>
      <c r="Q1553" s="1">
        <v>0.0329</v>
      </c>
      <c r="R1553" s="1">
        <v>54005.0</v>
      </c>
    </row>
    <row r="1554">
      <c r="A1554" s="663" t="s">
        <v>2352</v>
      </c>
      <c r="B1554" s="663" t="s">
        <v>180</v>
      </c>
      <c r="C1554" s="663" t="s">
        <v>1213</v>
      </c>
      <c r="D1554" s="663" t="s">
        <v>2234</v>
      </c>
      <c r="E1554" s="664" t="s">
        <v>151</v>
      </c>
      <c r="F1554" s="665">
        <v>6847.0</v>
      </c>
      <c r="G1554" s="665">
        <v>1.0</v>
      </c>
      <c r="H1554" s="665">
        <v>0.01</v>
      </c>
      <c r="I1554" s="665">
        <v>0.01</v>
      </c>
      <c r="J1554" s="665">
        <v>0.0</v>
      </c>
      <c r="K1554" s="665">
        <v>10.0</v>
      </c>
      <c r="L1554" s="665">
        <v>152905.0</v>
      </c>
      <c r="M1554" s="665">
        <v>0.0</v>
      </c>
      <c r="N1554" s="1">
        <v>10.0</v>
      </c>
      <c r="O1554" s="1">
        <v>10.0</v>
      </c>
      <c r="P1554" s="1">
        <v>152905.0</v>
      </c>
      <c r="Q1554" s="1">
        <v>0.0015</v>
      </c>
      <c r="R1554" s="1">
        <v>54005.0</v>
      </c>
    </row>
    <row r="1555">
      <c r="A1555" s="663" t="s">
        <v>2352</v>
      </c>
      <c r="B1555" s="663" t="s">
        <v>180</v>
      </c>
      <c r="C1555" s="663" t="s">
        <v>53</v>
      </c>
      <c r="D1555" s="663" t="s">
        <v>599</v>
      </c>
      <c r="E1555" s="664" t="s">
        <v>396</v>
      </c>
      <c r="F1555" s="665">
        <v>14967.0</v>
      </c>
      <c r="G1555" s="665">
        <v>13478.0</v>
      </c>
      <c r="H1555" s="665">
        <v>90.05</v>
      </c>
      <c r="I1555" s="665">
        <v>29.79</v>
      </c>
      <c r="J1555" s="665">
        <v>43.31</v>
      </c>
      <c r="K1555" s="665">
        <v>38512.0</v>
      </c>
      <c r="L1555" s="665">
        <v>129277.0</v>
      </c>
      <c r="M1555" s="665">
        <v>2.57</v>
      </c>
      <c r="N1555" s="1">
        <v>2.8574</v>
      </c>
      <c r="O1555" s="1">
        <v>38512.0</v>
      </c>
      <c r="P1555" s="1">
        <v>129277.0</v>
      </c>
      <c r="Q1555" s="1">
        <v>2.5731</v>
      </c>
      <c r="R1555" s="1">
        <v>54005.0</v>
      </c>
    </row>
    <row r="1556">
      <c r="A1556" s="663" t="s">
        <v>2352</v>
      </c>
      <c r="B1556" s="663" t="s">
        <v>180</v>
      </c>
      <c r="C1556" s="663" t="s">
        <v>53</v>
      </c>
      <c r="D1556" s="663" t="s">
        <v>599</v>
      </c>
      <c r="E1556" s="664" t="s">
        <v>418</v>
      </c>
      <c r="F1556" s="665">
        <v>14967.0</v>
      </c>
      <c r="G1556" s="665">
        <v>11154.0</v>
      </c>
      <c r="H1556" s="665">
        <v>74.52</v>
      </c>
      <c r="I1556" s="665">
        <v>20.78</v>
      </c>
      <c r="J1556" s="665">
        <v>18.45</v>
      </c>
      <c r="K1556" s="665">
        <v>26861.0</v>
      </c>
      <c r="L1556" s="665">
        <v>129277.0</v>
      </c>
      <c r="M1556" s="665">
        <v>1.79</v>
      </c>
      <c r="N1556" s="1">
        <v>2.4082</v>
      </c>
      <c r="O1556" s="1">
        <v>26861.0</v>
      </c>
      <c r="P1556" s="1">
        <v>129277.0</v>
      </c>
      <c r="Q1556" s="1">
        <v>1.7947</v>
      </c>
      <c r="R1556" s="1">
        <v>54005.0</v>
      </c>
    </row>
    <row r="1557">
      <c r="A1557" s="663" t="s">
        <v>2352</v>
      </c>
      <c r="B1557" s="663" t="s">
        <v>180</v>
      </c>
      <c r="C1557" s="663" t="s">
        <v>53</v>
      </c>
      <c r="D1557" s="663" t="s">
        <v>599</v>
      </c>
      <c r="E1557" s="664" t="s">
        <v>14</v>
      </c>
      <c r="F1557" s="665">
        <v>14967.0</v>
      </c>
      <c r="G1557" s="665">
        <v>7989.0</v>
      </c>
      <c r="H1557" s="665">
        <v>53.38</v>
      </c>
      <c r="I1557" s="665">
        <v>12.91</v>
      </c>
      <c r="J1557" s="665">
        <v>10.14</v>
      </c>
      <c r="K1557" s="665">
        <v>16688.0</v>
      </c>
      <c r="L1557" s="665">
        <v>129277.0</v>
      </c>
      <c r="M1557" s="665">
        <v>1.12</v>
      </c>
      <c r="N1557" s="1">
        <v>2.0889</v>
      </c>
      <c r="O1557" s="1">
        <v>16688.0</v>
      </c>
      <c r="P1557" s="1">
        <v>129277.0</v>
      </c>
      <c r="Q1557" s="1">
        <v>1.115</v>
      </c>
      <c r="R1557" s="1">
        <v>54005.0</v>
      </c>
    </row>
    <row r="1558">
      <c r="A1558" s="663" t="s">
        <v>2352</v>
      </c>
      <c r="B1558" s="663" t="s">
        <v>180</v>
      </c>
      <c r="C1558" s="663" t="s">
        <v>53</v>
      </c>
      <c r="D1558" s="663" t="s">
        <v>599</v>
      </c>
      <c r="E1558" s="664" t="s">
        <v>9</v>
      </c>
      <c r="F1558" s="665">
        <v>14967.0</v>
      </c>
      <c r="G1558" s="665">
        <v>5261.0</v>
      </c>
      <c r="H1558" s="665">
        <v>35.15</v>
      </c>
      <c r="I1558" s="665">
        <v>5.49</v>
      </c>
      <c r="J1558" s="665">
        <v>3.9</v>
      </c>
      <c r="K1558" s="665">
        <v>7097.0</v>
      </c>
      <c r="L1558" s="665">
        <v>129277.0</v>
      </c>
      <c r="M1558" s="665">
        <v>0.47</v>
      </c>
      <c r="N1558" s="1">
        <v>1.349</v>
      </c>
      <c r="O1558" s="1">
        <v>7097.0</v>
      </c>
      <c r="P1558" s="1">
        <v>129277.0</v>
      </c>
      <c r="Q1558" s="1">
        <v>0.4742</v>
      </c>
      <c r="R1558" s="1">
        <v>54005.0</v>
      </c>
    </row>
    <row r="1559">
      <c r="A1559" s="663" t="s">
        <v>2352</v>
      </c>
      <c r="B1559" s="663" t="s">
        <v>180</v>
      </c>
      <c r="C1559" s="663" t="s">
        <v>53</v>
      </c>
      <c r="D1559" s="663" t="s">
        <v>599</v>
      </c>
      <c r="E1559" s="664" t="s">
        <v>413</v>
      </c>
      <c r="F1559" s="665">
        <v>14967.0</v>
      </c>
      <c r="G1559" s="665">
        <v>4724.0</v>
      </c>
      <c r="H1559" s="665">
        <v>31.56</v>
      </c>
      <c r="I1559" s="665">
        <v>4.59</v>
      </c>
      <c r="J1559" s="665">
        <v>4.1</v>
      </c>
      <c r="K1559" s="665">
        <v>5940.0</v>
      </c>
      <c r="L1559" s="665">
        <v>129277.0</v>
      </c>
      <c r="M1559" s="665">
        <v>0.4</v>
      </c>
      <c r="N1559" s="1">
        <v>1.2574</v>
      </c>
      <c r="O1559" s="1">
        <v>5940.0</v>
      </c>
      <c r="P1559" s="1">
        <v>129277.0</v>
      </c>
      <c r="Q1559" s="1">
        <v>0.3969</v>
      </c>
      <c r="R1559" s="1">
        <v>54005.0</v>
      </c>
    </row>
    <row r="1560">
      <c r="A1560" s="663" t="s">
        <v>2352</v>
      </c>
      <c r="B1560" s="663" t="s">
        <v>180</v>
      </c>
      <c r="C1560" s="663" t="s">
        <v>53</v>
      </c>
      <c r="D1560" s="663" t="s">
        <v>599</v>
      </c>
      <c r="E1560" s="664" t="s">
        <v>397</v>
      </c>
      <c r="F1560" s="665">
        <v>14967.0</v>
      </c>
      <c r="G1560" s="665">
        <v>4397.0</v>
      </c>
      <c r="H1560" s="665">
        <v>29.38</v>
      </c>
      <c r="I1560" s="665">
        <v>4.49</v>
      </c>
      <c r="J1560" s="665">
        <v>2.99</v>
      </c>
      <c r="K1560" s="665">
        <v>5811.0</v>
      </c>
      <c r="L1560" s="665">
        <v>129277.0</v>
      </c>
      <c r="M1560" s="665">
        <v>0.39</v>
      </c>
      <c r="N1560" s="1">
        <v>1.3216</v>
      </c>
      <c r="O1560" s="1">
        <v>5811.0</v>
      </c>
      <c r="P1560" s="1">
        <v>129277.0</v>
      </c>
      <c r="Q1560" s="1">
        <v>0.3883</v>
      </c>
      <c r="R1560" s="1">
        <v>54005.0</v>
      </c>
    </row>
    <row r="1561">
      <c r="A1561" s="663" t="s">
        <v>2352</v>
      </c>
      <c r="B1561" s="663" t="s">
        <v>180</v>
      </c>
      <c r="C1561" s="663" t="s">
        <v>53</v>
      </c>
      <c r="D1561" s="663" t="s">
        <v>599</v>
      </c>
      <c r="E1561" s="664" t="s">
        <v>411</v>
      </c>
      <c r="F1561" s="665">
        <v>14967.0</v>
      </c>
      <c r="G1561" s="665">
        <v>2781.0</v>
      </c>
      <c r="H1561" s="665">
        <v>18.58</v>
      </c>
      <c r="I1561" s="665">
        <v>3.33</v>
      </c>
      <c r="J1561" s="665">
        <v>3.41</v>
      </c>
      <c r="K1561" s="665">
        <v>4303.0</v>
      </c>
      <c r="L1561" s="665">
        <v>129277.0</v>
      </c>
      <c r="M1561" s="665">
        <v>0.29</v>
      </c>
      <c r="N1561" s="1">
        <v>1.5473</v>
      </c>
      <c r="O1561" s="1">
        <v>4303.0</v>
      </c>
      <c r="P1561" s="1">
        <v>129277.0</v>
      </c>
      <c r="Q1561" s="1">
        <v>0.2875</v>
      </c>
      <c r="R1561" s="1">
        <v>54005.0</v>
      </c>
    </row>
    <row r="1562">
      <c r="A1562" s="663" t="s">
        <v>2352</v>
      </c>
      <c r="B1562" s="663" t="s">
        <v>180</v>
      </c>
      <c r="C1562" s="663" t="s">
        <v>53</v>
      </c>
      <c r="D1562" s="663" t="s">
        <v>599</v>
      </c>
      <c r="E1562" s="664" t="s">
        <v>393</v>
      </c>
      <c r="F1562" s="665">
        <v>14967.0</v>
      </c>
      <c r="G1562" s="665">
        <v>1674.0</v>
      </c>
      <c r="H1562" s="665">
        <v>11.18</v>
      </c>
      <c r="I1562" s="665">
        <v>2.94</v>
      </c>
      <c r="J1562" s="665">
        <v>1.59</v>
      </c>
      <c r="K1562" s="665">
        <v>3795.0</v>
      </c>
      <c r="L1562" s="665">
        <v>129277.0</v>
      </c>
      <c r="M1562" s="665">
        <v>0.25</v>
      </c>
      <c r="N1562" s="1">
        <v>2.267</v>
      </c>
      <c r="O1562" s="1">
        <v>3795.0</v>
      </c>
      <c r="P1562" s="1">
        <v>129277.0</v>
      </c>
      <c r="Q1562" s="1">
        <v>0.2536</v>
      </c>
      <c r="R1562" s="1">
        <v>54005.0</v>
      </c>
    </row>
    <row r="1563">
      <c r="A1563" s="663" t="s">
        <v>2352</v>
      </c>
      <c r="B1563" s="663" t="s">
        <v>180</v>
      </c>
      <c r="C1563" s="663" t="s">
        <v>53</v>
      </c>
      <c r="D1563" s="663" t="s">
        <v>599</v>
      </c>
      <c r="E1563" s="664" t="s">
        <v>16</v>
      </c>
      <c r="F1563" s="665">
        <v>14967.0</v>
      </c>
      <c r="G1563" s="665">
        <v>2445.0</v>
      </c>
      <c r="H1563" s="665">
        <v>16.34</v>
      </c>
      <c r="I1563" s="665">
        <v>2.73</v>
      </c>
      <c r="J1563" s="665">
        <v>2.34</v>
      </c>
      <c r="K1563" s="665">
        <v>3529.0</v>
      </c>
      <c r="L1563" s="665">
        <v>129277.0</v>
      </c>
      <c r="M1563" s="665">
        <v>0.24</v>
      </c>
      <c r="N1563" s="1">
        <v>1.4434</v>
      </c>
      <c r="O1563" s="1">
        <v>3529.0</v>
      </c>
      <c r="P1563" s="1">
        <v>129277.0</v>
      </c>
      <c r="Q1563" s="1">
        <v>0.2358</v>
      </c>
      <c r="R1563" s="1">
        <v>54005.0</v>
      </c>
    </row>
    <row r="1564">
      <c r="A1564" s="663" t="s">
        <v>2352</v>
      </c>
      <c r="B1564" s="663" t="s">
        <v>180</v>
      </c>
      <c r="C1564" s="663" t="s">
        <v>53</v>
      </c>
      <c r="D1564" s="663" t="s">
        <v>599</v>
      </c>
      <c r="E1564" s="664" t="s">
        <v>42</v>
      </c>
      <c r="F1564" s="665">
        <v>14967.0</v>
      </c>
      <c r="G1564" s="665">
        <v>2697.0</v>
      </c>
      <c r="H1564" s="665">
        <v>18.02</v>
      </c>
      <c r="I1564" s="665">
        <v>2.73</v>
      </c>
      <c r="J1564" s="665">
        <v>2.49</v>
      </c>
      <c r="K1564" s="665">
        <v>3527.0</v>
      </c>
      <c r="L1564" s="665">
        <v>129277.0</v>
      </c>
      <c r="M1564" s="665">
        <v>0.24</v>
      </c>
      <c r="N1564" s="1">
        <v>1.3077</v>
      </c>
      <c r="O1564" s="1">
        <v>3527.0</v>
      </c>
      <c r="P1564" s="1">
        <v>129277.0</v>
      </c>
      <c r="Q1564" s="1">
        <v>0.2357</v>
      </c>
      <c r="R1564" s="1">
        <v>54005.0</v>
      </c>
    </row>
    <row r="1565">
      <c r="A1565" s="663" t="s">
        <v>2352</v>
      </c>
      <c r="B1565" s="663" t="s">
        <v>180</v>
      </c>
      <c r="C1565" s="663" t="s">
        <v>53</v>
      </c>
      <c r="D1565" s="663" t="s">
        <v>599</v>
      </c>
      <c r="E1565" s="664" t="s">
        <v>341</v>
      </c>
      <c r="F1565" s="665">
        <v>14967.0</v>
      </c>
      <c r="G1565" s="665">
        <v>2146.0</v>
      </c>
      <c r="H1565" s="665">
        <v>14.34</v>
      </c>
      <c r="I1565" s="665">
        <v>2.0</v>
      </c>
      <c r="J1565" s="665">
        <v>1.67</v>
      </c>
      <c r="K1565" s="665">
        <v>2587.0</v>
      </c>
      <c r="L1565" s="665">
        <v>129277.0</v>
      </c>
      <c r="M1565" s="665">
        <v>0.17</v>
      </c>
      <c r="N1565" s="1">
        <v>1.2055</v>
      </c>
      <c r="O1565" s="1">
        <v>2587.0</v>
      </c>
      <c r="P1565" s="1">
        <v>129277.0</v>
      </c>
      <c r="Q1565" s="1">
        <v>0.1728</v>
      </c>
      <c r="R1565" s="1">
        <v>54005.0</v>
      </c>
    </row>
    <row r="1566">
      <c r="A1566" s="663" t="s">
        <v>2352</v>
      </c>
      <c r="B1566" s="663" t="s">
        <v>180</v>
      </c>
      <c r="C1566" s="663" t="s">
        <v>53</v>
      </c>
      <c r="D1566" s="663" t="s">
        <v>599</v>
      </c>
      <c r="E1566" s="664" t="s">
        <v>329</v>
      </c>
      <c r="F1566" s="665">
        <v>14967.0</v>
      </c>
      <c r="G1566" s="665">
        <v>2026.0</v>
      </c>
      <c r="H1566" s="665">
        <v>13.54</v>
      </c>
      <c r="I1566" s="665">
        <v>1.97</v>
      </c>
      <c r="J1566" s="665">
        <v>1.54</v>
      </c>
      <c r="K1566" s="665">
        <v>2546.0</v>
      </c>
      <c r="L1566" s="665">
        <v>129277.0</v>
      </c>
      <c r="M1566" s="665">
        <v>0.17</v>
      </c>
      <c r="N1566" s="1">
        <v>1.2567</v>
      </c>
      <c r="O1566" s="1">
        <v>2546.0</v>
      </c>
      <c r="P1566" s="1">
        <v>129277.0</v>
      </c>
      <c r="Q1566" s="1">
        <v>0.1701</v>
      </c>
      <c r="R1566" s="1">
        <v>54005.0</v>
      </c>
    </row>
    <row r="1567">
      <c r="A1567" s="663" t="s">
        <v>2352</v>
      </c>
      <c r="B1567" s="663" t="s">
        <v>180</v>
      </c>
      <c r="C1567" s="663" t="s">
        <v>53</v>
      </c>
      <c r="D1567" s="663" t="s">
        <v>599</v>
      </c>
      <c r="E1567" s="664" t="s">
        <v>338</v>
      </c>
      <c r="F1567" s="665">
        <v>14967.0</v>
      </c>
      <c r="G1567" s="665">
        <v>1983.0</v>
      </c>
      <c r="H1567" s="665">
        <v>13.25</v>
      </c>
      <c r="I1567" s="665">
        <v>1.91</v>
      </c>
      <c r="J1567" s="665">
        <v>1.36</v>
      </c>
      <c r="K1567" s="665">
        <v>2463.0</v>
      </c>
      <c r="L1567" s="665">
        <v>129277.0</v>
      </c>
      <c r="M1567" s="665">
        <v>0.16</v>
      </c>
      <c r="N1567" s="1">
        <v>1.2421</v>
      </c>
      <c r="O1567" s="1">
        <v>2463.0</v>
      </c>
      <c r="P1567" s="1">
        <v>129277.0</v>
      </c>
      <c r="Q1567" s="1">
        <v>0.1646</v>
      </c>
      <c r="R1567" s="1">
        <v>54005.0</v>
      </c>
    </row>
    <row r="1568">
      <c r="A1568" s="663" t="s">
        <v>2352</v>
      </c>
      <c r="B1568" s="663" t="s">
        <v>180</v>
      </c>
      <c r="C1568" s="663" t="s">
        <v>53</v>
      </c>
      <c r="D1568" s="663" t="s">
        <v>599</v>
      </c>
      <c r="E1568" s="664" t="s">
        <v>63</v>
      </c>
      <c r="F1568" s="665">
        <v>14967.0</v>
      </c>
      <c r="G1568" s="665">
        <v>1863.0</v>
      </c>
      <c r="H1568" s="665">
        <v>12.45</v>
      </c>
      <c r="I1568" s="665">
        <v>1.85</v>
      </c>
      <c r="J1568" s="665">
        <v>1.32</v>
      </c>
      <c r="K1568" s="665">
        <v>2387.0</v>
      </c>
      <c r="L1568" s="665">
        <v>129277.0</v>
      </c>
      <c r="M1568" s="665">
        <v>0.16</v>
      </c>
      <c r="N1568" s="1">
        <v>1.2813</v>
      </c>
      <c r="O1568" s="1">
        <v>2387.0</v>
      </c>
      <c r="P1568" s="1">
        <v>129277.0</v>
      </c>
      <c r="Q1568" s="1">
        <v>0.1595</v>
      </c>
      <c r="R1568" s="1">
        <v>54005.0</v>
      </c>
    </row>
    <row r="1569">
      <c r="A1569" s="663" t="s">
        <v>2352</v>
      </c>
      <c r="B1569" s="663" t="s">
        <v>180</v>
      </c>
      <c r="C1569" s="663" t="s">
        <v>53</v>
      </c>
      <c r="D1569" s="663" t="s">
        <v>599</v>
      </c>
      <c r="E1569" s="664" t="s">
        <v>15</v>
      </c>
      <c r="F1569" s="665">
        <v>14967.0</v>
      </c>
      <c r="G1569" s="665">
        <v>833.0</v>
      </c>
      <c r="H1569" s="665">
        <v>5.57</v>
      </c>
      <c r="I1569" s="665">
        <v>1.6</v>
      </c>
      <c r="J1569" s="665">
        <v>0.89</v>
      </c>
      <c r="K1569" s="665">
        <v>2074.0</v>
      </c>
      <c r="L1569" s="665">
        <v>129277.0</v>
      </c>
      <c r="M1569" s="665">
        <v>0.14</v>
      </c>
      <c r="N1569" s="1">
        <v>2.4898</v>
      </c>
      <c r="O1569" s="1">
        <v>2074.0</v>
      </c>
      <c r="P1569" s="1">
        <v>129277.0</v>
      </c>
      <c r="Q1569" s="1">
        <v>0.1386</v>
      </c>
      <c r="R1569" s="1">
        <v>54005.0</v>
      </c>
    </row>
    <row r="1570">
      <c r="A1570" s="663" t="s">
        <v>2352</v>
      </c>
      <c r="B1570" s="663" t="s">
        <v>180</v>
      </c>
      <c r="C1570" s="663" t="s">
        <v>53</v>
      </c>
      <c r="D1570" s="663" t="s">
        <v>599</v>
      </c>
      <c r="E1570" s="664" t="s">
        <v>7</v>
      </c>
      <c r="F1570" s="665">
        <v>14967.0</v>
      </c>
      <c r="G1570" s="665">
        <v>672.0</v>
      </c>
      <c r="H1570" s="665">
        <v>4.49</v>
      </c>
      <c r="I1570" s="665">
        <v>0.58</v>
      </c>
      <c r="J1570" s="665">
        <v>0.36</v>
      </c>
      <c r="K1570" s="665">
        <v>746.0</v>
      </c>
      <c r="L1570" s="665">
        <v>129277.0</v>
      </c>
      <c r="M1570" s="665">
        <v>0.05</v>
      </c>
      <c r="N1570" s="1">
        <v>1.1101</v>
      </c>
      <c r="O1570" s="1">
        <v>746.0</v>
      </c>
      <c r="P1570" s="1">
        <v>129277.0</v>
      </c>
      <c r="Q1570" s="1">
        <v>0.0498</v>
      </c>
      <c r="R1570" s="1">
        <v>54005.0</v>
      </c>
    </row>
    <row r="1571">
      <c r="A1571" s="663" t="s">
        <v>2352</v>
      </c>
      <c r="B1571" s="663" t="s">
        <v>180</v>
      </c>
      <c r="C1571" s="663" t="s">
        <v>53</v>
      </c>
      <c r="D1571" s="663" t="s">
        <v>599</v>
      </c>
      <c r="E1571" s="664" t="s">
        <v>73</v>
      </c>
      <c r="F1571" s="665">
        <v>14967.0</v>
      </c>
      <c r="G1571" s="665">
        <v>286.0</v>
      </c>
      <c r="H1571" s="665">
        <v>1.91</v>
      </c>
      <c r="I1571" s="665">
        <v>0.23</v>
      </c>
      <c r="J1571" s="665">
        <v>0.11</v>
      </c>
      <c r="K1571" s="665">
        <v>292.0</v>
      </c>
      <c r="L1571" s="665">
        <v>129277.0</v>
      </c>
      <c r="M1571" s="665">
        <v>0.02</v>
      </c>
      <c r="N1571" s="1">
        <v>1.021</v>
      </c>
      <c r="O1571" s="1">
        <v>292.0</v>
      </c>
      <c r="P1571" s="1">
        <v>129277.0</v>
      </c>
      <c r="Q1571" s="1">
        <v>0.0195</v>
      </c>
      <c r="R1571" s="1">
        <v>54005.0</v>
      </c>
    </row>
    <row r="1572">
      <c r="A1572" s="663" t="s">
        <v>2352</v>
      </c>
      <c r="B1572" s="663" t="s">
        <v>180</v>
      </c>
      <c r="C1572" s="663" t="s">
        <v>53</v>
      </c>
      <c r="D1572" s="663" t="s">
        <v>599</v>
      </c>
      <c r="E1572" s="664" t="s">
        <v>206</v>
      </c>
      <c r="F1572" s="665">
        <v>14967.0</v>
      </c>
      <c r="G1572" s="665">
        <v>112.0</v>
      </c>
      <c r="H1572" s="665">
        <v>0.75</v>
      </c>
      <c r="I1572" s="665">
        <v>0.09</v>
      </c>
      <c r="J1572" s="665">
        <v>0.03</v>
      </c>
      <c r="K1572" s="665">
        <v>115.0</v>
      </c>
      <c r="L1572" s="665">
        <v>129277.0</v>
      </c>
      <c r="M1572" s="665">
        <v>0.01</v>
      </c>
      <c r="N1572" s="1">
        <v>1.0268</v>
      </c>
      <c r="O1572" s="1">
        <v>115.0</v>
      </c>
      <c r="P1572" s="1">
        <v>129277.0</v>
      </c>
      <c r="Q1572" s="1">
        <v>0.0077</v>
      </c>
      <c r="R1572" s="1">
        <v>54005.0</v>
      </c>
    </row>
    <row r="1573">
      <c r="A1573" s="663" t="s">
        <v>2352</v>
      </c>
      <c r="B1573" s="663" t="s">
        <v>180</v>
      </c>
      <c r="C1573" s="663" t="s">
        <v>53</v>
      </c>
      <c r="D1573" s="663" t="s">
        <v>599</v>
      </c>
      <c r="E1573" s="664" t="s">
        <v>151</v>
      </c>
      <c r="F1573" s="665">
        <v>14967.0</v>
      </c>
      <c r="G1573" s="665">
        <v>2.0</v>
      </c>
      <c r="H1573" s="665">
        <v>0.01</v>
      </c>
      <c r="I1573" s="665">
        <v>0.0</v>
      </c>
      <c r="J1573" s="665">
        <v>0.0</v>
      </c>
      <c r="K1573" s="665">
        <v>2.0</v>
      </c>
      <c r="L1573" s="665">
        <v>129277.0</v>
      </c>
      <c r="M1573" s="665">
        <v>0.0</v>
      </c>
      <c r="N1573" s="1">
        <v>1.0</v>
      </c>
      <c r="O1573" s="1">
        <v>2.0</v>
      </c>
      <c r="P1573" s="1">
        <v>129277.0</v>
      </c>
      <c r="Q1573" s="1">
        <v>1.0E-4</v>
      </c>
      <c r="R1573" s="1">
        <v>54005.0</v>
      </c>
    </row>
    <row r="1574">
      <c r="A1574" s="663" t="s">
        <v>2352</v>
      </c>
      <c r="B1574" s="663" t="s">
        <v>180</v>
      </c>
      <c r="C1574" s="663" t="s">
        <v>53</v>
      </c>
      <c r="D1574" s="663" t="s">
        <v>599</v>
      </c>
      <c r="E1574" s="664" t="s">
        <v>398</v>
      </c>
      <c r="F1574" s="665">
        <v>14967.0</v>
      </c>
      <c r="G1574" s="665">
        <v>1.0</v>
      </c>
      <c r="H1574" s="665">
        <v>0.01</v>
      </c>
      <c r="I1574" s="665">
        <v>0.0</v>
      </c>
      <c r="J1574" s="665">
        <v>0.01</v>
      </c>
      <c r="K1574" s="665">
        <v>2.0</v>
      </c>
      <c r="L1574" s="665">
        <v>129277.0</v>
      </c>
      <c r="M1574" s="665">
        <v>0.0</v>
      </c>
      <c r="N1574" s="1">
        <v>2.0</v>
      </c>
      <c r="O1574" s="1">
        <v>2.0</v>
      </c>
      <c r="P1574" s="1">
        <v>129277.0</v>
      </c>
      <c r="Q1574" s="1">
        <v>1.0E-4</v>
      </c>
      <c r="R1574" s="1">
        <v>54005.0</v>
      </c>
    </row>
    <row r="1575">
      <c r="A1575" s="663" t="s">
        <v>2352</v>
      </c>
      <c r="B1575" s="663" t="s">
        <v>180</v>
      </c>
      <c r="C1575" s="663" t="s">
        <v>52</v>
      </c>
      <c r="D1575" s="663" t="s">
        <v>599</v>
      </c>
      <c r="E1575" s="664" t="s">
        <v>396</v>
      </c>
      <c r="F1575" s="665">
        <v>15900.0</v>
      </c>
      <c r="G1575" s="665">
        <v>13376.0</v>
      </c>
      <c r="H1575" s="665">
        <v>84.13</v>
      </c>
      <c r="I1575" s="665">
        <v>23.02</v>
      </c>
      <c r="J1575" s="665">
        <v>30.45</v>
      </c>
      <c r="K1575" s="665">
        <v>34792.0</v>
      </c>
      <c r="L1575" s="665">
        <v>151157.0</v>
      </c>
      <c r="M1575" s="665">
        <v>2.19</v>
      </c>
      <c r="N1575" s="1">
        <v>2.6011</v>
      </c>
      <c r="O1575" s="1">
        <v>34792.0</v>
      </c>
      <c r="P1575" s="1">
        <v>151157.0</v>
      </c>
      <c r="Q1575" s="1">
        <v>2.1882</v>
      </c>
      <c r="R1575" s="1">
        <v>54005.0</v>
      </c>
    </row>
    <row r="1576">
      <c r="A1576" s="663" t="s">
        <v>2352</v>
      </c>
      <c r="B1576" s="663" t="s">
        <v>180</v>
      </c>
      <c r="C1576" s="663" t="s">
        <v>52</v>
      </c>
      <c r="D1576" s="663" t="s">
        <v>599</v>
      </c>
      <c r="E1576" s="664" t="s">
        <v>14</v>
      </c>
      <c r="F1576" s="665">
        <v>15900.0</v>
      </c>
      <c r="G1576" s="665">
        <v>9648.0</v>
      </c>
      <c r="H1576" s="665">
        <v>60.68</v>
      </c>
      <c r="I1576" s="665">
        <v>21.57</v>
      </c>
      <c r="J1576" s="665">
        <v>18.55</v>
      </c>
      <c r="K1576" s="665">
        <v>32598.0</v>
      </c>
      <c r="L1576" s="665">
        <v>151157.0</v>
      </c>
      <c r="M1576" s="665">
        <v>2.05</v>
      </c>
      <c r="N1576" s="1">
        <v>3.3787</v>
      </c>
      <c r="O1576" s="1">
        <v>32598.0</v>
      </c>
      <c r="P1576" s="1">
        <v>151157.0</v>
      </c>
      <c r="Q1576" s="1">
        <v>2.0502</v>
      </c>
      <c r="R1576" s="1">
        <v>54005.0</v>
      </c>
    </row>
    <row r="1577">
      <c r="A1577" s="663" t="s">
        <v>2352</v>
      </c>
      <c r="B1577" s="663" t="s">
        <v>180</v>
      </c>
      <c r="C1577" s="663" t="s">
        <v>52</v>
      </c>
      <c r="D1577" s="663" t="s">
        <v>599</v>
      </c>
      <c r="E1577" s="664" t="s">
        <v>418</v>
      </c>
      <c r="F1577" s="665">
        <v>15900.0</v>
      </c>
      <c r="G1577" s="665">
        <v>14188.0</v>
      </c>
      <c r="H1577" s="665">
        <v>89.23</v>
      </c>
      <c r="I1577" s="665">
        <v>20.25</v>
      </c>
      <c r="J1577" s="665">
        <v>25.03</v>
      </c>
      <c r="K1577" s="665">
        <v>30602.0</v>
      </c>
      <c r="L1577" s="665">
        <v>151157.0</v>
      </c>
      <c r="M1577" s="665">
        <v>1.92</v>
      </c>
      <c r="N1577" s="1">
        <v>2.1569</v>
      </c>
      <c r="O1577" s="1">
        <v>30602.0</v>
      </c>
      <c r="P1577" s="1">
        <v>151157.0</v>
      </c>
      <c r="Q1577" s="1">
        <v>1.9247</v>
      </c>
      <c r="R1577" s="1">
        <v>54005.0</v>
      </c>
    </row>
    <row r="1578">
      <c r="A1578" s="663" t="s">
        <v>2352</v>
      </c>
      <c r="B1578" s="663" t="s">
        <v>180</v>
      </c>
      <c r="C1578" s="663" t="s">
        <v>52</v>
      </c>
      <c r="D1578" s="663" t="s">
        <v>599</v>
      </c>
      <c r="E1578" s="664" t="s">
        <v>397</v>
      </c>
      <c r="F1578" s="665">
        <v>15900.0</v>
      </c>
      <c r="G1578" s="665">
        <v>6476.0</v>
      </c>
      <c r="H1578" s="665">
        <v>40.73</v>
      </c>
      <c r="I1578" s="665">
        <v>6.0</v>
      </c>
      <c r="J1578" s="665">
        <v>4.84</v>
      </c>
      <c r="K1578" s="665">
        <v>9070.0</v>
      </c>
      <c r="L1578" s="665">
        <v>151157.0</v>
      </c>
      <c r="M1578" s="665">
        <v>0.57</v>
      </c>
      <c r="N1578" s="1">
        <v>1.4006</v>
      </c>
      <c r="O1578" s="1">
        <v>9070.0</v>
      </c>
      <c r="P1578" s="1">
        <v>151157.0</v>
      </c>
      <c r="Q1578" s="1">
        <v>0.5704</v>
      </c>
      <c r="R1578" s="1">
        <v>54005.0</v>
      </c>
    </row>
    <row r="1579">
      <c r="A1579" s="663" t="s">
        <v>2352</v>
      </c>
      <c r="B1579" s="663" t="s">
        <v>180</v>
      </c>
      <c r="C1579" s="663" t="s">
        <v>52</v>
      </c>
      <c r="D1579" s="663" t="s">
        <v>599</v>
      </c>
      <c r="E1579" s="664" t="s">
        <v>398</v>
      </c>
      <c r="F1579" s="665">
        <v>15900.0</v>
      </c>
      <c r="G1579" s="665">
        <v>6090.0</v>
      </c>
      <c r="H1579" s="665">
        <v>38.3</v>
      </c>
      <c r="I1579" s="665">
        <v>5.82</v>
      </c>
      <c r="J1579" s="665">
        <v>5.51</v>
      </c>
      <c r="K1579" s="665">
        <v>8799.0</v>
      </c>
      <c r="L1579" s="665">
        <v>151157.0</v>
      </c>
      <c r="M1579" s="665">
        <v>0.55</v>
      </c>
      <c r="N1579" s="1">
        <v>1.4448</v>
      </c>
      <c r="O1579" s="1">
        <v>8799.0</v>
      </c>
      <c r="P1579" s="1">
        <v>151157.0</v>
      </c>
      <c r="Q1579" s="1">
        <v>0.5534</v>
      </c>
      <c r="R1579" s="1">
        <v>54005.0</v>
      </c>
    </row>
    <row r="1580">
      <c r="A1580" s="663" t="s">
        <v>2352</v>
      </c>
      <c r="B1580" s="663" t="s">
        <v>180</v>
      </c>
      <c r="C1580" s="663" t="s">
        <v>52</v>
      </c>
      <c r="D1580" s="663" t="s">
        <v>599</v>
      </c>
      <c r="E1580" s="664" t="s">
        <v>9</v>
      </c>
      <c r="F1580" s="665">
        <v>15900.0</v>
      </c>
      <c r="G1580" s="665">
        <v>4254.0</v>
      </c>
      <c r="H1580" s="665">
        <v>26.75</v>
      </c>
      <c r="I1580" s="665">
        <v>3.86</v>
      </c>
      <c r="J1580" s="665">
        <v>2.39</v>
      </c>
      <c r="K1580" s="665">
        <v>5832.0</v>
      </c>
      <c r="L1580" s="665">
        <v>151157.0</v>
      </c>
      <c r="M1580" s="665">
        <v>0.37</v>
      </c>
      <c r="N1580" s="1">
        <v>1.3709</v>
      </c>
      <c r="O1580" s="1">
        <v>5832.0</v>
      </c>
      <c r="P1580" s="1">
        <v>151157.0</v>
      </c>
      <c r="Q1580" s="1">
        <v>0.3668</v>
      </c>
      <c r="R1580" s="1">
        <v>54005.0</v>
      </c>
    </row>
    <row r="1581">
      <c r="A1581" s="663" t="s">
        <v>2352</v>
      </c>
      <c r="B1581" s="663" t="s">
        <v>180</v>
      </c>
      <c r="C1581" s="663" t="s">
        <v>52</v>
      </c>
      <c r="D1581" s="663" t="s">
        <v>599</v>
      </c>
      <c r="E1581" s="664" t="s">
        <v>51</v>
      </c>
      <c r="F1581" s="665">
        <v>15900.0</v>
      </c>
      <c r="G1581" s="665">
        <v>2678.0</v>
      </c>
      <c r="H1581" s="665">
        <v>16.84</v>
      </c>
      <c r="I1581" s="665">
        <v>3.11</v>
      </c>
      <c r="J1581" s="665">
        <v>1.83</v>
      </c>
      <c r="K1581" s="665">
        <v>4697.0</v>
      </c>
      <c r="L1581" s="665">
        <v>151157.0</v>
      </c>
      <c r="M1581" s="665">
        <v>0.3</v>
      </c>
      <c r="N1581" s="1">
        <v>1.7539</v>
      </c>
      <c r="O1581" s="1">
        <v>4697.0</v>
      </c>
      <c r="P1581" s="1">
        <v>151157.0</v>
      </c>
      <c r="Q1581" s="1">
        <v>0.2954</v>
      </c>
      <c r="R1581" s="1">
        <v>54005.0</v>
      </c>
    </row>
    <row r="1582">
      <c r="A1582" s="663" t="s">
        <v>2352</v>
      </c>
      <c r="B1582" s="663" t="s">
        <v>180</v>
      </c>
      <c r="C1582" s="663" t="s">
        <v>52</v>
      </c>
      <c r="D1582" s="663" t="s">
        <v>599</v>
      </c>
      <c r="E1582" s="664" t="s">
        <v>15</v>
      </c>
      <c r="F1582" s="665">
        <v>15900.0</v>
      </c>
      <c r="G1582" s="665">
        <v>2233.0</v>
      </c>
      <c r="H1582" s="665">
        <v>14.04</v>
      </c>
      <c r="I1582" s="665">
        <v>3.07</v>
      </c>
      <c r="J1582" s="665">
        <v>2.05</v>
      </c>
      <c r="K1582" s="665">
        <v>4642.0</v>
      </c>
      <c r="L1582" s="665">
        <v>151157.0</v>
      </c>
      <c r="M1582" s="665">
        <v>0.29</v>
      </c>
      <c r="N1582" s="1">
        <v>2.0788</v>
      </c>
      <c r="O1582" s="1">
        <v>4642.0</v>
      </c>
      <c r="P1582" s="1">
        <v>151157.0</v>
      </c>
      <c r="Q1582" s="1">
        <v>0.2919</v>
      </c>
      <c r="R1582" s="1">
        <v>54005.0</v>
      </c>
    </row>
    <row r="1583">
      <c r="A1583" s="663" t="s">
        <v>2352</v>
      </c>
      <c r="B1583" s="663" t="s">
        <v>180</v>
      </c>
      <c r="C1583" s="663" t="s">
        <v>52</v>
      </c>
      <c r="D1583" s="663" t="s">
        <v>599</v>
      </c>
      <c r="E1583" s="664" t="s">
        <v>393</v>
      </c>
      <c r="F1583" s="665">
        <v>15900.0</v>
      </c>
      <c r="G1583" s="665">
        <v>1694.0</v>
      </c>
      <c r="H1583" s="665">
        <v>10.65</v>
      </c>
      <c r="I1583" s="665">
        <v>2.49</v>
      </c>
      <c r="J1583" s="665">
        <v>1.4</v>
      </c>
      <c r="K1583" s="665">
        <v>3757.0</v>
      </c>
      <c r="L1583" s="665">
        <v>151157.0</v>
      </c>
      <c r="M1583" s="665">
        <v>0.24</v>
      </c>
      <c r="N1583" s="1">
        <v>2.2178</v>
      </c>
      <c r="O1583" s="1">
        <v>3757.0</v>
      </c>
      <c r="P1583" s="1">
        <v>151157.0</v>
      </c>
      <c r="Q1583" s="1">
        <v>0.2363</v>
      </c>
      <c r="R1583" s="1">
        <v>54005.0</v>
      </c>
    </row>
    <row r="1584">
      <c r="A1584" s="663" t="s">
        <v>2352</v>
      </c>
      <c r="B1584" s="663" t="s">
        <v>180</v>
      </c>
      <c r="C1584" s="663" t="s">
        <v>52</v>
      </c>
      <c r="D1584" s="663" t="s">
        <v>599</v>
      </c>
      <c r="E1584" s="664" t="s">
        <v>63</v>
      </c>
      <c r="F1584" s="665">
        <v>15900.0</v>
      </c>
      <c r="G1584" s="665">
        <v>2435.0</v>
      </c>
      <c r="H1584" s="665">
        <v>15.31</v>
      </c>
      <c r="I1584" s="665">
        <v>2.09</v>
      </c>
      <c r="J1584" s="665">
        <v>1.53</v>
      </c>
      <c r="K1584" s="665">
        <v>3155.0</v>
      </c>
      <c r="L1584" s="665">
        <v>151157.0</v>
      </c>
      <c r="M1584" s="665">
        <v>0.2</v>
      </c>
      <c r="N1584" s="1">
        <v>1.2957</v>
      </c>
      <c r="O1584" s="1">
        <v>3155.0</v>
      </c>
      <c r="P1584" s="1">
        <v>151157.0</v>
      </c>
      <c r="Q1584" s="1">
        <v>0.1984</v>
      </c>
      <c r="R1584" s="1">
        <v>54005.0</v>
      </c>
    </row>
    <row r="1585">
      <c r="A1585" s="663" t="s">
        <v>2352</v>
      </c>
      <c r="B1585" s="663" t="s">
        <v>180</v>
      </c>
      <c r="C1585" s="663" t="s">
        <v>52</v>
      </c>
      <c r="D1585" s="663" t="s">
        <v>599</v>
      </c>
      <c r="E1585" s="664" t="s">
        <v>42</v>
      </c>
      <c r="F1585" s="665">
        <v>15900.0</v>
      </c>
      <c r="G1585" s="665">
        <v>1908.0</v>
      </c>
      <c r="H1585" s="665">
        <v>12.0</v>
      </c>
      <c r="I1585" s="665">
        <v>1.58</v>
      </c>
      <c r="J1585" s="665">
        <v>1.2</v>
      </c>
      <c r="K1585" s="665">
        <v>2385.0</v>
      </c>
      <c r="L1585" s="665">
        <v>151157.0</v>
      </c>
      <c r="M1585" s="665">
        <v>0.15</v>
      </c>
      <c r="N1585" s="1">
        <v>1.25</v>
      </c>
      <c r="O1585" s="1">
        <v>2385.0</v>
      </c>
      <c r="P1585" s="1">
        <v>151157.0</v>
      </c>
      <c r="Q1585" s="1">
        <v>0.15</v>
      </c>
      <c r="R1585" s="1">
        <v>54005.0</v>
      </c>
    </row>
    <row r="1586">
      <c r="A1586" s="663" t="s">
        <v>2352</v>
      </c>
      <c r="B1586" s="663" t="s">
        <v>180</v>
      </c>
      <c r="C1586" s="663" t="s">
        <v>52</v>
      </c>
      <c r="D1586" s="663" t="s">
        <v>599</v>
      </c>
      <c r="E1586" s="664" t="s">
        <v>413</v>
      </c>
      <c r="F1586" s="665">
        <v>15900.0</v>
      </c>
      <c r="G1586" s="665">
        <v>2093.0</v>
      </c>
      <c r="H1586" s="665">
        <v>13.16</v>
      </c>
      <c r="I1586" s="665">
        <v>1.51</v>
      </c>
      <c r="J1586" s="665">
        <v>1.04</v>
      </c>
      <c r="K1586" s="665">
        <v>2287.0</v>
      </c>
      <c r="L1586" s="665">
        <v>151157.0</v>
      </c>
      <c r="M1586" s="665">
        <v>0.14</v>
      </c>
      <c r="N1586" s="1">
        <v>1.0927</v>
      </c>
      <c r="O1586" s="1">
        <v>2287.0</v>
      </c>
      <c r="P1586" s="1">
        <v>151157.0</v>
      </c>
      <c r="Q1586" s="1">
        <v>0.1438</v>
      </c>
      <c r="R1586" s="1">
        <v>54005.0</v>
      </c>
    </row>
    <row r="1587">
      <c r="A1587" s="663" t="s">
        <v>2352</v>
      </c>
      <c r="B1587" s="663" t="s">
        <v>180</v>
      </c>
      <c r="C1587" s="663" t="s">
        <v>52</v>
      </c>
      <c r="D1587" s="663" t="s">
        <v>599</v>
      </c>
      <c r="E1587" s="664" t="s">
        <v>411</v>
      </c>
      <c r="F1587" s="665">
        <v>15900.0</v>
      </c>
      <c r="G1587" s="665">
        <v>1527.0</v>
      </c>
      <c r="H1587" s="665">
        <v>9.6</v>
      </c>
      <c r="I1587" s="665">
        <v>1.2</v>
      </c>
      <c r="J1587" s="665">
        <v>0.89</v>
      </c>
      <c r="K1587" s="665">
        <v>1814.0</v>
      </c>
      <c r="L1587" s="665">
        <v>151157.0</v>
      </c>
      <c r="M1587" s="665">
        <v>0.11</v>
      </c>
      <c r="N1587" s="1">
        <v>1.188</v>
      </c>
      <c r="O1587" s="1">
        <v>1814.0</v>
      </c>
      <c r="P1587" s="1">
        <v>151157.0</v>
      </c>
      <c r="Q1587" s="1">
        <v>0.1141</v>
      </c>
      <c r="R1587" s="1">
        <v>54005.0</v>
      </c>
    </row>
    <row r="1588">
      <c r="A1588" s="663" t="s">
        <v>2352</v>
      </c>
      <c r="B1588" s="663" t="s">
        <v>180</v>
      </c>
      <c r="C1588" s="663" t="s">
        <v>52</v>
      </c>
      <c r="D1588" s="663" t="s">
        <v>599</v>
      </c>
      <c r="E1588" s="664" t="s">
        <v>16</v>
      </c>
      <c r="F1588" s="665">
        <v>15900.0</v>
      </c>
      <c r="G1588" s="665">
        <v>1263.0</v>
      </c>
      <c r="H1588" s="665">
        <v>7.94</v>
      </c>
      <c r="I1588" s="665">
        <v>1.05</v>
      </c>
      <c r="J1588" s="665">
        <v>0.81</v>
      </c>
      <c r="K1588" s="665">
        <v>1581.0</v>
      </c>
      <c r="L1588" s="665">
        <v>151157.0</v>
      </c>
      <c r="M1588" s="665">
        <v>0.1</v>
      </c>
      <c r="N1588" s="1">
        <v>1.2518</v>
      </c>
      <c r="O1588" s="1">
        <v>1581.0</v>
      </c>
      <c r="P1588" s="1">
        <v>151157.0</v>
      </c>
      <c r="Q1588" s="1">
        <v>0.0994</v>
      </c>
      <c r="R1588" s="1">
        <v>54005.0</v>
      </c>
    </row>
    <row r="1589">
      <c r="A1589" s="663" t="s">
        <v>2352</v>
      </c>
      <c r="B1589" s="663" t="s">
        <v>180</v>
      </c>
      <c r="C1589" s="663" t="s">
        <v>52</v>
      </c>
      <c r="D1589" s="663" t="s">
        <v>599</v>
      </c>
      <c r="E1589" s="664" t="s">
        <v>341</v>
      </c>
      <c r="F1589" s="665">
        <v>15900.0</v>
      </c>
      <c r="G1589" s="665">
        <v>1143.0</v>
      </c>
      <c r="H1589" s="665">
        <v>7.19</v>
      </c>
      <c r="I1589" s="665">
        <v>0.87</v>
      </c>
      <c r="J1589" s="665">
        <v>0.72</v>
      </c>
      <c r="K1589" s="665">
        <v>1321.0</v>
      </c>
      <c r="L1589" s="665">
        <v>151157.0</v>
      </c>
      <c r="M1589" s="665">
        <v>0.08</v>
      </c>
      <c r="N1589" s="1">
        <v>1.1557</v>
      </c>
      <c r="O1589" s="1">
        <v>1321.0</v>
      </c>
      <c r="P1589" s="1">
        <v>151157.0</v>
      </c>
      <c r="Q1589" s="1">
        <v>0.0831</v>
      </c>
      <c r="R1589" s="1">
        <v>54005.0</v>
      </c>
    </row>
    <row r="1590">
      <c r="A1590" s="663" t="s">
        <v>2352</v>
      </c>
      <c r="B1590" s="663" t="s">
        <v>180</v>
      </c>
      <c r="C1590" s="663" t="s">
        <v>52</v>
      </c>
      <c r="D1590" s="663" t="s">
        <v>599</v>
      </c>
      <c r="E1590" s="664" t="s">
        <v>7</v>
      </c>
      <c r="F1590" s="665">
        <v>15900.0</v>
      </c>
      <c r="G1590" s="665">
        <v>883.0</v>
      </c>
      <c r="H1590" s="665">
        <v>5.55</v>
      </c>
      <c r="I1590" s="665">
        <v>0.65</v>
      </c>
      <c r="J1590" s="665">
        <v>0.43</v>
      </c>
      <c r="K1590" s="665">
        <v>979.0</v>
      </c>
      <c r="L1590" s="665">
        <v>151157.0</v>
      </c>
      <c r="M1590" s="665">
        <v>0.06</v>
      </c>
      <c r="N1590" s="1">
        <v>1.1087</v>
      </c>
      <c r="O1590" s="1">
        <v>979.0</v>
      </c>
      <c r="P1590" s="1">
        <v>151157.0</v>
      </c>
      <c r="Q1590" s="1">
        <v>0.0616</v>
      </c>
      <c r="R1590" s="1">
        <v>54005.0</v>
      </c>
    </row>
    <row r="1591">
      <c r="A1591" s="663" t="s">
        <v>2352</v>
      </c>
      <c r="B1591" s="663" t="s">
        <v>180</v>
      </c>
      <c r="C1591" s="663" t="s">
        <v>52</v>
      </c>
      <c r="D1591" s="663" t="s">
        <v>599</v>
      </c>
      <c r="E1591" s="664" t="s">
        <v>329</v>
      </c>
      <c r="F1591" s="665">
        <v>15900.0</v>
      </c>
      <c r="G1591" s="665">
        <v>898.0</v>
      </c>
      <c r="H1591" s="665">
        <v>5.65</v>
      </c>
      <c r="I1591" s="665">
        <v>0.65</v>
      </c>
      <c r="J1591" s="665">
        <v>0.63</v>
      </c>
      <c r="K1591" s="665">
        <v>989.0</v>
      </c>
      <c r="L1591" s="665">
        <v>151157.0</v>
      </c>
      <c r="M1591" s="665">
        <v>0.06</v>
      </c>
      <c r="N1591" s="1">
        <v>1.1013</v>
      </c>
      <c r="O1591" s="1">
        <v>989.0</v>
      </c>
      <c r="P1591" s="1">
        <v>151157.0</v>
      </c>
      <c r="Q1591" s="1">
        <v>0.0622</v>
      </c>
      <c r="R1591" s="1">
        <v>54005.0</v>
      </c>
    </row>
    <row r="1592">
      <c r="A1592" s="663" t="s">
        <v>2352</v>
      </c>
      <c r="B1592" s="663" t="s">
        <v>180</v>
      </c>
      <c r="C1592" s="663" t="s">
        <v>52</v>
      </c>
      <c r="D1592" s="663" t="s">
        <v>599</v>
      </c>
      <c r="E1592" s="664" t="s">
        <v>338</v>
      </c>
      <c r="F1592" s="665">
        <v>15900.0</v>
      </c>
      <c r="G1592" s="665">
        <v>838.0</v>
      </c>
      <c r="H1592" s="665">
        <v>5.27</v>
      </c>
      <c r="I1592" s="665">
        <v>0.6</v>
      </c>
      <c r="J1592" s="665">
        <v>0.46</v>
      </c>
      <c r="K1592" s="665">
        <v>914.0</v>
      </c>
      <c r="L1592" s="665">
        <v>151157.0</v>
      </c>
      <c r="M1592" s="665">
        <v>0.06</v>
      </c>
      <c r="N1592" s="1">
        <v>1.0907</v>
      </c>
      <c r="O1592" s="1">
        <v>914.0</v>
      </c>
      <c r="P1592" s="1">
        <v>151157.0</v>
      </c>
      <c r="Q1592" s="1">
        <v>0.0575</v>
      </c>
      <c r="R1592" s="1">
        <v>54005.0</v>
      </c>
    </row>
    <row r="1593">
      <c r="A1593" s="663" t="s">
        <v>2352</v>
      </c>
      <c r="B1593" s="663" t="s">
        <v>180</v>
      </c>
      <c r="C1593" s="663" t="s">
        <v>52</v>
      </c>
      <c r="D1593" s="663" t="s">
        <v>599</v>
      </c>
      <c r="E1593" s="664" t="s">
        <v>401</v>
      </c>
      <c r="F1593" s="665">
        <v>15900.0</v>
      </c>
      <c r="G1593" s="665">
        <v>555.0</v>
      </c>
      <c r="H1593" s="665">
        <v>3.49</v>
      </c>
      <c r="I1593" s="665">
        <v>0.4</v>
      </c>
      <c r="J1593" s="665">
        <v>0.16</v>
      </c>
      <c r="K1593" s="665">
        <v>601.0</v>
      </c>
      <c r="L1593" s="665">
        <v>151157.0</v>
      </c>
      <c r="M1593" s="665">
        <v>0.04</v>
      </c>
      <c r="N1593" s="1">
        <v>1.0829</v>
      </c>
      <c r="O1593" s="1">
        <v>601.0</v>
      </c>
      <c r="P1593" s="1">
        <v>151157.0</v>
      </c>
      <c r="Q1593" s="1">
        <v>0.0378</v>
      </c>
      <c r="R1593" s="1">
        <v>54005.0</v>
      </c>
    </row>
    <row r="1594">
      <c r="A1594" s="663" t="s">
        <v>2352</v>
      </c>
      <c r="B1594" s="663" t="s">
        <v>180</v>
      </c>
      <c r="C1594" s="663" t="s">
        <v>52</v>
      </c>
      <c r="D1594" s="663" t="s">
        <v>599</v>
      </c>
      <c r="E1594" s="664" t="s">
        <v>206</v>
      </c>
      <c r="F1594" s="665">
        <v>15900.0</v>
      </c>
      <c r="G1594" s="665">
        <v>330.0</v>
      </c>
      <c r="H1594" s="665">
        <v>2.08</v>
      </c>
      <c r="I1594" s="665">
        <v>0.23</v>
      </c>
      <c r="J1594" s="665">
        <v>0.09</v>
      </c>
      <c r="K1594" s="665">
        <v>341.0</v>
      </c>
      <c r="L1594" s="665">
        <v>151157.0</v>
      </c>
      <c r="M1594" s="665">
        <v>0.02</v>
      </c>
      <c r="N1594" s="1">
        <v>1.0333</v>
      </c>
      <c r="O1594" s="1">
        <v>341.0</v>
      </c>
      <c r="P1594" s="1">
        <v>151157.0</v>
      </c>
      <c r="Q1594" s="1">
        <v>0.0214</v>
      </c>
      <c r="R1594" s="1">
        <v>54005.0</v>
      </c>
    </row>
    <row r="1595">
      <c r="A1595" s="663" t="s">
        <v>2352</v>
      </c>
      <c r="B1595" s="663" t="s">
        <v>180</v>
      </c>
      <c r="C1595" s="663" t="s">
        <v>52</v>
      </c>
      <c r="D1595" s="663" t="s">
        <v>599</v>
      </c>
      <c r="E1595" s="664" t="s">
        <v>151</v>
      </c>
      <c r="F1595" s="665">
        <v>15900.0</v>
      </c>
      <c r="G1595" s="665">
        <v>1.0</v>
      </c>
      <c r="H1595" s="665">
        <v>0.01</v>
      </c>
      <c r="I1595" s="665">
        <v>0.0</v>
      </c>
      <c r="J1595" s="665">
        <v>0.0</v>
      </c>
      <c r="K1595" s="665">
        <v>1.0</v>
      </c>
      <c r="L1595" s="665">
        <v>151157.0</v>
      </c>
      <c r="M1595" s="665">
        <v>0.0</v>
      </c>
      <c r="N1595" s="1">
        <v>1.0</v>
      </c>
      <c r="O1595" s="1">
        <v>1.0</v>
      </c>
      <c r="P1595" s="1">
        <v>151157.0</v>
      </c>
      <c r="Q1595" s="1">
        <v>1.0E-4</v>
      </c>
      <c r="R1595" s="1">
        <v>54005.0</v>
      </c>
    </row>
    <row r="1596">
      <c r="A1596" s="663" t="s">
        <v>2352</v>
      </c>
      <c r="B1596" s="663" t="s">
        <v>180</v>
      </c>
      <c r="C1596" s="663" t="s">
        <v>1209</v>
      </c>
      <c r="D1596" s="663" t="s">
        <v>2234</v>
      </c>
      <c r="E1596" s="664" t="s">
        <v>401</v>
      </c>
      <c r="F1596" s="665">
        <v>4030.0</v>
      </c>
      <c r="G1596" s="665">
        <v>2269.0</v>
      </c>
      <c r="H1596" s="665">
        <v>56.3</v>
      </c>
      <c r="I1596" s="665">
        <v>35.97</v>
      </c>
      <c r="J1596" s="665">
        <v>43.95</v>
      </c>
      <c r="K1596" s="665">
        <v>29135.0</v>
      </c>
      <c r="L1596" s="665">
        <v>80990.0</v>
      </c>
      <c r="M1596" s="665">
        <v>7.23</v>
      </c>
      <c r="N1596" s="1">
        <v>12.8405</v>
      </c>
      <c r="O1596" s="1">
        <v>29135.0</v>
      </c>
      <c r="P1596" s="1">
        <v>80990.0</v>
      </c>
      <c r="Q1596" s="1">
        <v>7.2295</v>
      </c>
      <c r="R1596" s="1">
        <v>54005.0</v>
      </c>
    </row>
    <row r="1597">
      <c r="A1597" s="663" t="s">
        <v>2352</v>
      </c>
      <c r="B1597" s="663" t="s">
        <v>180</v>
      </c>
      <c r="C1597" s="663" t="s">
        <v>1209</v>
      </c>
      <c r="D1597" s="663" t="s">
        <v>2234</v>
      </c>
      <c r="E1597" s="664" t="s">
        <v>206</v>
      </c>
      <c r="F1597" s="665">
        <v>4030.0</v>
      </c>
      <c r="G1597" s="665">
        <v>2053.0</v>
      </c>
      <c r="H1597" s="665">
        <v>50.94</v>
      </c>
      <c r="I1597" s="665">
        <v>33.7</v>
      </c>
      <c r="J1597" s="665">
        <v>39.61</v>
      </c>
      <c r="K1597" s="665">
        <v>27290.0</v>
      </c>
      <c r="L1597" s="665">
        <v>80990.0</v>
      </c>
      <c r="M1597" s="665">
        <v>6.77</v>
      </c>
      <c r="N1597" s="1">
        <v>13.2927</v>
      </c>
      <c r="O1597" s="1">
        <v>27290.0</v>
      </c>
      <c r="P1597" s="1">
        <v>80990.0</v>
      </c>
      <c r="Q1597" s="1">
        <v>6.7717</v>
      </c>
      <c r="R1597" s="1">
        <v>54005.0</v>
      </c>
    </row>
    <row r="1598">
      <c r="A1598" s="663" t="s">
        <v>2352</v>
      </c>
      <c r="B1598" s="663" t="s">
        <v>180</v>
      </c>
      <c r="C1598" s="663" t="s">
        <v>1209</v>
      </c>
      <c r="D1598" s="663" t="s">
        <v>2234</v>
      </c>
      <c r="E1598" s="664" t="s">
        <v>397</v>
      </c>
      <c r="F1598" s="665">
        <v>4030.0</v>
      </c>
      <c r="G1598" s="665">
        <v>569.0</v>
      </c>
      <c r="H1598" s="665">
        <v>14.12</v>
      </c>
      <c r="I1598" s="665">
        <v>21.19</v>
      </c>
      <c r="J1598" s="665">
        <v>9.14</v>
      </c>
      <c r="K1598" s="665">
        <v>17160.0</v>
      </c>
      <c r="L1598" s="665">
        <v>80990.0</v>
      </c>
      <c r="M1598" s="665">
        <v>4.26</v>
      </c>
      <c r="N1598" s="1">
        <v>30.1582</v>
      </c>
      <c r="O1598" s="1">
        <v>17160.0</v>
      </c>
      <c r="P1598" s="1">
        <v>80990.0</v>
      </c>
      <c r="Q1598" s="1">
        <v>4.2581</v>
      </c>
      <c r="R1598" s="1">
        <v>54005.0</v>
      </c>
    </row>
    <row r="1599">
      <c r="A1599" s="663" t="s">
        <v>2352</v>
      </c>
      <c r="B1599" s="663" t="s">
        <v>180</v>
      </c>
      <c r="C1599" s="663" t="s">
        <v>1209</v>
      </c>
      <c r="D1599" s="663" t="s">
        <v>2234</v>
      </c>
      <c r="E1599" s="664" t="s">
        <v>73</v>
      </c>
      <c r="F1599" s="665">
        <v>4030.0</v>
      </c>
      <c r="G1599" s="665">
        <v>411.0</v>
      </c>
      <c r="H1599" s="665">
        <v>10.2</v>
      </c>
      <c r="I1599" s="665">
        <v>7.72</v>
      </c>
      <c r="J1599" s="665">
        <v>6.41</v>
      </c>
      <c r="K1599" s="665">
        <v>6255.0</v>
      </c>
      <c r="L1599" s="665">
        <v>80990.0</v>
      </c>
      <c r="M1599" s="665">
        <v>1.55</v>
      </c>
      <c r="N1599" s="1">
        <v>15.219</v>
      </c>
      <c r="O1599" s="1">
        <v>6255.0</v>
      </c>
      <c r="P1599" s="1">
        <v>80990.0</v>
      </c>
      <c r="Q1599" s="1">
        <v>1.5521</v>
      </c>
      <c r="R1599" s="1">
        <v>54005.0</v>
      </c>
    </row>
    <row r="1600">
      <c r="A1600" s="663" t="s">
        <v>2352</v>
      </c>
      <c r="B1600" s="663" t="s">
        <v>180</v>
      </c>
      <c r="C1600" s="663" t="s">
        <v>1209</v>
      </c>
      <c r="D1600" s="663" t="s">
        <v>2234</v>
      </c>
      <c r="E1600" s="664" t="s">
        <v>411</v>
      </c>
      <c r="F1600" s="665">
        <v>4030.0</v>
      </c>
      <c r="G1600" s="665">
        <v>25.0</v>
      </c>
      <c r="H1600" s="665">
        <v>0.62</v>
      </c>
      <c r="I1600" s="665">
        <v>1.13</v>
      </c>
      <c r="J1600" s="665">
        <v>0.61</v>
      </c>
      <c r="K1600" s="665">
        <v>915.0</v>
      </c>
      <c r="L1600" s="665">
        <v>80990.0</v>
      </c>
      <c r="M1600" s="665">
        <v>0.23</v>
      </c>
      <c r="N1600" s="1">
        <v>36.6</v>
      </c>
      <c r="O1600" s="1">
        <v>915.0</v>
      </c>
      <c r="P1600" s="1">
        <v>80990.0</v>
      </c>
      <c r="Q1600" s="1">
        <v>0.227</v>
      </c>
      <c r="R1600" s="1">
        <v>54005.0</v>
      </c>
    </row>
    <row r="1601">
      <c r="A1601" s="663" t="s">
        <v>2352</v>
      </c>
      <c r="B1601" s="663" t="s">
        <v>180</v>
      </c>
      <c r="C1601" s="663" t="s">
        <v>1209</v>
      </c>
      <c r="D1601" s="663" t="s">
        <v>2234</v>
      </c>
      <c r="E1601" s="664" t="s">
        <v>413</v>
      </c>
      <c r="F1601" s="665">
        <v>4030.0</v>
      </c>
      <c r="G1601" s="665">
        <v>14.0</v>
      </c>
      <c r="H1601" s="665">
        <v>0.35</v>
      </c>
      <c r="I1601" s="665">
        <v>0.27</v>
      </c>
      <c r="J1601" s="665">
        <v>0.27</v>
      </c>
      <c r="K1601" s="665">
        <v>220.0</v>
      </c>
      <c r="L1601" s="665">
        <v>80990.0</v>
      </c>
      <c r="M1601" s="665">
        <v>0.05</v>
      </c>
      <c r="N1601" s="1">
        <v>15.7143</v>
      </c>
      <c r="O1601" s="1">
        <v>220.0</v>
      </c>
      <c r="P1601" s="1">
        <v>80990.0</v>
      </c>
      <c r="Q1601" s="1">
        <v>0.0546</v>
      </c>
      <c r="R1601" s="1">
        <v>54005.0</v>
      </c>
    </row>
    <row r="1602">
      <c r="A1602" s="663" t="s">
        <v>2352</v>
      </c>
      <c r="B1602" s="663" t="s">
        <v>180</v>
      </c>
      <c r="C1602" s="663" t="s">
        <v>1209</v>
      </c>
      <c r="D1602" s="663" t="s">
        <v>2234</v>
      </c>
      <c r="E1602" s="664" t="s">
        <v>151</v>
      </c>
      <c r="F1602" s="665">
        <v>4030.0</v>
      </c>
      <c r="G1602" s="665">
        <v>1.0</v>
      </c>
      <c r="H1602" s="665">
        <v>0.02</v>
      </c>
      <c r="I1602" s="665">
        <v>0.02</v>
      </c>
      <c r="J1602" s="665">
        <v>0.02</v>
      </c>
      <c r="K1602" s="665">
        <v>15.0</v>
      </c>
      <c r="L1602" s="665">
        <v>80990.0</v>
      </c>
      <c r="M1602" s="665">
        <v>0.0</v>
      </c>
      <c r="N1602" s="1">
        <v>15.0</v>
      </c>
      <c r="O1602" s="1">
        <v>15.0</v>
      </c>
      <c r="P1602" s="1">
        <v>80990.0</v>
      </c>
      <c r="Q1602" s="1">
        <v>0.0037</v>
      </c>
      <c r="R1602" s="1">
        <v>54005.0</v>
      </c>
    </row>
    <row r="1603">
      <c r="A1603" s="663" t="s">
        <v>2352</v>
      </c>
      <c r="B1603" s="663" t="s">
        <v>180</v>
      </c>
      <c r="C1603" s="663" t="s">
        <v>1210</v>
      </c>
      <c r="D1603" s="663" t="s">
        <v>2234</v>
      </c>
      <c r="E1603" s="664" t="s">
        <v>413</v>
      </c>
      <c r="F1603" s="665">
        <v>10644.0</v>
      </c>
      <c r="G1603" s="665">
        <v>6109.0</v>
      </c>
      <c r="H1603" s="665">
        <v>57.39</v>
      </c>
      <c r="I1603" s="665">
        <v>29.21</v>
      </c>
      <c r="J1603" s="665">
        <v>43.11</v>
      </c>
      <c r="K1603" s="665">
        <v>94725.0</v>
      </c>
      <c r="L1603" s="665">
        <v>324315.0</v>
      </c>
      <c r="M1603" s="665">
        <v>8.9</v>
      </c>
      <c r="N1603" s="1">
        <v>15.5058</v>
      </c>
      <c r="O1603" s="1">
        <v>94725.0</v>
      </c>
      <c r="P1603" s="1">
        <v>324315.0</v>
      </c>
      <c r="Q1603" s="1">
        <v>8.8994</v>
      </c>
      <c r="R1603" s="1">
        <v>54005.0</v>
      </c>
    </row>
    <row r="1604">
      <c r="A1604" s="663" t="s">
        <v>2352</v>
      </c>
      <c r="B1604" s="663" t="s">
        <v>180</v>
      </c>
      <c r="C1604" s="663" t="s">
        <v>1210</v>
      </c>
      <c r="D1604" s="663" t="s">
        <v>2234</v>
      </c>
      <c r="E1604" s="664" t="s">
        <v>9</v>
      </c>
      <c r="F1604" s="665">
        <v>10644.0</v>
      </c>
      <c r="G1604" s="665">
        <v>4201.0</v>
      </c>
      <c r="H1604" s="665">
        <v>39.47</v>
      </c>
      <c r="I1604" s="665">
        <v>17.5</v>
      </c>
      <c r="J1604" s="665">
        <v>18.16</v>
      </c>
      <c r="K1604" s="665">
        <v>56740.0</v>
      </c>
      <c r="L1604" s="665">
        <v>324315.0</v>
      </c>
      <c r="M1604" s="665">
        <v>5.33</v>
      </c>
      <c r="N1604" s="1">
        <v>13.5063</v>
      </c>
      <c r="O1604" s="1">
        <v>56740.0</v>
      </c>
      <c r="P1604" s="1">
        <v>324315.0</v>
      </c>
      <c r="Q1604" s="1">
        <v>5.3307</v>
      </c>
      <c r="R1604" s="1">
        <v>54005.0</v>
      </c>
    </row>
    <row r="1605">
      <c r="A1605" s="663" t="s">
        <v>2352</v>
      </c>
      <c r="B1605" s="663" t="s">
        <v>180</v>
      </c>
      <c r="C1605" s="663" t="s">
        <v>1210</v>
      </c>
      <c r="D1605" s="663" t="s">
        <v>2234</v>
      </c>
      <c r="E1605" s="664" t="s">
        <v>397</v>
      </c>
      <c r="F1605" s="665">
        <v>10644.0</v>
      </c>
      <c r="G1605" s="665">
        <v>791.0</v>
      </c>
      <c r="H1605" s="665">
        <v>7.43</v>
      </c>
      <c r="I1605" s="665">
        <v>14.82</v>
      </c>
      <c r="J1605" s="665">
        <v>4.23</v>
      </c>
      <c r="K1605" s="665">
        <v>48060.0</v>
      </c>
      <c r="L1605" s="665">
        <v>324315.0</v>
      </c>
      <c r="M1605" s="665">
        <v>4.52</v>
      </c>
      <c r="N1605" s="1">
        <v>60.7585</v>
      </c>
      <c r="O1605" s="1">
        <v>48060.0</v>
      </c>
      <c r="P1605" s="1">
        <v>324315.0</v>
      </c>
      <c r="Q1605" s="1">
        <v>4.5152</v>
      </c>
      <c r="R1605" s="1">
        <v>54005.0</v>
      </c>
    </row>
    <row r="1606">
      <c r="A1606" s="663" t="s">
        <v>2352</v>
      </c>
      <c r="B1606" s="663" t="s">
        <v>180</v>
      </c>
      <c r="C1606" s="663" t="s">
        <v>1210</v>
      </c>
      <c r="D1606" s="663" t="s">
        <v>2234</v>
      </c>
      <c r="E1606" s="664" t="s">
        <v>401</v>
      </c>
      <c r="F1606" s="665">
        <v>10644.0</v>
      </c>
      <c r="G1606" s="665">
        <v>3373.0</v>
      </c>
      <c r="H1606" s="665">
        <v>31.69</v>
      </c>
      <c r="I1606" s="665">
        <v>14.8</v>
      </c>
      <c r="J1606" s="665">
        <v>14.63</v>
      </c>
      <c r="K1606" s="665">
        <v>47985.0</v>
      </c>
      <c r="L1606" s="665">
        <v>324315.0</v>
      </c>
      <c r="M1606" s="665">
        <v>4.51</v>
      </c>
      <c r="N1606" s="1">
        <v>14.2262</v>
      </c>
      <c r="O1606" s="1">
        <v>47985.0</v>
      </c>
      <c r="P1606" s="1">
        <v>324315.0</v>
      </c>
      <c r="Q1606" s="1">
        <v>4.5082</v>
      </c>
      <c r="R1606" s="1">
        <v>54005.0</v>
      </c>
    </row>
    <row r="1607">
      <c r="A1607" s="663" t="s">
        <v>2352</v>
      </c>
      <c r="B1607" s="663" t="s">
        <v>180</v>
      </c>
      <c r="C1607" s="663" t="s">
        <v>1210</v>
      </c>
      <c r="D1607" s="663" t="s">
        <v>2234</v>
      </c>
      <c r="E1607" s="664" t="s">
        <v>206</v>
      </c>
      <c r="F1607" s="665">
        <v>10644.0</v>
      </c>
      <c r="G1607" s="665">
        <v>2971.0</v>
      </c>
      <c r="H1607" s="665">
        <v>27.91</v>
      </c>
      <c r="I1607" s="665">
        <v>12.03</v>
      </c>
      <c r="J1607" s="665">
        <v>12.63</v>
      </c>
      <c r="K1607" s="665">
        <v>39020.0</v>
      </c>
      <c r="L1607" s="665">
        <v>324315.0</v>
      </c>
      <c r="M1607" s="665">
        <v>3.67</v>
      </c>
      <c r="N1607" s="1">
        <v>13.1336</v>
      </c>
      <c r="O1607" s="1">
        <v>39020.0</v>
      </c>
      <c r="P1607" s="1">
        <v>324315.0</v>
      </c>
      <c r="Q1607" s="1">
        <v>3.6659</v>
      </c>
      <c r="R1607" s="1">
        <v>54005.0</v>
      </c>
    </row>
    <row r="1608">
      <c r="A1608" s="663" t="s">
        <v>2352</v>
      </c>
      <c r="B1608" s="663" t="s">
        <v>180</v>
      </c>
      <c r="C1608" s="663" t="s">
        <v>1210</v>
      </c>
      <c r="D1608" s="663" t="s">
        <v>2234</v>
      </c>
      <c r="E1608" s="664" t="s">
        <v>14</v>
      </c>
      <c r="F1608" s="665">
        <v>10644.0</v>
      </c>
      <c r="G1608" s="665">
        <v>1501.0</v>
      </c>
      <c r="H1608" s="665">
        <v>14.1</v>
      </c>
      <c r="I1608" s="665">
        <v>7.73</v>
      </c>
      <c r="J1608" s="665">
        <v>4.08</v>
      </c>
      <c r="K1608" s="665">
        <v>25070.0</v>
      </c>
      <c r="L1608" s="665">
        <v>324315.0</v>
      </c>
      <c r="M1608" s="665">
        <v>2.36</v>
      </c>
      <c r="N1608" s="1">
        <v>16.7022</v>
      </c>
      <c r="O1608" s="1">
        <v>25070.0</v>
      </c>
      <c r="P1608" s="1">
        <v>324315.0</v>
      </c>
      <c r="Q1608" s="1">
        <v>2.3553</v>
      </c>
      <c r="R1608" s="1">
        <v>54005.0</v>
      </c>
    </row>
    <row r="1609">
      <c r="A1609" s="663" t="s">
        <v>2352</v>
      </c>
      <c r="B1609" s="663" t="s">
        <v>180</v>
      </c>
      <c r="C1609" s="663" t="s">
        <v>1210</v>
      </c>
      <c r="D1609" s="663" t="s">
        <v>2234</v>
      </c>
      <c r="E1609" s="664" t="s">
        <v>73</v>
      </c>
      <c r="F1609" s="665">
        <v>10644.0</v>
      </c>
      <c r="G1609" s="665">
        <v>762.0</v>
      </c>
      <c r="H1609" s="665">
        <v>7.16</v>
      </c>
      <c r="I1609" s="665">
        <v>3.62</v>
      </c>
      <c r="J1609" s="665">
        <v>2.98</v>
      </c>
      <c r="K1609" s="665">
        <v>11730.0</v>
      </c>
      <c r="L1609" s="665">
        <v>324315.0</v>
      </c>
      <c r="M1609" s="665">
        <v>1.1</v>
      </c>
      <c r="N1609" s="1">
        <v>15.3937</v>
      </c>
      <c r="O1609" s="1">
        <v>11730.0</v>
      </c>
      <c r="P1609" s="1">
        <v>324315.0</v>
      </c>
      <c r="Q1609" s="1">
        <v>1.102</v>
      </c>
      <c r="R1609" s="1">
        <v>54005.0</v>
      </c>
    </row>
    <row r="1610">
      <c r="A1610" s="663" t="s">
        <v>2352</v>
      </c>
      <c r="B1610" s="663" t="s">
        <v>180</v>
      </c>
      <c r="C1610" s="663" t="s">
        <v>1210</v>
      </c>
      <c r="D1610" s="663" t="s">
        <v>2234</v>
      </c>
      <c r="E1610" s="664" t="s">
        <v>411</v>
      </c>
      <c r="F1610" s="665">
        <v>10644.0</v>
      </c>
      <c r="G1610" s="665">
        <v>27.0</v>
      </c>
      <c r="H1610" s="665">
        <v>0.25</v>
      </c>
      <c r="I1610" s="665">
        <v>0.29</v>
      </c>
      <c r="J1610" s="665">
        <v>0.17</v>
      </c>
      <c r="K1610" s="665">
        <v>935.0</v>
      </c>
      <c r="L1610" s="665">
        <v>324315.0</v>
      </c>
      <c r="M1610" s="665">
        <v>0.09</v>
      </c>
      <c r="N1610" s="1">
        <v>34.6296</v>
      </c>
      <c r="O1610" s="1">
        <v>935.0</v>
      </c>
      <c r="P1610" s="1">
        <v>324315.0</v>
      </c>
      <c r="Q1610" s="1">
        <v>0.0878</v>
      </c>
      <c r="R1610" s="1">
        <v>54005.0</v>
      </c>
    </row>
    <row r="1611">
      <c r="A1611" s="663" t="s">
        <v>2352</v>
      </c>
      <c r="B1611" s="663" t="s">
        <v>180</v>
      </c>
      <c r="C1611" s="663" t="s">
        <v>1210</v>
      </c>
      <c r="D1611" s="663" t="s">
        <v>2234</v>
      </c>
      <c r="E1611" s="664" t="s">
        <v>151</v>
      </c>
      <c r="F1611" s="665">
        <v>10644.0</v>
      </c>
      <c r="G1611" s="665">
        <v>3.0</v>
      </c>
      <c r="H1611" s="665">
        <v>0.03</v>
      </c>
      <c r="I1611" s="665">
        <v>0.01</v>
      </c>
      <c r="J1611" s="665">
        <v>0.01</v>
      </c>
      <c r="K1611" s="665">
        <v>35.0</v>
      </c>
      <c r="L1611" s="665">
        <v>324315.0</v>
      </c>
      <c r="M1611" s="665">
        <v>0.0</v>
      </c>
      <c r="N1611" s="1">
        <v>11.6667</v>
      </c>
      <c r="O1611" s="1">
        <v>35.0</v>
      </c>
      <c r="P1611" s="1">
        <v>324315.0</v>
      </c>
      <c r="Q1611" s="1">
        <v>0.0033</v>
      </c>
      <c r="R1611" s="1">
        <v>54005.0</v>
      </c>
    </row>
    <row r="1612">
      <c r="A1612" s="663" t="s">
        <v>2352</v>
      </c>
      <c r="B1612" s="663" t="s">
        <v>180</v>
      </c>
      <c r="C1612" s="663" t="s">
        <v>1210</v>
      </c>
      <c r="D1612" s="663" t="s">
        <v>2234</v>
      </c>
      <c r="E1612" s="664" t="s">
        <v>20</v>
      </c>
      <c r="F1612" s="665">
        <v>10644.0</v>
      </c>
      <c r="G1612" s="665">
        <v>1.0</v>
      </c>
      <c r="H1612" s="665">
        <v>0.01</v>
      </c>
      <c r="I1612" s="665">
        <v>0.0</v>
      </c>
      <c r="J1612" s="665">
        <v>0.0</v>
      </c>
      <c r="K1612" s="665">
        <v>15.0</v>
      </c>
      <c r="L1612" s="665">
        <v>324315.0</v>
      </c>
      <c r="M1612" s="665">
        <v>0.0</v>
      </c>
      <c r="N1612" s="1">
        <v>15.0</v>
      </c>
      <c r="O1612" s="1">
        <v>15.0</v>
      </c>
      <c r="P1612" s="1">
        <v>324315.0</v>
      </c>
      <c r="Q1612" s="1">
        <v>0.0014</v>
      </c>
      <c r="R1612" s="1">
        <v>54005.0</v>
      </c>
    </row>
    <row r="1613">
      <c r="A1613" s="663" t="s">
        <v>2352</v>
      </c>
      <c r="B1613" s="663" t="s">
        <v>180</v>
      </c>
      <c r="C1613" s="663" t="s">
        <v>1211</v>
      </c>
      <c r="D1613" s="663" t="s">
        <v>2234</v>
      </c>
      <c r="E1613" s="664" t="s">
        <v>413</v>
      </c>
      <c r="F1613" s="665">
        <v>12266.0</v>
      </c>
      <c r="G1613" s="665">
        <v>7861.0</v>
      </c>
      <c r="H1613" s="665">
        <v>64.09</v>
      </c>
      <c r="I1613" s="665">
        <v>25.84</v>
      </c>
      <c r="J1613" s="665">
        <v>37.99</v>
      </c>
      <c r="K1613" s="665">
        <v>141720.0</v>
      </c>
      <c r="L1613" s="665">
        <v>548440.0</v>
      </c>
      <c r="M1613" s="665">
        <v>11.55</v>
      </c>
      <c r="N1613" s="1">
        <v>18.0282</v>
      </c>
      <c r="O1613" s="1">
        <v>141720.0</v>
      </c>
      <c r="P1613" s="1">
        <v>548440.0</v>
      </c>
      <c r="Q1613" s="1">
        <v>11.5539</v>
      </c>
      <c r="R1613" s="1">
        <v>54005.0</v>
      </c>
    </row>
    <row r="1614">
      <c r="A1614" s="663" t="s">
        <v>2352</v>
      </c>
      <c r="B1614" s="663" t="s">
        <v>180</v>
      </c>
      <c r="C1614" s="663" t="s">
        <v>1211</v>
      </c>
      <c r="D1614" s="663" t="s">
        <v>2234</v>
      </c>
      <c r="E1614" s="664" t="s">
        <v>14</v>
      </c>
      <c r="F1614" s="665">
        <v>12266.0</v>
      </c>
      <c r="G1614" s="665">
        <v>6350.0</v>
      </c>
      <c r="H1614" s="665">
        <v>51.77</v>
      </c>
      <c r="I1614" s="665">
        <v>19.14</v>
      </c>
      <c r="J1614" s="665">
        <v>18.88</v>
      </c>
      <c r="K1614" s="665">
        <v>104970.0</v>
      </c>
      <c r="L1614" s="665">
        <v>548440.0</v>
      </c>
      <c r="M1614" s="665">
        <v>8.56</v>
      </c>
      <c r="N1614" s="1">
        <v>16.5307</v>
      </c>
      <c r="O1614" s="1">
        <v>104970.0</v>
      </c>
      <c r="P1614" s="1">
        <v>548440.0</v>
      </c>
      <c r="Q1614" s="1">
        <v>8.5578</v>
      </c>
      <c r="R1614" s="1">
        <v>54005.0</v>
      </c>
    </row>
    <row r="1615">
      <c r="A1615" s="663" t="s">
        <v>2352</v>
      </c>
      <c r="B1615" s="663" t="s">
        <v>180</v>
      </c>
      <c r="C1615" s="663" t="s">
        <v>1211</v>
      </c>
      <c r="D1615" s="663" t="s">
        <v>2234</v>
      </c>
      <c r="E1615" s="664" t="s">
        <v>397</v>
      </c>
      <c r="F1615" s="665">
        <v>12266.0</v>
      </c>
      <c r="G1615" s="665">
        <v>1700.0</v>
      </c>
      <c r="H1615" s="665">
        <v>13.86</v>
      </c>
      <c r="I1615" s="665">
        <v>18.81</v>
      </c>
      <c r="J1615" s="665">
        <v>7.54</v>
      </c>
      <c r="K1615" s="665">
        <v>103140.0</v>
      </c>
      <c r="L1615" s="665">
        <v>548440.0</v>
      </c>
      <c r="M1615" s="665">
        <v>8.41</v>
      </c>
      <c r="N1615" s="1">
        <v>60.6706</v>
      </c>
      <c r="O1615" s="1">
        <v>103140.0</v>
      </c>
      <c r="P1615" s="1">
        <v>548440.0</v>
      </c>
      <c r="Q1615" s="1">
        <v>8.4086</v>
      </c>
      <c r="R1615" s="1">
        <v>54005.0</v>
      </c>
    </row>
    <row r="1616">
      <c r="A1616" s="663" t="s">
        <v>2352</v>
      </c>
      <c r="B1616" s="663" t="s">
        <v>180</v>
      </c>
      <c r="C1616" s="663" t="s">
        <v>1211</v>
      </c>
      <c r="D1616" s="663" t="s">
        <v>2234</v>
      </c>
      <c r="E1616" s="664" t="s">
        <v>9</v>
      </c>
      <c r="F1616" s="665">
        <v>12266.0</v>
      </c>
      <c r="G1616" s="665">
        <v>5188.0</v>
      </c>
      <c r="H1616" s="665">
        <v>42.3</v>
      </c>
      <c r="I1616" s="665">
        <v>12.6</v>
      </c>
      <c r="J1616" s="665">
        <v>11.51</v>
      </c>
      <c r="K1616" s="665">
        <v>69110.0</v>
      </c>
      <c r="L1616" s="665">
        <v>548440.0</v>
      </c>
      <c r="M1616" s="665">
        <v>5.63</v>
      </c>
      <c r="N1616" s="1">
        <v>13.3211</v>
      </c>
      <c r="O1616" s="1">
        <v>69110.0</v>
      </c>
      <c r="P1616" s="1">
        <v>548440.0</v>
      </c>
      <c r="Q1616" s="1">
        <v>5.6343</v>
      </c>
      <c r="R1616" s="1">
        <v>54005.0</v>
      </c>
    </row>
    <row r="1617">
      <c r="A1617" s="663" t="s">
        <v>2352</v>
      </c>
      <c r="B1617" s="663" t="s">
        <v>180</v>
      </c>
      <c r="C1617" s="663" t="s">
        <v>1211</v>
      </c>
      <c r="D1617" s="663" t="s">
        <v>2234</v>
      </c>
      <c r="E1617" s="664" t="s">
        <v>401</v>
      </c>
      <c r="F1617" s="665">
        <v>12266.0</v>
      </c>
      <c r="G1617" s="665">
        <v>3672.0</v>
      </c>
      <c r="H1617" s="665">
        <v>29.94</v>
      </c>
      <c r="I1617" s="665">
        <v>11.25</v>
      </c>
      <c r="J1617" s="665">
        <v>11.25</v>
      </c>
      <c r="K1617" s="665">
        <v>61700.0</v>
      </c>
      <c r="L1617" s="665">
        <v>548440.0</v>
      </c>
      <c r="M1617" s="665">
        <v>5.03</v>
      </c>
      <c r="N1617" s="1">
        <v>16.8028</v>
      </c>
      <c r="O1617" s="1">
        <v>61700.0</v>
      </c>
      <c r="P1617" s="1">
        <v>548440.0</v>
      </c>
      <c r="Q1617" s="1">
        <v>5.0302</v>
      </c>
      <c r="R1617" s="1">
        <v>54005.0</v>
      </c>
    </row>
    <row r="1618">
      <c r="A1618" s="663" t="s">
        <v>2352</v>
      </c>
      <c r="B1618" s="663" t="s">
        <v>180</v>
      </c>
      <c r="C1618" s="663" t="s">
        <v>1211</v>
      </c>
      <c r="D1618" s="663" t="s">
        <v>2234</v>
      </c>
      <c r="E1618" s="664" t="s">
        <v>206</v>
      </c>
      <c r="F1618" s="665">
        <v>12266.0</v>
      </c>
      <c r="G1618" s="665">
        <v>3185.0</v>
      </c>
      <c r="H1618" s="665">
        <v>25.97</v>
      </c>
      <c r="I1618" s="665">
        <v>8.69</v>
      </c>
      <c r="J1618" s="665">
        <v>9.44</v>
      </c>
      <c r="K1618" s="665">
        <v>47670.0</v>
      </c>
      <c r="L1618" s="665">
        <v>548440.0</v>
      </c>
      <c r="M1618" s="665">
        <v>3.89</v>
      </c>
      <c r="N1618" s="1">
        <v>14.967</v>
      </c>
      <c r="O1618" s="1">
        <v>47670.0</v>
      </c>
      <c r="P1618" s="1">
        <v>548440.0</v>
      </c>
      <c r="Q1618" s="1">
        <v>3.8864</v>
      </c>
      <c r="R1618" s="1">
        <v>54005.0</v>
      </c>
    </row>
    <row r="1619">
      <c r="A1619" s="663" t="s">
        <v>2352</v>
      </c>
      <c r="B1619" s="663" t="s">
        <v>180</v>
      </c>
      <c r="C1619" s="663" t="s">
        <v>1211</v>
      </c>
      <c r="D1619" s="663" t="s">
        <v>2234</v>
      </c>
      <c r="E1619" s="664" t="s">
        <v>73</v>
      </c>
      <c r="F1619" s="665">
        <v>12266.0</v>
      </c>
      <c r="G1619" s="665">
        <v>1240.0</v>
      </c>
      <c r="H1619" s="665">
        <v>10.11</v>
      </c>
      <c r="I1619" s="665">
        <v>3.48</v>
      </c>
      <c r="J1619" s="665">
        <v>3.26</v>
      </c>
      <c r="K1619" s="665">
        <v>19110.0</v>
      </c>
      <c r="L1619" s="665">
        <v>548440.0</v>
      </c>
      <c r="M1619" s="665">
        <v>1.56</v>
      </c>
      <c r="N1619" s="1">
        <v>15.4113</v>
      </c>
      <c r="O1619" s="1">
        <v>19110.0</v>
      </c>
      <c r="P1619" s="1">
        <v>548440.0</v>
      </c>
      <c r="Q1619" s="1">
        <v>1.558</v>
      </c>
      <c r="R1619" s="1">
        <v>54005.0</v>
      </c>
    </row>
    <row r="1620">
      <c r="A1620" s="663" t="s">
        <v>2352</v>
      </c>
      <c r="B1620" s="663" t="s">
        <v>180</v>
      </c>
      <c r="C1620" s="663" t="s">
        <v>1211</v>
      </c>
      <c r="D1620" s="663" t="s">
        <v>2234</v>
      </c>
      <c r="E1620" s="664" t="s">
        <v>411</v>
      </c>
      <c r="F1620" s="665">
        <v>12266.0</v>
      </c>
      <c r="G1620" s="665">
        <v>27.0</v>
      </c>
      <c r="H1620" s="665">
        <v>0.22</v>
      </c>
      <c r="I1620" s="665">
        <v>0.18</v>
      </c>
      <c r="J1620" s="665">
        <v>0.13</v>
      </c>
      <c r="K1620" s="665">
        <v>1010.0</v>
      </c>
      <c r="L1620" s="665">
        <v>548440.0</v>
      </c>
      <c r="M1620" s="665">
        <v>0.08</v>
      </c>
      <c r="N1620" s="1">
        <v>37.4074</v>
      </c>
      <c r="O1620" s="1">
        <v>1010.0</v>
      </c>
      <c r="P1620" s="1">
        <v>548440.0</v>
      </c>
      <c r="Q1620" s="1">
        <v>0.0823</v>
      </c>
      <c r="R1620" s="1">
        <v>54005.0</v>
      </c>
    </row>
    <row r="1621">
      <c r="A1621" s="663" t="s">
        <v>2352</v>
      </c>
      <c r="B1621" s="663" t="s">
        <v>180</v>
      </c>
      <c r="C1621" s="663" t="s">
        <v>1211</v>
      </c>
      <c r="D1621" s="663" t="s">
        <v>2234</v>
      </c>
      <c r="E1621" s="664" t="s">
        <v>151</v>
      </c>
      <c r="F1621" s="665">
        <v>12266.0</v>
      </c>
      <c r="G1621" s="665">
        <v>1.0</v>
      </c>
      <c r="H1621" s="665">
        <v>0.01</v>
      </c>
      <c r="I1621" s="665">
        <v>0.0</v>
      </c>
      <c r="J1621" s="665">
        <v>0.0</v>
      </c>
      <c r="K1621" s="665">
        <v>10.0</v>
      </c>
      <c r="L1621" s="665">
        <v>548440.0</v>
      </c>
      <c r="M1621" s="665">
        <v>0.0</v>
      </c>
      <c r="N1621" s="1">
        <v>10.0</v>
      </c>
      <c r="O1621" s="1">
        <v>10.0</v>
      </c>
      <c r="P1621" s="1">
        <v>548440.0</v>
      </c>
      <c r="Q1621" s="1">
        <v>8.0E-4</v>
      </c>
      <c r="R1621" s="1">
        <v>54005.0</v>
      </c>
    </row>
    <row r="1622">
      <c r="A1622" s="663" t="s">
        <v>2352</v>
      </c>
      <c r="B1622" s="663" t="s">
        <v>180</v>
      </c>
      <c r="C1622" s="663" t="s">
        <v>55</v>
      </c>
      <c r="D1622" s="663" t="s">
        <v>2234</v>
      </c>
      <c r="E1622" s="664" t="s">
        <v>418</v>
      </c>
      <c r="F1622" s="665">
        <v>16184.0</v>
      </c>
      <c r="G1622" s="665">
        <v>16022.0</v>
      </c>
      <c r="H1622" s="665">
        <v>99.0</v>
      </c>
      <c r="I1622" s="665">
        <v>44.2</v>
      </c>
      <c r="J1622" s="665">
        <v>40.16</v>
      </c>
      <c r="K1622" s="665">
        <v>6883665.0</v>
      </c>
      <c r="L1622" s="665">
        <v>1.5572314E7</v>
      </c>
      <c r="M1622" s="665">
        <v>425.34</v>
      </c>
      <c r="N1622" s="1">
        <v>429.6383</v>
      </c>
      <c r="O1622" s="1">
        <v>6883665.0</v>
      </c>
      <c r="P1622" s="1">
        <v>1.5572314E7</v>
      </c>
      <c r="Q1622" s="1">
        <v>425.3377</v>
      </c>
      <c r="R1622" s="1">
        <v>54005.0</v>
      </c>
    </row>
    <row r="1623">
      <c r="A1623" s="663" t="s">
        <v>2352</v>
      </c>
      <c r="B1623" s="663" t="s">
        <v>180</v>
      </c>
      <c r="C1623" s="663" t="s">
        <v>55</v>
      </c>
      <c r="D1623" s="663" t="s">
        <v>2234</v>
      </c>
      <c r="E1623" s="664" t="s">
        <v>396</v>
      </c>
      <c r="F1623" s="665">
        <v>16184.0</v>
      </c>
      <c r="G1623" s="665">
        <v>14505.0</v>
      </c>
      <c r="H1623" s="665">
        <v>89.63</v>
      </c>
      <c r="I1623" s="665">
        <v>14.67</v>
      </c>
      <c r="J1623" s="665">
        <v>19.46</v>
      </c>
      <c r="K1623" s="665">
        <v>2285010.0</v>
      </c>
      <c r="L1623" s="665">
        <v>1.5572314E7</v>
      </c>
      <c r="M1623" s="665">
        <v>141.19</v>
      </c>
      <c r="N1623" s="1">
        <v>157.5326</v>
      </c>
      <c r="O1623" s="1">
        <v>2285010.0</v>
      </c>
      <c r="P1623" s="1">
        <v>1.5572314E7</v>
      </c>
      <c r="Q1623" s="1">
        <v>141.1894</v>
      </c>
      <c r="R1623" s="1">
        <v>54005.0</v>
      </c>
    </row>
    <row r="1624">
      <c r="A1624" s="663" t="s">
        <v>2352</v>
      </c>
      <c r="B1624" s="663" t="s">
        <v>180</v>
      </c>
      <c r="C1624" s="663" t="s">
        <v>55</v>
      </c>
      <c r="D1624" s="663" t="s">
        <v>2234</v>
      </c>
      <c r="E1624" s="664" t="s">
        <v>51</v>
      </c>
      <c r="F1624" s="665">
        <v>16184.0</v>
      </c>
      <c r="G1624" s="665">
        <v>9303.0</v>
      </c>
      <c r="H1624" s="665">
        <v>57.48</v>
      </c>
      <c r="I1624" s="665">
        <v>8.45</v>
      </c>
      <c r="J1624" s="665">
        <v>8.43</v>
      </c>
      <c r="K1624" s="665">
        <v>1316100.0</v>
      </c>
      <c r="L1624" s="665">
        <v>1.5572314E7</v>
      </c>
      <c r="M1624" s="665">
        <v>81.32</v>
      </c>
      <c r="N1624" s="1">
        <v>141.4705</v>
      </c>
      <c r="O1624" s="1">
        <v>1316100.0</v>
      </c>
      <c r="P1624" s="1">
        <v>1.5572314E7</v>
      </c>
      <c r="Q1624" s="1">
        <v>81.3211</v>
      </c>
      <c r="R1624" s="1">
        <v>54005.0</v>
      </c>
    </row>
    <row r="1625">
      <c r="A1625" s="663" t="s">
        <v>2352</v>
      </c>
      <c r="B1625" s="663" t="s">
        <v>180</v>
      </c>
      <c r="C1625" s="663" t="s">
        <v>55</v>
      </c>
      <c r="D1625" s="663" t="s">
        <v>2234</v>
      </c>
      <c r="E1625" s="664" t="s">
        <v>9</v>
      </c>
      <c r="F1625" s="665">
        <v>16184.0</v>
      </c>
      <c r="G1625" s="665">
        <v>9233.0</v>
      </c>
      <c r="H1625" s="665">
        <v>57.05</v>
      </c>
      <c r="I1625" s="665">
        <v>6.04</v>
      </c>
      <c r="J1625" s="665">
        <v>6.62</v>
      </c>
      <c r="K1625" s="665">
        <v>939840.0</v>
      </c>
      <c r="L1625" s="665">
        <v>1.5572314E7</v>
      </c>
      <c r="M1625" s="665">
        <v>58.07</v>
      </c>
      <c r="N1625" s="1">
        <v>101.7914</v>
      </c>
      <c r="O1625" s="1">
        <v>939840.0</v>
      </c>
      <c r="P1625" s="1">
        <v>1.5572314E7</v>
      </c>
      <c r="Q1625" s="1">
        <v>58.0722</v>
      </c>
      <c r="R1625" s="1">
        <v>54005.0</v>
      </c>
    </row>
    <row r="1626">
      <c r="A1626" s="663" t="s">
        <v>2352</v>
      </c>
      <c r="B1626" s="663" t="s">
        <v>180</v>
      </c>
      <c r="C1626" s="663" t="s">
        <v>55</v>
      </c>
      <c r="D1626" s="663" t="s">
        <v>2234</v>
      </c>
      <c r="E1626" s="664" t="s">
        <v>14</v>
      </c>
      <c r="F1626" s="665">
        <v>16184.0</v>
      </c>
      <c r="G1626" s="665">
        <v>10715.0</v>
      </c>
      <c r="H1626" s="665">
        <v>66.21</v>
      </c>
      <c r="I1626" s="665">
        <v>5.26</v>
      </c>
      <c r="J1626" s="665">
        <v>4.82</v>
      </c>
      <c r="K1626" s="665">
        <v>819590.0</v>
      </c>
      <c r="L1626" s="665">
        <v>1.5572314E7</v>
      </c>
      <c r="M1626" s="665">
        <v>50.64</v>
      </c>
      <c r="N1626" s="1">
        <v>76.49</v>
      </c>
      <c r="O1626" s="1">
        <v>819590.0</v>
      </c>
      <c r="P1626" s="1">
        <v>1.5572314E7</v>
      </c>
      <c r="Q1626" s="1">
        <v>50.642</v>
      </c>
      <c r="R1626" s="1">
        <v>54005.0</v>
      </c>
    </row>
    <row r="1627">
      <c r="A1627" s="663" t="s">
        <v>2352</v>
      </c>
      <c r="B1627" s="663" t="s">
        <v>180</v>
      </c>
      <c r="C1627" s="663" t="s">
        <v>55</v>
      </c>
      <c r="D1627" s="663" t="s">
        <v>2234</v>
      </c>
      <c r="E1627" s="664" t="s">
        <v>397</v>
      </c>
      <c r="F1627" s="665">
        <v>16184.0</v>
      </c>
      <c r="G1627" s="665">
        <v>10499.0</v>
      </c>
      <c r="H1627" s="665">
        <v>64.87</v>
      </c>
      <c r="I1627" s="665">
        <v>4.81</v>
      </c>
      <c r="J1627" s="665">
        <v>3.95</v>
      </c>
      <c r="K1627" s="665">
        <v>748915.0</v>
      </c>
      <c r="L1627" s="665">
        <v>1.5572314E7</v>
      </c>
      <c r="M1627" s="665">
        <v>46.28</v>
      </c>
      <c r="N1627" s="1">
        <v>71.332</v>
      </c>
      <c r="O1627" s="1">
        <v>748915.0</v>
      </c>
      <c r="P1627" s="1">
        <v>1.5572314E7</v>
      </c>
      <c r="Q1627" s="1">
        <v>46.275</v>
      </c>
      <c r="R1627" s="1">
        <v>54005.0</v>
      </c>
    </row>
    <row r="1628">
      <c r="A1628" s="663" t="s">
        <v>2352</v>
      </c>
      <c r="B1628" s="663" t="s">
        <v>180</v>
      </c>
      <c r="C1628" s="663" t="s">
        <v>55</v>
      </c>
      <c r="D1628" s="663" t="s">
        <v>2234</v>
      </c>
      <c r="E1628" s="664" t="s">
        <v>413</v>
      </c>
      <c r="F1628" s="665">
        <v>16184.0</v>
      </c>
      <c r="G1628" s="665">
        <v>8127.0</v>
      </c>
      <c r="H1628" s="665">
        <v>50.22</v>
      </c>
      <c r="I1628" s="665">
        <v>4.22</v>
      </c>
      <c r="J1628" s="665">
        <v>6.09</v>
      </c>
      <c r="K1628" s="665">
        <v>657145.0</v>
      </c>
      <c r="L1628" s="665">
        <v>1.5572314E7</v>
      </c>
      <c r="M1628" s="665">
        <v>40.6</v>
      </c>
      <c r="N1628" s="1">
        <v>80.8595</v>
      </c>
      <c r="O1628" s="1">
        <v>657145.0</v>
      </c>
      <c r="P1628" s="1">
        <v>1.5572314E7</v>
      </c>
      <c r="Q1628" s="1">
        <v>40.6046</v>
      </c>
      <c r="R1628" s="1">
        <v>54005.0</v>
      </c>
    </row>
    <row r="1629">
      <c r="A1629" s="663" t="s">
        <v>2352</v>
      </c>
      <c r="B1629" s="663" t="s">
        <v>180</v>
      </c>
      <c r="C1629" s="663" t="s">
        <v>55</v>
      </c>
      <c r="D1629" s="663" t="s">
        <v>2234</v>
      </c>
      <c r="E1629" s="664" t="s">
        <v>398</v>
      </c>
      <c r="F1629" s="665">
        <v>16184.0</v>
      </c>
      <c r="G1629" s="665">
        <v>9291.0</v>
      </c>
      <c r="H1629" s="665">
        <v>57.41</v>
      </c>
      <c r="I1629" s="665">
        <v>3.95</v>
      </c>
      <c r="J1629" s="665">
        <v>2.97</v>
      </c>
      <c r="K1629" s="665">
        <v>615410.0</v>
      </c>
      <c r="L1629" s="665">
        <v>1.5572314E7</v>
      </c>
      <c r="M1629" s="665">
        <v>38.03</v>
      </c>
      <c r="N1629" s="1">
        <v>66.2372</v>
      </c>
      <c r="O1629" s="1">
        <v>615410.0</v>
      </c>
      <c r="P1629" s="1">
        <v>1.5572314E7</v>
      </c>
      <c r="Q1629" s="1">
        <v>38.0258</v>
      </c>
      <c r="R1629" s="1">
        <v>54005.0</v>
      </c>
    </row>
    <row r="1630">
      <c r="A1630" s="663" t="s">
        <v>2352</v>
      </c>
      <c r="B1630" s="663" t="s">
        <v>180</v>
      </c>
      <c r="C1630" s="663" t="s">
        <v>55</v>
      </c>
      <c r="D1630" s="663" t="s">
        <v>2234</v>
      </c>
      <c r="E1630" s="664" t="s">
        <v>63</v>
      </c>
      <c r="F1630" s="665">
        <v>16184.0</v>
      </c>
      <c r="G1630" s="665">
        <v>6116.0</v>
      </c>
      <c r="H1630" s="665">
        <v>37.79</v>
      </c>
      <c r="I1630" s="665">
        <v>2.12</v>
      </c>
      <c r="J1630" s="665">
        <v>2.27</v>
      </c>
      <c r="K1630" s="665">
        <v>330210.0</v>
      </c>
      <c r="L1630" s="665">
        <v>1.5572314E7</v>
      </c>
      <c r="M1630" s="665">
        <v>20.4</v>
      </c>
      <c r="N1630" s="1">
        <v>53.9912</v>
      </c>
      <c r="O1630" s="1">
        <v>330210.0</v>
      </c>
      <c r="P1630" s="1">
        <v>1.5572314E7</v>
      </c>
      <c r="Q1630" s="1">
        <v>20.4035</v>
      </c>
      <c r="R1630" s="1">
        <v>54005.0</v>
      </c>
    </row>
    <row r="1631">
      <c r="A1631" s="663" t="s">
        <v>2352</v>
      </c>
      <c r="B1631" s="663" t="s">
        <v>180</v>
      </c>
      <c r="C1631" s="663" t="s">
        <v>55</v>
      </c>
      <c r="D1631" s="663" t="s">
        <v>2234</v>
      </c>
      <c r="E1631" s="664" t="s">
        <v>7</v>
      </c>
      <c r="F1631" s="665">
        <v>16184.0</v>
      </c>
      <c r="G1631" s="665">
        <v>5619.0</v>
      </c>
      <c r="H1631" s="665">
        <v>34.72</v>
      </c>
      <c r="I1631" s="665">
        <v>1.64</v>
      </c>
      <c r="J1631" s="665">
        <v>1.63</v>
      </c>
      <c r="K1631" s="665">
        <v>255235.0</v>
      </c>
      <c r="L1631" s="665">
        <v>1.5572314E7</v>
      </c>
      <c r="M1631" s="665">
        <v>15.77</v>
      </c>
      <c r="N1631" s="1">
        <v>45.4236</v>
      </c>
      <c r="O1631" s="1">
        <v>255235.0</v>
      </c>
      <c r="P1631" s="1">
        <v>1.5572314E7</v>
      </c>
      <c r="Q1631" s="1">
        <v>15.7708</v>
      </c>
      <c r="R1631" s="1">
        <v>54005.0</v>
      </c>
    </row>
    <row r="1632">
      <c r="A1632" s="663" t="s">
        <v>2352</v>
      </c>
      <c r="B1632" s="663" t="s">
        <v>180</v>
      </c>
      <c r="C1632" s="663" t="s">
        <v>55</v>
      </c>
      <c r="D1632" s="663" t="s">
        <v>2234</v>
      </c>
      <c r="E1632" s="664" t="s">
        <v>401</v>
      </c>
      <c r="F1632" s="665">
        <v>16184.0</v>
      </c>
      <c r="G1632" s="665">
        <v>3099.0</v>
      </c>
      <c r="H1632" s="665">
        <v>19.15</v>
      </c>
      <c r="I1632" s="665">
        <v>1.54</v>
      </c>
      <c r="J1632" s="665">
        <v>1.12</v>
      </c>
      <c r="K1632" s="665">
        <v>239400.0</v>
      </c>
      <c r="L1632" s="665">
        <v>1.5572314E7</v>
      </c>
      <c r="M1632" s="665">
        <v>14.79</v>
      </c>
      <c r="N1632" s="1">
        <v>77.2507</v>
      </c>
      <c r="O1632" s="1">
        <v>239400.0</v>
      </c>
      <c r="P1632" s="1">
        <v>1.5572314E7</v>
      </c>
      <c r="Q1632" s="1">
        <v>14.7924</v>
      </c>
      <c r="R1632" s="1">
        <v>54005.0</v>
      </c>
    </row>
    <row r="1633">
      <c r="A1633" s="663" t="s">
        <v>2352</v>
      </c>
      <c r="B1633" s="663" t="s">
        <v>180</v>
      </c>
      <c r="C1633" s="663" t="s">
        <v>55</v>
      </c>
      <c r="D1633" s="663" t="s">
        <v>2234</v>
      </c>
      <c r="E1633" s="664" t="s">
        <v>206</v>
      </c>
      <c r="F1633" s="665">
        <v>16184.0</v>
      </c>
      <c r="G1633" s="665">
        <v>2768.0</v>
      </c>
      <c r="H1633" s="665">
        <v>17.1</v>
      </c>
      <c r="I1633" s="665">
        <v>1.14</v>
      </c>
      <c r="J1633" s="665">
        <v>0.83</v>
      </c>
      <c r="K1633" s="665">
        <v>177330.0</v>
      </c>
      <c r="L1633" s="665">
        <v>1.5572314E7</v>
      </c>
      <c r="M1633" s="665">
        <v>10.96</v>
      </c>
      <c r="N1633" s="1">
        <v>64.0643</v>
      </c>
      <c r="O1633" s="1">
        <v>177330.0</v>
      </c>
      <c r="P1633" s="1">
        <v>1.5572314E7</v>
      </c>
      <c r="Q1633" s="1">
        <v>10.9571</v>
      </c>
      <c r="R1633" s="1">
        <v>54005.0</v>
      </c>
    </row>
    <row r="1634">
      <c r="A1634" s="663" t="s">
        <v>2352</v>
      </c>
      <c r="B1634" s="663" t="s">
        <v>180</v>
      </c>
      <c r="C1634" s="663" t="s">
        <v>55</v>
      </c>
      <c r="D1634" s="663" t="s">
        <v>2234</v>
      </c>
      <c r="E1634" s="664" t="s">
        <v>73</v>
      </c>
      <c r="F1634" s="665">
        <v>16184.0</v>
      </c>
      <c r="G1634" s="665">
        <v>2113.0</v>
      </c>
      <c r="H1634" s="665">
        <v>13.06</v>
      </c>
      <c r="I1634" s="665">
        <v>1.09</v>
      </c>
      <c r="J1634" s="665">
        <v>0.82</v>
      </c>
      <c r="K1634" s="665">
        <v>169020.0</v>
      </c>
      <c r="L1634" s="665">
        <v>1.5572314E7</v>
      </c>
      <c r="M1634" s="665">
        <v>10.44</v>
      </c>
      <c r="N1634" s="1">
        <v>79.9905</v>
      </c>
      <c r="O1634" s="1">
        <v>169020.0</v>
      </c>
      <c r="P1634" s="1">
        <v>1.5572314E7</v>
      </c>
      <c r="Q1634" s="1">
        <v>10.4436</v>
      </c>
      <c r="R1634" s="1">
        <v>54005.0</v>
      </c>
    </row>
    <row r="1635">
      <c r="A1635" s="663" t="s">
        <v>2352</v>
      </c>
      <c r="B1635" s="663" t="s">
        <v>180</v>
      </c>
      <c r="C1635" s="663" t="s">
        <v>55</v>
      </c>
      <c r="D1635" s="663" t="s">
        <v>2234</v>
      </c>
      <c r="E1635" s="664" t="s">
        <v>411</v>
      </c>
      <c r="F1635" s="665">
        <v>16184.0</v>
      </c>
      <c r="G1635" s="665">
        <v>1748.0</v>
      </c>
      <c r="H1635" s="665">
        <v>10.8</v>
      </c>
      <c r="I1635" s="665">
        <v>0.42</v>
      </c>
      <c r="J1635" s="665">
        <v>0.43</v>
      </c>
      <c r="K1635" s="665">
        <v>64724.0</v>
      </c>
      <c r="L1635" s="665">
        <v>1.5572314E7</v>
      </c>
      <c r="M1635" s="665">
        <v>4.0</v>
      </c>
      <c r="N1635" s="1">
        <v>37.0275</v>
      </c>
      <c r="O1635" s="1">
        <v>64724.0</v>
      </c>
      <c r="P1635" s="1">
        <v>1.5572314E7</v>
      </c>
      <c r="Q1635" s="1">
        <v>3.9993</v>
      </c>
      <c r="R1635" s="1">
        <v>54005.0</v>
      </c>
    </row>
    <row r="1636">
      <c r="A1636" s="663" t="s">
        <v>2352</v>
      </c>
      <c r="B1636" s="663" t="s">
        <v>180</v>
      </c>
      <c r="C1636" s="663" t="s">
        <v>55</v>
      </c>
      <c r="D1636" s="663" t="s">
        <v>2234</v>
      </c>
      <c r="E1636" s="664" t="s">
        <v>393</v>
      </c>
      <c r="F1636" s="665">
        <v>16184.0</v>
      </c>
      <c r="G1636" s="665">
        <v>2206.0</v>
      </c>
      <c r="H1636" s="665">
        <v>13.63</v>
      </c>
      <c r="I1636" s="665">
        <v>0.37</v>
      </c>
      <c r="J1636" s="665">
        <v>0.28</v>
      </c>
      <c r="K1636" s="665">
        <v>58305.0</v>
      </c>
      <c r="L1636" s="665">
        <v>1.5572314E7</v>
      </c>
      <c r="M1636" s="665">
        <v>3.6</v>
      </c>
      <c r="N1636" s="1">
        <v>26.4302</v>
      </c>
      <c r="O1636" s="1">
        <v>58305.0</v>
      </c>
      <c r="P1636" s="1">
        <v>1.5572314E7</v>
      </c>
      <c r="Q1636" s="1">
        <v>3.6026</v>
      </c>
      <c r="R1636" s="1">
        <v>54005.0</v>
      </c>
    </row>
    <row r="1637">
      <c r="A1637" s="663" t="s">
        <v>2352</v>
      </c>
      <c r="B1637" s="663" t="s">
        <v>180</v>
      </c>
      <c r="C1637" s="663" t="s">
        <v>55</v>
      </c>
      <c r="D1637" s="663" t="s">
        <v>2234</v>
      </c>
      <c r="E1637" s="664" t="s">
        <v>42</v>
      </c>
      <c r="F1637" s="665">
        <v>16184.0</v>
      </c>
      <c r="G1637" s="665">
        <v>236.0</v>
      </c>
      <c r="H1637" s="665">
        <v>1.46</v>
      </c>
      <c r="I1637" s="665">
        <v>0.08</v>
      </c>
      <c r="J1637" s="665">
        <v>0.11</v>
      </c>
      <c r="K1637" s="665">
        <v>12395.0</v>
      </c>
      <c r="L1637" s="665">
        <v>1.5572314E7</v>
      </c>
      <c r="M1637" s="665">
        <v>0.77</v>
      </c>
      <c r="N1637" s="1">
        <v>52.5212</v>
      </c>
      <c r="O1637" s="1">
        <v>12395.0</v>
      </c>
      <c r="P1637" s="1">
        <v>1.5572314E7</v>
      </c>
      <c r="Q1637" s="1">
        <v>0.7659</v>
      </c>
      <c r="R1637" s="1">
        <v>54005.0</v>
      </c>
    </row>
    <row r="1638">
      <c r="A1638" s="663" t="s">
        <v>2352</v>
      </c>
      <c r="B1638" s="663" t="s">
        <v>180</v>
      </c>
      <c r="C1638" s="663" t="s">
        <v>55</v>
      </c>
      <c r="D1638" s="663" t="s">
        <v>2234</v>
      </c>
      <c r="E1638" s="664" t="s">
        <v>151</v>
      </c>
      <c r="F1638" s="665">
        <v>16184.0</v>
      </c>
      <c r="G1638" s="665">
        <v>1.0</v>
      </c>
      <c r="H1638" s="665">
        <v>0.01</v>
      </c>
      <c r="I1638" s="665">
        <v>0.0</v>
      </c>
      <c r="J1638" s="665">
        <v>0.0</v>
      </c>
      <c r="K1638" s="665">
        <v>20.0</v>
      </c>
      <c r="L1638" s="665">
        <v>1.5572314E7</v>
      </c>
      <c r="M1638" s="665">
        <v>0.0</v>
      </c>
      <c r="N1638" s="1">
        <v>20.0</v>
      </c>
      <c r="O1638" s="1">
        <v>20.0</v>
      </c>
      <c r="P1638" s="1">
        <v>1.5572314E7</v>
      </c>
      <c r="Q1638" s="1">
        <v>0.0012</v>
      </c>
      <c r="R1638" s="1">
        <v>54005.0</v>
      </c>
    </row>
    <row r="1639">
      <c r="A1639" s="663" t="s">
        <v>2352</v>
      </c>
      <c r="B1639" s="663" t="s">
        <v>1192</v>
      </c>
      <c r="C1639" s="663" t="s">
        <v>50</v>
      </c>
      <c r="D1639" s="663" t="s">
        <v>599</v>
      </c>
      <c r="E1639" s="664" t="s">
        <v>418</v>
      </c>
      <c r="F1639" s="665">
        <v>1815.0</v>
      </c>
      <c r="G1639" s="665">
        <v>1564.0</v>
      </c>
      <c r="H1639" s="665">
        <v>86.17</v>
      </c>
      <c r="I1639" s="665">
        <v>27.2</v>
      </c>
      <c r="J1639" s="665">
        <v>26.9</v>
      </c>
      <c r="K1639" s="665">
        <v>4735.0</v>
      </c>
      <c r="L1639" s="665">
        <v>17410.0</v>
      </c>
      <c r="M1639" s="665">
        <v>2.61</v>
      </c>
      <c r="N1639" s="1">
        <v>3.0275</v>
      </c>
      <c r="O1639" s="1">
        <v>4735.0</v>
      </c>
      <c r="P1639" s="1">
        <v>17410.0</v>
      </c>
      <c r="Q1639" s="1">
        <v>2.6088</v>
      </c>
      <c r="R1639" s="1">
        <v>8767.0</v>
      </c>
    </row>
    <row r="1640">
      <c r="A1640" s="663" t="s">
        <v>2352</v>
      </c>
      <c r="B1640" s="663" t="s">
        <v>1192</v>
      </c>
      <c r="C1640" s="663" t="s">
        <v>50</v>
      </c>
      <c r="D1640" s="663" t="s">
        <v>599</v>
      </c>
      <c r="E1640" s="664" t="s">
        <v>411</v>
      </c>
      <c r="F1640" s="665">
        <v>1815.0</v>
      </c>
      <c r="G1640" s="665">
        <v>1363.0</v>
      </c>
      <c r="H1640" s="665">
        <v>75.1</v>
      </c>
      <c r="I1640" s="665">
        <v>14.34</v>
      </c>
      <c r="J1640" s="665">
        <v>17.6</v>
      </c>
      <c r="K1640" s="665">
        <v>2497.0</v>
      </c>
      <c r="L1640" s="665">
        <v>17410.0</v>
      </c>
      <c r="M1640" s="665">
        <v>1.38</v>
      </c>
      <c r="N1640" s="1">
        <v>1.832</v>
      </c>
      <c r="O1640" s="1">
        <v>2497.0</v>
      </c>
      <c r="P1640" s="1">
        <v>17410.0</v>
      </c>
      <c r="Q1640" s="1">
        <v>1.3758</v>
      </c>
      <c r="R1640" s="1">
        <v>8767.0</v>
      </c>
    </row>
    <row r="1641">
      <c r="A1641" s="663" t="s">
        <v>2352</v>
      </c>
      <c r="B1641" s="663" t="s">
        <v>1192</v>
      </c>
      <c r="C1641" s="663" t="s">
        <v>50</v>
      </c>
      <c r="D1641" s="663" t="s">
        <v>599</v>
      </c>
      <c r="E1641" s="664" t="s">
        <v>413</v>
      </c>
      <c r="F1641" s="665">
        <v>1815.0</v>
      </c>
      <c r="G1641" s="665">
        <v>872.0</v>
      </c>
      <c r="H1641" s="665">
        <v>48.04</v>
      </c>
      <c r="I1641" s="665">
        <v>11.49</v>
      </c>
      <c r="J1641" s="665">
        <v>10.17</v>
      </c>
      <c r="K1641" s="665">
        <v>2000.0</v>
      </c>
      <c r="L1641" s="665">
        <v>17410.0</v>
      </c>
      <c r="M1641" s="665">
        <v>1.1</v>
      </c>
      <c r="N1641" s="1">
        <v>2.2936</v>
      </c>
      <c r="O1641" s="1">
        <v>2000.0</v>
      </c>
      <c r="P1641" s="1">
        <v>17410.0</v>
      </c>
      <c r="Q1641" s="1">
        <v>1.1019</v>
      </c>
      <c r="R1641" s="1">
        <v>8767.0</v>
      </c>
    </row>
    <row r="1642">
      <c r="A1642" s="663" t="s">
        <v>2352</v>
      </c>
      <c r="B1642" s="663" t="s">
        <v>1192</v>
      </c>
      <c r="C1642" s="663" t="s">
        <v>50</v>
      </c>
      <c r="D1642" s="663" t="s">
        <v>599</v>
      </c>
      <c r="E1642" s="664" t="s">
        <v>14</v>
      </c>
      <c r="F1642" s="665">
        <v>1815.0</v>
      </c>
      <c r="G1642" s="665">
        <v>976.0</v>
      </c>
      <c r="H1642" s="665">
        <v>53.77</v>
      </c>
      <c r="I1642" s="665">
        <v>10.58</v>
      </c>
      <c r="J1642" s="665">
        <v>8.85</v>
      </c>
      <c r="K1642" s="665">
        <v>1842.0</v>
      </c>
      <c r="L1642" s="665">
        <v>17410.0</v>
      </c>
      <c r="M1642" s="665">
        <v>1.01</v>
      </c>
      <c r="N1642" s="1">
        <v>1.8873</v>
      </c>
      <c r="O1642" s="1">
        <v>1842.0</v>
      </c>
      <c r="P1642" s="1">
        <v>17410.0</v>
      </c>
      <c r="Q1642" s="1">
        <v>1.0149</v>
      </c>
      <c r="R1642" s="1">
        <v>8767.0</v>
      </c>
    </row>
    <row r="1643">
      <c r="A1643" s="663" t="s">
        <v>2352</v>
      </c>
      <c r="B1643" s="663" t="s">
        <v>1192</v>
      </c>
      <c r="C1643" s="663" t="s">
        <v>50</v>
      </c>
      <c r="D1643" s="663" t="s">
        <v>599</v>
      </c>
      <c r="E1643" s="664" t="s">
        <v>396</v>
      </c>
      <c r="F1643" s="665">
        <v>1815.0</v>
      </c>
      <c r="G1643" s="665">
        <v>909.0</v>
      </c>
      <c r="H1643" s="665">
        <v>50.08</v>
      </c>
      <c r="I1643" s="665">
        <v>10.18</v>
      </c>
      <c r="J1643" s="665">
        <v>10.41</v>
      </c>
      <c r="K1643" s="665">
        <v>1773.0</v>
      </c>
      <c r="L1643" s="665">
        <v>17410.0</v>
      </c>
      <c r="M1643" s="665">
        <v>0.98</v>
      </c>
      <c r="N1643" s="1">
        <v>1.9505</v>
      </c>
      <c r="O1643" s="1">
        <v>1773.0</v>
      </c>
      <c r="P1643" s="1">
        <v>17410.0</v>
      </c>
      <c r="Q1643" s="1">
        <v>0.9769</v>
      </c>
      <c r="R1643" s="1">
        <v>8767.0</v>
      </c>
    </row>
    <row r="1644">
      <c r="A1644" s="663" t="s">
        <v>2352</v>
      </c>
      <c r="B1644" s="663" t="s">
        <v>1192</v>
      </c>
      <c r="C1644" s="663" t="s">
        <v>50</v>
      </c>
      <c r="D1644" s="663" t="s">
        <v>599</v>
      </c>
      <c r="E1644" s="664" t="s">
        <v>9</v>
      </c>
      <c r="F1644" s="665">
        <v>1815.0</v>
      </c>
      <c r="G1644" s="665">
        <v>1093.0</v>
      </c>
      <c r="H1644" s="665">
        <v>60.22</v>
      </c>
      <c r="I1644" s="665">
        <v>8.76</v>
      </c>
      <c r="J1644" s="665">
        <v>8.75</v>
      </c>
      <c r="K1644" s="665">
        <v>1525.0</v>
      </c>
      <c r="L1644" s="665">
        <v>17410.0</v>
      </c>
      <c r="M1644" s="665">
        <v>0.84</v>
      </c>
      <c r="N1644" s="1">
        <v>1.3952</v>
      </c>
      <c r="O1644" s="1">
        <v>1525.0</v>
      </c>
      <c r="P1644" s="1">
        <v>17410.0</v>
      </c>
      <c r="Q1644" s="1">
        <v>0.8402</v>
      </c>
      <c r="R1644" s="1">
        <v>8767.0</v>
      </c>
    </row>
    <row r="1645">
      <c r="A1645" s="663" t="s">
        <v>2352</v>
      </c>
      <c r="B1645" s="663" t="s">
        <v>1192</v>
      </c>
      <c r="C1645" s="663" t="s">
        <v>50</v>
      </c>
      <c r="D1645" s="663" t="s">
        <v>599</v>
      </c>
      <c r="E1645" s="664" t="s">
        <v>51</v>
      </c>
      <c r="F1645" s="665">
        <v>1815.0</v>
      </c>
      <c r="G1645" s="665">
        <v>726.0</v>
      </c>
      <c r="H1645" s="665">
        <v>40.0</v>
      </c>
      <c r="I1645" s="665">
        <v>7.13</v>
      </c>
      <c r="J1645" s="665">
        <v>6.75</v>
      </c>
      <c r="K1645" s="665">
        <v>1241.0</v>
      </c>
      <c r="L1645" s="665">
        <v>17410.0</v>
      </c>
      <c r="M1645" s="665">
        <v>0.68</v>
      </c>
      <c r="N1645" s="1">
        <v>1.7094</v>
      </c>
      <c r="O1645" s="1">
        <v>1241.0</v>
      </c>
      <c r="P1645" s="1">
        <v>17410.0</v>
      </c>
      <c r="Q1645" s="1">
        <v>0.6837</v>
      </c>
      <c r="R1645" s="1">
        <v>8767.0</v>
      </c>
    </row>
    <row r="1646">
      <c r="A1646" s="663" t="s">
        <v>2352</v>
      </c>
      <c r="B1646" s="663" t="s">
        <v>1192</v>
      </c>
      <c r="C1646" s="663" t="s">
        <v>50</v>
      </c>
      <c r="D1646" s="663" t="s">
        <v>599</v>
      </c>
      <c r="E1646" s="664" t="s">
        <v>16</v>
      </c>
      <c r="F1646" s="665">
        <v>1815.0</v>
      </c>
      <c r="G1646" s="665">
        <v>448.0</v>
      </c>
      <c r="H1646" s="665">
        <v>24.68</v>
      </c>
      <c r="I1646" s="665">
        <v>3.43</v>
      </c>
      <c r="J1646" s="665">
        <v>3.93</v>
      </c>
      <c r="K1646" s="665">
        <v>597.0</v>
      </c>
      <c r="L1646" s="665">
        <v>17410.0</v>
      </c>
      <c r="M1646" s="665">
        <v>0.33</v>
      </c>
      <c r="N1646" s="1">
        <v>1.3326</v>
      </c>
      <c r="O1646" s="1">
        <v>597.0</v>
      </c>
      <c r="P1646" s="1">
        <v>17410.0</v>
      </c>
      <c r="Q1646" s="1">
        <v>0.3289</v>
      </c>
      <c r="R1646" s="1">
        <v>8767.0</v>
      </c>
    </row>
    <row r="1647">
      <c r="A1647" s="663" t="s">
        <v>2352</v>
      </c>
      <c r="B1647" s="663" t="s">
        <v>1192</v>
      </c>
      <c r="C1647" s="663" t="s">
        <v>50</v>
      </c>
      <c r="D1647" s="663" t="s">
        <v>599</v>
      </c>
      <c r="E1647" s="664" t="s">
        <v>42</v>
      </c>
      <c r="F1647" s="665">
        <v>1815.0</v>
      </c>
      <c r="G1647" s="665">
        <v>450.0</v>
      </c>
      <c r="H1647" s="665">
        <v>24.79</v>
      </c>
      <c r="I1647" s="665">
        <v>3.38</v>
      </c>
      <c r="J1647" s="665">
        <v>3.49</v>
      </c>
      <c r="K1647" s="665">
        <v>589.0</v>
      </c>
      <c r="L1647" s="665">
        <v>17410.0</v>
      </c>
      <c r="M1647" s="665">
        <v>0.32</v>
      </c>
      <c r="N1647" s="1">
        <v>1.3089</v>
      </c>
      <c r="O1647" s="1">
        <v>589.0</v>
      </c>
      <c r="P1647" s="1">
        <v>17410.0</v>
      </c>
      <c r="Q1647" s="1">
        <v>0.3245</v>
      </c>
      <c r="R1647" s="1">
        <v>8767.0</v>
      </c>
    </row>
    <row r="1648">
      <c r="A1648" s="663" t="s">
        <v>2352</v>
      </c>
      <c r="B1648" s="663" t="s">
        <v>1192</v>
      </c>
      <c r="C1648" s="663" t="s">
        <v>50</v>
      </c>
      <c r="D1648" s="663" t="s">
        <v>599</v>
      </c>
      <c r="E1648" s="664" t="s">
        <v>63</v>
      </c>
      <c r="F1648" s="665">
        <v>1815.0</v>
      </c>
      <c r="G1648" s="665">
        <v>292.0</v>
      </c>
      <c r="H1648" s="665">
        <v>16.09</v>
      </c>
      <c r="I1648" s="665">
        <v>2.01</v>
      </c>
      <c r="J1648" s="665">
        <v>1.98</v>
      </c>
      <c r="K1648" s="665">
        <v>350.0</v>
      </c>
      <c r="L1648" s="665">
        <v>17410.0</v>
      </c>
      <c r="M1648" s="665">
        <v>0.19</v>
      </c>
      <c r="N1648" s="1">
        <v>1.1986</v>
      </c>
      <c r="O1648" s="1">
        <v>350.0</v>
      </c>
      <c r="P1648" s="1">
        <v>17410.0</v>
      </c>
      <c r="Q1648" s="1">
        <v>0.1928</v>
      </c>
      <c r="R1648" s="1">
        <v>8767.0</v>
      </c>
    </row>
    <row r="1649">
      <c r="A1649" s="663" t="s">
        <v>2352</v>
      </c>
      <c r="B1649" s="663" t="s">
        <v>1192</v>
      </c>
      <c r="C1649" s="663" t="s">
        <v>50</v>
      </c>
      <c r="D1649" s="663" t="s">
        <v>599</v>
      </c>
      <c r="E1649" s="664" t="s">
        <v>7</v>
      </c>
      <c r="F1649" s="665">
        <v>1815.0</v>
      </c>
      <c r="G1649" s="665">
        <v>96.0</v>
      </c>
      <c r="H1649" s="665">
        <v>5.29</v>
      </c>
      <c r="I1649" s="665">
        <v>0.57</v>
      </c>
      <c r="J1649" s="665">
        <v>0.58</v>
      </c>
      <c r="K1649" s="665">
        <v>99.0</v>
      </c>
      <c r="L1649" s="665">
        <v>17410.0</v>
      </c>
      <c r="M1649" s="665">
        <v>0.05</v>
      </c>
      <c r="N1649" s="1">
        <v>1.0313</v>
      </c>
      <c r="O1649" s="1">
        <v>99.0</v>
      </c>
      <c r="P1649" s="1">
        <v>17410.0</v>
      </c>
      <c r="Q1649" s="1">
        <v>0.0545</v>
      </c>
      <c r="R1649" s="1">
        <v>8767.0</v>
      </c>
    </row>
    <row r="1650">
      <c r="A1650" s="663" t="s">
        <v>2352</v>
      </c>
      <c r="B1650" s="663" t="s">
        <v>1192</v>
      </c>
      <c r="C1650" s="663" t="s">
        <v>50</v>
      </c>
      <c r="D1650" s="663" t="s">
        <v>599</v>
      </c>
      <c r="E1650" s="664" t="s">
        <v>401</v>
      </c>
      <c r="F1650" s="665">
        <v>1815.0</v>
      </c>
      <c r="G1650" s="665">
        <v>75.0</v>
      </c>
      <c r="H1650" s="665">
        <v>4.13</v>
      </c>
      <c r="I1650" s="665">
        <v>0.44</v>
      </c>
      <c r="J1650" s="665">
        <v>0.22</v>
      </c>
      <c r="K1650" s="665">
        <v>76.0</v>
      </c>
      <c r="L1650" s="665">
        <v>17410.0</v>
      </c>
      <c r="M1650" s="665">
        <v>0.04</v>
      </c>
      <c r="N1650" s="1">
        <v>1.0133</v>
      </c>
      <c r="O1650" s="1">
        <v>76.0</v>
      </c>
      <c r="P1650" s="1">
        <v>17410.0</v>
      </c>
      <c r="Q1650" s="1">
        <v>0.0419</v>
      </c>
      <c r="R1650" s="1">
        <v>8767.0</v>
      </c>
    </row>
    <row r="1651">
      <c r="A1651" s="663" t="s">
        <v>2352</v>
      </c>
      <c r="B1651" s="663" t="s">
        <v>1192</v>
      </c>
      <c r="C1651" s="663" t="s">
        <v>50</v>
      </c>
      <c r="D1651" s="663" t="s">
        <v>599</v>
      </c>
      <c r="E1651" s="664" t="s">
        <v>73</v>
      </c>
      <c r="F1651" s="665">
        <v>1815.0</v>
      </c>
      <c r="G1651" s="665">
        <v>45.0</v>
      </c>
      <c r="H1651" s="665">
        <v>2.48</v>
      </c>
      <c r="I1651" s="665">
        <v>0.28</v>
      </c>
      <c r="J1651" s="665">
        <v>0.25</v>
      </c>
      <c r="K1651" s="665">
        <v>49.0</v>
      </c>
      <c r="L1651" s="665">
        <v>17410.0</v>
      </c>
      <c r="M1651" s="665">
        <v>0.03</v>
      </c>
      <c r="N1651" s="1">
        <v>1.0889</v>
      </c>
      <c r="O1651" s="1">
        <v>49.0</v>
      </c>
      <c r="P1651" s="1">
        <v>17410.0</v>
      </c>
      <c r="Q1651" s="1">
        <v>0.027</v>
      </c>
      <c r="R1651" s="1">
        <v>8767.0</v>
      </c>
    </row>
    <row r="1652">
      <c r="A1652" s="663" t="s">
        <v>2352</v>
      </c>
      <c r="B1652" s="663" t="s">
        <v>1192</v>
      </c>
      <c r="C1652" s="663" t="s">
        <v>50</v>
      </c>
      <c r="D1652" s="663" t="s">
        <v>599</v>
      </c>
      <c r="E1652" s="664" t="s">
        <v>206</v>
      </c>
      <c r="F1652" s="665">
        <v>1815.0</v>
      </c>
      <c r="G1652" s="665">
        <v>37.0</v>
      </c>
      <c r="H1652" s="665">
        <v>2.04</v>
      </c>
      <c r="I1652" s="665">
        <v>0.21</v>
      </c>
      <c r="J1652" s="665">
        <v>0.13</v>
      </c>
      <c r="K1652" s="665">
        <v>37.0</v>
      </c>
      <c r="L1652" s="665">
        <v>17410.0</v>
      </c>
      <c r="M1652" s="665">
        <v>0.02</v>
      </c>
      <c r="N1652" s="1">
        <v>1.0</v>
      </c>
      <c r="O1652" s="1">
        <v>37.0</v>
      </c>
      <c r="P1652" s="1">
        <v>17410.0</v>
      </c>
      <c r="Q1652" s="1">
        <v>0.0204</v>
      </c>
      <c r="R1652" s="1">
        <v>8767.0</v>
      </c>
    </row>
    <row r="1653">
      <c r="A1653" s="663" t="s">
        <v>2352</v>
      </c>
      <c r="B1653" s="663" t="s">
        <v>1192</v>
      </c>
      <c r="C1653" s="663" t="s">
        <v>48</v>
      </c>
      <c r="D1653" s="663" t="s">
        <v>599</v>
      </c>
      <c r="E1653" s="664" t="s">
        <v>418</v>
      </c>
      <c r="F1653" s="665">
        <v>1859.0</v>
      </c>
      <c r="G1653" s="665">
        <v>1592.0</v>
      </c>
      <c r="H1653" s="665">
        <v>85.64</v>
      </c>
      <c r="I1653" s="665">
        <v>20.55</v>
      </c>
      <c r="J1653" s="665">
        <v>19.09</v>
      </c>
      <c r="K1653" s="665">
        <v>4816.0</v>
      </c>
      <c r="L1653" s="665">
        <v>23437.0</v>
      </c>
      <c r="M1653" s="665">
        <v>2.59</v>
      </c>
      <c r="N1653" s="1">
        <v>3.0251</v>
      </c>
      <c r="O1653" s="1">
        <v>4816.0</v>
      </c>
      <c r="P1653" s="1">
        <v>23437.0</v>
      </c>
      <c r="Q1653" s="1">
        <v>2.5906</v>
      </c>
      <c r="R1653" s="1">
        <v>8767.0</v>
      </c>
    </row>
    <row r="1654">
      <c r="A1654" s="663" t="s">
        <v>2352</v>
      </c>
      <c r="B1654" s="663" t="s">
        <v>1192</v>
      </c>
      <c r="C1654" s="663" t="s">
        <v>48</v>
      </c>
      <c r="D1654" s="663" t="s">
        <v>599</v>
      </c>
      <c r="E1654" s="664" t="s">
        <v>413</v>
      </c>
      <c r="F1654" s="665">
        <v>1859.0</v>
      </c>
      <c r="G1654" s="665">
        <v>1115.0</v>
      </c>
      <c r="H1654" s="665">
        <v>59.98</v>
      </c>
      <c r="I1654" s="665">
        <v>15.73</v>
      </c>
      <c r="J1654" s="665">
        <v>15.57</v>
      </c>
      <c r="K1654" s="665">
        <v>3687.0</v>
      </c>
      <c r="L1654" s="665">
        <v>23437.0</v>
      </c>
      <c r="M1654" s="665">
        <v>1.98</v>
      </c>
      <c r="N1654" s="1">
        <v>3.3067</v>
      </c>
      <c r="O1654" s="1">
        <v>3687.0</v>
      </c>
      <c r="P1654" s="1">
        <v>23437.0</v>
      </c>
      <c r="Q1654" s="1">
        <v>1.9833</v>
      </c>
      <c r="R1654" s="1">
        <v>8767.0</v>
      </c>
    </row>
    <row r="1655">
      <c r="A1655" s="663" t="s">
        <v>2352</v>
      </c>
      <c r="B1655" s="663" t="s">
        <v>1192</v>
      </c>
      <c r="C1655" s="663" t="s">
        <v>48</v>
      </c>
      <c r="D1655" s="663" t="s">
        <v>599</v>
      </c>
      <c r="E1655" s="664" t="s">
        <v>14</v>
      </c>
      <c r="F1655" s="665">
        <v>1859.0</v>
      </c>
      <c r="G1655" s="665">
        <v>1358.0</v>
      </c>
      <c r="H1655" s="665">
        <v>73.05</v>
      </c>
      <c r="I1655" s="665">
        <v>13.31</v>
      </c>
      <c r="J1655" s="665">
        <v>14.19</v>
      </c>
      <c r="K1655" s="665">
        <v>3119.0</v>
      </c>
      <c r="L1655" s="665">
        <v>23437.0</v>
      </c>
      <c r="M1655" s="665">
        <v>1.68</v>
      </c>
      <c r="N1655" s="1">
        <v>2.2968</v>
      </c>
      <c r="O1655" s="1">
        <v>3119.0</v>
      </c>
      <c r="P1655" s="1">
        <v>23437.0</v>
      </c>
      <c r="Q1655" s="1">
        <v>1.6778</v>
      </c>
      <c r="R1655" s="1">
        <v>8767.0</v>
      </c>
    </row>
    <row r="1656">
      <c r="A1656" s="663" t="s">
        <v>2352</v>
      </c>
      <c r="B1656" s="663" t="s">
        <v>1192</v>
      </c>
      <c r="C1656" s="663" t="s">
        <v>48</v>
      </c>
      <c r="D1656" s="663" t="s">
        <v>599</v>
      </c>
      <c r="E1656" s="664" t="s">
        <v>411</v>
      </c>
      <c r="F1656" s="665">
        <v>1859.0</v>
      </c>
      <c r="G1656" s="665">
        <v>1366.0</v>
      </c>
      <c r="H1656" s="665">
        <v>73.48</v>
      </c>
      <c r="I1656" s="665">
        <v>10.71</v>
      </c>
      <c r="J1656" s="665">
        <v>10.73</v>
      </c>
      <c r="K1656" s="665">
        <v>2509.0</v>
      </c>
      <c r="L1656" s="665">
        <v>23437.0</v>
      </c>
      <c r="M1656" s="665">
        <v>1.35</v>
      </c>
      <c r="N1656" s="1">
        <v>1.8367</v>
      </c>
      <c r="O1656" s="1">
        <v>2509.0</v>
      </c>
      <c r="P1656" s="1">
        <v>23437.0</v>
      </c>
      <c r="Q1656" s="1">
        <v>1.3497</v>
      </c>
      <c r="R1656" s="1">
        <v>8767.0</v>
      </c>
    </row>
    <row r="1657">
      <c r="A1657" s="663" t="s">
        <v>2352</v>
      </c>
      <c r="B1657" s="663" t="s">
        <v>1192</v>
      </c>
      <c r="C1657" s="663" t="s">
        <v>48</v>
      </c>
      <c r="D1657" s="663" t="s">
        <v>599</v>
      </c>
      <c r="E1657" s="664" t="s">
        <v>396</v>
      </c>
      <c r="F1657" s="665">
        <v>1859.0</v>
      </c>
      <c r="G1657" s="665">
        <v>977.0</v>
      </c>
      <c r="H1657" s="665">
        <v>52.56</v>
      </c>
      <c r="I1657" s="665">
        <v>10.57</v>
      </c>
      <c r="J1657" s="665">
        <v>9.56</v>
      </c>
      <c r="K1657" s="665">
        <v>2477.0</v>
      </c>
      <c r="L1657" s="665">
        <v>23437.0</v>
      </c>
      <c r="M1657" s="665">
        <v>1.33</v>
      </c>
      <c r="N1657" s="1">
        <v>2.5353</v>
      </c>
      <c r="O1657" s="1">
        <v>2477.0</v>
      </c>
      <c r="P1657" s="1">
        <v>23437.0</v>
      </c>
      <c r="Q1657" s="1">
        <v>1.3324</v>
      </c>
      <c r="R1657" s="1">
        <v>8767.0</v>
      </c>
    </row>
    <row r="1658">
      <c r="A1658" s="663" t="s">
        <v>2352</v>
      </c>
      <c r="B1658" s="663" t="s">
        <v>1192</v>
      </c>
      <c r="C1658" s="663" t="s">
        <v>48</v>
      </c>
      <c r="D1658" s="663" t="s">
        <v>599</v>
      </c>
      <c r="E1658" s="664" t="s">
        <v>9</v>
      </c>
      <c r="F1658" s="665">
        <v>1859.0</v>
      </c>
      <c r="G1658" s="665">
        <v>1204.0</v>
      </c>
      <c r="H1658" s="665">
        <v>64.77</v>
      </c>
      <c r="I1658" s="665">
        <v>7.25</v>
      </c>
      <c r="J1658" s="665">
        <v>7.5</v>
      </c>
      <c r="K1658" s="665">
        <v>1699.0</v>
      </c>
      <c r="L1658" s="665">
        <v>23437.0</v>
      </c>
      <c r="M1658" s="665">
        <v>0.91</v>
      </c>
      <c r="N1658" s="1">
        <v>1.4111</v>
      </c>
      <c r="O1658" s="1">
        <v>1699.0</v>
      </c>
      <c r="P1658" s="1">
        <v>23437.0</v>
      </c>
      <c r="Q1658" s="1">
        <v>0.9139</v>
      </c>
      <c r="R1658" s="1">
        <v>8767.0</v>
      </c>
    </row>
    <row r="1659">
      <c r="A1659" s="663" t="s">
        <v>2352</v>
      </c>
      <c r="B1659" s="663" t="s">
        <v>1192</v>
      </c>
      <c r="C1659" s="663" t="s">
        <v>48</v>
      </c>
      <c r="D1659" s="663" t="s">
        <v>599</v>
      </c>
      <c r="E1659" s="664" t="s">
        <v>398</v>
      </c>
      <c r="F1659" s="665">
        <v>1859.0</v>
      </c>
      <c r="G1659" s="665">
        <v>1010.0</v>
      </c>
      <c r="H1659" s="665">
        <v>54.33</v>
      </c>
      <c r="I1659" s="665">
        <v>6.02</v>
      </c>
      <c r="J1659" s="665">
        <v>7.53</v>
      </c>
      <c r="K1659" s="665">
        <v>1411.0</v>
      </c>
      <c r="L1659" s="665">
        <v>23437.0</v>
      </c>
      <c r="M1659" s="665">
        <v>0.76</v>
      </c>
      <c r="N1659" s="1">
        <v>1.397</v>
      </c>
      <c r="O1659" s="1">
        <v>1411.0</v>
      </c>
      <c r="P1659" s="1">
        <v>23437.0</v>
      </c>
      <c r="Q1659" s="1">
        <v>0.759</v>
      </c>
      <c r="R1659" s="1">
        <v>8767.0</v>
      </c>
    </row>
    <row r="1660">
      <c r="A1660" s="663" t="s">
        <v>2352</v>
      </c>
      <c r="B1660" s="663" t="s">
        <v>1192</v>
      </c>
      <c r="C1660" s="663" t="s">
        <v>48</v>
      </c>
      <c r="D1660" s="663" t="s">
        <v>599</v>
      </c>
      <c r="E1660" s="664" t="s">
        <v>51</v>
      </c>
      <c r="F1660" s="665">
        <v>1859.0</v>
      </c>
      <c r="G1660" s="665">
        <v>726.0</v>
      </c>
      <c r="H1660" s="665">
        <v>39.05</v>
      </c>
      <c r="I1660" s="665">
        <v>5.3</v>
      </c>
      <c r="J1660" s="665">
        <v>4.89</v>
      </c>
      <c r="K1660" s="665">
        <v>1241.0</v>
      </c>
      <c r="L1660" s="665">
        <v>23437.0</v>
      </c>
      <c r="M1660" s="665">
        <v>0.67</v>
      </c>
      <c r="N1660" s="1">
        <v>1.7094</v>
      </c>
      <c r="O1660" s="1">
        <v>1241.0</v>
      </c>
      <c r="P1660" s="1">
        <v>23437.0</v>
      </c>
      <c r="Q1660" s="1">
        <v>0.6676</v>
      </c>
      <c r="R1660" s="1">
        <v>8767.0</v>
      </c>
    </row>
    <row r="1661">
      <c r="A1661" s="663" t="s">
        <v>2352</v>
      </c>
      <c r="B1661" s="663" t="s">
        <v>1192</v>
      </c>
      <c r="C1661" s="663" t="s">
        <v>48</v>
      </c>
      <c r="D1661" s="663" t="s">
        <v>599</v>
      </c>
      <c r="E1661" s="664" t="s">
        <v>401</v>
      </c>
      <c r="F1661" s="665">
        <v>1859.0</v>
      </c>
      <c r="G1661" s="665">
        <v>553.0</v>
      </c>
      <c r="H1661" s="665">
        <v>29.75</v>
      </c>
      <c r="I1661" s="665">
        <v>2.5</v>
      </c>
      <c r="J1661" s="665">
        <v>2.58</v>
      </c>
      <c r="K1661" s="665">
        <v>587.0</v>
      </c>
      <c r="L1661" s="665">
        <v>23437.0</v>
      </c>
      <c r="M1661" s="665">
        <v>0.32</v>
      </c>
      <c r="N1661" s="1">
        <v>1.0615</v>
      </c>
      <c r="O1661" s="1">
        <v>587.0</v>
      </c>
      <c r="P1661" s="1">
        <v>23437.0</v>
      </c>
      <c r="Q1661" s="1">
        <v>0.3158</v>
      </c>
      <c r="R1661" s="1">
        <v>8767.0</v>
      </c>
    </row>
    <row r="1662">
      <c r="A1662" s="663" t="s">
        <v>2352</v>
      </c>
      <c r="B1662" s="663" t="s">
        <v>1192</v>
      </c>
      <c r="C1662" s="663" t="s">
        <v>48</v>
      </c>
      <c r="D1662" s="663" t="s">
        <v>599</v>
      </c>
      <c r="E1662" s="664" t="s">
        <v>206</v>
      </c>
      <c r="F1662" s="665">
        <v>1859.0</v>
      </c>
      <c r="G1662" s="665">
        <v>547.0</v>
      </c>
      <c r="H1662" s="665">
        <v>29.42</v>
      </c>
      <c r="I1662" s="665">
        <v>2.4</v>
      </c>
      <c r="J1662" s="665">
        <v>2.74</v>
      </c>
      <c r="K1662" s="665">
        <v>562.0</v>
      </c>
      <c r="L1662" s="665">
        <v>23437.0</v>
      </c>
      <c r="M1662" s="665">
        <v>0.3</v>
      </c>
      <c r="N1662" s="1">
        <v>1.0274</v>
      </c>
      <c r="O1662" s="1">
        <v>562.0</v>
      </c>
      <c r="P1662" s="1">
        <v>23437.0</v>
      </c>
      <c r="Q1662" s="1">
        <v>0.3023</v>
      </c>
      <c r="R1662" s="1">
        <v>8767.0</v>
      </c>
    </row>
    <row r="1663">
      <c r="A1663" s="663" t="s">
        <v>2352</v>
      </c>
      <c r="B1663" s="663" t="s">
        <v>1192</v>
      </c>
      <c r="C1663" s="663" t="s">
        <v>48</v>
      </c>
      <c r="D1663" s="663" t="s">
        <v>599</v>
      </c>
      <c r="E1663" s="664" t="s">
        <v>73</v>
      </c>
      <c r="F1663" s="665">
        <v>1859.0</v>
      </c>
      <c r="G1663" s="665">
        <v>421.0</v>
      </c>
      <c r="H1663" s="665">
        <v>22.65</v>
      </c>
      <c r="I1663" s="665">
        <v>1.86</v>
      </c>
      <c r="J1663" s="665">
        <v>2.08</v>
      </c>
      <c r="K1663" s="665">
        <v>436.0</v>
      </c>
      <c r="L1663" s="665">
        <v>23437.0</v>
      </c>
      <c r="M1663" s="665">
        <v>0.23</v>
      </c>
      <c r="N1663" s="1">
        <v>1.0356</v>
      </c>
      <c r="O1663" s="1">
        <v>436.0</v>
      </c>
      <c r="P1663" s="1">
        <v>23437.0</v>
      </c>
      <c r="Q1663" s="1">
        <v>0.2345</v>
      </c>
      <c r="R1663" s="1">
        <v>8767.0</v>
      </c>
    </row>
    <row r="1664">
      <c r="A1664" s="663" t="s">
        <v>2352</v>
      </c>
      <c r="B1664" s="663" t="s">
        <v>1192</v>
      </c>
      <c r="C1664" s="663" t="s">
        <v>48</v>
      </c>
      <c r="D1664" s="663" t="s">
        <v>599</v>
      </c>
      <c r="E1664" s="664" t="s">
        <v>63</v>
      </c>
      <c r="F1664" s="665">
        <v>1859.0</v>
      </c>
      <c r="G1664" s="665">
        <v>283.0</v>
      </c>
      <c r="H1664" s="665">
        <v>15.22</v>
      </c>
      <c r="I1664" s="665">
        <v>1.49</v>
      </c>
      <c r="J1664" s="665">
        <v>1.42</v>
      </c>
      <c r="K1664" s="665">
        <v>349.0</v>
      </c>
      <c r="L1664" s="665">
        <v>23437.0</v>
      </c>
      <c r="M1664" s="665">
        <v>0.19</v>
      </c>
      <c r="N1664" s="1">
        <v>1.2332</v>
      </c>
      <c r="O1664" s="1">
        <v>349.0</v>
      </c>
      <c r="P1664" s="1">
        <v>23437.0</v>
      </c>
      <c r="Q1664" s="1">
        <v>0.1877</v>
      </c>
      <c r="R1664" s="1">
        <v>8767.0</v>
      </c>
    </row>
    <row r="1665">
      <c r="A1665" s="663" t="s">
        <v>2352</v>
      </c>
      <c r="B1665" s="663" t="s">
        <v>1192</v>
      </c>
      <c r="C1665" s="663" t="s">
        <v>48</v>
      </c>
      <c r="D1665" s="663" t="s">
        <v>599</v>
      </c>
      <c r="E1665" s="664" t="s">
        <v>42</v>
      </c>
      <c r="F1665" s="665">
        <v>1859.0</v>
      </c>
      <c r="G1665" s="665">
        <v>235.0</v>
      </c>
      <c r="H1665" s="665">
        <v>12.64</v>
      </c>
      <c r="I1665" s="665">
        <v>1.11</v>
      </c>
      <c r="J1665" s="665">
        <v>0.97</v>
      </c>
      <c r="K1665" s="665">
        <v>261.0</v>
      </c>
      <c r="L1665" s="665">
        <v>23437.0</v>
      </c>
      <c r="M1665" s="665">
        <v>0.14</v>
      </c>
      <c r="N1665" s="1">
        <v>1.1106</v>
      </c>
      <c r="O1665" s="1">
        <v>261.0</v>
      </c>
      <c r="P1665" s="1">
        <v>23437.0</v>
      </c>
      <c r="Q1665" s="1">
        <v>0.1404</v>
      </c>
      <c r="R1665" s="1">
        <v>8767.0</v>
      </c>
    </row>
    <row r="1666">
      <c r="A1666" s="663" t="s">
        <v>2352</v>
      </c>
      <c r="B1666" s="663" t="s">
        <v>1192</v>
      </c>
      <c r="C1666" s="663" t="s">
        <v>48</v>
      </c>
      <c r="D1666" s="663" t="s">
        <v>599</v>
      </c>
      <c r="E1666" s="664" t="s">
        <v>16</v>
      </c>
      <c r="F1666" s="665">
        <v>1859.0</v>
      </c>
      <c r="G1666" s="665">
        <v>177.0</v>
      </c>
      <c r="H1666" s="665">
        <v>9.52</v>
      </c>
      <c r="I1666" s="665">
        <v>0.82</v>
      </c>
      <c r="J1666" s="665">
        <v>0.81</v>
      </c>
      <c r="K1666" s="665">
        <v>192.0</v>
      </c>
      <c r="L1666" s="665">
        <v>23437.0</v>
      </c>
      <c r="M1666" s="665">
        <v>0.1</v>
      </c>
      <c r="N1666" s="1">
        <v>1.0847</v>
      </c>
      <c r="O1666" s="1">
        <v>192.0</v>
      </c>
      <c r="P1666" s="1">
        <v>23437.0</v>
      </c>
      <c r="Q1666" s="1">
        <v>0.1033</v>
      </c>
      <c r="R1666" s="1">
        <v>8767.0</v>
      </c>
    </row>
    <row r="1667">
      <c r="A1667" s="663" t="s">
        <v>2352</v>
      </c>
      <c r="B1667" s="663" t="s">
        <v>1192</v>
      </c>
      <c r="C1667" s="663" t="s">
        <v>48</v>
      </c>
      <c r="D1667" s="663" t="s">
        <v>599</v>
      </c>
      <c r="E1667" s="664" t="s">
        <v>7</v>
      </c>
      <c r="F1667" s="665">
        <v>1859.0</v>
      </c>
      <c r="G1667" s="665">
        <v>85.0</v>
      </c>
      <c r="H1667" s="665">
        <v>4.57</v>
      </c>
      <c r="I1667" s="665">
        <v>0.38</v>
      </c>
      <c r="J1667" s="665">
        <v>0.32</v>
      </c>
      <c r="K1667" s="665">
        <v>88.0</v>
      </c>
      <c r="L1667" s="665">
        <v>23437.0</v>
      </c>
      <c r="M1667" s="665">
        <v>0.05</v>
      </c>
      <c r="N1667" s="1">
        <v>1.0353</v>
      </c>
      <c r="O1667" s="1">
        <v>88.0</v>
      </c>
      <c r="P1667" s="1">
        <v>23437.0</v>
      </c>
      <c r="Q1667" s="1">
        <v>0.0473</v>
      </c>
      <c r="R1667" s="1">
        <v>8767.0</v>
      </c>
    </row>
    <row r="1668">
      <c r="A1668" s="663" t="s">
        <v>2352</v>
      </c>
      <c r="B1668" s="663" t="s">
        <v>1192</v>
      </c>
      <c r="C1668" s="663" t="s">
        <v>48</v>
      </c>
      <c r="D1668" s="663" t="s">
        <v>599</v>
      </c>
      <c r="E1668" s="664" t="s">
        <v>338</v>
      </c>
      <c r="F1668" s="665">
        <v>1859.0</v>
      </c>
      <c r="G1668" s="665">
        <v>1.0</v>
      </c>
      <c r="H1668" s="665">
        <v>0.05</v>
      </c>
      <c r="I1668" s="665">
        <v>0.01</v>
      </c>
      <c r="J1668" s="665">
        <v>0.01</v>
      </c>
      <c r="K1668" s="665">
        <v>2.0</v>
      </c>
      <c r="L1668" s="665">
        <v>23437.0</v>
      </c>
      <c r="M1668" s="665">
        <v>0.0</v>
      </c>
      <c r="N1668" s="1">
        <v>2.0</v>
      </c>
      <c r="O1668" s="1">
        <v>2.0</v>
      </c>
      <c r="P1668" s="1">
        <v>23437.0</v>
      </c>
      <c r="Q1668" s="1">
        <v>0.0011</v>
      </c>
      <c r="R1668" s="1">
        <v>8767.0</v>
      </c>
    </row>
    <row r="1669">
      <c r="A1669" s="663" t="s">
        <v>2352</v>
      </c>
      <c r="B1669" s="663" t="s">
        <v>1192</v>
      </c>
      <c r="C1669" s="663" t="s">
        <v>48</v>
      </c>
      <c r="D1669" s="663" t="s">
        <v>599</v>
      </c>
      <c r="E1669" s="664" t="s">
        <v>393</v>
      </c>
      <c r="F1669" s="665">
        <v>1859.0</v>
      </c>
      <c r="G1669" s="665">
        <v>1.0</v>
      </c>
      <c r="H1669" s="665">
        <v>0.05</v>
      </c>
      <c r="I1669" s="665">
        <v>0.0</v>
      </c>
      <c r="J1669" s="665">
        <v>0.0</v>
      </c>
      <c r="K1669" s="665">
        <v>1.0</v>
      </c>
      <c r="L1669" s="665">
        <v>23437.0</v>
      </c>
      <c r="M1669" s="665">
        <v>0.0</v>
      </c>
      <c r="N1669" s="1">
        <v>1.0</v>
      </c>
      <c r="O1669" s="1">
        <v>1.0</v>
      </c>
      <c r="P1669" s="1">
        <v>23437.0</v>
      </c>
      <c r="Q1669" s="1">
        <v>5.0E-4</v>
      </c>
      <c r="R1669" s="1">
        <v>8767.0</v>
      </c>
    </row>
    <row r="1670">
      <c r="A1670" s="663" t="s">
        <v>2352</v>
      </c>
      <c r="B1670" s="663" t="s">
        <v>1192</v>
      </c>
      <c r="C1670" s="663" t="s">
        <v>54</v>
      </c>
      <c r="D1670" s="663" t="s">
        <v>599</v>
      </c>
      <c r="E1670" s="664" t="s">
        <v>14</v>
      </c>
      <c r="F1670" s="665">
        <v>1707.0</v>
      </c>
      <c r="G1670" s="665">
        <v>1220.0</v>
      </c>
      <c r="H1670" s="665">
        <v>71.47</v>
      </c>
      <c r="I1670" s="665">
        <v>18.32</v>
      </c>
      <c r="J1670" s="665">
        <v>19.53</v>
      </c>
      <c r="K1670" s="665">
        <v>2107.0</v>
      </c>
      <c r="L1670" s="665">
        <v>11503.0</v>
      </c>
      <c r="M1670" s="665">
        <v>1.23</v>
      </c>
      <c r="N1670" s="1">
        <v>1.727</v>
      </c>
      <c r="O1670" s="1">
        <v>2107.0</v>
      </c>
      <c r="P1670" s="1">
        <v>11503.0</v>
      </c>
      <c r="Q1670" s="1">
        <v>1.2343</v>
      </c>
      <c r="R1670" s="1">
        <v>8767.0</v>
      </c>
    </row>
    <row r="1671">
      <c r="A1671" s="663" t="s">
        <v>2352</v>
      </c>
      <c r="B1671" s="663" t="s">
        <v>1192</v>
      </c>
      <c r="C1671" s="663" t="s">
        <v>54</v>
      </c>
      <c r="D1671" s="663" t="s">
        <v>599</v>
      </c>
      <c r="E1671" s="664" t="s">
        <v>396</v>
      </c>
      <c r="F1671" s="665">
        <v>1707.0</v>
      </c>
      <c r="G1671" s="665">
        <v>1037.0</v>
      </c>
      <c r="H1671" s="665">
        <v>60.75</v>
      </c>
      <c r="I1671" s="665">
        <v>15.07</v>
      </c>
      <c r="J1671" s="665">
        <v>18.35</v>
      </c>
      <c r="K1671" s="665">
        <v>1734.0</v>
      </c>
      <c r="L1671" s="665">
        <v>11503.0</v>
      </c>
      <c r="M1671" s="665">
        <v>1.02</v>
      </c>
      <c r="N1671" s="1">
        <v>1.6721</v>
      </c>
      <c r="O1671" s="1">
        <v>1734.0</v>
      </c>
      <c r="P1671" s="1">
        <v>11503.0</v>
      </c>
      <c r="Q1671" s="1">
        <v>1.0158</v>
      </c>
      <c r="R1671" s="1">
        <v>8767.0</v>
      </c>
    </row>
    <row r="1672">
      <c r="A1672" s="663" t="s">
        <v>2352</v>
      </c>
      <c r="B1672" s="663" t="s">
        <v>1192</v>
      </c>
      <c r="C1672" s="663" t="s">
        <v>54</v>
      </c>
      <c r="D1672" s="663" t="s">
        <v>599</v>
      </c>
      <c r="E1672" s="664" t="s">
        <v>16</v>
      </c>
      <c r="F1672" s="665">
        <v>1707.0</v>
      </c>
      <c r="G1672" s="665">
        <v>815.0</v>
      </c>
      <c r="H1672" s="665">
        <v>47.74</v>
      </c>
      <c r="I1672" s="665">
        <v>13.3</v>
      </c>
      <c r="J1672" s="665">
        <v>13.47</v>
      </c>
      <c r="K1672" s="665">
        <v>1530.0</v>
      </c>
      <c r="L1672" s="665">
        <v>11503.0</v>
      </c>
      <c r="M1672" s="665">
        <v>0.9</v>
      </c>
      <c r="N1672" s="1">
        <v>1.8773</v>
      </c>
      <c r="O1672" s="1">
        <v>1530.0</v>
      </c>
      <c r="P1672" s="1">
        <v>11503.0</v>
      </c>
      <c r="Q1672" s="1">
        <v>0.8963</v>
      </c>
      <c r="R1672" s="1">
        <v>8767.0</v>
      </c>
    </row>
    <row r="1673">
      <c r="A1673" s="663" t="s">
        <v>2352</v>
      </c>
      <c r="B1673" s="663" t="s">
        <v>1192</v>
      </c>
      <c r="C1673" s="663" t="s">
        <v>54</v>
      </c>
      <c r="D1673" s="663" t="s">
        <v>599</v>
      </c>
      <c r="E1673" s="664" t="s">
        <v>9</v>
      </c>
      <c r="F1673" s="665">
        <v>1707.0</v>
      </c>
      <c r="G1673" s="665">
        <v>1087.0</v>
      </c>
      <c r="H1673" s="665">
        <v>63.68</v>
      </c>
      <c r="I1673" s="665">
        <v>13.14</v>
      </c>
      <c r="J1673" s="665">
        <v>13.45</v>
      </c>
      <c r="K1673" s="665">
        <v>1511.0</v>
      </c>
      <c r="L1673" s="665">
        <v>11503.0</v>
      </c>
      <c r="M1673" s="665">
        <v>0.89</v>
      </c>
      <c r="N1673" s="1">
        <v>1.3901</v>
      </c>
      <c r="O1673" s="1">
        <v>1511.0</v>
      </c>
      <c r="P1673" s="1">
        <v>11503.0</v>
      </c>
      <c r="Q1673" s="1">
        <v>0.8852</v>
      </c>
      <c r="R1673" s="1">
        <v>8767.0</v>
      </c>
    </row>
    <row r="1674">
      <c r="A1674" s="663" t="s">
        <v>2352</v>
      </c>
      <c r="B1674" s="663" t="s">
        <v>1192</v>
      </c>
      <c r="C1674" s="663" t="s">
        <v>54</v>
      </c>
      <c r="D1674" s="663" t="s">
        <v>599</v>
      </c>
      <c r="E1674" s="664" t="s">
        <v>42</v>
      </c>
      <c r="F1674" s="665">
        <v>1707.0</v>
      </c>
      <c r="G1674" s="665">
        <v>567.0</v>
      </c>
      <c r="H1674" s="665">
        <v>33.22</v>
      </c>
      <c r="I1674" s="665">
        <v>6.73</v>
      </c>
      <c r="J1674" s="665">
        <v>8.09</v>
      </c>
      <c r="K1674" s="665">
        <v>774.0</v>
      </c>
      <c r="L1674" s="665">
        <v>11503.0</v>
      </c>
      <c r="M1674" s="665">
        <v>0.45</v>
      </c>
      <c r="N1674" s="1">
        <v>1.3651</v>
      </c>
      <c r="O1674" s="1">
        <v>774.0</v>
      </c>
      <c r="P1674" s="1">
        <v>11503.0</v>
      </c>
      <c r="Q1674" s="1">
        <v>0.4534</v>
      </c>
      <c r="R1674" s="1">
        <v>8767.0</v>
      </c>
    </row>
    <row r="1675">
      <c r="A1675" s="663" t="s">
        <v>2352</v>
      </c>
      <c r="B1675" s="663" t="s">
        <v>1192</v>
      </c>
      <c r="C1675" s="663" t="s">
        <v>54</v>
      </c>
      <c r="D1675" s="663" t="s">
        <v>599</v>
      </c>
      <c r="E1675" s="664" t="s">
        <v>413</v>
      </c>
      <c r="F1675" s="665">
        <v>1707.0</v>
      </c>
      <c r="G1675" s="665">
        <v>236.0</v>
      </c>
      <c r="H1675" s="665">
        <v>13.83</v>
      </c>
      <c r="I1675" s="665">
        <v>5.48</v>
      </c>
      <c r="J1675" s="665">
        <v>4.26</v>
      </c>
      <c r="K1675" s="665">
        <v>630.0</v>
      </c>
      <c r="L1675" s="665">
        <v>11503.0</v>
      </c>
      <c r="M1675" s="665">
        <v>0.37</v>
      </c>
      <c r="N1675" s="1">
        <v>2.6695</v>
      </c>
      <c r="O1675" s="1">
        <v>630.0</v>
      </c>
      <c r="P1675" s="1">
        <v>11503.0</v>
      </c>
      <c r="Q1675" s="1">
        <v>0.3691</v>
      </c>
      <c r="R1675" s="1">
        <v>8767.0</v>
      </c>
    </row>
    <row r="1676">
      <c r="A1676" s="663" t="s">
        <v>2352</v>
      </c>
      <c r="B1676" s="663" t="s">
        <v>1192</v>
      </c>
      <c r="C1676" s="663" t="s">
        <v>54</v>
      </c>
      <c r="D1676" s="663" t="s">
        <v>599</v>
      </c>
      <c r="E1676" s="664" t="s">
        <v>63</v>
      </c>
      <c r="F1676" s="665">
        <v>1707.0</v>
      </c>
      <c r="G1676" s="665">
        <v>457.0</v>
      </c>
      <c r="H1676" s="665">
        <v>26.77</v>
      </c>
      <c r="I1676" s="665">
        <v>5.31</v>
      </c>
      <c r="J1676" s="665">
        <v>4.61</v>
      </c>
      <c r="K1676" s="665">
        <v>611.0</v>
      </c>
      <c r="L1676" s="665">
        <v>11503.0</v>
      </c>
      <c r="M1676" s="665">
        <v>0.36</v>
      </c>
      <c r="N1676" s="1">
        <v>1.337</v>
      </c>
      <c r="O1676" s="1">
        <v>611.0</v>
      </c>
      <c r="P1676" s="1">
        <v>11503.0</v>
      </c>
      <c r="Q1676" s="1">
        <v>0.3579</v>
      </c>
      <c r="R1676" s="1">
        <v>8767.0</v>
      </c>
    </row>
    <row r="1677">
      <c r="A1677" s="663" t="s">
        <v>2352</v>
      </c>
      <c r="B1677" s="663" t="s">
        <v>1192</v>
      </c>
      <c r="C1677" s="663" t="s">
        <v>54</v>
      </c>
      <c r="D1677" s="663" t="s">
        <v>599</v>
      </c>
      <c r="E1677" s="664" t="s">
        <v>411</v>
      </c>
      <c r="F1677" s="665">
        <v>1707.0</v>
      </c>
      <c r="G1677" s="665">
        <v>429.0</v>
      </c>
      <c r="H1677" s="665">
        <v>25.13</v>
      </c>
      <c r="I1677" s="665">
        <v>5.22</v>
      </c>
      <c r="J1677" s="665">
        <v>4.0</v>
      </c>
      <c r="K1677" s="665">
        <v>600.0</v>
      </c>
      <c r="L1677" s="665">
        <v>11503.0</v>
      </c>
      <c r="M1677" s="665">
        <v>0.35</v>
      </c>
      <c r="N1677" s="1">
        <v>1.3986</v>
      </c>
      <c r="O1677" s="1">
        <v>600.0</v>
      </c>
      <c r="P1677" s="1">
        <v>11503.0</v>
      </c>
      <c r="Q1677" s="1">
        <v>0.3515</v>
      </c>
      <c r="R1677" s="1">
        <v>8767.0</v>
      </c>
    </row>
    <row r="1678">
      <c r="A1678" s="663" t="s">
        <v>2352</v>
      </c>
      <c r="B1678" s="663" t="s">
        <v>1192</v>
      </c>
      <c r="C1678" s="663" t="s">
        <v>54</v>
      </c>
      <c r="D1678" s="663" t="s">
        <v>599</v>
      </c>
      <c r="E1678" s="664" t="s">
        <v>393</v>
      </c>
      <c r="F1678" s="665">
        <v>1707.0</v>
      </c>
      <c r="G1678" s="665">
        <v>254.0</v>
      </c>
      <c r="H1678" s="665">
        <v>14.88</v>
      </c>
      <c r="I1678" s="665">
        <v>3.5</v>
      </c>
      <c r="J1678" s="665">
        <v>2.81</v>
      </c>
      <c r="K1678" s="665">
        <v>403.0</v>
      </c>
      <c r="L1678" s="665">
        <v>11503.0</v>
      </c>
      <c r="M1678" s="665">
        <v>0.24</v>
      </c>
      <c r="N1678" s="1">
        <v>1.5866</v>
      </c>
      <c r="O1678" s="1">
        <v>403.0</v>
      </c>
      <c r="P1678" s="1">
        <v>11503.0</v>
      </c>
      <c r="Q1678" s="1">
        <v>0.2361</v>
      </c>
      <c r="R1678" s="1">
        <v>8767.0</v>
      </c>
    </row>
    <row r="1679">
      <c r="A1679" s="663" t="s">
        <v>2352</v>
      </c>
      <c r="B1679" s="663" t="s">
        <v>1192</v>
      </c>
      <c r="C1679" s="663" t="s">
        <v>54</v>
      </c>
      <c r="D1679" s="663" t="s">
        <v>599</v>
      </c>
      <c r="E1679" s="664" t="s">
        <v>15</v>
      </c>
      <c r="F1679" s="665">
        <v>1707.0</v>
      </c>
      <c r="G1679" s="665">
        <v>288.0</v>
      </c>
      <c r="H1679" s="665">
        <v>16.87</v>
      </c>
      <c r="I1679" s="665">
        <v>3.29</v>
      </c>
      <c r="J1679" s="665">
        <v>3.25</v>
      </c>
      <c r="K1679" s="665">
        <v>379.0</v>
      </c>
      <c r="L1679" s="665">
        <v>11503.0</v>
      </c>
      <c r="M1679" s="665">
        <v>0.22</v>
      </c>
      <c r="N1679" s="1">
        <v>1.316</v>
      </c>
      <c r="O1679" s="1">
        <v>379.0</v>
      </c>
      <c r="P1679" s="1">
        <v>11503.0</v>
      </c>
      <c r="Q1679" s="1">
        <v>0.222</v>
      </c>
      <c r="R1679" s="1">
        <v>8767.0</v>
      </c>
    </row>
    <row r="1680">
      <c r="A1680" s="663" t="s">
        <v>2352</v>
      </c>
      <c r="B1680" s="663" t="s">
        <v>1192</v>
      </c>
      <c r="C1680" s="663" t="s">
        <v>54</v>
      </c>
      <c r="D1680" s="663" t="s">
        <v>599</v>
      </c>
      <c r="E1680" s="664" t="s">
        <v>398</v>
      </c>
      <c r="F1680" s="665">
        <v>1707.0</v>
      </c>
      <c r="G1680" s="665">
        <v>204.0</v>
      </c>
      <c r="H1680" s="665">
        <v>11.95</v>
      </c>
      <c r="I1680" s="665">
        <v>3.08</v>
      </c>
      <c r="J1680" s="665">
        <v>1.41</v>
      </c>
      <c r="K1680" s="665">
        <v>354.0</v>
      </c>
      <c r="L1680" s="665">
        <v>11503.0</v>
      </c>
      <c r="M1680" s="665">
        <v>0.21</v>
      </c>
      <c r="N1680" s="1">
        <v>1.7353</v>
      </c>
      <c r="O1680" s="1">
        <v>354.0</v>
      </c>
      <c r="P1680" s="1">
        <v>11503.0</v>
      </c>
      <c r="Q1680" s="1">
        <v>0.2074</v>
      </c>
      <c r="R1680" s="1">
        <v>8767.0</v>
      </c>
    </row>
    <row r="1681">
      <c r="A1681" s="663" t="s">
        <v>2352</v>
      </c>
      <c r="B1681" s="663" t="s">
        <v>1192</v>
      </c>
      <c r="C1681" s="663" t="s">
        <v>54</v>
      </c>
      <c r="D1681" s="663" t="s">
        <v>599</v>
      </c>
      <c r="E1681" s="664" t="s">
        <v>338</v>
      </c>
      <c r="F1681" s="665">
        <v>1707.0</v>
      </c>
      <c r="G1681" s="665">
        <v>179.0</v>
      </c>
      <c r="H1681" s="665">
        <v>10.49</v>
      </c>
      <c r="I1681" s="665">
        <v>1.71</v>
      </c>
      <c r="J1681" s="665">
        <v>1.67</v>
      </c>
      <c r="K1681" s="665">
        <v>197.0</v>
      </c>
      <c r="L1681" s="665">
        <v>11503.0</v>
      </c>
      <c r="M1681" s="665">
        <v>0.12</v>
      </c>
      <c r="N1681" s="1">
        <v>1.1006</v>
      </c>
      <c r="O1681" s="1">
        <v>197.0</v>
      </c>
      <c r="P1681" s="1">
        <v>11503.0</v>
      </c>
      <c r="Q1681" s="1">
        <v>0.1154</v>
      </c>
      <c r="R1681" s="1">
        <v>8767.0</v>
      </c>
    </row>
    <row r="1682">
      <c r="A1682" s="663" t="s">
        <v>2352</v>
      </c>
      <c r="B1682" s="663" t="s">
        <v>1192</v>
      </c>
      <c r="C1682" s="663" t="s">
        <v>54</v>
      </c>
      <c r="D1682" s="663" t="s">
        <v>599</v>
      </c>
      <c r="E1682" s="664" t="s">
        <v>329</v>
      </c>
      <c r="F1682" s="665">
        <v>1707.0</v>
      </c>
      <c r="G1682" s="665">
        <v>169.0</v>
      </c>
      <c r="H1682" s="665">
        <v>9.9</v>
      </c>
      <c r="I1682" s="665">
        <v>1.68</v>
      </c>
      <c r="J1682" s="665">
        <v>1.73</v>
      </c>
      <c r="K1682" s="665">
        <v>193.0</v>
      </c>
      <c r="L1682" s="665">
        <v>11503.0</v>
      </c>
      <c r="M1682" s="665">
        <v>0.11</v>
      </c>
      <c r="N1682" s="1">
        <v>1.142</v>
      </c>
      <c r="O1682" s="1">
        <v>193.0</v>
      </c>
      <c r="P1682" s="1">
        <v>11503.0</v>
      </c>
      <c r="Q1682" s="1">
        <v>0.1131</v>
      </c>
      <c r="R1682" s="1">
        <v>8767.0</v>
      </c>
    </row>
    <row r="1683">
      <c r="A1683" s="663" t="s">
        <v>2352</v>
      </c>
      <c r="B1683" s="663" t="s">
        <v>1192</v>
      </c>
      <c r="C1683" s="663" t="s">
        <v>54</v>
      </c>
      <c r="D1683" s="663" t="s">
        <v>599</v>
      </c>
      <c r="E1683" s="664" t="s">
        <v>341</v>
      </c>
      <c r="F1683" s="665">
        <v>1707.0</v>
      </c>
      <c r="G1683" s="665">
        <v>167.0</v>
      </c>
      <c r="H1683" s="665">
        <v>9.78</v>
      </c>
      <c r="I1683" s="665">
        <v>1.64</v>
      </c>
      <c r="J1683" s="665">
        <v>1.81</v>
      </c>
      <c r="K1683" s="665">
        <v>189.0</v>
      </c>
      <c r="L1683" s="665">
        <v>11503.0</v>
      </c>
      <c r="M1683" s="665">
        <v>0.11</v>
      </c>
      <c r="N1683" s="1">
        <v>1.1317</v>
      </c>
      <c r="O1683" s="1">
        <v>189.0</v>
      </c>
      <c r="P1683" s="1">
        <v>11503.0</v>
      </c>
      <c r="Q1683" s="1">
        <v>0.1107</v>
      </c>
      <c r="R1683" s="1">
        <v>8767.0</v>
      </c>
    </row>
    <row r="1684">
      <c r="A1684" s="663" t="s">
        <v>2352</v>
      </c>
      <c r="B1684" s="663" t="s">
        <v>1192</v>
      </c>
      <c r="C1684" s="663" t="s">
        <v>54</v>
      </c>
      <c r="D1684" s="663" t="s">
        <v>599</v>
      </c>
      <c r="E1684" s="664" t="s">
        <v>397</v>
      </c>
      <c r="F1684" s="665">
        <v>1707.0</v>
      </c>
      <c r="G1684" s="665">
        <v>109.0</v>
      </c>
      <c r="H1684" s="665">
        <v>6.39</v>
      </c>
      <c r="I1684" s="665">
        <v>0.96</v>
      </c>
      <c r="J1684" s="665">
        <v>0.6</v>
      </c>
      <c r="K1684" s="665">
        <v>110.0</v>
      </c>
      <c r="L1684" s="665">
        <v>11503.0</v>
      </c>
      <c r="M1684" s="665">
        <v>0.06</v>
      </c>
      <c r="N1684" s="1">
        <v>1.0092</v>
      </c>
      <c r="O1684" s="1">
        <v>110.0</v>
      </c>
      <c r="P1684" s="1">
        <v>11503.0</v>
      </c>
      <c r="Q1684" s="1">
        <v>0.0644</v>
      </c>
      <c r="R1684" s="1">
        <v>8767.0</v>
      </c>
    </row>
    <row r="1685">
      <c r="A1685" s="663" t="s">
        <v>2352</v>
      </c>
      <c r="B1685" s="663" t="s">
        <v>1192</v>
      </c>
      <c r="C1685" s="663" t="s">
        <v>54</v>
      </c>
      <c r="D1685" s="663" t="s">
        <v>599</v>
      </c>
      <c r="E1685" s="664" t="s">
        <v>401</v>
      </c>
      <c r="F1685" s="665">
        <v>1707.0</v>
      </c>
      <c r="G1685" s="665">
        <v>75.0</v>
      </c>
      <c r="H1685" s="665">
        <v>4.39</v>
      </c>
      <c r="I1685" s="665">
        <v>0.66</v>
      </c>
      <c r="J1685" s="665">
        <v>0.31</v>
      </c>
      <c r="K1685" s="665">
        <v>76.0</v>
      </c>
      <c r="L1685" s="665">
        <v>11503.0</v>
      </c>
      <c r="M1685" s="665">
        <v>0.04</v>
      </c>
      <c r="N1685" s="1">
        <v>1.0133</v>
      </c>
      <c r="O1685" s="1">
        <v>76.0</v>
      </c>
      <c r="P1685" s="1">
        <v>11503.0</v>
      </c>
      <c r="Q1685" s="1">
        <v>0.0445</v>
      </c>
      <c r="R1685" s="1">
        <v>8767.0</v>
      </c>
    </row>
    <row r="1686">
      <c r="A1686" s="663" t="s">
        <v>2352</v>
      </c>
      <c r="B1686" s="663" t="s">
        <v>1192</v>
      </c>
      <c r="C1686" s="663" t="s">
        <v>54</v>
      </c>
      <c r="D1686" s="663" t="s">
        <v>599</v>
      </c>
      <c r="E1686" s="664" t="s">
        <v>7</v>
      </c>
      <c r="F1686" s="665">
        <v>1707.0</v>
      </c>
      <c r="G1686" s="665">
        <v>55.0</v>
      </c>
      <c r="H1686" s="665">
        <v>3.22</v>
      </c>
      <c r="I1686" s="665">
        <v>0.53</v>
      </c>
      <c r="J1686" s="665">
        <v>0.34</v>
      </c>
      <c r="K1686" s="665">
        <v>61.0</v>
      </c>
      <c r="L1686" s="665">
        <v>11503.0</v>
      </c>
      <c r="M1686" s="665">
        <v>0.04</v>
      </c>
      <c r="N1686" s="1">
        <v>1.1091</v>
      </c>
      <c r="O1686" s="1">
        <v>61.0</v>
      </c>
      <c r="P1686" s="1">
        <v>11503.0</v>
      </c>
      <c r="Q1686" s="1">
        <v>0.0357</v>
      </c>
      <c r="R1686" s="1">
        <v>8767.0</v>
      </c>
    </row>
    <row r="1687">
      <c r="A1687" s="663" t="s">
        <v>2352</v>
      </c>
      <c r="B1687" s="663" t="s">
        <v>1192</v>
      </c>
      <c r="C1687" s="663" t="s">
        <v>54</v>
      </c>
      <c r="D1687" s="663" t="s">
        <v>599</v>
      </c>
      <c r="E1687" s="664" t="s">
        <v>206</v>
      </c>
      <c r="F1687" s="665">
        <v>1707.0</v>
      </c>
      <c r="G1687" s="665">
        <v>37.0</v>
      </c>
      <c r="H1687" s="665">
        <v>2.17</v>
      </c>
      <c r="I1687" s="665">
        <v>0.32</v>
      </c>
      <c r="J1687" s="665">
        <v>0.18</v>
      </c>
      <c r="K1687" s="665">
        <v>37.0</v>
      </c>
      <c r="L1687" s="665">
        <v>11503.0</v>
      </c>
      <c r="M1687" s="665">
        <v>0.02</v>
      </c>
      <c r="N1687" s="1">
        <v>1.0</v>
      </c>
      <c r="O1687" s="1">
        <v>37.0</v>
      </c>
      <c r="P1687" s="1">
        <v>11503.0</v>
      </c>
      <c r="Q1687" s="1">
        <v>0.0217</v>
      </c>
      <c r="R1687" s="1">
        <v>8767.0</v>
      </c>
    </row>
    <row r="1688">
      <c r="A1688" s="663" t="s">
        <v>2352</v>
      </c>
      <c r="B1688" s="663" t="s">
        <v>1192</v>
      </c>
      <c r="C1688" s="663" t="s">
        <v>54</v>
      </c>
      <c r="D1688" s="663" t="s">
        <v>599</v>
      </c>
      <c r="E1688" s="664" t="s">
        <v>418</v>
      </c>
      <c r="F1688" s="665">
        <v>1707.0</v>
      </c>
      <c r="G1688" s="665">
        <v>6.0</v>
      </c>
      <c r="H1688" s="665">
        <v>0.35</v>
      </c>
      <c r="I1688" s="665">
        <v>0.05</v>
      </c>
      <c r="J1688" s="665">
        <v>0.13</v>
      </c>
      <c r="K1688" s="665">
        <v>6.0</v>
      </c>
      <c r="L1688" s="665">
        <v>11503.0</v>
      </c>
      <c r="M1688" s="665">
        <v>0.0</v>
      </c>
      <c r="N1688" s="1">
        <v>1.0</v>
      </c>
      <c r="O1688" s="1">
        <v>6.0</v>
      </c>
      <c r="P1688" s="1">
        <v>11503.0</v>
      </c>
      <c r="Q1688" s="1">
        <v>0.0035</v>
      </c>
      <c r="R1688" s="1">
        <v>8767.0</v>
      </c>
    </row>
    <row r="1689">
      <c r="A1689" s="663" t="s">
        <v>2352</v>
      </c>
      <c r="B1689" s="663" t="s">
        <v>1192</v>
      </c>
      <c r="C1689" s="663" t="s">
        <v>54</v>
      </c>
      <c r="D1689" s="663" t="s">
        <v>599</v>
      </c>
      <c r="E1689" s="664" t="s">
        <v>151</v>
      </c>
      <c r="F1689" s="665">
        <v>1707.0</v>
      </c>
      <c r="G1689" s="665">
        <v>1.0</v>
      </c>
      <c r="H1689" s="665">
        <v>0.06</v>
      </c>
      <c r="I1689" s="665">
        <v>0.01</v>
      </c>
      <c r="J1689" s="665">
        <v>0.01</v>
      </c>
      <c r="K1689" s="665">
        <v>1.0</v>
      </c>
      <c r="L1689" s="665">
        <v>11503.0</v>
      </c>
      <c r="M1689" s="665">
        <v>0.0</v>
      </c>
      <c r="N1689" s="1">
        <v>1.0</v>
      </c>
      <c r="O1689" s="1">
        <v>1.0</v>
      </c>
      <c r="P1689" s="1">
        <v>11503.0</v>
      </c>
      <c r="Q1689" s="1">
        <v>6.0E-4</v>
      </c>
      <c r="R1689" s="1">
        <v>8767.0</v>
      </c>
    </row>
    <row r="1690">
      <c r="A1690" s="663" t="s">
        <v>2352</v>
      </c>
      <c r="B1690" s="663" t="s">
        <v>1192</v>
      </c>
      <c r="C1690" s="663" t="s">
        <v>1205</v>
      </c>
      <c r="D1690" s="663" t="s">
        <v>1205</v>
      </c>
      <c r="E1690" s="664" t="s">
        <v>398</v>
      </c>
      <c r="F1690" s="665">
        <v>1882.0</v>
      </c>
      <c r="G1690" s="665">
        <v>1534.0</v>
      </c>
      <c r="H1690" s="665">
        <v>81.51</v>
      </c>
      <c r="I1690" s="665">
        <v>20.72</v>
      </c>
      <c r="J1690" s="665">
        <v>16.57</v>
      </c>
      <c r="K1690" s="665">
        <v>516150.0</v>
      </c>
      <c r="L1690" s="665">
        <v>2490756.59</v>
      </c>
      <c r="M1690" s="665">
        <v>274.26</v>
      </c>
      <c r="N1690" s="1">
        <v>336.4733</v>
      </c>
      <c r="O1690" s="1">
        <v>516150.0</v>
      </c>
      <c r="P1690" s="1">
        <v>2525047.0</v>
      </c>
      <c r="Q1690" s="1">
        <v>274.2561</v>
      </c>
      <c r="R1690" s="1">
        <v>8767.0</v>
      </c>
    </row>
    <row r="1691">
      <c r="A1691" s="663" t="s">
        <v>2352</v>
      </c>
      <c r="B1691" s="663" t="s">
        <v>1192</v>
      </c>
      <c r="C1691" s="663" t="s">
        <v>1205</v>
      </c>
      <c r="D1691" s="663" t="s">
        <v>1205</v>
      </c>
      <c r="E1691" s="664" t="s">
        <v>396</v>
      </c>
      <c r="F1691" s="665">
        <v>1882.0</v>
      </c>
      <c r="G1691" s="665">
        <v>1673.0</v>
      </c>
      <c r="H1691" s="665">
        <v>88.89</v>
      </c>
      <c r="I1691" s="665">
        <v>16.93</v>
      </c>
      <c r="J1691" s="665">
        <v>18.96</v>
      </c>
      <c r="K1691" s="665">
        <v>421640.0</v>
      </c>
      <c r="L1691" s="665">
        <v>2490756.59</v>
      </c>
      <c r="M1691" s="665">
        <v>224.04</v>
      </c>
      <c r="N1691" s="1">
        <v>252.0263</v>
      </c>
      <c r="O1691" s="1">
        <v>421640.0</v>
      </c>
      <c r="P1691" s="1">
        <v>2525047.0</v>
      </c>
      <c r="Q1691" s="1">
        <v>224.0383</v>
      </c>
      <c r="R1691" s="1">
        <v>8767.0</v>
      </c>
    </row>
    <row r="1692">
      <c r="A1692" s="663" t="s">
        <v>2352</v>
      </c>
      <c r="B1692" s="663" t="s">
        <v>1192</v>
      </c>
      <c r="C1692" s="663" t="s">
        <v>1205</v>
      </c>
      <c r="D1692" s="663" t="s">
        <v>1205</v>
      </c>
      <c r="E1692" s="664" t="s">
        <v>418</v>
      </c>
      <c r="F1692" s="665">
        <v>1882.0</v>
      </c>
      <c r="G1692" s="665">
        <v>1852.0</v>
      </c>
      <c r="H1692" s="665">
        <v>98.41</v>
      </c>
      <c r="I1692" s="665">
        <v>11.43</v>
      </c>
      <c r="J1692" s="665">
        <v>11.99</v>
      </c>
      <c r="K1692" s="665">
        <v>284750.0</v>
      </c>
      <c r="L1692" s="665">
        <v>2490756.59</v>
      </c>
      <c r="M1692" s="665">
        <v>151.3</v>
      </c>
      <c r="N1692" s="1">
        <v>153.7527</v>
      </c>
      <c r="O1692" s="1">
        <v>284750.0</v>
      </c>
      <c r="P1692" s="1">
        <v>2525047.0</v>
      </c>
      <c r="Q1692" s="1">
        <v>151.3018</v>
      </c>
      <c r="R1692" s="1">
        <v>8767.0</v>
      </c>
    </row>
    <row r="1693">
      <c r="A1693" s="663" t="s">
        <v>2352</v>
      </c>
      <c r="B1693" s="663" t="s">
        <v>1192</v>
      </c>
      <c r="C1693" s="663" t="s">
        <v>1205</v>
      </c>
      <c r="D1693" s="663" t="s">
        <v>1205</v>
      </c>
      <c r="E1693" s="664" t="s">
        <v>397</v>
      </c>
      <c r="F1693" s="665">
        <v>1882.0</v>
      </c>
      <c r="G1693" s="665">
        <v>1630.0</v>
      </c>
      <c r="H1693" s="665">
        <v>86.61</v>
      </c>
      <c r="I1693" s="665">
        <v>5.22</v>
      </c>
      <c r="J1693" s="665">
        <v>5.61</v>
      </c>
      <c r="K1693" s="665">
        <v>130095.0</v>
      </c>
      <c r="L1693" s="665">
        <v>2490756.59</v>
      </c>
      <c r="M1693" s="665">
        <v>69.13</v>
      </c>
      <c r="N1693" s="1">
        <v>79.8129</v>
      </c>
      <c r="O1693" s="1">
        <v>130095.0</v>
      </c>
      <c r="P1693" s="1">
        <v>2525047.0</v>
      </c>
      <c r="Q1693" s="1">
        <v>69.1259</v>
      </c>
      <c r="R1693" s="1">
        <v>8767.0</v>
      </c>
    </row>
    <row r="1694">
      <c r="A1694" s="663" t="s">
        <v>2352</v>
      </c>
      <c r="B1694" s="663" t="s">
        <v>1192</v>
      </c>
      <c r="C1694" s="663" t="s">
        <v>1205</v>
      </c>
      <c r="D1694" s="663" t="s">
        <v>1205</v>
      </c>
      <c r="E1694" s="664" t="s">
        <v>413</v>
      </c>
      <c r="F1694" s="665">
        <v>1882.0</v>
      </c>
      <c r="G1694" s="665">
        <v>1334.0</v>
      </c>
      <c r="H1694" s="665">
        <v>70.88</v>
      </c>
      <c r="I1694" s="665">
        <v>5.07</v>
      </c>
      <c r="J1694" s="665">
        <v>6.6</v>
      </c>
      <c r="K1694" s="665">
        <v>126210.0</v>
      </c>
      <c r="L1694" s="665">
        <v>2490756.59</v>
      </c>
      <c r="M1694" s="665">
        <v>67.06</v>
      </c>
      <c r="N1694" s="1">
        <v>94.6102</v>
      </c>
      <c r="O1694" s="1">
        <v>126210.0</v>
      </c>
      <c r="P1694" s="1">
        <v>2525047.0</v>
      </c>
      <c r="Q1694" s="1">
        <v>67.0616</v>
      </c>
      <c r="R1694" s="1">
        <v>8767.0</v>
      </c>
    </row>
    <row r="1695">
      <c r="A1695" s="663" t="s">
        <v>2352</v>
      </c>
      <c r="B1695" s="663" t="s">
        <v>1192</v>
      </c>
      <c r="C1695" s="663" t="s">
        <v>1205</v>
      </c>
      <c r="D1695" s="663" t="s">
        <v>1205</v>
      </c>
      <c r="E1695" s="664" t="s">
        <v>411</v>
      </c>
      <c r="F1695" s="665">
        <v>1882.0</v>
      </c>
      <c r="G1695" s="665">
        <v>1027.0</v>
      </c>
      <c r="H1695" s="665">
        <v>54.57</v>
      </c>
      <c r="I1695" s="665">
        <v>4.71</v>
      </c>
      <c r="J1695" s="665">
        <v>4.37</v>
      </c>
      <c r="K1695" s="665">
        <v>117277.0</v>
      </c>
      <c r="L1695" s="665">
        <v>2490756.59</v>
      </c>
      <c r="M1695" s="665">
        <v>62.32</v>
      </c>
      <c r="N1695" s="1">
        <v>114.1938</v>
      </c>
      <c r="O1695" s="1">
        <v>117277.0</v>
      </c>
      <c r="P1695" s="1">
        <v>2525047.0</v>
      </c>
      <c r="Q1695" s="1">
        <v>62.3151</v>
      </c>
      <c r="R1695" s="1">
        <v>8767.0</v>
      </c>
    </row>
    <row r="1696">
      <c r="A1696" s="663" t="s">
        <v>2352</v>
      </c>
      <c r="B1696" s="663" t="s">
        <v>1192</v>
      </c>
      <c r="C1696" s="663" t="s">
        <v>1205</v>
      </c>
      <c r="D1696" s="663" t="s">
        <v>1205</v>
      </c>
      <c r="E1696" s="664" t="s">
        <v>16</v>
      </c>
      <c r="F1696" s="665">
        <v>1882.0</v>
      </c>
      <c r="G1696" s="665">
        <v>818.0</v>
      </c>
      <c r="H1696" s="665">
        <v>43.46</v>
      </c>
      <c r="I1696" s="665">
        <v>4.69</v>
      </c>
      <c r="J1696" s="665">
        <v>5.46</v>
      </c>
      <c r="K1696" s="665">
        <v>116930.0</v>
      </c>
      <c r="L1696" s="665">
        <v>2490756.59</v>
      </c>
      <c r="M1696" s="665">
        <v>62.13</v>
      </c>
      <c r="N1696" s="1">
        <v>142.9462</v>
      </c>
      <c r="O1696" s="1">
        <v>116930.0</v>
      </c>
      <c r="P1696" s="1">
        <v>2525047.0</v>
      </c>
      <c r="Q1696" s="1">
        <v>62.1307</v>
      </c>
      <c r="R1696" s="1">
        <v>8767.0</v>
      </c>
    </row>
    <row r="1697">
      <c r="A1697" s="663" t="s">
        <v>2352</v>
      </c>
      <c r="B1697" s="663" t="s">
        <v>1192</v>
      </c>
      <c r="C1697" s="663" t="s">
        <v>1205</v>
      </c>
      <c r="D1697" s="663" t="s">
        <v>1205</v>
      </c>
      <c r="E1697" s="664" t="s">
        <v>15</v>
      </c>
      <c r="F1697" s="665">
        <v>1882.0</v>
      </c>
      <c r="G1697" s="665">
        <v>791.0</v>
      </c>
      <c r="H1697" s="665">
        <v>42.03</v>
      </c>
      <c r="I1697" s="665">
        <v>4.45</v>
      </c>
      <c r="J1697" s="665">
        <v>4.15</v>
      </c>
      <c r="K1697" s="665">
        <v>110810.0</v>
      </c>
      <c r="L1697" s="665">
        <v>2490756.59</v>
      </c>
      <c r="M1697" s="665">
        <v>58.88</v>
      </c>
      <c r="N1697" s="1">
        <v>140.0885</v>
      </c>
      <c r="O1697" s="1">
        <v>110810.0</v>
      </c>
      <c r="P1697" s="1">
        <v>2525047.0</v>
      </c>
      <c r="Q1697" s="1">
        <v>58.8789</v>
      </c>
      <c r="R1697" s="1">
        <v>8767.0</v>
      </c>
    </row>
    <row r="1698">
      <c r="A1698" s="663" t="s">
        <v>2352</v>
      </c>
      <c r="B1698" s="663" t="s">
        <v>1192</v>
      </c>
      <c r="C1698" s="663" t="s">
        <v>1205</v>
      </c>
      <c r="D1698" s="663" t="s">
        <v>1205</v>
      </c>
      <c r="E1698" s="664" t="s">
        <v>14</v>
      </c>
      <c r="F1698" s="665">
        <v>1882.0</v>
      </c>
      <c r="G1698" s="665">
        <v>1476.0</v>
      </c>
      <c r="H1698" s="665">
        <v>78.43</v>
      </c>
      <c r="I1698" s="665">
        <v>4.13</v>
      </c>
      <c r="J1698" s="665">
        <v>4.88</v>
      </c>
      <c r="K1698" s="665">
        <v>102989.59</v>
      </c>
      <c r="L1698" s="665">
        <v>2490756.59</v>
      </c>
      <c r="M1698" s="665">
        <v>54.72</v>
      </c>
      <c r="N1698" s="1">
        <v>69.7761</v>
      </c>
      <c r="O1698" s="1">
        <v>137280.0</v>
      </c>
      <c r="P1698" s="1">
        <v>2525047.0</v>
      </c>
      <c r="Q1698" s="1">
        <v>72.9437</v>
      </c>
      <c r="R1698" s="1">
        <v>8767.0</v>
      </c>
    </row>
    <row r="1699">
      <c r="A1699" s="663" t="s">
        <v>2352</v>
      </c>
      <c r="B1699" s="663" t="s">
        <v>1192</v>
      </c>
      <c r="C1699" s="663" t="s">
        <v>1205</v>
      </c>
      <c r="D1699" s="663" t="s">
        <v>1205</v>
      </c>
      <c r="E1699" s="664" t="s">
        <v>63</v>
      </c>
      <c r="F1699" s="665">
        <v>1882.0</v>
      </c>
      <c r="G1699" s="665">
        <v>849.0</v>
      </c>
      <c r="H1699" s="665">
        <v>45.11</v>
      </c>
      <c r="I1699" s="665">
        <v>3.87</v>
      </c>
      <c r="J1699" s="665">
        <v>3.43</v>
      </c>
      <c r="K1699" s="665">
        <v>96500.0</v>
      </c>
      <c r="L1699" s="665">
        <v>2490756.59</v>
      </c>
      <c r="M1699" s="665">
        <v>51.28</v>
      </c>
      <c r="N1699" s="1">
        <v>113.6631</v>
      </c>
      <c r="O1699" s="1">
        <v>96500.0</v>
      </c>
      <c r="P1699" s="1">
        <v>2525047.0</v>
      </c>
      <c r="Q1699" s="1">
        <v>51.2752</v>
      </c>
      <c r="R1699" s="1">
        <v>8767.0</v>
      </c>
    </row>
    <row r="1700">
      <c r="A1700" s="663" t="s">
        <v>2352</v>
      </c>
      <c r="B1700" s="663" t="s">
        <v>1192</v>
      </c>
      <c r="C1700" s="663" t="s">
        <v>1205</v>
      </c>
      <c r="D1700" s="663" t="s">
        <v>1205</v>
      </c>
      <c r="E1700" s="664" t="s">
        <v>9</v>
      </c>
      <c r="F1700" s="665">
        <v>1882.0</v>
      </c>
      <c r="G1700" s="665">
        <v>1316.0</v>
      </c>
      <c r="H1700" s="665">
        <v>69.93</v>
      </c>
      <c r="I1700" s="665">
        <v>2.86</v>
      </c>
      <c r="J1700" s="665">
        <v>2.94</v>
      </c>
      <c r="K1700" s="665">
        <v>71310.0</v>
      </c>
      <c r="L1700" s="665">
        <v>2490756.59</v>
      </c>
      <c r="M1700" s="665">
        <v>37.89</v>
      </c>
      <c r="N1700" s="1">
        <v>54.1869</v>
      </c>
      <c r="O1700" s="1">
        <v>71310.0</v>
      </c>
      <c r="P1700" s="1">
        <v>2525047.0</v>
      </c>
      <c r="Q1700" s="1">
        <v>37.8905</v>
      </c>
      <c r="R1700" s="1">
        <v>8767.0</v>
      </c>
    </row>
    <row r="1701">
      <c r="A1701" s="663" t="s">
        <v>2352</v>
      </c>
      <c r="B1701" s="663" t="s">
        <v>1192</v>
      </c>
      <c r="C1701" s="663" t="s">
        <v>1205</v>
      </c>
      <c r="D1701" s="663" t="s">
        <v>1205</v>
      </c>
      <c r="E1701" s="664" t="s">
        <v>42</v>
      </c>
      <c r="F1701" s="665">
        <v>1882.0</v>
      </c>
      <c r="G1701" s="665">
        <v>1061.0</v>
      </c>
      <c r="H1701" s="665">
        <v>56.38</v>
      </c>
      <c r="I1701" s="665">
        <v>2.5</v>
      </c>
      <c r="J1701" s="665">
        <v>2.87</v>
      </c>
      <c r="K1701" s="665">
        <v>62170.0</v>
      </c>
      <c r="L1701" s="665">
        <v>2490756.59</v>
      </c>
      <c r="M1701" s="665">
        <v>33.03</v>
      </c>
      <c r="N1701" s="1">
        <v>58.5957</v>
      </c>
      <c r="O1701" s="1">
        <v>62170.0</v>
      </c>
      <c r="P1701" s="1">
        <v>2525047.0</v>
      </c>
      <c r="Q1701" s="1">
        <v>33.034</v>
      </c>
      <c r="R1701" s="1">
        <v>8767.0</v>
      </c>
    </row>
    <row r="1702">
      <c r="A1702" s="663" t="s">
        <v>2352</v>
      </c>
      <c r="B1702" s="663" t="s">
        <v>1192</v>
      </c>
      <c r="C1702" s="663" t="s">
        <v>1205</v>
      </c>
      <c r="D1702" s="663" t="s">
        <v>1205</v>
      </c>
      <c r="E1702" s="664" t="s">
        <v>329</v>
      </c>
      <c r="F1702" s="665">
        <v>1882.0</v>
      </c>
      <c r="G1702" s="665">
        <v>380.0</v>
      </c>
      <c r="H1702" s="665">
        <v>20.19</v>
      </c>
      <c r="I1702" s="665">
        <v>2.45</v>
      </c>
      <c r="J1702" s="665">
        <v>2.43</v>
      </c>
      <c r="K1702" s="665">
        <v>60900.0</v>
      </c>
      <c r="L1702" s="665">
        <v>2490756.59</v>
      </c>
      <c r="M1702" s="665">
        <v>32.36</v>
      </c>
      <c r="N1702" s="1">
        <v>160.2632</v>
      </c>
      <c r="O1702" s="1">
        <v>60900.0</v>
      </c>
      <c r="P1702" s="1">
        <v>2525047.0</v>
      </c>
      <c r="Q1702" s="1">
        <v>32.3592</v>
      </c>
      <c r="R1702" s="1">
        <v>8767.0</v>
      </c>
    </row>
    <row r="1703">
      <c r="A1703" s="663" t="s">
        <v>2352</v>
      </c>
      <c r="B1703" s="663" t="s">
        <v>1192</v>
      </c>
      <c r="C1703" s="663" t="s">
        <v>1205</v>
      </c>
      <c r="D1703" s="663" t="s">
        <v>1205</v>
      </c>
      <c r="E1703" s="664" t="s">
        <v>338</v>
      </c>
      <c r="F1703" s="665">
        <v>1882.0</v>
      </c>
      <c r="G1703" s="665">
        <v>359.0</v>
      </c>
      <c r="H1703" s="665">
        <v>19.08</v>
      </c>
      <c r="I1703" s="665">
        <v>2.44</v>
      </c>
      <c r="J1703" s="665">
        <v>1.91</v>
      </c>
      <c r="K1703" s="665">
        <v>60750.0</v>
      </c>
      <c r="L1703" s="665">
        <v>2490756.59</v>
      </c>
      <c r="M1703" s="665">
        <v>32.28</v>
      </c>
      <c r="N1703" s="1">
        <v>169.2201</v>
      </c>
      <c r="O1703" s="1">
        <v>60750.0</v>
      </c>
      <c r="P1703" s="1">
        <v>2525047.0</v>
      </c>
      <c r="Q1703" s="1">
        <v>32.2795</v>
      </c>
      <c r="R1703" s="1">
        <v>8767.0</v>
      </c>
    </row>
    <row r="1704">
      <c r="A1704" s="663" t="s">
        <v>2352</v>
      </c>
      <c r="B1704" s="663" t="s">
        <v>1192</v>
      </c>
      <c r="C1704" s="663" t="s">
        <v>1205</v>
      </c>
      <c r="D1704" s="663" t="s">
        <v>1205</v>
      </c>
      <c r="E1704" s="664" t="s">
        <v>341</v>
      </c>
      <c r="F1704" s="665">
        <v>1882.0</v>
      </c>
      <c r="G1704" s="665">
        <v>360.0</v>
      </c>
      <c r="H1704" s="665">
        <v>19.13</v>
      </c>
      <c r="I1704" s="665">
        <v>2.35</v>
      </c>
      <c r="J1704" s="665">
        <v>2.15</v>
      </c>
      <c r="K1704" s="665">
        <v>58450.0</v>
      </c>
      <c r="L1704" s="665">
        <v>2490756.59</v>
      </c>
      <c r="M1704" s="665">
        <v>31.06</v>
      </c>
      <c r="N1704" s="1">
        <v>162.3611</v>
      </c>
      <c r="O1704" s="1">
        <v>58450.0</v>
      </c>
      <c r="P1704" s="1">
        <v>2525047.0</v>
      </c>
      <c r="Q1704" s="1">
        <v>31.0574</v>
      </c>
      <c r="R1704" s="1">
        <v>8767.0</v>
      </c>
    </row>
    <row r="1705">
      <c r="A1705" s="663" t="s">
        <v>2352</v>
      </c>
      <c r="B1705" s="663" t="s">
        <v>1192</v>
      </c>
      <c r="C1705" s="663" t="s">
        <v>1205</v>
      </c>
      <c r="D1705" s="663" t="s">
        <v>1205</v>
      </c>
      <c r="E1705" s="664" t="s">
        <v>7</v>
      </c>
      <c r="F1705" s="665">
        <v>1882.0</v>
      </c>
      <c r="G1705" s="665">
        <v>294.0</v>
      </c>
      <c r="H1705" s="665">
        <v>15.62</v>
      </c>
      <c r="I1705" s="665">
        <v>2.14</v>
      </c>
      <c r="J1705" s="665">
        <v>1.66</v>
      </c>
      <c r="K1705" s="665">
        <v>53425.0</v>
      </c>
      <c r="L1705" s="665">
        <v>2490756.59</v>
      </c>
      <c r="M1705" s="665">
        <v>28.39</v>
      </c>
      <c r="N1705" s="1">
        <v>181.7177</v>
      </c>
      <c r="O1705" s="1">
        <v>53425.0</v>
      </c>
      <c r="P1705" s="1">
        <v>2525047.0</v>
      </c>
      <c r="Q1705" s="1">
        <v>28.3874</v>
      </c>
      <c r="R1705" s="1">
        <v>8767.0</v>
      </c>
    </row>
    <row r="1706">
      <c r="A1706" s="663" t="s">
        <v>2352</v>
      </c>
      <c r="B1706" s="663" t="s">
        <v>1192</v>
      </c>
      <c r="C1706" s="663" t="s">
        <v>1205</v>
      </c>
      <c r="D1706" s="663" t="s">
        <v>1205</v>
      </c>
      <c r="E1706" s="664" t="s">
        <v>393</v>
      </c>
      <c r="F1706" s="665">
        <v>1882.0</v>
      </c>
      <c r="G1706" s="665">
        <v>792.0</v>
      </c>
      <c r="H1706" s="665">
        <v>42.08</v>
      </c>
      <c r="I1706" s="665">
        <v>1.75</v>
      </c>
      <c r="J1706" s="665">
        <v>1.69</v>
      </c>
      <c r="K1706" s="665">
        <v>43630.0</v>
      </c>
      <c r="L1706" s="665">
        <v>2490756.59</v>
      </c>
      <c r="M1706" s="665">
        <v>23.18</v>
      </c>
      <c r="N1706" s="1">
        <v>55.0884</v>
      </c>
      <c r="O1706" s="1">
        <v>43630.0</v>
      </c>
      <c r="P1706" s="1">
        <v>2525047.0</v>
      </c>
      <c r="Q1706" s="1">
        <v>23.1828</v>
      </c>
      <c r="R1706" s="1">
        <v>8767.0</v>
      </c>
    </row>
    <row r="1707">
      <c r="A1707" s="663" t="s">
        <v>2352</v>
      </c>
      <c r="B1707" s="663" t="s">
        <v>1192</v>
      </c>
      <c r="C1707" s="663" t="s">
        <v>1205</v>
      </c>
      <c r="D1707" s="663" t="s">
        <v>1205</v>
      </c>
      <c r="E1707" s="664" t="s">
        <v>401</v>
      </c>
      <c r="F1707" s="665">
        <v>1882.0</v>
      </c>
      <c r="G1707" s="665">
        <v>502.0</v>
      </c>
      <c r="H1707" s="665">
        <v>26.67</v>
      </c>
      <c r="I1707" s="665">
        <v>0.92</v>
      </c>
      <c r="J1707" s="665">
        <v>0.83</v>
      </c>
      <c r="K1707" s="665">
        <v>22825.0</v>
      </c>
      <c r="L1707" s="665">
        <v>2490756.59</v>
      </c>
      <c r="M1707" s="665">
        <v>12.13</v>
      </c>
      <c r="N1707" s="1">
        <v>45.4681</v>
      </c>
      <c r="O1707" s="1">
        <v>22825.0</v>
      </c>
      <c r="P1707" s="1">
        <v>2525047.0</v>
      </c>
      <c r="Q1707" s="1">
        <v>12.1281</v>
      </c>
      <c r="R1707" s="1">
        <v>8767.0</v>
      </c>
    </row>
    <row r="1708">
      <c r="A1708" s="663" t="s">
        <v>2352</v>
      </c>
      <c r="B1708" s="663" t="s">
        <v>1192</v>
      </c>
      <c r="C1708" s="663" t="s">
        <v>1205</v>
      </c>
      <c r="D1708" s="663" t="s">
        <v>1205</v>
      </c>
      <c r="E1708" s="664" t="s">
        <v>206</v>
      </c>
      <c r="F1708" s="665">
        <v>1882.0</v>
      </c>
      <c r="G1708" s="665">
        <v>507.0</v>
      </c>
      <c r="H1708" s="665">
        <v>26.94</v>
      </c>
      <c r="I1708" s="665">
        <v>0.77</v>
      </c>
      <c r="J1708" s="665">
        <v>0.78</v>
      </c>
      <c r="K1708" s="665">
        <v>19200.0</v>
      </c>
      <c r="L1708" s="665">
        <v>2490756.59</v>
      </c>
      <c r="M1708" s="665">
        <v>10.2</v>
      </c>
      <c r="N1708" s="1">
        <v>37.8698</v>
      </c>
      <c r="O1708" s="1">
        <v>19200.0</v>
      </c>
      <c r="P1708" s="1">
        <v>2525047.0</v>
      </c>
      <c r="Q1708" s="1">
        <v>10.2019</v>
      </c>
      <c r="R1708" s="1">
        <v>8767.0</v>
      </c>
    </row>
    <row r="1709">
      <c r="A1709" s="663" t="s">
        <v>2352</v>
      </c>
      <c r="B1709" s="663" t="s">
        <v>1192</v>
      </c>
      <c r="C1709" s="663" t="s">
        <v>1205</v>
      </c>
      <c r="D1709" s="663" t="s">
        <v>1205</v>
      </c>
      <c r="E1709" s="664" t="s">
        <v>73</v>
      </c>
      <c r="F1709" s="665">
        <v>1882.0</v>
      </c>
      <c r="G1709" s="665">
        <v>357.0</v>
      </c>
      <c r="H1709" s="665">
        <v>18.97</v>
      </c>
      <c r="I1709" s="665">
        <v>0.58</v>
      </c>
      <c r="J1709" s="665">
        <v>0.71</v>
      </c>
      <c r="K1709" s="665">
        <v>14400.0</v>
      </c>
      <c r="L1709" s="665">
        <v>2490756.59</v>
      </c>
      <c r="M1709" s="665">
        <v>7.65</v>
      </c>
      <c r="N1709" s="1">
        <v>40.3361</v>
      </c>
      <c r="O1709" s="1">
        <v>14400.0</v>
      </c>
      <c r="P1709" s="1">
        <v>2525047.0</v>
      </c>
      <c r="Q1709" s="1">
        <v>7.6514</v>
      </c>
      <c r="R1709" s="1">
        <v>8767.0</v>
      </c>
    </row>
    <row r="1710">
      <c r="A1710" s="663" t="s">
        <v>2352</v>
      </c>
      <c r="B1710" s="663" t="s">
        <v>1192</v>
      </c>
      <c r="C1710" s="663" t="s">
        <v>1205</v>
      </c>
      <c r="D1710" s="663" t="s">
        <v>1205</v>
      </c>
      <c r="E1710" s="664" t="s">
        <v>151</v>
      </c>
      <c r="F1710" s="665">
        <v>1882.0</v>
      </c>
      <c r="G1710" s="665">
        <v>4.0</v>
      </c>
      <c r="H1710" s="665">
        <v>0.21</v>
      </c>
      <c r="I1710" s="665">
        <v>0.01</v>
      </c>
      <c r="J1710" s="665">
        <v>0.02</v>
      </c>
      <c r="K1710" s="665">
        <v>345.0</v>
      </c>
      <c r="L1710" s="665">
        <v>2490756.59</v>
      </c>
      <c r="M1710" s="665">
        <v>0.18</v>
      </c>
      <c r="N1710" s="1">
        <v>86.25</v>
      </c>
      <c r="O1710" s="1">
        <v>345.0</v>
      </c>
      <c r="P1710" s="1">
        <v>2525047.0</v>
      </c>
      <c r="Q1710" s="1">
        <v>0.1833</v>
      </c>
      <c r="R1710" s="1">
        <v>8767.0</v>
      </c>
    </row>
    <row r="1711">
      <c r="A1711" s="663" t="s">
        <v>2352</v>
      </c>
      <c r="B1711" s="663" t="s">
        <v>1192</v>
      </c>
      <c r="C1711" s="663" t="s">
        <v>47</v>
      </c>
      <c r="D1711" s="663" t="s">
        <v>599</v>
      </c>
      <c r="E1711" s="664" t="s">
        <v>418</v>
      </c>
      <c r="F1711" s="665">
        <v>1858.0</v>
      </c>
      <c r="G1711" s="665">
        <v>1584.0</v>
      </c>
      <c r="H1711" s="665">
        <v>85.25</v>
      </c>
      <c r="I1711" s="665">
        <v>21.02</v>
      </c>
      <c r="J1711" s="665">
        <v>19.36</v>
      </c>
      <c r="K1711" s="665">
        <v>4872.0</v>
      </c>
      <c r="L1711" s="665">
        <v>23180.0</v>
      </c>
      <c r="M1711" s="665">
        <v>2.62</v>
      </c>
      <c r="N1711" s="1">
        <v>3.0758</v>
      </c>
      <c r="O1711" s="1">
        <v>4872.0</v>
      </c>
      <c r="P1711" s="1">
        <v>23180.0</v>
      </c>
      <c r="Q1711" s="1">
        <v>2.6222</v>
      </c>
      <c r="R1711" s="1">
        <v>8767.0</v>
      </c>
    </row>
    <row r="1712">
      <c r="A1712" s="663" t="s">
        <v>2352</v>
      </c>
      <c r="B1712" s="663" t="s">
        <v>1192</v>
      </c>
      <c r="C1712" s="663" t="s">
        <v>47</v>
      </c>
      <c r="D1712" s="663" t="s">
        <v>599</v>
      </c>
      <c r="E1712" s="664" t="s">
        <v>14</v>
      </c>
      <c r="F1712" s="665">
        <v>1858.0</v>
      </c>
      <c r="G1712" s="665">
        <v>1429.0</v>
      </c>
      <c r="H1712" s="665">
        <v>76.91</v>
      </c>
      <c r="I1712" s="665">
        <v>15.84</v>
      </c>
      <c r="J1712" s="665">
        <v>15.91</v>
      </c>
      <c r="K1712" s="665">
        <v>3671.0</v>
      </c>
      <c r="L1712" s="665">
        <v>23180.0</v>
      </c>
      <c r="M1712" s="665">
        <v>1.98</v>
      </c>
      <c r="N1712" s="1">
        <v>2.5689</v>
      </c>
      <c r="O1712" s="1">
        <v>3671.0</v>
      </c>
      <c r="P1712" s="1">
        <v>23180.0</v>
      </c>
      <c r="Q1712" s="1">
        <v>1.9758</v>
      </c>
      <c r="R1712" s="1">
        <v>8767.0</v>
      </c>
    </row>
    <row r="1713">
      <c r="A1713" s="663" t="s">
        <v>2352</v>
      </c>
      <c r="B1713" s="663" t="s">
        <v>1192</v>
      </c>
      <c r="C1713" s="663" t="s">
        <v>47</v>
      </c>
      <c r="D1713" s="663" t="s">
        <v>599</v>
      </c>
      <c r="E1713" s="664" t="s">
        <v>413</v>
      </c>
      <c r="F1713" s="665">
        <v>1858.0</v>
      </c>
      <c r="G1713" s="665">
        <v>988.0</v>
      </c>
      <c r="H1713" s="665">
        <v>53.18</v>
      </c>
      <c r="I1713" s="665">
        <v>13.8</v>
      </c>
      <c r="J1713" s="665">
        <v>14.23</v>
      </c>
      <c r="K1713" s="665">
        <v>3199.0</v>
      </c>
      <c r="L1713" s="665">
        <v>23180.0</v>
      </c>
      <c r="M1713" s="665">
        <v>1.72</v>
      </c>
      <c r="N1713" s="1">
        <v>3.2379</v>
      </c>
      <c r="O1713" s="1">
        <v>3199.0</v>
      </c>
      <c r="P1713" s="1">
        <v>23180.0</v>
      </c>
      <c r="Q1713" s="1">
        <v>1.7217</v>
      </c>
      <c r="R1713" s="1">
        <v>8767.0</v>
      </c>
    </row>
    <row r="1714">
      <c r="A1714" s="663" t="s">
        <v>2352</v>
      </c>
      <c r="B1714" s="663" t="s">
        <v>1192</v>
      </c>
      <c r="C1714" s="663" t="s">
        <v>47</v>
      </c>
      <c r="D1714" s="663" t="s">
        <v>599</v>
      </c>
      <c r="E1714" s="664" t="s">
        <v>398</v>
      </c>
      <c r="F1714" s="665">
        <v>1858.0</v>
      </c>
      <c r="G1714" s="665">
        <v>1332.0</v>
      </c>
      <c r="H1714" s="665">
        <v>71.69</v>
      </c>
      <c r="I1714" s="665">
        <v>11.94</v>
      </c>
      <c r="J1714" s="665">
        <v>12.52</v>
      </c>
      <c r="K1714" s="665">
        <v>2768.0</v>
      </c>
      <c r="L1714" s="665">
        <v>23180.0</v>
      </c>
      <c r="M1714" s="665">
        <v>1.49</v>
      </c>
      <c r="N1714" s="1">
        <v>2.0781</v>
      </c>
      <c r="O1714" s="1">
        <v>2768.0</v>
      </c>
      <c r="P1714" s="1">
        <v>23180.0</v>
      </c>
      <c r="Q1714" s="1">
        <v>1.4898</v>
      </c>
      <c r="R1714" s="1">
        <v>8767.0</v>
      </c>
    </row>
    <row r="1715">
      <c r="A1715" s="663" t="s">
        <v>2352</v>
      </c>
      <c r="B1715" s="663" t="s">
        <v>1192</v>
      </c>
      <c r="C1715" s="663" t="s">
        <v>47</v>
      </c>
      <c r="D1715" s="663" t="s">
        <v>599</v>
      </c>
      <c r="E1715" s="664" t="s">
        <v>411</v>
      </c>
      <c r="F1715" s="665">
        <v>1858.0</v>
      </c>
      <c r="G1715" s="665">
        <v>1369.0</v>
      </c>
      <c r="H1715" s="665">
        <v>73.68</v>
      </c>
      <c r="I1715" s="665">
        <v>10.24</v>
      </c>
      <c r="J1715" s="665">
        <v>11.33</v>
      </c>
      <c r="K1715" s="665">
        <v>2374.0</v>
      </c>
      <c r="L1715" s="665">
        <v>23180.0</v>
      </c>
      <c r="M1715" s="665">
        <v>1.28</v>
      </c>
      <c r="N1715" s="1">
        <v>1.7341</v>
      </c>
      <c r="O1715" s="1">
        <v>2374.0</v>
      </c>
      <c r="P1715" s="1">
        <v>23180.0</v>
      </c>
      <c r="Q1715" s="1">
        <v>1.2777</v>
      </c>
      <c r="R1715" s="1">
        <v>8767.0</v>
      </c>
    </row>
    <row r="1716">
      <c r="A1716" s="663" t="s">
        <v>2352</v>
      </c>
      <c r="B1716" s="663" t="s">
        <v>1192</v>
      </c>
      <c r="C1716" s="663" t="s">
        <v>47</v>
      </c>
      <c r="D1716" s="663" t="s">
        <v>599</v>
      </c>
      <c r="E1716" s="664" t="s">
        <v>9</v>
      </c>
      <c r="F1716" s="665">
        <v>1858.0</v>
      </c>
      <c r="G1716" s="665">
        <v>1270.0</v>
      </c>
      <c r="H1716" s="665">
        <v>68.35</v>
      </c>
      <c r="I1716" s="665">
        <v>7.83</v>
      </c>
      <c r="J1716" s="665">
        <v>8.6</v>
      </c>
      <c r="K1716" s="665">
        <v>1815.0</v>
      </c>
      <c r="L1716" s="665">
        <v>23180.0</v>
      </c>
      <c r="M1716" s="665">
        <v>0.98</v>
      </c>
      <c r="N1716" s="1">
        <v>1.4291</v>
      </c>
      <c r="O1716" s="1">
        <v>1815.0</v>
      </c>
      <c r="P1716" s="1">
        <v>23180.0</v>
      </c>
      <c r="Q1716" s="1">
        <v>0.9769</v>
      </c>
      <c r="R1716" s="1">
        <v>8767.0</v>
      </c>
    </row>
    <row r="1717">
      <c r="A1717" s="663" t="s">
        <v>2352</v>
      </c>
      <c r="B1717" s="663" t="s">
        <v>1192</v>
      </c>
      <c r="C1717" s="663" t="s">
        <v>47</v>
      </c>
      <c r="D1717" s="663" t="s">
        <v>599</v>
      </c>
      <c r="E1717" s="664" t="s">
        <v>396</v>
      </c>
      <c r="F1717" s="665">
        <v>1858.0</v>
      </c>
      <c r="G1717" s="665">
        <v>914.0</v>
      </c>
      <c r="H1717" s="665">
        <v>49.19</v>
      </c>
      <c r="I1717" s="665">
        <v>6.49</v>
      </c>
      <c r="J1717" s="665">
        <v>6.18</v>
      </c>
      <c r="K1717" s="665">
        <v>1505.0</v>
      </c>
      <c r="L1717" s="665">
        <v>23180.0</v>
      </c>
      <c r="M1717" s="665">
        <v>0.81</v>
      </c>
      <c r="N1717" s="1">
        <v>1.6466</v>
      </c>
      <c r="O1717" s="1">
        <v>1505.0</v>
      </c>
      <c r="P1717" s="1">
        <v>23180.0</v>
      </c>
      <c r="Q1717" s="1">
        <v>0.81</v>
      </c>
      <c r="R1717" s="1">
        <v>8767.0</v>
      </c>
    </row>
    <row r="1718">
      <c r="A1718" s="663" t="s">
        <v>2352</v>
      </c>
      <c r="B1718" s="663" t="s">
        <v>1192</v>
      </c>
      <c r="C1718" s="663" t="s">
        <v>47</v>
      </c>
      <c r="D1718" s="663" t="s">
        <v>599</v>
      </c>
      <c r="E1718" s="664" t="s">
        <v>51</v>
      </c>
      <c r="F1718" s="665">
        <v>1858.0</v>
      </c>
      <c r="G1718" s="665">
        <v>726.0</v>
      </c>
      <c r="H1718" s="665">
        <v>39.07</v>
      </c>
      <c r="I1718" s="665">
        <v>5.35</v>
      </c>
      <c r="J1718" s="665">
        <v>4.74</v>
      </c>
      <c r="K1718" s="665">
        <v>1241.0</v>
      </c>
      <c r="L1718" s="665">
        <v>23180.0</v>
      </c>
      <c r="M1718" s="665">
        <v>0.67</v>
      </c>
      <c r="N1718" s="1">
        <v>1.7094</v>
      </c>
      <c r="O1718" s="1">
        <v>1241.0</v>
      </c>
      <c r="P1718" s="1">
        <v>23180.0</v>
      </c>
      <c r="Q1718" s="1">
        <v>0.6679</v>
      </c>
      <c r="R1718" s="1">
        <v>8767.0</v>
      </c>
    </row>
    <row r="1719">
      <c r="A1719" s="663" t="s">
        <v>2352</v>
      </c>
      <c r="B1719" s="663" t="s">
        <v>1192</v>
      </c>
      <c r="C1719" s="663" t="s">
        <v>47</v>
      </c>
      <c r="D1719" s="663" t="s">
        <v>599</v>
      </c>
      <c r="E1719" s="664" t="s">
        <v>401</v>
      </c>
      <c r="F1719" s="665">
        <v>1858.0</v>
      </c>
      <c r="G1719" s="665">
        <v>400.0</v>
      </c>
      <c r="H1719" s="665">
        <v>21.53</v>
      </c>
      <c r="I1719" s="665">
        <v>1.84</v>
      </c>
      <c r="J1719" s="665">
        <v>1.53</v>
      </c>
      <c r="K1719" s="665">
        <v>426.0</v>
      </c>
      <c r="L1719" s="665">
        <v>23180.0</v>
      </c>
      <c r="M1719" s="665">
        <v>0.23</v>
      </c>
      <c r="N1719" s="1">
        <v>1.065</v>
      </c>
      <c r="O1719" s="1">
        <v>426.0</v>
      </c>
      <c r="P1719" s="1">
        <v>23180.0</v>
      </c>
      <c r="Q1719" s="1">
        <v>0.2293</v>
      </c>
      <c r="R1719" s="1">
        <v>8767.0</v>
      </c>
    </row>
    <row r="1720">
      <c r="A1720" s="663" t="s">
        <v>2352</v>
      </c>
      <c r="B1720" s="663" t="s">
        <v>1192</v>
      </c>
      <c r="C1720" s="663" t="s">
        <v>47</v>
      </c>
      <c r="D1720" s="663" t="s">
        <v>599</v>
      </c>
      <c r="E1720" s="664" t="s">
        <v>63</v>
      </c>
      <c r="F1720" s="665">
        <v>1858.0</v>
      </c>
      <c r="G1720" s="665">
        <v>319.0</v>
      </c>
      <c r="H1720" s="665">
        <v>17.17</v>
      </c>
      <c r="I1720" s="665">
        <v>1.64</v>
      </c>
      <c r="J1720" s="665">
        <v>1.78</v>
      </c>
      <c r="K1720" s="665">
        <v>379.0</v>
      </c>
      <c r="L1720" s="665">
        <v>23180.0</v>
      </c>
      <c r="M1720" s="665">
        <v>0.2</v>
      </c>
      <c r="N1720" s="1">
        <v>1.1881</v>
      </c>
      <c r="O1720" s="1">
        <v>379.0</v>
      </c>
      <c r="P1720" s="1">
        <v>23180.0</v>
      </c>
      <c r="Q1720" s="1">
        <v>0.204</v>
      </c>
      <c r="R1720" s="1">
        <v>8767.0</v>
      </c>
    </row>
    <row r="1721">
      <c r="A1721" s="663" t="s">
        <v>2352</v>
      </c>
      <c r="B1721" s="663" t="s">
        <v>1192</v>
      </c>
      <c r="C1721" s="663" t="s">
        <v>47</v>
      </c>
      <c r="D1721" s="663" t="s">
        <v>599</v>
      </c>
      <c r="E1721" s="664" t="s">
        <v>206</v>
      </c>
      <c r="F1721" s="665">
        <v>1858.0</v>
      </c>
      <c r="G1721" s="665">
        <v>361.0</v>
      </c>
      <c r="H1721" s="665">
        <v>19.43</v>
      </c>
      <c r="I1721" s="665">
        <v>1.58</v>
      </c>
      <c r="J1721" s="665">
        <v>1.29</v>
      </c>
      <c r="K1721" s="665">
        <v>366.0</v>
      </c>
      <c r="L1721" s="665">
        <v>23180.0</v>
      </c>
      <c r="M1721" s="665">
        <v>0.2</v>
      </c>
      <c r="N1721" s="1">
        <v>1.0139</v>
      </c>
      <c r="O1721" s="1">
        <v>366.0</v>
      </c>
      <c r="P1721" s="1">
        <v>23180.0</v>
      </c>
      <c r="Q1721" s="1">
        <v>0.197</v>
      </c>
      <c r="R1721" s="1">
        <v>8767.0</v>
      </c>
    </row>
    <row r="1722">
      <c r="A1722" s="663" t="s">
        <v>2352</v>
      </c>
      <c r="B1722" s="663" t="s">
        <v>1192</v>
      </c>
      <c r="C1722" s="663" t="s">
        <v>47</v>
      </c>
      <c r="D1722" s="663" t="s">
        <v>599</v>
      </c>
      <c r="E1722" s="664" t="s">
        <v>73</v>
      </c>
      <c r="F1722" s="665">
        <v>1858.0</v>
      </c>
      <c r="G1722" s="665">
        <v>231.0</v>
      </c>
      <c r="H1722" s="665">
        <v>12.43</v>
      </c>
      <c r="I1722" s="665">
        <v>1.01</v>
      </c>
      <c r="J1722" s="665">
        <v>1.16</v>
      </c>
      <c r="K1722" s="665">
        <v>233.0</v>
      </c>
      <c r="L1722" s="665">
        <v>23180.0</v>
      </c>
      <c r="M1722" s="665">
        <v>0.13</v>
      </c>
      <c r="N1722" s="1">
        <v>1.0087</v>
      </c>
      <c r="O1722" s="1">
        <v>233.0</v>
      </c>
      <c r="P1722" s="1">
        <v>23180.0</v>
      </c>
      <c r="Q1722" s="1">
        <v>0.1254</v>
      </c>
      <c r="R1722" s="1">
        <v>8767.0</v>
      </c>
    </row>
    <row r="1723">
      <c r="A1723" s="663" t="s">
        <v>2352</v>
      </c>
      <c r="B1723" s="663" t="s">
        <v>1192</v>
      </c>
      <c r="C1723" s="663" t="s">
        <v>47</v>
      </c>
      <c r="D1723" s="663" t="s">
        <v>599</v>
      </c>
      <c r="E1723" s="664" t="s">
        <v>42</v>
      </c>
      <c r="F1723" s="665">
        <v>1858.0</v>
      </c>
      <c r="G1723" s="665">
        <v>116.0</v>
      </c>
      <c r="H1723" s="665">
        <v>6.24</v>
      </c>
      <c r="I1723" s="665">
        <v>0.57</v>
      </c>
      <c r="J1723" s="665">
        <v>0.51</v>
      </c>
      <c r="K1723" s="665">
        <v>131.0</v>
      </c>
      <c r="L1723" s="665">
        <v>23180.0</v>
      </c>
      <c r="M1723" s="665">
        <v>0.07</v>
      </c>
      <c r="N1723" s="1">
        <v>1.1293</v>
      </c>
      <c r="O1723" s="1">
        <v>131.0</v>
      </c>
      <c r="P1723" s="1">
        <v>23180.0</v>
      </c>
      <c r="Q1723" s="1">
        <v>0.0705</v>
      </c>
      <c r="R1723" s="1">
        <v>8767.0</v>
      </c>
    </row>
    <row r="1724">
      <c r="A1724" s="663" t="s">
        <v>2352</v>
      </c>
      <c r="B1724" s="663" t="s">
        <v>1192</v>
      </c>
      <c r="C1724" s="663" t="s">
        <v>47</v>
      </c>
      <c r="D1724" s="663" t="s">
        <v>599</v>
      </c>
      <c r="E1724" s="664" t="s">
        <v>16</v>
      </c>
      <c r="F1724" s="665">
        <v>1858.0</v>
      </c>
      <c r="G1724" s="665">
        <v>95.0</v>
      </c>
      <c r="H1724" s="665">
        <v>5.11</v>
      </c>
      <c r="I1724" s="665">
        <v>0.45</v>
      </c>
      <c r="J1724" s="665">
        <v>0.51</v>
      </c>
      <c r="K1724" s="665">
        <v>104.0</v>
      </c>
      <c r="L1724" s="665">
        <v>23180.0</v>
      </c>
      <c r="M1724" s="665">
        <v>0.06</v>
      </c>
      <c r="N1724" s="1">
        <v>1.0947</v>
      </c>
      <c r="O1724" s="1">
        <v>104.0</v>
      </c>
      <c r="P1724" s="1">
        <v>23180.0</v>
      </c>
      <c r="Q1724" s="1">
        <v>0.056</v>
      </c>
      <c r="R1724" s="1">
        <v>8767.0</v>
      </c>
    </row>
    <row r="1725">
      <c r="A1725" s="663" t="s">
        <v>2352</v>
      </c>
      <c r="B1725" s="663" t="s">
        <v>1192</v>
      </c>
      <c r="C1725" s="663" t="s">
        <v>47</v>
      </c>
      <c r="D1725" s="663" t="s">
        <v>599</v>
      </c>
      <c r="E1725" s="664" t="s">
        <v>7</v>
      </c>
      <c r="F1725" s="665">
        <v>1858.0</v>
      </c>
      <c r="G1725" s="665">
        <v>80.0</v>
      </c>
      <c r="H1725" s="665">
        <v>4.31</v>
      </c>
      <c r="I1725" s="665">
        <v>0.38</v>
      </c>
      <c r="J1725" s="665">
        <v>0.31</v>
      </c>
      <c r="K1725" s="665">
        <v>88.0</v>
      </c>
      <c r="L1725" s="665">
        <v>23180.0</v>
      </c>
      <c r="M1725" s="665">
        <v>0.05</v>
      </c>
      <c r="N1725" s="1">
        <v>1.1</v>
      </c>
      <c r="O1725" s="1">
        <v>88.0</v>
      </c>
      <c r="P1725" s="1">
        <v>23180.0</v>
      </c>
      <c r="Q1725" s="1">
        <v>0.0474</v>
      </c>
      <c r="R1725" s="1">
        <v>8767.0</v>
      </c>
    </row>
    <row r="1726">
      <c r="A1726" s="663" t="s">
        <v>2352</v>
      </c>
      <c r="B1726" s="663" t="s">
        <v>1192</v>
      </c>
      <c r="C1726" s="663" t="s">
        <v>47</v>
      </c>
      <c r="D1726" s="663" t="s">
        <v>599</v>
      </c>
      <c r="E1726" s="664" t="s">
        <v>393</v>
      </c>
      <c r="F1726" s="665">
        <v>1858.0</v>
      </c>
      <c r="G1726" s="665">
        <v>5.0</v>
      </c>
      <c r="H1726" s="665">
        <v>0.27</v>
      </c>
      <c r="I1726" s="665">
        <v>0.02</v>
      </c>
      <c r="J1726" s="665">
        <v>0.03</v>
      </c>
      <c r="K1726" s="665">
        <v>5.0</v>
      </c>
      <c r="L1726" s="665">
        <v>23180.0</v>
      </c>
      <c r="M1726" s="665">
        <v>0.0</v>
      </c>
      <c r="N1726" s="1">
        <v>1.0</v>
      </c>
      <c r="O1726" s="1">
        <v>5.0</v>
      </c>
      <c r="P1726" s="1">
        <v>23180.0</v>
      </c>
      <c r="Q1726" s="1">
        <v>0.0027</v>
      </c>
      <c r="R1726" s="1">
        <v>8767.0</v>
      </c>
    </row>
    <row r="1727">
      <c r="A1727" s="663" t="s">
        <v>2352</v>
      </c>
      <c r="B1727" s="663" t="s">
        <v>1192</v>
      </c>
      <c r="C1727" s="663" t="s">
        <v>47</v>
      </c>
      <c r="D1727" s="663" t="s">
        <v>599</v>
      </c>
      <c r="E1727" s="664" t="s">
        <v>151</v>
      </c>
      <c r="F1727" s="665">
        <v>1858.0</v>
      </c>
      <c r="G1727" s="665">
        <v>3.0</v>
      </c>
      <c r="H1727" s="665">
        <v>0.16</v>
      </c>
      <c r="I1727" s="665">
        <v>0.01</v>
      </c>
      <c r="J1727" s="665">
        <v>0.01</v>
      </c>
      <c r="K1727" s="665">
        <v>3.0</v>
      </c>
      <c r="L1727" s="665">
        <v>23180.0</v>
      </c>
      <c r="M1727" s="665">
        <v>0.0</v>
      </c>
      <c r="N1727" s="1">
        <v>1.0</v>
      </c>
      <c r="O1727" s="1">
        <v>3.0</v>
      </c>
      <c r="P1727" s="1">
        <v>23180.0</v>
      </c>
      <c r="Q1727" s="1">
        <v>0.0016</v>
      </c>
      <c r="R1727" s="1">
        <v>8767.0</v>
      </c>
    </row>
    <row r="1728">
      <c r="A1728" s="663" t="s">
        <v>2352</v>
      </c>
      <c r="B1728" s="663" t="s">
        <v>1192</v>
      </c>
      <c r="C1728" s="663" t="s">
        <v>46</v>
      </c>
      <c r="D1728" s="663" t="s">
        <v>599</v>
      </c>
      <c r="E1728" s="664" t="s">
        <v>396</v>
      </c>
      <c r="F1728" s="665">
        <v>1856.0</v>
      </c>
      <c r="G1728" s="665">
        <v>1708.0</v>
      </c>
      <c r="H1728" s="665">
        <v>92.03</v>
      </c>
      <c r="I1728" s="665">
        <v>74.15</v>
      </c>
      <c r="J1728" s="665">
        <v>68.22</v>
      </c>
      <c r="K1728" s="665">
        <v>3032329.0</v>
      </c>
      <c r="L1728" s="665">
        <v>4089492.3</v>
      </c>
      <c r="M1728" s="665">
        <v>1633.8</v>
      </c>
      <c r="N1728" s="1">
        <v>1775.3683</v>
      </c>
      <c r="O1728" s="1">
        <v>3032329.0</v>
      </c>
      <c r="P1728" s="1">
        <v>4146167.0</v>
      </c>
      <c r="Q1728" s="1">
        <v>1633.798</v>
      </c>
      <c r="R1728" s="1">
        <v>8767.0</v>
      </c>
    </row>
    <row r="1729">
      <c r="A1729" s="663" t="s">
        <v>2352</v>
      </c>
      <c r="B1729" s="663" t="s">
        <v>1192</v>
      </c>
      <c r="C1729" s="663" t="s">
        <v>46</v>
      </c>
      <c r="D1729" s="663" t="s">
        <v>599</v>
      </c>
      <c r="E1729" s="664" t="s">
        <v>14</v>
      </c>
      <c r="F1729" s="665">
        <v>1856.0</v>
      </c>
      <c r="G1729" s="665">
        <v>1468.0</v>
      </c>
      <c r="H1729" s="665">
        <v>79.09</v>
      </c>
      <c r="I1729" s="665">
        <v>15.81</v>
      </c>
      <c r="J1729" s="665">
        <v>18.28</v>
      </c>
      <c r="K1729" s="665">
        <v>646740.3</v>
      </c>
      <c r="L1729" s="665">
        <v>4089492.3</v>
      </c>
      <c r="M1729" s="665">
        <v>348.46</v>
      </c>
      <c r="N1729" s="1">
        <v>440.5588</v>
      </c>
      <c r="O1729" s="1">
        <v>703415.0</v>
      </c>
      <c r="P1729" s="1">
        <v>4146167.0</v>
      </c>
      <c r="Q1729" s="1">
        <v>378.9952</v>
      </c>
      <c r="R1729" s="1">
        <v>8767.0</v>
      </c>
    </row>
    <row r="1730">
      <c r="A1730" s="663" t="s">
        <v>2352</v>
      </c>
      <c r="B1730" s="663" t="s">
        <v>1192</v>
      </c>
      <c r="C1730" s="663" t="s">
        <v>46</v>
      </c>
      <c r="D1730" s="663" t="s">
        <v>599</v>
      </c>
      <c r="E1730" s="664" t="s">
        <v>411</v>
      </c>
      <c r="F1730" s="665">
        <v>1856.0</v>
      </c>
      <c r="G1730" s="665">
        <v>1247.0</v>
      </c>
      <c r="H1730" s="665">
        <v>67.19</v>
      </c>
      <c r="I1730" s="665">
        <v>3.51</v>
      </c>
      <c r="J1730" s="665">
        <v>4.64</v>
      </c>
      <c r="K1730" s="665">
        <v>143735.0</v>
      </c>
      <c r="L1730" s="665">
        <v>4089492.3</v>
      </c>
      <c r="M1730" s="665">
        <v>77.44</v>
      </c>
      <c r="N1730" s="1">
        <v>115.2646</v>
      </c>
      <c r="O1730" s="1">
        <v>143735.0</v>
      </c>
      <c r="P1730" s="1">
        <v>4146167.0</v>
      </c>
      <c r="Q1730" s="1">
        <v>77.4434</v>
      </c>
      <c r="R1730" s="1">
        <v>8767.0</v>
      </c>
    </row>
    <row r="1731">
      <c r="A1731" s="663" t="s">
        <v>2352</v>
      </c>
      <c r="B1731" s="663" t="s">
        <v>1192</v>
      </c>
      <c r="C1731" s="663" t="s">
        <v>46</v>
      </c>
      <c r="D1731" s="663" t="s">
        <v>599</v>
      </c>
      <c r="E1731" s="664" t="s">
        <v>42</v>
      </c>
      <c r="F1731" s="665">
        <v>1856.0</v>
      </c>
      <c r="G1731" s="665">
        <v>1192.0</v>
      </c>
      <c r="H1731" s="665">
        <v>64.22</v>
      </c>
      <c r="I1731" s="665">
        <v>3.41</v>
      </c>
      <c r="J1731" s="665">
        <v>5.07</v>
      </c>
      <c r="K1731" s="665">
        <v>139285.0</v>
      </c>
      <c r="L1731" s="665">
        <v>4089492.3</v>
      </c>
      <c r="M1731" s="665">
        <v>75.05</v>
      </c>
      <c r="N1731" s="1">
        <v>116.8498</v>
      </c>
      <c r="O1731" s="1">
        <v>139285.0</v>
      </c>
      <c r="P1731" s="1">
        <v>4146167.0</v>
      </c>
      <c r="Q1731" s="1">
        <v>75.0458</v>
      </c>
      <c r="R1731" s="1">
        <v>8767.0</v>
      </c>
    </row>
    <row r="1732">
      <c r="A1732" s="663" t="s">
        <v>2352</v>
      </c>
      <c r="B1732" s="663" t="s">
        <v>1192</v>
      </c>
      <c r="C1732" s="663" t="s">
        <v>46</v>
      </c>
      <c r="D1732" s="663" t="s">
        <v>599</v>
      </c>
      <c r="E1732" s="664" t="s">
        <v>7</v>
      </c>
      <c r="F1732" s="665">
        <v>1856.0</v>
      </c>
      <c r="G1732" s="665">
        <v>639.0</v>
      </c>
      <c r="H1732" s="665">
        <v>34.43</v>
      </c>
      <c r="I1732" s="665">
        <v>2.54</v>
      </c>
      <c r="J1732" s="665">
        <v>3.06</v>
      </c>
      <c r="K1732" s="665">
        <v>103940.0</v>
      </c>
      <c r="L1732" s="665">
        <v>4089492.3</v>
      </c>
      <c r="M1732" s="665">
        <v>56.0</v>
      </c>
      <c r="N1732" s="1">
        <v>162.6604</v>
      </c>
      <c r="O1732" s="1">
        <v>103940.0</v>
      </c>
      <c r="P1732" s="1">
        <v>4146167.0</v>
      </c>
      <c r="Q1732" s="1">
        <v>56.0022</v>
      </c>
      <c r="R1732" s="1">
        <v>8767.0</v>
      </c>
    </row>
    <row r="1733">
      <c r="A1733" s="663" t="s">
        <v>2352</v>
      </c>
      <c r="B1733" s="663" t="s">
        <v>1192</v>
      </c>
      <c r="C1733" s="663" t="s">
        <v>46</v>
      </c>
      <c r="D1733" s="663" t="s">
        <v>599</v>
      </c>
      <c r="E1733" s="664" t="s">
        <v>51</v>
      </c>
      <c r="F1733" s="665">
        <v>1856.0</v>
      </c>
      <c r="G1733" s="665">
        <v>690.0</v>
      </c>
      <c r="H1733" s="665">
        <v>37.18</v>
      </c>
      <c r="I1733" s="665">
        <v>0.56</v>
      </c>
      <c r="J1733" s="665">
        <v>0.7</v>
      </c>
      <c r="K1733" s="665">
        <v>22980.0</v>
      </c>
      <c r="L1733" s="665">
        <v>4089492.3</v>
      </c>
      <c r="M1733" s="665">
        <v>12.38</v>
      </c>
      <c r="N1733" s="1">
        <v>33.3043</v>
      </c>
      <c r="O1733" s="1">
        <v>22980.0</v>
      </c>
      <c r="P1733" s="1">
        <v>4146167.0</v>
      </c>
      <c r="Q1733" s="1">
        <v>12.3815</v>
      </c>
      <c r="R1733" s="1">
        <v>8767.0</v>
      </c>
    </row>
    <row r="1734">
      <c r="A1734" s="663" t="s">
        <v>2352</v>
      </c>
      <c r="B1734" s="663" t="s">
        <v>1192</v>
      </c>
      <c r="C1734" s="663" t="s">
        <v>46</v>
      </c>
      <c r="D1734" s="663" t="s">
        <v>599</v>
      </c>
      <c r="E1734" s="664" t="s">
        <v>413</v>
      </c>
      <c r="F1734" s="665">
        <v>1856.0</v>
      </c>
      <c r="G1734" s="665">
        <v>11.0</v>
      </c>
      <c r="H1734" s="665">
        <v>0.59</v>
      </c>
      <c r="I1734" s="665">
        <v>0.01</v>
      </c>
      <c r="J1734" s="665">
        <v>0.03</v>
      </c>
      <c r="K1734" s="665">
        <v>483.0</v>
      </c>
      <c r="L1734" s="665">
        <v>4089492.3</v>
      </c>
      <c r="M1734" s="665">
        <v>0.26</v>
      </c>
      <c r="N1734" s="1">
        <v>43.9091</v>
      </c>
      <c r="O1734" s="1">
        <v>483.0</v>
      </c>
      <c r="P1734" s="1">
        <v>4146167.0</v>
      </c>
      <c r="Q1734" s="1">
        <v>0.2602</v>
      </c>
      <c r="R1734" s="1">
        <v>8767.0</v>
      </c>
    </row>
    <row r="1735">
      <c r="A1735" s="663" t="s">
        <v>2352</v>
      </c>
      <c r="B1735" s="663" t="s">
        <v>1192</v>
      </c>
      <c r="C1735" s="663" t="s">
        <v>1213</v>
      </c>
      <c r="D1735" s="663" t="s">
        <v>2234</v>
      </c>
      <c r="E1735" s="664" t="s">
        <v>14</v>
      </c>
      <c r="F1735" s="665">
        <v>1083.0</v>
      </c>
      <c r="G1735" s="665">
        <v>1081.0</v>
      </c>
      <c r="H1735" s="665">
        <v>99.82</v>
      </c>
      <c r="I1735" s="665">
        <v>99.48</v>
      </c>
      <c r="J1735" s="665">
        <v>99.64</v>
      </c>
      <c r="K1735" s="665">
        <v>28540.0</v>
      </c>
      <c r="L1735" s="665">
        <v>28690.0</v>
      </c>
      <c r="M1735" s="665">
        <v>26.35</v>
      </c>
      <c r="N1735" s="1">
        <v>26.4015</v>
      </c>
      <c r="O1735" s="1">
        <v>28540.0</v>
      </c>
      <c r="P1735" s="1">
        <v>28690.0</v>
      </c>
      <c r="Q1735" s="1">
        <v>26.3527</v>
      </c>
      <c r="R1735" s="1">
        <v>8767.0</v>
      </c>
    </row>
    <row r="1736">
      <c r="A1736" s="663" t="s">
        <v>2352</v>
      </c>
      <c r="B1736" s="663" t="s">
        <v>1192</v>
      </c>
      <c r="C1736" s="663" t="s">
        <v>1213</v>
      </c>
      <c r="D1736" s="663" t="s">
        <v>2234</v>
      </c>
      <c r="E1736" s="664" t="s">
        <v>397</v>
      </c>
      <c r="F1736" s="665">
        <v>1083.0</v>
      </c>
      <c r="G1736" s="665">
        <v>6.0</v>
      </c>
      <c r="H1736" s="665">
        <v>0.55</v>
      </c>
      <c r="I1736" s="665">
        <v>0.47</v>
      </c>
      <c r="J1736" s="665">
        <v>0.34</v>
      </c>
      <c r="K1736" s="665">
        <v>135.0</v>
      </c>
      <c r="L1736" s="665">
        <v>28690.0</v>
      </c>
      <c r="M1736" s="665">
        <v>0.12</v>
      </c>
      <c r="N1736" s="1">
        <v>22.5</v>
      </c>
      <c r="O1736" s="1">
        <v>135.0</v>
      </c>
      <c r="P1736" s="1">
        <v>28690.0</v>
      </c>
      <c r="Q1736" s="1">
        <v>0.1247</v>
      </c>
      <c r="R1736" s="1">
        <v>8767.0</v>
      </c>
    </row>
    <row r="1737">
      <c r="A1737" s="663" t="s">
        <v>2352</v>
      </c>
      <c r="B1737" s="663" t="s">
        <v>1192</v>
      </c>
      <c r="C1737" s="663" t="s">
        <v>1213</v>
      </c>
      <c r="D1737" s="663" t="s">
        <v>2234</v>
      </c>
      <c r="E1737" s="664" t="s">
        <v>151</v>
      </c>
      <c r="F1737" s="665">
        <v>1083.0</v>
      </c>
      <c r="G1737" s="665">
        <v>1.0</v>
      </c>
      <c r="H1737" s="665">
        <v>0.09</v>
      </c>
      <c r="I1737" s="665">
        <v>0.05</v>
      </c>
      <c r="J1737" s="665">
        <v>0.01</v>
      </c>
      <c r="K1737" s="665">
        <v>15.0</v>
      </c>
      <c r="L1737" s="665">
        <v>28690.0</v>
      </c>
      <c r="M1737" s="665">
        <v>0.01</v>
      </c>
      <c r="N1737" s="1">
        <v>15.0</v>
      </c>
      <c r="O1737" s="1">
        <v>15.0</v>
      </c>
      <c r="P1737" s="1">
        <v>28690.0</v>
      </c>
      <c r="Q1737" s="1">
        <v>0.0139</v>
      </c>
      <c r="R1737" s="1">
        <v>8767.0</v>
      </c>
    </row>
    <row r="1738">
      <c r="A1738" s="663" t="s">
        <v>2352</v>
      </c>
      <c r="B1738" s="663" t="s">
        <v>1192</v>
      </c>
      <c r="C1738" s="663" t="s">
        <v>53</v>
      </c>
      <c r="D1738" s="663" t="s">
        <v>599</v>
      </c>
      <c r="E1738" s="664" t="s">
        <v>418</v>
      </c>
      <c r="F1738" s="665">
        <v>1844.0</v>
      </c>
      <c r="G1738" s="665">
        <v>1581.0</v>
      </c>
      <c r="H1738" s="665">
        <v>85.74</v>
      </c>
      <c r="I1738" s="665">
        <v>20.51</v>
      </c>
      <c r="J1738" s="665">
        <v>20.86</v>
      </c>
      <c r="K1738" s="665">
        <v>4774.0</v>
      </c>
      <c r="L1738" s="665">
        <v>23280.0</v>
      </c>
      <c r="M1738" s="665">
        <v>2.59</v>
      </c>
      <c r="N1738" s="1">
        <v>3.0196</v>
      </c>
      <c r="O1738" s="1">
        <v>4774.0</v>
      </c>
      <c r="P1738" s="1">
        <v>23280.0</v>
      </c>
      <c r="Q1738" s="1">
        <v>2.5889</v>
      </c>
      <c r="R1738" s="1">
        <v>8767.0</v>
      </c>
    </row>
    <row r="1739">
      <c r="A1739" s="663" t="s">
        <v>2352</v>
      </c>
      <c r="B1739" s="663" t="s">
        <v>1192</v>
      </c>
      <c r="C1739" s="663" t="s">
        <v>53</v>
      </c>
      <c r="D1739" s="663" t="s">
        <v>599</v>
      </c>
      <c r="E1739" s="664" t="s">
        <v>396</v>
      </c>
      <c r="F1739" s="665">
        <v>1844.0</v>
      </c>
      <c r="G1739" s="665">
        <v>1382.0</v>
      </c>
      <c r="H1739" s="665">
        <v>74.95</v>
      </c>
      <c r="I1739" s="665">
        <v>19.02</v>
      </c>
      <c r="J1739" s="665">
        <v>19.28</v>
      </c>
      <c r="K1739" s="665">
        <v>4428.0</v>
      </c>
      <c r="L1739" s="665">
        <v>23280.0</v>
      </c>
      <c r="M1739" s="665">
        <v>2.4</v>
      </c>
      <c r="N1739" s="1">
        <v>3.2041</v>
      </c>
      <c r="O1739" s="1">
        <v>4428.0</v>
      </c>
      <c r="P1739" s="1">
        <v>23280.0</v>
      </c>
      <c r="Q1739" s="1">
        <v>2.4013</v>
      </c>
      <c r="R1739" s="1">
        <v>8767.0</v>
      </c>
    </row>
    <row r="1740">
      <c r="A1740" s="663" t="s">
        <v>2352</v>
      </c>
      <c r="B1740" s="663" t="s">
        <v>1192</v>
      </c>
      <c r="C1740" s="663" t="s">
        <v>53</v>
      </c>
      <c r="D1740" s="663" t="s">
        <v>599</v>
      </c>
      <c r="E1740" s="664" t="s">
        <v>14</v>
      </c>
      <c r="F1740" s="665">
        <v>1844.0</v>
      </c>
      <c r="G1740" s="665">
        <v>1360.0</v>
      </c>
      <c r="H1740" s="665">
        <v>73.75</v>
      </c>
      <c r="I1740" s="665">
        <v>14.28</v>
      </c>
      <c r="J1740" s="665">
        <v>14.87</v>
      </c>
      <c r="K1740" s="665">
        <v>3324.0</v>
      </c>
      <c r="L1740" s="665">
        <v>23280.0</v>
      </c>
      <c r="M1740" s="665">
        <v>1.8</v>
      </c>
      <c r="N1740" s="1">
        <v>2.4441</v>
      </c>
      <c r="O1740" s="1">
        <v>3324.0</v>
      </c>
      <c r="P1740" s="1">
        <v>23280.0</v>
      </c>
      <c r="Q1740" s="1">
        <v>1.8026</v>
      </c>
      <c r="R1740" s="1">
        <v>8767.0</v>
      </c>
    </row>
    <row r="1741">
      <c r="A1741" s="663" t="s">
        <v>2352</v>
      </c>
      <c r="B1741" s="663" t="s">
        <v>1192</v>
      </c>
      <c r="C1741" s="663" t="s">
        <v>53</v>
      </c>
      <c r="D1741" s="663" t="s">
        <v>599</v>
      </c>
      <c r="E1741" s="664" t="s">
        <v>413</v>
      </c>
      <c r="F1741" s="665">
        <v>1844.0</v>
      </c>
      <c r="G1741" s="665">
        <v>981.0</v>
      </c>
      <c r="H1741" s="665">
        <v>53.2</v>
      </c>
      <c r="I1741" s="665">
        <v>8.01</v>
      </c>
      <c r="J1741" s="665">
        <v>8.91</v>
      </c>
      <c r="K1741" s="665">
        <v>1864.0</v>
      </c>
      <c r="L1741" s="665">
        <v>23280.0</v>
      </c>
      <c r="M1741" s="665">
        <v>1.01</v>
      </c>
      <c r="N1741" s="1">
        <v>1.9001</v>
      </c>
      <c r="O1741" s="1">
        <v>1864.0</v>
      </c>
      <c r="P1741" s="1">
        <v>23280.0</v>
      </c>
      <c r="Q1741" s="1">
        <v>1.0108</v>
      </c>
      <c r="R1741" s="1">
        <v>8767.0</v>
      </c>
    </row>
    <row r="1742">
      <c r="A1742" s="663" t="s">
        <v>2352</v>
      </c>
      <c r="B1742" s="663" t="s">
        <v>1192</v>
      </c>
      <c r="C1742" s="663" t="s">
        <v>53</v>
      </c>
      <c r="D1742" s="663" t="s">
        <v>599</v>
      </c>
      <c r="E1742" s="664" t="s">
        <v>9</v>
      </c>
      <c r="F1742" s="665">
        <v>1844.0</v>
      </c>
      <c r="G1742" s="665">
        <v>956.0</v>
      </c>
      <c r="H1742" s="665">
        <v>51.84</v>
      </c>
      <c r="I1742" s="665">
        <v>5.72</v>
      </c>
      <c r="J1742" s="665">
        <v>5.05</v>
      </c>
      <c r="K1742" s="665">
        <v>1331.0</v>
      </c>
      <c r="L1742" s="665">
        <v>23280.0</v>
      </c>
      <c r="M1742" s="665">
        <v>0.72</v>
      </c>
      <c r="N1742" s="1">
        <v>1.3923</v>
      </c>
      <c r="O1742" s="1">
        <v>1331.0</v>
      </c>
      <c r="P1742" s="1">
        <v>23280.0</v>
      </c>
      <c r="Q1742" s="1">
        <v>0.7218</v>
      </c>
      <c r="R1742" s="1">
        <v>8767.0</v>
      </c>
    </row>
    <row r="1743">
      <c r="A1743" s="663" t="s">
        <v>2352</v>
      </c>
      <c r="B1743" s="663" t="s">
        <v>1192</v>
      </c>
      <c r="C1743" s="663" t="s">
        <v>53</v>
      </c>
      <c r="D1743" s="663" t="s">
        <v>599</v>
      </c>
      <c r="E1743" s="664" t="s">
        <v>397</v>
      </c>
      <c r="F1743" s="665">
        <v>1844.0</v>
      </c>
      <c r="G1743" s="665">
        <v>868.0</v>
      </c>
      <c r="H1743" s="665">
        <v>47.07</v>
      </c>
      <c r="I1743" s="665">
        <v>5.05</v>
      </c>
      <c r="J1743" s="665">
        <v>4.71</v>
      </c>
      <c r="K1743" s="665">
        <v>1176.0</v>
      </c>
      <c r="L1743" s="665">
        <v>23280.0</v>
      </c>
      <c r="M1743" s="665">
        <v>0.64</v>
      </c>
      <c r="N1743" s="1">
        <v>1.3548</v>
      </c>
      <c r="O1743" s="1">
        <v>1176.0</v>
      </c>
      <c r="P1743" s="1">
        <v>23280.0</v>
      </c>
      <c r="Q1743" s="1">
        <v>0.6377</v>
      </c>
      <c r="R1743" s="1">
        <v>8767.0</v>
      </c>
    </row>
    <row r="1744">
      <c r="A1744" s="663" t="s">
        <v>2352</v>
      </c>
      <c r="B1744" s="663" t="s">
        <v>1192</v>
      </c>
      <c r="C1744" s="663" t="s">
        <v>53</v>
      </c>
      <c r="D1744" s="663" t="s">
        <v>599</v>
      </c>
      <c r="E1744" s="664" t="s">
        <v>411</v>
      </c>
      <c r="F1744" s="665">
        <v>1844.0</v>
      </c>
      <c r="G1744" s="665">
        <v>623.0</v>
      </c>
      <c r="H1744" s="665">
        <v>33.79</v>
      </c>
      <c r="I1744" s="665">
        <v>4.66</v>
      </c>
      <c r="J1744" s="665">
        <v>4.37</v>
      </c>
      <c r="K1744" s="665">
        <v>1086.0</v>
      </c>
      <c r="L1744" s="665">
        <v>23280.0</v>
      </c>
      <c r="M1744" s="665">
        <v>0.59</v>
      </c>
      <c r="N1744" s="1">
        <v>1.7432</v>
      </c>
      <c r="O1744" s="1">
        <v>1086.0</v>
      </c>
      <c r="P1744" s="1">
        <v>23280.0</v>
      </c>
      <c r="Q1744" s="1">
        <v>0.5889</v>
      </c>
      <c r="R1744" s="1">
        <v>8767.0</v>
      </c>
    </row>
    <row r="1745">
      <c r="A1745" s="663" t="s">
        <v>2352</v>
      </c>
      <c r="B1745" s="663" t="s">
        <v>1192</v>
      </c>
      <c r="C1745" s="663" t="s">
        <v>53</v>
      </c>
      <c r="D1745" s="663" t="s">
        <v>599</v>
      </c>
      <c r="E1745" s="664" t="s">
        <v>16</v>
      </c>
      <c r="F1745" s="665">
        <v>1844.0</v>
      </c>
      <c r="G1745" s="665">
        <v>680.0</v>
      </c>
      <c r="H1745" s="665">
        <v>36.88</v>
      </c>
      <c r="I1745" s="665">
        <v>4.3</v>
      </c>
      <c r="J1745" s="665">
        <v>4.99</v>
      </c>
      <c r="K1745" s="665">
        <v>1001.0</v>
      </c>
      <c r="L1745" s="665">
        <v>23280.0</v>
      </c>
      <c r="M1745" s="665">
        <v>0.54</v>
      </c>
      <c r="N1745" s="1">
        <v>1.4721</v>
      </c>
      <c r="O1745" s="1">
        <v>1001.0</v>
      </c>
      <c r="P1745" s="1">
        <v>23280.0</v>
      </c>
      <c r="Q1745" s="1">
        <v>0.5428</v>
      </c>
      <c r="R1745" s="1">
        <v>8767.0</v>
      </c>
    </row>
    <row r="1746">
      <c r="A1746" s="663" t="s">
        <v>2352</v>
      </c>
      <c r="B1746" s="663" t="s">
        <v>1192</v>
      </c>
      <c r="C1746" s="663" t="s">
        <v>53</v>
      </c>
      <c r="D1746" s="663" t="s">
        <v>599</v>
      </c>
      <c r="E1746" s="664" t="s">
        <v>393</v>
      </c>
      <c r="F1746" s="665">
        <v>1844.0</v>
      </c>
      <c r="G1746" s="665">
        <v>437.0</v>
      </c>
      <c r="H1746" s="665">
        <v>23.7</v>
      </c>
      <c r="I1746" s="665">
        <v>3.9</v>
      </c>
      <c r="J1746" s="665">
        <v>3.1</v>
      </c>
      <c r="K1746" s="665">
        <v>908.0</v>
      </c>
      <c r="L1746" s="665">
        <v>23280.0</v>
      </c>
      <c r="M1746" s="665">
        <v>0.49</v>
      </c>
      <c r="N1746" s="1">
        <v>2.0778</v>
      </c>
      <c r="O1746" s="1">
        <v>908.0</v>
      </c>
      <c r="P1746" s="1">
        <v>23280.0</v>
      </c>
      <c r="Q1746" s="1">
        <v>0.4924</v>
      </c>
      <c r="R1746" s="1">
        <v>8767.0</v>
      </c>
    </row>
    <row r="1747">
      <c r="A1747" s="663" t="s">
        <v>2352</v>
      </c>
      <c r="B1747" s="663" t="s">
        <v>1192</v>
      </c>
      <c r="C1747" s="663" t="s">
        <v>53</v>
      </c>
      <c r="D1747" s="663" t="s">
        <v>599</v>
      </c>
      <c r="E1747" s="664" t="s">
        <v>42</v>
      </c>
      <c r="F1747" s="665">
        <v>1844.0</v>
      </c>
      <c r="G1747" s="665">
        <v>505.0</v>
      </c>
      <c r="H1747" s="665">
        <v>27.39</v>
      </c>
      <c r="I1747" s="665">
        <v>2.91</v>
      </c>
      <c r="J1747" s="665">
        <v>3.13</v>
      </c>
      <c r="K1747" s="665">
        <v>678.0</v>
      </c>
      <c r="L1747" s="665">
        <v>23280.0</v>
      </c>
      <c r="M1747" s="665">
        <v>0.37</v>
      </c>
      <c r="N1747" s="1">
        <v>1.3426</v>
      </c>
      <c r="O1747" s="1">
        <v>678.0</v>
      </c>
      <c r="P1747" s="1">
        <v>23280.0</v>
      </c>
      <c r="Q1747" s="1">
        <v>0.3677</v>
      </c>
      <c r="R1747" s="1">
        <v>8767.0</v>
      </c>
    </row>
    <row r="1748">
      <c r="A1748" s="663" t="s">
        <v>2352</v>
      </c>
      <c r="B1748" s="663" t="s">
        <v>1192</v>
      </c>
      <c r="C1748" s="663" t="s">
        <v>53</v>
      </c>
      <c r="D1748" s="663" t="s">
        <v>599</v>
      </c>
      <c r="E1748" s="664" t="s">
        <v>15</v>
      </c>
      <c r="F1748" s="665">
        <v>1844.0</v>
      </c>
      <c r="G1748" s="665">
        <v>238.0</v>
      </c>
      <c r="H1748" s="665">
        <v>12.91</v>
      </c>
      <c r="I1748" s="665">
        <v>2.47</v>
      </c>
      <c r="J1748" s="665">
        <v>2.07</v>
      </c>
      <c r="K1748" s="665">
        <v>576.0</v>
      </c>
      <c r="L1748" s="665">
        <v>23280.0</v>
      </c>
      <c r="M1748" s="665">
        <v>0.31</v>
      </c>
      <c r="N1748" s="1">
        <v>2.4202</v>
      </c>
      <c r="O1748" s="1">
        <v>576.0</v>
      </c>
      <c r="P1748" s="1">
        <v>23280.0</v>
      </c>
      <c r="Q1748" s="1">
        <v>0.3124</v>
      </c>
      <c r="R1748" s="1">
        <v>8767.0</v>
      </c>
    </row>
    <row r="1749">
      <c r="A1749" s="663" t="s">
        <v>2352</v>
      </c>
      <c r="B1749" s="663" t="s">
        <v>1192</v>
      </c>
      <c r="C1749" s="663" t="s">
        <v>53</v>
      </c>
      <c r="D1749" s="663" t="s">
        <v>599</v>
      </c>
      <c r="E1749" s="664" t="s">
        <v>63</v>
      </c>
      <c r="F1749" s="665">
        <v>1844.0</v>
      </c>
      <c r="G1749" s="665">
        <v>421.0</v>
      </c>
      <c r="H1749" s="665">
        <v>22.83</v>
      </c>
      <c r="I1749" s="665">
        <v>2.26</v>
      </c>
      <c r="J1749" s="665">
        <v>2.12</v>
      </c>
      <c r="K1749" s="665">
        <v>526.0</v>
      </c>
      <c r="L1749" s="665">
        <v>23280.0</v>
      </c>
      <c r="M1749" s="665">
        <v>0.29</v>
      </c>
      <c r="N1749" s="1">
        <v>1.2494</v>
      </c>
      <c r="O1749" s="1">
        <v>526.0</v>
      </c>
      <c r="P1749" s="1">
        <v>23280.0</v>
      </c>
      <c r="Q1749" s="1">
        <v>0.2852</v>
      </c>
      <c r="R1749" s="1">
        <v>8767.0</v>
      </c>
    </row>
    <row r="1750">
      <c r="A1750" s="663" t="s">
        <v>2352</v>
      </c>
      <c r="B1750" s="663" t="s">
        <v>1192</v>
      </c>
      <c r="C1750" s="663" t="s">
        <v>53</v>
      </c>
      <c r="D1750" s="663" t="s">
        <v>599</v>
      </c>
      <c r="E1750" s="664" t="s">
        <v>329</v>
      </c>
      <c r="F1750" s="665">
        <v>1844.0</v>
      </c>
      <c r="G1750" s="665">
        <v>357.0</v>
      </c>
      <c r="H1750" s="665">
        <v>19.36</v>
      </c>
      <c r="I1750" s="665">
        <v>1.95</v>
      </c>
      <c r="J1750" s="665">
        <v>1.92</v>
      </c>
      <c r="K1750" s="665">
        <v>453.0</v>
      </c>
      <c r="L1750" s="665">
        <v>23280.0</v>
      </c>
      <c r="M1750" s="665">
        <v>0.25</v>
      </c>
      <c r="N1750" s="1">
        <v>1.2689</v>
      </c>
      <c r="O1750" s="1">
        <v>453.0</v>
      </c>
      <c r="P1750" s="1">
        <v>23280.0</v>
      </c>
      <c r="Q1750" s="1">
        <v>0.2457</v>
      </c>
      <c r="R1750" s="1">
        <v>8767.0</v>
      </c>
    </row>
    <row r="1751">
      <c r="A1751" s="663" t="s">
        <v>2352</v>
      </c>
      <c r="B1751" s="663" t="s">
        <v>1192</v>
      </c>
      <c r="C1751" s="663" t="s">
        <v>53</v>
      </c>
      <c r="D1751" s="663" t="s">
        <v>599</v>
      </c>
      <c r="E1751" s="664" t="s">
        <v>338</v>
      </c>
      <c r="F1751" s="665">
        <v>1844.0</v>
      </c>
      <c r="G1751" s="665">
        <v>338.0</v>
      </c>
      <c r="H1751" s="665">
        <v>18.33</v>
      </c>
      <c r="I1751" s="665">
        <v>1.8</v>
      </c>
      <c r="J1751" s="665">
        <v>1.59</v>
      </c>
      <c r="K1751" s="665">
        <v>420.0</v>
      </c>
      <c r="L1751" s="665">
        <v>23280.0</v>
      </c>
      <c r="M1751" s="665">
        <v>0.23</v>
      </c>
      <c r="N1751" s="1">
        <v>1.2426</v>
      </c>
      <c r="O1751" s="1">
        <v>420.0</v>
      </c>
      <c r="P1751" s="1">
        <v>23280.0</v>
      </c>
      <c r="Q1751" s="1">
        <v>0.2278</v>
      </c>
      <c r="R1751" s="1">
        <v>8767.0</v>
      </c>
    </row>
    <row r="1752">
      <c r="A1752" s="663" t="s">
        <v>2352</v>
      </c>
      <c r="B1752" s="663" t="s">
        <v>1192</v>
      </c>
      <c r="C1752" s="663" t="s">
        <v>53</v>
      </c>
      <c r="D1752" s="663" t="s">
        <v>599</v>
      </c>
      <c r="E1752" s="664" t="s">
        <v>341</v>
      </c>
      <c r="F1752" s="665">
        <v>1844.0</v>
      </c>
      <c r="G1752" s="665">
        <v>342.0</v>
      </c>
      <c r="H1752" s="665">
        <v>18.55</v>
      </c>
      <c r="I1752" s="665">
        <v>1.77</v>
      </c>
      <c r="J1752" s="665">
        <v>1.76</v>
      </c>
      <c r="K1752" s="665">
        <v>411.0</v>
      </c>
      <c r="L1752" s="665">
        <v>23280.0</v>
      </c>
      <c r="M1752" s="665">
        <v>0.22</v>
      </c>
      <c r="N1752" s="1">
        <v>1.2018</v>
      </c>
      <c r="O1752" s="1">
        <v>411.0</v>
      </c>
      <c r="P1752" s="1">
        <v>23280.0</v>
      </c>
      <c r="Q1752" s="1">
        <v>0.2229</v>
      </c>
      <c r="R1752" s="1">
        <v>8767.0</v>
      </c>
    </row>
    <row r="1753">
      <c r="A1753" s="663" t="s">
        <v>2352</v>
      </c>
      <c r="B1753" s="663" t="s">
        <v>1192</v>
      </c>
      <c r="C1753" s="663" t="s">
        <v>53</v>
      </c>
      <c r="D1753" s="663" t="s">
        <v>599</v>
      </c>
      <c r="E1753" s="664" t="s">
        <v>7</v>
      </c>
      <c r="F1753" s="665">
        <v>1844.0</v>
      </c>
      <c r="G1753" s="665">
        <v>192.0</v>
      </c>
      <c r="H1753" s="665">
        <v>10.41</v>
      </c>
      <c r="I1753" s="665">
        <v>0.91</v>
      </c>
      <c r="J1753" s="665">
        <v>0.85</v>
      </c>
      <c r="K1753" s="665">
        <v>212.0</v>
      </c>
      <c r="L1753" s="665">
        <v>23280.0</v>
      </c>
      <c r="M1753" s="665">
        <v>0.12</v>
      </c>
      <c r="N1753" s="1">
        <v>1.1042</v>
      </c>
      <c r="O1753" s="1">
        <v>212.0</v>
      </c>
      <c r="P1753" s="1">
        <v>23280.0</v>
      </c>
      <c r="Q1753" s="1">
        <v>0.115</v>
      </c>
      <c r="R1753" s="1">
        <v>8767.0</v>
      </c>
    </row>
    <row r="1754">
      <c r="A1754" s="663" t="s">
        <v>2352</v>
      </c>
      <c r="B1754" s="663" t="s">
        <v>1192</v>
      </c>
      <c r="C1754" s="663" t="s">
        <v>53</v>
      </c>
      <c r="D1754" s="663" t="s">
        <v>599</v>
      </c>
      <c r="E1754" s="664" t="s">
        <v>73</v>
      </c>
      <c r="F1754" s="665">
        <v>1844.0</v>
      </c>
      <c r="G1754" s="665">
        <v>70.0</v>
      </c>
      <c r="H1754" s="665">
        <v>3.8</v>
      </c>
      <c r="I1754" s="665">
        <v>0.3</v>
      </c>
      <c r="J1754" s="665">
        <v>0.28</v>
      </c>
      <c r="K1754" s="665">
        <v>71.0</v>
      </c>
      <c r="L1754" s="665">
        <v>23280.0</v>
      </c>
      <c r="M1754" s="665">
        <v>0.04</v>
      </c>
      <c r="N1754" s="1">
        <v>1.0143</v>
      </c>
      <c r="O1754" s="1">
        <v>71.0</v>
      </c>
      <c r="P1754" s="1">
        <v>23280.0</v>
      </c>
      <c r="Q1754" s="1">
        <v>0.0385</v>
      </c>
      <c r="R1754" s="1">
        <v>8767.0</v>
      </c>
    </row>
    <row r="1755">
      <c r="A1755" s="663" t="s">
        <v>2352</v>
      </c>
      <c r="B1755" s="663" t="s">
        <v>1192</v>
      </c>
      <c r="C1755" s="663" t="s">
        <v>53</v>
      </c>
      <c r="D1755" s="663" t="s">
        <v>599</v>
      </c>
      <c r="E1755" s="664" t="s">
        <v>206</v>
      </c>
      <c r="F1755" s="665">
        <v>1844.0</v>
      </c>
      <c r="G1755" s="665">
        <v>38.0</v>
      </c>
      <c r="H1755" s="665">
        <v>2.06</v>
      </c>
      <c r="I1755" s="665">
        <v>0.16</v>
      </c>
      <c r="J1755" s="665">
        <v>0.1</v>
      </c>
      <c r="K1755" s="665">
        <v>38.0</v>
      </c>
      <c r="L1755" s="665">
        <v>23280.0</v>
      </c>
      <c r="M1755" s="665">
        <v>0.02</v>
      </c>
      <c r="N1755" s="1">
        <v>1.0</v>
      </c>
      <c r="O1755" s="1">
        <v>38.0</v>
      </c>
      <c r="P1755" s="1">
        <v>23280.0</v>
      </c>
      <c r="Q1755" s="1">
        <v>0.0206</v>
      </c>
      <c r="R1755" s="1">
        <v>8767.0</v>
      </c>
    </row>
    <row r="1756">
      <c r="A1756" s="663" t="s">
        <v>2352</v>
      </c>
      <c r="B1756" s="663" t="s">
        <v>1192</v>
      </c>
      <c r="C1756" s="663" t="s">
        <v>53</v>
      </c>
      <c r="D1756" s="663" t="s">
        <v>599</v>
      </c>
      <c r="E1756" s="664" t="s">
        <v>151</v>
      </c>
      <c r="F1756" s="665">
        <v>1844.0</v>
      </c>
      <c r="G1756" s="665">
        <v>2.0</v>
      </c>
      <c r="H1756" s="665">
        <v>0.11</v>
      </c>
      <c r="I1756" s="665">
        <v>0.01</v>
      </c>
      <c r="J1756" s="665">
        <v>0.02</v>
      </c>
      <c r="K1756" s="665">
        <v>3.0</v>
      </c>
      <c r="L1756" s="665">
        <v>23280.0</v>
      </c>
      <c r="M1756" s="665">
        <v>0.0</v>
      </c>
      <c r="N1756" s="1">
        <v>1.5</v>
      </c>
      <c r="O1756" s="1">
        <v>3.0</v>
      </c>
      <c r="P1756" s="1">
        <v>23280.0</v>
      </c>
      <c r="Q1756" s="1">
        <v>0.0016</v>
      </c>
      <c r="R1756" s="1">
        <v>8767.0</v>
      </c>
    </row>
    <row r="1757">
      <c r="A1757" s="663" t="s">
        <v>2352</v>
      </c>
      <c r="B1757" s="663" t="s">
        <v>1192</v>
      </c>
      <c r="C1757" s="663" t="s">
        <v>52</v>
      </c>
      <c r="D1757" s="663" t="s">
        <v>599</v>
      </c>
      <c r="E1757" s="664" t="s">
        <v>14</v>
      </c>
      <c r="F1757" s="665">
        <v>1866.0</v>
      </c>
      <c r="G1757" s="665">
        <v>1424.0</v>
      </c>
      <c r="H1757" s="665">
        <v>76.31</v>
      </c>
      <c r="I1757" s="665">
        <v>21.41</v>
      </c>
      <c r="J1757" s="665">
        <v>22.59</v>
      </c>
      <c r="K1757" s="665">
        <v>5645.0</v>
      </c>
      <c r="L1757" s="665">
        <v>26366.0</v>
      </c>
      <c r="M1757" s="665">
        <v>3.03</v>
      </c>
      <c r="N1757" s="1">
        <v>3.9642</v>
      </c>
      <c r="O1757" s="1">
        <v>5645.0</v>
      </c>
      <c r="P1757" s="1">
        <v>26366.0</v>
      </c>
      <c r="Q1757" s="1">
        <v>3.0252</v>
      </c>
      <c r="R1757" s="1">
        <v>8767.0</v>
      </c>
    </row>
    <row r="1758">
      <c r="A1758" s="663" t="s">
        <v>2352</v>
      </c>
      <c r="B1758" s="663" t="s">
        <v>1192</v>
      </c>
      <c r="C1758" s="663" t="s">
        <v>52</v>
      </c>
      <c r="D1758" s="663" t="s">
        <v>599</v>
      </c>
      <c r="E1758" s="664" t="s">
        <v>418</v>
      </c>
      <c r="F1758" s="665">
        <v>1866.0</v>
      </c>
      <c r="G1758" s="665">
        <v>1573.0</v>
      </c>
      <c r="H1758" s="665">
        <v>84.3</v>
      </c>
      <c r="I1758" s="665">
        <v>18.22</v>
      </c>
      <c r="J1758" s="665">
        <v>17.85</v>
      </c>
      <c r="K1758" s="665">
        <v>4805.0</v>
      </c>
      <c r="L1758" s="665">
        <v>26366.0</v>
      </c>
      <c r="M1758" s="665">
        <v>2.58</v>
      </c>
      <c r="N1758" s="1">
        <v>3.0547</v>
      </c>
      <c r="O1758" s="1">
        <v>4805.0</v>
      </c>
      <c r="P1758" s="1">
        <v>26366.0</v>
      </c>
      <c r="Q1758" s="1">
        <v>2.575</v>
      </c>
      <c r="R1758" s="1">
        <v>8767.0</v>
      </c>
    </row>
    <row r="1759">
      <c r="A1759" s="663" t="s">
        <v>2352</v>
      </c>
      <c r="B1759" s="663" t="s">
        <v>1192</v>
      </c>
      <c r="C1759" s="663" t="s">
        <v>52</v>
      </c>
      <c r="D1759" s="663" t="s">
        <v>599</v>
      </c>
      <c r="E1759" s="664" t="s">
        <v>396</v>
      </c>
      <c r="F1759" s="665">
        <v>1866.0</v>
      </c>
      <c r="G1759" s="665">
        <v>1213.0</v>
      </c>
      <c r="H1759" s="665">
        <v>65.01</v>
      </c>
      <c r="I1759" s="665">
        <v>12.6</v>
      </c>
      <c r="J1759" s="665">
        <v>12.82</v>
      </c>
      <c r="K1759" s="665">
        <v>3322.0</v>
      </c>
      <c r="L1759" s="665">
        <v>26366.0</v>
      </c>
      <c r="M1759" s="665">
        <v>1.78</v>
      </c>
      <c r="N1759" s="1">
        <v>2.7387</v>
      </c>
      <c r="O1759" s="1">
        <v>3322.0</v>
      </c>
      <c r="P1759" s="1">
        <v>26366.0</v>
      </c>
      <c r="Q1759" s="1">
        <v>1.7803</v>
      </c>
      <c r="R1759" s="1">
        <v>8767.0</v>
      </c>
    </row>
    <row r="1760">
      <c r="A1760" s="663" t="s">
        <v>2352</v>
      </c>
      <c r="B1760" s="663" t="s">
        <v>1192</v>
      </c>
      <c r="C1760" s="663" t="s">
        <v>52</v>
      </c>
      <c r="D1760" s="663" t="s">
        <v>599</v>
      </c>
      <c r="E1760" s="664" t="s">
        <v>398</v>
      </c>
      <c r="F1760" s="665">
        <v>1866.0</v>
      </c>
      <c r="G1760" s="665">
        <v>1108.0</v>
      </c>
      <c r="H1760" s="665">
        <v>59.38</v>
      </c>
      <c r="I1760" s="665">
        <v>6.69</v>
      </c>
      <c r="J1760" s="665">
        <v>9.61</v>
      </c>
      <c r="K1760" s="665">
        <v>1765.0</v>
      </c>
      <c r="L1760" s="665">
        <v>26366.0</v>
      </c>
      <c r="M1760" s="665">
        <v>0.95</v>
      </c>
      <c r="N1760" s="1">
        <v>1.593</v>
      </c>
      <c r="O1760" s="1">
        <v>1765.0</v>
      </c>
      <c r="P1760" s="1">
        <v>26366.0</v>
      </c>
      <c r="Q1760" s="1">
        <v>0.9459</v>
      </c>
      <c r="R1760" s="1">
        <v>8767.0</v>
      </c>
    </row>
    <row r="1761">
      <c r="A1761" s="663" t="s">
        <v>2352</v>
      </c>
      <c r="B1761" s="663" t="s">
        <v>1192</v>
      </c>
      <c r="C1761" s="663" t="s">
        <v>52</v>
      </c>
      <c r="D1761" s="663" t="s">
        <v>599</v>
      </c>
      <c r="E1761" s="664" t="s">
        <v>397</v>
      </c>
      <c r="F1761" s="665">
        <v>1866.0</v>
      </c>
      <c r="G1761" s="665">
        <v>1007.0</v>
      </c>
      <c r="H1761" s="665">
        <v>53.97</v>
      </c>
      <c r="I1761" s="665">
        <v>5.8</v>
      </c>
      <c r="J1761" s="665">
        <v>5.45</v>
      </c>
      <c r="K1761" s="665">
        <v>1529.0</v>
      </c>
      <c r="L1761" s="665">
        <v>26366.0</v>
      </c>
      <c r="M1761" s="665">
        <v>0.82</v>
      </c>
      <c r="N1761" s="1">
        <v>1.5184</v>
      </c>
      <c r="O1761" s="1">
        <v>1529.0</v>
      </c>
      <c r="P1761" s="1">
        <v>26366.0</v>
      </c>
      <c r="Q1761" s="1">
        <v>0.8194</v>
      </c>
      <c r="R1761" s="1">
        <v>8767.0</v>
      </c>
    </row>
    <row r="1762">
      <c r="A1762" s="663" t="s">
        <v>2352</v>
      </c>
      <c r="B1762" s="663" t="s">
        <v>1192</v>
      </c>
      <c r="C1762" s="663" t="s">
        <v>52</v>
      </c>
      <c r="D1762" s="663" t="s">
        <v>599</v>
      </c>
      <c r="E1762" s="664" t="s">
        <v>413</v>
      </c>
      <c r="F1762" s="665">
        <v>1866.0</v>
      </c>
      <c r="G1762" s="665">
        <v>650.0</v>
      </c>
      <c r="H1762" s="665">
        <v>34.83</v>
      </c>
      <c r="I1762" s="665">
        <v>4.76</v>
      </c>
      <c r="J1762" s="665">
        <v>4.33</v>
      </c>
      <c r="K1762" s="665">
        <v>1255.0</v>
      </c>
      <c r="L1762" s="665">
        <v>26366.0</v>
      </c>
      <c r="M1762" s="665">
        <v>0.67</v>
      </c>
      <c r="N1762" s="1">
        <v>1.9308</v>
      </c>
      <c r="O1762" s="1">
        <v>1255.0</v>
      </c>
      <c r="P1762" s="1">
        <v>26366.0</v>
      </c>
      <c r="Q1762" s="1">
        <v>0.6726</v>
      </c>
      <c r="R1762" s="1">
        <v>8767.0</v>
      </c>
    </row>
    <row r="1763">
      <c r="A1763" s="663" t="s">
        <v>2352</v>
      </c>
      <c r="B1763" s="663" t="s">
        <v>1192</v>
      </c>
      <c r="C1763" s="663" t="s">
        <v>52</v>
      </c>
      <c r="D1763" s="663" t="s">
        <v>599</v>
      </c>
      <c r="E1763" s="664" t="s">
        <v>51</v>
      </c>
      <c r="F1763" s="665">
        <v>1866.0</v>
      </c>
      <c r="G1763" s="665">
        <v>726.0</v>
      </c>
      <c r="H1763" s="665">
        <v>38.91</v>
      </c>
      <c r="I1763" s="665">
        <v>4.71</v>
      </c>
      <c r="J1763" s="665">
        <v>4.19</v>
      </c>
      <c r="K1763" s="665">
        <v>1241.0</v>
      </c>
      <c r="L1763" s="665">
        <v>26366.0</v>
      </c>
      <c r="M1763" s="665">
        <v>0.67</v>
      </c>
      <c r="N1763" s="1">
        <v>1.7094</v>
      </c>
      <c r="O1763" s="1">
        <v>1241.0</v>
      </c>
      <c r="P1763" s="1">
        <v>26366.0</v>
      </c>
      <c r="Q1763" s="1">
        <v>0.6651</v>
      </c>
      <c r="R1763" s="1">
        <v>8767.0</v>
      </c>
    </row>
    <row r="1764">
      <c r="A1764" s="663" t="s">
        <v>2352</v>
      </c>
      <c r="B1764" s="663" t="s">
        <v>1192</v>
      </c>
      <c r="C1764" s="663" t="s">
        <v>52</v>
      </c>
      <c r="D1764" s="663" t="s">
        <v>599</v>
      </c>
      <c r="E1764" s="664" t="s">
        <v>15</v>
      </c>
      <c r="F1764" s="665">
        <v>1866.0</v>
      </c>
      <c r="G1764" s="665">
        <v>599.0</v>
      </c>
      <c r="H1764" s="665">
        <v>32.1</v>
      </c>
      <c r="I1764" s="665">
        <v>4.39</v>
      </c>
      <c r="J1764" s="665">
        <v>4.33</v>
      </c>
      <c r="K1764" s="665">
        <v>1157.0</v>
      </c>
      <c r="L1764" s="665">
        <v>26366.0</v>
      </c>
      <c r="M1764" s="665">
        <v>0.62</v>
      </c>
      <c r="N1764" s="1">
        <v>1.9316</v>
      </c>
      <c r="O1764" s="1">
        <v>1157.0</v>
      </c>
      <c r="P1764" s="1">
        <v>26366.0</v>
      </c>
      <c r="Q1764" s="1">
        <v>0.62</v>
      </c>
      <c r="R1764" s="1">
        <v>8767.0</v>
      </c>
    </row>
    <row r="1765">
      <c r="A1765" s="663" t="s">
        <v>2352</v>
      </c>
      <c r="B1765" s="663" t="s">
        <v>1192</v>
      </c>
      <c r="C1765" s="663" t="s">
        <v>52</v>
      </c>
      <c r="D1765" s="663" t="s">
        <v>599</v>
      </c>
      <c r="E1765" s="664" t="s">
        <v>9</v>
      </c>
      <c r="F1765" s="665">
        <v>1866.0</v>
      </c>
      <c r="G1765" s="665">
        <v>810.0</v>
      </c>
      <c r="H1765" s="665">
        <v>43.41</v>
      </c>
      <c r="I1765" s="665">
        <v>4.32</v>
      </c>
      <c r="J1765" s="665">
        <v>3.4</v>
      </c>
      <c r="K1765" s="665">
        <v>1138.0</v>
      </c>
      <c r="L1765" s="665">
        <v>26366.0</v>
      </c>
      <c r="M1765" s="665">
        <v>0.61</v>
      </c>
      <c r="N1765" s="1">
        <v>1.4049</v>
      </c>
      <c r="O1765" s="1">
        <v>1138.0</v>
      </c>
      <c r="P1765" s="1">
        <v>26366.0</v>
      </c>
      <c r="Q1765" s="1">
        <v>0.6099</v>
      </c>
      <c r="R1765" s="1">
        <v>8767.0</v>
      </c>
    </row>
    <row r="1766">
      <c r="A1766" s="663" t="s">
        <v>2352</v>
      </c>
      <c r="B1766" s="663" t="s">
        <v>1192</v>
      </c>
      <c r="C1766" s="663" t="s">
        <v>52</v>
      </c>
      <c r="D1766" s="663" t="s">
        <v>599</v>
      </c>
      <c r="E1766" s="664" t="s">
        <v>411</v>
      </c>
      <c r="F1766" s="665">
        <v>1866.0</v>
      </c>
      <c r="G1766" s="665">
        <v>541.0</v>
      </c>
      <c r="H1766" s="665">
        <v>28.99</v>
      </c>
      <c r="I1766" s="665">
        <v>3.8</v>
      </c>
      <c r="J1766" s="665">
        <v>3.11</v>
      </c>
      <c r="K1766" s="665">
        <v>1002.0</v>
      </c>
      <c r="L1766" s="665">
        <v>26366.0</v>
      </c>
      <c r="M1766" s="665">
        <v>0.54</v>
      </c>
      <c r="N1766" s="1">
        <v>1.8521</v>
      </c>
      <c r="O1766" s="1">
        <v>1002.0</v>
      </c>
      <c r="P1766" s="1">
        <v>26366.0</v>
      </c>
      <c r="Q1766" s="1">
        <v>0.537</v>
      </c>
      <c r="R1766" s="1">
        <v>8767.0</v>
      </c>
    </row>
    <row r="1767">
      <c r="A1767" s="663" t="s">
        <v>2352</v>
      </c>
      <c r="B1767" s="663" t="s">
        <v>1192</v>
      </c>
      <c r="C1767" s="663" t="s">
        <v>52</v>
      </c>
      <c r="D1767" s="663" t="s">
        <v>599</v>
      </c>
      <c r="E1767" s="664" t="s">
        <v>393</v>
      </c>
      <c r="F1767" s="665">
        <v>1866.0</v>
      </c>
      <c r="G1767" s="665">
        <v>472.0</v>
      </c>
      <c r="H1767" s="665">
        <v>25.29</v>
      </c>
      <c r="I1767" s="665">
        <v>3.68</v>
      </c>
      <c r="J1767" s="665">
        <v>2.93</v>
      </c>
      <c r="K1767" s="665">
        <v>970.0</v>
      </c>
      <c r="L1767" s="665">
        <v>26366.0</v>
      </c>
      <c r="M1767" s="665">
        <v>0.52</v>
      </c>
      <c r="N1767" s="1">
        <v>2.0551</v>
      </c>
      <c r="O1767" s="1">
        <v>970.0</v>
      </c>
      <c r="P1767" s="1">
        <v>26366.0</v>
      </c>
      <c r="Q1767" s="1">
        <v>0.5198</v>
      </c>
      <c r="R1767" s="1">
        <v>8767.0</v>
      </c>
    </row>
    <row r="1768">
      <c r="A1768" s="663" t="s">
        <v>2352</v>
      </c>
      <c r="B1768" s="663" t="s">
        <v>1192</v>
      </c>
      <c r="C1768" s="663" t="s">
        <v>52</v>
      </c>
      <c r="D1768" s="663" t="s">
        <v>599</v>
      </c>
      <c r="E1768" s="664" t="s">
        <v>63</v>
      </c>
      <c r="F1768" s="665">
        <v>1866.0</v>
      </c>
      <c r="G1768" s="665">
        <v>393.0</v>
      </c>
      <c r="H1768" s="665">
        <v>21.06</v>
      </c>
      <c r="I1768" s="665">
        <v>1.95</v>
      </c>
      <c r="J1768" s="665">
        <v>1.73</v>
      </c>
      <c r="K1768" s="665">
        <v>513.0</v>
      </c>
      <c r="L1768" s="665">
        <v>26366.0</v>
      </c>
      <c r="M1768" s="665">
        <v>0.27</v>
      </c>
      <c r="N1768" s="1">
        <v>1.3053</v>
      </c>
      <c r="O1768" s="1">
        <v>513.0</v>
      </c>
      <c r="P1768" s="1">
        <v>26366.0</v>
      </c>
      <c r="Q1768" s="1">
        <v>0.2749</v>
      </c>
      <c r="R1768" s="1">
        <v>8767.0</v>
      </c>
    </row>
    <row r="1769">
      <c r="A1769" s="663" t="s">
        <v>2352</v>
      </c>
      <c r="B1769" s="663" t="s">
        <v>1192</v>
      </c>
      <c r="C1769" s="663" t="s">
        <v>52</v>
      </c>
      <c r="D1769" s="663" t="s">
        <v>599</v>
      </c>
      <c r="E1769" s="664" t="s">
        <v>16</v>
      </c>
      <c r="F1769" s="665">
        <v>1866.0</v>
      </c>
      <c r="G1769" s="665">
        <v>376.0</v>
      </c>
      <c r="H1769" s="665">
        <v>20.15</v>
      </c>
      <c r="I1769" s="665">
        <v>1.82</v>
      </c>
      <c r="J1769" s="665">
        <v>2.05</v>
      </c>
      <c r="K1769" s="665">
        <v>480.0</v>
      </c>
      <c r="L1769" s="665">
        <v>26366.0</v>
      </c>
      <c r="M1769" s="665">
        <v>0.26</v>
      </c>
      <c r="N1769" s="1">
        <v>1.2766</v>
      </c>
      <c r="O1769" s="1">
        <v>480.0</v>
      </c>
      <c r="P1769" s="1">
        <v>26366.0</v>
      </c>
      <c r="Q1769" s="1">
        <v>0.2572</v>
      </c>
      <c r="R1769" s="1">
        <v>8767.0</v>
      </c>
    </row>
    <row r="1770">
      <c r="A1770" s="663" t="s">
        <v>2352</v>
      </c>
      <c r="B1770" s="663" t="s">
        <v>1192</v>
      </c>
      <c r="C1770" s="663" t="s">
        <v>52</v>
      </c>
      <c r="D1770" s="663" t="s">
        <v>599</v>
      </c>
      <c r="E1770" s="664" t="s">
        <v>42</v>
      </c>
      <c r="F1770" s="665">
        <v>1866.0</v>
      </c>
      <c r="G1770" s="665">
        <v>362.0</v>
      </c>
      <c r="H1770" s="665">
        <v>19.4</v>
      </c>
      <c r="I1770" s="665">
        <v>1.77</v>
      </c>
      <c r="J1770" s="665">
        <v>1.67</v>
      </c>
      <c r="K1770" s="665">
        <v>467.0</v>
      </c>
      <c r="L1770" s="665">
        <v>26366.0</v>
      </c>
      <c r="M1770" s="665">
        <v>0.25</v>
      </c>
      <c r="N1770" s="1">
        <v>1.2901</v>
      </c>
      <c r="O1770" s="1">
        <v>467.0</v>
      </c>
      <c r="P1770" s="1">
        <v>26366.0</v>
      </c>
      <c r="Q1770" s="1">
        <v>0.2503</v>
      </c>
      <c r="R1770" s="1">
        <v>8767.0</v>
      </c>
    </row>
    <row r="1771">
      <c r="A1771" s="663" t="s">
        <v>2352</v>
      </c>
      <c r="B1771" s="663" t="s">
        <v>1192</v>
      </c>
      <c r="C1771" s="663" t="s">
        <v>52</v>
      </c>
      <c r="D1771" s="663" t="s">
        <v>599</v>
      </c>
      <c r="E1771" s="664" t="s">
        <v>7</v>
      </c>
      <c r="F1771" s="665">
        <v>1866.0</v>
      </c>
      <c r="G1771" s="665">
        <v>231.0</v>
      </c>
      <c r="H1771" s="665">
        <v>12.38</v>
      </c>
      <c r="I1771" s="665">
        <v>0.96</v>
      </c>
      <c r="J1771" s="665">
        <v>0.9</v>
      </c>
      <c r="K1771" s="665">
        <v>254.0</v>
      </c>
      <c r="L1771" s="665">
        <v>26366.0</v>
      </c>
      <c r="M1771" s="665">
        <v>0.14</v>
      </c>
      <c r="N1771" s="1">
        <v>1.0996</v>
      </c>
      <c r="O1771" s="1">
        <v>254.0</v>
      </c>
      <c r="P1771" s="1">
        <v>26366.0</v>
      </c>
      <c r="Q1771" s="1">
        <v>0.1361</v>
      </c>
      <c r="R1771" s="1">
        <v>8767.0</v>
      </c>
    </row>
    <row r="1772">
      <c r="A1772" s="663" t="s">
        <v>2352</v>
      </c>
      <c r="B1772" s="663" t="s">
        <v>1192</v>
      </c>
      <c r="C1772" s="663" t="s">
        <v>52</v>
      </c>
      <c r="D1772" s="663" t="s">
        <v>599</v>
      </c>
      <c r="E1772" s="664" t="s">
        <v>341</v>
      </c>
      <c r="F1772" s="665">
        <v>1866.0</v>
      </c>
      <c r="G1772" s="665">
        <v>185.0</v>
      </c>
      <c r="H1772" s="665">
        <v>9.91</v>
      </c>
      <c r="I1772" s="665">
        <v>0.78</v>
      </c>
      <c r="J1772" s="665">
        <v>0.9</v>
      </c>
      <c r="K1772" s="665">
        <v>205.0</v>
      </c>
      <c r="L1772" s="665">
        <v>26366.0</v>
      </c>
      <c r="M1772" s="665">
        <v>0.11</v>
      </c>
      <c r="N1772" s="1">
        <v>1.1081</v>
      </c>
      <c r="O1772" s="1">
        <v>205.0</v>
      </c>
      <c r="P1772" s="1">
        <v>26366.0</v>
      </c>
      <c r="Q1772" s="1">
        <v>0.1099</v>
      </c>
      <c r="R1772" s="1">
        <v>8767.0</v>
      </c>
    </row>
    <row r="1773">
      <c r="A1773" s="663" t="s">
        <v>2352</v>
      </c>
      <c r="B1773" s="663" t="s">
        <v>1192</v>
      </c>
      <c r="C1773" s="663" t="s">
        <v>52</v>
      </c>
      <c r="D1773" s="663" t="s">
        <v>599</v>
      </c>
      <c r="E1773" s="664" t="s">
        <v>338</v>
      </c>
      <c r="F1773" s="665">
        <v>1866.0</v>
      </c>
      <c r="G1773" s="665">
        <v>181.0</v>
      </c>
      <c r="H1773" s="665">
        <v>9.7</v>
      </c>
      <c r="I1773" s="665">
        <v>0.75</v>
      </c>
      <c r="J1773" s="665">
        <v>0.8</v>
      </c>
      <c r="K1773" s="665">
        <v>199.0</v>
      </c>
      <c r="L1773" s="665">
        <v>26366.0</v>
      </c>
      <c r="M1773" s="665">
        <v>0.11</v>
      </c>
      <c r="N1773" s="1">
        <v>1.0994</v>
      </c>
      <c r="O1773" s="1">
        <v>199.0</v>
      </c>
      <c r="P1773" s="1">
        <v>26366.0</v>
      </c>
      <c r="Q1773" s="1">
        <v>0.1066</v>
      </c>
      <c r="R1773" s="1">
        <v>8767.0</v>
      </c>
    </row>
    <row r="1774">
      <c r="A1774" s="663" t="s">
        <v>2352</v>
      </c>
      <c r="B1774" s="663" t="s">
        <v>1192</v>
      </c>
      <c r="C1774" s="663" t="s">
        <v>52</v>
      </c>
      <c r="D1774" s="663" t="s">
        <v>599</v>
      </c>
      <c r="E1774" s="664" t="s">
        <v>329</v>
      </c>
      <c r="F1774" s="665">
        <v>1866.0</v>
      </c>
      <c r="G1774" s="665">
        <v>169.0</v>
      </c>
      <c r="H1774" s="665">
        <v>9.06</v>
      </c>
      <c r="I1774" s="665">
        <v>0.7</v>
      </c>
      <c r="J1774" s="665">
        <v>0.83</v>
      </c>
      <c r="K1774" s="665">
        <v>184.0</v>
      </c>
      <c r="L1774" s="665">
        <v>26366.0</v>
      </c>
      <c r="M1774" s="665">
        <v>0.1</v>
      </c>
      <c r="N1774" s="1">
        <v>1.0888</v>
      </c>
      <c r="O1774" s="1">
        <v>184.0</v>
      </c>
      <c r="P1774" s="1">
        <v>26366.0</v>
      </c>
      <c r="Q1774" s="1">
        <v>0.0986</v>
      </c>
      <c r="R1774" s="1">
        <v>8767.0</v>
      </c>
    </row>
    <row r="1775">
      <c r="A1775" s="663" t="s">
        <v>2352</v>
      </c>
      <c r="B1775" s="663" t="s">
        <v>1192</v>
      </c>
      <c r="C1775" s="663" t="s">
        <v>52</v>
      </c>
      <c r="D1775" s="663" t="s">
        <v>599</v>
      </c>
      <c r="E1775" s="664" t="s">
        <v>401</v>
      </c>
      <c r="F1775" s="665">
        <v>1866.0</v>
      </c>
      <c r="G1775" s="665">
        <v>128.0</v>
      </c>
      <c r="H1775" s="665">
        <v>6.86</v>
      </c>
      <c r="I1775" s="665">
        <v>0.52</v>
      </c>
      <c r="J1775" s="665">
        <v>0.3</v>
      </c>
      <c r="K1775" s="665">
        <v>137.0</v>
      </c>
      <c r="L1775" s="665">
        <v>26366.0</v>
      </c>
      <c r="M1775" s="665">
        <v>0.07</v>
      </c>
      <c r="N1775" s="1">
        <v>1.0703</v>
      </c>
      <c r="O1775" s="1">
        <v>137.0</v>
      </c>
      <c r="P1775" s="1">
        <v>26366.0</v>
      </c>
      <c r="Q1775" s="1">
        <v>0.0734</v>
      </c>
      <c r="R1775" s="1">
        <v>8767.0</v>
      </c>
    </row>
    <row r="1776">
      <c r="A1776" s="663" t="s">
        <v>2352</v>
      </c>
      <c r="B1776" s="663" t="s">
        <v>1192</v>
      </c>
      <c r="C1776" s="663" t="s">
        <v>52</v>
      </c>
      <c r="D1776" s="663" t="s">
        <v>599</v>
      </c>
      <c r="E1776" s="664" t="s">
        <v>206</v>
      </c>
      <c r="F1776" s="665">
        <v>1866.0</v>
      </c>
      <c r="G1776" s="665">
        <v>96.0</v>
      </c>
      <c r="H1776" s="665">
        <v>5.14</v>
      </c>
      <c r="I1776" s="665">
        <v>0.37</v>
      </c>
      <c r="J1776" s="665">
        <v>0.21</v>
      </c>
      <c r="K1776" s="665">
        <v>97.0</v>
      </c>
      <c r="L1776" s="665">
        <v>26366.0</v>
      </c>
      <c r="M1776" s="665">
        <v>0.05</v>
      </c>
      <c r="N1776" s="1">
        <v>1.0104</v>
      </c>
      <c r="O1776" s="1">
        <v>97.0</v>
      </c>
      <c r="P1776" s="1">
        <v>26366.0</v>
      </c>
      <c r="Q1776" s="1">
        <v>0.052</v>
      </c>
      <c r="R1776" s="1">
        <v>8767.0</v>
      </c>
    </row>
    <row r="1777">
      <c r="A1777" s="663" t="s">
        <v>2352</v>
      </c>
      <c r="B1777" s="663" t="s">
        <v>1192</v>
      </c>
      <c r="C1777" s="663" t="s">
        <v>52</v>
      </c>
      <c r="D1777" s="663" t="s">
        <v>599</v>
      </c>
      <c r="E1777" s="664" t="s">
        <v>151</v>
      </c>
      <c r="F1777" s="665">
        <v>1866.0</v>
      </c>
      <c r="G1777" s="665">
        <v>1.0</v>
      </c>
      <c r="H1777" s="665">
        <v>0.05</v>
      </c>
      <c r="I1777" s="665">
        <v>0.0</v>
      </c>
      <c r="J1777" s="665">
        <v>0.0</v>
      </c>
      <c r="K1777" s="665">
        <v>1.0</v>
      </c>
      <c r="L1777" s="665">
        <v>26366.0</v>
      </c>
      <c r="M1777" s="665">
        <v>0.0</v>
      </c>
      <c r="N1777" s="1">
        <v>1.0</v>
      </c>
      <c r="O1777" s="1">
        <v>1.0</v>
      </c>
      <c r="P1777" s="1">
        <v>26366.0</v>
      </c>
      <c r="Q1777" s="1">
        <v>5.0E-4</v>
      </c>
      <c r="R1777" s="1">
        <v>8767.0</v>
      </c>
    </row>
    <row r="1778">
      <c r="A1778" s="663" t="s">
        <v>2352</v>
      </c>
      <c r="B1778" s="663" t="s">
        <v>1192</v>
      </c>
      <c r="C1778" s="663" t="s">
        <v>1209</v>
      </c>
      <c r="D1778" s="663" t="s">
        <v>2234</v>
      </c>
      <c r="E1778" s="664" t="s">
        <v>206</v>
      </c>
      <c r="F1778" s="665">
        <v>908.0</v>
      </c>
      <c r="G1778" s="665">
        <v>440.0</v>
      </c>
      <c r="H1778" s="665">
        <v>48.46</v>
      </c>
      <c r="I1778" s="665">
        <v>25.97</v>
      </c>
      <c r="J1778" s="665">
        <v>32.1</v>
      </c>
      <c r="K1778" s="665">
        <v>6075.0</v>
      </c>
      <c r="L1778" s="665">
        <v>23395.0</v>
      </c>
      <c r="M1778" s="665">
        <v>6.69</v>
      </c>
      <c r="N1778" s="1">
        <v>13.8068</v>
      </c>
      <c r="O1778" s="1">
        <v>6075.0</v>
      </c>
      <c r="P1778" s="1">
        <v>23395.0</v>
      </c>
      <c r="Q1778" s="1">
        <v>6.6905</v>
      </c>
      <c r="R1778" s="1">
        <v>8767.0</v>
      </c>
    </row>
    <row r="1779">
      <c r="A1779" s="663" t="s">
        <v>2352</v>
      </c>
      <c r="B1779" s="663" t="s">
        <v>1192</v>
      </c>
      <c r="C1779" s="663" t="s">
        <v>1209</v>
      </c>
      <c r="D1779" s="663" t="s">
        <v>2234</v>
      </c>
      <c r="E1779" s="664" t="s">
        <v>401</v>
      </c>
      <c r="F1779" s="665">
        <v>908.0</v>
      </c>
      <c r="G1779" s="665">
        <v>411.0</v>
      </c>
      <c r="H1779" s="665">
        <v>45.26</v>
      </c>
      <c r="I1779" s="665">
        <v>22.8</v>
      </c>
      <c r="J1779" s="665">
        <v>29.5</v>
      </c>
      <c r="K1779" s="665">
        <v>5335.0</v>
      </c>
      <c r="L1779" s="665">
        <v>23395.0</v>
      </c>
      <c r="M1779" s="665">
        <v>5.88</v>
      </c>
      <c r="N1779" s="1">
        <v>12.9805</v>
      </c>
      <c r="O1779" s="1">
        <v>5335.0</v>
      </c>
      <c r="P1779" s="1">
        <v>23395.0</v>
      </c>
      <c r="Q1779" s="1">
        <v>5.8756</v>
      </c>
      <c r="R1779" s="1">
        <v>8767.0</v>
      </c>
    </row>
    <row r="1780">
      <c r="A1780" s="663" t="s">
        <v>2352</v>
      </c>
      <c r="B1780" s="663" t="s">
        <v>1192</v>
      </c>
      <c r="C1780" s="663" t="s">
        <v>1209</v>
      </c>
      <c r="D1780" s="663" t="s">
        <v>2234</v>
      </c>
      <c r="E1780" s="664" t="s">
        <v>413</v>
      </c>
      <c r="F1780" s="665">
        <v>908.0</v>
      </c>
      <c r="G1780" s="665">
        <v>242.0</v>
      </c>
      <c r="H1780" s="665">
        <v>26.65</v>
      </c>
      <c r="I1780" s="665">
        <v>22.61</v>
      </c>
      <c r="J1780" s="665">
        <v>19.21</v>
      </c>
      <c r="K1780" s="665">
        <v>5290.0</v>
      </c>
      <c r="L1780" s="665">
        <v>23395.0</v>
      </c>
      <c r="M1780" s="665">
        <v>5.83</v>
      </c>
      <c r="N1780" s="1">
        <v>21.8595</v>
      </c>
      <c r="O1780" s="1">
        <v>5290.0</v>
      </c>
      <c r="P1780" s="1">
        <v>23395.0</v>
      </c>
      <c r="Q1780" s="1">
        <v>5.826</v>
      </c>
      <c r="R1780" s="1">
        <v>8767.0</v>
      </c>
    </row>
    <row r="1781">
      <c r="A1781" s="663" t="s">
        <v>2352</v>
      </c>
      <c r="B1781" s="663" t="s">
        <v>1192</v>
      </c>
      <c r="C1781" s="663" t="s">
        <v>1209</v>
      </c>
      <c r="D1781" s="663" t="s">
        <v>2234</v>
      </c>
      <c r="E1781" s="664" t="s">
        <v>397</v>
      </c>
      <c r="F1781" s="665">
        <v>908.0</v>
      </c>
      <c r="G1781" s="665">
        <v>162.0</v>
      </c>
      <c r="H1781" s="665">
        <v>17.84</v>
      </c>
      <c r="I1781" s="665">
        <v>20.9</v>
      </c>
      <c r="J1781" s="665">
        <v>11.5</v>
      </c>
      <c r="K1781" s="665">
        <v>4890.0</v>
      </c>
      <c r="L1781" s="665">
        <v>23395.0</v>
      </c>
      <c r="M1781" s="665">
        <v>5.39</v>
      </c>
      <c r="N1781" s="1">
        <v>30.1852</v>
      </c>
      <c r="O1781" s="1">
        <v>4890.0</v>
      </c>
      <c r="P1781" s="1">
        <v>23395.0</v>
      </c>
      <c r="Q1781" s="1">
        <v>5.3855</v>
      </c>
      <c r="R1781" s="1">
        <v>8767.0</v>
      </c>
    </row>
    <row r="1782">
      <c r="A1782" s="663" t="s">
        <v>2352</v>
      </c>
      <c r="B1782" s="663" t="s">
        <v>1192</v>
      </c>
      <c r="C1782" s="663" t="s">
        <v>1209</v>
      </c>
      <c r="D1782" s="663" t="s">
        <v>2234</v>
      </c>
      <c r="E1782" s="664" t="s">
        <v>73</v>
      </c>
      <c r="F1782" s="665">
        <v>908.0</v>
      </c>
      <c r="G1782" s="665">
        <v>95.0</v>
      </c>
      <c r="H1782" s="665">
        <v>10.46</v>
      </c>
      <c r="I1782" s="665">
        <v>6.16</v>
      </c>
      <c r="J1782" s="665">
        <v>6.65</v>
      </c>
      <c r="K1782" s="665">
        <v>1440.0</v>
      </c>
      <c r="L1782" s="665">
        <v>23395.0</v>
      </c>
      <c r="M1782" s="665">
        <v>1.59</v>
      </c>
      <c r="N1782" s="1">
        <v>15.1579</v>
      </c>
      <c r="O1782" s="1">
        <v>1440.0</v>
      </c>
      <c r="P1782" s="1">
        <v>23395.0</v>
      </c>
      <c r="Q1782" s="1">
        <v>1.5859</v>
      </c>
      <c r="R1782" s="1">
        <v>8767.0</v>
      </c>
    </row>
    <row r="1783">
      <c r="A1783" s="663" t="s">
        <v>2352</v>
      </c>
      <c r="B1783" s="663" t="s">
        <v>1192</v>
      </c>
      <c r="C1783" s="663" t="s">
        <v>1209</v>
      </c>
      <c r="D1783" s="663" t="s">
        <v>2234</v>
      </c>
      <c r="E1783" s="664" t="s">
        <v>411</v>
      </c>
      <c r="F1783" s="665">
        <v>908.0</v>
      </c>
      <c r="G1783" s="665">
        <v>9.0</v>
      </c>
      <c r="H1783" s="665">
        <v>0.99</v>
      </c>
      <c r="I1783" s="665">
        <v>1.47</v>
      </c>
      <c r="J1783" s="665">
        <v>0.94</v>
      </c>
      <c r="K1783" s="665">
        <v>345.0</v>
      </c>
      <c r="L1783" s="665">
        <v>23395.0</v>
      </c>
      <c r="M1783" s="665">
        <v>0.38</v>
      </c>
      <c r="N1783" s="1">
        <v>38.3333</v>
      </c>
      <c r="O1783" s="1">
        <v>345.0</v>
      </c>
      <c r="P1783" s="1">
        <v>23395.0</v>
      </c>
      <c r="Q1783" s="1">
        <v>0.38</v>
      </c>
      <c r="R1783" s="1">
        <v>8767.0</v>
      </c>
    </row>
    <row r="1784">
      <c r="A1784" s="663" t="s">
        <v>2352</v>
      </c>
      <c r="B1784" s="663" t="s">
        <v>1192</v>
      </c>
      <c r="C1784" s="663" t="s">
        <v>1209</v>
      </c>
      <c r="D1784" s="663" t="s">
        <v>2234</v>
      </c>
      <c r="E1784" s="664" t="s">
        <v>151</v>
      </c>
      <c r="F1784" s="665">
        <v>908.0</v>
      </c>
      <c r="G1784" s="665">
        <v>1.0</v>
      </c>
      <c r="H1784" s="665">
        <v>0.11</v>
      </c>
      <c r="I1784" s="665">
        <v>0.09</v>
      </c>
      <c r="J1784" s="665">
        <v>0.11</v>
      </c>
      <c r="K1784" s="665">
        <v>20.0</v>
      </c>
      <c r="L1784" s="665">
        <v>23395.0</v>
      </c>
      <c r="M1784" s="665">
        <v>0.02</v>
      </c>
      <c r="N1784" s="1">
        <v>20.0</v>
      </c>
      <c r="O1784" s="1">
        <v>20.0</v>
      </c>
      <c r="P1784" s="1">
        <v>23395.0</v>
      </c>
      <c r="Q1784" s="1">
        <v>0.022</v>
      </c>
      <c r="R1784" s="1">
        <v>8767.0</v>
      </c>
    </row>
    <row r="1785">
      <c r="A1785" s="663" t="s">
        <v>2352</v>
      </c>
      <c r="B1785" s="663" t="s">
        <v>1192</v>
      </c>
      <c r="C1785" s="663" t="s">
        <v>1210</v>
      </c>
      <c r="D1785" s="663" t="s">
        <v>2234</v>
      </c>
      <c r="E1785" s="664" t="s">
        <v>413</v>
      </c>
      <c r="F1785" s="665">
        <v>1503.0</v>
      </c>
      <c r="G1785" s="665">
        <v>735.0</v>
      </c>
      <c r="H1785" s="665">
        <v>48.9</v>
      </c>
      <c r="I1785" s="665">
        <v>28.64</v>
      </c>
      <c r="J1785" s="665">
        <v>30.84</v>
      </c>
      <c r="K1785" s="665">
        <v>18840.0</v>
      </c>
      <c r="L1785" s="665">
        <v>65785.0</v>
      </c>
      <c r="M1785" s="665">
        <v>12.53</v>
      </c>
      <c r="N1785" s="1">
        <v>25.6327</v>
      </c>
      <c r="O1785" s="1">
        <v>18840.0</v>
      </c>
      <c r="P1785" s="1">
        <v>65785.0</v>
      </c>
      <c r="Q1785" s="1">
        <v>12.5349</v>
      </c>
      <c r="R1785" s="1">
        <v>8767.0</v>
      </c>
    </row>
    <row r="1786">
      <c r="A1786" s="663" t="s">
        <v>2352</v>
      </c>
      <c r="B1786" s="663" t="s">
        <v>1192</v>
      </c>
      <c r="C1786" s="663" t="s">
        <v>1210</v>
      </c>
      <c r="D1786" s="663" t="s">
        <v>2234</v>
      </c>
      <c r="E1786" s="664" t="s">
        <v>9</v>
      </c>
      <c r="F1786" s="665">
        <v>1503.0</v>
      </c>
      <c r="G1786" s="665">
        <v>812.0</v>
      </c>
      <c r="H1786" s="665">
        <v>54.03</v>
      </c>
      <c r="I1786" s="665">
        <v>16.89</v>
      </c>
      <c r="J1786" s="665">
        <v>20.48</v>
      </c>
      <c r="K1786" s="665">
        <v>11110.0</v>
      </c>
      <c r="L1786" s="665">
        <v>65785.0</v>
      </c>
      <c r="M1786" s="665">
        <v>7.39</v>
      </c>
      <c r="N1786" s="1">
        <v>13.6823</v>
      </c>
      <c r="O1786" s="1">
        <v>11110.0</v>
      </c>
      <c r="P1786" s="1">
        <v>65785.0</v>
      </c>
      <c r="Q1786" s="1">
        <v>7.3919</v>
      </c>
      <c r="R1786" s="1">
        <v>8767.0</v>
      </c>
    </row>
    <row r="1787">
      <c r="A1787" s="663" t="s">
        <v>2352</v>
      </c>
      <c r="B1787" s="663" t="s">
        <v>1192</v>
      </c>
      <c r="C1787" s="663" t="s">
        <v>1210</v>
      </c>
      <c r="D1787" s="663" t="s">
        <v>2234</v>
      </c>
      <c r="E1787" s="664" t="s">
        <v>397</v>
      </c>
      <c r="F1787" s="665">
        <v>1503.0</v>
      </c>
      <c r="G1787" s="665">
        <v>183.0</v>
      </c>
      <c r="H1787" s="665">
        <v>12.18</v>
      </c>
      <c r="I1787" s="665">
        <v>16.69</v>
      </c>
      <c r="J1787" s="665">
        <v>7.02</v>
      </c>
      <c r="K1787" s="665">
        <v>10980.0</v>
      </c>
      <c r="L1787" s="665">
        <v>65785.0</v>
      </c>
      <c r="M1787" s="665">
        <v>7.31</v>
      </c>
      <c r="N1787" s="1">
        <v>60.0</v>
      </c>
      <c r="O1787" s="1">
        <v>10980.0</v>
      </c>
      <c r="P1787" s="1">
        <v>65785.0</v>
      </c>
      <c r="Q1787" s="1">
        <v>7.3054</v>
      </c>
      <c r="R1787" s="1">
        <v>8767.0</v>
      </c>
    </row>
    <row r="1788">
      <c r="A1788" s="663" t="s">
        <v>2352</v>
      </c>
      <c r="B1788" s="663" t="s">
        <v>1192</v>
      </c>
      <c r="C1788" s="663" t="s">
        <v>1210</v>
      </c>
      <c r="D1788" s="663" t="s">
        <v>2234</v>
      </c>
      <c r="E1788" s="664" t="s">
        <v>401</v>
      </c>
      <c r="F1788" s="665">
        <v>1503.0</v>
      </c>
      <c r="G1788" s="665">
        <v>558.0</v>
      </c>
      <c r="H1788" s="665">
        <v>37.13</v>
      </c>
      <c r="I1788" s="665">
        <v>12.62</v>
      </c>
      <c r="J1788" s="665">
        <v>14.25</v>
      </c>
      <c r="K1788" s="665">
        <v>8300.0</v>
      </c>
      <c r="L1788" s="665">
        <v>65785.0</v>
      </c>
      <c r="M1788" s="665">
        <v>5.52</v>
      </c>
      <c r="N1788" s="1">
        <v>14.8746</v>
      </c>
      <c r="O1788" s="1">
        <v>8300.0</v>
      </c>
      <c r="P1788" s="1">
        <v>65785.0</v>
      </c>
      <c r="Q1788" s="1">
        <v>5.5223</v>
      </c>
      <c r="R1788" s="1">
        <v>8767.0</v>
      </c>
    </row>
    <row r="1789">
      <c r="A1789" s="663" t="s">
        <v>2352</v>
      </c>
      <c r="B1789" s="663" t="s">
        <v>1192</v>
      </c>
      <c r="C1789" s="663" t="s">
        <v>1210</v>
      </c>
      <c r="D1789" s="663" t="s">
        <v>2234</v>
      </c>
      <c r="E1789" s="664" t="s">
        <v>206</v>
      </c>
      <c r="F1789" s="665">
        <v>1503.0</v>
      </c>
      <c r="G1789" s="665">
        <v>547.0</v>
      </c>
      <c r="H1789" s="665">
        <v>36.39</v>
      </c>
      <c r="I1789" s="665">
        <v>11.61</v>
      </c>
      <c r="J1789" s="665">
        <v>14.49</v>
      </c>
      <c r="K1789" s="665">
        <v>7635.0</v>
      </c>
      <c r="L1789" s="665">
        <v>65785.0</v>
      </c>
      <c r="M1789" s="665">
        <v>5.08</v>
      </c>
      <c r="N1789" s="1">
        <v>13.958</v>
      </c>
      <c r="O1789" s="1">
        <v>7635.0</v>
      </c>
      <c r="P1789" s="1">
        <v>65785.0</v>
      </c>
      <c r="Q1789" s="1">
        <v>5.0798</v>
      </c>
      <c r="R1789" s="1">
        <v>8767.0</v>
      </c>
    </row>
    <row r="1790">
      <c r="A1790" s="663" t="s">
        <v>2352</v>
      </c>
      <c r="B1790" s="663" t="s">
        <v>1192</v>
      </c>
      <c r="C1790" s="663" t="s">
        <v>1210</v>
      </c>
      <c r="D1790" s="663" t="s">
        <v>2234</v>
      </c>
      <c r="E1790" s="664" t="s">
        <v>14</v>
      </c>
      <c r="F1790" s="665">
        <v>1503.0</v>
      </c>
      <c r="G1790" s="665">
        <v>391.0</v>
      </c>
      <c r="H1790" s="665">
        <v>26.01</v>
      </c>
      <c r="I1790" s="665">
        <v>8.8</v>
      </c>
      <c r="J1790" s="665">
        <v>7.06</v>
      </c>
      <c r="K1790" s="665">
        <v>5790.0</v>
      </c>
      <c r="L1790" s="665">
        <v>65785.0</v>
      </c>
      <c r="M1790" s="665">
        <v>3.85</v>
      </c>
      <c r="N1790" s="1">
        <v>14.8082</v>
      </c>
      <c r="O1790" s="1">
        <v>5790.0</v>
      </c>
      <c r="P1790" s="1">
        <v>65785.0</v>
      </c>
      <c r="Q1790" s="1">
        <v>3.8523</v>
      </c>
      <c r="R1790" s="1">
        <v>8767.0</v>
      </c>
    </row>
    <row r="1791">
      <c r="A1791" s="663" t="s">
        <v>2352</v>
      </c>
      <c r="B1791" s="663" t="s">
        <v>1192</v>
      </c>
      <c r="C1791" s="663" t="s">
        <v>1210</v>
      </c>
      <c r="D1791" s="663" t="s">
        <v>2234</v>
      </c>
      <c r="E1791" s="664" t="s">
        <v>73</v>
      </c>
      <c r="F1791" s="665">
        <v>1503.0</v>
      </c>
      <c r="G1791" s="665">
        <v>180.0</v>
      </c>
      <c r="H1791" s="665">
        <v>11.98</v>
      </c>
      <c r="I1791" s="665">
        <v>4.22</v>
      </c>
      <c r="J1791" s="665">
        <v>5.45</v>
      </c>
      <c r="K1791" s="665">
        <v>2775.0</v>
      </c>
      <c r="L1791" s="665">
        <v>65785.0</v>
      </c>
      <c r="M1791" s="665">
        <v>1.85</v>
      </c>
      <c r="N1791" s="1">
        <v>15.4167</v>
      </c>
      <c r="O1791" s="1">
        <v>2775.0</v>
      </c>
      <c r="P1791" s="1">
        <v>65785.0</v>
      </c>
      <c r="Q1791" s="1">
        <v>1.8463</v>
      </c>
      <c r="R1791" s="1">
        <v>8767.0</v>
      </c>
    </row>
    <row r="1792">
      <c r="A1792" s="663" t="s">
        <v>2352</v>
      </c>
      <c r="B1792" s="663" t="s">
        <v>1192</v>
      </c>
      <c r="C1792" s="663" t="s">
        <v>1210</v>
      </c>
      <c r="D1792" s="663" t="s">
        <v>2234</v>
      </c>
      <c r="E1792" s="664" t="s">
        <v>411</v>
      </c>
      <c r="F1792" s="665">
        <v>1503.0</v>
      </c>
      <c r="G1792" s="665">
        <v>8.0</v>
      </c>
      <c r="H1792" s="665">
        <v>0.53</v>
      </c>
      <c r="I1792" s="665">
        <v>0.5</v>
      </c>
      <c r="J1792" s="665">
        <v>0.39</v>
      </c>
      <c r="K1792" s="665">
        <v>330.0</v>
      </c>
      <c r="L1792" s="665">
        <v>65785.0</v>
      </c>
      <c r="M1792" s="665">
        <v>0.22</v>
      </c>
      <c r="N1792" s="1">
        <v>41.25</v>
      </c>
      <c r="O1792" s="1">
        <v>330.0</v>
      </c>
      <c r="P1792" s="1">
        <v>65785.0</v>
      </c>
      <c r="Q1792" s="1">
        <v>0.2196</v>
      </c>
      <c r="R1792" s="1">
        <v>8767.0</v>
      </c>
    </row>
    <row r="1793">
      <c r="A1793" s="663" t="s">
        <v>2352</v>
      </c>
      <c r="B1793" s="663" t="s">
        <v>1192</v>
      </c>
      <c r="C1793" s="663" t="s">
        <v>1210</v>
      </c>
      <c r="D1793" s="663" t="s">
        <v>2234</v>
      </c>
      <c r="E1793" s="664" t="s">
        <v>151</v>
      </c>
      <c r="F1793" s="665">
        <v>1503.0</v>
      </c>
      <c r="G1793" s="665">
        <v>1.0</v>
      </c>
      <c r="H1793" s="665">
        <v>0.07</v>
      </c>
      <c r="I1793" s="665">
        <v>0.04</v>
      </c>
      <c r="J1793" s="665">
        <v>0.02</v>
      </c>
      <c r="K1793" s="665">
        <v>25.0</v>
      </c>
      <c r="L1793" s="665">
        <v>65785.0</v>
      </c>
      <c r="M1793" s="665">
        <v>0.02</v>
      </c>
      <c r="N1793" s="1">
        <v>25.0</v>
      </c>
      <c r="O1793" s="1">
        <v>25.0</v>
      </c>
      <c r="P1793" s="1">
        <v>65785.0</v>
      </c>
      <c r="Q1793" s="1">
        <v>0.0166</v>
      </c>
      <c r="R1793" s="1">
        <v>8767.0</v>
      </c>
    </row>
    <row r="1794">
      <c r="A1794" s="663" t="s">
        <v>2352</v>
      </c>
      <c r="B1794" s="663" t="s">
        <v>1192</v>
      </c>
      <c r="C1794" s="663" t="s">
        <v>1211</v>
      </c>
      <c r="D1794" s="663" t="s">
        <v>2234</v>
      </c>
      <c r="E1794" s="664" t="s">
        <v>413</v>
      </c>
      <c r="F1794" s="665">
        <v>1721.0</v>
      </c>
      <c r="G1794" s="665">
        <v>1061.0</v>
      </c>
      <c r="H1794" s="665">
        <v>61.65</v>
      </c>
      <c r="I1794" s="665">
        <v>26.71</v>
      </c>
      <c r="J1794" s="665">
        <v>28.95</v>
      </c>
      <c r="K1794" s="665">
        <v>28250.0</v>
      </c>
      <c r="L1794" s="665">
        <v>105785.0</v>
      </c>
      <c r="M1794" s="665">
        <v>16.41</v>
      </c>
      <c r="N1794" s="1">
        <v>26.6258</v>
      </c>
      <c r="O1794" s="1">
        <v>28250.0</v>
      </c>
      <c r="P1794" s="1">
        <v>105785.0</v>
      </c>
      <c r="Q1794" s="1">
        <v>16.4149</v>
      </c>
      <c r="R1794" s="1">
        <v>8767.0</v>
      </c>
    </row>
    <row r="1795">
      <c r="A1795" s="663" t="s">
        <v>2352</v>
      </c>
      <c r="B1795" s="663" t="s">
        <v>1192</v>
      </c>
      <c r="C1795" s="663" t="s">
        <v>1211</v>
      </c>
      <c r="D1795" s="663" t="s">
        <v>2234</v>
      </c>
      <c r="E1795" s="664" t="s">
        <v>397</v>
      </c>
      <c r="F1795" s="665">
        <v>1721.0</v>
      </c>
      <c r="G1795" s="665">
        <v>334.0</v>
      </c>
      <c r="H1795" s="665">
        <v>19.41</v>
      </c>
      <c r="I1795" s="665">
        <v>19.0</v>
      </c>
      <c r="J1795" s="665">
        <v>10.39</v>
      </c>
      <c r="K1795" s="665">
        <v>20100.0</v>
      </c>
      <c r="L1795" s="665">
        <v>105785.0</v>
      </c>
      <c r="M1795" s="665">
        <v>11.68</v>
      </c>
      <c r="N1795" s="1">
        <v>60.1796</v>
      </c>
      <c r="O1795" s="1">
        <v>20100.0</v>
      </c>
      <c r="P1795" s="1">
        <v>105785.0</v>
      </c>
      <c r="Q1795" s="1">
        <v>11.6793</v>
      </c>
      <c r="R1795" s="1">
        <v>8767.0</v>
      </c>
    </row>
    <row r="1796">
      <c r="A1796" s="663" t="s">
        <v>2352</v>
      </c>
      <c r="B1796" s="663" t="s">
        <v>1192</v>
      </c>
      <c r="C1796" s="663" t="s">
        <v>1211</v>
      </c>
      <c r="D1796" s="663" t="s">
        <v>2234</v>
      </c>
      <c r="E1796" s="664" t="s">
        <v>14</v>
      </c>
      <c r="F1796" s="665">
        <v>1721.0</v>
      </c>
      <c r="G1796" s="665">
        <v>1176.0</v>
      </c>
      <c r="H1796" s="665">
        <v>68.33</v>
      </c>
      <c r="I1796" s="665">
        <v>18.87</v>
      </c>
      <c r="J1796" s="665">
        <v>22.06</v>
      </c>
      <c r="K1796" s="665">
        <v>19960.0</v>
      </c>
      <c r="L1796" s="665">
        <v>105785.0</v>
      </c>
      <c r="M1796" s="665">
        <v>11.6</v>
      </c>
      <c r="N1796" s="1">
        <v>16.9728</v>
      </c>
      <c r="O1796" s="1">
        <v>19960.0</v>
      </c>
      <c r="P1796" s="1">
        <v>105785.0</v>
      </c>
      <c r="Q1796" s="1">
        <v>11.5979</v>
      </c>
      <c r="R1796" s="1">
        <v>8767.0</v>
      </c>
    </row>
    <row r="1797">
      <c r="A1797" s="663" t="s">
        <v>2352</v>
      </c>
      <c r="B1797" s="663" t="s">
        <v>1192</v>
      </c>
      <c r="C1797" s="663" t="s">
        <v>1211</v>
      </c>
      <c r="D1797" s="663" t="s">
        <v>2234</v>
      </c>
      <c r="E1797" s="664" t="s">
        <v>9</v>
      </c>
      <c r="F1797" s="665">
        <v>1721.0</v>
      </c>
      <c r="G1797" s="665">
        <v>942.0</v>
      </c>
      <c r="H1797" s="665">
        <v>54.74</v>
      </c>
      <c r="I1797" s="665">
        <v>12.34</v>
      </c>
      <c r="J1797" s="665">
        <v>12.41</v>
      </c>
      <c r="K1797" s="665">
        <v>13050.0</v>
      </c>
      <c r="L1797" s="665">
        <v>105785.0</v>
      </c>
      <c r="M1797" s="665">
        <v>7.58</v>
      </c>
      <c r="N1797" s="1">
        <v>13.8535</v>
      </c>
      <c r="O1797" s="1">
        <v>13050.0</v>
      </c>
      <c r="P1797" s="1">
        <v>105785.0</v>
      </c>
      <c r="Q1797" s="1">
        <v>7.5828</v>
      </c>
      <c r="R1797" s="1">
        <v>8767.0</v>
      </c>
    </row>
    <row r="1798">
      <c r="A1798" s="663" t="s">
        <v>2352</v>
      </c>
      <c r="B1798" s="663" t="s">
        <v>1192</v>
      </c>
      <c r="C1798" s="663" t="s">
        <v>1211</v>
      </c>
      <c r="D1798" s="663" t="s">
        <v>2234</v>
      </c>
      <c r="E1798" s="664" t="s">
        <v>401</v>
      </c>
      <c r="F1798" s="665">
        <v>1721.0</v>
      </c>
      <c r="G1798" s="665">
        <v>597.0</v>
      </c>
      <c r="H1798" s="665">
        <v>34.69</v>
      </c>
      <c r="I1798" s="665">
        <v>9.95</v>
      </c>
      <c r="J1798" s="665">
        <v>10.43</v>
      </c>
      <c r="K1798" s="665">
        <v>10525.0</v>
      </c>
      <c r="L1798" s="665">
        <v>105785.0</v>
      </c>
      <c r="M1798" s="665">
        <v>6.12</v>
      </c>
      <c r="N1798" s="1">
        <v>17.6298</v>
      </c>
      <c r="O1798" s="1">
        <v>10525.0</v>
      </c>
      <c r="P1798" s="1">
        <v>105785.0</v>
      </c>
      <c r="Q1798" s="1">
        <v>6.1156</v>
      </c>
      <c r="R1798" s="1">
        <v>8767.0</v>
      </c>
    </row>
    <row r="1799">
      <c r="A1799" s="663" t="s">
        <v>2352</v>
      </c>
      <c r="B1799" s="663" t="s">
        <v>1192</v>
      </c>
      <c r="C1799" s="663" t="s">
        <v>1211</v>
      </c>
      <c r="D1799" s="663" t="s">
        <v>2234</v>
      </c>
      <c r="E1799" s="664" t="s">
        <v>206</v>
      </c>
      <c r="F1799" s="665">
        <v>1721.0</v>
      </c>
      <c r="G1799" s="665">
        <v>581.0</v>
      </c>
      <c r="H1799" s="665">
        <v>33.76</v>
      </c>
      <c r="I1799" s="665">
        <v>8.86</v>
      </c>
      <c r="J1799" s="665">
        <v>9.89</v>
      </c>
      <c r="K1799" s="665">
        <v>9375.0</v>
      </c>
      <c r="L1799" s="665">
        <v>105785.0</v>
      </c>
      <c r="M1799" s="665">
        <v>5.45</v>
      </c>
      <c r="N1799" s="1">
        <v>16.136</v>
      </c>
      <c r="O1799" s="1">
        <v>9375.0</v>
      </c>
      <c r="P1799" s="1">
        <v>105785.0</v>
      </c>
      <c r="Q1799" s="1">
        <v>5.4474</v>
      </c>
      <c r="R1799" s="1">
        <v>8767.0</v>
      </c>
    </row>
    <row r="1800">
      <c r="A1800" s="663" t="s">
        <v>2352</v>
      </c>
      <c r="B1800" s="663" t="s">
        <v>1192</v>
      </c>
      <c r="C1800" s="663" t="s">
        <v>1211</v>
      </c>
      <c r="D1800" s="663" t="s">
        <v>2234</v>
      </c>
      <c r="E1800" s="664" t="s">
        <v>73</v>
      </c>
      <c r="F1800" s="665">
        <v>1721.0</v>
      </c>
      <c r="G1800" s="665">
        <v>273.0</v>
      </c>
      <c r="H1800" s="665">
        <v>15.86</v>
      </c>
      <c r="I1800" s="665">
        <v>3.91</v>
      </c>
      <c r="J1800" s="665">
        <v>5.54</v>
      </c>
      <c r="K1800" s="665">
        <v>4140.0</v>
      </c>
      <c r="L1800" s="665">
        <v>105785.0</v>
      </c>
      <c r="M1800" s="665">
        <v>2.41</v>
      </c>
      <c r="N1800" s="1">
        <v>15.1648</v>
      </c>
      <c r="O1800" s="1">
        <v>4140.0</v>
      </c>
      <c r="P1800" s="1">
        <v>105785.0</v>
      </c>
      <c r="Q1800" s="1">
        <v>2.4056</v>
      </c>
      <c r="R1800" s="1">
        <v>8767.0</v>
      </c>
    </row>
    <row r="1801">
      <c r="A1801" s="663" t="s">
        <v>2352</v>
      </c>
      <c r="B1801" s="663" t="s">
        <v>1192</v>
      </c>
      <c r="C1801" s="663" t="s">
        <v>1211</v>
      </c>
      <c r="D1801" s="663" t="s">
        <v>2234</v>
      </c>
      <c r="E1801" s="664" t="s">
        <v>411</v>
      </c>
      <c r="F1801" s="665">
        <v>1721.0</v>
      </c>
      <c r="G1801" s="665">
        <v>8.0</v>
      </c>
      <c r="H1801" s="665">
        <v>0.46</v>
      </c>
      <c r="I1801" s="665">
        <v>0.31</v>
      </c>
      <c r="J1801" s="665">
        <v>0.28</v>
      </c>
      <c r="K1801" s="665">
        <v>330.0</v>
      </c>
      <c r="L1801" s="665">
        <v>105785.0</v>
      </c>
      <c r="M1801" s="665">
        <v>0.19</v>
      </c>
      <c r="N1801" s="1">
        <v>41.25</v>
      </c>
      <c r="O1801" s="1">
        <v>330.0</v>
      </c>
      <c r="P1801" s="1">
        <v>105785.0</v>
      </c>
      <c r="Q1801" s="1">
        <v>0.1917</v>
      </c>
      <c r="R1801" s="1">
        <v>8767.0</v>
      </c>
    </row>
    <row r="1802">
      <c r="A1802" s="663" t="s">
        <v>2352</v>
      </c>
      <c r="B1802" s="663" t="s">
        <v>1192</v>
      </c>
      <c r="C1802" s="663" t="s">
        <v>1211</v>
      </c>
      <c r="D1802" s="663" t="s">
        <v>2234</v>
      </c>
      <c r="E1802" s="664" t="s">
        <v>151</v>
      </c>
      <c r="F1802" s="665">
        <v>1721.0</v>
      </c>
      <c r="G1802" s="665">
        <v>2.0</v>
      </c>
      <c r="H1802" s="665">
        <v>0.12</v>
      </c>
      <c r="I1802" s="665">
        <v>0.05</v>
      </c>
      <c r="J1802" s="665">
        <v>0.03</v>
      </c>
      <c r="K1802" s="665">
        <v>55.0</v>
      </c>
      <c r="L1802" s="665">
        <v>105785.0</v>
      </c>
      <c r="M1802" s="665">
        <v>0.03</v>
      </c>
      <c r="N1802" s="1">
        <v>27.5</v>
      </c>
      <c r="O1802" s="1">
        <v>55.0</v>
      </c>
      <c r="P1802" s="1">
        <v>105785.0</v>
      </c>
      <c r="Q1802" s="1">
        <v>0.032</v>
      </c>
      <c r="R1802" s="1">
        <v>8767.0</v>
      </c>
    </row>
    <row r="1803">
      <c r="A1803" s="663" t="s">
        <v>2352</v>
      </c>
      <c r="B1803" s="663" t="s">
        <v>1192</v>
      </c>
      <c r="C1803" s="663" t="s">
        <v>55</v>
      </c>
      <c r="D1803" s="663" t="s">
        <v>2234</v>
      </c>
      <c r="E1803" s="664" t="s">
        <v>418</v>
      </c>
      <c r="F1803" s="665">
        <v>1880.0</v>
      </c>
      <c r="G1803" s="665">
        <v>1871.0</v>
      </c>
      <c r="H1803" s="665">
        <v>99.52</v>
      </c>
      <c r="I1803" s="665">
        <v>44.04</v>
      </c>
      <c r="J1803" s="665">
        <v>40.9</v>
      </c>
      <c r="K1803" s="665">
        <v>1241895.0</v>
      </c>
      <c r="L1803" s="665">
        <v>2819613.0</v>
      </c>
      <c r="M1803" s="665">
        <v>660.58</v>
      </c>
      <c r="N1803" s="1">
        <v>663.76</v>
      </c>
      <c r="O1803" s="1">
        <v>1241895.0</v>
      </c>
      <c r="P1803" s="1">
        <v>2819613.0</v>
      </c>
      <c r="Q1803" s="1">
        <v>660.5824</v>
      </c>
      <c r="R1803" s="1">
        <v>8767.0</v>
      </c>
    </row>
    <row r="1804">
      <c r="A1804" s="663" t="s">
        <v>2352</v>
      </c>
      <c r="B1804" s="663" t="s">
        <v>1192</v>
      </c>
      <c r="C1804" s="663" t="s">
        <v>55</v>
      </c>
      <c r="D1804" s="663" t="s">
        <v>2234</v>
      </c>
      <c r="E1804" s="664" t="s">
        <v>396</v>
      </c>
      <c r="F1804" s="665">
        <v>1880.0</v>
      </c>
      <c r="G1804" s="665">
        <v>1490.0</v>
      </c>
      <c r="H1804" s="665">
        <v>79.26</v>
      </c>
      <c r="I1804" s="665">
        <v>9.04</v>
      </c>
      <c r="J1804" s="665">
        <v>9.11</v>
      </c>
      <c r="K1804" s="665">
        <v>254880.0</v>
      </c>
      <c r="L1804" s="665">
        <v>2819613.0</v>
      </c>
      <c r="M1804" s="665">
        <v>135.57</v>
      </c>
      <c r="N1804" s="1">
        <v>171.0604</v>
      </c>
      <c r="O1804" s="1">
        <v>254880.0</v>
      </c>
      <c r="P1804" s="1">
        <v>2819613.0</v>
      </c>
      <c r="Q1804" s="1">
        <v>135.5745</v>
      </c>
      <c r="R1804" s="1">
        <v>8767.0</v>
      </c>
    </row>
    <row r="1805">
      <c r="A1805" s="663" t="s">
        <v>2352</v>
      </c>
      <c r="B1805" s="663" t="s">
        <v>1192</v>
      </c>
      <c r="C1805" s="663" t="s">
        <v>55</v>
      </c>
      <c r="D1805" s="663" t="s">
        <v>2234</v>
      </c>
      <c r="E1805" s="664" t="s">
        <v>51</v>
      </c>
      <c r="F1805" s="665">
        <v>1880.0</v>
      </c>
      <c r="G1805" s="665">
        <v>1378.0</v>
      </c>
      <c r="H1805" s="665">
        <v>73.3</v>
      </c>
      <c r="I1805" s="665">
        <v>8.64</v>
      </c>
      <c r="J1805" s="665">
        <v>9.08</v>
      </c>
      <c r="K1805" s="665">
        <v>243580.0</v>
      </c>
      <c r="L1805" s="665">
        <v>2819613.0</v>
      </c>
      <c r="M1805" s="665">
        <v>129.56</v>
      </c>
      <c r="N1805" s="1">
        <v>176.7634</v>
      </c>
      <c r="O1805" s="1">
        <v>243580.0</v>
      </c>
      <c r="P1805" s="1">
        <v>2819613.0</v>
      </c>
      <c r="Q1805" s="1">
        <v>129.5638</v>
      </c>
      <c r="R1805" s="1">
        <v>8767.0</v>
      </c>
    </row>
    <row r="1806">
      <c r="A1806" s="663" t="s">
        <v>2352</v>
      </c>
      <c r="B1806" s="663" t="s">
        <v>1192</v>
      </c>
      <c r="C1806" s="663" t="s">
        <v>55</v>
      </c>
      <c r="D1806" s="663" t="s">
        <v>2234</v>
      </c>
      <c r="E1806" s="664" t="s">
        <v>413</v>
      </c>
      <c r="F1806" s="665">
        <v>1880.0</v>
      </c>
      <c r="G1806" s="665">
        <v>1166.0</v>
      </c>
      <c r="H1806" s="665">
        <v>62.02</v>
      </c>
      <c r="I1806" s="665">
        <v>6.77</v>
      </c>
      <c r="J1806" s="665">
        <v>7.65</v>
      </c>
      <c r="K1806" s="665">
        <v>190810.0</v>
      </c>
      <c r="L1806" s="665">
        <v>2819613.0</v>
      </c>
      <c r="M1806" s="665">
        <v>101.49</v>
      </c>
      <c r="N1806" s="1">
        <v>163.6449</v>
      </c>
      <c r="O1806" s="1">
        <v>190810.0</v>
      </c>
      <c r="P1806" s="1">
        <v>2819613.0</v>
      </c>
      <c r="Q1806" s="1">
        <v>101.4947</v>
      </c>
      <c r="R1806" s="1">
        <v>8767.0</v>
      </c>
    </row>
    <row r="1807">
      <c r="A1807" s="663" t="s">
        <v>2352</v>
      </c>
      <c r="B1807" s="663" t="s">
        <v>1192</v>
      </c>
      <c r="C1807" s="663" t="s">
        <v>55</v>
      </c>
      <c r="D1807" s="663" t="s">
        <v>2234</v>
      </c>
      <c r="E1807" s="664" t="s">
        <v>14</v>
      </c>
      <c r="F1807" s="665">
        <v>1880.0</v>
      </c>
      <c r="G1807" s="665">
        <v>1438.0</v>
      </c>
      <c r="H1807" s="665">
        <v>76.49</v>
      </c>
      <c r="I1807" s="665">
        <v>5.51</v>
      </c>
      <c r="J1807" s="665">
        <v>6.11</v>
      </c>
      <c r="K1807" s="665">
        <v>155245.0</v>
      </c>
      <c r="L1807" s="665">
        <v>2819613.0</v>
      </c>
      <c r="M1807" s="665">
        <v>82.58</v>
      </c>
      <c r="N1807" s="1">
        <v>107.959</v>
      </c>
      <c r="O1807" s="1">
        <v>155245.0</v>
      </c>
      <c r="P1807" s="1">
        <v>2819613.0</v>
      </c>
      <c r="Q1807" s="1">
        <v>82.5771</v>
      </c>
      <c r="R1807" s="1">
        <v>8767.0</v>
      </c>
    </row>
    <row r="1808">
      <c r="A1808" s="663" t="s">
        <v>2352</v>
      </c>
      <c r="B1808" s="663" t="s">
        <v>1192</v>
      </c>
      <c r="C1808" s="663" t="s">
        <v>55</v>
      </c>
      <c r="D1808" s="663" t="s">
        <v>2234</v>
      </c>
      <c r="E1808" s="664" t="s">
        <v>9</v>
      </c>
      <c r="F1808" s="665">
        <v>1880.0</v>
      </c>
      <c r="G1808" s="665">
        <v>1323.0</v>
      </c>
      <c r="H1808" s="665">
        <v>70.37</v>
      </c>
      <c r="I1808" s="665">
        <v>5.48</v>
      </c>
      <c r="J1808" s="665">
        <v>6.42</v>
      </c>
      <c r="K1808" s="665">
        <v>154650.0</v>
      </c>
      <c r="L1808" s="665">
        <v>2819613.0</v>
      </c>
      <c r="M1808" s="665">
        <v>82.26</v>
      </c>
      <c r="N1808" s="1">
        <v>116.8934</v>
      </c>
      <c r="O1808" s="1">
        <v>154650.0</v>
      </c>
      <c r="P1808" s="1">
        <v>2819613.0</v>
      </c>
      <c r="Q1808" s="1">
        <v>82.2606</v>
      </c>
      <c r="R1808" s="1">
        <v>8767.0</v>
      </c>
    </row>
    <row r="1809">
      <c r="A1809" s="663" t="s">
        <v>2352</v>
      </c>
      <c r="B1809" s="663" t="s">
        <v>1192</v>
      </c>
      <c r="C1809" s="663" t="s">
        <v>55</v>
      </c>
      <c r="D1809" s="663" t="s">
        <v>2234</v>
      </c>
      <c r="E1809" s="664" t="s">
        <v>397</v>
      </c>
      <c r="F1809" s="665">
        <v>1880.0</v>
      </c>
      <c r="G1809" s="665">
        <v>1434.0</v>
      </c>
      <c r="H1809" s="665">
        <v>76.28</v>
      </c>
      <c r="I1809" s="665">
        <v>5.36</v>
      </c>
      <c r="J1809" s="665">
        <v>5.1</v>
      </c>
      <c r="K1809" s="665">
        <v>151195.0</v>
      </c>
      <c r="L1809" s="665">
        <v>2819613.0</v>
      </c>
      <c r="M1809" s="665">
        <v>80.42</v>
      </c>
      <c r="N1809" s="1">
        <v>105.4358</v>
      </c>
      <c r="O1809" s="1">
        <v>151195.0</v>
      </c>
      <c r="P1809" s="1">
        <v>2819613.0</v>
      </c>
      <c r="Q1809" s="1">
        <v>80.4229</v>
      </c>
      <c r="R1809" s="1">
        <v>8767.0</v>
      </c>
    </row>
    <row r="1810">
      <c r="A1810" s="663" t="s">
        <v>2352</v>
      </c>
      <c r="B1810" s="663" t="s">
        <v>1192</v>
      </c>
      <c r="C1810" s="663" t="s">
        <v>55</v>
      </c>
      <c r="D1810" s="663" t="s">
        <v>2234</v>
      </c>
      <c r="E1810" s="664" t="s">
        <v>398</v>
      </c>
      <c r="F1810" s="665">
        <v>1880.0</v>
      </c>
      <c r="G1810" s="665">
        <v>1544.0</v>
      </c>
      <c r="H1810" s="665">
        <v>82.13</v>
      </c>
      <c r="I1810" s="665">
        <v>4.11</v>
      </c>
      <c r="J1810" s="665">
        <v>4.24</v>
      </c>
      <c r="K1810" s="665">
        <v>115920.0</v>
      </c>
      <c r="L1810" s="665">
        <v>2819613.0</v>
      </c>
      <c r="M1810" s="665">
        <v>61.66</v>
      </c>
      <c r="N1810" s="1">
        <v>75.0777</v>
      </c>
      <c r="O1810" s="1">
        <v>115920.0</v>
      </c>
      <c r="P1810" s="1">
        <v>2819613.0</v>
      </c>
      <c r="Q1810" s="1">
        <v>61.6596</v>
      </c>
      <c r="R1810" s="1">
        <v>8767.0</v>
      </c>
    </row>
    <row r="1811">
      <c r="A1811" s="663" t="s">
        <v>2352</v>
      </c>
      <c r="B1811" s="663" t="s">
        <v>1192</v>
      </c>
      <c r="C1811" s="663" t="s">
        <v>55</v>
      </c>
      <c r="D1811" s="663" t="s">
        <v>2234</v>
      </c>
      <c r="E1811" s="664" t="s">
        <v>63</v>
      </c>
      <c r="F1811" s="665">
        <v>1880.0</v>
      </c>
      <c r="G1811" s="665">
        <v>1083.0</v>
      </c>
      <c r="H1811" s="665">
        <v>57.61</v>
      </c>
      <c r="I1811" s="665">
        <v>2.42</v>
      </c>
      <c r="J1811" s="665">
        <v>2.75</v>
      </c>
      <c r="K1811" s="665">
        <v>68250.0</v>
      </c>
      <c r="L1811" s="665">
        <v>2819613.0</v>
      </c>
      <c r="M1811" s="665">
        <v>36.3</v>
      </c>
      <c r="N1811" s="1">
        <v>63.0194</v>
      </c>
      <c r="O1811" s="1">
        <v>68250.0</v>
      </c>
      <c r="P1811" s="1">
        <v>2819613.0</v>
      </c>
      <c r="Q1811" s="1">
        <v>36.3032</v>
      </c>
      <c r="R1811" s="1">
        <v>8767.0</v>
      </c>
    </row>
    <row r="1812">
      <c r="A1812" s="663" t="s">
        <v>2352</v>
      </c>
      <c r="B1812" s="663" t="s">
        <v>1192</v>
      </c>
      <c r="C1812" s="663" t="s">
        <v>55</v>
      </c>
      <c r="D1812" s="663" t="s">
        <v>2234</v>
      </c>
      <c r="E1812" s="664" t="s">
        <v>411</v>
      </c>
      <c r="F1812" s="665">
        <v>1880.0</v>
      </c>
      <c r="G1812" s="665">
        <v>571.0</v>
      </c>
      <c r="H1812" s="665">
        <v>30.37</v>
      </c>
      <c r="I1812" s="665">
        <v>1.91</v>
      </c>
      <c r="J1812" s="665">
        <v>1.48</v>
      </c>
      <c r="K1812" s="665">
        <v>53923.0</v>
      </c>
      <c r="L1812" s="665">
        <v>2819613.0</v>
      </c>
      <c r="M1812" s="665">
        <v>28.68</v>
      </c>
      <c r="N1812" s="1">
        <v>94.4361</v>
      </c>
      <c r="O1812" s="1">
        <v>53923.0</v>
      </c>
      <c r="P1812" s="1">
        <v>2819613.0</v>
      </c>
      <c r="Q1812" s="1">
        <v>28.6824</v>
      </c>
      <c r="R1812" s="1">
        <v>8767.0</v>
      </c>
    </row>
    <row r="1813">
      <c r="A1813" s="663" t="s">
        <v>2352</v>
      </c>
      <c r="B1813" s="663" t="s">
        <v>1192</v>
      </c>
      <c r="C1813" s="663" t="s">
        <v>55</v>
      </c>
      <c r="D1813" s="663" t="s">
        <v>2234</v>
      </c>
      <c r="E1813" s="664" t="s">
        <v>7</v>
      </c>
      <c r="F1813" s="665">
        <v>1880.0</v>
      </c>
      <c r="G1813" s="665">
        <v>1038.0</v>
      </c>
      <c r="H1813" s="665">
        <v>55.21</v>
      </c>
      <c r="I1813" s="665">
        <v>1.89</v>
      </c>
      <c r="J1813" s="665">
        <v>2.33</v>
      </c>
      <c r="K1813" s="665">
        <v>53285.0</v>
      </c>
      <c r="L1813" s="665">
        <v>2819613.0</v>
      </c>
      <c r="M1813" s="665">
        <v>28.34</v>
      </c>
      <c r="N1813" s="1">
        <v>51.3343</v>
      </c>
      <c r="O1813" s="1">
        <v>53285.0</v>
      </c>
      <c r="P1813" s="1">
        <v>2819613.0</v>
      </c>
      <c r="Q1813" s="1">
        <v>28.3431</v>
      </c>
      <c r="R1813" s="1">
        <v>8767.0</v>
      </c>
    </row>
    <row r="1814">
      <c r="A1814" s="663" t="s">
        <v>2352</v>
      </c>
      <c r="B1814" s="663" t="s">
        <v>1192</v>
      </c>
      <c r="C1814" s="663" t="s">
        <v>55</v>
      </c>
      <c r="D1814" s="663" t="s">
        <v>2234</v>
      </c>
      <c r="E1814" s="664" t="s">
        <v>401</v>
      </c>
      <c r="F1814" s="665">
        <v>1880.0</v>
      </c>
      <c r="G1814" s="665">
        <v>547.0</v>
      </c>
      <c r="H1814" s="665">
        <v>29.1</v>
      </c>
      <c r="I1814" s="665">
        <v>1.54</v>
      </c>
      <c r="J1814" s="665">
        <v>1.42</v>
      </c>
      <c r="K1814" s="665">
        <v>43290.0</v>
      </c>
      <c r="L1814" s="665">
        <v>2819613.0</v>
      </c>
      <c r="M1814" s="665">
        <v>23.03</v>
      </c>
      <c r="N1814" s="1">
        <v>79.1408</v>
      </c>
      <c r="O1814" s="1">
        <v>43290.0</v>
      </c>
      <c r="P1814" s="1">
        <v>2819613.0</v>
      </c>
      <c r="Q1814" s="1">
        <v>23.0266</v>
      </c>
      <c r="R1814" s="1">
        <v>8767.0</v>
      </c>
    </row>
    <row r="1815">
      <c r="A1815" s="663" t="s">
        <v>2352</v>
      </c>
      <c r="B1815" s="663" t="s">
        <v>1192</v>
      </c>
      <c r="C1815" s="663" t="s">
        <v>55</v>
      </c>
      <c r="D1815" s="663" t="s">
        <v>2234</v>
      </c>
      <c r="E1815" s="664" t="s">
        <v>206</v>
      </c>
      <c r="F1815" s="665">
        <v>1880.0</v>
      </c>
      <c r="G1815" s="665">
        <v>541.0</v>
      </c>
      <c r="H1815" s="665">
        <v>28.78</v>
      </c>
      <c r="I1815" s="665">
        <v>1.35</v>
      </c>
      <c r="J1815" s="665">
        <v>1.23</v>
      </c>
      <c r="K1815" s="665">
        <v>38160.0</v>
      </c>
      <c r="L1815" s="665">
        <v>2819613.0</v>
      </c>
      <c r="M1815" s="665">
        <v>20.3</v>
      </c>
      <c r="N1815" s="1">
        <v>70.536</v>
      </c>
      <c r="O1815" s="1">
        <v>38160.0</v>
      </c>
      <c r="P1815" s="1">
        <v>2819613.0</v>
      </c>
      <c r="Q1815" s="1">
        <v>20.2979</v>
      </c>
      <c r="R1815" s="1">
        <v>8767.0</v>
      </c>
    </row>
    <row r="1816">
      <c r="A1816" s="663" t="s">
        <v>2352</v>
      </c>
      <c r="B1816" s="663" t="s">
        <v>1192</v>
      </c>
      <c r="C1816" s="663" t="s">
        <v>55</v>
      </c>
      <c r="D1816" s="663" t="s">
        <v>2234</v>
      </c>
      <c r="E1816" s="664" t="s">
        <v>73</v>
      </c>
      <c r="F1816" s="665">
        <v>1880.0</v>
      </c>
      <c r="G1816" s="665">
        <v>424.0</v>
      </c>
      <c r="H1816" s="665">
        <v>22.55</v>
      </c>
      <c r="I1816" s="665">
        <v>1.32</v>
      </c>
      <c r="J1816" s="665">
        <v>1.48</v>
      </c>
      <c r="K1816" s="665">
        <v>37350.0</v>
      </c>
      <c r="L1816" s="665">
        <v>2819613.0</v>
      </c>
      <c r="M1816" s="665">
        <v>19.87</v>
      </c>
      <c r="N1816" s="1">
        <v>88.0896</v>
      </c>
      <c r="O1816" s="1">
        <v>37350.0</v>
      </c>
      <c r="P1816" s="1">
        <v>2819613.0</v>
      </c>
      <c r="Q1816" s="1">
        <v>19.867</v>
      </c>
      <c r="R1816" s="1">
        <v>8767.0</v>
      </c>
    </row>
    <row r="1817">
      <c r="A1817" s="663" t="s">
        <v>2352</v>
      </c>
      <c r="B1817" s="663" t="s">
        <v>1192</v>
      </c>
      <c r="C1817" s="663" t="s">
        <v>55</v>
      </c>
      <c r="D1817" s="663" t="s">
        <v>2234</v>
      </c>
      <c r="E1817" s="664" t="s">
        <v>393</v>
      </c>
      <c r="F1817" s="665">
        <v>1880.0</v>
      </c>
      <c r="G1817" s="665">
        <v>527.0</v>
      </c>
      <c r="H1817" s="665">
        <v>28.03</v>
      </c>
      <c r="I1817" s="665">
        <v>0.5</v>
      </c>
      <c r="J1817" s="665">
        <v>0.48</v>
      </c>
      <c r="K1817" s="665">
        <v>14080.0</v>
      </c>
      <c r="L1817" s="665">
        <v>2819613.0</v>
      </c>
      <c r="M1817" s="665">
        <v>7.49</v>
      </c>
      <c r="N1817" s="1">
        <v>26.7173</v>
      </c>
      <c r="O1817" s="1">
        <v>14080.0</v>
      </c>
      <c r="P1817" s="1">
        <v>2819613.0</v>
      </c>
      <c r="Q1817" s="1">
        <v>7.4894</v>
      </c>
      <c r="R1817" s="1">
        <v>8767.0</v>
      </c>
    </row>
    <row r="1818">
      <c r="A1818" s="663" t="s">
        <v>2352</v>
      </c>
      <c r="B1818" s="663" t="s">
        <v>1192</v>
      </c>
      <c r="C1818" s="663" t="s">
        <v>55</v>
      </c>
      <c r="D1818" s="663" t="s">
        <v>2234</v>
      </c>
      <c r="E1818" s="664" t="s">
        <v>42</v>
      </c>
      <c r="F1818" s="665">
        <v>1880.0</v>
      </c>
      <c r="G1818" s="665">
        <v>60.0</v>
      </c>
      <c r="H1818" s="665">
        <v>3.19</v>
      </c>
      <c r="I1818" s="665">
        <v>0.11</v>
      </c>
      <c r="J1818" s="665">
        <v>0.24</v>
      </c>
      <c r="K1818" s="665">
        <v>3100.0</v>
      </c>
      <c r="L1818" s="665">
        <v>2819613.0</v>
      </c>
      <c r="M1818" s="665">
        <v>1.65</v>
      </c>
      <c r="N1818" s="1">
        <v>51.6667</v>
      </c>
      <c r="O1818" s="1">
        <v>3100.0</v>
      </c>
      <c r="P1818" s="1">
        <v>2819613.0</v>
      </c>
      <c r="Q1818" s="1">
        <v>1.6489</v>
      </c>
      <c r="R1818" s="1">
        <v>8767.0</v>
      </c>
    </row>
    <row r="1819">
      <c r="A1819" s="663" t="s">
        <v>2353</v>
      </c>
      <c r="B1819" s="663" t="s">
        <v>180</v>
      </c>
      <c r="C1819" s="663" t="s">
        <v>50</v>
      </c>
      <c r="D1819" s="663" t="s">
        <v>599</v>
      </c>
      <c r="E1819" s="664" t="s">
        <v>418</v>
      </c>
      <c r="F1819" s="665">
        <v>2826.0</v>
      </c>
      <c r="G1819" s="665">
        <v>2812.0</v>
      </c>
      <c r="H1819" s="665">
        <v>99.5</v>
      </c>
      <c r="I1819" s="665">
        <v>30.43</v>
      </c>
      <c r="J1819" s="665">
        <v>27.73</v>
      </c>
      <c r="K1819" s="665">
        <v>9006.0</v>
      </c>
      <c r="L1819" s="665">
        <v>29592.0</v>
      </c>
      <c r="M1819" s="665">
        <v>3.19</v>
      </c>
      <c r="N1819" s="1">
        <v>3.2027</v>
      </c>
      <c r="O1819" s="1">
        <v>9006.0</v>
      </c>
      <c r="P1819" s="1">
        <v>29592.0</v>
      </c>
      <c r="Q1819" s="1">
        <v>3.1868</v>
      </c>
      <c r="R1819" s="1">
        <v>7484.0</v>
      </c>
    </row>
    <row r="1820">
      <c r="A1820" s="663" t="s">
        <v>2353</v>
      </c>
      <c r="B1820" s="663" t="s">
        <v>180</v>
      </c>
      <c r="C1820" s="663" t="s">
        <v>50</v>
      </c>
      <c r="D1820" s="663" t="s">
        <v>599</v>
      </c>
      <c r="E1820" s="664" t="s">
        <v>396</v>
      </c>
      <c r="F1820" s="665">
        <v>2826.0</v>
      </c>
      <c r="G1820" s="665">
        <v>2612.0</v>
      </c>
      <c r="H1820" s="665">
        <v>92.43</v>
      </c>
      <c r="I1820" s="665">
        <v>27.47</v>
      </c>
      <c r="J1820" s="665">
        <v>36.6</v>
      </c>
      <c r="K1820" s="665">
        <v>8128.0</v>
      </c>
      <c r="L1820" s="665">
        <v>29592.0</v>
      </c>
      <c r="M1820" s="665">
        <v>2.88</v>
      </c>
      <c r="N1820" s="1">
        <v>3.1118</v>
      </c>
      <c r="O1820" s="1">
        <v>8128.0</v>
      </c>
      <c r="P1820" s="1">
        <v>29592.0</v>
      </c>
      <c r="Q1820" s="1">
        <v>2.8762</v>
      </c>
      <c r="R1820" s="1">
        <v>7484.0</v>
      </c>
    </row>
    <row r="1821">
      <c r="A1821" s="663" t="s">
        <v>2353</v>
      </c>
      <c r="B1821" s="663" t="s">
        <v>180</v>
      </c>
      <c r="C1821" s="663" t="s">
        <v>50</v>
      </c>
      <c r="D1821" s="663" t="s">
        <v>599</v>
      </c>
      <c r="E1821" s="664" t="s">
        <v>14</v>
      </c>
      <c r="F1821" s="665">
        <v>2826.0</v>
      </c>
      <c r="G1821" s="665">
        <v>1302.0</v>
      </c>
      <c r="H1821" s="665">
        <v>46.07</v>
      </c>
      <c r="I1821" s="665">
        <v>12.47</v>
      </c>
      <c r="J1821" s="665">
        <v>7.75</v>
      </c>
      <c r="K1821" s="665">
        <v>3690.0</v>
      </c>
      <c r="L1821" s="665">
        <v>29592.0</v>
      </c>
      <c r="M1821" s="665">
        <v>1.31</v>
      </c>
      <c r="N1821" s="1">
        <v>2.8341</v>
      </c>
      <c r="O1821" s="1">
        <v>3690.0</v>
      </c>
      <c r="P1821" s="1">
        <v>29592.0</v>
      </c>
      <c r="Q1821" s="1">
        <v>1.3057</v>
      </c>
      <c r="R1821" s="1">
        <v>7484.0</v>
      </c>
    </row>
    <row r="1822">
      <c r="A1822" s="663" t="s">
        <v>2353</v>
      </c>
      <c r="B1822" s="663" t="s">
        <v>180</v>
      </c>
      <c r="C1822" s="663" t="s">
        <v>50</v>
      </c>
      <c r="D1822" s="663" t="s">
        <v>599</v>
      </c>
      <c r="E1822" s="664" t="s">
        <v>411</v>
      </c>
      <c r="F1822" s="665">
        <v>2826.0</v>
      </c>
      <c r="G1822" s="665">
        <v>2111.0</v>
      </c>
      <c r="H1822" s="665">
        <v>74.7</v>
      </c>
      <c r="I1822" s="665">
        <v>9.81</v>
      </c>
      <c r="J1822" s="665">
        <v>10.96</v>
      </c>
      <c r="K1822" s="665">
        <v>2903.0</v>
      </c>
      <c r="L1822" s="665">
        <v>29592.0</v>
      </c>
      <c r="M1822" s="665">
        <v>1.03</v>
      </c>
      <c r="N1822" s="1">
        <v>1.3752</v>
      </c>
      <c r="O1822" s="1">
        <v>2903.0</v>
      </c>
      <c r="P1822" s="1">
        <v>29592.0</v>
      </c>
      <c r="Q1822" s="1">
        <v>1.0272</v>
      </c>
      <c r="R1822" s="1">
        <v>7484.0</v>
      </c>
    </row>
    <row r="1823">
      <c r="A1823" s="663" t="s">
        <v>2353</v>
      </c>
      <c r="B1823" s="663" t="s">
        <v>180</v>
      </c>
      <c r="C1823" s="663" t="s">
        <v>50</v>
      </c>
      <c r="D1823" s="663" t="s">
        <v>599</v>
      </c>
      <c r="E1823" s="664" t="s">
        <v>9</v>
      </c>
      <c r="F1823" s="665">
        <v>2826.0</v>
      </c>
      <c r="G1823" s="665">
        <v>1505.0</v>
      </c>
      <c r="H1823" s="665">
        <v>53.26</v>
      </c>
      <c r="I1823" s="665">
        <v>6.06</v>
      </c>
      <c r="J1823" s="665">
        <v>6.38</v>
      </c>
      <c r="K1823" s="665">
        <v>1794.0</v>
      </c>
      <c r="L1823" s="665">
        <v>29592.0</v>
      </c>
      <c r="M1823" s="665">
        <v>0.63</v>
      </c>
      <c r="N1823" s="1">
        <v>1.192</v>
      </c>
      <c r="O1823" s="1">
        <v>1794.0</v>
      </c>
      <c r="P1823" s="1">
        <v>29592.0</v>
      </c>
      <c r="Q1823" s="1">
        <v>0.6348</v>
      </c>
      <c r="R1823" s="1">
        <v>7484.0</v>
      </c>
    </row>
    <row r="1824">
      <c r="A1824" s="663" t="s">
        <v>2353</v>
      </c>
      <c r="B1824" s="663" t="s">
        <v>180</v>
      </c>
      <c r="C1824" s="663" t="s">
        <v>50</v>
      </c>
      <c r="D1824" s="663" t="s">
        <v>599</v>
      </c>
      <c r="E1824" s="664" t="s">
        <v>413</v>
      </c>
      <c r="F1824" s="665">
        <v>2826.0</v>
      </c>
      <c r="G1824" s="665">
        <v>974.0</v>
      </c>
      <c r="H1824" s="665">
        <v>34.47</v>
      </c>
      <c r="I1824" s="665">
        <v>4.94</v>
      </c>
      <c r="J1824" s="665">
        <v>4.75</v>
      </c>
      <c r="K1824" s="665">
        <v>1462.0</v>
      </c>
      <c r="L1824" s="665">
        <v>29592.0</v>
      </c>
      <c r="M1824" s="665">
        <v>0.52</v>
      </c>
      <c r="N1824" s="1">
        <v>1.501</v>
      </c>
      <c r="O1824" s="1">
        <v>1462.0</v>
      </c>
      <c r="P1824" s="1">
        <v>29592.0</v>
      </c>
      <c r="Q1824" s="1">
        <v>0.5173</v>
      </c>
      <c r="R1824" s="1">
        <v>7484.0</v>
      </c>
    </row>
    <row r="1825">
      <c r="A1825" s="663" t="s">
        <v>2353</v>
      </c>
      <c r="B1825" s="663" t="s">
        <v>180</v>
      </c>
      <c r="C1825" s="663" t="s">
        <v>50</v>
      </c>
      <c r="D1825" s="663" t="s">
        <v>599</v>
      </c>
      <c r="E1825" s="664" t="s">
        <v>51</v>
      </c>
      <c r="F1825" s="665">
        <v>2826.0</v>
      </c>
      <c r="G1825" s="665">
        <v>529.0</v>
      </c>
      <c r="H1825" s="665">
        <v>18.72</v>
      </c>
      <c r="I1825" s="665">
        <v>3.4</v>
      </c>
      <c r="J1825" s="665">
        <v>2.15</v>
      </c>
      <c r="K1825" s="665">
        <v>1005.0</v>
      </c>
      <c r="L1825" s="665">
        <v>29592.0</v>
      </c>
      <c r="M1825" s="665">
        <v>0.36</v>
      </c>
      <c r="N1825" s="1">
        <v>1.8998</v>
      </c>
      <c r="O1825" s="1">
        <v>1005.0</v>
      </c>
      <c r="P1825" s="1">
        <v>29592.0</v>
      </c>
      <c r="Q1825" s="1">
        <v>0.3556</v>
      </c>
      <c r="R1825" s="1">
        <v>7484.0</v>
      </c>
    </row>
    <row r="1826">
      <c r="A1826" s="663" t="s">
        <v>2353</v>
      </c>
      <c r="B1826" s="663" t="s">
        <v>180</v>
      </c>
      <c r="C1826" s="663" t="s">
        <v>50</v>
      </c>
      <c r="D1826" s="663" t="s">
        <v>599</v>
      </c>
      <c r="E1826" s="664" t="s">
        <v>42</v>
      </c>
      <c r="F1826" s="665">
        <v>2826.0</v>
      </c>
      <c r="G1826" s="665">
        <v>371.0</v>
      </c>
      <c r="H1826" s="665">
        <v>13.13</v>
      </c>
      <c r="I1826" s="665">
        <v>1.55</v>
      </c>
      <c r="J1826" s="665">
        <v>1.18</v>
      </c>
      <c r="K1826" s="665">
        <v>460.0</v>
      </c>
      <c r="L1826" s="665">
        <v>29592.0</v>
      </c>
      <c r="M1826" s="665">
        <v>0.16</v>
      </c>
      <c r="N1826" s="1">
        <v>1.2399</v>
      </c>
      <c r="O1826" s="1">
        <v>460.0</v>
      </c>
      <c r="P1826" s="1">
        <v>29592.0</v>
      </c>
      <c r="Q1826" s="1">
        <v>0.1628</v>
      </c>
      <c r="R1826" s="1">
        <v>7484.0</v>
      </c>
    </row>
    <row r="1827">
      <c r="A1827" s="663" t="s">
        <v>2353</v>
      </c>
      <c r="B1827" s="663" t="s">
        <v>180</v>
      </c>
      <c r="C1827" s="663" t="s">
        <v>50</v>
      </c>
      <c r="D1827" s="663" t="s">
        <v>599</v>
      </c>
      <c r="E1827" s="664" t="s">
        <v>16</v>
      </c>
      <c r="F1827" s="665">
        <v>2826.0</v>
      </c>
      <c r="G1827" s="665">
        <v>236.0</v>
      </c>
      <c r="H1827" s="665">
        <v>8.35</v>
      </c>
      <c r="I1827" s="665">
        <v>1.01</v>
      </c>
      <c r="J1827" s="665">
        <v>0.7</v>
      </c>
      <c r="K1827" s="665">
        <v>299.0</v>
      </c>
      <c r="L1827" s="665">
        <v>29592.0</v>
      </c>
      <c r="M1827" s="665">
        <v>0.11</v>
      </c>
      <c r="N1827" s="1">
        <v>1.2669</v>
      </c>
      <c r="O1827" s="1">
        <v>299.0</v>
      </c>
      <c r="P1827" s="1">
        <v>29592.0</v>
      </c>
      <c r="Q1827" s="1">
        <v>0.1058</v>
      </c>
      <c r="R1827" s="1">
        <v>7484.0</v>
      </c>
    </row>
    <row r="1828">
      <c r="A1828" s="663" t="s">
        <v>2353</v>
      </c>
      <c r="B1828" s="663" t="s">
        <v>180</v>
      </c>
      <c r="C1828" s="663" t="s">
        <v>50</v>
      </c>
      <c r="D1828" s="663" t="s">
        <v>599</v>
      </c>
      <c r="E1828" s="664" t="s">
        <v>401</v>
      </c>
      <c r="F1828" s="665">
        <v>2826.0</v>
      </c>
      <c r="G1828" s="665">
        <v>264.0</v>
      </c>
      <c r="H1828" s="665">
        <v>9.34</v>
      </c>
      <c r="I1828" s="665">
        <v>0.9</v>
      </c>
      <c r="J1828" s="665">
        <v>0.57</v>
      </c>
      <c r="K1828" s="665">
        <v>267.0</v>
      </c>
      <c r="L1828" s="665">
        <v>29592.0</v>
      </c>
      <c r="M1828" s="665">
        <v>0.09</v>
      </c>
      <c r="N1828" s="1">
        <v>1.0114</v>
      </c>
      <c r="O1828" s="1">
        <v>267.0</v>
      </c>
      <c r="P1828" s="1">
        <v>29592.0</v>
      </c>
      <c r="Q1828" s="1">
        <v>0.0945</v>
      </c>
      <c r="R1828" s="1">
        <v>7484.0</v>
      </c>
    </row>
    <row r="1829">
      <c r="A1829" s="663" t="s">
        <v>2353</v>
      </c>
      <c r="B1829" s="663" t="s">
        <v>180</v>
      </c>
      <c r="C1829" s="663" t="s">
        <v>50</v>
      </c>
      <c r="D1829" s="663" t="s">
        <v>599</v>
      </c>
      <c r="E1829" s="664" t="s">
        <v>63</v>
      </c>
      <c r="F1829" s="665">
        <v>2826.0</v>
      </c>
      <c r="G1829" s="665">
        <v>198.0</v>
      </c>
      <c r="H1829" s="665">
        <v>7.01</v>
      </c>
      <c r="I1829" s="665">
        <v>0.83</v>
      </c>
      <c r="J1829" s="665">
        <v>0.56</v>
      </c>
      <c r="K1829" s="665">
        <v>245.0</v>
      </c>
      <c r="L1829" s="665">
        <v>29592.0</v>
      </c>
      <c r="M1829" s="665">
        <v>0.09</v>
      </c>
      <c r="N1829" s="1">
        <v>1.2374</v>
      </c>
      <c r="O1829" s="1">
        <v>245.0</v>
      </c>
      <c r="P1829" s="1">
        <v>29592.0</v>
      </c>
      <c r="Q1829" s="1">
        <v>0.0867</v>
      </c>
      <c r="R1829" s="1">
        <v>7484.0</v>
      </c>
    </row>
    <row r="1830">
      <c r="A1830" s="663" t="s">
        <v>2353</v>
      </c>
      <c r="B1830" s="663" t="s">
        <v>180</v>
      </c>
      <c r="C1830" s="663" t="s">
        <v>50</v>
      </c>
      <c r="D1830" s="663" t="s">
        <v>599</v>
      </c>
      <c r="E1830" s="664" t="s">
        <v>206</v>
      </c>
      <c r="F1830" s="665">
        <v>2826.0</v>
      </c>
      <c r="G1830" s="665">
        <v>161.0</v>
      </c>
      <c r="H1830" s="665">
        <v>5.7</v>
      </c>
      <c r="I1830" s="665">
        <v>0.55</v>
      </c>
      <c r="J1830" s="665">
        <v>0.28</v>
      </c>
      <c r="K1830" s="665">
        <v>164.0</v>
      </c>
      <c r="L1830" s="665">
        <v>29592.0</v>
      </c>
      <c r="M1830" s="665">
        <v>0.06</v>
      </c>
      <c r="N1830" s="1">
        <v>1.0186</v>
      </c>
      <c r="O1830" s="1">
        <v>164.0</v>
      </c>
      <c r="P1830" s="1">
        <v>29592.0</v>
      </c>
      <c r="Q1830" s="1">
        <v>0.058</v>
      </c>
      <c r="R1830" s="1">
        <v>7484.0</v>
      </c>
    </row>
    <row r="1831">
      <c r="A1831" s="663" t="s">
        <v>2353</v>
      </c>
      <c r="B1831" s="663" t="s">
        <v>180</v>
      </c>
      <c r="C1831" s="663" t="s">
        <v>50</v>
      </c>
      <c r="D1831" s="663" t="s">
        <v>599</v>
      </c>
      <c r="E1831" s="664" t="s">
        <v>73</v>
      </c>
      <c r="F1831" s="665">
        <v>2826.0</v>
      </c>
      <c r="G1831" s="665">
        <v>118.0</v>
      </c>
      <c r="H1831" s="665">
        <v>4.18</v>
      </c>
      <c r="I1831" s="665">
        <v>0.41</v>
      </c>
      <c r="J1831" s="665">
        <v>0.3</v>
      </c>
      <c r="K1831" s="665">
        <v>121.0</v>
      </c>
      <c r="L1831" s="665">
        <v>29592.0</v>
      </c>
      <c r="M1831" s="665">
        <v>0.04</v>
      </c>
      <c r="N1831" s="1">
        <v>1.0254</v>
      </c>
      <c r="O1831" s="1">
        <v>121.0</v>
      </c>
      <c r="P1831" s="1">
        <v>29592.0</v>
      </c>
      <c r="Q1831" s="1">
        <v>0.0428</v>
      </c>
      <c r="R1831" s="1">
        <v>7484.0</v>
      </c>
    </row>
    <row r="1832">
      <c r="A1832" s="663" t="s">
        <v>2353</v>
      </c>
      <c r="B1832" s="663" t="s">
        <v>180</v>
      </c>
      <c r="C1832" s="663" t="s">
        <v>50</v>
      </c>
      <c r="D1832" s="663" t="s">
        <v>599</v>
      </c>
      <c r="E1832" s="664" t="s">
        <v>7</v>
      </c>
      <c r="F1832" s="665">
        <v>2826.0</v>
      </c>
      <c r="G1832" s="665">
        <v>40.0</v>
      </c>
      <c r="H1832" s="665">
        <v>1.42</v>
      </c>
      <c r="I1832" s="665">
        <v>0.14</v>
      </c>
      <c r="J1832" s="665">
        <v>0.07</v>
      </c>
      <c r="K1832" s="665">
        <v>42.0</v>
      </c>
      <c r="L1832" s="665">
        <v>29592.0</v>
      </c>
      <c r="M1832" s="665">
        <v>0.01</v>
      </c>
      <c r="N1832" s="1">
        <v>1.05</v>
      </c>
      <c r="O1832" s="1">
        <v>42.0</v>
      </c>
      <c r="P1832" s="1">
        <v>29592.0</v>
      </c>
      <c r="Q1832" s="1">
        <v>0.0149</v>
      </c>
      <c r="R1832" s="1">
        <v>7484.0</v>
      </c>
    </row>
    <row r="1833">
      <c r="A1833" s="663" t="s">
        <v>2353</v>
      </c>
      <c r="B1833" s="663" t="s">
        <v>180</v>
      </c>
      <c r="C1833" s="663" t="s">
        <v>50</v>
      </c>
      <c r="D1833" s="663" t="s">
        <v>599</v>
      </c>
      <c r="E1833" s="664" t="s">
        <v>393</v>
      </c>
      <c r="F1833" s="665">
        <v>2826.0</v>
      </c>
      <c r="G1833" s="665">
        <v>6.0</v>
      </c>
      <c r="H1833" s="665">
        <v>0.21</v>
      </c>
      <c r="I1833" s="665">
        <v>0.02</v>
      </c>
      <c r="J1833" s="665">
        <v>0.03</v>
      </c>
      <c r="K1833" s="665">
        <v>6.0</v>
      </c>
      <c r="L1833" s="665">
        <v>29592.0</v>
      </c>
      <c r="M1833" s="665">
        <v>0.0</v>
      </c>
      <c r="N1833" s="1">
        <v>1.0</v>
      </c>
      <c r="O1833" s="1">
        <v>6.0</v>
      </c>
      <c r="P1833" s="1">
        <v>29592.0</v>
      </c>
      <c r="Q1833" s="1">
        <v>0.0021</v>
      </c>
      <c r="R1833" s="1">
        <v>7484.0</v>
      </c>
    </row>
    <row r="1834">
      <c r="A1834" s="663" t="s">
        <v>2353</v>
      </c>
      <c r="B1834" s="663" t="s">
        <v>180</v>
      </c>
      <c r="C1834" s="663" t="s">
        <v>48</v>
      </c>
      <c r="D1834" s="663" t="s">
        <v>599</v>
      </c>
      <c r="E1834" s="664" t="s">
        <v>396</v>
      </c>
      <c r="F1834" s="665">
        <v>2825.0</v>
      </c>
      <c r="G1834" s="665">
        <v>2602.0</v>
      </c>
      <c r="H1834" s="665">
        <v>92.11</v>
      </c>
      <c r="I1834" s="665">
        <v>25.67</v>
      </c>
      <c r="J1834" s="665">
        <v>28.86</v>
      </c>
      <c r="K1834" s="665">
        <v>10242.0</v>
      </c>
      <c r="L1834" s="665">
        <v>39900.0</v>
      </c>
      <c r="M1834" s="665">
        <v>3.63</v>
      </c>
      <c r="N1834" s="1">
        <v>3.9362</v>
      </c>
      <c r="O1834" s="1">
        <v>10242.0</v>
      </c>
      <c r="P1834" s="1">
        <v>39900.0</v>
      </c>
      <c r="Q1834" s="1">
        <v>3.6255</v>
      </c>
      <c r="R1834" s="1">
        <v>7484.0</v>
      </c>
    </row>
    <row r="1835">
      <c r="A1835" s="663" t="s">
        <v>2353</v>
      </c>
      <c r="B1835" s="663" t="s">
        <v>180</v>
      </c>
      <c r="C1835" s="663" t="s">
        <v>48</v>
      </c>
      <c r="D1835" s="663" t="s">
        <v>599</v>
      </c>
      <c r="E1835" s="664" t="s">
        <v>418</v>
      </c>
      <c r="F1835" s="665">
        <v>2825.0</v>
      </c>
      <c r="G1835" s="665">
        <v>2793.0</v>
      </c>
      <c r="H1835" s="665">
        <v>98.87</v>
      </c>
      <c r="I1835" s="665">
        <v>22.9</v>
      </c>
      <c r="J1835" s="665">
        <v>20.5</v>
      </c>
      <c r="K1835" s="665">
        <v>9137.0</v>
      </c>
      <c r="L1835" s="665">
        <v>39900.0</v>
      </c>
      <c r="M1835" s="665">
        <v>3.23</v>
      </c>
      <c r="N1835" s="1">
        <v>3.2714</v>
      </c>
      <c r="O1835" s="1">
        <v>9137.0</v>
      </c>
      <c r="P1835" s="1">
        <v>39900.0</v>
      </c>
      <c r="Q1835" s="1">
        <v>3.2343</v>
      </c>
      <c r="R1835" s="1">
        <v>7484.0</v>
      </c>
    </row>
    <row r="1836">
      <c r="A1836" s="663" t="s">
        <v>2353</v>
      </c>
      <c r="B1836" s="663" t="s">
        <v>180</v>
      </c>
      <c r="C1836" s="663" t="s">
        <v>48</v>
      </c>
      <c r="D1836" s="663" t="s">
        <v>599</v>
      </c>
      <c r="E1836" s="664" t="s">
        <v>413</v>
      </c>
      <c r="F1836" s="665">
        <v>2825.0</v>
      </c>
      <c r="G1836" s="665">
        <v>1764.0</v>
      </c>
      <c r="H1836" s="665">
        <v>62.44</v>
      </c>
      <c r="I1836" s="665">
        <v>14.78</v>
      </c>
      <c r="J1836" s="665">
        <v>14.5</v>
      </c>
      <c r="K1836" s="665">
        <v>5898.0</v>
      </c>
      <c r="L1836" s="665">
        <v>39900.0</v>
      </c>
      <c r="M1836" s="665">
        <v>2.09</v>
      </c>
      <c r="N1836" s="1">
        <v>3.3435</v>
      </c>
      <c r="O1836" s="1">
        <v>5898.0</v>
      </c>
      <c r="P1836" s="1">
        <v>39900.0</v>
      </c>
      <c r="Q1836" s="1">
        <v>2.0878</v>
      </c>
      <c r="R1836" s="1">
        <v>7484.0</v>
      </c>
    </row>
    <row r="1837">
      <c r="A1837" s="663" t="s">
        <v>2353</v>
      </c>
      <c r="B1837" s="663" t="s">
        <v>180</v>
      </c>
      <c r="C1837" s="663" t="s">
        <v>48</v>
      </c>
      <c r="D1837" s="663" t="s">
        <v>599</v>
      </c>
      <c r="E1837" s="664" t="s">
        <v>14</v>
      </c>
      <c r="F1837" s="665">
        <v>2825.0</v>
      </c>
      <c r="G1837" s="665">
        <v>1873.0</v>
      </c>
      <c r="H1837" s="665">
        <v>66.3</v>
      </c>
      <c r="I1837" s="665">
        <v>10.08</v>
      </c>
      <c r="J1837" s="665">
        <v>9.13</v>
      </c>
      <c r="K1837" s="665">
        <v>4023.0</v>
      </c>
      <c r="L1837" s="665">
        <v>39900.0</v>
      </c>
      <c r="M1837" s="665">
        <v>1.42</v>
      </c>
      <c r="N1837" s="1">
        <v>2.1479</v>
      </c>
      <c r="O1837" s="1">
        <v>4023.0</v>
      </c>
      <c r="P1837" s="1">
        <v>39900.0</v>
      </c>
      <c r="Q1837" s="1">
        <v>1.4241</v>
      </c>
      <c r="R1837" s="1">
        <v>7484.0</v>
      </c>
    </row>
    <row r="1838">
      <c r="A1838" s="663" t="s">
        <v>2353</v>
      </c>
      <c r="B1838" s="663" t="s">
        <v>180</v>
      </c>
      <c r="C1838" s="663" t="s">
        <v>48</v>
      </c>
      <c r="D1838" s="663" t="s">
        <v>599</v>
      </c>
      <c r="E1838" s="664" t="s">
        <v>411</v>
      </c>
      <c r="F1838" s="665">
        <v>2825.0</v>
      </c>
      <c r="G1838" s="665">
        <v>2121.0</v>
      </c>
      <c r="H1838" s="665">
        <v>75.08</v>
      </c>
      <c r="I1838" s="665">
        <v>7.3</v>
      </c>
      <c r="J1838" s="665">
        <v>7.36</v>
      </c>
      <c r="K1838" s="665">
        <v>2913.0</v>
      </c>
      <c r="L1838" s="665">
        <v>39900.0</v>
      </c>
      <c r="M1838" s="665">
        <v>1.03</v>
      </c>
      <c r="N1838" s="1">
        <v>1.3734</v>
      </c>
      <c r="O1838" s="1">
        <v>2913.0</v>
      </c>
      <c r="P1838" s="1">
        <v>39900.0</v>
      </c>
      <c r="Q1838" s="1">
        <v>1.0312</v>
      </c>
      <c r="R1838" s="1">
        <v>7484.0</v>
      </c>
    </row>
    <row r="1839">
      <c r="A1839" s="663" t="s">
        <v>2353</v>
      </c>
      <c r="B1839" s="663" t="s">
        <v>180</v>
      </c>
      <c r="C1839" s="663" t="s">
        <v>48</v>
      </c>
      <c r="D1839" s="663" t="s">
        <v>599</v>
      </c>
      <c r="E1839" s="664" t="s">
        <v>398</v>
      </c>
      <c r="F1839" s="665">
        <v>2825.0</v>
      </c>
      <c r="G1839" s="665">
        <v>2101.0</v>
      </c>
      <c r="H1839" s="665">
        <v>74.37</v>
      </c>
      <c r="I1839" s="665">
        <v>7.29</v>
      </c>
      <c r="J1839" s="665">
        <v>8.39</v>
      </c>
      <c r="K1839" s="665">
        <v>2910.0</v>
      </c>
      <c r="L1839" s="665">
        <v>39900.0</v>
      </c>
      <c r="M1839" s="665">
        <v>1.03</v>
      </c>
      <c r="N1839" s="1">
        <v>1.3851</v>
      </c>
      <c r="O1839" s="1">
        <v>2910.0</v>
      </c>
      <c r="P1839" s="1">
        <v>39900.0</v>
      </c>
      <c r="Q1839" s="1">
        <v>1.0301</v>
      </c>
      <c r="R1839" s="1">
        <v>7484.0</v>
      </c>
    </row>
    <row r="1840">
      <c r="A1840" s="663" t="s">
        <v>2353</v>
      </c>
      <c r="B1840" s="663" t="s">
        <v>180</v>
      </c>
      <c r="C1840" s="663" t="s">
        <v>48</v>
      </c>
      <c r="D1840" s="663" t="s">
        <v>599</v>
      </c>
      <c r="E1840" s="664" t="s">
        <v>9</v>
      </c>
      <c r="F1840" s="665">
        <v>2825.0</v>
      </c>
      <c r="G1840" s="665">
        <v>1556.0</v>
      </c>
      <c r="H1840" s="665">
        <v>55.08</v>
      </c>
      <c r="I1840" s="665">
        <v>4.64</v>
      </c>
      <c r="J1840" s="665">
        <v>4.68</v>
      </c>
      <c r="K1840" s="665">
        <v>1851.0</v>
      </c>
      <c r="L1840" s="665">
        <v>39900.0</v>
      </c>
      <c r="M1840" s="665">
        <v>0.66</v>
      </c>
      <c r="N1840" s="1">
        <v>1.1896</v>
      </c>
      <c r="O1840" s="1">
        <v>1851.0</v>
      </c>
      <c r="P1840" s="1">
        <v>39900.0</v>
      </c>
      <c r="Q1840" s="1">
        <v>0.6552</v>
      </c>
      <c r="R1840" s="1">
        <v>7484.0</v>
      </c>
    </row>
    <row r="1841">
      <c r="A1841" s="663" t="s">
        <v>2353</v>
      </c>
      <c r="B1841" s="663" t="s">
        <v>180</v>
      </c>
      <c r="C1841" s="663" t="s">
        <v>48</v>
      </c>
      <c r="D1841" s="663" t="s">
        <v>599</v>
      </c>
      <c r="E1841" s="664" t="s">
        <v>51</v>
      </c>
      <c r="F1841" s="665">
        <v>2825.0</v>
      </c>
      <c r="G1841" s="665">
        <v>529.0</v>
      </c>
      <c r="H1841" s="665">
        <v>18.73</v>
      </c>
      <c r="I1841" s="665">
        <v>2.52</v>
      </c>
      <c r="J1841" s="665">
        <v>1.89</v>
      </c>
      <c r="K1841" s="665">
        <v>1005.0</v>
      </c>
      <c r="L1841" s="665">
        <v>39900.0</v>
      </c>
      <c r="M1841" s="665">
        <v>0.36</v>
      </c>
      <c r="N1841" s="1">
        <v>1.8998</v>
      </c>
      <c r="O1841" s="1">
        <v>1005.0</v>
      </c>
      <c r="P1841" s="1">
        <v>39900.0</v>
      </c>
      <c r="Q1841" s="1">
        <v>0.3558</v>
      </c>
      <c r="R1841" s="1">
        <v>7484.0</v>
      </c>
    </row>
    <row r="1842">
      <c r="A1842" s="663" t="s">
        <v>2353</v>
      </c>
      <c r="B1842" s="663" t="s">
        <v>180</v>
      </c>
      <c r="C1842" s="663" t="s">
        <v>48</v>
      </c>
      <c r="D1842" s="663" t="s">
        <v>599</v>
      </c>
      <c r="E1842" s="664" t="s">
        <v>401</v>
      </c>
      <c r="F1842" s="665">
        <v>2825.0</v>
      </c>
      <c r="G1842" s="665">
        <v>645.0</v>
      </c>
      <c r="H1842" s="665">
        <v>22.83</v>
      </c>
      <c r="I1842" s="665">
        <v>1.67</v>
      </c>
      <c r="J1842" s="665">
        <v>1.74</v>
      </c>
      <c r="K1842" s="665">
        <v>665.0</v>
      </c>
      <c r="L1842" s="665">
        <v>39900.0</v>
      </c>
      <c r="M1842" s="665">
        <v>0.24</v>
      </c>
      <c r="N1842" s="1">
        <v>1.031</v>
      </c>
      <c r="O1842" s="1">
        <v>665.0</v>
      </c>
      <c r="P1842" s="1">
        <v>39900.0</v>
      </c>
      <c r="Q1842" s="1">
        <v>0.2354</v>
      </c>
      <c r="R1842" s="1">
        <v>7484.0</v>
      </c>
    </row>
    <row r="1843">
      <c r="A1843" s="663" t="s">
        <v>2353</v>
      </c>
      <c r="B1843" s="663" t="s">
        <v>180</v>
      </c>
      <c r="C1843" s="663" t="s">
        <v>48</v>
      </c>
      <c r="D1843" s="663" t="s">
        <v>599</v>
      </c>
      <c r="E1843" s="664" t="s">
        <v>206</v>
      </c>
      <c r="F1843" s="665">
        <v>2825.0</v>
      </c>
      <c r="G1843" s="665">
        <v>524.0</v>
      </c>
      <c r="H1843" s="665">
        <v>18.55</v>
      </c>
      <c r="I1843" s="665">
        <v>1.33</v>
      </c>
      <c r="J1843" s="665">
        <v>1.34</v>
      </c>
      <c r="K1843" s="665">
        <v>531.0</v>
      </c>
      <c r="L1843" s="665">
        <v>39900.0</v>
      </c>
      <c r="M1843" s="665">
        <v>0.19</v>
      </c>
      <c r="N1843" s="1">
        <v>1.0134</v>
      </c>
      <c r="O1843" s="1">
        <v>531.0</v>
      </c>
      <c r="P1843" s="1">
        <v>39900.0</v>
      </c>
      <c r="Q1843" s="1">
        <v>0.188</v>
      </c>
      <c r="R1843" s="1">
        <v>7484.0</v>
      </c>
    </row>
    <row r="1844">
      <c r="A1844" s="663" t="s">
        <v>2353</v>
      </c>
      <c r="B1844" s="663" t="s">
        <v>180</v>
      </c>
      <c r="C1844" s="663" t="s">
        <v>48</v>
      </c>
      <c r="D1844" s="663" t="s">
        <v>599</v>
      </c>
      <c r="E1844" s="664" t="s">
        <v>73</v>
      </c>
      <c r="F1844" s="665">
        <v>2825.0</v>
      </c>
      <c r="G1844" s="665">
        <v>349.0</v>
      </c>
      <c r="H1844" s="665">
        <v>12.35</v>
      </c>
      <c r="I1844" s="665">
        <v>0.88</v>
      </c>
      <c r="J1844" s="665">
        <v>0.85</v>
      </c>
      <c r="K1844" s="665">
        <v>352.0</v>
      </c>
      <c r="L1844" s="665">
        <v>39900.0</v>
      </c>
      <c r="M1844" s="665">
        <v>0.12</v>
      </c>
      <c r="N1844" s="1">
        <v>1.0086</v>
      </c>
      <c r="O1844" s="1">
        <v>352.0</v>
      </c>
      <c r="P1844" s="1">
        <v>39900.0</v>
      </c>
      <c r="Q1844" s="1">
        <v>0.1246</v>
      </c>
      <c r="R1844" s="1">
        <v>7484.0</v>
      </c>
    </row>
    <row r="1845">
      <c r="A1845" s="663" t="s">
        <v>2353</v>
      </c>
      <c r="B1845" s="663" t="s">
        <v>180</v>
      </c>
      <c r="C1845" s="663" t="s">
        <v>48</v>
      </c>
      <c r="D1845" s="663" t="s">
        <v>599</v>
      </c>
      <c r="E1845" s="664" t="s">
        <v>42</v>
      </c>
      <c r="F1845" s="665">
        <v>2825.0</v>
      </c>
      <c r="G1845" s="665">
        <v>155.0</v>
      </c>
      <c r="H1845" s="665">
        <v>5.49</v>
      </c>
      <c r="I1845" s="665">
        <v>0.41</v>
      </c>
      <c r="J1845" s="665">
        <v>0.35</v>
      </c>
      <c r="K1845" s="665">
        <v>165.0</v>
      </c>
      <c r="L1845" s="665">
        <v>39900.0</v>
      </c>
      <c r="M1845" s="665">
        <v>0.06</v>
      </c>
      <c r="N1845" s="1">
        <v>1.0645</v>
      </c>
      <c r="O1845" s="1">
        <v>165.0</v>
      </c>
      <c r="P1845" s="1">
        <v>39900.0</v>
      </c>
      <c r="Q1845" s="1">
        <v>0.0584</v>
      </c>
      <c r="R1845" s="1">
        <v>7484.0</v>
      </c>
    </row>
    <row r="1846">
      <c r="A1846" s="663" t="s">
        <v>2353</v>
      </c>
      <c r="B1846" s="663" t="s">
        <v>180</v>
      </c>
      <c r="C1846" s="663" t="s">
        <v>48</v>
      </c>
      <c r="D1846" s="663" t="s">
        <v>599</v>
      </c>
      <c r="E1846" s="664" t="s">
        <v>63</v>
      </c>
      <c r="F1846" s="665">
        <v>2825.0</v>
      </c>
      <c r="G1846" s="665">
        <v>80.0</v>
      </c>
      <c r="H1846" s="665">
        <v>2.83</v>
      </c>
      <c r="I1846" s="665">
        <v>0.22</v>
      </c>
      <c r="J1846" s="665">
        <v>0.16</v>
      </c>
      <c r="K1846" s="665">
        <v>87.0</v>
      </c>
      <c r="L1846" s="665">
        <v>39900.0</v>
      </c>
      <c r="M1846" s="665">
        <v>0.03</v>
      </c>
      <c r="N1846" s="1">
        <v>1.0875</v>
      </c>
      <c r="O1846" s="1">
        <v>87.0</v>
      </c>
      <c r="P1846" s="1">
        <v>39900.0</v>
      </c>
      <c r="Q1846" s="1">
        <v>0.0308</v>
      </c>
      <c r="R1846" s="1">
        <v>7484.0</v>
      </c>
    </row>
    <row r="1847">
      <c r="A1847" s="663" t="s">
        <v>2353</v>
      </c>
      <c r="B1847" s="663" t="s">
        <v>180</v>
      </c>
      <c r="C1847" s="663" t="s">
        <v>48</v>
      </c>
      <c r="D1847" s="663" t="s">
        <v>599</v>
      </c>
      <c r="E1847" s="664" t="s">
        <v>16</v>
      </c>
      <c r="F1847" s="665">
        <v>2825.0</v>
      </c>
      <c r="G1847" s="665">
        <v>62.0</v>
      </c>
      <c r="H1847" s="665">
        <v>2.19</v>
      </c>
      <c r="I1847" s="665">
        <v>0.17</v>
      </c>
      <c r="J1847" s="665">
        <v>0.12</v>
      </c>
      <c r="K1847" s="665">
        <v>67.0</v>
      </c>
      <c r="L1847" s="665">
        <v>39900.0</v>
      </c>
      <c r="M1847" s="665">
        <v>0.02</v>
      </c>
      <c r="N1847" s="1">
        <v>1.0806</v>
      </c>
      <c r="O1847" s="1">
        <v>67.0</v>
      </c>
      <c r="P1847" s="1">
        <v>39900.0</v>
      </c>
      <c r="Q1847" s="1">
        <v>0.0237</v>
      </c>
      <c r="R1847" s="1">
        <v>7484.0</v>
      </c>
    </row>
    <row r="1848">
      <c r="A1848" s="663" t="s">
        <v>2353</v>
      </c>
      <c r="B1848" s="663" t="s">
        <v>180</v>
      </c>
      <c r="C1848" s="663" t="s">
        <v>48</v>
      </c>
      <c r="D1848" s="663" t="s">
        <v>599</v>
      </c>
      <c r="E1848" s="664" t="s">
        <v>7</v>
      </c>
      <c r="F1848" s="665">
        <v>2825.0</v>
      </c>
      <c r="G1848" s="665">
        <v>32.0</v>
      </c>
      <c r="H1848" s="665">
        <v>1.13</v>
      </c>
      <c r="I1848" s="665">
        <v>0.08</v>
      </c>
      <c r="J1848" s="665">
        <v>0.05</v>
      </c>
      <c r="K1848" s="665">
        <v>32.0</v>
      </c>
      <c r="L1848" s="665">
        <v>39900.0</v>
      </c>
      <c r="M1848" s="665">
        <v>0.01</v>
      </c>
      <c r="N1848" s="1">
        <v>1.0</v>
      </c>
      <c r="O1848" s="1">
        <v>32.0</v>
      </c>
      <c r="P1848" s="1">
        <v>39900.0</v>
      </c>
      <c r="Q1848" s="1">
        <v>0.0113</v>
      </c>
      <c r="R1848" s="1">
        <v>7484.0</v>
      </c>
    </row>
    <row r="1849">
      <c r="A1849" s="663" t="s">
        <v>2353</v>
      </c>
      <c r="B1849" s="663" t="s">
        <v>180</v>
      </c>
      <c r="C1849" s="663" t="s">
        <v>48</v>
      </c>
      <c r="D1849" s="663" t="s">
        <v>599</v>
      </c>
      <c r="E1849" s="664" t="s">
        <v>393</v>
      </c>
      <c r="F1849" s="665">
        <v>2825.0</v>
      </c>
      <c r="G1849" s="665">
        <v>22.0</v>
      </c>
      <c r="H1849" s="665">
        <v>0.78</v>
      </c>
      <c r="I1849" s="665">
        <v>0.06</v>
      </c>
      <c r="J1849" s="665">
        <v>0.07</v>
      </c>
      <c r="K1849" s="665">
        <v>22.0</v>
      </c>
      <c r="L1849" s="665">
        <v>39900.0</v>
      </c>
      <c r="M1849" s="665">
        <v>0.01</v>
      </c>
      <c r="N1849" s="1">
        <v>1.0</v>
      </c>
      <c r="O1849" s="1">
        <v>22.0</v>
      </c>
      <c r="P1849" s="1">
        <v>39900.0</v>
      </c>
      <c r="Q1849" s="1">
        <v>0.0078</v>
      </c>
      <c r="R1849" s="1">
        <v>7484.0</v>
      </c>
    </row>
    <row r="1850">
      <c r="A1850" s="663" t="s">
        <v>2353</v>
      </c>
      <c r="B1850" s="663" t="s">
        <v>180</v>
      </c>
      <c r="C1850" s="663" t="s">
        <v>54</v>
      </c>
      <c r="D1850" s="663" t="s">
        <v>599</v>
      </c>
      <c r="E1850" s="664" t="s">
        <v>14</v>
      </c>
      <c r="F1850" s="665">
        <v>2773.0</v>
      </c>
      <c r="G1850" s="665">
        <v>1803.0</v>
      </c>
      <c r="H1850" s="665">
        <v>65.02</v>
      </c>
      <c r="I1850" s="665">
        <v>52.92</v>
      </c>
      <c r="J1850" s="665">
        <v>20.57</v>
      </c>
      <c r="K1850" s="665">
        <v>14047.0</v>
      </c>
      <c r="L1850" s="665">
        <v>26543.0</v>
      </c>
      <c r="M1850" s="665">
        <v>5.07</v>
      </c>
      <c r="N1850" s="1">
        <v>7.7909</v>
      </c>
      <c r="O1850" s="1">
        <v>14047.0</v>
      </c>
      <c r="P1850" s="1">
        <v>26543.0</v>
      </c>
      <c r="Q1850" s="1">
        <v>5.0656</v>
      </c>
      <c r="R1850" s="1">
        <v>7484.0</v>
      </c>
    </row>
    <row r="1851">
      <c r="A1851" s="663" t="s">
        <v>2353</v>
      </c>
      <c r="B1851" s="663" t="s">
        <v>180</v>
      </c>
      <c r="C1851" s="663" t="s">
        <v>54</v>
      </c>
      <c r="D1851" s="663" t="s">
        <v>599</v>
      </c>
      <c r="E1851" s="664" t="s">
        <v>396</v>
      </c>
      <c r="F1851" s="665">
        <v>2773.0</v>
      </c>
      <c r="G1851" s="665">
        <v>2581.0</v>
      </c>
      <c r="H1851" s="665">
        <v>93.08</v>
      </c>
      <c r="I1851" s="665">
        <v>16.96</v>
      </c>
      <c r="J1851" s="665">
        <v>41.19</v>
      </c>
      <c r="K1851" s="665">
        <v>4502.0</v>
      </c>
      <c r="L1851" s="665">
        <v>26543.0</v>
      </c>
      <c r="M1851" s="665">
        <v>1.62</v>
      </c>
      <c r="N1851" s="1">
        <v>1.7443</v>
      </c>
      <c r="O1851" s="1">
        <v>4502.0</v>
      </c>
      <c r="P1851" s="1">
        <v>26543.0</v>
      </c>
      <c r="Q1851" s="1">
        <v>1.6235</v>
      </c>
      <c r="R1851" s="1">
        <v>7484.0</v>
      </c>
    </row>
    <row r="1852">
      <c r="A1852" s="663" t="s">
        <v>2353</v>
      </c>
      <c r="B1852" s="663" t="s">
        <v>180</v>
      </c>
      <c r="C1852" s="663" t="s">
        <v>54</v>
      </c>
      <c r="D1852" s="663" t="s">
        <v>599</v>
      </c>
      <c r="E1852" s="664" t="s">
        <v>9</v>
      </c>
      <c r="F1852" s="665">
        <v>2773.0</v>
      </c>
      <c r="G1852" s="665">
        <v>1498.0</v>
      </c>
      <c r="H1852" s="665">
        <v>54.02</v>
      </c>
      <c r="I1852" s="665">
        <v>6.69</v>
      </c>
      <c r="J1852" s="665">
        <v>12.5</v>
      </c>
      <c r="K1852" s="665">
        <v>1777.0</v>
      </c>
      <c r="L1852" s="665">
        <v>26543.0</v>
      </c>
      <c r="M1852" s="665">
        <v>0.64</v>
      </c>
      <c r="N1852" s="1">
        <v>1.1862</v>
      </c>
      <c r="O1852" s="1">
        <v>1777.0</v>
      </c>
      <c r="P1852" s="1">
        <v>26543.0</v>
      </c>
      <c r="Q1852" s="1">
        <v>0.6408</v>
      </c>
      <c r="R1852" s="1">
        <v>7484.0</v>
      </c>
    </row>
    <row r="1853">
      <c r="A1853" s="663" t="s">
        <v>2353</v>
      </c>
      <c r="B1853" s="663" t="s">
        <v>180</v>
      </c>
      <c r="C1853" s="663" t="s">
        <v>54</v>
      </c>
      <c r="D1853" s="663" t="s">
        <v>599</v>
      </c>
      <c r="E1853" s="664" t="s">
        <v>63</v>
      </c>
      <c r="F1853" s="665">
        <v>2773.0</v>
      </c>
      <c r="G1853" s="665">
        <v>641.0</v>
      </c>
      <c r="H1853" s="665">
        <v>23.12</v>
      </c>
      <c r="I1853" s="665">
        <v>4.12</v>
      </c>
      <c r="J1853" s="665">
        <v>4.44</v>
      </c>
      <c r="K1853" s="665">
        <v>1093.0</v>
      </c>
      <c r="L1853" s="665">
        <v>26543.0</v>
      </c>
      <c r="M1853" s="665">
        <v>0.39</v>
      </c>
      <c r="N1853" s="1">
        <v>1.7051</v>
      </c>
      <c r="O1853" s="1">
        <v>1093.0</v>
      </c>
      <c r="P1853" s="1">
        <v>26543.0</v>
      </c>
      <c r="Q1853" s="1">
        <v>0.3942</v>
      </c>
      <c r="R1853" s="1">
        <v>7484.0</v>
      </c>
    </row>
    <row r="1854">
      <c r="A1854" s="663" t="s">
        <v>2353</v>
      </c>
      <c r="B1854" s="663" t="s">
        <v>180</v>
      </c>
      <c r="C1854" s="663" t="s">
        <v>54</v>
      </c>
      <c r="D1854" s="663" t="s">
        <v>599</v>
      </c>
      <c r="E1854" s="664" t="s">
        <v>42</v>
      </c>
      <c r="F1854" s="665">
        <v>2773.0</v>
      </c>
      <c r="G1854" s="665">
        <v>746.0</v>
      </c>
      <c r="H1854" s="665">
        <v>26.9</v>
      </c>
      <c r="I1854" s="665">
        <v>3.85</v>
      </c>
      <c r="J1854" s="665">
        <v>6.89</v>
      </c>
      <c r="K1854" s="665">
        <v>1023.0</v>
      </c>
      <c r="L1854" s="665">
        <v>26543.0</v>
      </c>
      <c r="M1854" s="665">
        <v>0.37</v>
      </c>
      <c r="N1854" s="1">
        <v>1.3713</v>
      </c>
      <c r="O1854" s="1">
        <v>1023.0</v>
      </c>
      <c r="P1854" s="1">
        <v>26543.0</v>
      </c>
      <c r="Q1854" s="1">
        <v>0.3689</v>
      </c>
      <c r="R1854" s="1">
        <v>7484.0</v>
      </c>
    </row>
    <row r="1855">
      <c r="A1855" s="663" t="s">
        <v>2353</v>
      </c>
      <c r="B1855" s="663" t="s">
        <v>180</v>
      </c>
      <c r="C1855" s="663" t="s">
        <v>54</v>
      </c>
      <c r="D1855" s="663" t="s">
        <v>599</v>
      </c>
      <c r="E1855" s="664" t="s">
        <v>16</v>
      </c>
      <c r="F1855" s="665">
        <v>2773.0</v>
      </c>
      <c r="G1855" s="665">
        <v>377.0</v>
      </c>
      <c r="H1855" s="665">
        <v>13.6</v>
      </c>
      <c r="I1855" s="665">
        <v>2.81</v>
      </c>
      <c r="J1855" s="665">
        <v>2.53</v>
      </c>
      <c r="K1855" s="665">
        <v>747.0</v>
      </c>
      <c r="L1855" s="665">
        <v>26543.0</v>
      </c>
      <c r="M1855" s="665">
        <v>0.27</v>
      </c>
      <c r="N1855" s="1">
        <v>1.9814</v>
      </c>
      <c r="O1855" s="1">
        <v>747.0</v>
      </c>
      <c r="P1855" s="1">
        <v>26543.0</v>
      </c>
      <c r="Q1855" s="1">
        <v>0.2694</v>
      </c>
      <c r="R1855" s="1">
        <v>7484.0</v>
      </c>
    </row>
    <row r="1856">
      <c r="A1856" s="663" t="s">
        <v>2353</v>
      </c>
      <c r="B1856" s="663" t="s">
        <v>180</v>
      </c>
      <c r="C1856" s="663" t="s">
        <v>54</v>
      </c>
      <c r="D1856" s="663" t="s">
        <v>599</v>
      </c>
      <c r="E1856" s="664" t="s">
        <v>411</v>
      </c>
      <c r="F1856" s="665">
        <v>2773.0</v>
      </c>
      <c r="G1856" s="665">
        <v>347.0</v>
      </c>
      <c r="H1856" s="665">
        <v>12.51</v>
      </c>
      <c r="I1856" s="665">
        <v>2.15</v>
      </c>
      <c r="J1856" s="665">
        <v>1.86</v>
      </c>
      <c r="K1856" s="665">
        <v>571.0</v>
      </c>
      <c r="L1856" s="665">
        <v>26543.0</v>
      </c>
      <c r="M1856" s="665">
        <v>0.21</v>
      </c>
      <c r="N1856" s="1">
        <v>1.6455</v>
      </c>
      <c r="O1856" s="1">
        <v>571.0</v>
      </c>
      <c r="P1856" s="1">
        <v>26543.0</v>
      </c>
      <c r="Q1856" s="1">
        <v>0.2059</v>
      </c>
      <c r="R1856" s="1">
        <v>7484.0</v>
      </c>
    </row>
    <row r="1857">
      <c r="A1857" s="663" t="s">
        <v>2353</v>
      </c>
      <c r="B1857" s="663" t="s">
        <v>180</v>
      </c>
      <c r="C1857" s="663" t="s">
        <v>54</v>
      </c>
      <c r="D1857" s="663" t="s">
        <v>599</v>
      </c>
      <c r="E1857" s="664" t="s">
        <v>398</v>
      </c>
      <c r="F1857" s="665">
        <v>2773.0</v>
      </c>
      <c r="G1857" s="665">
        <v>293.0</v>
      </c>
      <c r="H1857" s="665">
        <v>10.57</v>
      </c>
      <c r="I1857" s="665">
        <v>1.7</v>
      </c>
      <c r="J1857" s="665">
        <v>1.63</v>
      </c>
      <c r="K1857" s="665">
        <v>452.0</v>
      </c>
      <c r="L1857" s="665">
        <v>26543.0</v>
      </c>
      <c r="M1857" s="665">
        <v>0.16</v>
      </c>
      <c r="N1857" s="1">
        <v>1.5427</v>
      </c>
      <c r="O1857" s="1">
        <v>452.0</v>
      </c>
      <c r="P1857" s="1">
        <v>26543.0</v>
      </c>
      <c r="Q1857" s="1">
        <v>0.163</v>
      </c>
      <c r="R1857" s="1">
        <v>7484.0</v>
      </c>
    </row>
    <row r="1858">
      <c r="A1858" s="663" t="s">
        <v>2353</v>
      </c>
      <c r="B1858" s="663" t="s">
        <v>180</v>
      </c>
      <c r="C1858" s="663" t="s">
        <v>54</v>
      </c>
      <c r="D1858" s="663" t="s">
        <v>599</v>
      </c>
      <c r="E1858" s="664" t="s">
        <v>393</v>
      </c>
      <c r="F1858" s="665">
        <v>2773.0</v>
      </c>
      <c r="G1858" s="665">
        <v>201.0</v>
      </c>
      <c r="H1858" s="665">
        <v>7.25</v>
      </c>
      <c r="I1858" s="665">
        <v>1.42</v>
      </c>
      <c r="J1858" s="665">
        <v>1.34</v>
      </c>
      <c r="K1858" s="665">
        <v>376.0</v>
      </c>
      <c r="L1858" s="665">
        <v>26543.0</v>
      </c>
      <c r="M1858" s="665">
        <v>0.14</v>
      </c>
      <c r="N1858" s="1">
        <v>1.8706</v>
      </c>
      <c r="O1858" s="1">
        <v>376.0</v>
      </c>
      <c r="P1858" s="1">
        <v>26543.0</v>
      </c>
      <c r="Q1858" s="1">
        <v>0.1356</v>
      </c>
      <c r="R1858" s="1">
        <v>7484.0</v>
      </c>
    </row>
    <row r="1859">
      <c r="A1859" s="663" t="s">
        <v>2353</v>
      </c>
      <c r="B1859" s="663" t="s">
        <v>180</v>
      </c>
      <c r="C1859" s="663" t="s">
        <v>54</v>
      </c>
      <c r="D1859" s="663" t="s">
        <v>599</v>
      </c>
      <c r="E1859" s="664" t="s">
        <v>329</v>
      </c>
      <c r="F1859" s="665">
        <v>2773.0</v>
      </c>
      <c r="G1859" s="665">
        <v>296.0</v>
      </c>
      <c r="H1859" s="665">
        <v>10.67</v>
      </c>
      <c r="I1859" s="665">
        <v>1.4</v>
      </c>
      <c r="J1859" s="665">
        <v>1.46</v>
      </c>
      <c r="K1859" s="665">
        <v>372.0</v>
      </c>
      <c r="L1859" s="665">
        <v>26543.0</v>
      </c>
      <c r="M1859" s="665">
        <v>0.13</v>
      </c>
      <c r="N1859" s="1">
        <v>1.2568</v>
      </c>
      <c r="O1859" s="1">
        <v>372.0</v>
      </c>
      <c r="P1859" s="1">
        <v>26543.0</v>
      </c>
      <c r="Q1859" s="1">
        <v>0.1342</v>
      </c>
      <c r="R1859" s="1">
        <v>7484.0</v>
      </c>
    </row>
    <row r="1860">
      <c r="A1860" s="663" t="s">
        <v>2353</v>
      </c>
      <c r="B1860" s="663" t="s">
        <v>180</v>
      </c>
      <c r="C1860" s="663" t="s">
        <v>54</v>
      </c>
      <c r="D1860" s="663" t="s">
        <v>599</v>
      </c>
      <c r="E1860" s="664" t="s">
        <v>338</v>
      </c>
      <c r="F1860" s="665">
        <v>2773.0</v>
      </c>
      <c r="G1860" s="665">
        <v>271.0</v>
      </c>
      <c r="H1860" s="665">
        <v>9.77</v>
      </c>
      <c r="I1860" s="665">
        <v>1.27</v>
      </c>
      <c r="J1860" s="665">
        <v>1.34</v>
      </c>
      <c r="K1860" s="665">
        <v>337.0</v>
      </c>
      <c r="L1860" s="665">
        <v>26543.0</v>
      </c>
      <c r="M1860" s="665">
        <v>0.12</v>
      </c>
      <c r="N1860" s="1">
        <v>1.2435</v>
      </c>
      <c r="O1860" s="1">
        <v>337.0</v>
      </c>
      <c r="P1860" s="1">
        <v>26543.0</v>
      </c>
      <c r="Q1860" s="1">
        <v>0.1215</v>
      </c>
      <c r="R1860" s="1">
        <v>7484.0</v>
      </c>
    </row>
    <row r="1861">
      <c r="A1861" s="663" t="s">
        <v>2353</v>
      </c>
      <c r="B1861" s="663" t="s">
        <v>180</v>
      </c>
      <c r="C1861" s="663" t="s">
        <v>54</v>
      </c>
      <c r="D1861" s="663" t="s">
        <v>599</v>
      </c>
      <c r="E1861" s="664" t="s">
        <v>341</v>
      </c>
      <c r="F1861" s="665">
        <v>2773.0</v>
      </c>
      <c r="G1861" s="665">
        <v>256.0</v>
      </c>
      <c r="H1861" s="665">
        <v>9.23</v>
      </c>
      <c r="I1861" s="665">
        <v>1.12</v>
      </c>
      <c r="J1861" s="665">
        <v>1.3</v>
      </c>
      <c r="K1861" s="665">
        <v>298.0</v>
      </c>
      <c r="L1861" s="665">
        <v>26543.0</v>
      </c>
      <c r="M1861" s="665">
        <v>0.11</v>
      </c>
      <c r="N1861" s="1">
        <v>1.1641</v>
      </c>
      <c r="O1861" s="1">
        <v>298.0</v>
      </c>
      <c r="P1861" s="1">
        <v>26543.0</v>
      </c>
      <c r="Q1861" s="1">
        <v>0.1075</v>
      </c>
      <c r="R1861" s="1">
        <v>7484.0</v>
      </c>
    </row>
    <row r="1862">
      <c r="A1862" s="663" t="s">
        <v>2353</v>
      </c>
      <c r="B1862" s="663" t="s">
        <v>180</v>
      </c>
      <c r="C1862" s="663" t="s">
        <v>54</v>
      </c>
      <c r="D1862" s="663" t="s">
        <v>599</v>
      </c>
      <c r="E1862" s="664" t="s">
        <v>15</v>
      </c>
      <c r="F1862" s="665">
        <v>2773.0</v>
      </c>
      <c r="G1862" s="665">
        <v>217.0</v>
      </c>
      <c r="H1862" s="665">
        <v>7.83</v>
      </c>
      <c r="I1862" s="665">
        <v>1.04</v>
      </c>
      <c r="J1862" s="665">
        <v>0.92</v>
      </c>
      <c r="K1862" s="665">
        <v>276.0</v>
      </c>
      <c r="L1862" s="665">
        <v>26543.0</v>
      </c>
      <c r="M1862" s="665">
        <v>0.1</v>
      </c>
      <c r="N1862" s="1">
        <v>1.2719</v>
      </c>
      <c r="O1862" s="1">
        <v>276.0</v>
      </c>
      <c r="P1862" s="1">
        <v>26543.0</v>
      </c>
      <c r="Q1862" s="1">
        <v>0.0995</v>
      </c>
      <c r="R1862" s="1">
        <v>7484.0</v>
      </c>
    </row>
    <row r="1863">
      <c r="A1863" s="663" t="s">
        <v>2353</v>
      </c>
      <c r="B1863" s="663" t="s">
        <v>180</v>
      </c>
      <c r="C1863" s="663" t="s">
        <v>54</v>
      </c>
      <c r="D1863" s="663" t="s">
        <v>599</v>
      </c>
      <c r="E1863" s="664" t="s">
        <v>401</v>
      </c>
      <c r="F1863" s="665">
        <v>2773.0</v>
      </c>
      <c r="G1863" s="665">
        <v>264.0</v>
      </c>
      <c r="H1863" s="665">
        <v>9.52</v>
      </c>
      <c r="I1863" s="665">
        <v>1.01</v>
      </c>
      <c r="J1863" s="665">
        <v>0.98</v>
      </c>
      <c r="K1863" s="665">
        <v>267.0</v>
      </c>
      <c r="L1863" s="665">
        <v>26543.0</v>
      </c>
      <c r="M1863" s="665">
        <v>0.1</v>
      </c>
      <c r="N1863" s="1">
        <v>1.0114</v>
      </c>
      <c r="O1863" s="1">
        <v>267.0</v>
      </c>
      <c r="P1863" s="1">
        <v>26543.0</v>
      </c>
      <c r="Q1863" s="1">
        <v>0.0963</v>
      </c>
      <c r="R1863" s="1">
        <v>7484.0</v>
      </c>
    </row>
    <row r="1864">
      <c r="A1864" s="663" t="s">
        <v>2353</v>
      </c>
      <c r="B1864" s="663" t="s">
        <v>180</v>
      </c>
      <c r="C1864" s="663" t="s">
        <v>54</v>
      </c>
      <c r="D1864" s="663" t="s">
        <v>599</v>
      </c>
      <c r="E1864" s="664" t="s">
        <v>206</v>
      </c>
      <c r="F1864" s="665">
        <v>2773.0</v>
      </c>
      <c r="G1864" s="665">
        <v>161.0</v>
      </c>
      <c r="H1864" s="665">
        <v>5.81</v>
      </c>
      <c r="I1864" s="665">
        <v>0.62</v>
      </c>
      <c r="J1864" s="665">
        <v>0.38</v>
      </c>
      <c r="K1864" s="665">
        <v>164.0</v>
      </c>
      <c r="L1864" s="665">
        <v>26543.0</v>
      </c>
      <c r="M1864" s="665">
        <v>0.06</v>
      </c>
      <c r="N1864" s="1">
        <v>1.0186</v>
      </c>
      <c r="O1864" s="1">
        <v>164.0</v>
      </c>
      <c r="P1864" s="1">
        <v>26543.0</v>
      </c>
      <c r="Q1864" s="1">
        <v>0.0591</v>
      </c>
      <c r="R1864" s="1">
        <v>7484.0</v>
      </c>
    </row>
    <row r="1865">
      <c r="A1865" s="663" t="s">
        <v>2353</v>
      </c>
      <c r="B1865" s="663" t="s">
        <v>180</v>
      </c>
      <c r="C1865" s="663" t="s">
        <v>54</v>
      </c>
      <c r="D1865" s="663" t="s">
        <v>599</v>
      </c>
      <c r="E1865" s="664" t="s">
        <v>7</v>
      </c>
      <c r="F1865" s="665">
        <v>2773.0</v>
      </c>
      <c r="G1865" s="665">
        <v>126.0</v>
      </c>
      <c r="H1865" s="665">
        <v>4.54</v>
      </c>
      <c r="I1865" s="665">
        <v>0.58</v>
      </c>
      <c r="J1865" s="665">
        <v>0.3</v>
      </c>
      <c r="K1865" s="665">
        <v>153.0</v>
      </c>
      <c r="L1865" s="665">
        <v>26543.0</v>
      </c>
      <c r="M1865" s="665">
        <v>0.06</v>
      </c>
      <c r="N1865" s="1">
        <v>1.2143</v>
      </c>
      <c r="O1865" s="1">
        <v>153.0</v>
      </c>
      <c r="P1865" s="1">
        <v>26543.0</v>
      </c>
      <c r="Q1865" s="1">
        <v>0.0552</v>
      </c>
      <c r="R1865" s="1">
        <v>7484.0</v>
      </c>
    </row>
    <row r="1866">
      <c r="A1866" s="663" t="s">
        <v>2353</v>
      </c>
      <c r="B1866" s="663" t="s">
        <v>180</v>
      </c>
      <c r="C1866" s="663" t="s">
        <v>54</v>
      </c>
      <c r="D1866" s="663" t="s">
        <v>599</v>
      </c>
      <c r="E1866" s="664" t="s">
        <v>397</v>
      </c>
      <c r="F1866" s="665">
        <v>2773.0</v>
      </c>
      <c r="G1866" s="665">
        <v>72.0</v>
      </c>
      <c r="H1866" s="665">
        <v>2.6</v>
      </c>
      <c r="I1866" s="665">
        <v>0.28</v>
      </c>
      <c r="J1866" s="665">
        <v>0.19</v>
      </c>
      <c r="K1866" s="665">
        <v>74.0</v>
      </c>
      <c r="L1866" s="665">
        <v>26543.0</v>
      </c>
      <c r="M1866" s="665">
        <v>0.03</v>
      </c>
      <c r="N1866" s="1">
        <v>1.0278</v>
      </c>
      <c r="O1866" s="1">
        <v>74.0</v>
      </c>
      <c r="P1866" s="1">
        <v>26543.0</v>
      </c>
      <c r="Q1866" s="1">
        <v>0.0267</v>
      </c>
      <c r="R1866" s="1">
        <v>7484.0</v>
      </c>
    </row>
    <row r="1867">
      <c r="A1867" s="663" t="s">
        <v>2353</v>
      </c>
      <c r="B1867" s="663" t="s">
        <v>180</v>
      </c>
      <c r="C1867" s="663" t="s">
        <v>54</v>
      </c>
      <c r="D1867" s="663" t="s">
        <v>599</v>
      </c>
      <c r="E1867" s="664" t="s">
        <v>418</v>
      </c>
      <c r="F1867" s="665">
        <v>2773.0</v>
      </c>
      <c r="G1867" s="665">
        <v>13.0</v>
      </c>
      <c r="H1867" s="665">
        <v>0.47</v>
      </c>
      <c r="I1867" s="665">
        <v>0.05</v>
      </c>
      <c r="J1867" s="665">
        <v>0.18</v>
      </c>
      <c r="K1867" s="665">
        <v>14.0</v>
      </c>
      <c r="L1867" s="665">
        <v>26543.0</v>
      </c>
      <c r="M1867" s="665">
        <v>0.01</v>
      </c>
      <c r="N1867" s="1">
        <v>1.0769</v>
      </c>
      <c r="O1867" s="1">
        <v>14.0</v>
      </c>
      <c r="P1867" s="1">
        <v>26543.0</v>
      </c>
      <c r="Q1867" s="1">
        <v>0.005</v>
      </c>
      <c r="R1867" s="1">
        <v>7484.0</v>
      </c>
    </row>
    <row r="1868">
      <c r="A1868" s="663" t="s">
        <v>2353</v>
      </c>
      <c r="B1868" s="663" t="s">
        <v>180</v>
      </c>
      <c r="C1868" s="663" t="s">
        <v>1205</v>
      </c>
      <c r="D1868" s="663" t="s">
        <v>1205</v>
      </c>
      <c r="E1868" s="664" t="s">
        <v>396</v>
      </c>
      <c r="F1868" s="665">
        <v>2838.0</v>
      </c>
      <c r="G1868" s="665">
        <v>2820.0</v>
      </c>
      <c r="H1868" s="665">
        <v>99.37</v>
      </c>
      <c r="I1868" s="665">
        <v>34.58</v>
      </c>
      <c r="J1868" s="665">
        <v>46.55</v>
      </c>
      <c r="K1868" s="665">
        <v>1312880.0</v>
      </c>
      <c r="L1868" s="665">
        <v>3796261.59</v>
      </c>
      <c r="M1868" s="665">
        <v>462.61</v>
      </c>
      <c r="N1868" s="1">
        <v>465.5603</v>
      </c>
      <c r="O1868" s="1">
        <v>1312880.0</v>
      </c>
      <c r="P1868" s="1">
        <v>5284846.0</v>
      </c>
      <c r="Q1868" s="1">
        <v>462.6075</v>
      </c>
      <c r="R1868" s="1">
        <v>7484.0</v>
      </c>
    </row>
    <row r="1869">
      <c r="A1869" s="663" t="s">
        <v>2353</v>
      </c>
      <c r="B1869" s="663" t="s">
        <v>180</v>
      </c>
      <c r="C1869" s="663" t="s">
        <v>1205</v>
      </c>
      <c r="D1869" s="663" t="s">
        <v>1205</v>
      </c>
      <c r="E1869" s="664" t="s">
        <v>418</v>
      </c>
      <c r="F1869" s="665">
        <v>2838.0</v>
      </c>
      <c r="G1869" s="665">
        <v>2830.0</v>
      </c>
      <c r="H1869" s="665">
        <v>99.72</v>
      </c>
      <c r="I1869" s="665">
        <v>14.96</v>
      </c>
      <c r="J1869" s="665">
        <v>15.21</v>
      </c>
      <c r="K1869" s="665">
        <v>568100.0</v>
      </c>
      <c r="L1869" s="665">
        <v>3796261.59</v>
      </c>
      <c r="M1869" s="665">
        <v>200.18</v>
      </c>
      <c r="N1869" s="1">
        <v>200.742</v>
      </c>
      <c r="O1869" s="1">
        <v>568100.0</v>
      </c>
      <c r="P1869" s="1">
        <v>5284846.0</v>
      </c>
      <c r="Q1869" s="1">
        <v>200.1762</v>
      </c>
      <c r="R1869" s="1">
        <v>7484.0</v>
      </c>
    </row>
    <row r="1870">
      <c r="A1870" s="663" t="s">
        <v>2353</v>
      </c>
      <c r="B1870" s="663" t="s">
        <v>180</v>
      </c>
      <c r="C1870" s="663" t="s">
        <v>1205</v>
      </c>
      <c r="D1870" s="663" t="s">
        <v>1205</v>
      </c>
      <c r="E1870" s="664" t="s">
        <v>398</v>
      </c>
      <c r="F1870" s="665">
        <v>2838.0</v>
      </c>
      <c r="G1870" s="665">
        <v>2594.0</v>
      </c>
      <c r="H1870" s="665">
        <v>91.4</v>
      </c>
      <c r="I1870" s="665">
        <v>13.98</v>
      </c>
      <c r="J1870" s="665">
        <v>8.57</v>
      </c>
      <c r="K1870" s="665">
        <v>530765.0</v>
      </c>
      <c r="L1870" s="665">
        <v>3796261.59</v>
      </c>
      <c r="M1870" s="665">
        <v>187.02</v>
      </c>
      <c r="N1870" s="1">
        <v>204.6126</v>
      </c>
      <c r="O1870" s="1">
        <v>530765.0</v>
      </c>
      <c r="P1870" s="1">
        <v>5284846.0</v>
      </c>
      <c r="Q1870" s="1">
        <v>187.0208</v>
      </c>
      <c r="R1870" s="1">
        <v>7484.0</v>
      </c>
    </row>
    <row r="1871">
      <c r="A1871" s="663" t="s">
        <v>2353</v>
      </c>
      <c r="B1871" s="663" t="s">
        <v>180</v>
      </c>
      <c r="C1871" s="663" t="s">
        <v>1205</v>
      </c>
      <c r="D1871" s="663" t="s">
        <v>1205</v>
      </c>
      <c r="E1871" s="664" t="s">
        <v>14</v>
      </c>
      <c r="F1871" s="665">
        <v>2838.0</v>
      </c>
      <c r="G1871" s="665">
        <v>2013.0</v>
      </c>
      <c r="H1871" s="665">
        <v>70.93</v>
      </c>
      <c r="I1871" s="665">
        <v>5.16</v>
      </c>
      <c r="J1871" s="665">
        <v>4.09</v>
      </c>
      <c r="K1871" s="665">
        <v>196025.59</v>
      </c>
      <c r="L1871" s="665">
        <v>3796261.59</v>
      </c>
      <c r="M1871" s="665">
        <v>69.07</v>
      </c>
      <c r="N1871" s="1">
        <v>97.3798</v>
      </c>
      <c r="O1871" s="1">
        <v>1684610.0</v>
      </c>
      <c r="P1871" s="1">
        <v>5284846.0</v>
      </c>
      <c r="Q1871" s="1">
        <v>593.5906</v>
      </c>
      <c r="R1871" s="1">
        <v>7484.0</v>
      </c>
    </row>
    <row r="1872">
      <c r="A1872" s="663" t="s">
        <v>2353</v>
      </c>
      <c r="B1872" s="663" t="s">
        <v>180</v>
      </c>
      <c r="C1872" s="663" t="s">
        <v>1205</v>
      </c>
      <c r="D1872" s="663" t="s">
        <v>1205</v>
      </c>
      <c r="E1872" s="664" t="s">
        <v>63</v>
      </c>
      <c r="F1872" s="665">
        <v>2838.0</v>
      </c>
      <c r="G1872" s="665">
        <v>885.0</v>
      </c>
      <c r="H1872" s="665">
        <v>31.18</v>
      </c>
      <c r="I1872" s="665">
        <v>3.61</v>
      </c>
      <c r="J1872" s="665">
        <v>2.34</v>
      </c>
      <c r="K1872" s="665">
        <v>136975.0</v>
      </c>
      <c r="L1872" s="665">
        <v>3796261.59</v>
      </c>
      <c r="M1872" s="665">
        <v>48.26</v>
      </c>
      <c r="N1872" s="1">
        <v>154.774</v>
      </c>
      <c r="O1872" s="1">
        <v>136975.0</v>
      </c>
      <c r="P1872" s="1">
        <v>5284846.0</v>
      </c>
      <c r="Q1872" s="1">
        <v>48.2646</v>
      </c>
      <c r="R1872" s="1">
        <v>7484.0</v>
      </c>
    </row>
    <row r="1873">
      <c r="A1873" s="663" t="s">
        <v>2353</v>
      </c>
      <c r="B1873" s="663" t="s">
        <v>180</v>
      </c>
      <c r="C1873" s="663" t="s">
        <v>1205</v>
      </c>
      <c r="D1873" s="663" t="s">
        <v>1205</v>
      </c>
      <c r="E1873" s="664" t="s">
        <v>411</v>
      </c>
      <c r="F1873" s="665">
        <v>2838.0</v>
      </c>
      <c r="G1873" s="665">
        <v>1137.0</v>
      </c>
      <c r="H1873" s="665">
        <v>40.06</v>
      </c>
      <c r="I1873" s="665">
        <v>3.2</v>
      </c>
      <c r="J1873" s="665">
        <v>3.1</v>
      </c>
      <c r="K1873" s="665">
        <v>121491.0</v>
      </c>
      <c r="L1873" s="665">
        <v>3796261.59</v>
      </c>
      <c r="M1873" s="665">
        <v>42.81</v>
      </c>
      <c r="N1873" s="1">
        <v>106.8522</v>
      </c>
      <c r="O1873" s="1">
        <v>121491.0</v>
      </c>
      <c r="P1873" s="1">
        <v>5284846.0</v>
      </c>
      <c r="Q1873" s="1">
        <v>42.8087</v>
      </c>
      <c r="R1873" s="1">
        <v>7484.0</v>
      </c>
    </row>
    <row r="1874">
      <c r="A1874" s="663" t="s">
        <v>2353</v>
      </c>
      <c r="B1874" s="663" t="s">
        <v>180</v>
      </c>
      <c r="C1874" s="663" t="s">
        <v>1205</v>
      </c>
      <c r="D1874" s="663" t="s">
        <v>1205</v>
      </c>
      <c r="E1874" s="664" t="s">
        <v>413</v>
      </c>
      <c r="F1874" s="665">
        <v>2838.0</v>
      </c>
      <c r="G1874" s="665">
        <v>1834.0</v>
      </c>
      <c r="H1874" s="665">
        <v>64.62</v>
      </c>
      <c r="I1874" s="665">
        <v>3.09</v>
      </c>
      <c r="J1874" s="665">
        <v>4.21</v>
      </c>
      <c r="K1874" s="665">
        <v>117330.0</v>
      </c>
      <c r="L1874" s="665">
        <v>3796261.59</v>
      </c>
      <c r="M1874" s="665">
        <v>41.34</v>
      </c>
      <c r="N1874" s="1">
        <v>63.9749</v>
      </c>
      <c r="O1874" s="1">
        <v>117330.0</v>
      </c>
      <c r="P1874" s="1">
        <v>5284846.0</v>
      </c>
      <c r="Q1874" s="1">
        <v>41.3425</v>
      </c>
      <c r="R1874" s="1">
        <v>7484.0</v>
      </c>
    </row>
    <row r="1875">
      <c r="A1875" s="663" t="s">
        <v>2353</v>
      </c>
      <c r="B1875" s="663" t="s">
        <v>180</v>
      </c>
      <c r="C1875" s="663" t="s">
        <v>1205</v>
      </c>
      <c r="D1875" s="663" t="s">
        <v>1205</v>
      </c>
      <c r="E1875" s="664" t="s">
        <v>329</v>
      </c>
      <c r="F1875" s="665">
        <v>2838.0</v>
      </c>
      <c r="G1875" s="665">
        <v>389.0</v>
      </c>
      <c r="H1875" s="665">
        <v>13.71</v>
      </c>
      <c r="I1875" s="665">
        <v>2.31</v>
      </c>
      <c r="J1875" s="665">
        <v>1.5</v>
      </c>
      <c r="K1875" s="665">
        <v>87850.0</v>
      </c>
      <c r="L1875" s="665">
        <v>3796261.59</v>
      </c>
      <c r="M1875" s="665">
        <v>30.95</v>
      </c>
      <c r="N1875" s="1">
        <v>225.8355</v>
      </c>
      <c r="O1875" s="1">
        <v>87850.0</v>
      </c>
      <c r="P1875" s="1">
        <v>5284846.0</v>
      </c>
      <c r="Q1875" s="1">
        <v>30.9549</v>
      </c>
      <c r="R1875" s="1">
        <v>7484.0</v>
      </c>
    </row>
    <row r="1876">
      <c r="A1876" s="663" t="s">
        <v>2353</v>
      </c>
      <c r="B1876" s="663" t="s">
        <v>180</v>
      </c>
      <c r="C1876" s="663" t="s">
        <v>1205</v>
      </c>
      <c r="D1876" s="663" t="s">
        <v>1205</v>
      </c>
      <c r="E1876" s="664" t="s">
        <v>397</v>
      </c>
      <c r="F1876" s="665">
        <v>2838.0</v>
      </c>
      <c r="G1876" s="665">
        <v>2463.0</v>
      </c>
      <c r="H1876" s="665">
        <v>86.79</v>
      </c>
      <c r="I1876" s="665">
        <v>2.31</v>
      </c>
      <c r="J1876" s="665">
        <v>1.93</v>
      </c>
      <c r="K1876" s="665">
        <v>87810.0</v>
      </c>
      <c r="L1876" s="665">
        <v>3796261.59</v>
      </c>
      <c r="M1876" s="665">
        <v>30.94</v>
      </c>
      <c r="N1876" s="1">
        <v>35.6516</v>
      </c>
      <c r="O1876" s="1">
        <v>87810.0</v>
      </c>
      <c r="P1876" s="1">
        <v>5284846.0</v>
      </c>
      <c r="Q1876" s="1">
        <v>30.9408</v>
      </c>
      <c r="R1876" s="1">
        <v>7484.0</v>
      </c>
    </row>
    <row r="1877">
      <c r="A1877" s="663" t="s">
        <v>2353</v>
      </c>
      <c r="B1877" s="663" t="s">
        <v>180</v>
      </c>
      <c r="C1877" s="663" t="s">
        <v>1205</v>
      </c>
      <c r="D1877" s="663" t="s">
        <v>1205</v>
      </c>
      <c r="E1877" s="664" t="s">
        <v>338</v>
      </c>
      <c r="F1877" s="665">
        <v>2838.0</v>
      </c>
      <c r="G1877" s="665">
        <v>382.0</v>
      </c>
      <c r="H1877" s="665">
        <v>13.46</v>
      </c>
      <c r="I1877" s="665">
        <v>2.2</v>
      </c>
      <c r="J1877" s="665">
        <v>1.38</v>
      </c>
      <c r="K1877" s="665">
        <v>83500.0</v>
      </c>
      <c r="L1877" s="665">
        <v>3796261.59</v>
      </c>
      <c r="M1877" s="665">
        <v>29.42</v>
      </c>
      <c r="N1877" s="1">
        <v>218.5864</v>
      </c>
      <c r="O1877" s="1">
        <v>83500.0</v>
      </c>
      <c r="P1877" s="1">
        <v>5284846.0</v>
      </c>
      <c r="Q1877" s="1">
        <v>29.4221</v>
      </c>
      <c r="R1877" s="1">
        <v>7484.0</v>
      </c>
    </row>
    <row r="1878">
      <c r="A1878" s="663" t="s">
        <v>2353</v>
      </c>
      <c r="B1878" s="663" t="s">
        <v>180</v>
      </c>
      <c r="C1878" s="663" t="s">
        <v>1205</v>
      </c>
      <c r="D1878" s="663" t="s">
        <v>1205</v>
      </c>
      <c r="E1878" s="664" t="s">
        <v>9</v>
      </c>
      <c r="F1878" s="665">
        <v>2838.0</v>
      </c>
      <c r="G1878" s="665">
        <v>1633.0</v>
      </c>
      <c r="H1878" s="665">
        <v>57.54</v>
      </c>
      <c r="I1878" s="665">
        <v>2.2</v>
      </c>
      <c r="J1878" s="665">
        <v>2.41</v>
      </c>
      <c r="K1878" s="665">
        <v>83670.0</v>
      </c>
      <c r="L1878" s="665">
        <v>3796261.59</v>
      </c>
      <c r="M1878" s="665">
        <v>29.48</v>
      </c>
      <c r="N1878" s="1">
        <v>51.237</v>
      </c>
      <c r="O1878" s="1">
        <v>83670.0</v>
      </c>
      <c r="P1878" s="1">
        <v>5284846.0</v>
      </c>
      <c r="Q1878" s="1">
        <v>29.482</v>
      </c>
      <c r="R1878" s="1">
        <v>7484.0</v>
      </c>
    </row>
    <row r="1879">
      <c r="A1879" s="663" t="s">
        <v>2353</v>
      </c>
      <c r="B1879" s="663" t="s">
        <v>180</v>
      </c>
      <c r="C1879" s="663" t="s">
        <v>1205</v>
      </c>
      <c r="D1879" s="663" t="s">
        <v>1205</v>
      </c>
      <c r="E1879" s="664" t="s">
        <v>341</v>
      </c>
      <c r="F1879" s="665">
        <v>2838.0</v>
      </c>
      <c r="G1879" s="665">
        <v>385.0</v>
      </c>
      <c r="H1879" s="665">
        <v>13.57</v>
      </c>
      <c r="I1879" s="665">
        <v>1.99</v>
      </c>
      <c r="J1879" s="665">
        <v>1.39</v>
      </c>
      <c r="K1879" s="665">
        <v>75500.0</v>
      </c>
      <c r="L1879" s="665">
        <v>3796261.59</v>
      </c>
      <c r="M1879" s="665">
        <v>26.6</v>
      </c>
      <c r="N1879" s="1">
        <v>196.1039</v>
      </c>
      <c r="O1879" s="1">
        <v>75500.0</v>
      </c>
      <c r="P1879" s="1">
        <v>5284846.0</v>
      </c>
      <c r="Q1879" s="1">
        <v>26.6032</v>
      </c>
      <c r="R1879" s="1">
        <v>7484.0</v>
      </c>
    </row>
    <row r="1880">
      <c r="A1880" s="663" t="s">
        <v>2353</v>
      </c>
      <c r="B1880" s="663" t="s">
        <v>180</v>
      </c>
      <c r="C1880" s="663" t="s">
        <v>1205</v>
      </c>
      <c r="D1880" s="663" t="s">
        <v>1205</v>
      </c>
      <c r="E1880" s="664" t="s">
        <v>7</v>
      </c>
      <c r="F1880" s="665">
        <v>2838.0</v>
      </c>
      <c r="G1880" s="665">
        <v>289.0</v>
      </c>
      <c r="H1880" s="665">
        <v>10.18</v>
      </c>
      <c r="I1880" s="665">
        <v>1.91</v>
      </c>
      <c r="J1880" s="665">
        <v>0.79</v>
      </c>
      <c r="K1880" s="665">
        <v>72475.0</v>
      </c>
      <c r="L1880" s="665">
        <v>3796261.59</v>
      </c>
      <c r="M1880" s="665">
        <v>25.54</v>
      </c>
      <c r="N1880" s="1">
        <v>250.7785</v>
      </c>
      <c r="O1880" s="1">
        <v>72475.0</v>
      </c>
      <c r="P1880" s="1">
        <v>5284846.0</v>
      </c>
      <c r="Q1880" s="1">
        <v>25.5374</v>
      </c>
      <c r="R1880" s="1">
        <v>7484.0</v>
      </c>
    </row>
    <row r="1881">
      <c r="A1881" s="663" t="s">
        <v>2353</v>
      </c>
      <c r="B1881" s="663" t="s">
        <v>180</v>
      </c>
      <c r="C1881" s="663" t="s">
        <v>1205</v>
      </c>
      <c r="D1881" s="663" t="s">
        <v>1205</v>
      </c>
      <c r="E1881" s="664" t="s">
        <v>15</v>
      </c>
      <c r="F1881" s="665">
        <v>2838.0</v>
      </c>
      <c r="G1881" s="665">
        <v>391.0</v>
      </c>
      <c r="H1881" s="665">
        <v>13.78</v>
      </c>
      <c r="I1881" s="665">
        <v>1.86</v>
      </c>
      <c r="J1881" s="665">
        <v>1.0</v>
      </c>
      <c r="K1881" s="665">
        <v>70625.0</v>
      </c>
      <c r="L1881" s="665">
        <v>3796261.59</v>
      </c>
      <c r="M1881" s="665">
        <v>24.89</v>
      </c>
      <c r="N1881" s="1">
        <v>180.6266</v>
      </c>
      <c r="O1881" s="1">
        <v>70625.0</v>
      </c>
      <c r="P1881" s="1">
        <v>5284846.0</v>
      </c>
      <c r="Q1881" s="1">
        <v>24.8855</v>
      </c>
      <c r="R1881" s="1">
        <v>7484.0</v>
      </c>
    </row>
    <row r="1882">
      <c r="A1882" s="663" t="s">
        <v>2353</v>
      </c>
      <c r="B1882" s="663" t="s">
        <v>180</v>
      </c>
      <c r="C1882" s="663" t="s">
        <v>1205</v>
      </c>
      <c r="D1882" s="663" t="s">
        <v>1205</v>
      </c>
      <c r="E1882" s="664" t="s">
        <v>42</v>
      </c>
      <c r="F1882" s="665">
        <v>2838.0</v>
      </c>
      <c r="G1882" s="665">
        <v>1190.0</v>
      </c>
      <c r="H1882" s="665">
        <v>41.93</v>
      </c>
      <c r="I1882" s="665">
        <v>1.85</v>
      </c>
      <c r="J1882" s="665">
        <v>1.77</v>
      </c>
      <c r="K1882" s="665">
        <v>70325.0</v>
      </c>
      <c r="L1882" s="665">
        <v>3796261.59</v>
      </c>
      <c r="M1882" s="665">
        <v>24.78</v>
      </c>
      <c r="N1882" s="1">
        <v>59.0966</v>
      </c>
      <c r="O1882" s="1">
        <v>70325.0</v>
      </c>
      <c r="P1882" s="1">
        <v>5284846.0</v>
      </c>
      <c r="Q1882" s="1">
        <v>24.7798</v>
      </c>
      <c r="R1882" s="1">
        <v>7484.0</v>
      </c>
    </row>
    <row r="1883">
      <c r="A1883" s="663" t="s">
        <v>2353</v>
      </c>
      <c r="B1883" s="663" t="s">
        <v>180</v>
      </c>
      <c r="C1883" s="663" t="s">
        <v>1205</v>
      </c>
      <c r="D1883" s="663" t="s">
        <v>1205</v>
      </c>
      <c r="E1883" s="664" t="s">
        <v>16</v>
      </c>
      <c r="F1883" s="665">
        <v>2838.0</v>
      </c>
      <c r="G1883" s="665">
        <v>372.0</v>
      </c>
      <c r="H1883" s="665">
        <v>13.11</v>
      </c>
      <c r="I1883" s="665">
        <v>1.57</v>
      </c>
      <c r="J1883" s="665">
        <v>1.09</v>
      </c>
      <c r="K1883" s="665">
        <v>59450.0</v>
      </c>
      <c r="L1883" s="665">
        <v>3796261.59</v>
      </c>
      <c r="M1883" s="665">
        <v>20.95</v>
      </c>
      <c r="N1883" s="1">
        <v>159.8118</v>
      </c>
      <c r="O1883" s="1">
        <v>59450.0</v>
      </c>
      <c r="P1883" s="1">
        <v>5284846.0</v>
      </c>
      <c r="Q1883" s="1">
        <v>20.9479</v>
      </c>
      <c r="R1883" s="1">
        <v>7484.0</v>
      </c>
    </row>
    <row r="1884">
      <c r="A1884" s="663" t="s">
        <v>2353</v>
      </c>
      <c r="B1884" s="663" t="s">
        <v>180</v>
      </c>
      <c r="C1884" s="663" t="s">
        <v>1205</v>
      </c>
      <c r="D1884" s="663" t="s">
        <v>1205</v>
      </c>
      <c r="E1884" s="664" t="s">
        <v>401</v>
      </c>
      <c r="F1884" s="665">
        <v>2838.0</v>
      </c>
      <c r="G1884" s="665">
        <v>618.0</v>
      </c>
      <c r="H1884" s="665">
        <v>21.78</v>
      </c>
      <c r="I1884" s="665">
        <v>1.01</v>
      </c>
      <c r="J1884" s="665">
        <v>0.91</v>
      </c>
      <c r="K1884" s="665">
        <v>38175.0</v>
      </c>
      <c r="L1884" s="665">
        <v>3796261.59</v>
      </c>
      <c r="M1884" s="665">
        <v>13.45</v>
      </c>
      <c r="N1884" s="1">
        <v>61.7718</v>
      </c>
      <c r="O1884" s="1">
        <v>38175.0</v>
      </c>
      <c r="P1884" s="1">
        <v>5284846.0</v>
      </c>
      <c r="Q1884" s="1">
        <v>13.4514</v>
      </c>
      <c r="R1884" s="1">
        <v>7484.0</v>
      </c>
    </row>
    <row r="1885">
      <c r="A1885" s="663" t="s">
        <v>2353</v>
      </c>
      <c r="B1885" s="663" t="s">
        <v>180</v>
      </c>
      <c r="C1885" s="663" t="s">
        <v>1205</v>
      </c>
      <c r="D1885" s="663" t="s">
        <v>1205</v>
      </c>
      <c r="E1885" s="664" t="s">
        <v>393</v>
      </c>
      <c r="F1885" s="665">
        <v>2838.0</v>
      </c>
      <c r="G1885" s="665">
        <v>784.0</v>
      </c>
      <c r="H1885" s="665">
        <v>27.63</v>
      </c>
      <c r="I1885" s="665">
        <v>0.95</v>
      </c>
      <c r="J1885" s="665">
        <v>0.73</v>
      </c>
      <c r="K1885" s="665">
        <v>36085.0</v>
      </c>
      <c r="L1885" s="665">
        <v>3796261.59</v>
      </c>
      <c r="M1885" s="665">
        <v>12.71</v>
      </c>
      <c r="N1885" s="1">
        <v>46.0268</v>
      </c>
      <c r="O1885" s="1">
        <v>36085.0</v>
      </c>
      <c r="P1885" s="1">
        <v>5284846.0</v>
      </c>
      <c r="Q1885" s="1">
        <v>12.7149</v>
      </c>
      <c r="R1885" s="1">
        <v>7484.0</v>
      </c>
    </row>
    <row r="1886">
      <c r="A1886" s="663" t="s">
        <v>2353</v>
      </c>
      <c r="B1886" s="663" t="s">
        <v>180</v>
      </c>
      <c r="C1886" s="663" t="s">
        <v>1205</v>
      </c>
      <c r="D1886" s="663" t="s">
        <v>1205</v>
      </c>
      <c r="E1886" s="664" t="s">
        <v>206</v>
      </c>
      <c r="F1886" s="665">
        <v>2838.0</v>
      </c>
      <c r="G1886" s="665">
        <v>515.0</v>
      </c>
      <c r="H1886" s="665">
        <v>18.15</v>
      </c>
      <c r="I1886" s="665">
        <v>0.74</v>
      </c>
      <c r="J1886" s="665">
        <v>0.61</v>
      </c>
      <c r="K1886" s="665">
        <v>28275.0</v>
      </c>
      <c r="L1886" s="665">
        <v>3796261.59</v>
      </c>
      <c r="M1886" s="665">
        <v>9.96</v>
      </c>
      <c r="N1886" s="1">
        <v>54.9029</v>
      </c>
      <c r="O1886" s="1">
        <v>28275.0</v>
      </c>
      <c r="P1886" s="1">
        <v>5284846.0</v>
      </c>
      <c r="Q1886" s="1">
        <v>9.963</v>
      </c>
      <c r="R1886" s="1">
        <v>7484.0</v>
      </c>
    </row>
    <row r="1887">
      <c r="A1887" s="663" t="s">
        <v>2353</v>
      </c>
      <c r="B1887" s="663" t="s">
        <v>180</v>
      </c>
      <c r="C1887" s="663" t="s">
        <v>1205</v>
      </c>
      <c r="D1887" s="663" t="s">
        <v>1205</v>
      </c>
      <c r="E1887" s="664" t="s">
        <v>73</v>
      </c>
      <c r="F1887" s="665">
        <v>2838.0</v>
      </c>
      <c r="G1887" s="665">
        <v>336.0</v>
      </c>
      <c r="H1887" s="665">
        <v>11.84</v>
      </c>
      <c r="I1887" s="665">
        <v>0.49</v>
      </c>
      <c r="J1887" s="665">
        <v>0.44</v>
      </c>
      <c r="K1887" s="665">
        <v>18725.0</v>
      </c>
      <c r="L1887" s="665">
        <v>3796261.59</v>
      </c>
      <c r="M1887" s="665">
        <v>6.6</v>
      </c>
      <c r="N1887" s="1">
        <v>55.7292</v>
      </c>
      <c r="O1887" s="1">
        <v>18725.0</v>
      </c>
      <c r="P1887" s="1">
        <v>5284846.0</v>
      </c>
      <c r="Q1887" s="1">
        <v>6.598</v>
      </c>
      <c r="R1887" s="1">
        <v>7484.0</v>
      </c>
    </row>
    <row r="1888">
      <c r="A1888" s="663" t="s">
        <v>2353</v>
      </c>
      <c r="B1888" s="663" t="s">
        <v>180</v>
      </c>
      <c r="C1888" s="663" t="s">
        <v>1205</v>
      </c>
      <c r="D1888" s="663" t="s">
        <v>1205</v>
      </c>
      <c r="E1888" s="664" t="s">
        <v>151</v>
      </c>
      <c r="F1888" s="665">
        <v>2838.0</v>
      </c>
      <c r="G1888" s="665">
        <v>3.0</v>
      </c>
      <c r="H1888" s="665">
        <v>0.11</v>
      </c>
      <c r="I1888" s="665">
        <v>0.01</v>
      </c>
      <c r="J1888" s="665">
        <v>0.01</v>
      </c>
      <c r="K1888" s="665">
        <v>230.0</v>
      </c>
      <c r="L1888" s="665">
        <v>3796261.59</v>
      </c>
      <c r="M1888" s="665">
        <v>0.08</v>
      </c>
      <c r="N1888" s="1">
        <v>76.6667</v>
      </c>
      <c r="O1888" s="1">
        <v>230.0</v>
      </c>
      <c r="P1888" s="1">
        <v>5284846.0</v>
      </c>
      <c r="Q1888" s="1">
        <v>0.081</v>
      </c>
      <c r="R1888" s="1">
        <v>7484.0</v>
      </c>
    </row>
    <row r="1889">
      <c r="A1889" s="663" t="s">
        <v>2353</v>
      </c>
      <c r="B1889" s="663" t="s">
        <v>180</v>
      </c>
      <c r="C1889" s="663" t="s">
        <v>47</v>
      </c>
      <c r="D1889" s="663" t="s">
        <v>599</v>
      </c>
      <c r="E1889" s="664" t="s">
        <v>418</v>
      </c>
      <c r="F1889" s="665">
        <v>2828.0</v>
      </c>
      <c r="G1889" s="665">
        <v>2795.0</v>
      </c>
      <c r="H1889" s="665">
        <v>98.83</v>
      </c>
      <c r="I1889" s="665">
        <v>27.78</v>
      </c>
      <c r="J1889" s="665">
        <v>25.88</v>
      </c>
      <c r="K1889" s="665">
        <v>9877.0</v>
      </c>
      <c r="L1889" s="665">
        <v>35554.0</v>
      </c>
      <c r="M1889" s="665">
        <v>3.49</v>
      </c>
      <c r="N1889" s="1">
        <v>3.5338</v>
      </c>
      <c r="O1889" s="1">
        <v>9877.0</v>
      </c>
      <c r="P1889" s="1">
        <v>35554.0</v>
      </c>
      <c r="Q1889" s="1">
        <v>3.4926</v>
      </c>
      <c r="R1889" s="1">
        <v>7484.0</v>
      </c>
    </row>
    <row r="1890">
      <c r="A1890" s="663" t="s">
        <v>2353</v>
      </c>
      <c r="B1890" s="663" t="s">
        <v>180</v>
      </c>
      <c r="C1890" s="663" t="s">
        <v>47</v>
      </c>
      <c r="D1890" s="663" t="s">
        <v>599</v>
      </c>
      <c r="E1890" s="664" t="s">
        <v>413</v>
      </c>
      <c r="F1890" s="665">
        <v>2828.0</v>
      </c>
      <c r="G1890" s="665">
        <v>1694.0</v>
      </c>
      <c r="H1890" s="665">
        <v>59.9</v>
      </c>
      <c r="I1890" s="665">
        <v>15.63</v>
      </c>
      <c r="J1890" s="665">
        <v>16.24</v>
      </c>
      <c r="K1890" s="665">
        <v>5557.0</v>
      </c>
      <c r="L1890" s="665">
        <v>35554.0</v>
      </c>
      <c r="M1890" s="665">
        <v>1.97</v>
      </c>
      <c r="N1890" s="1">
        <v>3.2804</v>
      </c>
      <c r="O1890" s="1">
        <v>5557.0</v>
      </c>
      <c r="P1890" s="1">
        <v>35554.0</v>
      </c>
      <c r="Q1890" s="1">
        <v>1.965</v>
      </c>
      <c r="R1890" s="1">
        <v>7484.0</v>
      </c>
    </row>
    <row r="1891">
      <c r="A1891" s="663" t="s">
        <v>2353</v>
      </c>
      <c r="B1891" s="663" t="s">
        <v>180</v>
      </c>
      <c r="C1891" s="663" t="s">
        <v>47</v>
      </c>
      <c r="D1891" s="663" t="s">
        <v>599</v>
      </c>
      <c r="E1891" s="664" t="s">
        <v>14</v>
      </c>
      <c r="F1891" s="665">
        <v>2828.0</v>
      </c>
      <c r="G1891" s="665">
        <v>1942.0</v>
      </c>
      <c r="H1891" s="665">
        <v>68.67</v>
      </c>
      <c r="I1891" s="665">
        <v>12.66</v>
      </c>
      <c r="J1891" s="665">
        <v>11.5</v>
      </c>
      <c r="K1891" s="665">
        <v>4500.0</v>
      </c>
      <c r="L1891" s="665">
        <v>35554.0</v>
      </c>
      <c r="M1891" s="665">
        <v>1.59</v>
      </c>
      <c r="N1891" s="1">
        <v>2.3172</v>
      </c>
      <c r="O1891" s="1">
        <v>4500.0</v>
      </c>
      <c r="P1891" s="1">
        <v>35554.0</v>
      </c>
      <c r="Q1891" s="1">
        <v>1.5912</v>
      </c>
      <c r="R1891" s="1">
        <v>7484.0</v>
      </c>
    </row>
    <row r="1892">
      <c r="A1892" s="663" t="s">
        <v>2353</v>
      </c>
      <c r="B1892" s="663" t="s">
        <v>180</v>
      </c>
      <c r="C1892" s="663" t="s">
        <v>47</v>
      </c>
      <c r="D1892" s="663" t="s">
        <v>599</v>
      </c>
      <c r="E1892" s="664" t="s">
        <v>396</v>
      </c>
      <c r="F1892" s="665">
        <v>2828.0</v>
      </c>
      <c r="G1892" s="665">
        <v>2514.0</v>
      </c>
      <c r="H1892" s="665">
        <v>88.9</v>
      </c>
      <c r="I1892" s="665">
        <v>12.06</v>
      </c>
      <c r="J1892" s="665">
        <v>13.1</v>
      </c>
      <c r="K1892" s="665">
        <v>4289.0</v>
      </c>
      <c r="L1892" s="665">
        <v>35554.0</v>
      </c>
      <c r="M1892" s="665">
        <v>1.52</v>
      </c>
      <c r="N1892" s="1">
        <v>1.706</v>
      </c>
      <c r="O1892" s="1">
        <v>4289.0</v>
      </c>
      <c r="P1892" s="1">
        <v>35554.0</v>
      </c>
      <c r="Q1892" s="1">
        <v>1.5166</v>
      </c>
      <c r="R1892" s="1">
        <v>7484.0</v>
      </c>
    </row>
    <row r="1893">
      <c r="A1893" s="663" t="s">
        <v>2353</v>
      </c>
      <c r="B1893" s="663" t="s">
        <v>180</v>
      </c>
      <c r="C1893" s="663" t="s">
        <v>47</v>
      </c>
      <c r="D1893" s="663" t="s">
        <v>599</v>
      </c>
      <c r="E1893" s="664" t="s">
        <v>398</v>
      </c>
      <c r="F1893" s="665">
        <v>2828.0</v>
      </c>
      <c r="G1893" s="665">
        <v>2486.0</v>
      </c>
      <c r="H1893" s="665">
        <v>87.91</v>
      </c>
      <c r="I1893" s="665">
        <v>10.97</v>
      </c>
      <c r="J1893" s="665">
        <v>12.76</v>
      </c>
      <c r="K1893" s="665">
        <v>3901.0</v>
      </c>
      <c r="L1893" s="665">
        <v>35554.0</v>
      </c>
      <c r="M1893" s="665">
        <v>1.38</v>
      </c>
      <c r="N1893" s="1">
        <v>1.5692</v>
      </c>
      <c r="O1893" s="1">
        <v>3901.0</v>
      </c>
      <c r="P1893" s="1">
        <v>35554.0</v>
      </c>
      <c r="Q1893" s="1">
        <v>1.3794</v>
      </c>
      <c r="R1893" s="1">
        <v>7484.0</v>
      </c>
    </row>
    <row r="1894">
      <c r="A1894" s="663" t="s">
        <v>2353</v>
      </c>
      <c r="B1894" s="663" t="s">
        <v>180</v>
      </c>
      <c r="C1894" s="663" t="s">
        <v>47</v>
      </c>
      <c r="D1894" s="663" t="s">
        <v>599</v>
      </c>
      <c r="E1894" s="664" t="s">
        <v>411</v>
      </c>
      <c r="F1894" s="665">
        <v>2828.0</v>
      </c>
      <c r="G1894" s="665">
        <v>2198.0</v>
      </c>
      <c r="H1894" s="665">
        <v>77.72</v>
      </c>
      <c r="I1894" s="665">
        <v>8.55</v>
      </c>
      <c r="J1894" s="665">
        <v>9.21</v>
      </c>
      <c r="K1894" s="665">
        <v>3040.0</v>
      </c>
      <c r="L1894" s="665">
        <v>35554.0</v>
      </c>
      <c r="M1894" s="665">
        <v>1.08</v>
      </c>
      <c r="N1894" s="1">
        <v>1.3831</v>
      </c>
      <c r="O1894" s="1">
        <v>3040.0</v>
      </c>
      <c r="P1894" s="1">
        <v>35554.0</v>
      </c>
      <c r="Q1894" s="1">
        <v>1.075</v>
      </c>
      <c r="R1894" s="1">
        <v>7484.0</v>
      </c>
    </row>
    <row r="1895">
      <c r="A1895" s="663" t="s">
        <v>2353</v>
      </c>
      <c r="B1895" s="663" t="s">
        <v>180</v>
      </c>
      <c r="C1895" s="663" t="s">
        <v>47</v>
      </c>
      <c r="D1895" s="663" t="s">
        <v>599</v>
      </c>
      <c r="E1895" s="664" t="s">
        <v>9</v>
      </c>
      <c r="F1895" s="665">
        <v>2828.0</v>
      </c>
      <c r="G1895" s="665">
        <v>1614.0</v>
      </c>
      <c r="H1895" s="665">
        <v>57.07</v>
      </c>
      <c r="I1895" s="665">
        <v>5.38</v>
      </c>
      <c r="J1895" s="665">
        <v>5.49</v>
      </c>
      <c r="K1895" s="665">
        <v>1914.0</v>
      </c>
      <c r="L1895" s="665">
        <v>35554.0</v>
      </c>
      <c r="M1895" s="665">
        <v>0.68</v>
      </c>
      <c r="N1895" s="1">
        <v>1.1859</v>
      </c>
      <c r="O1895" s="1">
        <v>1914.0</v>
      </c>
      <c r="P1895" s="1">
        <v>35554.0</v>
      </c>
      <c r="Q1895" s="1">
        <v>0.6768</v>
      </c>
      <c r="R1895" s="1">
        <v>7484.0</v>
      </c>
    </row>
    <row r="1896">
      <c r="A1896" s="663" t="s">
        <v>2353</v>
      </c>
      <c r="B1896" s="663" t="s">
        <v>180</v>
      </c>
      <c r="C1896" s="663" t="s">
        <v>47</v>
      </c>
      <c r="D1896" s="663" t="s">
        <v>599</v>
      </c>
      <c r="E1896" s="664" t="s">
        <v>51</v>
      </c>
      <c r="F1896" s="665">
        <v>2828.0</v>
      </c>
      <c r="G1896" s="665">
        <v>529.0</v>
      </c>
      <c r="H1896" s="665">
        <v>18.71</v>
      </c>
      <c r="I1896" s="665">
        <v>2.83</v>
      </c>
      <c r="J1896" s="665">
        <v>1.9</v>
      </c>
      <c r="K1896" s="665">
        <v>1005.0</v>
      </c>
      <c r="L1896" s="665">
        <v>35554.0</v>
      </c>
      <c r="M1896" s="665">
        <v>0.36</v>
      </c>
      <c r="N1896" s="1">
        <v>1.8998</v>
      </c>
      <c r="O1896" s="1">
        <v>1005.0</v>
      </c>
      <c r="P1896" s="1">
        <v>35554.0</v>
      </c>
      <c r="Q1896" s="1">
        <v>0.3554</v>
      </c>
      <c r="R1896" s="1">
        <v>7484.0</v>
      </c>
    </row>
    <row r="1897">
      <c r="A1897" s="663" t="s">
        <v>2353</v>
      </c>
      <c r="B1897" s="663" t="s">
        <v>180</v>
      </c>
      <c r="C1897" s="663" t="s">
        <v>47</v>
      </c>
      <c r="D1897" s="663" t="s">
        <v>599</v>
      </c>
      <c r="E1897" s="664" t="s">
        <v>401</v>
      </c>
      <c r="F1897" s="665">
        <v>2828.0</v>
      </c>
      <c r="G1897" s="665">
        <v>557.0</v>
      </c>
      <c r="H1897" s="665">
        <v>19.7</v>
      </c>
      <c r="I1897" s="665">
        <v>1.62</v>
      </c>
      <c r="J1897" s="665">
        <v>1.64</v>
      </c>
      <c r="K1897" s="665">
        <v>575.0</v>
      </c>
      <c r="L1897" s="665">
        <v>35554.0</v>
      </c>
      <c r="M1897" s="665">
        <v>0.2</v>
      </c>
      <c r="N1897" s="1">
        <v>1.0323</v>
      </c>
      <c r="O1897" s="1">
        <v>575.0</v>
      </c>
      <c r="P1897" s="1">
        <v>35554.0</v>
      </c>
      <c r="Q1897" s="1">
        <v>0.2033</v>
      </c>
      <c r="R1897" s="1">
        <v>7484.0</v>
      </c>
    </row>
    <row r="1898">
      <c r="A1898" s="663" t="s">
        <v>2353</v>
      </c>
      <c r="B1898" s="663" t="s">
        <v>180</v>
      </c>
      <c r="C1898" s="663" t="s">
        <v>47</v>
      </c>
      <c r="D1898" s="663" t="s">
        <v>599</v>
      </c>
      <c r="E1898" s="664" t="s">
        <v>206</v>
      </c>
      <c r="F1898" s="665">
        <v>2828.0</v>
      </c>
      <c r="G1898" s="665">
        <v>446.0</v>
      </c>
      <c r="H1898" s="665">
        <v>15.77</v>
      </c>
      <c r="I1898" s="665">
        <v>1.26</v>
      </c>
      <c r="J1898" s="665">
        <v>1.17</v>
      </c>
      <c r="K1898" s="665">
        <v>449.0</v>
      </c>
      <c r="L1898" s="665">
        <v>35554.0</v>
      </c>
      <c r="M1898" s="665">
        <v>0.16</v>
      </c>
      <c r="N1898" s="1">
        <v>1.0067</v>
      </c>
      <c r="O1898" s="1">
        <v>449.0</v>
      </c>
      <c r="P1898" s="1">
        <v>35554.0</v>
      </c>
      <c r="Q1898" s="1">
        <v>0.1588</v>
      </c>
      <c r="R1898" s="1">
        <v>7484.0</v>
      </c>
    </row>
    <row r="1899">
      <c r="A1899" s="663" t="s">
        <v>2353</v>
      </c>
      <c r="B1899" s="663" t="s">
        <v>180</v>
      </c>
      <c r="C1899" s="663" t="s">
        <v>47</v>
      </c>
      <c r="D1899" s="663" t="s">
        <v>599</v>
      </c>
      <c r="E1899" s="664" t="s">
        <v>73</v>
      </c>
      <c r="F1899" s="665">
        <v>2828.0</v>
      </c>
      <c r="G1899" s="665">
        <v>242.0</v>
      </c>
      <c r="H1899" s="665">
        <v>8.56</v>
      </c>
      <c r="I1899" s="665">
        <v>0.69</v>
      </c>
      <c r="J1899" s="665">
        <v>0.62</v>
      </c>
      <c r="K1899" s="665">
        <v>245.0</v>
      </c>
      <c r="L1899" s="665">
        <v>35554.0</v>
      </c>
      <c r="M1899" s="665">
        <v>0.09</v>
      </c>
      <c r="N1899" s="1">
        <v>1.0124</v>
      </c>
      <c r="O1899" s="1">
        <v>245.0</v>
      </c>
      <c r="P1899" s="1">
        <v>35554.0</v>
      </c>
      <c r="Q1899" s="1">
        <v>0.0866</v>
      </c>
      <c r="R1899" s="1">
        <v>7484.0</v>
      </c>
    </row>
    <row r="1900">
      <c r="A1900" s="663" t="s">
        <v>2353</v>
      </c>
      <c r="B1900" s="663" t="s">
        <v>180</v>
      </c>
      <c r="C1900" s="663" t="s">
        <v>47</v>
      </c>
      <c r="D1900" s="663" t="s">
        <v>599</v>
      </c>
      <c r="E1900" s="664" t="s">
        <v>63</v>
      </c>
      <c r="F1900" s="665">
        <v>2828.0</v>
      </c>
      <c r="G1900" s="665">
        <v>72.0</v>
      </c>
      <c r="H1900" s="665">
        <v>2.55</v>
      </c>
      <c r="I1900" s="665">
        <v>0.21</v>
      </c>
      <c r="J1900" s="665">
        <v>0.17</v>
      </c>
      <c r="K1900" s="665">
        <v>73.0</v>
      </c>
      <c r="L1900" s="665">
        <v>35554.0</v>
      </c>
      <c r="M1900" s="665">
        <v>0.03</v>
      </c>
      <c r="N1900" s="1">
        <v>1.0139</v>
      </c>
      <c r="O1900" s="1">
        <v>73.0</v>
      </c>
      <c r="P1900" s="1">
        <v>35554.0</v>
      </c>
      <c r="Q1900" s="1">
        <v>0.0258</v>
      </c>
      <c r="R1900" s="1">
        <v>7484.0</v>
      </c>
    </row>
    <row r="1901">
      <c r="A1901" s="663" t="s">
        <v>2353</v>
      </c>
      <c r="B1901" s="663" t="s">
        <v>180</v>
      </c>
      <c r="C1901" s="663" t="s">
        <v>47</v>
      </c>
      <c r="D1901" s="663" t="s">
        <v>599</v>
      </c>
      <c r="E1901" s="664" t="s">
        <v>42</v>
      </c>
      <c r="F1901" s="665">
        <v>2828.0</v>
      </c>
      <c r="G1901" s="665">
        <v>56.0</v>
      </c>
      <c r="H1901" s="665">
        <v>1.98</v>
      </c>
      <c r="I1901" s="665">
        <v>0.17</v>
      </c>
      <c r="J1901" s="665">
        <v>0.13</v>
      </c>
      <c r="K1901" s="665">
        <v>62.0</v>
      </c>
      <c r="L1901" s="665">
        <v>35554.0</v>
      </c>
      <c r="M1901" s="665">
        <v>0.02</v>
      </c>
      <c r="N1901" s="1">
        <v>1.1071</v>
      </c>
      <c r="O1901" s="1">
        <v>62.0</v>
      </c>
      <c r="P1901" s="1">
        <v>35554.0</v>
      </c>
      <c r="Q1901" s="1">
        <v>0.0219</v>
      </c>
      <c r="R1901" s="1">
        <v>7484.0</v>
      </c>
    </row>
    <row r="1902">
      <c r="A1902" s="663" t="s">
        <v>2353</v>
      </c>
      <c r="B1902" s="663" t="s">
        <v>180</v>
      </c>
      <c r="C1902" s="663" t="s">
        <v>47</v>
      </c>
      <c r="D1902" s="663" t="s">
        <v>599</v>
      </c>
      <c r="E1902" s="664" t="s">
        <v>16</v>
      </c>
      <c r="F1902" s="665">
        <v>2828.0</v>
      </c>
      <c r="G1902" s="665">
        <v>31.0</v>
      </c>
      <c r="H1902" s="665">
        <v>1.1</v>
      </c>
      <c r="I1902" s="665">
        <v>0.09</v>
      </c>
      <c r="J1902" s="665">
        <v>0.09</v>
      </c>
      <c r="K1902" s="665">
        <v>31.0</v>
      </c>
      <c r="L1902" s="665">
        <v>35554.0</v>
      </c>
      <c r="M1902" s="665">
        <v>0.01</v>
      </c>
      <c r="N1902" s="1">
        <v>1.0</v>
      </c>
      <c r="O1902" s="1">
        <v>31.0</v>
      </c>
      <c r="P1902" s="1">
        <v>35554.0</v>
      </c>
      <c r="Q1902" s="1">
        <v>0.011</v>
      </c>
      <c r="R1902" s="1">
        <v>7484.0</v>
      </c>
    </row>
    <row r="1903">
      <c r="A1903" s="663" t="s">
        <v>2353</v>
      </c>
      <c r="B1903" s="663" t="s">
        <v>180</v>
      </c>
      <c r="C1903" s="663" t="s">
        <v>47</v>
      </c>
      <c r="D1903" s="663" t="s">
        <v>599</v>
      </c>
      <c r="E1903" s="664" t="s">
        <v>393</v>
      </c>
      <c r="F1903" s="665">
        <v>2828.0</v>
      </c>
      <c r="G1903" s="665">
        <v>21.0</v>
      </c>
      <c r="H1903" s="665">
        <v>0.74</v>
      </c>
      <c r="I1903" s="665">
        <v>0.06</v>
      </c>
      <c r="J1903" s="665">
        <v>0.07</v>
      </c>
      <c r="K1903" s="665">
        <v>22.0</v>
      </c>
      <c r="L1903" s="665">
        <v>35554.0</v>
      </c>
      <c r="M1903" s="665">
        <v>0.01</v>
      </c>
      <c r="N1903" s="1">
        <v>1.0476</v>
      </c>
      <c r="O1903" s="1">
        <v>22.0</v>
      </c>
      <c r="P1903" s="1">
        <v>35554.0</v>
      </c>
      <c r="Q1903" s="1">
        <v>0.0078</v>
      </c>
      <c r="R1903" s="1">
        <v>7484.0</v>
      </c>
    </row>
    <row r="1904">
      <c r="A1904" s="663" t="s">
        <v>2353</v>
      </c>
      <c r="B1904" s="663" t="s">
        <v>180</v>
      </c>
      <c r="C1904" s="663" t="s">
        <v>47</v>
      </c>
      <c r="D1904" s="663" t="s">
        <v>599</v>
      </c>
      <c r="E1904" s="664" t="s">
        <v>7</v>
      </c>
      <c r="F1904" s="665">
        <v>2828.0</v>
      </c>
      <c r="G1904" s="665">
        <v>14.0</v>
      </c>
      <c r="H1904" s="665">
        <v>0.5</v>
      </c>
      <c r="I1904" s="665">
        <v>0.04</v>
      </c>
      <c r="J1904" s="665">
        <v>0.03</v>
      </c>
      <c r="K1904" s="665">
        <v>14.0</v>
      </c>
      <c r="L1904" s="665">
        <v>35554.0</v>
      </c>
      <c r="M1904" s="665">
        <v>0.01</v>
      </c>
      <c r="N1904" s="1">
        <v>1.0</v>
      </c>
      <c r="O1904" s="1">
        <v>14.0</v>
      </c>
      <c r="P1904" s="1">
        <v>35554.0</v>
      </c>
      <c r="Q1904" s="1">
        <v>0.005</v>
      </c>
      <c r="R1904" s="1">
        <v>7484.0</v>
      </c>
    </row>
    <row r="1905">
      <c r="A1905" s="663" t="s">
        <v>2353</v>
      </c>
      <c r="B1905" s="663" t="s">
        <v>180</v>
      </c>
      <c r="C1905" s="663" t="s">
        <v>46</v>
      </c>
      <c r="D1905" s="663" t="s">
        <v>599</v>
      </c>
      <c r="E1905" s="664" t="s">
        <v>396</v>
      </c>
      <c r="F1905" s="665">
        <v>2807.0</v>
      </c>
      <c r="G1905" s="665">
        <v>2670.0</v>
      </c>
      <c r="H1905" s="665">
        <v>95.12</v>
      </c>
      <c r="I1905" s="665">
        <v>82.12</v>
      </c>
      <c r="J1905" s="665">
        <v>80.45</v>
      </c>
      <c r="K1905" s="665">
        <v>6359710.0</v>
      </c>
      <c r="L1905" s="665">
        <v>7744152.2</v>
      </c>
      <c r="M1905" s="665">
        <v>2265.66</v>
      </c>
      <c r="N1905" s="1">
        <v>2381.9139</v>
      </c>
      <c r="O1905" s="1">
        <v>6359710.0</v>
      </c>
      <c r="P1905" s="1">
        <v>7870135.0</v>
      </c>
      <c r="Q1905" s="1">
        <v>2265.6608</v>
      </c>
      <c r="R1905" s="1">
        <v>7484.0</v>
      </c>
    </row>
    <row r="1906">
      <c r="A1906" s="663" t="s">
        <v>2353</v>
      </c>
      <c r="B1906" s="663" t="s">
        <v>180</v>
      </c>
      <c r="C1906" s="663" t="s">
        <v>46</v>
      </c>
      <c r="D1906" s="663" t="s">
        <v>599</v>
      </c>
      <c r="E1906" s="664" t="s">
        <v>14</v>
      </c>
      <c r="F1906" s="665">
        <v>2807.0</v>
      </c>
      <c r="G1906" s="665">
        <v>1998.0</v>
      </c>
      <c r="H1906" s="665">
        <v>71.18</v>
      </c>
      <c r="I1906" s="665">
        <v>13.42</v>
      </c>
      <c r="J1906" s="665">
        <v>14.04</v>
      </c>
      <c r="K1906" s="665">
        <v>1039382.2</v>
      </c>
      <c r="L1906" s="665">
        <v>7744152.2</v>
      </c>
      <c r="M1906" s="665">
        <v>370.28</v>
      </c>
      <c r="N1906" s="1">
        <v>520.2113</v>
      </c>
      <c r="O1906" s="1">
        <v>1165365.0</v>
      </c>
      <c r="P1906" s="1">
        <v>7870135.0</v>
      </c>
      <c r="Q1906" s="1">
        <v>415.1639</v>
      </c>
      <c r="R1906" s="1">
        <v>7484.0</v>
      </c>
    </row>
    <row r="1907">
      <c r="A1907" s="663" t="s">
        <v>2353</v>
      </c>
      <c r="B1907" s="663" t="s">
        <v>180</v>
      </c>
      <c r="C1907" s="663" t="s">
        <v>46</v>
      </c>
      <c r="D1907" s="663" t="s">
        <v>599</v>
      </c>
      <c r="E1907" s="664" t="s">
        <v>42</v>
      </c>
      <c r="F1907" s="665">
        <v>2807.0</v>
      </c>
      <c r="G1907" s="665">
        <v>1294.0</v>
      </c>
      <c r="H1907" s="665">
        <v>46.1</v>
      </c>
      <c r="I1907" s="665">
        <v>1.64</v>
      </c>
      <c r="J1907" s="665">
        <v>2.19</v>
      </c>
      <c r="K1907" s="665">
        <v>126620.0</v>
      </c>
      <c r="L1907" s="665">
        <v>7744152.2</v>
      </c>
      <c r="M1907" s="665">
        <v>45.11</v>
      </c>
      <c r="N1907" s="1">
        <v>97.8516</v>
      </c>
      <c r="O1907" s="1">
        <v>126620.0</v>
      </c>
      <c r="P1907" s="1">
        <v>7870135.0</v>
      </c>
      <c r="Q1907" s="1">
        <v>45.1087</v>
      </c>
      <c r="R1907" s="1">
        <v>7484.0</v>
      </c>
    </row>
    <row r="1908">
      <c r="A1908" s="663" t="s">
        <v>2353</v>
      </c>
      <c r="B1908" s="663" t="s">
        <v>180</v>
      </c>
      <c r="C1908" s="663" t="s">
        <v>46</v>
      </c>
      <c r="D1908" s="663" t="s">
        <v>599</v>
      </c>
      <c r="E1908" s="664" t="s">
        <v>7</v>
      </c>
      <c r="F1908" s="665">
        <v>2807.0</v>
      </c>
      <c r="G1908" s="665">
        <v>400.0</v>
      </c>
      <c r="H1908" s="665">
        <v>14.25</v>
      </c>
      <c r="I1908" s="665">
        <v>1.32</v>
      </c>
      <c r="J1908" s="665">
        <v>0.99</v>
      </c>
      <c r="K1908" s="665">
        <v>101940.0</v>
      </c>
      <c r="L1908" s="665">
        <v>7744152.2</v>
      </c>
      <c r="M1908" s="665">
        <v>36.32</v>
      </c>
      <c r="N1908" s="1">
        <v>254.85</v>
      </c>
      <c r="O1908" s="1">
        <v>101940.0</v>
      </c>
      <c r="P1908" s="1">
        <v>7870135.0</v>
      </c>
      <c r="Q1908" s="1">
        <v>36.3164</v>
      </c>
      <c r="R1908" s="1">
        <v>7484.0</v>
      </c>
    </row>
    <row r="1909">
      <c r="A1909" s="663" t="s">
        <v>2353</v>
      </c>
      <c r="B1909" s="663" t="s">
        <v>180</v>
      </c>
      <c r="C1909" s="663" t="s">
        <v>46</v>
      </c>
      <c r="D1909" s="663" t="s">
        <v>599</v>
      </c>
      <c r="E1909" s="664" t="s">
        <v>411</v>
      </c>
      <c r="F1909" s="665">
        <v>2807.0</v>
      </c>
      <c r="G1909" s="665">
        <v>1997.0</v>
      </c>
      <c r="H1909" s="665">
        <v>71.14</v>
      </c>
      <c r="I1909" s="665">
        <v>1.26</v>
      </c>
      <c r="J1909" s="665">
        <v>2.09</v>
      </c>
      <c r="K1909" s="665">
        <v>97200.0</v>
      </c>
      <c r="L1909" s="665">
        <v>7744152.2</v>
      </c>
      <c r="M1909" s="665">
        <v>34.63</v>
      </c>
      <c r="N1909" s="1">
        <v>48.673</v>
      </c>
      <c r="O1909" s="1">
        <v>97200.0</v>
      </c>
      <c r="P1909" s="1">
        <v>7870135.0</v>
      </c>
      <c r="Q1909" s="1">
        <v>34.6277</v>
      </c>
      <c r="R1909" s="1">
        <v>7484.0</v>
      </c>
    </row>
    <row r="1910">
      <c r="A1910" s="663" t="s">
        <v>2353</v>
      </c>
      <c r="B1910" s="663" t="s">
        <v>180</v>
      </c>
      <c r="C1910" s="663" t="s">
        <v>46</v>
      </c>
      <c r="D1910" s="663" t="s">
        <v>599</v>
      </c>
      <c r="E1910" s="664" t="s">
        <v>51</v>
      </c>
      <c r="F1910" s="665">
        <v>2807.0</v>
      </c>
      <c r="G1910" s="665">
        <v>511.0</v>
      </c>
      <c r="H1910" s="665">
        <v>18.2</v>
      </c>
      <c r="I1910" s="665">
        <v>0.25</v>
      </c>
      <c r="J1910" s="665">
        <v>0.25</v>
      </c>
      <c r="K1910" s="665">
        <v>19140.0</v>
      </c>
      <c r="L1910" s="665">
        <v>7744152.2</v>
      </c>
      <c r="M1910" s="665">
        <v>6.82</v>
      </c>
      <c r="N1910" s="1">
        <v>37.456</v>
      </c>
      <c r="O1910" s="1">
        <v>19140.0</v>
      </c>
      <c r="P1910" s="1">
        <v>7870135.0</v>
      </c>
      <c r="Q1910" s="1">
        <v>6.8187</v>
      </c>
      <c r="R1910" s="1">
        <v>7484.0</v>
      </c>
    </row>
    <row r="1911">
      <c r="A1911" s="663" t="s">
        <v>2353</v>
      </c>
      <c r="B1911" s="663" t="s">
        <v>180</v>
      </c>
      <c r="C1911" s="663" t="s">
        <v>46</v>
      </c>
      <c r="D1911" s="663" t="s">
        <v>599</v>
      </c>
      <c r="E1911" s="664" t="s">
        <v>413</v>
      </c>
      <c r="F1911" s="665">
        <v>2807.0</v>
      </c>
      <c r="G1911" s="665">
        <v>13.0</v>
      </c>
      <c r="H1911" s="665">
        <v>0.46</v>
      </c>
      <c r="I1911" s="665">
        <v>0.0</v>
      </c>
      <c r="J1911" s="665">
        <v>0.0</v>
      </c>
      <c r="K1911" s="665">
        <v>160.0</v>
      </c>
      <c r="L1911" s="665">
        <v>7744152.2</v>
      </c>
      <c r="M1911" s="665">
        <v>0.06</v>
      </c>
      <c r="N1911" s="1">
        <v>12.3077</v>
      </c>
      <c r="O1911" s="1">
        <v>160.0</v>
      </c>
      <c r="P1911" s="1">
        <v>7870135.0</v>
      </c>
      <c r="Q1911" s="1">
        <v>0.057</v>
      </c>
      <c r="R1911" s="1">
        <v>7484.0</v>
      </c>
    </row>
    <row r="1912">
      <c r="A1912" s="663" t="s">
        <v>2353</v>
      </c>
      <c r="B1912" s="663" t="s">
        <v>180</v>
      </c>
      <c r="C1912" s="663" t="s">
        <v>1213</v>
      </c>
      <c r="D1912" s="663" t="s">
        <v>2234</v>
      </c>
      <c r="E1912" s="664" t="s">
        <v>14</v>
      </c>
      <c r="F1912" s="665">
        <v>1350.0</v>
      </c>
      <c r="G1912" s="665">
        <v>1348.0</v>
      </c>
      <c r="H1912" s="665">
        <v>99.85</v>
      </c>
      <c r="I1912" s="665">
        <v>99.83</v>
      </c>
      <c r="J1912" s="665">
        <v>99.76</v>
      </c>
      <c r="K1912" s="665">
        <v>35290.0</v>
      </c>
      <c r="L1912" s="665">
        <v>35350.0</v>
      </c>
      <c r="M1912" s="665">
        <v>26.14</v>
      </c>
      <c r="N1912" s="1">
        <v>26.1795</v>
      </c>
      <c r="O1912" s="1">
        <v>35290.0</v>
      </c>
      <c r="P1912" s="1">
        <v>35350.0</v>
      </c>
      <c r="Q1912" s="1">
        <v>26.1407</v>
      </c>
      <c r="R1912" s="1">
        <v>7484.0</v>
      </c>
    </row>
    <row r="1913">
      <c r="A1913" s="663" t="s">
        <v>2353</v>
      </c>
      <c r="B1913" s="663" t="s">
        <v>180</v>
      </c>
      <c r="C1913" s="663" t="s">
        <v>1213</v>
      </c>
      <c r="D1913" s="663" t="s">
        <v>2234</v>
      </c>
      <c r="E1913" s="664" t="s">
        <v>397</v>
      </c>
      <c r="F1913" s="665">
        <v>1350.0</v>
      </c>
      <c r="G1913" s="665">
        <v>4.0</v>
      </c>
      <c r="H1913" s="665">
        <v>0.3</v>
      </c>
      <c r="I1913" s="665">
        <v>0.17</v>
      </c>
      <c r="J1913" s="665">
        <v>0.24</v>
      </c>
      <c r="K1913" s="665">
        <v>60.0</v>
      </c>
      <c r="L1913" s="665">
        <v>35350.0</v>
      </c>
      <c r="M1913" s="665">
        <v>0.04</v>
      </c>
      <c r="N1913" s="1">
        <v>15.0</v>
      </c>
      <c r="O1913" s="1">
        <v>60.0</v>
      </c>
      <c r="P1913" s="1">
        <v>35350.0</v>
      </c>
      <c r="Q1913" s="1">
        <v>0.0444</v>
      </c>
      <c r="R1913" s="1">
        <v>7484.0</v>
      </c>
    </row>
    <row r="1914">
      <c r="A1914" s="663" t="s">
        <v>2353</v>
      </c>
      <c r="B1914" s="663" t="s">
        <v>180</v>
      </c>
      <c r="C1914" s="663" t="s">
        <v>53</v>
      </c>
      <c r="D1914" s="663" t="s">
        <v>599</v>
      </c>
      <c r="E1914" s="664" t="s">
        <v>14</v>
      </c>
      <c r="F1914" s="665">
        <v>2834.0</v>
      </c>
      <c r="G1914" s="665">
        <v>1898.0</v>
      </c>
      <c r="H1914" s="665">
        <v>66.97</v>
      </c>
      <c r="I1914" s="665">
        <v>33.3</v>
      </c>
      <c r="J1914" s="665">
        <v>12.74</v>
      </c>
      <c r="K1914" s="665">
        <v>15535.0</v>
      </c>
      <c r="L1914" s="665">
        <v>46648.0</v>
      </c>
      <c r="M1914" s="665">
        <v>5.48</v>
      </c>
      <c r="N1914" s="1">
        <v>8.1849</v>
      </c>
      <c r="O1914" s="1">
        <v>15535.0</v>
      </c>
      <c r="P1914" s="1">
        <v>46648.0</v>
      </c>
      <c r="Q1914" s="1">
        <v>5.4817</v>
      </c>
      <c r="R1914" s="1">
        <v>7484.0</v>
      </c>
    </row>
    <row r="1915">
      <c r="A1915" s="663" t="s">
        <v>2353</v>
      </c>
      <c r="B1915" s="663" t="s">
        <v>180</v>
      </c>
      <c r="C1915" s="663" t="s">
        <v>53</v>
      </c>
      <c r="D1915" s="663" t="s">
        <v>599</v>
      </c>
      <c r="E1915" s="664" t="s">
        <v>396</v>
      </c>
      <c r="F1915" s="665">
        <v>2834.0</v>
      </c>
      <c r="G1915" s="665">
        <v>2783.0</v>
      </c>
      <c r="H1915" s="665">
        <v>98.2</v>
      </c>
      <c r="I1915" s="665">
        <v>28.0</v>
      </c>
      <c r="J1915" s="665">
        <v>42.94</v>
      </c>
      <c r="K1915" s="665">
        <v>13063.0</v>
      </c>
      <c r="L1915" s="665">
        <v>46648.0</v>
      </c>
      <c r="M1915" s="665">
        <v>4.61</v>
      </c>
      <c r="N1915" s="1">
        <v>4.6939</v>
      </c>
      <c r="O1915" s="1">
        <v>13063.0</v>
      </c>
      <c r="P1915" s="1">
        <v>46648.0</v>
      </c>
      <c r="Q1915" s="1">
        <v>4.6094</v>
      </c>
      <c r="R1915" s="1">
        <v>7484.0</v>
      </c>
    </row>
    <row r="1916">
      <c r="A1916" s="663" t="s">
        <v>2353</v>
      </c>
      <c r="B1916" s="663" t="s">
        <v>180</v>
      </c>
      <c r="C1916" s="663" t="s">
        <v>53</v>
      </c>
      <c r="D1916" s="663" t="s">
        <v>599</v>
      </c>
      <c r="E1916" s="664" t="s">
        <v>418</v>
      </c>
      <c r="F1916" s="665">
        <v>2834.0</v>
      </c>
      <c r="G1916" s="665">
        <v>2789.0</v>
      </c>
      <c r="H1916" s="665">
        <v>98.41</v>
      </c>
      <c r="I1916" s="665">
        <v>19.3</v>
      </c>
      <c r="J1916" s="665">
        <v>22.99</v>
      </c>
      <c r="K1916" s="665">
        <v>9002.0</v>
      </c>
      <c r="L1916" s="665">
        <v>46648.0</v>
      </c>
      <c r="M1916" s="665">
        <v>3.18</v>
      </c>
      <c r="N1916" s="1">
        <v>3.2277</v>
      </c>
      <c r="O1916" s="1">
        <v>9002.0</v>
      </c>
      <c r="P1916" s="1">
        <v>46648.0</v>
      </c>
      <c r="Q1916" s="1">
        <v>3.1764</v>
      </c>
      <c r="R1916" s="1">
        <v>7484.0</v>
      </c>
    </row>
    <row r="1917">
      <c r="A1917" s="663" t="s">
        <v>2353</v>
      </c>
      <c r="B1917" s="663" t="s">
        <v>180</v>
      </c>
      <c r="C1917" s="663" t="s">
        <v>53</v>
      </c>
      <c r="D1917" s="663" t="s">
        <v>599</v>
      </c>
      <c r="E1917" s="664" t="s">
        <v>413</v>
      </c>
      <c r="F1917" s="665">
        <v>2834.0</v>
      </c>
      <c r="G1917" s="665">
        <v>1344.0</v>
      </c>
      <c r="H1917" s="665">
        <v>47.42</v>
      </c>
      <c r="I1917" s="665">
        <v>3.82</v>
      </c>
      <c r="J1917" s="665">
        <v>5.71</v>
      </c>
      <c r="K1917" s="665">
        <v>1784.0</v>
      </c>
      <c r="L1917" s="665">
        <v>46648.0</v>
      </c>
      <c r="M1917" s="665">
        <v>0.63</v>
      </c>
      <c r="N1917" s="1">
        <v>1.3274</v>
      </c>
      <c r="O1917" s="1">
        <v>1784.0</v>
      </c>
      <c r="P1917" s="1">
        <v>46648.0</v>
      </c>
      <c r="Q1917" s="1">
        <v>0.6295</v>
      </c>
      <c r="R1917" s="1">
        <v>7484.0</v>
      </c>
    </row>
    <row r="1918">
      <c r="A1918" s="663" t="s">
        <v>2353</v>
      </c>
      <c r="B1918" s="663" t="s">
        <v>180</v>
      </c>
      <c r="C1918" s="663" t="s">
        <v>53</v>
      </c>
      <c r="D1918" s="663" t="s">
        <v>599</v>
      </c>
      <c r="E1918" s="664" t="s">
        <v>9</v>
      </c>
      <c r="F1918" s="665">
        <v>2834.0</v>
      </c>
      <c r="G1918" s="665">
        <v>1374.0</v>
      </c>
      <c r="H1918" s="665">
        <v>48.48</v>
      </c>
      <c r="I1918" s="665">
        <v>3.53</v>
      </c>
      <c r="J1918" s="665">
        <v>4.5</v>
      </c>
      <c r="K1918" s="665">
        <v>1649.0</v>
      </c>
      <c r="L1918" s="665">
        <v>46648.0</v>
      </c>
      <c r="M1918" s="665">
        <v>0.58</v>
      </c>
      <c r="N1918" s="1">
        <v>1.2001</v>
      </c>
      <c r="O1918" s="1">
        <v>1649.0</v>
      </c>
      <c r="P1918" s="1">
        <v>46648.0</v>
      </c>
      <c r="Q1918" s="1">
        <v>0.5819</v>
      </c>
      <c r="R1918" s="1">
        <v>7484.0</v>
      </c>
    </row>
    <row r="1919">
      <c r="A1919" s="663" t="s">
        <v>2353</v>
      </c>
      <c r="B1919" s="663" t="s">
        <v>180</v>
      </c>
      <c r="C1919" s="663" t="s">
        <v>53</v>
      </c>
      <c r="D1919" s="663" t="s">
        <v>599</v>
      </c>
      <c r="E1919" s="664" t="s">
        <v>411</v>
      </c>
      <c r="F1919" s="665">
        <v>2834.0</v>
      </c>
      <c r="G1919" s="665">
        <v>647.0</v>
      </c>
      <c r="H1919" s="665">
        <v>22.83</v>
      </c>
      <c r="I1919" s="665">
        <v>2.85</v>
      </c>
      <c r="J1919" s="665">
        <v>3.37</v>
      </c>
      <c r="K1919" s="665">
        <v>1331.0</v>
      </c>
      <c r="L1919" s="665">
        <v>46648.0</v>
      </c>
      <c r="M1919" s="665">
        <v>0.47</v>
      </c>
      <c r="N1919" s="1">
        <v>2.0572</v>
      </c>
      <c r="O1919" s="1">
        <v>1331.0</v>
      </c>
      <c r="P1919" s="1">
        <v>46648.0</v>
      </c>
      <c r="Q1919" s="1">
        <v>0.4697</v>
      </c>
      <c r="R1919" s="1">
        <v>7484.0</v>
      </c>
    </row>
    <row r="1920">
      <c r="A1920" s="663" t="s">
        <v>2353</v>
      </c>
      <c r="B1920" s="663" t="s">
        <v>180</v>
      </c>
      <c r="C1920" s="663" t="s">
        <v>53</v>
      </c>
      <c r="D1920" s="663" t="s">
        <v>599</v>
      </c>
      <c r="E1920" s="664" t="s">
        <v>393</v>
      </c>
      <c r="F1920" s="665">
        <v>2834.0</v>
      </c>
      <c r="G1920" s="665">
        <v>325.0</v>
      </c>
      <c r="H1920" s="665">
        <v>11.47</v>
      </c>
      <c r="I1920" s="665">
        <v>1.52</v>
      </c>
      <c r="J1920" s="665">
        <v>1.19</v>
      </c>
      <c r="K1920" s="665">
        <v>711.0</v>
      </c>
      <c r="L1920" s="665">
        <v>46648.0</v>
      </c>
      <c r="M1920" s="665">
        <v>0.25</v>
      </c>
      <c r="N1920" s="1">
        <v>2.1877</v>
      </c>
      <c r="O1920" s="1">
        <v>711.0</v>
      </c>
      <c r="P1920" s="1">
        <v>46648.0</v>
      </c>
      <c r="Q1920" s="1">
        <v>0.2509</v>
      </c>
      <c r="R1920" s="1">
        <v>7484.0</v>
      </c>
    </row>
    <row r="1921">
      <c r="A1921" s="663" t="s">
        <v>2353</v>
      </c>
      <c r="B1921" s="663" t="s">
        <v>180</v>
      </c>
      <c r="C1921" s="663" t="s">
        <v>53</v>
      </c>
      <c r="D1921" s="663" t="s">
        <v>599</v>
      </c>
      <c r="E1921" s="664" t="s">
        <v>397</v>
      </c>
      <c r="F1921" s="665">
        <v>2834.0</v>
      </c>
      <c r="G1921" s="665">
        <v>460.0</v>
      </c>
      <c r="H1921" s="665">
        <v>16.23</v>
      </c>
      <c r="I1921" s="665">
        <v>1.32</v>
      </c>
      <c r="J1921" s="665">
        <v>0.87</v>
      </c>
      <c r="K1921" s="665">
        <v>618.0</v>
      </c>
      <c r="L1921" s="665">
        <v>46648.0</v>
      </c>
      <c r="M1921" s="665">
        <v>0.22</v>
      </c>
      <c r="N1921" s="1">
        <v>1.3435</v>
      </c>
      <c r="O1921" s="1">
        <v>618.0</v>
      </c>
      <c r="P1921" s="1">
        <v>46648.0</v>
      </c>
      <c r="Q1921" s="1">
        <v>0.2181</v>
      </c>
      <c r="R1921" s="1">
        <v>7484.0</v>
      </c>
    </row>
    <row r="1922">
      <c r="A1922" s="663" t="s">
        <v>2353</v>
      </c>
      <c r="B1922" s="663" t="s">
        <v>180</v>
      </c>
      <c r="C1922" s="663" t="s">
        <v>53</v>
      </c>
      <c r="D1922" s="663" t="s">
        <v>599</v>
      </c>
      <c r="E1922" s="664" t="s">
        <v>42</v>
      </c>
      <c r="F1922" s="665">
        <v>2834.0</v>
      </c>
      <c r="G1922" s="665">
        <v>454.0</v>
      </c>
      <c r="H1922" s="665">
        <v>16.02</v>
      </c>
      <c r="I1922" s="665">
        <v>1.23</v>
      </c>
      <c r="J1922" s="665">
        <v>1.36</v>
      </c>
      <c r="K1922" s="665">
        <v>575.0</v>
      </c>
      <c r="L1922" s="665">
        <v>46648.0</v>
      </c>
      <c r="M1922" s="665">
        <v>0.2</v>
      </c>
      <c r="N1922" s="1">
        <v>1.2665</v>
      </c>
      <c r="O1922" s="1">
        <v>575.0</v>
      </c>
      <c r="P1922" s="1">
        <v>46648.0</v>
      </c>
      <c r="Q1922" s="1">
        <v>0.2029</v>
      </c>
      <c r="R1922" s="1">
        <v>7484.0</v>
      </c>
    </row>
    <row r="1923">
      <c r="A1923" s="663" t="s">
        <v>2353</v>
      </c>
      <c r="B1923" s="663" t="s">
        <v>180</v>
      </c>
      <c r="C1923" s="663" t="s">
        <v>53</v>
      </c>
      <c r="D1923" s="663" t="s">
        <v>599</v>
      </c>
      <c r="E1923" s="664" t="s">
        <v>16</v>
      </c>
      <c r="F1923" s="665">
        <v>2834.0</v>
      </c>
      <c r="G1923" s="665">
        <v>329.0</v>
      </c>
      <c r="H1923" s="665">
        <v>11.61</v>
      </c>
      <c r="I1923" s="665">
        <v>0.99</v>
      </c>
      <c r="J1923" s="665">
        <v>0.92</v>
      </c>
      <c r="K1923" s="665">
        <v>461.0</v>
      </c>
      <c r="L1923" s="665">
        <v>46648.0</v>
      </c>
      <c r="M1923" s="665">
        <v>0.16</v>
      </c>
      <c r="N1923" s="1">
        <v>1.4012</v>
      </c>
      <c r="O1923" s="1">
        <v>461.0</v>
      </c>
      <c r="P1923" s="1">
        <v>46648.0</v>
      </c>
      <c r="Q1923" s="1">
        <v>0.1627</v>
      </c>
      <c r="R1923" s="1">
        <v>7484.0</v>
      </c>
    </row>
    <row r="1924">
      <c r="A1924" s="663" t="s">
        <v>2353</v>
      </c>
      <c r="B1924" s="663" t="s">
        <v>180</v>
      </c>
      <c r="C1924" s="663" t="s">
        <v>53</v>
      </c>
      <c r="D1924" s="663" t="s">
        <v>599</v>
      </c>
      <c r="E1924" s="664" t="s">
        <v>63</v>
      </c>
      <c r="F1924" s="665">
        <v>2834.0</v>
      </c>
      <c r="G1924" s="665">
        <v>325.0</v>
      </c>
      <c r="H1924" s="665">
        <v>11.47</v>
      </c>
      <c r="I1924" s="665">
        <v>0.9</v>
      </c>
      <c r="J1924" s="665">
        <v>0.78</v>
      </c>
      <c r="K1924" s="665">
        <v>419.0</v>
      </c>
      <c r="L1924" s="665">
        <v>46648.0</v>
      </c>
      <c r="M1924" s="665">
        <v>0.15</v>
      </c>
      <c r="N1924" s="1">
        <v>1.2892</v>
      </c>
      <c r="O1924" s="1">
        <v>419.0</v>
      </c>
      <c r="P1924" s="1">
        <v>46648.0</v>
      </c>
      <c r="Q1924" s="1">
        <v>0.1478</v>
      </c>
      <c r="R1924" s="1">
        <v>7484.0</v>
      </c>
    </row>
    <row r="1925">
      <c r="A1925" s="663" t="s">
        <v>2353</v>
      </c>
      <c r="B1925" s="663" t="s">
        <v>180</v>
      </c>
      <c r="C1925" s="663" t="s">
        <v>53</v>
      </c>
      <c r="D1925" s="663" t="s">
        <v>599</v>
      </c>
      <c r="E1925" s="664" t="s">
        <v>15</v>
      </c>
      <c r="F1925" s="665">
        <v>2834.0</v>
      </c>
      <c r="G1925" s="665">
        <v>140.0</v>
      </c>
      <c r="H1925" s="665">
        <v>4.94</v>
      </c>
      <c r="I1925" s="665">
        <v>0.71</v>
      </c>
      <c r="J1925" s="665">
        <v>0.48</v>
      </c>
      <c r="K1925" s="665">
        <v>332.0</v>
      </c>
      <c r="L1925" s="665">
        <v>46648.0</v>
      </c>
      <c r="M1925" s="665">
        <v>0.12</v>
      </c>
      <c r="N1925" s="1">
        <v>2.3714</v>
      </c>
      <c r="O1925" s="1">
        <v>332.0</v>
      </c>
      <c r="P1925" s="1">
        <v>46648.0</v>
      </c>
      <c r="Q1925" s="1">
        <v>0.1171</v>
      </c>
      <c r="R1925" s="1">
        <v>7484.0</v>
      </c>
    </row>
    <row r="1926">
      <c r="A1926" s="663" t="s">
        <v>2353</v>
      </c>
      <c r="B1926" s="663" t="s">
        <v>180</v>
      </c>
      <c r="C1926" s="663" t="s">
        <v>53</v>
      </c>
      <c r="D1926" s="663" t="s">
        <v>599</v>
      </c>
      <c r="E1926" s="664" t="s">
        <v>341</v>
      </c>
      <c r="F1926" s="665">
        <v>2834.0</v>
      </c>
      <c r="G1926" s="665">
        <v>229.0</v>
      </c>
      <c r="H1926" s="665">
        <v>8.08</v>
      </c>
      <c r="I1926" s="665">
        <v>0.57</v>
      </c>
      <c r="J1926" s="665">
        <v>0.55</v>
      </c>
      <c r="K1926" s="665">
        <v>266.0</v>
      </c>
      <c r="L1926" s="665">
        <v>46648.0</v>
      </c>
      <c r="M1926" s="665">
        <v>0.09</v>
      </c>
      <c r="N1926" s="1">
        <v>1.1616</v>
      </c>
      <c r="O1926" s="1">
        <v>266.0</v>
      </c>
      <c r="P1926" s="1">
        <v>46648.0</v>
      </c>
      <c r="Q1926" s="1">
        <v>0.0939</v>
      </c>
      <c r="R1926" s="1">
        <v>7484.0</v>
      </c>
    </row>
    <row r="1927">
      <c r="A1927" s="663" t="s">
        <v>2353</v>
      </c>
      <c r="B1927" s="663" t="s">
        <v>180</v>
      </c>
      <c r="C1927" s="663" t="s">
        <v>53</v>
      </c>
      <c r="D1927" s="663" t="s">
        <v>599</v>
      </c>
      <c r="E1927" s="664" t="s">
        <v>338</v>
      </c>
      <c r="F1927" s="665">
        <v>2834.0</v>
      </c>
      <c r="G1927" s="665">
        <v>185.0</v>
      </c>
      <c r="H1927" s="665">
        <v>6.53</v>
      </c>
      <c r="I1927" s="665">
        <v>0.48</v>
      </c>
      <c r="J1927" s="665">
        <v>0.42</v>
      </c>
      <c r="K1927" s="665">
        <v>222.0</v>
      </c>
      <c r="L1927" s="665">
        <v>46648.0</v>
      </c>
      <c r="M1927" s="665">
        <v>0.08</v>
      </c>
      <c r="N1927" s="1">
        <v>1.2</v>
      </c>
      <c r="O1927" s="1">
        <v>222.0</v>
      </c>
      <c r="P1927" s="1">
        <v>46648.0</v>
      </c>
      <c r="Q1927" s="1">
        <v>0.0783</v>
      </c>
      <c r="R1927" s="1">
        <v>7484.0</v>
      </c>
    </row>
    <row r="1928">
      <c r="A1928" s="663" t="s">
        <v>2353</v>
      </c>
      <c r="B1928" s="663" t="s">
        <v>180</v>
      </c>
      <c r="C1928" s="663" t="s">
        <v>53</v>
      </c>
      <c r="D1928" s="663" t="s">
        <v>599</v>
      </c>
      <c r="E1928" s="664" t="s">
        <v>329</v>
      </c>
      <c r="F1928" s="665">
        <v>2834.0</v>
      </c>
      <c r="G1928" s="665">
        <v>169.0</v>
      </c>
      <c r="H1928" s="665">
        <v>5.96</v>
      </c>
      <c r="I1928" s="665">
        <v>0.42</v>
      </c>
      <c r="J1928" s="665">
        <v>0.47</v>
      </c>
      <c r="K1928" s="665">
        <v>196.0</v>
      </c>
      <c r="L1928" s="665">
        <v>46648.0</v>
      </c>
      <c r="M1928" s="665">
        <v>0.07</v>
      </c>
      <c r="N1928" s="1">
        <v>1.1598</v>
      </c>
      <c r="O1928" s="1">
        <v>196.0</v>
      </c>
      <c r="P1928" s="1">
        <v>46648.0</v>
      </c>
      <c r="Q1928" s="1">
        <v>0.0692</v>
      </c>
      <c r="R1928" s="1">
        <v>7484.0</v>
      </c>
    </row>
    <row r="1929">
      <c r="A1929" s="663" t="s">
        <v>2353</v>
      </c>
      <c r="B1929" s="663" t="s">
        <v>180</v>
      </c>
      <c r="C1929" s="663" t="s">
        <v>53</v>
      </c>
      <c r="D1929" s="663" t="s">
        <v>599</v>
      </c>
      <c r="E1929" s="664" t="s">
        <v>7</v>
      </c>
      <c r="F1929" s="665">
        <v>2834.0</v>
      </c>
      <c r="G1929" s="665">
        <v>151.0</v>
      </c>
      <c r="H1929" s="665">
        <v>5.33</v>
      </c>
      <c r="I1929" s="665">
        <v>0.37</v>
      </c>
      <c r="J1929" s="665">
        <v>0.24</v>
      </c>
      <c r="K1929" s="665">
        <v>174.0</v>
      </c>
      <c r="L1929" s="665">
        <v>46648.0</v>
      </c>
      <c r="M1929" s="665">
        <v>0.06</v>
      </c>
      <c r="N1929" s="1">
        <v>1.1523</v>
      </c>
      <c r="O1929" s="1">
        <v>174.0</v>
      </c>
      <c r="P1929" s="1">
        <v>46648.0</v>
      </c>
      <c r="Q1929" s="1">
        <v>0.0614</v>
      </c>
      <c r="R1929" s="1">
        <v>7484.0</v>
      </c>
    </row>
    <row r="1930">
      <c r="A1930" s="663" t="s">
        <v>2353</v>
      </c>
      <c r="B1930" s="663" t="s">
        <v>180</v>
      </c>
      <c r="C1930" s="663" t="s">
        <v>53</v>
      </c>
      <c r="D1930" s="663" t="s">
        <v>599</v>
      </c>
      <c r="E1930" s="664" t="s">
        <v>206</v>
      </c>
      <c r="F1930" s="665">
        <v>2834.0</v>
      </c>
      <c r="G1930" s="665">
        <v>161.0</v>
      </c>
      <c r="H1930" s="665">
        <v>5.68</v>
      </c>
      <c r="I1930" s="665">
        <v>0.35</v>
      </c>
      <c r="J1930" s="665">
        <v>0.21</v>
      </c>
      <c r="K1930" s="665">
        <v>164.0</v>
      </c>
      <c r="L1930" s="665">
        <v>46648.0</v>
      </c>
      <c r="M1930" s="665">
        <v>0.06</v>
      </c>
      <c r="N1930" s="1">
        <v>1.0186</v>
      </c>
      <c r="O1930" s="1">
        <v>164.0</v>
      </c>
      <c r="P1930" s="1">
        <v>46648.0</v>
      </c>
      <c r="Q1930" s="1">
        <v>0.0579</v>
      </c>
      <c r="R1930" s="1">
        <v>7484.0</v>
      </c>
    </row>
    <row r="1931">
      <c r="A1931" s="663" t="s">
        <v>2353</v>
      </c>
      <c r="B1931" s="663" t="s">
        <v>180</v>
      </c>
      <c r="C1931" s="663" t="s">
        <v>53</v>
      </c>
      <c r="D1931" s="663" t="s">
        <v>599</v>
      </c>
      <c r="E1931" s="664" t="s">
        <v>73</v>
      </c>
      <c r="F1931" s="665">
        <v>2834.0</v>
      </c>
      <c r="G1931" s="665">
        <v>144.0</v>
      </c>
      <c r="H1931" s="665">
        <v>5.08</v>
      </c>
      <c r="I1931" s="665">
        <v>0.31</v>
      </c>
      <c r="J1931" s="665">
        <v>0.27</v>
      </c>
      <c r="K1931" s="665">
        <v>146.0</v>
      </c>
      <c r="L1931" s="665">
        <v>46648.0</v>
      </c>
      <c r="M1931" s="665">
        <v>0.05</v>
      </c>
      <c r="N1931" s="1">
        <v>1.0139</v>
      </c>
      <c r="O1931" s="1">
        <v>146.0</v>
      </c>
      <c r="P1931" s="1">
        <v>46648.0</v>
      </c>
      <c r="Q1931" s="1">
        <v>0.0515</v>
      </c>
      <c r="R1931" s="1">
        <v>7484.0</v>
      </c>
    </row>
    <row r="1932">
      <c r="A1932" s="663" t="s">
        <v>2353</v>
      </c>
      <c r="B1932" s="663" t="s">
        <v>180</v>
      </c>
      <c r="C1932" s="663" t="s">
        <v>52</v>
      </c>
      <c r="D1932" s="663" t="s">
        <v>599</v>
      </c>
      <c r="E1932" s="664" t="s">
        <v>14</v>
      </c>
      <c r="F1932" s="665">
        <v>2835.0</v>
      </c>
      <c r="G1932" s="665">
        <v>1912.0</v>
      </c>
      <c r="H1932" s="665">
        <v>67.44</v>
      </c>
      <c r="I1932" s="665">
        <v>35.68</v>
      </c>
      <c r="J1932" s="665">
        <v>17.87</v>
      </c>
      <c r="K1932" s="665">
        <v>17783.0</v>
      </c>
      <c r="L1932" s="665">
        <v>49838.0</v>
      </c>
      <c r="M1932" s="665">
        <v>6.27</v>
      </c>
      <c r="N1932" s="1">
        <v>9.3007</v>
      </c>
      <c r="O1932" s="1">
        <v>17783.0</v>
      </c>
      <c r="P1932" s="1">
        <v>49838.0</v>
      </c>
      <c r="Q1932" s="1">
        <v>6.2727</v>
      </c>
      <c r="R1932" s="1">
        <v>7484.0</v>
      </c>
    </row>
    <row r="1933">
      <c r="A1933" s="663" t="s">
        <v>2353</v>
      </c>
      <c r="B1933" s="663" t="s">
        <v>180</v>
      </c>
      <c r="C1933" s="663" t="s">
        <v>52</v>
      </c>
      <c r="D1933" s="663" t="s">
        <v>599</v>
      </c>
      <c r="E1933" s="664" t="s">
        <v>396</v>
      </c>
      <c r="F1933" s="665">
        <v>2835.0</v>
      </c>
      <c r="G1933" s="665">
        <v>2736.0</v>
      </c>
      <c r="H1933" s="665">
        <v>96.51</v>
      </c>
      <c r="I1933" s="665">
        <v>23.65</v>
      </c>
      <c r="J1933" s="665">
        <v>36.67</v>
      </c>
      <c r="K1933" s="665">
        <v>11786.0</v>
      </c>
      <c r="L1933" s="665">
        <v>49838.0</v>
      </c>
      <c r="M1933" s="665">
        <v>4.16</v>
      </c>
      <c r="N1933" s="1">
        <v>4.3077</v>
      </c>
      <c r="O1933" s="1">
        <v>11786.0</v>
      </c>
      <c r="P1933" s="1">
        <v>49838.0</v>
      </c>
      <c r="Q1933" s="1">
        <v>4.1573</v>
      </c>
      <c r="R1933" s="1">
        <v>7484.0</v>
      </c>
    </row>
    <row r="1934">
      <c r="A1934" s="663" t="s">
        <v>2353</v>
      </c>
      <c r="B1934" s="663" t="s">
        <v>180</v>
      </c>
      <c r="C1934" s="663" t="s">
        <v>52</v>
      </c>
      <c r="D1934" s="663" t="s">
        <v>599</v>
      </c>
      <c r="E1934" s="664" t="s">
        <v>418</v>
      </c>
      <c r="F1934" s="665">
        <v>2835.0</v>
      </c>
      <c r="G1934" s="665">
        <v>2784.0</v>
      </c>
      <c r="H1934" s="665">
        <v>98.2</v>
      </c>
      <c r="I1934" s="665">
        <v>18.64</v>
      </c>
      <c r="J1934" s="665">
        <v>21.03</v>
      </c>
      <c r="K1934" s="665">
        <v>9288.0</v>
      </c>
      <c r="L1934" s="665">
        <v>49838.0</v>
      </c>
      <c r="M1934" s="665">
        <v>3.28</v>
      </c>
      <c r="N1934" s="1">
        <v>3.3362</v>
      </c>
      <c r="O1934" s="1">
        <v>9288.0</v>
      </c>
      <c r="P1934" s="1">
        <v>49838.0</v>
      </c>
      <c r="Q1934" s="1">
        <v>3.2762</v>
      </c>
      <c r="R1934" s="1">
        <v>7484.0</v>
      </c>
    </row>
    <row r="1935">
      <c r="A1935" s="663" t="s">
        <v>2353</v>
      </c>
      <c r="B1935" s="663" t="s">
        <v>180</v>
      </c>
      <c r="C1935" s="663" t="s">
        <v>52</v>
      </c>
      <c r="D1935" s="663" t="s">
        <v>599</v>
      </c>
      <c r="E1935" s="664" t="s">
        <v>398</v>
      </c>
      <c r="F1935" s="665">
        <v>2835.0</v>
      </c>
      <c r="G1935" s="665">
        <v>2339.0</v>
      </c>
      <c r="H1935" s="665">
        <v>82.5</v>
      </c>
      <c r="I1935" s="665">
        <v>6.75</v>
      </c>
      <c r="J1935" s="665">
        <v>10.93</v>
      </c>
      <c r="K1935" s="665">
        <v>3362.0</v>
      </c>
      <c r="L1935" s="665">
        <v>49838.0</v>
      </c>
      <c r="M1935" s="665">
        <v>1.19</v>
      </c>
      <c r="N1935" s="1">
        <v>1.4374</v>
      </c>
      <c r="O1935" s="1">
        <v>3362.0</v>
      </c>
      <c r="P1935" s="1">
        <v>49838.0</v>
      </c>
      <c r="Q1935" s="1">
        <v>1.1859</v>
      </c>
      <c r="R1935" s="1">
        <v>7484.0</v>
      </c>
    </row>
    <row r="1936">
      <c r="A1936" s="663" t="s">
        <v>2353</v>
      </c>
      <c r="B1936" s="663" t="s">
        <v>180</v>
      </c>
      <c r="C1936" s="663" t="s">
        <v>52</v>
      </c>
      <c r="D1936" s="663" t="s">
        <v>599</v>
      </c>
      <c r="E1936" s="664" t="s">
        <v>397</v>
      </c>
      <c r="F1936" s="665">
        <v>2835.0</v>
      </c>
      <c r="G1936" s="665">
        <v>1053.0</v>
      </c>
      <c r="H1936" s="665">
        <v>37.14</v>
      </c>
      <c r="I1936" s="665">
        <v>2.79</v>
      </c>
      <c r="J1936" s="665">
        <v>2.72</v>
      </c>
      <c r="K1936" s="665">
        <v>1389.0</v>
      </c>
      <c r="L1936" s="665">
        <v>49838.0</v>
      </c>
      <c r="M1936" s="665">
        <v>0.49</v>
      </c>
      <c r="N1936" s="1">
        <v>1.3191</v>
      </c>
      <c r="O1936" s="1">
        <v>1389.0</v>
      </c>
      <c r="P1936" s="1">
        <v>49838.0</v>
      </c>
      <c r="Q1936" s="1">
        <v>0.4899</v>
      </c>
      <c r="R1936" s="1">
        <v>7484.0</v>
      </c>
    </row>
    <row r="1937">
      <c r="A1937" s="663" t="s">
        <v>2353</v>
      </c>
      <c r="B1937" s="663" t="s">
        <v>180</v>
      </c>
      <c r="C1937" s="663" t="s">
        <v>52</v>
      </c>
      <c r="D1937" s="663" t="s">
        <v>599</v>
      </c>
      <c r="E1937" s="664" t="s">
        <v>9</v>
      </c>
      <c r="F1937" s="665">
        <v>2835.0</v>
      </c>
      <c r="G1937" s="665">
        <v>1057.0</v>
      </c>
      <c r="H1937" s="665">
        <v>37.28</v>
      </c>
      <c r="I1937" s="665">
        <v>2.71</v>
      </c>
      <c r="J1937" s="665">
        <v>2.67</v>
      </c>
      <c r="K1937" s="665">
        <v>1350.0</v>
      </c>
      <c r="L1937" s="665">
        <v>49838.0</v>
      </c>
      <c r="M1937" s="665">
        <v>0.48</v>
      </c>
      <c r="N1937" s="1">
        <v>1.2772</v>
      </c>
      <c r="O1937" s="1">
        <v>1350.0</v>
      </c>
      <c r="P1937" s="1">
        <v>49838.0</v>
      </c>
      <c r="Q1937" s="1">
        <v>0.4762</v>
      </c>
      <c r="R1937" s="1">
        <v>7484.0</v>
      </c>
    </row>
    <row r="1938">
      <c r="A1938" s="663" t="s">
        <v>2353</v>
      </c>
      <c r="B1938" s="663" t="s">
        <v>180</v>
      </c>
      <c r="C1938" s="663" t="s">
        <v>52</v>
      </c>
      <c r="D1938" s="663" t="s">
        <v>599</v>
      </c>
      <c r="E1938" s="664" t="s">
        <v>51</v>
      </c>
      <c r="F1938" s="665">
        <v>2835.0</v>
      </c>
      <c r="G1938" s="665">
        <v>529.0</v>
      </c>
      <c r="H1938" s="665">
        <v>18.66</v>
      </c>
      <c r="I1938" s="665">
        <v>2.02</v>
      </c>
      <c r="J1938" s="665">
        <v>1.56</v>
      </c>
      <c r="K1938" s="665">
        <v>1005.0</v>
      </c>
      <c r="L1938" s="665">
        <v>49838.0</v>
      </c>
      <c r="M1938" s="665">
        <v>0.35</v>
      </c>
      <c r="N1938" s="1">
        <v>1.8998</v>
      </c>
      <c r="O1938" s="1">
        <v>1005.0</v>
      </c>
      <c r="P1938" s="1">
        <v>49838.0</v>
      </c>
      <c r="Q1938" s="1">
        <v>0.3545</v>
      </c>
      <c r="R1938" s="1">
        <v>7484.0</v>
      </c>
    </row>
    <row r="1939">
      <c r="A1939" s="663" t="s">
        <v>2353</v>
      </c>
      <c r="B1939" s="663" t="s">
        <v>180</v>
      </c>
      <c r="C1939" s="663" t="s">
        <v>52</v>
      </c>
      <c r="D1939" s="663" t="s">
        <v>599</v>
      </c>
      <c r="E1939" s="664" t="s">
        <v>393</v>
      </c>
      <c r="F1939" s="665">
        <v>2835.0</v>
      </c>
      <c r="G1939" s="665">
        <v>349.0</v>
      </c>
      <c r="H1939" s="665">
        <v>12.31</v>
      </c>
      <c r="I1939" s="665">
        <v>1.54</v>
      </c>
      <c r="J1939" s="665">
        <v>1.11</v>
      </c>
      <c r="K1939" s="665">
        <v>767.0</v>
      </c>
      <c r="L1939" s="665">
        <v>49838.0</v>
      </c>
      <c r="M1939" s="665">
        <v>0.27</v>
      </c>
      <c r="N1939" s="1">
        <v>2.1977</v>
      </c>
      <c r="O1939" s="1">
        <v>767.0</v>
      </c>
      <c r="P1939" s="1">
        <v>49838.0</v>
      </c>
      <c r="Q1939" s="1">
        <v>0.2705</v>
      </c>
      <c r="R1939" s="1">
        <v>7484.0</v>
      </c>
    </row>
    <row r="1940">
      <c r="A1940" s="663" t="s">
        <v>2353</v>
      </c>
      <c r="B1940" s="663" t="s">
        <v>180</v>
      </c>
      <c r="C1940" s="663" t="s">
        <v>52</v>
      </c>
      <c r="D1940" s="663" t="s">
        <v>599</v>
      </c>
      <c r="E1940" s="664" t="s">
        <v>15</v>
      </c>
      <c r="F1940" s="665">
        <v>2835.0</v>
      </c>
      <c r="G1940" s="665">
        <v>277.0</v>
      </c>
      <c r="H1940" s="665">
        <v>9.77</v>
      </c>
      <c r="I1940" s="665">
        <v>1.25</v>
      </c>
      <c r="J1940" s="665">
        <v>0.91</v>
      </c>
      <c r="K1940" s="665">
        <v>621.0</v>
      </c>
      <c r="L1940" s="665">
        <v>49838.0</v>
      </c>
      <c r="M1940" s="665">
        <v>0.22</v>
      </c>
      <c r="N1940" s="1">
        <v>2.2419</v>
      </c>
      <c r="O1940" s="1">
        <v>621.0</v>
      </c>
      <c r="P1940" s="1">
        <v>49838.0</v>
      </c>
      <c r="Q1940" s="1">
        <v>0.219</v>
      </c>
      <c r="R1940" s="1">
        <v>7484.0</v>
      </c>
    </row>
    <row r="1941">
      <c r="A1941" s="663" t="s">
        <v>2353</v>
      </c>
      <c r="B1941" s="663" t="s">
        <v>180</v>
      </c>
      <c r="C1941" s="663" t="s">
        <v>52</v>
      </c>
      <c r="D1941" s="663" t="s">
        <v>599</v>
      </c>
      <c r="E1941" s="664" t="s">
        <v>411</v>
      </c>
      <c r="F1941" s="665">
        <v>2835.0</v>
      </c>
      <c r="G1941" s="665">
        <v>292.0</v>
      </c>
      <c r="H1941" s="665">
        <v>10.3</v>
      </c>
      <c r="I1941" s="665">
        <v>1.06</v>
      </c>
      <c r="J1941" s="665">
        <v>0.76</v>
      </c>
      <c r="K1941" s="665">
        <v>526.0</v>
      </c>
      <c r="L1941" s="665">
        <v>49838.0</v>
      </c>
      <c r="M1941" s="665">
        <v>0.19</v>
      </c>
      <c r="N1941" s="1">
        <v>1.8014</v>
      </c>
      <c r="O1941" s="1">
        <v>526.0</v>
      </c>
      <c r="P1941" s="1">
        <v>49838.0</v>
      </c>
      <c r="Q1941" s="1">
        <v>0.1855</v>
      </c>
      <c r="R1941" s="1">
        <v>7484.0</v>
      </c>
    </row>
    <row r="1942">
      <c r="A1942" s="663" t="s">
        <v>2353</v>
      </c>
      <c r="B1942" s="663" t="s">
        <v>180</v>
      </c>
      <c r="C1942" s="663" t="s">
        <v>52</v>
      </c>
      <c r="D1942" s="663" t="s">
        <v>599</v>
      </c>
      <c r="E1942" s="664" t="s">
        <v>413</v>
      </c>
      <c r="F1942" s="665">
        <v>2835.0</v>
      </c>
      <c r="G1942" s="665">
        <v>471.0</v>
      </c>
      <c r="H1942" s="665">
        <v>16.61</v>
      </c>
      <c r="I1942" s="665">
        <v>1.03</v>
      </c>
      <c r="J1942" s="665">
        <v>1.08</v>
      </c>
      <c r="K1942" s="665">
        <v>512.0</v>
      </c>
      <c r="L1942" s="665">
        <v>49838.0</v>
      </c>
      <c r="M1942" s="665">
        <v>0.18</v>
      </c>
      <c r="N1942" s="1">
        <v>1.087</v>
      </c>
      <c r="O1942" s="1">
        <v>512.0</v>
      </c>
      <c r="P1942" s="1">
        <v>49838.0</v>
      </c>
      <c r="Q1942" s="1">
        <v>0.1806</v>
      </c>
      <c r="R1942" s="1">
        <v>7484.0</v>
      </c>
    </row>
    <row r="1943">
      <c r="A1943" s="663" t="s">
        <v>2353</v>
      </c>
      <c r="B1943" s="663" t="s">
        <v>180</v>
      </c>
      <c r="C1943" s="663" t="s">
        <v>52</v>
      </c>
      <c r="D1943" s="663" t="s">
        <v>599</v>
      </c>
      <c r="E1943" s="664" t="s">
        <v>401</v>
      </c>
      <c r="F1943" s="665">
        <v>2835.0</v>
      </c>
      <c r="G1943" s="665">
        <v>303.0</v>
      </c>
      <c r="H1943" s="665">
        <v>10.69</v>
      </c>
      <c r="I1943" s="665">
        <v>0.63</v>
      </c>
      <c r="J1943" s="665">
        <v>0.56</v>
      </c>
      <c r="K1943" s="665">
        <v>312.0</v>
      </c>
      <c r="L1943" s="665">
        <v>49838.0</v>
      </c>
      <c r="M1943" s="665">
        <v>0.11</v>
      </c>
      <c r="N1943" s="1">
        <v>1.0297</v>
      </c>
      <c r="O1943" s="1">
        <v>312.0</v>
      </c>
      <c r="P1943" s="1">
        <v>49838.0</v>
      </c>
      <c r="Q1943" s="1">
        <v>0.1101</v>
      </c>
      <c r="R1943" s="1">
        <v>7484.0</v>
      </c>
    </row>
    <row r="1944">
      <c r="A1944" s="663" t="s">
        <v>2353</v>
      </c>
      <c r="B1944" s="663" t="s">
        <v>180</v>
      </c>
      <c r="C1944" s="663" t="s">
        <v>52</v>
      </c>
      <c r="D1944" s="663" t="s">
        <v>599</v>
      </c>
      <c r="E1944" s="664" t="s">
        <v>42</v>
      </c>
      <c r="F1944" s="665">
        <v>2835.0</v>
      </c>
      <c r="G1944" s="665">
        <v>245.0</v>
      </c>
      <c r="H1944" s="665">
        <v>8.64</v>
      </c>
      <c r="I1944" s="665">
        <v>0.6</v>
      </c>
      <c r="J1944" s="665">
        <v>0.61</v>
      </c>
      <c r="K1944" s="665">
        <v>297.0</v>
      </c>
      <c r="L1944" s="665">
        <v>49838.0</v>
      </c>
      <c r="M1944" s="665">
        <v>0.1</v>
      </c>
      <c r="N1944" s="1">
        <v>1.2122</v>
      </c>
      <c r="O1944" s="1">
        <v>297.0</v>
      </c>
      <c r="P1944" s="1">
        <v>49838.0</v>
      </c>
      <c r="Q1944" s="1">
        <v>0.1048</v>
      </c>
      <c r="R1944" s="1">
        <v>7484.0</v>
      </c>
    </row>
    <row r="1945">
      <c r="A1945" s="663" t="s">
        <v>2353</v>
      </c>
      <c r="B1945" s="663" t="s">
        <v>180</v>
      </c>
      <c r="C1945" s="663" t="s">
        <v>52</v>
      </c>
      <c r="D1945" s="663" t="s">
        <v>599</v>
      </c>
      <c r="E1945" s="664" t="s">
        <v>63</v>
      </c>
      <c r="F1945" s="665">
        <v>2835.0</v>
      </c>
      <c r="G1945" s="665">
        <v>207.0</v>
      </c>
      <c r="H1945" s="665">
        <v>7.3</v>
      </c>
      <c r="I1945" s="665">
        <v>0.47</v>
      </c>
      <c r="J1945" s="665">
        <v>0.41</v>
      </c>
      <c r="K1945" s="665">
        <v>233.0</v>
      </c>
      <c r="L1945" s="665">
        <v>49838.0</v>
      </c>
      <c r="M1945" s="665">
        <v>0.08</v>
      </c>
      <c r="N1945" s="1">
        <v>1.1256</v>
      </c>
      <c r="O1945" s="1">
        <v>233.0</v>
      </c>
      <c r="P1945" s="1">
        <v>49838.0</v>
      </c>
      <c r="Q1945" s="1">
        <v>0.0822</v>
      </c>
      <c r="R1945" s="1">
        <v>7484.0</v>
      </c>
    </row>
    <row r="1946">
      <c r="A1946" s="663" t="s">
        <v>2353</v>
      </c>
      <c r="B1946" s="663" t="s">
        <v>180</v>
      </c>
      <c r="C1946" s="663" t="s">
        <v>52</v>
      </c>
      <c r="D1946" s="663" t="s">
        <v>599</v>
      </c>
      <c r="E1946" s="664" t="s">
        <v>206</v>
      </c>
      <c r="F1946" s="665">
        <v>2835.0</v>
      </c>
      <c r="G1946" s="665">
        <v>221.0</v>
      </c>
      <c r="H1946" s="665">
        <v>7.8</v>
      </c>
      <c r="I1946" s="665">
        <v>0.45</v>
      </c>
      <c r="J1946" s="665">
        <v>0.36</v>
      </c>
      <c r="K1946" s="665">
        <v>226.0</v>
      </c>
      <c r="L1946" s="665">
        <v>49838.0</v>
      </c>
      <c r="M1946" s="665">
        <v>0.08</v>
      </c>
      <c r="N1946" s="1">
        <v>1.0226</v>
      </c>
      <c r="O1946" s="1">
        <v>226.0</v>
      </c>
      <c r="P1946" s="1">
        <v>49838.0</v>
      </c>
      <c r="Q1946" s="1">
        <v>0.0797</v>
      </c>
      <c r="R1946" s="1">
        <v>7484.0</v>
      </c>
    </row>
    <row r="1947">
      <c r="A1947" s="663" t="s">
        <v>2353</v>
      </c>
      <c r="B1947" s="663" t="s">
        <v>180</v>
      </c>
      <c r="C1947" s="663" t="s">
        <v>52</v>
      </c>
      <c r="D1947" s="663" t="s">
        <v>599</v>
      </c>
      <c r="E1947" s="664" t="s">
        <v>16</v>
      </c>
      <c r="F1947" s="665">
        <v>2835.0</v>
      </c>
      <c r="G1947" s="665">
        <v>139.0</v>
      </c>
      <c r="H1947" s="665">
        <v>4.9</v>
      </c>
      <c r="I1947" s="665">
        <v>0.3</v>
      </c>
      <c r="J1947" s="665">
        <v>0.28</v>
      </c>
      <c r="K1947" s="665">
        <v>149.0</v>
      </c>
      <c r="L1947" s="665">
        <v>49838.0</v>
      </c>
      <c r="M1947" s="665">
        <v>0.05</v>
      </c>
      <c r="N1947" s="1">
        <v>1.0719</v>
      </c>
      <c r="O1947" s="1">
        <v>149.0</v>
      </c>
      <c r="P1947" s="1">
        <v>49838.0</v>
      </c>
      <c r="Q1947" s="1">
        <v>0.0526</v>
      </c>
      <c r="R1947" s="1">
        <v>7484.0</v>
      </c>
    </row>
    <row r="1948">
      <c r="A1948" s="663" t="s">
        <v>2353</v>
      </c>
      <c r="B1948" s="663" t="s">
        <v>180</v>
      </c>
      <c r="C1948" s="663" t="s">
        <v>52</v>
      </c>
      <c r="D1948" s="663" t="s">
        <v>599</v>
      </c>
      <c r="E1948" s="664" t="s">
        <v>7</v>
      </c>
      <c r="F1948" s="665">
        <v>2835.0</v>
      </c>
      <c r="G1948" s="665">
        <v>105.0</v>
      </c>
      <c r="H1948" s="665">
        <v>3.7</v>
      </c>
      <c r="I1948" s="665">
        <v>0.23</v>
      </c>
      <c r="J1948" s="665">
        <v>0.17</v>
      </c>
      <c r="K1948" s="665">
        <v>115.0</v>
      </c>
      <c r="L1948" s="665">
        <v>49838.0</v>
      </c>
      <c r="M1948" s="665">
        <v>0.04</v>
      </c>
      <c r="N1948" s="1">
        <v>1.0952</v>
      </c>
      <c r="O1948" s="1">
        <v>115.0</v>
      </c>
      <c r="P1948" s="1">
        <v>49838.0</v>
      </c>
      <c r="Q1948" s="1">
        <v>0.0406</v>
      </c>
      <c r="R1948" s="1">
        <v>7484.0</v>
      </c>
    </row>
    <row r="1949">
      <c r="A1949" s="663" t="s">
        <v>2353</v>
      </c>
      <c r="B1949" s="663" t="s">
        <v>180</v>
      </c>
      <c r="C1949" s="663" t="s">
        <v>52</v>
      </c>
      <c r="D1949" s="663" t="s">
        <v>599</v>
      </c>
      <c r="E1949" s="664" t="s">
        <v>341</v>
      </c>
      <c r="F1949" s="665">
        <v>2835.0</v>
      </c>
      <c r="G1949" s="665">
        <v>57.0</v>
      </c>
      <c r="H1949" s="665">
        <v>2.01</v>
      </c>
      <c r="I1949" s="665">
        <v>0.12</v>
      </c>
      <c r="J1949" s="665">
        <v>0.15</v>
      </c>
      <c r="K1949" s="665">
        <v>62.0</v>
      </c>
      <c r="L1949" s="665">
        <v>49838.0</v>
      </c>
      <c r="M1949" s="665">
        <v>0.02</v>
      </c>
      <c r="N1949" s="1">
        <v>1.0877</v>
      </c>
      <c r="O1949" s="1">
        <v>62.0</v>
      </c>
      <c r="P1949" s="1">
        <v>49838.0</v>
      </c>
      <c r="Q1949" s="1">
        <v>0.0219</v>
      </c>
      <c r="R1949" s="1">
        <v>7484.0</v>
      </c>
    </row>
    <row r="1950">
      <c r="A1950" s="663" t="s">
        <v>2353</v>
      </c>
      <c r="B1950" s="663" t="s">
        <v>180</v>
      </c>
      <c r="C1950" s="663" t="s">
        <v>52</v>
      </c>
      <c r="D1950" s="663" t="s">
        <v>599</v>
      </c>
      <c r="E1950" s="664" t="s">
        <v>338</v>
      </c>
      <c r="F1950" s="665">
        <v>2835.0</v>
      </c>
      <c r="G1950" s="665">
        <v>31.0</v>
      </c>
      <c r="H1950" s="665">
        <v>1.09</v>
      </c>
      <c r="I1950" s="665">
        <v>0.06</v>
      </c>
      <c r="J1950" s="665">
        <v>0.07</v>
      </c>
      <c r="K1950" s="665">
        <v>31.0</v>
      </c>
      <c r="L1950" s="665">
        <v>49838.0</v>
      </c>
      <c r="M1950" s="665">
        <v>0.01</v>
      </c>
      <c r="N1950" s="1">
        <v>1.0</v>
      </c>
      <c r="O1950" s="1">
        <v>31.0</v>
      </c>
      <c r="P1950" s="1">
        <v>49838.0</v>
      </c>
      <c r="Q1950" s="1">
        <v>0.0109</v>
      </c>
      <c r="R1950" s="1">
        <v>7484.0</v>
      </c>
    </row>
    <row r="1951">
      <c r="A1951" s="663" t="s">
        <v>2353</v>
      </c>
      <c r="B1951" s="663" t="s">
        <v>180</v>
      </c>
      <c r="C1951" s="663" t="s">
        <v>52</v>
      </c>
      <c r="D1951" s="663" t="s">
        <v>599</v>
      </c>
      <c r="E1951" s="664" t="s">
        <v>329</v>
      </c>
      <c r="F1951" s="665">
        <v>2835.0</v>
      </c>
      <c r="G1951" s="665">
        <v>21.0</v>
      </c>
      <c r="H1951" s="665">
        <v>0.74</v>
      </c>
      <c r="I1951" s="665">
        <v>0.05</v>
      </c>
      <c r="J1951" s="665">
        <v>0.07</v>
      </c>
      <c r="K1951" s="665">
        <v>23.0</v>
      </c>
      <c r="L1951" s="665">
        <v>49838.0</v>
      </c>
      <c r="M1951" s="665">
        <v>0.01</v>
      </c>
      <c r="N1951" s="1">
        <v>1.0952</v>
      </c>
      <c r="O1951" s="1">
        <v>23.0</v>
      </c>
      <c r="P1951" s="1">
        <v>49838.0</v>
      </c>
      <c r="Q1951" s="1">
        <v>0.0081</v>
      </c>
      <c r="R1951" s="1">
        <v>7484.0</v>
      </c>
    </row>
    <row r="1952">
      <c r="A1952" s="663" t="s">
        <v>2353</v>
      </c>
      <c r="B1952" s="663" t="s">
        <v>180</v>
      </c>
      <c r="C1952" s="663" t="s">
        <v>52</v>
      </c>
      <c r="D1952" s="663" t="s">
        <v>599</v>
      </c>
      <c r="E1952" s="664" t="s">
        <v>151</v>
      </c>
      <c r="F1952" s="665">
        <v>2835.0</v>
      </c>
      <c r="G1952" s="665">
        <v>1.0</v>
      </c>
      <c r="H1952" s="665">
        <v>0.04</v>
      </c>
      <c r="I1952" s="665">
        <v>0.0</v>
      </c>
      <c r="J1952" s="665">
        <v>0.01</v>
      </c>
      <c r="K1952" s="665">
        <v>1.0</v>
      </c>
      <c r="L1952" s="665">
        <v>49838.0</v>
      </c>
      <c r="M1952" s="665">
        <v>0.0</v>
      </c>
      <c r="N1952" s="1">
        <v>1.0</v>
      </c>
      <c r="O1952" s="1">
        <v>1.0</v>
      </c>
      <c r="P1952" s="1">
        <v>49838.0</v>
      </c>
      <c r="Q1952" s="1">
        <v>4.0E-4</v>
      </c>
      <c r="R1952" s="1">
        <v>7484.0</v>
      </c>
    </row>
    <row r="1953">
      <c r="A1953" s="663" t="s">
        <v>2353</v>
      </c>
      <c r="B1953" s="663" t="s">
        <v>180</v>
      </c>
      <c r="C1953" s="663" t="s">
        <v>1209</v>
      </c>
      <c r="D1953" s="663" t="s">
        <v>2234</v>
      </c>
      <c r="E1953" s="664" t="s">
        <v>401</v>
      </c>
      <c r="F1953" s="665">
        <v>1097.0</v>
      </c>
      <c r="G1953" s="665">
        <v>586.0</v>
      </c>
      <c r="H1953" s="665">
        <v>53.42</v>
      </c>
      <c r="I1953" s="665">
        <v>40.74</v>
      </c>
      <c r="J1953" s="665">
        <v>46.26</v>
      </c>
      <c r="K1953" s="665">
        <v>9705.0</v>
      </c>
      <c r="L1953" s="665">
        <v>23820.0</v>
      </c>
      <c r="M1953" s="665">
        <v>8.85</v>
      </c>
      <c r="N1953" s="1">
        <v>16.5614</v>
      </c>
      <c r="O1953" s="1">
        <v>9705.0</v>
      </c>
      <c r="P1953" s="1">
        <v>23820.0</v>
      </c>
      <c r="Q1953" s="1">
        <v>8.8469</v>
      </c>
      <c r="R1953" s="1">
        <v>7484.0</v>
      </c>
    </row>
    <row r="1954">
      <c r="A1954" s="663" t="s">
        <v>2353</v>
      </c>
      <c r="B1954" s="663" t="s">
        <v>180</v>
      </c>
      <c r="C1954" s="663" t="s">
        <v>1209</v>
      </c>
      <c r="D1954" s="663" t="s">
        <v>2234</v>
      </c>
      <c r="E1954" s="664" t="s">
        <v>206</v>
      </c>
      <c r="F1954" s="665">
        <v>1097.0</v>
      </c>
      <c r="G1954" s="665">
        <v>495.0</v>
      </c>
      <c r="H1954" s="665">
        <v>45.12</v>
      </c>
      <c r="I1954" s="665">
        <v>36.15</v>
      </c>
      <c r="J1954" s="665">
        <v>38.27</v>
      </c>
      <c r="K1954" s="665">
        <v>8610.0</v>
      </c>
      <c r="L1954" s="665">
        <v>23820.0</v>
      </c>
      <c r="M1954" s="665">
        <v>7.85</v>
      </c>
      <c r="N1954" s="1">
        <v>17.3939</v>
      </c>
      <c r="O1954" s="1">
        <v>8610.0</v>
      </c>
      <c r="P1954" s="1">
        <v>23820.0</v>
      </c>
      <c r="Q1954" s="1">
        <v>7.8487</v>
      </c>
      <c r="R1954" s="1">
        <v>7484.0</v>
      </c>
    </row>
    <row r="1955">
      <c r="A1955" s="663" t="s">
        <v>2353</v>
      </c>
      <c r="B1955" s="663" t="s">
        <v>180</v>
      </c>
      <c r="C1955" s="663" t="s">
        <v>1209</v>
      </c>
      <c r="D1955" s="663" t="s">
        <v>2234</v>
      </c>
      <c r="E1955" s="664" t="s">
        <v>397</v>
      </c>
      <c r="F1955" s="665">
        <v>1097.0</v>
      </c>
      <c r="G1955" s="665">
        <v>96.0</v>
      </c>
      <c r="H1955" s="665">
        <v>8.75</v>
      </c>
      <c r="I1955" s="665">
        <v>12.09</v>
      </c>
      <c r="J1955" s="665">
        <v>4.6</v>
      </c>
      <c r="K1955" s="665">
        <v>2880.0</v>
      </c>
      <c r="L1955" s="665">
        <v>23820.0</v>
      </c>
      <c r="M1955" s="665">
        <v>2.63</v>
      </c>
      <c r="N1955" s="1">
        <v>30.0</v>
      </c>
      <c r="O1955" s="1">
        <v>2880.0</v>
      </c>
      <c r="P1955" s="1">
        <v>23820.0</v>
      </c>
      <c r="Q1955" s="1">
        <v>2.6253</v>
      </c>
      <c r="R1955" s="1">
        <v>7484.0</v>
      </c>
    </row>
    <row r="1956">
      <c r="A1956" s="663" t="s">
        <v>2353</v>
      </c>
      <c r="B1956" s="663" t="s">
        <v>180</v>
      </c>
      <c r="C1956" s="663" t="s">
        <v>1209</v>
      </c>
      <c r="D1956" s="663" t="s">
        <v>2234</v>
      </c>
      <c r="E1956" s="664" t="s">
        <v>73</v>
      </c>
      <c r="F1956" s="665">
        <v>1097.0</v>
      </c>
      <c r="G1956" s="665">
        <v>158.0</v>
      </c>
      <c r="H1956" s="665">
        <v>14.4</v>
      </c>
      <c r="I1956" s="665">
        <v>10.14</v>
      </c>
      <c r="J1956" s="665">
        <v>10.24</v>
      </c>
      <c r="K1956" s="665">
        <v>2415.0</v>
      </c>
      <c r="L1956" s="665">
        <v>23820.0</v>
      </c>
      <c r="M1956" s="665">
        <v>2.2</v>
      </c>
      <c r="N1956" s="1">
        <v>15.2848</v>
      </c>
      <c r="O1956" s="1">
        <v>2415.0</v>
      </c>
      <c r="P1956" s="1">
        <v>23820.0</v>
      </c>
      <c r="Q1956" s="1">
        <v>2.2015</v>
      </c>
      <c r="R1956" s="1">
        <v>7484.0</v>
      </c>
    </row>
    <row r="1957">
      <c r="A1957" s="663" t="s">
        <v>2353</v>
      </c>
      <c r="B1957" s="663" t="s">
        <v>180</v>
      </c>
      <c r="C1957" s="663" t="s">
        <v>1209</v>
      </c>
      <c r="D1957" s="663" t="s">
        <v>2234</v>
      </c>
      <c r="E1957" s="664" t="s">
        <v>413</v>
      </c>
      <c r="F1957" s="665">
        <v>1097.0</v>
      </c>
      <c r="G1957" s="665">
        <v>7.0</v>
      </c>
      <c r="H1957" s="665">
        <v>0.64</v>
      </c>
      <c r="I1957" s="665">
        <v>0.5</v>
      </c>
      <c r="J1957" s="665">
        <v>0.45</v>
      </c>
      <c r="K1957" s="665">
        <v>120.0</v>
      </c>
      <c r="L1957" s="665">
        <v>23820.0</v>
      </c>
      <c r="M1957" s="665">
        <v>0.11</v>
      </c>
      <c r="N1957" s="1">
        <v>17.1429</v>
      </c>
      <c r="O1957" s="1">
        <v>120.0</v>
      </c>
      <c r="P1957" s="1">
        <v>23820.0</v>
      </c>
      <c r="Q1957" s="1">
        <v>0.1094</v>
      </c>
      <c r="R1957" s="1">
        <v>7484.0</v>
      </c>
    </row>
    <row r="1958">
      <c r="A1958" s="663" t="s">
        <v>2353</v>
      </c>
      <c r="B1958" s="663" t="s">
        <v>180</v>
      </c>
      <c r="C1958" s="663" t="s">
        <v>1209</v>
      </c>
      <c r="D1958" s="663" t="s">
        <v>2234</v>
      </c>
      <c r="E1958" s="664" t="s">
        <v>411</v>
      </c>
      <c r="F1958" s="665">
        <v>1097.0</v>
      </c>
      <c r="G1958" s="665">
        <v>2.0</v>
      </c>
      <c r="H1958" s="665">
        <v>0.18</v>
      </c>
      <c r="I1958" s="665">
        <v>0.38</v>
      </c>
      <c r="J1958" s="665">
        <v>0.18</v>
      </c>
      <c r="K1958" s="665">
        <v>90.0</v>
      </c>
      <c r="L1958" s="665">
        <v>23820.0</v>
      </c>
      <c r="M1958" s="665">
        <v>0.08</v>
      </c>
      <c r="N1958" s="1">
        <v>45.0</v>
      </c>
      <c r="O1958" s="1">
        <v>90.0</v>
      </c>
      <c r="P1958" s="1">
        <v>23820.0</v>
      </c>
      <c r="Q1958" s="1">
        <v>0.082</v>
      </c>
      <c r="R1958" s="1">
        <v>7484.0</v>
      </c>
    </row>
    <row r="1959">
      <c r="A1959" s="663" t="s">
        <v>2353</v>
      </c>
      <c r="B1959" s="663" t="s">
        <v>180</v>
      </c>
      <c r="C1959" s="663" t="s">
        <v>1210</v>
      </c>
      <c r="D1959" s="663" t="s">
        <v>2234</v>
      </c>
      <c r="E1959" s="664" t="s">
        <v>413</v>
      </c>
      <c r="F1959" s="665">
        <v>2282.0</v>
      </c>
      <c r="G1959" s="665">
        <v>1454.0</v>
      </c>
      <c r="H1959" s="665">
        <v>63.72</v>
      </c>
      <c r="I1959" s="665">
        <v>29.98</v>
      </c>
      <c r="J1959" s="665">
        <v>40.47</v>
      </c>
      <c r="K1959" s="665">
        <v>22425.0</v>
      </c>
      <c r="L1959" s="665">
        <v>74795.0</v>
      </c>
      <c r="M1959" s="665">
        <v>9.83</v>
      </c>
      <c r="N1959" s="1">
        <v>15.423</v>
      </c>
      <c r="O1959" s="1">
        <v>22425.0</v>
      </c>
      <c r="P1959" s="1">
        <v>74795.0</v>
      </c>
      <c r="Q1959" s="1">
        <v>9.8269</v>
      </c>
      <c r="R1959" s="1">
        <v>7484.0</v>
      </c>
    </row>
    <row r="1960">
      <c r="A1960" s="663" t="s">
        <v>2353</v>
      </c>
      <c r="B1960" s="663" t="s">
        <v>180</v>
      </c>
      <c r="C1960" s="663" t="s">
        <v>1210</v>
      </c>
      <c r="D1960" s="663" t="s">
        <v>2234</v>
      </c>
      <c r="E1960" s="664" t="s">
        <v>9</v>
      </c>
      <c r="F1960" s="665">
        <v>2282.0</v>
      </c>
      <c r="G1960" s="665">
        <v>1052.0</v>
      </c>
      <c r="H1960" s="665">
        <v>46.1</v>
      </c>
      <c r="I1960" s="665">
        <v>17.35</v>
      </c>
      <c r="J1960" s="665">
        <v>18.92</v>
      </c>
      <c r="K1960" s="665">
        <v>12980.0</v>
      </c>
      <c r="L1960" s="665">
        <v>74795.0</v>
      </c>
      <c r="M1960" s="665">
        <v>5.69</v>
      </c>
      <c r="N1960" s="1">
        <v>12.3384</v>
      </c>
      <c r="O1960" s="1">
        <v>12980.0</v>
      </c>
      <c r="P1960" s="1">
        <v>74795.0</v>
      </c>
      <c r="Q1960" s="1">
        <v>5.688</v>
      </c>
      <c r="R1960" s="1">
        <v>7484.0</v>
      </c>
    </row>
    <row r="1961">
      <c r="A1961" s="663" t="s">
        <v>2353</v>
      </c>
      <c r="B1961" s="663" t="s">
        <v>180</v>
      </c>
      <c r="C1961" s="663" t="s">
        <v>1210</v>
      </c>
      <c r="D1961" s="663" t="s">
        <v>2234</v>
      </c>
      <c r="E1961" s="664" t="s">
        <v>401</v>
      </c>
      <c r="F1961" s="665">
        <v>2282.0</v>
      </c>
      <c r="G1961" s="665">
        <v>643.0</v>
      </c>
      <c r="H1961" s="665">
        <v>28.18</v>
      </c>
      <c r="I1961" s="665">
        <v>15.14</v>
      </c>
      <c r="J1961" s="665">
        <v>14.6</v>
      </c>
      <c r="K1961" s="665">
        <v>11325.0</v>
      </c>
      <c r="L1961" s="665">
        <v>74795.0</v>
      </c>
      <c r="M1961" s="665">
        <v>4.96</v>
      </c>
      <c r="N1961" s="1">
        <v>17.6128</v>
      </c>
      <c r="O1961" s="1">
        <v>11325.0</v>
      </c>
      <c r="P1961" s="1">
        <v>74795.0</v>
      </c>
      <c r="Q1961" s="1">
        <v>4.9628</v>
      </c>
      <c r="R1961" s="1">
        <v>7484.0</v>
      </c>
    </row>
    <row r="1962">
      <c r="A1962" s="663" t="s">
        <v>2353</v>
      </c>
      <c r="B1962" s="663" t="s">
        <v>180</v>
      </c>
      <c r="C1962" s="663" t="s">
        <v>1210</v>
      </c>
      <c r="D1962" s="663" t="s">
        <v>2234</v>
      </c>
      <c r="E1962" s="664" t="s">
        <v>14</v>
      </c>
      <c r="F1962" s="665">
        <v>2282.0</v>
      </c>
      <c r="G1962" s="665">
        <v>563.0</v>
      </c>
      <c r="H1962" s="665">
        <v>24.67</v>
      </c>
      <c r="I1962" s="665">
        <v>12.61</v>
      </c>
      <c r="J1962" s="665">
        <v>8.38</v>
      </c>
      <c r="K1962" s="665">
        <v>9430.0</v>
      </c>
      <c r="L1962" s="665">
        <v>74795.0</v>
      </c>
      <c r="M1962" s="665">
        <v>4.13</v>
      </c>
      <c r="N1962" s="1">
        <v>16.7496</v>
      </c>
      <c r="O1962" s="1">
        <v>9430.0</v>
      </c>
      <c r="P1962" s="1">
        <v>74795.0</v>
      </c>
      <c r="Q1962" s="1">
        <v>4.1323</v>
      </c>
      <c r="R1962" s="1">
        <v>7484.0</v>
      </c>
    </row>
    <row r="1963">
      <c r="A1963" s="663" t="s">
        <v>2353</v>
      </c>
      <c r="B1963" s="663" t="s">
        <v>180</v>
      </c>
      <c r="C1963" s="663" t="s">
        <v>1210</v>
      </c>
      <c r="D1963" s="663" t="s">
        <v>2234</v>
      </c>
      <c r="E1963" s="664" t="s">
        <v>206</v>
      </c>
      <c r="F1963" s="665">
        <v>2282.0</v>
      </c>
      <c r="G1963" s="665">
        <v>527.0</v>
      </c>
      <c r="H1963" s="665">
        <v>23.09</v>
      </c>
      <c r="I1963" s="665">
        <v>12.28</v>
      </c>
      <c r="J1963" s="665">
        <v>11.17</v>
      </c>
      <c r="K1963" s="665">
        <v>9185.0</v>
      </c>
      <c r="L1963" s="665">
        <v>74795.0</v>
      </c>
      <c r="M1963" s="665">
        <v>4.03</v>
      </c>
      <c r="N1963" s="1">
        <v>17.4288</v>
      </c>
      <c r="O1963" s="1">
        <v>9185.0</v>
      </c>
      <c r="P1963" s="1">
        <v>74795.0</v>
      </c>
      <c r="Q1963" s="1">
        <v>4.025</v>
      </c>
      <c r="R1963" s="1">
        <v>7484.0</v>
      </c>
    </row>
    <row r="1964">
      <c r="A1964" s="663" t="s">
        <v>2353</v>
      </c>
      <c r="B1964" s="663" t="s">
        <v>180</v>
      </c>
      <c r="C1964" s="663" t="s">
        <v>1210</v>
      </c>
      <c r="D1964" s="663" t="s">
        <v>2234</v>
      </c>
      <c r="E1964" s="664" t="s">
        <v>397</v>
      </c>
      <c r="F1964" s="665">
        <v>2282.0</v>
      </c>
      <c r="G1964" s="665">
        <v>101.0</v>
      </c>
      <c r="H1964" s="665">
        <v>4.43</v>
      </c>
      <c r="I1964" s="665">
        <v>8.1</v>
      </c>
      <c r="J1964" s="665">
        <v>2.05</v>
      </c>
      <c r="K1964" s="665">
        <v>6060.0</v>
      </c>
      <c r="L1964" s="665">
        <v>74795.0</v>
      </c>
      <c r="M1964" s="665">
        <v>2.66</v>
      </c>
      <c r="N1964" s="1">
        <v>60.0</v>
      </c>
      <c r="O1964" s="1">
        <v>6060.0</v>
      </c>
      <c r="P1964" s="1">
        <v>74795.0</v>
      </c>
      <c r="Q1964" s="1">
        <v>2.6556</v>
      </c>
      <c r="R1964" s="1">
        <v>7484.0</v>
      </c>
    </row>
    <row r="1965">
      <c r="A1965" s="663" t="s">
        <v>2353</v>
      </c>
      <c r="B1965" s="663" t="s">
        <v>180</v>
      </c>
      <c r="C1965" s="663" t="s">
        <v>1210</v>
      </c>
      <c r="D1965" s="663" t="s">
        <v>2234</v>
      </c>
      <c r="E1965" s="664" t="s">
        <v>73</v>
      </c>
      <c r="F1965" s="665">
        <v>2282.0</v>
      </c>
      <c r="G1965" s="665">
        <v>219.0</v>
      </c>
      <c r="H1965" s="665">
        <v>9.6</v>
      </c>
      <c r="I1965" s="665">
        <v>4.41</v>
      </c>
      <c r="J1965" s="665">
        <v>4.35</v>
      </c>
      <c r="K1965" s="665">
        <v>3300.0</v>
      </c>
      <c r="L1965" s="665">
        <v>74795.0</v>
      </c>
      <c r="M1965" s="665">
        <v>1.45</v>
      </c>
      <c r="N1965" s="1">
        <v>15.0685</v>
      </c>
      <c r="O1965" s="1">
        <v>3300.0</v>
      </c>
      <c r="P1965" s="1">
        <v>74795.0</v>
      </c>
      <c r="Q1965" s="1">
        <v>1.4461</v>
      </c>
      <c r="R1965" s="1">
        <v>7484.0</v>
      </c>
    </row>
    <row r="1966">
      <c r="A1966" s="663" t="s">
        <v>2353</v>
      </c>
      <c r="B1966" s="663" t="s">
        <v>180</v>
      </c>
      <c r="C1966" s="663" t="s">
        <v>1210</v>
      </c>
      <c r="D1966" s="663" t="s">
        <v>2234</v>
      </c>
      <c r="E1966" s="664" t="s">
        <v>411</v>
      </c>
      <c r="F1966" s="665">
        <v>2282.0</v>
      </c>
      <c r="G1966" s="665">
        <v>2.0</v>
      </c>
      <c r="H1966" s="665">
        <v>0.09</v>
      </c>
      <c r="I1966" s="665">
        <v>0.12</v>
      </c>
      <c r="J1966" s="665">
        <v>0.05</v>
      </c>
      <c r="K1966" s="665">
        <v>90.0</v>
      </c>
      <c r="L1966" s="665">
        <v>74795.0</v>
      </c>
      <c r="M1966" s="665">
        <v>0.04</v>
      </c>
      <c r="N1966" s="1">
        <v>45.0</v>
      </c>
      <c r="O1966" s="1">
        <v>90.0</v>
      </c>
      <c r="P1966" s="1">
        <v>74795.0</v>
      </c>
      <c r="Q1966" s="1">
        <v>0.0394</v>
      </c>
      <c r="R1966" s="1">
        <v>7484.0</v>
      </c>
    </row>
    <row r="1967">
      <c r="A1967" s="663" t="s">
        <v>2353</v>
      </c>
      <c r="B1967" s="663" t="s">
        <v>180</v>
      </c>
      <c r="C1967" s="663" t="s">
        <v>1211</v>
      </c>
      <c r="D1967" s="663" t="s">
        <v>2234</v>
      </c>
      <c r="E1967" s="664" t="s">
        <v>413</v>
      </c>
      <c r="F1967" s="665">
        <v>2568.0</v>
      </c>
      <c r="G1967" s="665">
        <v>1687.0</v>
      </c>
      <c r="H1967" s="665">
        <v>65.69</v>
      </c>
      <c r="I1967" s="665">
        <v>33.19</v>
      </c>
      <c r="J1967" s="665">
        <v>33.79</v>
      </c>
      <c r="K1967" s="665">
        <v>39140.0</v>
      </c>
      <c r="L1967" s="665">
        <v>117935.0</v>
      </c>
      <c r="M1967" s="665">
        <v>15.24</v>
      </c>
      <c r="N1967" s="1">
        <v>23.2009</v>
      </c>
      <c r="O1967" s="1">
        <v>39140.0</v>
      </c>
      <c r="P1967" s="1">
        <v>117935.0</v>
      </c>
      <c r="Q1967" s="1">
        <v>15.2414</v>
      </c>
      <c r="R1967" s="1">
        <v>7484.0</v>
      </c>
    </row>
    <row r="1968">
      <c r="A1968" s="663" t="s">
        <v>2353</v>
      </c>
      <c r="B1968" s="663" t="s">
        <v>180</v>
      </c>
      <c r="C1968" s="663" t="s">
        <v>1211</v>
      </c>
      <c r="D1968" s="663" t="s">
        <v>2234</v>
      </c>
      <c r="E1968" s="664" t="s">
        <v>14</v>
      </c>
      <c r="F1968" s="665">
        <v>2568.0</v>
      </c>
      <c r="G1968" s="665">
        <v>1725.0</v>
      </c>
      <c r="H1968" s="665">
        <v>67.17</v>
      </c>
      <c r="I1968" s="665">
        <v>21.76</v>
      </c>
      <c r="J1968" s="665">
        <v>25.86</v>
      </c>
      <c r="K1968" s="665">
        <v>25660.0</v>
      </c>
      <c r="L1968" s="665">
        <v>117935.0</v>
      </c>
      <c r="M1968" s="665">
        <v>9.99</v>
      </c>
      <c r="N1968" s="1">
        <v>14.8754</v>
      </c>
      <c r="O1968" s="1">
        <v>25660.0</v>
      </c>
      <c r="P1968" s="1">
        <v>117935.0</v>
      </c>
      <c r="Q1968" s="1">
        <v>9.9922</v>
      </c>
      <c r="R1968" s="1">
        <v>7484.0</v>
      </c>
    </row>
    <row r="1969">
      <c r="A1969" s="663" t="s">
        <v>2353</v>
      </c>
      <c r="B1969" s="663" t="s">
        <v>180</v>
      </c>
      <c r="C1969" s="663" t="s">
        <v>1211</v>
      </c>
      <c r="D1969" s="663" t="s">
        <v>2234</v>
      </c>
      <c r="E1969" s="664" t="s">
        <v>9</v>
      </c>
      <c r="F1969" s="665">
        <v>2568.0</v>
      </c>
      <c r="G1969" s="665">
        <v>1372.0</v>
      </c>
      <c r="H1969" s="665">
        <v>53.43</v>
      </c>
      <c r="I1969" s="665">
        <v>13.74</v>
      </c>
      <c r="J1969" s="665">
        <v>13.94</v>
      </c>
      <c r="K1969" s="665">
        <v>16210.0</v>
      </c>
      <c r="L1969" s="665">
        <v>117935.0</v>
      </c>
      <c r="M1969" s="665">
        <v>6.31</v>
      </c>
      <c r="N1969" s="1">
        <v>11.8149</v>
      </c>
      <c r="O1969" s="1">
        <v>16210.0</v>
      </c>
      <c r="P1969" s="1">
        <v>117935.0</v>
      </c>
      <c r="Q1969" s="1">
        <v>6.3123</v>
      </c>
      <c r="R1969" s="1">
        <v>7484.0</v>
      </c>
    </row>
    <row r="1970">
      <c r="A1970" s="663" t="s">
        <v>2353</v>
      </c>
      <c r="B1970" s="663" t="s">
        <v>180</v>
      </c>
      <c r="C1970" s="663" t="s">
        <v>1211</v>
      </c>
      <c r="D1970" s="663" t="s">
        <v>2234</v>
      </c>
      <c r="E1970" s="664" t="s">
        <v>401</v>
      </c>
      <c r="F1970" s="665">
        <v>2568.0</v>
      </c>
      <c r="G1970" s="665">
        <v>650.0</v>
      </c>
      <c r="H1970" s="665">
        <v>25.31</v>
      </c>
      <c r="I1970" s="665">
        <v>10.86</v>
      </c>
      <c r="J1970" s="665">
        <v>11.04</v>
      </c>
      <c r="K1970" s="665">
        <v>12810.0</v>
      </c>
      <c r="L1970" s="665">
        <v>117935.0</v>
      </c>
      <c r="M1970" s="665">
        <v>4.99</v>
      </c>
      <c r="N1970" s="1">
        <v>19.7077</v>
      </c>
      <c r="O1970" s="1">
        <v>12810.0</v>
      </c>
      <c r="P1970" s="1">
        <v>117935.0</v>
      </c>
      <c r="Q1970" s="1">
        <v>4.9883</v>
      </c>
      <c r="R1970" s="1">
        <v>7484.0</v>
      </c>
    </row>
    <row r="1971">
      <c r="A1971" s="663" t="s">
        <v>2353</v>
      </c>
      <c r="B1971" s="663" t="s">
        <v>180</v>
      </c>
      <c r="C1971" s="663" t="s">
        <v>1211</v>
      </c>
      <c r="D1971" s="663" t="s">
        <v>2234</v>
      </c>
      <c r="E1971" s="664" t="s">
        <v>206</v>
      </c>
      <c r="F1971" s="665">
        <v>2568.0</v>
      </c>
      <c r="G1971" s="665">
        <v>520.0</v>
      </c>
      <c r="H1971" s="665">
        <v>20.25</v>
      </c>
      <c r="I1971" s="665">
        <v>8.85</v>
      </c>
      <c r="J1971" s="665">
        <v>8.48</v>
      </c>
      <c r="K1971" s="665">
        <v>10435.0</v>
      </c>
      <c r="L1971" s="665">
        <v>117935.0</v>
      </c>
      <c r="M1971" s="665">
        <v>4.06</v>
      </c>
      <c r="N1971" s="1">
        <v>20.0673</v>
      </c>
      <c r="O1971" s="1">
        <v>10435.0</v>
      </c>
      <c r="P1971" s="1">
        <v>117935.0</v>
      </c>
      <c r="Q1971" s="1">
        <v>4.0635</v>
      </c>
      <c r="R1971" s="1">
        <v>7484.0</v>
      </c>
    </row>
    <row r="1972">
      <c r="A1972" s="663" t="s">
        <v>2353</v>
      </c>
      <c r="B1972" s="663" t="s">
        <v>180</v>
      </c>
      <c r="C1972" s="663" t="s">
        <v>1211</v>
      </c>
      <c r="D1972" s="663" t="s">
        <v>2234</v>
      </c>
      <c r="E1972" s="664" t="s">
        <v>397</v>
      </c>
      <c r="F1972" s="665">
        <v>2568.0</v>
      </c>
      <c r="G1972" s="665">
        <v>154.0</v>
      </c>
      <c r="H1972" s="665">
        <v>6.0</v>
      </c>
      <c r="I1972" s="665">
        <v>7.94</v>
      </c>
      <c r="J1972" s="665">
        <v>2.67</v>
      </c>
      <c r="K1972" s="665">
        <v>9360.0</v>
      </c>
      <c r="L1972" s="665">
        <v>117935.0</v>
      </c>
      <c r="M1972" s="665">
        <v>3.64</v>
      </c>
      <c r="N1972" s="1">
        <v>60.7792</v>
      </c>
      <c r="O1972" s="1">
        <v>9360.0</v>
      </c>
      <c r="P1972" s="1">
        <v>117935.0</v>
      </c>
      <c r="Q1972" s="1">
        <v>3.6449</v>
      </c>
      <c r="R1972" s="1">
        <v>7484.0</v>
      </c>
    </row>
    <row r="1973">
      <c r="A1973" s="663" t="s">
        <v>2353</v>
      </c>
      <c r="B1973" s="663" t="s">
        <v>180</v>
      </c>
      <c r="C1973" s="663" t="s">
        <v>1211</v>
      </c>
      <c r="D1973" s="663" t="s">
        <v>2234</v>
      </c>
      <c r="E1973" s="664" t="s">
        <v>73</v>
      </c>
      <c r="F1973" s="665">
        <v>2568.0</v>
      </c>
      <c r="G1973" s="665">
        <v>279.0</v>
      </c>
      <c r="H1973" s="665">
        <v>10.86</v>
      </c>
      <c r="I1973" s="665">
        <v>3.56</v>
      </c>
      <c r="J1973" s="665">
        <v>4.14</v>
      </c>
      <c r="K1973" s="665">
        <v>4200.0</v>
      </c>
      <c r="L1973" s="665">
        <v>117935.0</v>
      </c>
      <c r="M1973" s="665">
        <v>1.64</v>
      </c>
      <c r="N1973" s="1">
        <v>15.0538</v>
      </c>
      <c r="O1973" s="1">
        <v>4200.0</v>
      </c>
      <c r="P1973" s="1">
        <v>117935.0</v>
      </c>
      <c r="Q1973" s="1">
        <v>1.6355</v>
      </c>
      <c r="R1973" s="1">
        <v>7484.0</v>
      </c>
    </row>
    <row r="1974">
      <c r="A1974" s="663" t="s">
        <v>2353</v>
      </c>
      <c r="B1974" s="663" t="s">
        <v>180</v>
      </c>
      <c r="C1974" s="663" t="s">
        <v>1211</v>
      </c>
      <c r="D1974" s="663" t="s">
        <v>2234</v>
      </c>
      <c r="E1974" s="664" t="s">
        <v>411</v>
      </c>
      <c r="F1974" s="665">
        <v>2568.0</v>
      </c>
      <c r="G1974" s="665">
        <v>2.0</v>
      </c>
      <c r="H1974" s="665">
        <v>0.08</v>
      </c>
      <c r="I1974" s="665">
        <v>0.08</v>
      </c>
      <c r="J1974" s="665">
        <v>0.04</v>
      </c>
      <c r="K1974" s="665">
        <v>90.0</v>
      </c>
      <c r="L1974" s="665">
        <v>117935.0</v>
      </c>
      <c r="M1974" s="665">
        <v>0.04</v>
      </c>
      <c r="N1974" s="1">
        <v>45.0</v>
      </c>
      <c r="O1974" s="1">
        <v>90.0</v>
      </c>
      <c r="P1974" s="1">
        <v>117935.0</v>
      </c>
      <c r="Q1974" s="1">
        <v>0.035</v>
      </c>
      <c r="R1974" s="1">
        <v>7484.0</v>
      </c>
    </row>
    <row r="1975">
      <c r="A1975" s="663" t="s">
        <v>2353</v>
      </c>
      <c r="B1975" s="663" t="s">
        <v>180</v>
      </c>
      <c r="C1975" s="663" t="s">
        <v>1211</v>
      </c>
      <c r="D1975" s="663" t="s">
        <v>2234</v>
      </c>
      <c r="E1975" s="664" t="s">
        <v>151</v>
      </c>
      <c r="F1975" s="665">
        <v>2568.0</v>
      </c>
      <c r="G1975" s="665">
        <v>1.0</v>
      </c>
      <c r="H1975" s="665">
        <v>0.04</v>
      </c>
      <c r="I1975" s="665">
        <v>0.03</v>
      </c>
      <c r="J1975" s="665">
        <v>0.03</v>
      </c>
      <c r="K1975" s="665">
        <v>30.0</v>
      </c>
      <c r="L1975" s="665">
        <v>117935.0</v>
      </c>
      <c r="M1975" s="665">
        <v>0.01</v>
      </c>
      <c r="N1975" s="1">
        <v>30.0</v>
      </c>
      <c r="O1975" s="1">
        <v>30.0</v>
      </c>
      <c r="P1975" s="1">
        <v>117935.0</v>
      </c>
      <c r="Q1975" s="1">
        <v>0.0117</v>
      </c>
      <c r="R1975" s="1">
        <v>7484.0</v>
      </c>
    </row>
    <row r="1976">
      <c r="A1976" s="663" t="s">
        <v>2353</v>
      </c>
      <c r="B1976" s="663" t="s">
        <v>180</v>
      </c>
      <c r="C1976" s="663" t="s">
        <v>55</v>
      </c>
      <c r="D1976" s="663" t="s">
        <v>2234</v>
      </c>
      <c r="E1976" s="664" t="s">
        <v>418</v>
      </c>
      <c r="F1976" s="665">
        <v>2830.0</v>
      </c>
      <c r="G1976" s="665">
        <v>2829.0</v>
      </c>
      <c r="H1976" s="665">
        <v>99.96</v>
      </c>
      <c r="I1976" s="665">
        <v>54.04</v>
      </c>
      <c r="J1976" s="665">
        <v>50.45</v>
      </c>
      <c r="K1976" s="665">
        <v>2430610.0</v>
      </c>
      <c r="L1976" s="665">
        <v>4497935.0</v>
      </c>
      <c r="M1976" s="665">
        <v>858.87</v>
      </c>
      <c r="N1976" s="1">
        <v>859.1764</v>
      </c>
      <c r="O1976" s="1">
        <v>2430610.0</v>
      </c>
      <c r="P1976" s="1">
        <v>4497935.0</v>
      </c>
      <c r="Q1976" s="1">
        <v>858.8728</v>
      </c>
      <c r="R1976" s="1">
        <v>7484.0</v>
      </c>
    </row>
    <row r="1977">
      <c r="A1977" s="663" t="s">
        <v>2353</v>
      </c>
      <c r="B1977" s="663" t="s">
        <v>180</v>
      </c>
      <c r="C1977" s="663" t="s">
        <v>55</v>
      </c>
      <c r="D1977" s="663" t="s">
        <v>2234</v>
      </c>
      <c r="E1977" s="664" t="s">
        <v>396</v>
      </c>
      <c r="F1977" s="665">
        <v>2830.0</v>
      </c>
      <c r="G1977" s="665">
        <v>2796.0</v>
      </c>
      <c r="H1977" s="665">
        <v>98.8</v>
      </c>
      <c r="I1977" s="665">
        <v>17.0</v>
      </c>
      <c r="J1977" s="665">
        <v>20.59</v>
      </c>
      <c r="K1977" s="665">
        <v>764490.0</v>
      </c>
      <c r="L1977" s="665">
        <v>4497935.0</v>
      </c>
      <c r="M1977" s="665">
        <v>270.14</v>
      </c>
      <c r="N1977" s="1">
        <v>273.4227</v>
      </c>
      <c r="O1977" s="1">
        <v>764490.0</v>
      </c>
      <c r="P1977" s="1">
        <v>4497935.0</v>
      </c>
      <c r="Q1977" s="1">
        <v>270.1378</v>
      </c>
      <c r="R1977" s="1">
        <v>7484.0</v>
      </c>
    </row>
    <row r="1978">
      <c r="A1978" s="663" t="s">
        <v>2353</v>
      </c>
      <c r="B1978" s="663" t="s">
        <v>180</v>
      </c>
      <c r="C1978" s="663" t="s">
        <v>55</v>
      </c>
      <c r="D1978" s="663" t="s">
        <v>2234</v>
      </c>
      <c r="E1978" s="664" t="s">
        <v>14</v>
      </c>
      <c r="F1978" s="665">
        <v>2830.0</v>
      </c>
      <c r="G1978" s="665">
        <v>1974.0</v>
      </c>
      <c r="H1978" s="665">
        <v>69.75</v>
      </c>
      <c r="I1978" s="665">
        <v>4.9</v>
      </c>
      <c r="J1978" s="665">
        <v>4.43</v>
      </c>
      <c r="K1978" s="665">
        <v>220445.0</v>
      </c>
      <c r="L1978" s="665">
        <v>4497935.0</v>
      </c>
      <c r="M1978" s="665">
        <v>77.9</v>
      </c>
      <c r="N1978" s="1">
        <v>111.6743</v>
      </c>
      <c r="O1978" s="1">
        <v>220445.0</v>
      </c>
      <c r="P1978" s="1">
        <v>4497935.0</v>
      </c>
      <c r="Q1978" s="1">
        <v>77.8958</v>
      </c>
      <c r="R1978" s="1">
        <v>7484.0</v>
      </c>
    </row>
    <row r="1979">
      <c r="A1979" s="663" t="s">
        <v>2353</v>
      </c>
      <c r="B1979" s="663" t="s">
        <v>180</v>
      </c>
      <c r="C1979" s="663" t="s">
        <v>55</v>
      </c>
      <c r="D1979" s="663" t="s">
        <v>2234</v>
      </c>
      <c r="E1979" s="664" t="s">
        <v>51</v>
      </c>
      <c r="F1979" s="665">
        <v>2830.0</v>
      </c>
      <c r="G1979" s="665">
        <v>1617.0</v>
      </c>
      <c r="H1979" s="665">
        <v>57.14</v>
      </c>
      <c r="I1979" s="665">
        <v>4.43</v>
      </c>
      <c r="J1979" s="665">
        <v>4.11</v>
      </c>
      <c r="K1979" s="665">
        <v>199440.0</v>
      </c>
      <c r="L1979" s="665">
        <v>4497935.0</v>
      </c>
      <c r="M1979" s="665">
        <v>70.47</v>
      </c>
      <c r="N1979" s="1">
        <v>123.3395</v>
      </c>
      <c r="O1979" s="1">
        <v>199440.0</v>
      </c>
      <c r="P1979" s="1">
        <v>4497935.0</v>
      </c>
      <c r="Q1979" s="1">
        <v>70.4735</v>
      </c>
      <c r="R1979" s="1">
        <v>7484.0</v>
      </c>
    </row>
    <row r="1980">
      <c r="A1980" s="663" t="s">
        <v>2353</v>
      </c>
      <c r="B1980" s="663" t="s">
        <v>180</v>
      </c>
      <c r="C1980" s="663" t="s">
        <v>55</v>
      </c>
      <c r="D1980" s="663" t="s">
        <v>2234</v>
      </c>
      <c r="E1980" s="664" t="s">
        <v>9</v>
      </c>
      <c r="F1980" s="665">
        <v>2830.0</v>
      </c>
      <c r="G1980" s="665">
        <v>1666.0</v>
      </c>
      <c r="H1980" s="665">
        <v>58.87</v>
      </c>
      <c r="I1980" s="665">
        <v>3.75</v>
      </c>
      <c r="J1980" s="665">
        <v>4.44</v>
      </c>
      <c r="K1980" s="665">
        <v>168660.0</v>
      </c>
      <c r="L1980" s="665">
        <v>4497935.0</v>
      </c>
      <c r="M1980" s="665">
        <v>59.6</v>
      </c>
      <c r="N1980" s="1">
        <v>101.2365</v>
      </c>
      <c r="O1980" s="1">
        <v>168660.0</v>
      </c>
      <c r="P1980" s="1">
        <v>4497935.0</v>
      </c>
      <c r="Q1980" s="1">
        <v>59.5972</v>
      </c>
      <c r="R1980" s="1">
        <v>7484.0</v>
      </c>
    </row>
    <row r="1981">
      <c r="A1981" s="663" t="s">
        <v>2353</v>
      </c>
      <c r="B1981" s="663" t="s">
        <v>180</v>
      </c>
      <c r="C1981" s="663" t="s">
        <v>55</v>
      </c>
      <c r="D1981" s="663" t="s">
        <v>2234</v>
      </c>
      <c r="E1981" s="664" t="s">
        <v>413</v>
      </c>
      <c r="F1981" s="665">
        <v>2830.0</v>
      </c>
      <c r="G1981" s="665">
        <v>1623.0</v>
      </c>
      <c r="H1981" s="665">
        <v>57.35</v>
      </c>
      <c r="I1981" s="665">
        <v>3.71</v>
      </c>
      <c r="J1981" s="665">
        <v>5.12</v>
      </c>
      <c r="K1981" s="665">
        <v>167000.0</v>
      </c>
      <c r="L1981" s="665">
        <v>4497935.0</v>
      </c>
      <c r="M1981" s="665">
        <v>59.01</v>
      </c>
      <c r="N1981" s="1">
        <v>102.8959</v>
      </c>
      <c r="O1981" s="1">
        <v>167000.0</v>
      </c>
      <c r="P1981" s="1">
        <v>4497935.0</v>
      </c>
      <c r="Q1981" s="1">
        <v>59.0106</v>
      </c>
      <c r="R1981" s="1">
        <v>7484.0</v>
      </c>
    </row>
    <row r="1982">
      <c r="A1982" s="663" t="s">
        <v>2353</v>
      </c>
      <c r="B1982" s="663" t="s">
        <v>180</v>
      </c>
      <c r="C1982" s="663" t="s">
        <v>55</v>
      </c>
      <c r="D1982" s="663" t="s">
        <v>2234</v>
      </c>
      <c r="E1982" s="664" t="s">
        <v>398</v>
      </c>
      <c r="F1982" s="665">
        <v>2830.0</v>
      </c>
      <c r="G1982" s="665">
        <v>2621.0</v>
      </c>
      <c r="H1982" s="665">
        <v>92.61</v>
      </c>
      <c r="I1982" s="665">
        <v>3.64</v>
      </c>
      <c r="J1982" s="665">
        <v>3.38</v>
      </c>
      <c r="K1982" s="665">
        <v>163620.0</v>
      </c>
      <c r="L1982" s="665">
        <v>4497935.0</v>
      </c>
      <c r="M1982" s="665">
        <v>57.82</v>
      </c>
      <c r="N1982" s="1">
        <v>62.4266</v>
      </c>
      <c r="O1982" s="1">
        <v>163620.0</v>
      </c>
      <c r="P1982" s="1">
        <v>4497935.0</v>
      </c>
      <c r="Q1982" s="1">
        <v>57.8163</v>
      </c>
      <c r="R1982" s="1">
        <v>7484.0</v>
      </c>
    </row>
    <row r="1983">
      <c r="A1983" s="663" t="s">
        <v>2353</v>
      </c>
      <c r="B1983" s="663" t="s">
        <v>180</v>
      </c>
      <c r="C1983" s="663" t="s">
        <v>55</v>
      </c>
      <c r="D1983" s="663" t="s">
        <v>2234</v>
      </c>
      <c r="E1983" s="664" t="s">
        <v>397</v>
      </c>
      <c r="F1983" s="665">
        <v>2830.0</v>
      </c>
      <c r="G1983" s="665">
        <v>1984.0</v>
      </c>
      <c r="H1983" s="665">
        <v>70.11</v>
      </c>
      <c r="I1983" s="665">
        <v>2.22</v>
      </c>
      <c r="J1983" s="665">
        <v>1.6</v>
      </c>
      <c r="K1983" s="665">
        <v>99910.0</v>
      </c>
      <c r="L1983" s="665">
        <v>4497935.0</v>
      </c>
      <c r="M1983" s="665">
        <v>35.3</v>
      </c>
      <c r="N1983" s="1">
        <v>50.3579</v>
      </c>
      <c r="O1983" s="1">
        <v>99910.0</v>
      </c>
      <c r="P1983" s="1">
        <v>4497935.0</v>
      </c>
      <c r="Q1983" s="1">
        <v>35.3039</v>
      </c>
      <c r="R1983" s="1">
        <v>7484.0</v>
      </c>
    </row>
    <row r="1984">
      <c r="A1984" s="663" t="s">
        <v>2353</v>
      </c>
      <c r="B1984" s="663" t="s">
        <v>180</v>
      </c>
      <c r="C1984" s="663" t="s">
        <v>55</v>
      </c>
      <c r="D1984" s="663" t="s">
        <v>2234</v>
      </c>
      <c r="E1984" s="664" t="s">
        <v>401</v>
      </c>
      <c r="F1984" s="665">
        <v>2830.0</v>
      </c>
      <c r="G1984" s="665">
        <v>644.0</v>
      </c>
      <c r="H1984" s="665">
        <v>22.76</v>
      </c>
      <c r="I1984" s="665">
        <v>1.49</v>
      </c>
      <c r="J1984" s="665">
        <v>1.51</v>
      </c>
      <c r="K1984" s="665">
        <v>67080.0</v>
      </c>
      <c r="L1984" s="665">
        <v>4497935.0</v>
      </c>
      <c r="M1984" s="665">
        <v>23.7</v>
      </c>
      <c r="N1984" s="1">
        <v>104.1615</v>
      </c>
      <c r="O1984" s="1">
        <v>67080.0</v>
      </c>
      <c r="P1984" s="1">
        <v>4497935.0</v>
      </c>
      <c r="Q1984" s="1">
        <v>23.7032</v>
      </c>
      <c r="R1984" s="1">
        <v>7484.0</v>
      </c>
    </row>
    <row r="1985">
      <c r="A1985" s="663" t="s">
        <v>2353</v>
      </c>
      <c r="B1985" s="663" t="s">
        <v>180</v>
      </c>
      <c r="C1985" s="663" t="s">
        <v>55</v>
      </c>
      <c r="D1985" s="663" t="s">
        <v>2234</v>
      </c>
      <c r="E1985" s="664" t="s">
        <v>206</v>
      </c>
      <c r="F1985" s="665">
        <v>2830.0</v>
      </c>
      <c r="G1985" s="665">
        <v>532.0</v>
      </c>
      <c r="H1985" s="665">
        <v>18.8</v>
      </c>
      <c r="I1985" s="665">
        <v>1.15</v>
      </c>
      <c r="J1985" s="665">
        <v>1.03</v>
      </c>
      <c r="K1985" s="665">
        <v>51630.0</v>
      </c>
      <c r="L1985" s="665">
        <v>4497935.0</v>
      </c>
      <c r="M1985" s="665">
        <v>18.24</v>
      </c>
      <c r="N1985" s="1">
        <v>97.0489</v>
      </c>
      <c r="O1985" s="1">
        <v>51630.0</v>
      </c>
      <c r="P1985" s="1">
        <v>4497935.0</v>
      </c>
      <c r="Q1985" s="1">
        <v>18.2438</v>
      </c>
      <c r="R1985" s="1">
        <v>7484.0</v>
      </c>
    </row>
    <row r="1986">
      <c r="A1986" s="663" t="s">
        <v>2353</v>
      </c>
      <c r="B1986" s="663" t="s">
        <v>180</v>
      </c>
      <c r="C1986" s="663" t="s">
        <v>55</v>
      </c>
      <c r="D1986" s="663" t="s">
        <v>2234</v>
      </c>
      <c r="E1986" s="664" t="s">
        <v>73</v>
      </c>
      <c r="F1986" s="665">
        <v>2830.0</v>
      </c>
      <c r="G1986" s="665">
        <v>364.0</v>
      </c>
      <c r="H1986" s="665">
        <v>12.86</v>
      </c>
      <c r="I1986" s="665">
        <v>1.1</v>
      </c>
      <c r="J1986" s="665">
        <v>0.9</v>
      </c>
      <c r="K1986" s="665">
        <v>49290.0</v>
      </c>
      <c r="L1986" s="665">
        <v>4497935.0</v>
      </c>
      <c r="M1986" s="665">
        <v>17.42</v>
      </c>
      <c r="N1986" s="1">
        <v>135.4121</v>
      </c>
      <c r="O1986" s="1">
        <v>49290.0</v>
      </c>
      <c r="P1986" s="1">
        <v>4497935.0</v>
      </c>
      <c r="Q1986" s="1">
        <v>17.417</v>
      </c>
      <c r="R1986" s="1">
        <v>7484.0</v>
      </c>
    </row>
    <row r="1987">
      <c r="A1987" s="663" t="s">
        <v>2353</v>
      </c>
      <c r="B1987" s="663" t="s">
        <v>180</v>
      </c>
      <c r="C1987" s="663" t="s">
        <v>55</v>
      </c>
      <c r="D1987" s="663" t="s">
        <v>2234</v>
      </c>
      <c r="E1987" s="664" t="s">
        <v>7</v>
      </c>
      <c r="F1987" s="665">
        <v>2830.0</v>
      </c>
      <c r="G1987" s="665">
        <v>1186.0</v>
      </c>
      <c r="H1987" s="665">
        <v>41.91</v>
      </c>
      <c r="I1987" s="665">
        <v>1.0</v>
      </c>
      <c r="J1987" s="665">
        <v>1.13</v>
      </c>
      <c r="K1987" s="665">
        <v>44780.0</v>
      </c>
      <c r="L1987" s="665">
        <v>4497935.0</v>
      </c>
      <c r="M1987" s="665">
        <v>15.82</v>
      </c>
      <c r="N1987" s="1">
        <v>37.7572</v>
      </c>
      <c r="O1987" s="1">
        <v>44780.0</v>
      </c>
      <c r="P1987" s="1">
        <v>4497935.0</v>
      </c>
      <c r="Q1987" s="1">
        <v>15.8233</v>
      </c>
      <c r="R1987" s="1">
        <v>7484.0</v>
      </c>
    </row>
    <row r="1988">
      <c r="A1988" s="663" t="s">
        <v>2353</v>
      </c>
      <c r="B1988" s="663" t="s">
        <v>180</v>
      </c>
      <c r="C1988" s="663" t="s">
        <v>55</v>
      </c>
      <c r="D1988" s="663" t="s">
        <v>2234</v>
      </c>
      <c r="E1988" s="664" t="s">
        <v>63</v>
      </c>
      <c r="F1988" s="665">
        <v>2830.0</v>
      </c>
      <c r="G1988" s="665">
        <v>878.0</v>
      </c>
      <c r="H1988" s="665">
        <v>31.02</v>
      </c>
      <c r="I1988" s="665">
        <v>0.95</v>
      </c>
      <c r="J1988" s="665">
        <v>0.88</v>
      </c>
      <c r="K1988" s="665">
        <v>42930.0</v>
      </c>
      <c r="L1988" s="665">
        <v>4497935.0</v>
      </c>
      <c r="M1988" s="665">
        <v>15.17</v>
      </c>
      <c r="N1988" s="1">
        <v>48.8952</v>
      </c>
      <c r="O1988" s="1">
        <v>42930.0</v>
      </c>
      <c r="P1988" s="1">
        <v>4497935.0</v>
      </c>
      <c r="Q1988" s="1">
        <v>15.1696</v>
      </c>
      <c r="R1988" s="1">
        <v>7484.0</v>
      </c>
    </row>
    <row r="1989">
      <c r="A1989" s="663" t="s">
        <v>2353</v>
      </c>
      <c r="B1989" s="663" t="s">
        <v>180</v>
      </c>
      <c r="C1989" s="663" t="s">
        <v>55</v>
      </c>
      <c r="D1989" s="663" t="s">
        <v>2234</v>
      </c>
      <c r="E1989" s="664" t="s">
        <v>411</v>
      </c>
      <c r="F1989" s="665">
        <v>2830.0</v>
      </c>
      <c r="G1989" s="665">
        <v>334.0</v>
      </c>
      <c r="H1989" s="665">
        <v>11.8</v>
      </c>
      <c r="I1989" s="665">
        <v>0.33</v>
      </c>
      <c r="J1989" s="665">
        <v>0.2</v>
      </c>
      <c r="K1989" s="665">
        <v>14840.0</v>
      </c>
      <c r="L1989" s="665">
        <v>4497935.0</v>
      </c>
      <c r="M1989" s="665">
        <v>5.24</v>
      </c>
      <c r="N1989" s="1">
        <v>44.4311</v>
      </c>
      <c r="O1989" s="1">
        <v>14840.0</v>
      </c>
      <c r="P1989" s="1">
        <v>4497935.0</v>
      </c>
      <c r="Q1989" s="1">
        <v>5.2438</v>
      </c>
      <c r="R1989" s="1">
        <v>7484.0</v>
      </c>
    </row>
    <row r="1990">
      <c r="A1990" s="663" t="s">
        <v>2353</v>
      </c>
      <c r="B1990" s="663" t="s">
        <v>180</v>
      </c>
      <c r="C1990" s="663" t="s">
        <v>55</v>
      </c>
      <c r="D1990" s="663" t="s">
        <v>2234</v>
      </c>
      <c r="E1990" s="664" t="s">
        <v>393</v>
      </c>
      <c r="F1990" s="665">
        <v>2830.0</v>
      </c>
      <c r="G1990" s="665">
        <v>485.0</v>
      </c>
      <c r="H1990" s="665">
        <v>17.14</v>
      </c>
      <c r="I1990" s="665">
        <v>0.27</v>
      </c>
      <c r="J1990" s="665">
        <v>0.21</v>
      </c>
      <c r="K1990" s="665">
        <v>12175.0</v>
      </c>
      <c r="L1990" s="665">
        <v>4497935.0</v>
      </c>
      <c r="M1990" s="665">
        <v>4.3</v>
      </c>
      <c r="N1990" s="1">
        <v>25.1031</v>
      </c>
      <c r="O1990" s="1">
        <v>12175.0</v>
      </c>
      <c r="P1990" s="1">
        <v>4497935.0</v>
      </c>
      <c r="Q1990" s="1">
        <v>4.3021</v>
      </c>
      <c r="R1990" s="1">
        <v>7484.0</v>
      </c>
    </row>
    <row r="1991">
      <c r="A1991" s="663" t="s">
        <v>2353</v>
      </c>
      <c r="B1991" s="663" t="s">
        <v>180</v>
      </c>
      <c r="C1991" s="663" t="s">
        <v>55</v>
      </c>
      <c r="D1991" s="663" t="s">
        <v>2234</v>
      </c>
      <c r="E1991" s="664" t="s">
        <v>42</v>
      </c>
      <c r="F1991" s="665">
        <v>2830.0</v>
      </c>
      <c r="G1991" s="665">
        <v>21.0</v>
      </c>
      <c r="H1991" s="665">
        <v>0.74</v>
      </c>
      <c r="I1991" s="665">
        <v>0.02</v>
      </c>
      <c r="J1991" s="665">
        <v>0.03</v>
      </c>
      <c r="K1991" s="665">
        <v>1035.0</v>
      </c>
      <c r="L1991" s="665">
        <v>4497935.0</v>
      </c>
      <c r="M1991" s="665">
        <v>0.37</v>
      </c>
      <c r="N1991" s="1">
        <v>49.2857</v>
      </c>
      <c r="O1991" s="1">
        <v>1035.0</v>
      </c>
      <c r="P1991" s="1">
        <v>4497935.0</v>
      </c>
      <c r="Q1991" s="1">
        <v>0.3657</v>
      </c>
      <c r="R1991" s="1">
        <v>7484.0</v>
      </c>
    </row>
    <row r="1992">
      <c r="A1992" s="663" t="s">
        <v>2353</v>
      </c>
      <c r="B1992" s="663" t="s">
        <v>1192</v>
      </c>
      <c r="C1992" s="663" t="s">
        <v>50</v>
      </c>
      <c r="D1992" s="663" t="s">
        <v>599</v>
      </c>
      <c r="E1992" s="664" t="s">
        <v>418</v>
      </c>
      <c r="F1992" s="665">
        <v>477.0</v>
      </c>
      <c r="G1992" s="665">
        <v>471.0</v>
      </c>
      <c r="H1992" s="665">
        <v>98.74</v>
      </c>
      <c r="I1992" s="665">
        <v>30.52</v>
      </c>
      <c r="J1992" s="665">
        <v>29.28</v>
      </c>
      <c r="K1992" s="665">
        <v>1853.0</v>
      </c>
      <c r="L1992" s="665">
        <v>6071.0</v>
      </c>
      <c r="M1992" s="665">
        <v>3.88</v>
      </c>
      <c r="N1992" s="1">
        <v>3.9342</v>
      </c>
      <c r="O1992" s="1">
        <v>1853.0</v>
      </c>
      <c r="P1992" s="1">
        <v>6071.0</v>
      </c>
      <c r="Q1992" s="1">
        <v>3.8847</v>
      </c>
      <c r="R1992" s="1">
        <v>1533.0</v>
      </c>
    </row>
    <row r="1993">
      <c r="A1993" s="663" t="s">
        <v>2353</v>
      </c>
      <c r="B1993" s="663" t="s">
        <v>1192</v>
      </c>
      <c r="C1993" s="663" t="s">
        <v>50</v>
      </c>
      <c r="D1993" s="663" t="s">
        <v>599</v>
      </c>
      <c r="E1993" s="664" t="s">
        <v>396</v>
      </c>
      <c r="F1993" s="665">
        <v>477.0</v>
      </c>
      <c r="G1993" s="665">
        <v>375.0</v>
      </c>
      <c r="H1993" s="665">
        <v>78.62</v>
      </c>
      <c r="I1993" s="665">
        <v>17.9</v>
      </c>
      <c r="J1993" s="665">
        <v>22.01</v>
      </c>
      <c r="K1993" s="665">
        <v>1087.0</v>
      </c>
      <c r="L1993" s="665">
        <v>6071.0</v>
      </c>
      <c r="M1993" s="665">
        <v>2.28</v>
      </c>
      <c r="N1993" s="1">
        <v>2.8987</v>
      </c>
      <c r="O1993" s="1">
        <v>1087.0</v>
      </c>
      <c r="P1993" s="1">
        <v>6071.0</v>
      </c>
      <c r="Q1993" s="1">
        <v>2.2788</v>
      </c>
      <c r="R1993" s="1">
        <v>1533.0</v>
      </c>
    </row>
    <row r="1994">
      <c r="A1994" s="663" t="s">
        <v>2353</v>
      </c>
      <c r="B1994" s="663" t="s">
        <v>1192</v>
      </c>
      <c r="C1994" s="663" t="s">
        <v>50</v>
      </c>
      <c r="D1994" s="663" t="s">
        <v>599</v>
      </c>
      <c r="E1994" s="664" t="s">
        <v>14</v>
      </c>
      <c r="F1994" s="665">
        <v>477.0</v>
      </c>
      <c r="G1994" s="665">
        <v>287.0</v>
      </c>
      <c r="H1994" s="665">
        <v>60.17</v>
      </c>
      <c r="I1994" s="665">
        <v>13.62</v>
      </c>
      <c r="J1994" s="665">
        <v>10.37</v>
      </c>
      <c r="K1994" s="665">
        <v>827.0</v>
      </c>
      <c r="L1994" s="665">
        <v>6071.0</v>
      </c>
      <c r="M1994" s="665">
        <v>1.73</v>
      </c>
      <c r="N1994" s="1">
        <v>2.8815</v>
      </c>
      <c r="O1994" s="1">
        <v>827.0</v>
      </c>
      <c r="P1994" s="1">
        <v>6071.0</v>
      </c>
      <c r="Q1994" s="1">
        <v>1.7338</v>
      </c>
      <c r="R1994" s="1">
        <v>1533.0</v>
      </c>
    </row>
    <row r="1995">
      <c r="A1995" s="663" t="s">
        <v>2353</v>
      </c>
      <c r="B1995" s="663" t="s">
        <v>1192</v>
      </c>
      <c r="C1995" s="663" t="s">
        <v>50</v>
      </c>
      <c r="D1995" s="663" t="s">
        <v>599</v>
      </c>
      <c r="E1995" s="664" t="s">
        <v>413</v>
      </c>
      <c r="F1995" s="665">
        <v>477.0</v>
      </c>
      <c r="G1995" s="665">
        <v>256.0</v>
      </c>
      <c r="H1995" s="665">
        <v>53.67</v>
      </c>
      <c r="I1995" s="665">
        <v>10.76</v>
      </c>
      <c r="J1995" s="665">
        <v>10.73</v>
      </c>
      <c r="K1995" s="665">
        <v>653.0</v>
      </c>
      <c r="L1995" s="665">
        <v>6071.0</v>
      </c>
      <c r="M1995" s="665">
        <v>1.37</v>
      </c>
      <c r="N1995" s="1">
        <v>2.5508</v>
      </c>
      <c r="O1995" s="1">
        <v>653.0</v>
      </c>
      <c r="P1995" s="1">
        <v>6071.0</v>
      </c>
      <c r="Q1995" s="1">
        <v>1.369</v>
      </c>
      <c r="R1995" s="1">
        <v>1533.0</v>
      </c>
    </row>
    <row r="1996">
      <c r="A1996" s="663" t="s">
        <v>2353</v>
      </c>
      <c r="B1996" s="663" t="s">
        <v>1192</v>
      </c>
      <c r="C1996" s="663" t="s">
        <v>50</v>
      </c>
      <c r="D1996" s="663" t="s">
        <v>599</v>
      </c>
      <c r="E1996" s="664" t="s">
        <v>411</v>
      </c>
      <c r="F1996" s="665">
        <v>477.0</v>
      </c>
      <c r="G1996" s="665">
        <v>352.0</v>
      </c>
      <c r="H1996" s="665">
        <v>73.79</v>
      </c>
      <c r="I1996" s="665">
        <v>10.23</v>
      </c>
      <c r="J1996" s="665">
        <v>10.74</v>
      </c>
      <c r="K1996" s="665">
        <v>621.0</v>
      </c>
      <c r="L1996" s="665">
        <v>6071.0</v>
      </c>
      <c r="M1996" s="665">
        <v>1.3</v>
      </c>
      <c r="N1996" s="1">
        <v>1.7642</v>
      </c>
      <c r="O1996" s="1">
        <v>621.0</v>
      </c>
      <c r="P1996" s="1">
        <v>6071.0</v>
      </c>
      <c r="Q1996" s="1">
        <v>1.3019</v>
      </c>
      <c r="R1996" s="1">
        <v>1533.0</v>
      </c>
    </row>
    <row r="1997">
      <c r="A1997" s="663" t="s">
        <v>2353</v>
      </c>
      <c r="B1997" s="663" t="s">
        <v>1192</v>
      </c>
      <c r="C1997" s="663" t="s">
        <v>50</v>
      </c>
      <c r="D1997" s="663" t="s">
        <v>599</v>
      </c>
      <c r="E1997" s="664" t="s">
        <v>9</v>
      </c>
      <c r="F1997" s="665">
        <v>477.0</v>
      </c>
      <c r="G1997" s="665">
        <v>301.0</v>
      </c>
      <c r="H1997" s="665">
        <v>63.1</v>
      </c>
      <c r="I1997" s="665">
        <v>5.73</v>
      </c>
      <c r="J1997" s="665">
        <v>6.8</v>
      </c>
      <c r="K1997" s="665">
        <v>348.0</v>
      </c>
      <c r="L1997" s="665">
        <v>6071.0</v>
      </c>
      <c r="M1997" s="665">
        <v>0.73</v>
      </c>
      <c r="N1997" s="1">
        <v>1.1561</v>
      </c>
      <c r="O1997" s="1">
        <v>348.0</v>
      </c>
      <c r="P1997" s="1">
        <v>6071.0</v>
      </c>
      <c r="Q1997" s="1">
        <v>0.7296</v>
      </c>
      <c r="R1997" s="1">
        <v>1533.0</v>
      </c>
    </row>
    <row r="1998">
      <c r="A1998" s="663" t="s">
        <v>2353</v>
      </c>
      <c r="B1998" s="663" t="s">
        <v>1192</v>
      </c>
      <c r="C1998" s="663" t="s">
        <v>50</v>
      </c>
      <c r="D1998" s="663" t="s">
        <v>599</v>
      </c>
      <c r="E1998" s="664" t="s">
        <v>51</v>
      </c>
      <c r="F1998" s="665">
        <v>477.0</v>
      </c>
      <c r="G1998" s="665">
        <v>152.0</v>
      </c>
      <c r="H1998" s="665">
        <v>31.87</v>
      </c>
      <c r="I1998" s="665">
        <v>4.46</v>
      </c>
      <c r="J1998" s="665">
        <v>4.03</v>
      </c>
      <c r="K1998" s="665">
        <v>271.0</v>
      </c>
      <c r="L1998" s="665">
        <v>6071.0</v>
      </c>
      <c r="M1998" s="665">
        <v>0.57</v>
      </c>
      <c r="N1998" s="1">
        <v>1.7829</v>
      </c>
      <c r="O1998" s="1">
        <v>271.0</v>
      </c>
      <c r="P1998" s="1">
        <v>6071.0</v>
      </c>
      <c r="Q1998" s="1">
        <v>0.5681</v>
      </c>
      <c r="R1998" s="1">
        <v>1533.0</v>
      </c>
    </row>
    <row r="1999">
      <c r="A1999" s="663" t="s">
        <v>2353</v>
      </c>
      <c r="B1999" s="663" t="s">
        <v>1192</v>
      </c>
      <c r="C1999" s="663" t="s">
        <v>50</v>
      </c>
      <c r="D1999" s="663" t="s">
        <v>599</v>
      </c>
      <c r="E1999" s="664" t="s">
        <v>16</v>
      </c>
      <c r="F1999" s="665">
        <v>477.0</v>
      </c>
      <c r="G1999" s="665">
        <v>95.0</v>
      </c>
      <c r="H1999" s="665">
        <v>19.92</v>
      </c>
      <c r="I1999" s="665">
        <v>1.86</v>
      </c>
      <c r="J1999" s="665">
        <v>2.03</v>
      </c>
      <c r="K1999" s="665">
        <v>113.0</v>
      </c>
      <c r="L1999" s="665">
        <v>6071.0</v>
      </c>
      <c r="M1999" s="665">
        <v>0.24</v>
      </c>
      <c r="N1999" s="1">
        <v>1.1895</v>
      </c>
      <c r="O1999" s="1">
        <v>113.0</v>
      </c>
      <c r="P1999" s="1">
        <v>6071.0</v>
      </c>
      <c r="Q1999" s="1">
        <v>0.2369</v>
      </c>
      <c r="R1999" s="1">
        <v>1533.0</v>
      </c>
    </row>
    <row r="2000">
      <c r="A2000" s="663" t="s">
        <v>2353</v>
      </c>
      <c r="B2000" s="663" t="s">
        <v>1192</v>
      </c>
      <c r="C2000" s="663" t="s">
        <v>50</v>
      </c>
      <c r="D2000" s="663" t="s">
        <v>599</v>
      </c>
      <c r="E2000" s="664" t="s">
        <v>42</v>
      </c>
      <c r="F2000" s="664">
        <v>477.0</v>
      </c>
      <c r="G2000" s="664">
        <v>78.0</v>
      </c>
      <c r="H2000" s="664">
        <v>16.35</v>
      </c>
      <c r="I2000" s="664">
        <v>1.53</v>
      </c>
      <c r="J2000" s="664">
        <v>1.35</v>
      </c>
      <c r="K2000" s="664">
        <v>93.0</v>
      </c>
      <c r="L2000" s="664">
        <v>6071.0</v>
      </c>
      <c r="M2000" s="664">
        <v>0.195</v>
      </c>
      <c r="N2000" s="1">
        <v>1.1923</v>
      </c>
      <c r="O2000" s="1">
        <v>93.0</v>
      </c>
      <c r="P2000" s="1">
        <v>6071.0</v>
      </c>
      <c r="Q2000" s="1">
        <v>0.195</v>
      </c>
      <c r="R2000" s="1">
        <v>1533.0</v>
      </c>
    </row>
    <row r="2001">
      <c r="A2001" s="663" t="s">
        <v>2353</v>
      </c>
      <c r="B2001" s="663" t="s">
        <v>1192</v>
      </c>
      <c r="C2001" s="663" t="s">
        <v>50</v>
      </c>
      <c r="D2001" s="663" t="s">
        <v>599</v>
      </c>
      <c r="E2001" s="664" t="s">
        <v>401</v>
      </c>
      <c r="F2001" s="664">
        <v>477.0</v>
      </c>
      <c r="G2001" s="664">
        <v>66.0</v>
      </c>
      <c r="H2001" s="664">
        <v>13.84</v>
      </c>
      <c r="I2001" s="664">
        <v>1.1</v>
      </c>
      <c r="J2001" s="664">
        <v>0.96</v>
      </c>
      <c r="K2001" s="664">
        <v>67.0</v>
      </c>
      <c r="L2001" s="664">
        <v>6071.0</v>
      </c>
      <c r="M2001" s="664">
        <v>0.1405</v>
      </c>
      <c r="N2001" s="1">
        <v>1.0152</v>
      </c>
      <c r="O2001" s="1">
        <v>67.0</v>
      </c>
      <c r="P2001" s="1">
        <v>6071.0</v>
      </c>
      <c r="Q2001" s="1">
        <v>0.1405</v>
      </c>
      <c r="R2001" s="1">
        <v>1533.0</v>
      </c>
    </row>
    <row r="2002">
      <c r="A2002" s="663" t="s">
        <v>2353</v>
      </c>
      <c r="B2002" s="663" t="s">
        <v>1192</v>
      </c>
      <c r="C2002" s="663" t="s">
        <v>50</v>
      </c>
      <c r="D2002" s="663" t="s">
        <v>599</v>
      </c>
      <c r="E2002" s="664" t="s">
        <v>63</v>
      </c>
      <c r="F2002" s="664">
        <v>477.0</v>
      </c>
      <c r="G2002" s="664">
        <v>53.0</v>
      </c>
      <c r="H2002" s="664">
        <v>11.11</v>
      </c>
      <c r="I2002" s="664">
        <v>1.02</v>
      </c>
      <c r="J2002" s="664">
        <v>0.73</v>
      </c>
      <c r="K2002" s="664">
        <v>62.0</v>
      </c>
      <c r="L2002" s="664">
        <v>6071.0</v>
      </c>
      <c r="M2002" s="664">
        <v>0.13</v>
      </c>
      <c r="N2002" s="1">
        <v>1.1698</v>
      </c>
      <c r="O2002" s="1">
        <v>62.0</v>
      </c>
      <c r="P2002" s="1">
        <v>6071.0</v>
      </c>
      <c r="Q2002" s="1">
        <v>0.13</v>
      </c>
      <c r="R2002" s="1">
        <v>1533.0</v>
      </c>
    </row>
    <row r="2003">
      <c r="A2003" s="663" t="s">
        <v>2353</v>
      </c>
      <c r="B2003" s="663" t="s">
        <v>1192</v>
      </c>
      <c r="C2003" s="663" t="s">
        <v>50</v>
      </c>
      <c r="D2003" s="663" t="s">
        <v>599</v>
      </c>
      <c r="E2003" s="664" t="s">
        <v>206</v>
      </c>
      <c r="F2003" s="664">
        <v>477.0</v>
      </c>
      <c r="G2003" s="664">
        <v>39.0</v>
      </c>
      <c r="H2003" s="664">
        <v>8.18</v>
      </c>
      <c r="I2003" s="664">
        <v>0.64</v>
      </c>
      <c r="J2003" s="664">
        <v>0.37</v>
      </c>
      <c r="K2003" s="664">
        <v>39.0</v>
      </c>
      <c r="L2003" s="664">
        <v>6071.0</v>
      </c>
      <c r="M2003" s="664">
        <v>0.0818</v>
      </c>
      <c r="N2003" s="1">
        <v>1.0</v>
      </c>
      <c r="O2003" s="1">
        <v>39.0</v>
      </c>
      <c r="P2003" s="1">
        <v>6071.0</v>
      </c>
      <c r="Q2003" s="1">
        <v>0.0818</v>
      </c>
      <c r="R2003" s="1">
        <v>1533.0</v>
      </c>
    </row>
    <row r="2004">
      <c r="A2004" s="663" t="s">
        <v>2353</v>
      </c>
      <c r="B2004" s="663" t="s">
        <v>1192</v>
      </c>
      <c r="C2004" s="663" t="s">
        <v>50</v>
      </c>
      <c r="D2004" s="663" t="s">
        <v>599</v>
      </c>
      <c r="E2004" s="664" t="s">
        <v>73</v>
      </c>
      <c r="F2004" s="664">
        <v>477.0</v>
      </c>
      <c r="G2004" s="664">
        <v>27.0</v>
      </c>
      <c r="H2004" s="664">
        <v>5.66</v>
      </c>
      <c r="I2004" s="664">
        <v>0.44</v>
      </c>
      <c r="J2004" s="664">
        <v>0.45</v>
      </c>
      <c r="K2004" s="664">
        <v>27.0</v>
      </c>
      <c r="L2004" s="664">
        <v>6071.0</v>
      </c>
      <c r="M2004" s="664">
        <v>0.0566</v>
      </c>
      <c r="N2004" s="1">
        <v>1.0</v>
      </c>
      <c r="O2004" s="1">
        <v>27.0</v>
      </c>
      <c r="P2004" s="1">
        <v>6071.0</v>
      </c>
      <c r="Q2004" s="1">
        <v>0.0566</v>
      </c>
      <c r="R2004" s="1">
        <v>1533.0</v>
      </c>
    </row>
    <row r="2005">
      <c r="A2005" s="663" t="s">
        <v>2353</v>
      </c>
      <c r="B2005" s="663" t="s">
        <v>1192</v>
      </c>
      <c r="C2005" s="663" t="s">
        <v>50</v>
      </c>
      <c r="D2005" s="663" t="s">
        <v>599</v>
      </c>
      <c r="E2005" s="664" t="s">
        <v>7</v>
      </c>
      <c r="F2005" s="664">
        <v>477.0</v>
      </c>
      <c r="G2005" s="664">
        <v>9.0</v>
      </c>
      <c r="H2005" s="664">
        <v>1.89</v>
      </c>
      <c r="I2005" s="664">
        <v>0.15</v>
      </c>
      <c r="J2005" s="664">
        <v>0.15</v>
      </c>
      <c r="K2005" s="664">
        <v>9.0</v>
      </c>
      <c r="L2005" s="664">
        <v>6071.0</v>
      </c>
      <c r="M2005" s="664">
        <v>0.0189</v>
      </c>
      <c r="N2005" s="1">
        <v>1.0</v>
      </c>
      <c r="O2005" s="1">
        <v>9.0</v>
      </c>
      <c r="P2005" s="1">
        <v>6071.0</v>
      </c>
      <c r="Q2005" s="1">
        <v>0.0189</v>
      </c>
      <c r="R2005" s="1">
        <v>1533.0</v>
      </c>
    </row>
    <row r="2006">
      <c r="A2006" s="663" t="s">
        <v>2353</v>
      </c>
      <c r="B2006" s="663" t="s">
        <v>1192</v>
      </c>
      <c r="C2006" s="663" t="s">
        <v>50</v>
      </c>
      <c r="D2006" s="663" t="s">
        <v>599</v>
      </c>
      <c r="E2006" s="664" t="s">
        <v>393</v>
      </c>
      <c r="F2006" s="664">
        <v>477.0</v>
      </c>
      <c r="G2006" s="664">
        <v>1.0</v>
      </c>
      <c r="H2006" s="664">
        <v>0.21</v>
      </c>
      <c r="I2006" s="664">
        <v>0.02</v>
      </c>
      <c r="J2006" s="664">
        <v>0.02</v>
      </c>
      <c r="K2006" s="664">
        <v>1.0</v>
      </c>
      <c r="L2006" s="664">
        <v>6071.0</v>
      </c>
      <c r="M2006" s="664">
        <v>0.0021</v>
      </c>
      <c r="N2006" s="1">
        <v>1.0</v>
      </c>
      <c r="O2006" s="1">
        <v>1.0</v>
      </c>
      <c r="P2006" s="1">
        <v>6071.0</v>
      </c>
      <c r="Q2006" s="1">
        <v>0.0021</v>
      </c>
      <c r="R2006" s="1">
        <v>1533.0</v>
      </c>
    </row>
    <row r="2007">
      <c r="A2007" s="663" t="s">
        <v>2353</v>
      </c>
      <c r="B2007" s="663" t="s">
        <v>1192</v>
      </c>
      <c r="C2007" s="663" t="s">
        <v>48</v>
      </c>
      <c r="D2007" s="663" t="s">
        <v>599</v>
      </c>
      <c r="E2007" s="664" t="s">
        <v>418</v>
      </c>
      <c r="F2007" s="664">
        <v>479.0</v>
      </c>
      <c r="G2007" s="664">
        <v>471.0</v>
      </c>
      <c r="H2007" s="664">
        <v>98.33</v>
      </c>
      <c r="I2007" s="664">
        <v>24.58</v>
      </c>
      <c r="J2007" s="664">
        <v>23.36</v>
      </c>
      <c r="K2007" s="664">
        <v>1851.0</v>
      </c>
      <c r="L2007" s="664">
        <v>7529.0</v>
      </c>
      <c r="M2007" s="664">
        <v>3.8643</v>
      </c>
      <c r="N2007" s="1">
        <v>3.9299</v>
      </c>
      <c r="O2007" s="1">
        <v>1851.0</v>
      </c>
      <c r="P2007" s="1">
        <v>7529.0</v>
      </c>
      <c r="Q2007" s="1">
        <v>3.8643</v>
      </c>
      <c r="R2007" s="1">
        <v>1533.0</v>
      </c>
    </row>
    <row r="2008">
      <c r="A2008" s="663" t="s">
        <v>2353</v>
      </c>
      <c r="B2008" s="663" t="s">
        <v>1192</v>
      </c>
      <c r="C2008" s="663" t="s">
        <v>48</v>
      </c>
      <c r="D2008" s="663" t="s">
        <v>599</v>
      </c>
      <c r="E2008" s="664" t="s">
        <v>396</v>
      </c>
      <c r="F2008" s="664">
        <v>479.0</v>
      </c>
      <c r="G2008" s="664">
        <v>380.0</v>
      </c>
      <c r="H2008" s="664">
        <v>79.33</v>
      </c>
      <c r="I2008" s="664">
        <v>18.58</v>
      </c>
      <c r="J2008" s="664">
        <v>18.63</v>
      </c>
      <c r="K2008" s="664">
        <v>1399.0</v>
      </c>
      <c r="L2008" s="664">
        <v>7529.0</v>
      </c>
      <c r="M2008" s="664">
        <v>2.9207</v>
      </c>
      <c r="N2008" s="1">
        <v>3.6816</v>
      </c>
      <c r="O2008" s="1">
        <v>1399.0</v>
      </c>
      <c r="P2008" s="1">
        <v>7529.0</v>
      </c>
      <c r="Q2008" s="1">
        <v>2.9207</v>
      </c>
      <c r="R2008" s="1">
        <v>1533.0</v>
      </c>
    </row>
    <row r="2009">
      <c r="A2009" s="663" t="s">
        <v>2353</v>
      </c>
      <c r="B2009" s="663" t="s">
        <v>1192</v>
      </c>
      <c r="C2009" s="663" t="s">
        <v>48</v>
      </c>
      <c r="D2009" s="663" t="s">
        <v>599</v>
      </c>
      <c r="E2009" s="664" t="s">
        <v>413</v>
      </c>
      <c r="F2009" s="664">
        <v>479.0</v>
      </c>
      <c r="G2009" s="664">
        <v>333.0</v>
      </c>
      <c r="H2009" s="664">
        <v>69.52</v>
      </c>
      <c r="I2009" s="664">
        <v>17.49</v>
      </c>
      <c r="J2009" s="664">
        <v>17.65</v>
      </c>
      <c r="K2009" s="664">
        <v>1317.0</v>
      </c>
      <c r="L2009" s="664">
        <v>7529.0</v>
      </c>
      <c r="M2009" s="664">
        <v>2.7495</v>
      </c>
      <c r="N2009" s="1">
        <v>3.955</v>
      </c>
      <c r="O2009" s="1">
        <v>1317.0</v>
      </c>
      <c r="P2009" s="1">
        <v>7529.0</v>
      </c>
      <c r="Q2009" s="1">
        <v>2.7495</v>
      </c>
      <c r="R2009" s="1">
        <v>1533.0</v>
      </c>
    </row>
    <row r="2010">
      <c r="A2010" s="663" t="s">
        <v>2353</v>
      </c>
      <c r="B2010" s="663" t="s">
        <v>1192</v>
      </c>
      <c r="C2010" s="663" t="s">
        <v>48</v>
      </c>
      <c r="D2010" s="663" t="s">
        <v>599</v>
      </c>
      <c r="E2010" s="664" t="s">
        <v>14</v>
      </c>
      <c r="F2010" s="664">
        <v>479.0</v>
      </c>
      <c r="G2010" s="664">
        <v>340.0</v>
      </c>
      <c r="H2010" s="664">
        <v>70.98</v>
      </c>
      <c r="I2010" s="664">
        <v>10.76</v>
      </c>
      <c r="J2010" s="664">
        <v>10.91</v>
      </c>
      <c r="K2010" s="664">
        <v>810.0</v>
      </c>
      <c r="L2010" s="664">
        <v>7529.0</v>
      </c>
      <c r="M2010" s="664">
        <v>1.691</v>
      </c>
      <c r="N2010" s="1">
        <v>2.3824</v>
      </c>
      <c r="O2010" s="1">
        <v>810.0</v>
      </c>
      <c r="P2010" s="1">
        <v>7529.0</v>
      </c>
      <c r="Q2010" s="1">
        <v>1.691</v>
      </c>
      <c r="R2010" s="1">
        <v>1533.0</v>
      </c>
    </row>
    <row r="2011">
      <c r="A2011" s="663" t="s">
        <v>2353</v>
      </c>
      <c r="B2011" s="663" t="s">
        <v>1192</v>
      </c>
      <c r="C2011" s="663" t="s">
        <v>48</v>
      </c>
      <c r="D2011" s="663" t="s">
        <v>599</v>
      </c>
      <c r="E2011" s="664" t="s">
        <v>411</v>
      </c>
      <c r="F2011" s="664">
        <v>479.0</v>
      </c>
      <c r="G2011" s="664">
        <v>354.0</v>
      </c>
      <c r="H2011" s="664">
        <v>73.9</v>
      </c>
      <c r="I2011" s="664">
        <v>8.27</v>
      </c>
      <c r="J2011" s="664">
        <v>7.93</v>
      </c>
      <c r="K2011" s="664">
        <v>623.0</v>
      </c>
      <c r="L2011" s="664">
        <v>7529.0</v>
      </c>
      <c r="M2011" s="664">
        <v>1.3006</v>
      </c>
      <c r="N2011" s="1">
        <v>1.7599</v>
      </c>
      <c r="O2011" s="1">
        <v>623.0</v>
      </c>
      <c r="P2011" s="1">
        <v>7529.0</v>
      </c>
      <c r="Q2011" s="1">
        <v>1.3006</v>
      </c>
      <c r="R2011" s="1">
        <v>1533.0</v>
      </c>
    </row>
    <row r="2012">
      <c r="A2012" s="663" t="s">
        <v>2353</v>
      </c>
      <c r="B2012" s="663" t="s">
        <v>1192</v>
      </c>
      <c r="C2012" s="663" t="s">
        <v>48</v>
      </c>
      <c r="D2012" s="663" t="s">
        <v>599</v>
      </c>
      <c r="E2012" s="664" t="s">
        <v>398</v>
      </c>
      <c r="F2012" s="664">
        <v>479.0</v>
      </c>
      <c r="G2012" s="664">
        <v>307.0</v>
      </c>
      <c r="H2012" s="664">
        <v>64.09</v>
      </c>
      <c r="I2012" s="664">
        <v>6.32</v>
      </c>
      <c r="J2012" s="664">
        <v>6.93</v>
      </c>
      <c r="K2012" s="664">
        <v>476.0</v>
      </c>
      <c r="L2012" s="664">
        <v>7529.0</v>
      </c>
      <c r="M2012" s="664">
        <v>0.9937</v>
      </c>
      <c r="N2012" s="1">
        <v>1.5505</v>
      </c>
      <c r="O2012" s="1">
        <v>476.0</v>
      </c>
      <c r="P2012" s="1">
        <v>7529.0</v>
      </c>
      <c r="Q2012" s="1">
        <v>0.9937</v>
      </c>
      <c r="R2012" s="1">
        <v>1533.0</v>
      </c>
    </row>
    <row r="2013">
      <c r="A2013" s="663" t="s">
        <v>2353</v>
      </c>
      <c r="B2013" s="663" t="s">
        <v>1192</v>
      </c>
      <c r="C2013" s="663" t="s">
        <v>48</v>
      </c>
      <c r="D2013" s="663" t="s">
        <v>599</v>
      </c>
      <c r="E2013" s="664" t="s">
        <v>9</v>
      </c>
      <c r="F2013" s="664">
        <v>479.0</v>
      </c>
      <c r="G2013" s="664">
        <v>308.0</v>
      </c>
      <c r="H2013" s="664">
        <v>64.3</v>
      </c>
      <c r="I2013" s="664">
        <v>4.75</v>
      </c>
      <c r="J2013" s="664">
        <v>5.36</v>
      </c>
      <c r="K2013" s="664">
        <v>358.0</v>
      </c>
      <c r="L2013" s="664">
        <v>7529.0</v>
      </c>
      <c r="M2013" s="664">
        <v>0.7474</v>
      </c>
      <c r="N2013" s="1">
        <v>1.1623</v>
      </c>
      <c r="O2013" s="1">
        <v>358.0</v>
      </c>
      <c r="P2013" s="1">
        <v>7529.0</v>
      </c>
      <c r="Q2013" s="1">
        <v>0.7474</v>
      </c>
      <c r="R2013" s="1">
        <v>1533.0</v>
      </c>
    </row>
    <row r="2014">
      <c r="A2014" s="663" t="s">
        <v>2353</v>
      </c>
      <c r="B2014" s="663" t="s">
        <v>1192</v>
      </c>
      <c r="C2014" s="663" t="s">
        <v>48</v>
      </c>
      <c r="D2014" s="663" t="s">
        <v>599</v>
      </c>
      <c r="E2014" s="664" t="s">
        <v>51</v>
      </c>
      <c r="F2014" s="664">
        <v>479.0</v>
      </c>
      <c r="G2014" s="664">
        <v>152.0</v>
      </c>
      <c r="H2014" s="664">
        <v>31.73</v>
      </c>
      <c r="I2014" s="664">
        <v>3.6</v>
      </c>
      <c r="J2014" s="664">
        <v>3.66</v>
      </c>
      <c r="K2014" s="664">
        <v>271.0</v>
      </c>
      <c r="L2014" s="664">
        <v>7529.0</v>
      </c>
      <c r="M2014" s="664">
        <v>0.5658</v>
      </c>
      <c r="N2014" s="1">
        <v>1.7829</v>
      </c>
      <c r="O2014" s="1">
        <v>271.0</v>
      </c>
      <c r="P2014" s="1">
        <v>7529.0</v>
      </c>
      <c r="Q2014" s="1">
        <v>0.5658</v>
      </c>
      <c r="R2014" s="1">
        <v>1533.0</v>
      </c>
    </row>
    <row r="2015">
      <c r="A2015" s="663" t="s">
        <v>2353</v>
      </c>
      <c r="B2015" s="663" t="s">
        <v>1192</v>
      </c>
      <c r="C2015" s="663" t="s">
        <v>48</v>
      </c>
      <c r="D2015" s="663" t="s">
        <v>599</v>
      </c>
      <c r="E2015" s="664" t="s">
        <v>401</v>
      </c>
      <c r="F2015" s="664">
        <v>479.0</v>
      </c>
      <c r="G2015" s="664">
        <v>126.0</v>
      </c>
      <c r="H2015" s="664">
        <v>26.3</v>
      </c>
      <c r="I2015" s="664">
        <v>1.71</v>
      </c>
      <c r="J2015" s="664">
        <v>1.96</v>
      </c>
      <c r="K2015" s="664">
        <v>129.0</v>
      </c>
      <c r="L2015" s="664">
        <v>7529.0</v>
      </c>
      <c r="M2015" s="664">
        <v>0.2693</v>
      </c>
      <c r="N2015" s="1">
        <v>1.0238</v>
      </c>
      <c r="O2015" s="1">
        <v>129.0</v>
      </c>
      <c r="P2015" s="1">
        <v>7529.0</v>
      </c>
      <c r="Q2015" s="1">
        <v>0.2693</v>
      </c>
      <c r="R2015" s="1">
        <v>1533.0</v>
      </c>
    </row>
    <row r="2016">
      <c r="A2016" s="663" t="s">
        <v>2353</v>
      </c>
      <c r="B2016" s="663" t="s">
        <v>1192</v>
      </c>
      <c r="C2016" s="663" t="s">
        <v>48</v>
      </c>
      <c r="D2016" s="663" t="s">
        <v>599</v>
      </c>
      <c r="E2016" s="664" t="s">
        <v>206</v>
      </c>
      <c r="F2016" s="664">
        <v>479.0</v>
      </c>
      <c r="G2016" s="664">
        <v>106.0</v>
      </c>
      <c r="H2016" s="664">
        <v>22.13</v>
      </c>
      <c r="I2016" s="664">
        <v>1.45</v>
      </c>
      <c r="J2016" s="664">
        <v>1.39</v>
      </c>
      <c r="K2016" s="664">
        <v>109.0</v>
      </c>
      <c r="L2016" s="664">
        <v>7529.0</v>
      </c>
      <c r="M2016" s="664">
        <v>0.2276</v>
      </c>
      <c r="N2016" s="1">
        <v>1.0283</v>
      </c>
      <c r="O2016" s="1">
        <v>109.0</v>
      </c>
      <c r="P2016" s="1">
        <v>7529.0</v>
      </c>
      <c r="Q2016" s="1">
        <v>0.2276</v>
      </c>
      <c r="R2016" s="1">
        <v>1533.0</v>
      </c>
    </row>
    <row r="2017">
      <c r="A2017" s="663" t="s">
        <v>2353</v>
      </c>
      <c r="B2017" s="663" t="s">
        <v>1192</v>
      </c>
      <c r="C2017" s="663" t="s">
        <v>48</v>
      </c>
      <c r="D2017" s="663" t="s">
        <v>599</v>
      </c>
      <c r="E2017" s="664" t="s">
        <v>73</v>
      </c>
      <c r="F2017" s="664">
        <v>479.0</v>
      </c>
      <c r="G2017" s="664">
        <v>70.0</v>
      </c>
      <c r="H2017" s="664">
        <v>14.61</v>
      </c>
      <c r="I2017" s="664">
        <v>0.98</v>
      </c>
      <c r="J2017" s="664">
        <v>0.97</v>
      </c>
      <c r="K2017" s="664">
        <v>74.0</v>
      </c>
      <c r="L2017" s="664">
        <v>7529.0</v>
      </c>
      <c r="M2017" s="664">
        <v>0.1545</v>
      </c>
      <c r="N2017" s="1">
        <v>1.0571</v>
      </c>
      <c r="O2017" s="1">
        <v>74.0</v>
      </c>
      <c r="P2017" s="1">
        <v>7529.0</v>
      </c>
      <c r="Q2017" s="1">
        <v>0.1545</v>
      </c>
      <c r="R2017" s="1">
        <v>1533.0</v>
      </c>
    </row>
    <row r="2018">
      <c r="A2018" s="663" t="s">
        <v>2353</v>
      </c>
      <c r="B2018" s="663" t="s">
        <v>1192</v>
      </c>
      <c r="C2018" s="663" t="s">
        <v>48</v>
      </c>
      <c r="D2018" s="663" t="s">
        <v>599</v>
      </c>
      <c r="E2018" s="664" t="s">
        <v>42</v>
      </c>
      <c r="F2018" s="664">
        <v>479.0</v>
      </c>
      <c r="G2018" s="664">
        <v>30.0</v>
      </c>
      <c r="H2018" s="664">
        <v>6.26</v>
      </c>
      <c r="I2018" s="664">
        <v>0.5</v>
      </c>
      <c r="J2018" s="664">
        <v>0.34</v>
      </c>
      <c r="K2018" s="664">
        <v>38.0</v>
      </c>
      <c r="L2018" s="664">
        <v>7529.0</v>
      </c>
      <c r="M2018" s="664">
        <v>0.0793</v>
      </c>
      <c r="N2018" s="1">
        <v>1.2667</v>
      </c>
      <c r="O2018" s="1">
        <v>38.0</v>
      </c>
      <c r="P2018" s="1">
        <v>7529.0</v>
      </c>
      <c r="Q2018" s="1">
        <v>0.0793</v>
      </c>
      <c r="R2018" s="1">
        <v>1533.0</v>
      </c>
    </row>
    <row r="2019">
      <c r="A2019" s="663" t="s">
        <v>2353</v>
      </c>
      <c r="B2019" s="663" t="s">
        <v>1192</v>
      </c>
      <c r="C2019" s="663" t="s">
        <v>48</v>
      </c>
      <c r="D2019" s="663" t="s">
        <v>599</v>
      </c>
      <c r="E2019" s="664" t="s">
        <v>63</v>
      </c>
      <c r="F2019" s="664">
        <v>479.0</v>
      </c>
      <c r="G2019" s="664">
        <v>29.0</v>
      </c>
      <c r="H2019" s="664">
        <v>6.05</v>
      </c>
      <c r="I2019" s="664">
        <v>0.4</v>
      </c>
      <c r="J2019" s="664">
        <v>0.34</v>
      </c>
      <c r="K2019" s="664">
        <v>30.0</v>
      </c>
      <c r="L2019" s="664">
        <v>7529.0</v>
      </c>
      <c r="M2019" s="664">
        <v>0.0626</v>
      </c>
      <c r="N2019" s="1">
        <v>1.0345</v>
      </c>
      <c r="O2019" s="1">
        <v>30.0</v>
      </c>
      <c r="P2019" s="1">
        <v>7529.0</v>
      </c>
      <c r="Q2019" s="1">
        <v>0.0626</v>
      </c>
      <c r="R2019" s="1">
        <v>1533.0</v>
      </c>
    </row>
    <row r="2020">
      <c r="A2020" s="663" t="s">
        <v>2353</v>
      </c>
      <c r="B2020" s="663" t="s">
        <v>1192</v>
      </c>
      <c r="C2020" s="663" t="s">
        <v>48</v>
      </c>
      <c r="D2020" s="663" t="s">
        <v>599</v>
      </c>
      <c r="E2020" s="664" t="s">
        <v>16</v>
      </c>
      <c r="F2020" s="664">
        <v>479.0</v>
      </c>
      <c r="G2020" s="664">
        <v>24.0</v>
      </c>
      <c r="H2020" s="664">
        <v>5.01</v>
      </c>
      <c r="I2020" s="664">
        <v>0.39</v>
      </c>
      <c r="J2020" s="664">
        <v>0.39</v>
      </c>
      <c r="K2020" s="664">
        <v>29.0</v>
      </c>
      <c r="L2020" s="664">
        <v>7529.0</v>
      </c>
      <c r="M2020" s="664">
        <v>0.0605</v>
      </c>
      <c r="N2020" s="1">
        <v>1.2083</v>
      </c>
      <c r="O2020" s="1">
        <v>29.0</v>
      </c>
      <c r="P2020" s="1">
        <v>7529.0</v>
      </c>
      <c r="Q2020" s="1">
        <v>0.0605</v>
      </c>
      <c r="R2020" s="1">
        <v>1533.0</v>
      </c>
    </row>
    <row r="2021">
      <c r="A2021" s="663" t="s">
        <v>2353</v>
      </c>
      <c r="B2021" s="663" t="s">
        <v>1192</v>
      </c>
      <c r="C2021" s="663" t="s">
        <v>48</v>
      </c>
      <c r="D2021" s="663" t="s">
        <v>599</v>
      </c>
      <c r="E2021" s="664" t="s">
        <v>7</v>
      </c>
      <c r="F2021" s="664">
        <v>479.0</v>
      </c>
      <c r="G2021" s="664">
        <v>9.0</v>
      </c>
      <c r="H2021" s="664">
        <v>1.88</v>
      </c>
      <c r="I2021" s="664">
        <v>0.12</v>
      </c>
      <c r="J2021" s="664">
        <v>0.1</v>
      </c>
      <c r="K2021" s="664">
        <v>9.0</v>
      </c>
      <c r="L2021" s="664">
        <v>7529.0</v>
      </c>
      <c r="M2021" s="664">
        <v>0.0188</v>
      </c>
      <c r="N2021" s="1">
        <v>1.0</v>
      </c>
      <c r="O2021" s="1">
        <v>9.0</v>
      </c>
      <c r="P2021" s="1">
        <v>7529.0</v>
      </c>
      <c r="Q2021" s="1">
        <v>0.0188</v>
      </c>
      <c r="R2021" s="1">
        <v>1533.0</v>
      </c>
    </row>
    <row r="2022">
      <c r="A2022" s="663" t="s">
        <v>2353</v>
      </c>
      <c r="B2022" s="663" t="s">
        <v>1192</v>
      </c>
      <c r="C2022" s="663" t="s">
        <v>48</v>
      </c>
      <c r="D2022" s="663" t="s">
        <v>599</v>
      </c>
      <c r="E2022" s="664" t="s">
        <v>393</v>
      </c>
      <c r="F2022" s="664">
        <v>479.0</v>
      </c>
      <c r="G2022" s="664">
        <v>5.0</v>
      </c>
      <c r="H2022" s="664">
        <v>1.04</v>
      </c>
      <c r="I2022" s="664">
        <v>0.08</v>
      </c>
      <c r="J2022" s="664">
        <v>0.07</v>
      </c>
      <c r="K2022" s="664">
        <v>6.0</v>
      </c>
      <c r="L2022" s="664">
        <v>7529.0</v>
      </c>
      <c r="M2022" s="664">
        <v>0.0125</v>
      </c>
      <c r="N2022" s="1">
        <v>1.2</v>
      </c>
      <c r="O2022" s="1">
        <v>6.0</v>
      </c>
      <c r="P2022" s="1">
        <v>7529.0</v>
      </c>
      <c r="Q2022" s="1">
        <v>0.0125</v>
      </c>
      <c r="R2022" s="1">
        <v>1533.0</v>
      </c>
    </row>
    <row r="2023">
      <c r="A2023" s="663" t="s">
        <v>2353</v>
      </c>
      <c r="B2023" s="663" t="s">
        <v>1192</v>
      </c>
      <c r="C2023" s="663" t="s">
        <v>54</v>
      </c>
      <c r="D2023" s="663" t="s">
        <v>599</v>
      </c>
      <c r="E2023" s="664" t="s">
        <v>14</v>
      </c>
      <c r="F2023" s="664">
        <v>470.0</v>
      </c>
      <c r="G2023" s="664">
        <v>341.0</v>
      </c>
      <c r="H2023" s="664">
        <v>72.55</v>
      </c>
      <c r="I2023" s="664">
        <v>53.66</v>
      </c>
      <c r="J2023" s="664">
        <v>20.35</v>
      </c>
      <c r="K2023" s="664">
        <v>3417.0</v>
      </c>
      <c r="L2023" s="664">
        <v>6368.0</v>
      </c>
      <c r="M2023" s="664">
        <v>7.2702</v>
      </c>
      <c r="N2023" s="1">
        <v>10.0205</v>
      </c>
      <c r="O2023" s="1">
        <v>3417.0</v>
      </c>
      <c r="P2023" s="1">
        <v>6368.0</v>
      </c>
      <c r="Q2023" s="1">
        <v>7.2702</v>
      </c>
      <c r="R2023" s="1">
        <v>1533.0</v>
      </c>
    </row>
    <row r="2024">
      <c r="A2024" s="663" t="s">
        <v>2353</v>
      </c>
      <c r="B2024" s="663" t="s">
        <v>1192</v>
      </c>
      <c r="C2024" s="663" t="s">
        <v>54</v>
      </c>
      <c r="D2024" s="663" t="s">
        <v>599</v>
      </c>
      <c r="E2024" s="664" t="s">
        <v>396</v>
      </c>
      <c r="F2024" s="664">
        <v>470.0</v>
      </c>
      <c r="G2024" s="664">
        <v>390.0</v>
      </c>
      <c r="H2024" s="664">
        <v>82.98</v>
      </c>
      <c r="I2024" s="664">
        <v>11.84</v>
      </c>
      <c r="J2024" s="664">
        <v>26.2</v>
      </c>
      <c r="K2024" s="664">
        <v>754.0</v>
      </c>
      <c r="L2024" s="664">
        <v>6368.0</v>
      </c>
      <c r="M2024" s="664">
        <v>1.6043</v>
      </c>
      <c r="N2024" s="1">
        <v>1.9333</v>
      </c>
      <c r="O2024" s="1">
        <v>754.0</v>
      </c>
      <c r="P2024" s="1">
        <v>6368.0</v>
      </c>
      <c r="Q2024" s="1">
        <v>1.6043</v>
      </c>
      <c r="R2024" s="1">
        <v>1533.0</v>
      </c>
    </row>
    <row r="2025">
      <c r="A2025" s="663" t="s">
        <v>2353</v>
      </c>
      <c r="B2025" s="663" t="s">
        <v>1192</v>
      </c>
      <c r="C2025" s="663" t="s">
        <v>54</v>
      </c>
      <c r="D2025" s="663" t="s">
        <v>599</v>
      </c>
      <c r="E2025" s="664" t="s">
        <v>9</v>
      </c>
      <c r="F2025" s="664">
        <v>470.0</v>
      </c>
      <c r="G2025" s="664">
        <v>300.0</v>
      </c>
      <c r="H2025" s="664">
        <v>63.83</v>
      </c>
      <c r="I2025" s="664">
        <v>5.46</v>
      </c>
      <c r="J2025" s="664">
        <v>11.59</v>
      </c>
      <c r="K2025" s="664">
        <v>348.0</v>
      </c>
      <c r="L2025" s="664">
        <v>6368.0</v>
      </c>
      <c r="M2025" s="664">
        <v>0.7404</v>
      </c>
      <c r="N2025" s="1">
        <v>1.16</v>
      </c>
      <c r="O2025" s="1">
        <v>348.0</v>
      </c>
      <c r="P2025" s="1">
        <v>6368.0</v>
      </c>
      <c r="Q2025" s="1">
        <v>0.7404</v>
      </c>
      <c r="R2025" s="1">
        <v>1533.0</v>
      </c>
    </row>
    <row r="2026">
      <c r="A2026" s="663" t="s">
        <v>2353</v>
      </c>
      <c r="B2026" s="663" t="s">
        <v>1192</v>
      </c>
      <c r="C2026" s="663" t="s">
        <v>54</v>
      </c>
      <c r="D2026" s="663" t="s">
        <v>599</v>
      </c>
      <c r="E2026" s="664" t="s">
        <v>16</v>
      </c>
      <c r="F2026" s="664">
        <v>470.0</v>
      </c>
      <c r="G2026" s="664">
        <v>145.0</v>
      </c>
      <c r="H2026" s="664">
        <v>30.85</v>
      </c>
      <c r="I2026" s="664">
        <v>4.24</v>
      </c>
      <c r="J2026" s="664">
        <v>6.22</v>
      </c>
      <c r="K2026" s="664">
        <v>270.0</v>
      </c>
      <c r="L2026" s="664">
        <v>6368.0</v>
      </c>
      <c r="M2026" s="664">
        <v>0.5745</v>
      </c>
      <c r="N2026" s="1">
        <v>1.8621</v>
      </c>
      <c r="O2026" s="1">
        <v>270.0</v>
      </c>
      <c r="P2026" s="1">
        <v>6368.0</v>
      </c>
      <c r="Q2026" s="1">
        <v>0.5745</v>
      </c>
      <c r="R2026" s="1">
        <v>1533.0</v>
      </c>
    </row>
    <row r="2027">
      <c r="A2027" s="663" t="s">
        <v>2353</v>
      </c>
      <c r="B2027" s="663" t="s">
        <v>1192</v>
      </c>
      <c r="C2027" s="663" t="s">
        <v>54</v>
      </c>
      <c r="D2027" s="663" t="s">
        <v>599</v>
      </c>
      <c r="E2027" s="664" t="s">
        <v>63</v>
      </c>
      <c r="F2027" s="664">
        <v>470.0</v>
      </c>
      <c r="G2027" s="664">
        <v>163.0</v>
      </c>
      <c r="H2027" s="664">
        <v>34.68</v>
      </c>
      <c r="I2027" s="664">
        <v>3.69</v>
      </c>
      <c r="J2027" s="664">
        <v>5.5</v>
      </c>
      <c r="K2027" s="664">
        <v>235.0</v>
      </c>
      <c r="L2027" s="664">
        <v>6368.0</v>
      </c>
      <c r="M2027" s="664">
        <v>0.5</v>
      </c>
      <c r="N2027" s="1">
        <v>1.4417</v>
      </c>
      <c r="O2027" s="1">
        <v>235.0</v>
      </c>
      <c r="P2027" s="1">
        <v>6368.0</v>
      </c>
      <c r="Q2027" s="1">
        <v>0.5</v>
      </c>
      <c r="R2027" s="1">
        <v>1533.0</v>
      </c>
    </row>
    <row r="2028">
      <c r="A2028" s="663" t="s">
        <v>2353</v>
      </c>
      <c r="B2028" s="663" t="s">
        <v>1192</v>
      </c>
      <c r="C2028" s="663" t="s">
        <v>54</v>
      </c>
      <c r="D2028" s="663" t="s">
        <v>599</v>
      </c>
      <c r="E2028" s="664" t="s">
        <v>42</v>
      </c>
      <c r="F2028" s="664">
        <v>470.0</v>
      </c>
      <c r="G2028" s="664">
        <v>162.0</v>
      </c>
      <c r="H2028" s="664">
        <v>34.47</v>
      </c>
      <c r="I2028" s="664">
        <v>3.66</v>
      </c>
      <c r="J2028" s="664">
        <v>6.8</v>
      </c>
      <c r="K2028" s="664">
        <v>233.0</v>
      </c>
      <c r="L2028" s="664">
        <v>6368.0</v>
      </c>
      <c r="M2028" s="664">
        <v>0.4957</v>
      </c>
      <c r="N2028" s="1">
        <v>1.4383</v>
      </c>
      <c r="O2028" s="1">
        <v>233.0</v>
      </c>
      <c r="P2028" s="1">
        <v>6368.0</v>
      </c>
      <c r="Q2028" s="1">
        <v>0.4957</v>
      </c>
      <c r="R2028" s="1">
        <v>1533.0</v>
      </c>
    </row>
    <row r="2029">
      <c r="A2029" s="663" t="s">
        <v>2353</v>
      </c>
      <c r="B2029" s="663" t="s">
        <v>1192</v>
      </c>
      <c r="C2029" s="663" t="s">
        <v>54</v>
      </c>
      <c r="D2029" s="663" t="s">
        <v>599</v>
      </c>
      <c r="E2029" s="664" t="s">
        <v>413</v>
      </c>
      <c r="F2029" s="664">
        <v>470.0</v>
      </c>
      <c r="G2029" s="664">
        <v>66.0</v>
      </c>
      <c r="H2029" s="664">
        <v>14.04</v>
      </c>
      <c r="I2029" s="664">
        <v>3.33</v>
      </c>
      <c r="J2029" s="664">
        <v>4.66</v>
      </c>
      <c r="K2029" s="664">
        <v>212.0</v>
      </c>
      <c r="L2029" s="664">
        <v>6368.0</v>
      </c>
      <c r="M2029" s="664">
        <v>0.4511</v>
      </c>
      <c r="N2029" s="1">
        <v>3.2121</v>
      </c>
      <c r="O2029" s="1">
        <v>212.0</v>
      </c>
      <c r="P2029" s="1">
        <v>6368.0</v>
      </c>
      <c r="Q2029" s="1">
        <v>0.4511</v>
      </c>
      <c r="R2029" s="1">
        <v>1533.0</v>
      </c>
    </row>
    <row r="2030">
      <c r="A2030" s="663" t="s">
        <v>2353</v>
      </c>
      <c r="B2030" s="663" t="s">
        <v>1192</v>
      </c>
      <c r="C2030" s="663" t="s">
        <v>54</v>
      </c>
      <c r="D2030" s="663" t="s">
        <v>599</v>
      </c>
      <c r="E2030" s="664" t="s">
        <v>411</v>
      </c>
      <c r="F2030" s="664">
        <v>470.0</v>
      </c>
      <c r="G2030" s="664">
        <v>124.0</v>
      </c>
      <c r="H2030" s="664">
        <v>26.38</v>
      </c>
      <c r="I2030" s="664">
        <v>2.92</v>
      </c>
      <c r="J2030" s="664">
        <v>3.98</v>
      </c>
      <c r="K2030" s="664">
        <v>186.0</v>
      </c>
      <c r="L2030" s="664">
        <v>6368.0</v>
      </c>
      <c r="M2030" s="664">
        <v>0.3957</v>
      </c>
      <c r="N2030" s="1">
        <v>1.5</v>
      </c>
      <c r="O2030" s="1">
        <v>186.0</v>
      </c>
      <c r="P2030" s="1">
        <v>6368.0</v>
      </c>
      <c r="Q2030" s="1">
        <v>0.3957</v>
      </c>
      <c r="R2030" s="1">
        <v>1533.0</v>
      </c>
    </row>
    <row r="2031">
      <c r="A2031" s="663" t="s">
        <v>2353</v>
      </c>
      <c r="B2031" s="663" t="s">
        <v>1192</v>
      </c>
      <c r="C2031" s="663" t="s">
        <v>54</v>
      </c>
      <c r="D2031" s="663" t="s">
        <v>599</v>
      </c>
      <c r="E2031" s="664" t="s">
        <v>398</v>
      </c>
      <c r="F2031" s="664">
        <v>470.0</v>
      </c>
      <c r="G2031" s="664">
        <v>97.0</v>
      </c>
      <c r="H2031" s="664">
        <v>20.64</v>
      </c>
      <c r="I2031" s="664">
        <v>2.32</v>
      </c>
      <c r="J2031" s="664">
        <v>3.58</v>
      </c>
      <c r="K2031" s="664">
        <v>148.0</v>
      </c>
      <c r="L2031" s="664">
        <v>6368.0</v>
      </c>
      <c r="M2031" s="664">
        <v>0.3149</v>
      </c>
      <c r="N2031" s="1">
        <v>1.5258</v>
      </c>
      <c r="O2031" s="1">
        <v>148.0</v>
      </c>
      <c r="P2031" s="1">
        <v>6368.0</v>
      </c>
      <c r="Q2031" s="1">
        <v>0.3149</v>
      </c>
      <c r="R2031" s="1">
        <v>1533.0</v>
      </c>
    </row>
    <row r="2032">
      <c r="A2032" s="663" t="s">
        <v>2353</v>
      </c>
      <c r="B2032" s="663" t="s">
        <v>1192</v>
      </c>
      <c r="C2032" s="663" t="s">
        <v>54</v>
      </c>
      <c r="D2032" s="663" t="s">
        <v>599</v>
      </c>
      <c r="E2032" s="664" t="s">
        <v>393</v>
      </c>
      <c r="F2032" s="664">
        <v>470.0</v>
      </c>
      <c r="G2032" s="664">
        <v>65.0</v>
      </c>
      <c r="H2032" s="664">
        <v>13.83</v>
      </c>
      <c r="I2032" s="664">
        <v>1.73</v>
      </c>
      <c r="J2032" s="664">
        <v>2.01</v>
      </c>
      <c r="K2032" s="664">
        <v>110.0</v>
      </c>
      <c r="L2032" s="664">
        <v>6368.0</v>
      </c>
      <c r="M2032" s="664">
        <v>0.234</v>
      </c>
      <c r="N2032" s="1">
        <v>1.6923</v>
      </c>
      <c r="O2032" s="1">
        <v>110.0</v>
      </c>
      <c r="P2032" s="1">
        <v>6368.0</v>
      </c>
      <c r="Q2032" s="1">
        <v>0.234</v>
      </c>
      <c r="R2032" s="1">
        <v>1533.0</v>
      </c>
    </row>
    <row r="2033">
      <c r="A2033" s="663" t="s">
        <v>2353</v>
      </c>
      <c r="B2033" s="663" t="s">
        <v>1192</v>
      </c>
      <c r="C2033" s="663" t="s">
        <v>54</v>
      </c>
      <c r="D2033" s="663" t="s">
        <v>599</v>
      </c>
      <c r="E2033" s="664" t="s">
        <v>338</v>
      </c>
      <c r="F2033" s="664">
        <v>470.0</v>
      </c>
      <c r="G2033" s="664">
        <v>63.0</v>
      </c>
      <c r="H2033" s="664">
        <v>13.4</v>
      </c>
      <c r="I2033" s="664">
        <v>1.29</v>
      </c>
      <c r="J2033" s="664">
        <v>1.74</v>
      </c>
      <c r="K2033" s="664">
        <v>82.0</v>
      </c>
      <c r="L2033" s="664">
        <v>6368.0</v>
      </c>
      <c r="M2033" s="664">
        <v>0.1745</v>
      </c>
      <c r="N2033" s="1">
        <v>1.3016</v>
      </c>
      <c r="O2033" s="1">
        <v>82.0</v>
      </c>
      <c r="P2033" s="1">
        <v>6368.0</v>
      </c>
      <c r="Q2033" s="1">
        <v>0.1745</v>
      </c>
      <c r="R2033" s="1">
        <v>1533.0</v>
      </c>
    </row>
    <row r="2034">
      <c r="A2034" s="663" t="s">
        <v>2353</v>
      </c>
      <c r="B2034" s="663" t="s">
        <v>1192</v>
      </c>
      <c r="C2034" s="663" t="s">
        <v>54</v>
      </c>
      <c r="D2034" s="663" t="s">
        <v>599</v>
      </c>
      <c r="E2034" s="664" t="s">
        <v>15</v>
      </c>
      <c r="F2034" s="664">
        <v>470.0</v>
      </c>
      <c r="G2034" s="664">
        <v>58.0</v>
      </c>
      <c r="H2034" s="664">
        <v>12.34</v>
      </c>
      <c r="I2034" s="664">
        <v>1.08</v>
      </c>
      <c r="J2034" s="664">
        <v>1.55</v>
      </c>
      <c r="K2034" s="664">
        <v>69.0</v>
      </c>
      <c r="L2034" s="664">
        <v>6368.0</v>
      </c>
      <c r="M2034" s="664">
        <v>0.1468</v>
      </c>
      <c r="N2034" s="1">
        <v>1.1897</v>
      </c>
      <c r="O2034" s="1">
        <v>69.0</v>
      </c>
      <c r="P2034" s="1">
        <v>6368.0</v>
      </c>
      <c r="Q2034" s="1">
        <v>0.1468</v>
      </c>
      <c r="R2034" s="1">
        <v>1533.0</v>
      </c>
    </row>
    <row r="2035">
      <c r="A2035" s="663" t="s">
        <v>2353</v>
      </c>
      <c r="B2035" s="663" t="s">
        <v>1192</v>
      </c>
      <c r="C2035" s="663" t="s">
        <v>54</v>
      </c>
      <c r="D2035" s="663" t="s">
        <v>599</v>
      </c>
      <c r="E2035" s="664" t="s">
        <v>401</v>
      </c>
      <c r="F2035" s="664">
        <v>470.0</v>
      </c>
      <c r="G2035" s="664">
        <v>66.0</v>
      </c>
      <c r="H2035" s="664">
        <v>14.04</v>
      </c>
      <c r="I2035" s="664">
        <v>1.05</v>
      </c>
      <c r="J2035" s="664">
        <v>1.45</v>
      </c>
      <c r="K2035" s="664">
        <v>67.0</v>
      </c>
      <c r="L2035" s="664">
        <v>6368.0</v>
      </c>
      <c r="M2035" s="664">
        <v>0.1426</v>
      </c>
      <c r="N2035" s="1">
        <v>1.0152</v>
      </c>
      <c r="O2035" s="1">
        <v>67.0</v>
      </c>
      <c r="P2035" s="1">
        <v>6368.0</v>
      </c>
      <c r="Q2035" s="1">
        <v>0.1426</v>
      </c>
      <c r="R2035" s="1">
        <v>1533.0</v>
      </c>
    </row>
    <row r="2036">
      <c r="A2036" s="663" t="s">
        <v>2353</v>
      </c>
      <c r="B2036" s="663" t="s">
        <v>1192</v>
      </c>
      <c r="C2036" s="663" t="s">
        <v>54</v>
      </c>
      <c r="D2036" s="663" t="s">
        <v>599</v>
      </c>
      <c r="E2036" s="664" t="s">
        <v>329</v>
      </c>
      <c r="F2036" s="664">
        <v>470.0</v>
      </c>
      <c r="G2036" s="664">
        <v>56.0</v>
      </c>
      <c r="H2036" s="664">
        <v>11.91</v>
      </c>
      <c r="I2036" s="664">
        <v>1.04</v>
      </c>
      <c r="J2036" s="664">
        <v>1.26</v>
      </c>
      <c r="K2036" s="664">
        <v>66.0</v>
      </c>
      <c r="L2036" s="664">
        <v>6368.0</v>
      </c>
      <c r="M2036" s="664">
        <v>0.1404</v>
      </c>
      <c r="N2036" s="1">
        <v>1.1786</v>
      </c>
      <c r="O2036" s="1">
        <v>66.0</v>
      </c>
      <c r="P2036" s="1">
        <v>6368.0</v>
      </c>
      <c r="Q2036" s="1">
        <v>0.1404</v>
      </c>
      <c r="R2036" s="1">
        <v>1533.0</v>
      </c>
    </row>
    <row r="2037">
      <c r="A2037" s="663" t="s">
        <v>2353</v>
      </c>
      <c r="B2037" s="663" t="s">
        <v>1192</v>
      </c>
      <c r="C2037" s="663" t="s">
        <v>54</v>
      </c>
      <c r="D2037" s="663" t="s">
        <v>599</v>
      </c>
      <c r="E2037" s="664" t="s">
        <v>341</v>
      </c>
      <c r="F2037" s="664">
        <v>470.0</v>
      </c>
      <c r="G2037" s="664">
        <v>58.0</v>
      </c>
      <c r="H2037" s="664">
        <v>12.34</v>
      </c>
      <c r="I2037" s="664">
        <v>0.99</v>
      </c>
      <c r="J2037" s="664">
        <v>1.53</v>
      </c>
      <c r="K2037" s="664">
        <v>63.0</v>
      </c>
      <c r="L2037" s="664">
        <v>6368.0</v>
      </c>
      <c r="M2037" s="664">
        <v>0.134</v>
      </c>
      <c r="N2037" s="1">
        <v>1.0862</v>
      </c>
      <c r="O2037" s="1">
        <v>63.0</v>
      </c>
      <c r="P2037" s="1">
        <v>6368.0</v>
      </c>
      <c r="Q2037" s="1">
        <v>0.134</v>
      </c>
      <c r="R2037" s="1">
        <v>1533.0</v>
      </c>
    </row>
    <row r="2038">
      <c r="A2038" s="663" t="s">
        <v>2353</v>
      </c>
      <c r="B2038" s="663" t="s">
        <v>1192</v>
      </c>
      <c r="C2038" s="663" t="s">
        <v>54</v>
      </c>
      <c r="D2038" s="663" t="s">
        <v>599</v>
      </c>
      <c r="E2038" s="664" t="s">
        <v>7</v>
      </c>
      <c r="F2038" s="664">
        <v>470.0</v>
      </c>
      <c r="G2038" s="664">
        <v>38.0</v>
      </c>
      <c r="H2038" s="664">
        <v>8.09</v>
      </c>
      <c r="I2038" s="664">
        <v>0.63</v>
      </c>
      <c r="J2038" s="664">
        <v>0.72</v>
      </c>
      <c r="K2038" s="664">
        <v>40.0</v>
      </c>
      <c r="L2038" s="664">
        <v>6368.0</v>
      </c>
      <c r="M2038" s="664">
        <v>0.0851</v>
      </c>
      <c r="N2038" s="1">
        <v>1.0526</v>
      </c>
      <c r="O2038" s="1">
        <v>40.0</v>
      </c>
      <c r="P2038" s="1">
        <v>6368.0</v>
      </c>
      <c r="Q2038" s="1">
        <v>0.0851</v>
      </c>
      <c r="R2038" s="1">
        <v>1533.0</v>
      </c>
    </row>
    <row r="2039">
      <c r="A2039" s="663" t="s">
        <v>2353</v>
      </c>
      <c r="B2039" s="663" t="s">
        <v>1192</v>
      </c>
      <c r="C2039" s="663" t="s">
        <v>54</v>
      </c>
      <c r="D2039" s="663" t="s">
        <v>599</v>
      </c>
      <c r="E2039" s="664" t="s">
        <v>206</v>
      </c>
      <c r="F2039" s="664">
        <v>470.0</v>
      </c>
      <c r="G2039" s="664">
        <v>39.0</v>
      </c>
      <c r="H2039" s="664">
        <v>8.3</v>
      </c>
      <c r="I2039" s="664">
        <v>0.61</v>
      </c>
      <c r="J2039" s="664">
        <v>0.47</v>
      </c>
      <c r="K2039" s="664">
        <v>39.0</v>
      </c>
      <c r="L2039" s="664">
        <v>6368.0</v>
      </c>
      <c r="M2039" s="664">
        <v>0.083</v>
      </c>
      <c r="N2039" s="1">
        <v>1.0</v>
      </c>
      <c r="O2039" s="1">
        <v>39.0</v>
      </c>
      <c r="P2039" s="1">
        <v>6368.0</v>
      </c>
      <c r="Q2039" s="1">
        <v>0.083</v>
      </c>
      <c r="R2039" s="1">
        <v>1533.0</v>
      </c>
    </row>
    <row r="2040">
      <c r="A2040" s="663" t="s">
        <v>2353</v>
      </c>
      <c r="B2040" s="663" t="s">
        <v>1192</v>
      </c>
      <c r="C2040" s="663" t="s">
        <v>54</v>
      </c>
      <c r="D2040" s="663" t="s">
        <v>599</v>
      </c>
      <c r="E2040" s="664" t="s">
        <v>397</v>
      </c>
      <c r="F2040" s="664">
        <v>470.0</v>
      </c>
      <c r="G2040" s="664">
        <v>26.0</v>
      </c>
      <c r="H2040" s="664">
        <v>5.53</v>
      </c>
      <c r="I2040" s="664">
        <v>0.42</v>
      </c>
      <c r="J2040" s="664">
        <v>0.32</v>
      </c>
      <c r="K2040" s="664">
        <v>27.0</v>
      </c>
      <c r="L2040" s="664">
        <v>6368.0</v>
      </c>
      <c r="M2040" s="664">
        <v>0.0574</v>
      </c>
      <c r="N2040" s="1">
        <v>1.0385</v>
      </c>
      <c r="O2040" s="1">
        <v>27.0</v>
      </c>
      <c r="P2040" s="1">
        <v>6368.0</v>
      </c>
      <c r="Q2040" s="1">
        <v>0.0574</v>
      </c>
      <c r="R2040" s="1">
        <v>1533.0</v>
      </c>
    </row>
    <row r="2041">
      <c r="A2041" s="663" t="s">
        <v>2353</v>
      </c>
      <c r="B2041" s="663" t="s">
        <v>1192</v>
      </c>
      <c r="C2041" s="663" t="s">
        <v>54</v>
      </c>
      <c r="D2041" s="663" t="s">
        <v>599</v>
      </c>
      <c r="E2041" s="664" t="s">
        <v>418</v>
      </c>
      <c r="F2041" s="664">
        <v>470.0</v>
      </c>
      <c r="G2041" s="664">
        <v>2.0</v>
      </c>
      <c r="H2041" s="664">
        <v>0.43</v>
      </c>
      <c r="I2041" s="664">
        <v>0.03</v>
      </c>
      <c r="J2041" s="664">
        <v>0.08</v>
      </c>
      <c r="K2041" s="664">
        <v>2.0</v>
      </c>
      <c r="L2041" s="664">
        <v>6368.0</v>
      </c>
      <c r="M2041" s="664">
        <v>0.0043</v>
      </c>
      <c r="N2041" s="1">
        <v>1.0</v>
      </c>
      <c r="O2041" s="1">
        <v>2.0</v>
      </c>
      <c r="P2041" s="1">
        <v>6368.0</v>
      </c>
      <c r="Q2041" s="1">
        <v>0.0043</v>
      </c>
      <c r="R2041" s="1">
        <v>1533.0</v>
      </c>
    </row>
    <row r="2042">
      <c r="A2042" s="663" t="s">
        <v>2353</v>
      </c>
      <c r="B2042" s="663" t="s">
        <v>1192</v>
      </c>
      <c r="C2042" s="663" t="s">
        <v>1205</v>
      </c>
      <c r="D2042" s="663" t="s">
        <v>1205</v>
      </c>
      <c r="E2042" s="664" t="s">
        <v>396</v>
      </c>
      <c r="F2042" s="664">
        <v>479.0</v>
      </c>
      <c r="G2042" s="664">
        <v>474.0</v>
      </c>
      <c r="H2042" s="664">
        <v>98.96</v>
      </c>
      <c r="I2042" s="664">
        <v>25.35</v>
      </c>
      <c r="J2042" s="664">
        <v>31.34</v>
      </c>
      <c r="K2042" s="664">
        <v>204080.0</v>
      </c>
      <c r="L2042" s="664">
        <v>805207.95</v>
      </c>
      <c r="M2042" s="664">
        <v>426.0543</v>
      </c>
      <c r="N2042" s="1">
        <v>430.5485</v>
      </c>
      <c r="O2042" s="1">
        <v>204080.0</v>
      </c>
      <c r="P2042" s="1">
        <v>1216708.0</v>
      </c>
      <c r="Q2042" s="1">
        <v>426.0543</v>
      </c>
      <c r="R2042" s="1">
        <v>1533.0</v>
      </c>
    </row>
    <row r="2043">
      <c r="A2043" s="663" t="s">
        <v>2353</v>
      </c>
      <c r="B2043" s="663" t="s">
        <v>1192</v>
      </c>
      <c r="C2043" s="663" t="s">
        <v>1205</v>
      </c>
      <c r="D2043" s="663" t="s">
        <v>1205</v>
      </c>
      <c r="E2043" s="664" t="s">
        <v>398</v>
      </c>
      <c r="F2043" s="664">
        <v>479.0</v>
      </c>
      <c r="G2043" s="664">
        <v>447.0</v>
      </c>
      <c r="H2043" s="664">
        <v>93.32</v>
      </c>
      <c r="I2043" s="664">
        <v>16.13</v>
      </c>
      <c r="J2043" s="664">
        <v>12.55</v>
      </c>
      <c r="K2043" s="664">
        <v>129850.0</v>
      </c>
      <c r="L2043" s="664">
        <v>805207.95</v>
      </c>
      <c r="M2043" s="664">
        <v>271.0856</v>
      </c>
      <c r="N2043" s="1">
        <v>290.4922</v>
      </c>
      <c r="O2043" s="1">
        <v>129850.0</v>
      </c>
      <c r="P2043" s="1">
        <v>1216708.0</v>
      </c>
      <c r="Q2043" s="1">
        <v>271.0856</v>
      </c>
      <c r="R2043" s="1">
        <v>1533.0</v>
      </c>
    </row>
    <row r="2044">
      <c r="A2044" s="663" t="s">
        <v>2353</v>
      </c>
      <c r="B2044" s="663" t="s">
        <v>1192</v>
      </c>
      <c r="C2044" s="663" t="s">
        <v>1205</v>
      </c>
      <c r="D2044" s="663" t="s">
        <v>1205</v>
      </c>
      <c r="E2044" s="664" t="s">
        <v>418</v>
      </c>
      <c r="F2044" s="664">
        <v>479.0</v>
      </c>
      <c r="G2044" s="664">
        <v>479.0</v>
      </c>
      <c r="H2044" s="664">
        <v>100.0</v>
      </c>
      <c r="I2044" s="664">
        <v>14.21</v>
      </c>
      <c r="J2044" s="664">
        <v>14.3</v>
      </c>
      <c r="K2044" s="664">
        <v>114420.0</v>
      </c>
      <c r="L2044" s="664">
        <v>805207.95</v>
      </c>
      <c r="M2044" s="664">
        <v>238.8727</v>
      </c>
      <c r="N2044" s="1">
        <v>238.8727</v>
      </c>
      <c r="O2044" s="1">
        <v>114420.0</v>
      </c>
      <c r="P2044" s="1">
        <v>1216708.0</v>
      </c>
      <c r="Q2044" s="1">
        <v>238.8727</v>
      </c>
      <c r="R2044" s="1">
        <v>1533.0</v>
      </c>
    </row>
    <row r="2045">
      <c r="A2045" s="663" t="s">
        <v>2353</v>
      </c>
      <c r="B2045" s="663" t="s">
        <v>1192</v>
      </c>
      <c r="C2045" s="663" t="s">
        <v>1205</v>
      </c>
      <c r="D2045" s="663" t="s">
        <v>1205</v>
      </c>
      <c r="E2045" s="664" t="s">
        <v>14</v>
      </c>
      <c r="F2045" s="664">
        <v>479.0</v>
      </c>
      <c r="G2045" s="664">
        <v>364.0</v>
      </c>
      <c r="H2045" s="664">
        <v>75.99</v>
      </c>
      <c r="I2045" s="664">
        <v>5.92</v>
      </c>
      <c r="J2045" s="664">
        <v>4.95</v>
      </c>
      <c r="K2045" s="664">
        <v>47659.95</v>
      </c>
      <c r="L2045" s="664">
        <v>805207.95</v>
      </c>
      <c r="M2045" s="664">
        <v>99.4989</v>
      </c>
      <c r="N2045" s="1">
        <v>130.9339</v>
      </c>
      <c r="O2045" s="1">
        <v>459160.0</v>
      </c>
      <c r="P2045" s="1">
        <v>1216708.0</v>
      </c>
      <c r="Q2045" s="1">
        <v>958.5804</v>
      </c>
      <c r="R2045" s="1">
        <v>1533.0</v>
      </c>
    </row>
    <row r="2046">
      <c r="A2046" s="663" t="s">
        <v>2353</v>
      </c>
      <c r="B2046" s="663" t="s">
        <v>1192</v>
      </c>
      <c r="C2046" s="663" t="s">
        <v>1205</v>
      </c>
      <c r="D2046" s="663" t="s">
        <v>1205</v>
      </c>
      <c r="E2046" s="664" t="s">
        <v>411</v>
      </c>
      <c r="F2046" s="664">
        <v>479.0</v>
      </c>
      <c r="G2046" s="664">
        <v>287.0</v>
      </c>
      <c r="H2046" s="664">
        <v>59.92</v>
      </c>
      <c r="I2046" s="664">
        <v>5.15</v>
      </c>
      <c r="J2046" s="664">
        <v>6.04</v>
      </c>
      <c r="K2046" s="664">
        <v>41488.0</v>
      </c>
      <c r="L2046" s="664">
        <v>805207.95</v>
      </c>
      <c r="M2046" s="664">
        <v>86.6138</v>
      </c>
      <c r="N2046" s="1">
        <v>144.5575</v>
      </c>
      <c r="O2046" s="1">
        <v>41488.0</v>
      </c>
      <c r="P2046" s="1">
        <v>1216708.0</v>
      </c>
      <c r="Q2046" s="1">
        <v>86.6138</v>
      </c>
      <c r="R2046" s="1">
        <v>1533.0</v>
      </c>
    </row>
    <row r="2047">
      <c r="A2047" s="663" t="s">
        <v>2353</v>
      </c>
      <c r="B2047" s="663" t="s">
        <v>1192</v>
      </c>
      <c r="C2047" s="663" t="s">
        <v>1205</v>
      </c>
      <c r="D2047" s="663" t="s">
        <v>1205</v>
      </c>
      <c r="E2047" s="664" t="s">
        <v>413</v>
      </c>
      <c r="F2047" s="664">
        <v>479.0</v>
      </c>
      <c r="G2047" s="664">
        <v>347.0</v>
      </c>
      <c r="H2047" s="664">
        <v>72.44</v>
      </c>
      <c r="I2047" s="664">
        <v>5.08</v>
      </c>
      <c r="J2047" s="664">
        <v>6.35</v>
      </c>
      <c r="K2047" s="664">
        <v>40940.0</v>
      </c>
      <c r="L2047" s="664">
        <v>805207.95</v>
      </c>
      <c r="M2047" s="664">
        <v>85.4697</v>
      </c>
      <c r="N2047" s="1">
        <v>117.9827</v>
      </c>
      <c r="O2047" s="1">
        <v>40940.0</v>
      </c>
      <c r="P2047" s="1">
        <v>1216708.0</v>
      </c>
      <c r="Q2047" s="1">
        <v>85.4697</v>
      </c>
      <c r="R2047" s="1">
        <v>1533.0</v>
      </c>
    </row>
    <row r="2048">
      <c r="A2048" s="663" t="s">
        <v>2353</v>
      </c>
      <c r="B2048" s="663" t="s">
        <v>1192</v>
      </c>
      <c r="C2048" s="663" t="s">
        <v>1205</v>
      </c>
      <c r="D2048" s="663" t="s">
        <v>1205</v>
      </c>
      <c r="E2048" s="664" t="s">
        <v>63</v>
      </c>
      <c r="F2048" s="664">
        <v>479.0</v>
      </c>
      <c r="G2048" s="664">
        <v>210.0</v>
      </c>
      <c r="H2048" s="664">
        <v>43.84</v>
      </c>
      <c r="I2048" s="664">
        <v>3.73</v>
      </c>
      <c r="J2048" s="664">
        <v>2.91</v>
      </c>
      <c r="K2048" s="664">
        <v>30000.0</v>
      </c>
      <c r="L2048" s="664">
        <v>805207.95</v>
      </c>
      <c r="M2048" s="664">
        <v>62.6305</v>
      </c>
      <c r="N2048" s="1">
        <v>142.8571</v>
      </c>
      <c r="O2048" s="1">
        <v>30000.0</v>
      </c>
      <c r="P2048" s="1">
        <v>1216708.0</v>
      </c>
      <c r="Q2048" s="1">
        <v>62.6305</v>
      </c>
      <c r="R2048" s="1">
        <v>1533.0</v>
      </c>
    </row>
    <row r="2049">
      <c r="A2049" s="663" t="s">
        <v>2353</v>
      </c>
      <c r="B2049" s="663" t="s">
        <v>1192</v>
      </c>
      <c r="C2049" s="663" t="s">
        <v>1205</v>
      </c>
      <c r="D2049" s="663" t="s">
        <v>1205</v>
      </c>
      <c r="E2049" s="664" t="s">
        <v>7</v>
      </c>
      <c r="F2049" s="664">
        <v>479.0</v>
      </c>
      <c r="G2049" s="664">
        <v>102.0</v>
      </c>
      <c r="H2049" s="664">
        <v>21.29</v>
      </c>
      <c r="I2049" s="664">
        <v>2.68</v>
      </c>
      <c r="J2049" s="664">
        <v>1.83</v>
      </c>
      <c r="K2049" s="664">
        <v>21575.0</v>
      </c>
      <c r="L2049" s="664">
        <v>805207.95</v>
      </c>
      <c r="M2049" s="664">
        <v>45.0418</v>
      </c>
      <c r="N2049" s="1">
        <v>211.5196</v>
      </c>
      <c r="O2049" s="1">
        <v>21575.0</v>
      </c>
      <c r="P2049" s="1">
        <v>1216708.0</v>
      </c>
      <c r="Q2049" s="1">
        <v>45.0418</v>
      </c>
      <c r="R2049" s="1">
        <v>1533.0</v>
      </c>
    </row>
    <row r="2050">
      <c r="A2050" s="663" t="s">
        <v>2353</v>
      </c>
      <c r="B2050" s="663" t="s">
        <v>1192</v>
      </c>
      <c r="C2050" s="663" t="s">
        <v>1205</v>
      </c>
      <c r="D2050" s="663" t="s">
        <v>1205</v>
      </c>
      <c r="E2050" s="664" t="s">
        <v>16</v>
      </c>
      <c r="F2050" s="664">
        <v>479.0</v>
      </c>
      <c r="G2050" s="664">
        <v>144.0</v>
      </c>
      <c r="H2050" s="664">
        <v>30.06</v>
      </c>
      <c r="I2050" s="664">
        <v>2.63</v>
      </c>
      <c r="J2050" s="664">
        <v>2.82</v>
      </c>
      <c r="K2050" s="664">
        <v>21145.0</v>
      </c>
      <c r="L2050" s="664">
        <v>805207.95</v>
      </c>
      <c r="M2050" s="664">
        <v>44.1441</v>
      </c>
      <c r="N2050" s="1">
        <v>146.8403</v>
      </c>
      <c r="O2050" s="1">
        <v>21145.0</v>
      </c>
      <c r="P2050" s="1">
        <v>1216708.0</v>
      </c>
      <c r="Q2050" s="1">
        <v>44.1441</v>
      </c>
      <c r="R2050" s="1">
        <v>1533.0</v>
      </c>
    </row>
    <row r="2051">
      <c r="A2051" s="663" t="s">
        <v>2353</v>
      </c>
      <c r="B2051" s="663" t="s">
        <v>1192</v>
      </c>
      <c r="C2051" s="663" t="s">
        <v>1205</v>
      </c>
      <c r="D2051" s="663" t="s">
        <v>1205</v>
      </c>
      <c r="E2051" s="664" t="s">
        <v>338</v>
      </c>
      <c r="F2051" s="664">
        <v>479.0</v>
      </c>
      <c r="G2051" s="664">
        <v>93.0</v>
      </c>
      <c r="H2051" s="664">
        <v>19.42</v>
      </c>
      <c r="I2051" s="664">
        <v>2.47</v>
      </c>
      <c r="J2051" s="664">
        <v>1.81</v>
      </c>
      <c r="K2051" s="664">
        <v>19850.0</v>
      </c>
      <c r="L2051" s="664">
        <v>805207.95</v>
      </c>
      <c r="M2051" s="664">
        <v>41.4405</v>
      </c>
      <c r="N2051" s="1">
        <v>213.4409</v>
      </c>
      <c r="O2051" s="1">
        <v>19850.0</v>
      </c>
      <c r="P2051" s="1">
        <v>1216708.0</v>
      </c>
      <c r="Q2051" s="1">
        <v>41.4405</v>
      </c>
      <c r="R2051" s="1">
        <v>1533.0</v>
      </c>
    </row>
    <row r="2052">
      <c r="A2052" s="663" t="s">
        <v>2353</v>
      </c>
      <c r="B2052" s="663" t="s">
        <v>1192</v>
      </c>
      <c r="C2052" s="663" t="s">
        <v>1205</v>
      </c>
      <c r="D2052" s="663" t="s">
        <v>1205</v>
      </c>
      <c r="E2052" s="664" t="s">
        <v>397</v>
      </c>
      <c r="F2052" s="664">
        <v>479.0</v>
      </c>
      <c r="G2052" s="664">
        <v>409.0</v>
      </c>
      <c r="H2052" s="664">
        <v>85.39</v>
      </c>
      <c r="I2052" s="664">
        <v>2.39</v>
      </c>
      <c r="J2052" s="664">
        <v>1.91</v>
      </c>
      <c r="K2052" s="664">
        <v>19275.0</v>
      </c>
      <c r="L2052" s="664">
        <v>805207.95</v>
      </c>
      <c r="M2052" s="664">
        <v>40.2401</v>
      </c>
      <c r="N2052" s="1">
        <v>47.1271</v>
      </c>
      <c r="O2052" s="1">
        <v>19275.0</v>
      </c>
      <c r="P2052" s="1">
        <v>1216708.0</v>
      </c>
      <c r="Q2052" s="1">
        <v>40.2401</v>
      </c>
      <c r="R2052" s="1">
        <v>1533.0</v>
      </c>
    </row>
    <row r="2053">
      <c r="A2053" s="663" t="s">
        <v>2353</v>
      </c>
      <c r="B2053" s="663" t="s">
        <v>1192</v>
      </c>
      <c r="C2053" s="663" t="s">
        <v>1205</v>
      </c>
      <c r="D2053" s="663" t="s">
        <v>1205</v>
      </c>
      <c r="E2053" s="664" t="s">
        <v>15</v>
      </c>
      <c r="F2053" s="664">
        <v>479.0</v>
      </c>
      <c r="G2053" s="664">
        <v>112.0</v>
      </c>
      <c r="H2053" s="664">
        <v>23.38</v>
      </c>
      <c r="I2053" s="664">
        <v>2.29</v>
      </c>
      <c r="J2053" s="664">
        <v>1.56</v>
      </c>
      <c r="K2053" s="664">
        <v>18400.0</v>
      </c>
      <c r="L2053" s="664">
        <v>805207.95</v>
      </c>
      <c r="M2053" s="664">
        <v>38.4134</v>
      </c>
      <c r="N2053" s="1">
        <v>164.2857</v>
      </c>
      <c r="O2053" s="1">
        <v>18400.0</v>
      </c>
      <c r="P2053" s="1">
        <v>1216708.0</v>
      </c>
      <c r="Q2053" s="1">
        <v>38.4134</v>
      </c>
      <c r="R2053" s="1">
        <v>1533.0</v>
      </c>
    </row>
    <row r="2054">
      <c r="A2054" s="663" t="s">
        <v>2353</v>
      </c>
      <c r="B2054" s="663" t="s">
        <v>1192</v>
      </c>
      <c r="C2054" s="663" t="s">
        <v>1205</v>
      </c>
      <c r="D2054" s="663" t="s">
        <v>1205</v>
      </c>
      <c r="E2054" s="664" t="s">
        <v>9</v>
      </c>
      <c r="F2054" s="664">
        <v>479.0</v>
      </c>
      <c r="G2054" s="664">
        <v>326.0</v>
      </c>
      <c r="H2054" s="664">
        <v>68.06</v>
      </c>
      <c r="I2054" s="664">
        <v>2.18</v>
      </c>
      <c r="J2054" s="664">
        <v>2.69</v>
      </c>
      <c r="K2054" s="664">
        <v>17535.0</v>
      </c>
      <c r="L2054" s="664">
        <v>805207.95</v>
      </c>
      <c r="M2054" s="664">
        <v>36.6075</v>
      </c>
      <c r="N2054" s="1">
        <v>53.7883</v>
      </c>
      <c r="O2054" s="1">
        <v>17535.0</v>
      </c>
      <c r="P2054" s="1">
        <v>1216708.0</v>
      </c>
      <c r="Q2054" s="1">
        <v>36.6075</v>
      </c>
      <c r="R2054" s="1">
        <v>1533.0</v>
      </c>
    </row>
    <row r="2055">
      <c r="A2055" s="663" t="s">
        <v>2353</v>
      </c>
      <c r="B2055" s="663" t="s">
        <v>1192</v>
      </c>
      <c r="C2055" s="663" t="s">
        <v>1205</v>
      </c>
      <c r="D2055" s="663" t="s">
        <v>1205</v>
      </c>
      <c r="E2055" s="664" t="s">
        <v>42</v>
      </c>
      <c r="F2055" s="664">
        <v>479.0</v>
      </c>
      <c r="G2055" s="664">
        <v>257.0</v>
      </c>
      <c r="H2055" s="664">
        <v>53.65</v>
      </c>
      <c r="I2055" s="664">
        <v>2.07</v>
      </c>
      <c r="J2055" s="664">
        <v>2.15</v>
      </c>
      <c r="K2055" s="664">
        <v>16630.0</v>
      </c>
      <c r="L2055" s="664">
        <v>805207.95</v>
      </c>
      <c r="M2055" s="664">
        <v>34.7182</v>
      </c>
      <c r="N2055" s="1">
        <v>64.7082</v>
      </c>
      <c r="O2055" s="1">
        <v>16630.0</v>
      </c>
      <c r="P2055" s="1">
        <v>1216708.0</v>
      </c>
      <c r="Q2055" s="1">
        <v>34.7182</v>
      </c>
      <c r="R2055" s="1">
        <v>1533.0</v>
      </c>
    </row>
    <row r="2056">
      <c r="A2056" s="663" t="s">
        <v>2353</v>
      </c>
      <c r="B2056" s="663" t="s">
        <v>1192</v>
      </c>
      <c r="C2056" s="663" t="s">
        <v>1205</v>
      </c>
      <c r="D2056" s="663" t="s">
        <v>1205</v>
      </c>
      <c r="E2056" s="664" t="s">
        <v>329</v>
      </c>
      <c r="F2056" s="664">
        <v>479.0</v>
      </c>
      <c r="G2056" s="664">
        <v>75.0</v>
      </c>
      <c r="H2056" s="664">
        <v>15.66</v>
      </c>
      <c r="I2056" s="664">
        <v>2.03</v>
      </c>
      <c r="J2056" s="664">
        <v>1.57</v>
      </c>
      <c r="K2056" s="664">
        <v>16350.0</v>
      </c>
      <c r="L2056" s="664">
        <v>805207.95</v>
      </c>
      <c r="M2056" s="664">
        <v>34.1336</v>
      </c>
      <c r="N2056" s="1">
        <v>218.0</v>
      </c>
      <c r="O2056" s="1">
        <v>16350.0</v>
      </c>
      <c r="P2056" s="1">
        <v>1216708.0</v>
      </c>
      <c r="Q2056" s="1">
        <v>34.1336</v>
      </c>
      <c r="R2056" s="1">
        <v>1533.0</v>
      </c>
    </row>
    <row r="2057">
      <c r="A2057" s="663" t="s">
        <v>2353</v>
      </c>
      <c r="B2057" s="663" t="s">
        <v>1192</v>
      </c>
      <c r="C2057" s="663" t="s">
        <v>1205</v>
      </c>
      <c r="D2057" s="663" t="s">
        <v>1205</v>
      </c>
      <c r="E2057" s="664" t="s">
        <v>341</v>
      </c>
      <c r="F2057" s="664">
        <v>479.0</v>
      </c>
      <c r="G2057" s="664">
        <v>87.0</v>
      </c>
      <c r="H2057" s="664">
        <v>18.16</v>
      </c>
      <c r="I2057" s="664">
        <v>1.97</v>
      </c>
      <c r="J2057" s="664">
        <v>1.65</v>
      </c>
      <c r="K2057" s="664">
        <v>15850.0</v>
      </c>
      <c r="L2057" s="664">
        <v>805207.95</v>
      </c>
      <c r="M2057" s="664">
        <v>33.0898</v>
      </c>
      <c r="N2057" s="1">
        <v>182.1839</v>
      </c>
      <c r="O2057" s="1">
        <v>15850.0</v>
      </c>
      <c r="P2057" s="1">
        <v>1216708.0</v>
      </c>
      <c r="Q2057" s="1">
        <v>33.0898</v>
      </c>
      <c r="R2057" s="1">
        <v>1533.0</v>
      </c>
    </row>
    <row r="2058">
      <c r="A2058" s="663" t="s">
        <v>2353</v>
      </c>
      <c r="B2058" s="663" t="s">
        <v>1192</v>
      </c>
      <c r="C2058" s="663" t="s">
        <v>1205</v>
      </c>
      <c r="D2058" s="663" t="s">
        <v>1205</v>
      </c>
      <c r="E2058" s="664" t="s">
        <v>393</v>
      </c>
      <c r="F2058" s="664">
        <v>479.0</v>
      </c>
      <c r="G2058" s="664">
        <v>205.0</v>
      </c>
      <c r="H2058" s="664">
        <v>42.8</v>
      </c>
      <c r="I2058" s="664">
        <v>1.24</v>
      </c>
      <c r="J2058" s="664">
        <v>1.07</v>
      </c>
      <c r="K2058" s="664">
        <v>10010.0</v>
      </c>
      <c r="L2058" s="664">
        <v>805207.95</v>
      </c>
      <c r="M2058" s="664">
        <v>20.8977</v>
      </c>
      <c r="N2058" s="1">
        <v>48.8293</v>
      </c>
      <c r="O2058" s="1">
        <v>10010.0</v>
      </c>
      <c r="P2058" s="1">
        <v>1216708.0</v>
      </c>
      <c r="Q2058" s="1">
        <v>20.8977</v>
      </c>
      <c r="R2058" s="1">
        <v>1533.0</v>
      </c>
    </row>
    <row r="2059">
      <c r="A2059" s="663" t="s">
        <v>2353</v>
      </c>
      <c r="B2059" s="663" t="s">
        <v>1192</v>
      </c>
      <c r="C2059" s="663" t="s">
        <v>1205</v>
      </c>
      <c r="D2059" s="663" t="s">
        <v>1205</v>
      </c>
      <c r="E2059" s="664" t="s">
        <v>401</v>
      </c>
      <c r="F2059" s="664">
        <v>479.0</v>
      </c>
      <c r="G2059" s="664">
        <v>141.0</v>
      </c>
      <c r="H2059" s="664">
        <v>29.44</v>
      </c>
      <c r="I2059" s="664">
        <v>1.11</v>
      </c>
      <c r="J2059" s="664">
        <v>1.18</v>
      </c>
      <c r="K2059" s="664">
        <v>8975.0</v>
      </c>
      <c r="L2059" s="664">
        <v>805207.95</v>
      </c>
      <c r="M2059" s="664">
        <v>18.737</v>
      </c>
      <c r="N2059" s="1">
        <v>63.6525</v>
      </c>
      <c r="O2059" s="1">
        <v>8975.0</v>
      </c>
      <c r="P2059" s="1">
        <v>1216708.0</v>
      </c>
      <c r="Q2059" s="1">
        <v>18.737</v>
      </c>
      <c r="R2059" s="1">
        <v>1533.0</v>
      </c>
    </row>
    <row r="2060">
      <c r="A2060" s="663" t="s">
        <v>2353</v>
      </c>
      <c r="B2060" s="663" t="s">
        <v>1192</v>
      </c>
      <c r="C2060" s="663" t="s">
        <v>1205</v>
      </c>
      <c r="D2060" s="663" t="s">
        <v>1205</v>
      </c>
      <c r="E2060" s="664" t="s">
        <v>206</v>
      </c>
      <c r="F2060" s="664">
        <v>479.0</v>
      </c>
      <c r="G2060" s="664">
        <v>118.0</v>
      </c>
      <c r="H2060" s="664">
        <v>24.63</v>
      </c>
      <c r="I2060" s="664">
        <v>0.83</v>
      </c>
      <c r="J2060" s="664">
        <v>0.71</v>
      </c>
      <c r="K2060" s="664">
        <v>6650.0</v>
      </c>
      <c r="L2060" s="664">
        <v>805207.95</v>
      </c>
      <c r="M2060" s="664">
        <v>13.8831</v>
      </c>
      <c r="N2060" s="1">
        <v>56.3559</v>
      </c>
      <c r="O2060" s="1">
        <v>6650.0</v>
      </c>
      <c r="P2060" s="1">
        <v>1216708.0</v>
      </c>
      <c r="Q2060" s="1">
        <v>13.8831</v>
      </c>
      <c r="R2060" s="1">
        <v>1533.0</v>
      </c>
    </row>
    <row r="2061">
      <c r="A2061" s="663" t="s">
        <v>2353</v>
      </c>
      <c r="B2061" s="663" t="s">
        <v>1192</v>
      </c>
      <c r="C2061" s="663" t="s">
        <v>1205</v>
      </c>
      <c r="D2061" s="663" t="s">
        <v>1205</v>
      </c>
      <c r="E2061" s="664" t="s">
        <v>73</v>
      </c>
      <c r="F2061" s="664">
        <v>479.0</v>
      </c>
      <c r="G2061" s="664">
        <v>76.0</v>
      </c>
      <c r="H2061" s="664">
        <v>15.87</v>
      </c>
      <c r="I2061" s="664">
        <v>0.56</v>
      </c>
      <c r="J2061" s="664">
        <v>0.62</v>
      </c>
      <c r="K2061" s="664">
        <v>4525.0</v>
      </c>
      <c r="L2061" s="664">
        <v>805207.95</v>
      </c>
      <c r="M2061" s="664">
        <v>9.4468</v>
      </c>
      <c r="N2061" s="1">
        <v>59.5395</v>
      </c>
      <c r="O2061" s="1">
        <v>4525.0</v>
      </c>
      <c r="P2061" s="1">
        <v>1216708.0</v>
      </c>
      <c r="Q2061" s="1">
        <v>9.4468</v>
      </c>
      <c r="R2061" s="1">
        <v>1533.0</v>
      </c>
    </row>
    <row r="2062">
      <c r="A2062" s="663" t="s">
        <v>2353</v>
      </c>
      <c r="B2062" s="663" t="s">
        <v>1192</v>
      </c>
      <c r="C2062" s="663" t="s">
        <v>47</v>
      </c>
      <c r="D2062" s="663" t="s">
        <v>599</v>
      </c>
      <c r="E2062" s="664" t="s">
        <v>418</v>
      </c>
      <c r="F2062" s="664">
        <v>479.0</v>
      </c>
      <c r="G2062" s="664">
        <v>470.0</v>
      </c>
      <c r="H2062" s="664">
        <v>98.12</v>
      </c>
      <c r="I2062" s="664">
        <v>27.5</v>
      </c>
      <c r="J2062" s="664">
        <v>25.64</v>
      </c>
      <c r="K2062" s="664">
        <v>1955.0</v>
      </c>
      <c r="L2062" s="664">
        <v>7109.0</v>
      </c>
      <c r="M2062" s="664">
        <v>4.0814</v>
      </c>
      <c r="N2062" s="1">
        <v>4.1596</v>
      </c>
      <c r="O2062" s="1">
        <v>1955.0</v>
      </c>
      <c r="P2062" s="1">
        <v>7109.0</v>
      </c>
      <c r="Q2062" s="1">
        <v>4.0814</v>
      </c>
      <c r="R2062" s="1">
        <v>1533.0</v>
      </c>
    </row>
    <row r="2063">
      <c r="A2063" s="663" t="s">
        <v>2353</v>
      </c>
      <c r="B2063" s="663" t="s">
        <v>1192</v>
      </c>
      <c r="C2063" s="663" t="s">
        <v>47</v>
      </c>
      <c r="D2063" s="663" t="s">
        <v>599</v>
      </c>
      <c r="E2063" s="664" t="s">
        <v>413</v>
      </c>
      <c r="F2063" s="664">
        <v>479.0</v>
      </c>
      <c r="G2063" s="664">
        <v>318.0</v>
      </c>
      <c r="H2063" s="664">
        <v>66.39</v>
      </c>
      <c r="I2063" s="664">
        <v>17.63</v>
      </c>
      <c r="J2063" s="664">
        <v>18.25</v>
      </c>
      <c r="K2063" s="664">
        <v>1253.0</v>
      </c>
      <c r="L2063" s="664">
        <v>7109.0</v>
      </c>
      <c r="M2063" s="664">
        <v>2.6159</v>
      </c>
      <c r="N2063" s="1">
        <v>3.9403</v>
      </c>
      <c r="O2063" s="1">
        <v>1253.0</v>
      </c>
      <c r="P2063" s="1">
        <v>7109.0</v>
      </c>
      <c r="Q2063" s="1">
        <v>2.6159</v>
      </c>
      <c r="R2063" s="1">
        <v>1533.0</v>
      </c>
    </row>
    <row r="2064">
      <c r="A2064" s="663" t="s">
        <v>2353</v>
      </c>
      <c r="B2064" s="663" t="s">
        <v>1192</v>
      </c>
      <c r="C2064" s="663" t="s">
        <v>47</v>
      </c>
      <c r="D2064" s="663" t="s">
        <v>599</v>
      </c>
      <c r="E2064" s="664" t="s">
        <v>14</v>
      </c>
      <c r="F2064" s="664">
        <v>479.0</v>
      </c>
      <c r="G2064" s="664">
        <v>344.0</v>
      </c>
      <c r="H2064" s="664">
        <v>71.82</v>
      </c>
      <c r="I2064" s="664">
        <v>12.29</v>
      </c>
      <c r="J2064" s="664">
        <v>11.93</v>
      </c>
      <c r="K2064" s="664">
        <v>874.0</v>
      </c>
      <c r="L2064" s="664">
        <v>7109.0</v>
      </c>
      <c r="M2064" s="664">
        <v>1.8246</v>
      </c>
      <c r="N2064" s="1">
        <v>2.5407</v>
      </c>
      <c r="O2064" s="1">
        <v>874.0</v>
      </c>
      <c r="P2064" s="1">
        <v>7109.0</v>
      </c>
      <c r="Q2064" s="1">
        <v>1.8246</v>
      </c>
      <c r="R2064" s="1">
        <v>1533.0</v>
      </c>
    </row>
    <row r="2065">
      <c r="A2065" s="663" t="s">
        <v>2353</v>
      </c>
      <c r="B2065" s="663" t="s">
        <v>1192</v>
      </c>
      <c r="C2065" s="663" t="s">
        <v>47</v>
      </c>
      <c r="D2065" s="663" t="s">
        <v>599</v>
      </c>
      <c r="E2065" s="664" t="s">
        <v>398</v>
      </c>
      <c r="F2065" s="664">
        <v>479.0</v>
      </c>
      <c r="G2065" s="664">
        <v>418.0</v>
      </c>
      <c r="H2065" s="664">
        <v>87.27</v>
      </c>
      <c r="I2065" s="664">
        <v>10.3</v>
      </c>
      <c r="J2065" s="664">
        <v>11.78</v>
      </c>
      <c r="K2065" s="664">
        <v>732.0</v>
      </c>
      <c r="L2065" s="664">
        <v>7109.0</v>
      </c>
      <c r="M2065" s="664">
        <v>1.5282</v>
      </c>
      <c r="N2065" s="1">
        <v>1.7512</v>
      </c>
      <c r="O2065" s="1">
        <v>732.0</v>
      </c>
      <c r="P2065" s="1">
        <v>7109.0</v>
      </c>
      <c r="Q2065" s="1">
        <v>1.5282</v>
      </c>
      <c r="R2065" s="1">
        <v>1533.0</v>
      </c>
    </row>
    <row r="2066">
      <c r="A2066" s="663" t="s">
        <v>2353</v>
      </c>
      <c r="B2066" s="663" t="s">
        <v>1192</v>
      </c>
      <c r="C2066" s="663" t="s">
        <v>47</v>
      </c>
      <c r="D2066" s="663" t="s">
        <v>599</v>
      </c>
      <c r="E2066" s="664" t="s">
        <v>396</v>
      </c>
      <c r="F2066" s="664">
        <v>479.0</v>
      </c>
      <c r="G2066" s="664">
        <v>357.0</v>
      </c>
      <c r="H2066" s="664">
        <v>74.53</v>
      </c>
      <c r="I2066" s="664">
        <v>9.87</v>
      </c>
      <c r="J2066" s="664">
        <v>9.64</v>
      </c>
      <c r="K2066" s="664">
        <v>702.0</v>
      </c>
      <c r="L2066" s="664">
        <v>7109.0</v>
      </c>
      <c r="M2066" s="664">
        <v>1.4656</v>
      </c>
      <c r="N2066" s="1">
        <v>1.9664</v>
      </c>
      <c r="O2066" s="1">
        <v>702.0</v>
      </c>
      <c r="P2066" s="1">
        <v>7109.0</v>
      </c>
      <c r="Q2066" s="1">
        <v>1.4656</v>
      </c>
      <c r="R2066" s="1">
        <v>1533.0</v>
      </c>
    </row>
    <row r="2067">
      <c r="A2067" s="663" t="s">
        <v>2353</v>
      </c>
      <c r="B2067" s="663" t="s">
        <v>1192</v>
      </c>
      <c r="C2067" s="663" t="s">
        <v>47</v>
      </c>
      <c r="D2067" s="663" t="s">
        <v>599</v>
      </c>
      <c r="E2067" s="664" t="s">
        <v>411</v>
      </c>
      <c r="F2067" s="664">
        <v>479.0</v>
      </c>
      <c r="G2067" s="664">
        <v>365.0</v>
      </c>
      <c r="H2067" s="664">
        <v>76.2</v>
      </c>
      <c r="I2067" s="664">
        <v>8.4</v>
      </c>
      <c r="J2067" s="664">
        <v>8.45</v>
      </c>
      <c r="K2067" s="664">
        <v>597.0</v>
      </c>
      <c r="L2067" s="664">
        <v>7109.0</v>
      </c>
      <c r="M2067" s="664">
        <v>1.2463</v>
      </c>
      <c r="N2067" s="1">
        <v>1.6356</v>
      </c>
      <c r="O2067" s="1">
        <v>597.0</v>
      </c>
      <c r="P2067" s="1">
        <v>7109.0</v>
      </c>
      <c r="Q2067" s="1">
        <v>1.2463</v>
      </c>
      <c r="R2067" s="1">
        <v>1533.0</v>
      </c>
    </row>
    <row r="2068">
      <c r="A2068" s="663" t="s">
        <v>2353</v>
      </c>
      <c r="B2068" s="663" t="s">
        <v>1192</v>
      </c>
      <c r="C2068" s="663" t="s">
        <v>47</v>
      </c>
      <c r="D2068" s="663" t="s">
        <v>599</v>
      </c>
      <c r="E2068" s="664" t="s">
        <v>9</v>
      </c>
      <c r="F2068" s="664">
        <v>479.0</v>
      </c>
      <c r="G2068" s="664">
        <v>319.0</v>
      </c>
      <c r="H2068" s="664">
        <v>66.6</v>
      </c>
      <c r="I2068" s="664">
        <v>5.3</v>
      </c>
      <c r="J2068" s="664">
        <v>6.11</v>
      </c>
      <c r="K2068" s="664">
        <v>377.0</v>
      </c>
      <c r="L2068" s="664">
        <v>7109.0</v>
      </c>
      <c r="M2068" s="664">
        <v>0.7871</v>
      </c>
      <c r="N2068" s="1">
        <v>1.1818</v>
      </c>
      <c r="O2068" s="1">
        <v>377.0</v>
      </c>
      <c r="P2068" s="1">
        <v>7109.0</v>
      </c>
      <c r="Q2068" s="1">
        <v>0.7871</v>
      </c>
      <c r="R2068" s="1">
        <v>1533.0</v>
      </c>
    </row>
    <row r="2069">
      <c r="A2069" s="663" t="s">
        <v>2353</v>
      </c>
      <c r="B2069" s="663" t="s">
        <v>1192</v>
      </c>
      <c r="C2069" s="663" t="s">
        <v>47</v>
      </c>
      <c r="D2069" s="663" t="s">
        <v>599</v>
      </c>
      <c r="E2069" s="664" t="s">
        <v>51</v>
      </c>
      <c r="F2069" s="664">
        <v>479.0</v>
      </c>
      <c r="G2069" s="664">
        <v>152.0</v>
      </c>
      <c r="H2069" s="664">
        <v>31.73</v>
      </c>
      <c r="I2069" s="664">
        <v>3.81</v>
      </c>
      <c r="J2069" s="664">
        <v>3.4</v>
      </c>
      <c r="K2069" s="664">
        <v>271.0</v>
      </c>
      <c r="L2069" s="664">
        <v>7109.0</v>
      </c>
      <c r="M2069" s="664">
        <v>0.5658</v>
      </c>
      <c r="N2069" s="1">
        <v>1.7829</v>
      </c>
      <c r="O2069" s="1">
        <v>271.0</v>
      </c>
      <c r="P2069" s="1">
        <v>7109.0</v>
      </c>
      <c r="Q2069" s="1">
        <v>0.5658</v>
      </c>
      <c r="R2069" s="1">
        <v>1533.0</v>
      </c>
    </row>
    <row r="2070">
      <c r="A2070" s="663" t="s">
        <v>2353</v>
      </c>
      <c r="B2070" s="663" t="s">
        <v>1192</v>
      </c>
      <c r="C2070" s="663" t="s">
        <v>47</v>
      </c>
      <c r="D2070" s="663" t="s">
        <v>599</v>
      </c>
      <c r="E2070" s="664" t="s">
        <v>401</v>
      </c>
      <c r="F2070" s="664">
        <v>479.0</v>
      </c>
      <c r="G2070" s="664">
        <v>120.0</v>
      </c>
      <c r="H2070" s="664">
        <v>25.05</v>
      </c>
      <c r="I2070" s="664">
        <v>1.7</v>
      </c>
      <c r="J2070" s="664">
        <v>1.9</v>
      </c>
      <c r="K2070" s="664">
        <v>121.0</v>
      </c>
      <c r="L2070" s="664">
        <v>7109.0</v>
      </c>
      <c r="M2070" s="664">
        <v>0.2526</v>
      </c>
      <c r="N2070" s="1">
        <v>1.0083</v>
      </c>
      <c r="O2070" s="1">
        <v>121.0</v>
      </c>
      <c r="P2070" s="1">
        <v>7109.0</v>
      </c>
      <c r="Q2070" s="1">
        <v>0.2526</v>
      </c>
      <c r="R2070" s="1">
        <v>1533.0</v>
      </c>
    </row>
    <row r="2071">
      <c r="A2071" s="663" t="s">
        <v>2353</v>
      </c>
      <c r="B2071" s="663" t="s">
        <v>1192</v>
      </c>
      <c r="C2071" s="663" t="s">
        <v>47</v>
      </c>
      <c r="D2071" s="663" t="s">
        <v>599</v>
      </c>
      <c r="E2071" s="664" t="s">
        <v>206</v>
      </c>
      <c r="F2071" s="664">
        <v>479.0</v>
      </c>
      <c r="G2071" s="664">
        <v>104.0</v>
      </c>
      <c r="H2071" s="664">
        <v>21.71</v>
      </c>
      <c r="I2071" s="664">
        <v>1.46</v>
      </c>
      <c r="J2071" s="664">
        <v>1.34</v>
      </c>
      <c r="K2071" s="664">
        <v>104.0</v>
      </c>
      <c r="L2071" s="664">
        <v>7109.0</v>
      </c>
      <c r="M2071" s="664">
        <v>0.2171</v>
      </c>
      <c r="N2071" s="1">
        <v>1.0</v>
      </c>
      <c r="O2071" s="1">
        <v>104.0</v>
      </c>
      <c r="P2071" s="1">
        <v>7109.0</v>
      </c>
      <c r="Q2071" s="1">
        <v>0.2171</v>
      </c>
      <c r="R2071" s="1">
        <v>1533.0</v>
      </c>
    </row>
    <row r="2072">
      <c r="A2072" s="663" t="s">
        <v>2353</v>
      </c>
      <c r="B2072" s="663" t="s">
        <v>1192</v>
      </c>
      <c r="C2072" s="663" t="s">
        <v>47</v>
      </c>
      <c r="D2072" s="663" t="s">
        <v>599</v>
      </c>
      <c r="E2072" s="664" t="s">
        <v>73</v>
      </c>
      <c r="F2072" s="664">
        <v>479.0</v>
      </c>
      <c r="G2072" s="664">
        <v>62.0</v>
      </c>
      <c r="H2072" s="664">
        <v>12.94</v>
      </c>
      <c r="I2072" s="664">
        <v>0.9</v>
      </c>
      <c r="J2072" s="664">
        <v>0.91</v>
      </c>
      <c r="K2072" s="664">
        <v>64.0</v>
      </c>
      <c r="L2072" s="664">
        <v>7109.0</v>
      </c>
      <c r="M2072" s="664">
        <v>0.1336</v>
      </c>
      <c r="N2072" s="1">
        <v>1.0323</v>
      </c>
      <c r="O2072" s="1">
        <v>64.0</v>
      </c>
      <c r="P2072" s="1">
        <v>7109.0</v>
      </c>
      <c r="Q2072" s="1">
        <v>0.1336</v>
      </c>
      <c r="R2072" s="1">
        <v>1533.0</v>
      </c>
    </row>
    <row r="2073">
      <c r="A2073" s="663" t="s">
        <v>2353</v>
      </c>
      <c r="B2073" s="663" t="s">
        <v>1192</v>
      </c>
      <c r="C2073" s="663" t="s">
        <v>47</v>
      </c>
      <c r="D2073" s="663" t="s">
        <v>599</v>
      </c>
      <c r="E2073" s="664" t="s">
        <v>63</v>
      </c>
      <c r="F2073" s="664">
        <v>479.0</v>
      </c>
      <c r="G2073" s="664">
        <v>19.0</v>
      </c>
      <c r="H2073" s="664">
        <v>3.97</v>
      </c>
      <c r="I2073" s="664">
        <v>0.28</v>
      </c>
      <c r="J2073" s="664">
        <v>0.19</v>
      </c>
      <c r="K2073" s="664">
        <v>20.0</v>
      </c>
      <c r="L2073" s="664">
        <v>7109.0</v>
      </c>
      <c r="M2073" s="664">
        <v>0.0418</v>
      </c>
      <c r="N2073" s="1">
        <v>1.0526</v>
      </c>
      <c r="O2073" s="1">
        <v>20.0</v>
      </c>
      <c r="P2073" s="1">
        <v>7109.0</v>
      </c>
      <c r="Q2073" s="1">
        <v>0.0418</v>
      </c>
      <c r="R2073" s="1">
        <v>1533.0</v>
      </c>
    </row>
    <row r="2074">
      <c r="A2074" s="663" t="s">
        <v>2353</v>
      </c>
      <c r="B2074" s="663" t="s">
        <v>1192</v>
      </c>
      <c r="C2074" s="663" t="s">
        <v>47</v>
      </c>
      <c r="D2074" s="663" t="s">
        <v>599</v>
      </c>
      <c r="E2074" s="664" t="s">
        <v>42</v>
      </c>
      <c r="F2074" s="664">
        <v>479.0</v>
      </c>
      <c r="G2074" s="664">
        <v>17.0</v>
      </c>
      <c r="H2074" s="664">
        <v>3.55</v>
      </c>
      <c r="I2074" s="664">
        <v>0.24</v>
      </c>
      <c r="J2074" s="664">
        <v>0.2</v>
      </c>
      <c r="K2074" s="664">
        <v>17.0</v>
      </c>
      <c r="L2074" s="664">
        <v>7109.0</v>
      </c>
      <c r="M2074" s="664">
        <v>0.0355</v>
      </c>
      <c r="N2074" s="1">
        <v>1.0</v>
      </c>
      <c r="O2074" s="1">
        <v>17.0</v>
      </c>
      <c r="P2074" s="1">
        <v>7109.0</v>
      </c>
      <c r="Q2074" s="1">
        <v>0.0355</v>
      </c>
      <c r="R2074" s="1">
        <v>1533.0</v>
      </c>
    </row>
    <row r="2075">
      <c r="A2075" s="663" t="s">
        <v>2353</v>
      </c>
      <c r="B2075" s="663" t="s">
        <v>1192</v>
      </c>
      <c r="C2075" s="663" t="s">
        <v>47</v>
      </c>
      <c r="D2075" s="663" t="s">
        <v>599</v>
      </c>
      <c r="E2075" s="664" t="s">
        <v>16</v>
      </c>
      <c r="F2075" s="664">
        <v>479.0</v>
      </c>
      <c r="G2075" s="664">
        <v>10.0</v>
      </c>
      <c r="H2075" s="664">
        <v>2.09</v>
      </c>
      <c r="I2075" s="664">
        <v>0.17</v>
      </c>
      <c r="J2075" s="664">
        <v>0.14</v>
      </c>
      <c r="K2075" s="664">
        <v>12.0</v>
      </c>
      <c r="L2075" s="664">
        <v>7109.0</v>
      </c>
      <c r="M2075" s="664">
        <v>0.0251</v>
      </c>
      <c r="N2075" s="1">
        <v>1.2</v>
      </c>
      <c r="O2075" s="1">
        <v>12.0</v>
      </c>
      <c r="P2075" s="1">
        <v>7109.0</v>
      </c>
      <c r="Q2075" s="1">
        <v>0.0251</v>
      </c>
      <c r="R2075" s="1">
        <v>1533.0</v>
      </c>
    </row>
    <row r="2076">
      <c r="A2076" s="663" t="s">
        <v>2353</v>
      </c>
      <c r="B2076" s="663" t="s">
        <v>1192</v>
      </c>
      <c r="C2076" s="663" t="s">
        <v>47</v>
      </c>
      <c r="D2076" s="663" t="s">
        <v>599</v>
      </c>
      <c r="E2076" s="664" t="s">
        <v>7</v>
      </c>
      <c r="F2076" s="664">
        <v>479.0</v>
      </c>
      <c r="G2076" s="664">
        <v>8.0</v>
      </c>
      <c r="H2076" s="664">
        <v>1.67</v>
      </c>
      <c r="I2076" s="664">
        <v>0.11</v>
      </c>
      <c r="J2076" s="664">
        <v>0.09</v>
      </c>
      <c r="K2076" s="664">
        <v>8.0</v>
      </c>
      <c r="L2076" s="664">
        <v>7109.0</v>
      </c>
      <c r="M2076" s="664">
        <v>0.0167</v>
      </c>
      <c r="N2076" s="1">
        <v>1.0</v>
      </c>
      <c r="O2076" s="1">
        <v>8.0</v>
      </c>
      <c r="P2076" s="1">
        <v>7109.0</v>
      </c>
      <c r="Q2076" s="1">
        <v>0.0167</v>
      </c>
      <c r="R2076" s="1">
        <v>1533.0</v>
      </c>
    </row>
    <row r="2077">
      <c r="A2077" s="663" t="s">
        <v>2353</v>
      </c>
      <c r="B2077" s="663" t="s">
        <v>1192</v>
      </c>
      <c r="C2077" s="663" t="s">
        <v>47</v>
      </c>
      <c r="D2077" s="663" t="s">
        <v>599</v>
      </c>
      <c r="E2077" s="664" t="s">
        <v>393</v>
      </c>
      <c r="F2077" s="664">
        <v>479.0</v>
      </c>
      <c r="G2077" s="664">
        <v>2.0</v>
      </c>
      <c r="H2077" s="664">
        <v>0.42</v>
      </c>
      <c r="I2077" s="664">
        <v>0.03</v>
      </c>
      <c r="J2077" s="664">
        <v>0.04</v>
      </c>
      <c r="K2077" s="664">
        <v>2.0</v>
      </c>
      <c r="L2077" s="664">
        <v>7109.0</v>
      </c>
      <c r="M2077" s="664">
        <v>0.0042</v>
      </c>
      <c r="N2077" s="1">
        <v>1.0</v>
      </c>
      <c r="O2077" s="1">
        <v>2.0</v>
      </c>
      <c r="P2077" s="1">
        <v>7109.0</v>
      </c>
      <c r="Q2077" s="1">
        <v>0.0042</v>
      </c>
      <c r="R2077" s="1">
        <v>1533.0</v>
      </c>
    </row>
    <row r="2078">
      <c r="A2078" s="663" t="s">
        <v>2353</v>
      </c>
      <c r="B2078" s="663" t="s">
        <v>1192</v>
      </c>
      <c r="C2078" s="663" t="s">
        <v>46</v>
      </c>
      <c r="D2078" s="663" t="s">
        <v>599</v>
      </c>
      <c r="E2078" s="664" t="s">
        <v>396</v>
      </c>
      <c r="F2078" s="664">
        <v>472.0</v>
      </c>
      <c r="G2078" s="664">
        <v>416.0</v>
      </c>
      <c r="H2078" s="664">
        <v>88.14</v>
      </c>
      <c r="I2078" s="664">
        <v>78.26</v>
      </c>
      <c r="J2078" s="664">
        <v>71.74</v>
      </c>
      <c r="K2078" s="664">
        <v>1204278.0</v>
      </c>
      <c r="L2078" s="664">
        <v>1538886.67</v>
      </c>
      <c r="M2078" s="664">
        <v>2551.4364</v>
      </c>
      <c r="N2078" s="1">
        <v>2894.899</v>
      </c>
      <c r="O2078" s="1">
        <v>1204278.0</v>
      </c>
      <c r="P2078" s="1">
        <v>1562008.0</v>
      </c>
      <c r="Q2078" s="1">
        <v>2551.4364</v>
      </c>
      <c r="R2078" s="1">
        <v>1533.0</v>
      </c>
    </row>
    <row r="2079">
      <c r="A2079" s="663" t="s">
        <v>2353</v>
      </c>
      <c r="B2079" s="663" t="s">
        <v>1192</v>
      </c>
      <c r="C2079" s="663" t="s">
        <v>46</v>
      </c>
      <c r="D2079" s="663" t="s">
        <v>599</v>
      </c>
      <c r="E2079" s="664" t="s">
        <v>14</v>
      </c>
      <c r="F2079" s="664">
        <v>472.0</v>
      </c>
      <c r="G2079" s="664">
        <v>357.0</v>
      </c>
      <c r="H2079" s="664">
        <v>75.64</v>
      </c>
      <c r="I2079" s="664">
        <v>15.05</v>
      </c>
      <c r="J2079" s="664">
        <v>18.2</v>
      </c>
      <c r="K2079" s="664">
        <v>231613.67</v>
      </c>
      <c r="L2079" s="664">
        <v>1538886.67</v>
      </c>
      <c r="M2079" s="664">
        <v>490.7069</v>
      </c>
      <c r="N2079" s="1">
        <v>648.7778</v>
      </c>
      <c r="O2079" s="1">
        <v>254735.0</v>
      </c>
      <c r="P2079" s="1">
        <v>1562008.0</v>
      </c>
      <c r="Q2079" s="1">
        <v>539.6928</v>
      </c>
      <c r="R2079" s="1">
        <v>1533.0</v>
      </c>
    </row>
    <row r="2080">
      <c r="A2080" s="663" t="s">
        <v>2353</v>
      </c>
      <c r="B2080" s="663" t="s">
        <v>1192</v>
      </c>
      <c r="C2080" s="663" t="s">
        <v>46</v>
      </c>
      <c r="D2080" s="663" t="s">
        <v>599</v>
      </c>
      <c r="E2080" s="664" t="s">
        <v>411</v>
      </c>
      <c r="F2080" s="664">
        <v>472.0</v>
      </c>
      <c r="G2080" s="664">
        <v>324.0</v>
      </c>
      <c r="H2080" s="664">
        <v>68.64</v>
      </c>
      <c r="I2080" s="664">
        <v>2.62</v>
      </c>
      <c r="J2080" s="664">
        <v>4.0</v>
      </c>
      <c r="K2080" s="664">
        <v>40360.0</v>
      </c>
      <c r="L2080" s="664">
        <v>1538886.67</v>
      </c>
      <c r="M2080" s="664">
        <v>85.5085</v>
      </c>
      <c r="N2080" s="1">
        <v>124.5679</v>
      </c>
      <c r="O2080" s="1">
        <v>40360.0</v>
      </c>
      <c r="P2080" s="1">
        <v>1562008.0</v>
      </c>
      <c r="Q2080" s="1">
        <v>85.5085</v>
      </c>
      <c r="R2080" s="1">
        <v>1533.0</v>
      </c>
    </row>
    <row r="2081">
      <c r="A2081" s="663" t="s">
        <v>2353</v>
      </c>
      <c r="B2081" s="663" t="s">
        <v>1192</v>
      </c>
      <c r="C2081" s="663" t="s">
        <v>46</v>
      </c>
      <c r="D2081" s="663" t="s">
        <v>599</v>
      </c>
      <c r="E2081" s="664" t="s">
        <v>7</v>
      </c>
      <c r="F2081" s="664">
        <v>472.0</v>
      </c>
      <c r="G2081" s="664">
        <v>128.0</v>
      </c>
      <c r="H2081" s="664">
        <v>27.12</v>
      </c>
      <c r="I2081" s="664">
        <v>1.87</v>
      </c>
      <c r="J2081" s="664">
        <v>1.96</v>
      </c>
      <c r="K2081" s="664">
        <v>28830.0</v>
      </c>
      <c r="L2081" s="664">
        <v>1538886.67</v>
      </c>
      <c r="M2081" s="664">
        <v>61.0805</v>
      </c>
      <c r="N2081" s="1">
        <v>225.2344</v>
      </c>
      <c r="O2081" s="1">
        <v>28830.0</v>
      </c>
      <c r="P2081" s="1">
        <v>1562008.0</v>
      </c>
      <c r="Q2081" s="1">
        <v>61.0805</v>
      </c>
      <c r="R2081" s="1">
        <v>1533.0</v>
      </c>
    </row>
    <row r="2082">
      <c r="A2082" s="663" t="s">
        <v>2353</v>
      </c>
      <c r="B2082" s="663" t="s">
        <v>1192</v>
      </c>
      <c r="C2082" s="663" t="s">
        <v>46</v>
      </c>
      <c r="D2082" s="663" t="s">
        <v>599</v>
      </c>
      <c r="E2082" s="664" t="s">
        <v>42</v>
      </c>
      <c r="F2082" s="664">
        <v>472.0</v>
      </c>
      <c r="G2082" s="664">
        <v>279.0</v>
      </c>
      <c r="H2082" s="664">
        <v>59.11</v>
      </c>
      <c r="I2082" s="664">
        <v>1.86</v>
      </c>
      <c r="J2082" s="664">
        <v>3.59</v>
      </c>
      <c r="K2082" s="664">
        <v>28550.0</v>
      </c>
      <c r="L2082" s="664">
        <v>1538886.67</v>
      </c>
      <c r="M2082" s="664">
        <v>60.4873</v>
      </c>
      <c r="N2082" s="1">
        <v>102.3297</v>
      </c>
      <c r="O2082" s="1">
        <v>28550.0</v>
      </c>
      <c r="P2082" s="1">
        <v>1562008.0</v>
      </c>
      <c r="Q2082" s="1">
        <v>60.4873</v>
      </c>
      <c r="R2082" s="1">
        <v>1533.0</v>
      </c>
    </row>
    <row r="2083">
      <c r="A2083" s="663" t="s">
        <v>2353</v>
      </c>
      <c r="B2083" s="663" t="s">
        <v>1192</v>
      </c>
      <c r="C2083" s="663" t="s">
        <v>46</v>
      </c>
      <c r="D2083" s="663" t="s">
        <v>599</v>
      </c>
      <c r="E2083" s="664" t="s">
        <v>51</v>
      </c>
      <c r="F2083" s="664">
        <v>472.0</v>
      </c>
      <c r="G2083" s="664">
        <v>144.0</v>
      </c>
      <c r="H2083" s="664">
        <v>30.51</v>
      </c>
      <c r="I2083" s="664">
        <v>0.34</v>
      </c>
      <c r="J2083" s="664">
        <v>0.5</v>
      </c>
      <c r="K2083" s="664">
        <v>5180.0</v>
      </c>
      <c r="L2083" s="664">
        <v>1538886.67</v>
      </c>
      <c r="M2083" s="664">
        <v>10.9746</v>
      </c>
      <c r="N2083" s="1">
        <v>35.9722</v>
      </c>
      <c r="O2083" s="1">
        <v>5180.0</v>
      </c>
      <c r="P2083" s="1">
        <v>1562008.0</v>
      </c>
      <c r="Q2083" s="1">
        <v>10.9746</v>
      </c>
      <c r="R2083" s="1">
        <v>1533.0</v>
      </c>
    </row>
    <row r="2084">
      <c r="A2084" s="663" t="s">
        <v>2353</v>
      </c>
      <c r="B2084" s="663" t="s">
        <v>1192</v>
      </c>
      <c r="C2084" s="663" t="s">
        <v>46</v>
      </c>
      <c r="D2084" s="663" t="s">
        <v>599</v>
      </c>
      <c r="E2084" s="664" t="s">
        <v>413</v>
      </c>
      <c r="F2084" s="664">
        <v>472.0</v>
      </c>
      <c r="G2084" s="664">
        <v>5.0</v>
      </c>
      <c r="H2084" s="664">
        <v>1.06</v>
      </c>
      <c r="I2084" s="664">
        <v>0.0</v>
      </c>
      <c r="J2084" s="664">
        <v>0.01</v>
      </c>
      <c r="K2084" s="664">
        <v>75.0</v>
      </c>
      <c r="L2084" s="664">
        <v>1538886.67</v>
      </c>
      <c r="M2084" s="664">
        <v>0.1589</v>
      </c>
      <c r="N2084" s="1">
        <v>15.0</v>
      </c>
      <c r="O2084" s="1">
        <v>75.0</v>
      </c>
      <c r="P2084" s="1">
        <v>1562008.0</v>
      </c>
      <c r="Q2084" s="1">
        <v>0.1589</v>
      </c>
      <c r="R2084" s="1">
        <v>1533.0</v>
      </c>
    </row>
    <row r="2085">
      <c r="A2085" s="663" t="s">
        <v>2353</v>
      </c>
      <c r="B2085" s="663" t="s">
        <v>1192</v>
      </c>
      <c r="C2085" s="663" t="s">
        <v>1213</v>
      </c>
      <c r="D2085" s="663" t="s">
        <v>2234</v>
      </c>
      <c r="E2085" s="664" t="s">
        <v>14</v>
      </c>
      <c r="F2085" s="664">
        <v>233.0</v>
      </c>
      <c r="G2085" s="664">
        <v>232.0</v>
      </c>
      <c r="H2085" s="664">
        <v>99.57</v>
      </c>
      <c r="I2085" s="664">
        <v>99.78</v>
      </c>
      <c r="J2085" s="664">
        <v>99.57</v>
      </c>
      <c r="K2085" s="664">
        <v>6830.0</v>
      </c>
      <c r="L2085" s="664">
        <v>6845.0</v>
      </c>
      <c r="M2085" s="664">
        <v>29.3133</v>
      </c>
      <c r="N2085" s="1">
        <v>29.4397</v>
      </c>
      <c r="O2085" s="1">
        <v>6830.0</v>
      </c>
      <c r="P2085" s="1">
        <v>6845.0</v>
      </c>
      <c r="Q2085" s="1">
        <v>29.3133</v>
      </c>
      <c r="R2085" s="1">
        <v>1533.0</v>
      </c>
    </row>
    <row r="2086">
      <c r="A2086" s="663" t="s">
        <v>2353</v>
      </c>
      <c r="B2086" s="663" t="s">
        <v>1192</v>
      </c>
      <c r="C2086" s="663" t="s">
        <v>1213</v>
      </c>
      <c r="D2086" s="663" t="s">
        <v>2234</v>
      </c>
      <c r="E2086" s="664" t="s">
        <v>397</v>
      </c>
      <c r="F2086" s="664">
        <v>233.0</v>
      </c>
      <c r="G2086" s="664">
        <v>1.0</v>
      </c>
      <c r="H2086" s="664">
        <v>0.43</v>
      </c>
      <c r="I2086" s="664">
        <v>0.22</v>
      </c>
      <c r="J2086" s="664">
        <v>0.43</v>
      </c>
      <c r="K2086" s="664">
        <v>15.0</v>
      </c>
      <c r="L2086" s="664">
        <v>6845.0</v>
      </c>
      <c r="M2086" s="664">
        <v>0.0644</v>
      </c>
      <c r="N2086" s="1">
        <v>15.0</v>
      </c>
      <c r="O2086" s="1">
        <v>15.0</v>
      </c>
      <c r="P2086" s="1">
        <v>6845.0</v>
      </c>
      <c r="Q2086" s="1">
        <v>0.0644</v>
      </c>
      <c r="R2086" s="1">
        <v>1533.0</v>
      </c>
    </row>
    <row r="2087">
      <c r="A2087" s="663" t="s">
        <v>2353</v>
      </c>
      <c r="B2087" s="663" t="s">
        <v>1192</v>
      </c>
      <c r="C2087" s="663" t="s">
        <v>53</v>
      </c>
      <c r="D2087" s="663" t="s">
        <v>599</v>
      </c>
      <c r="E2087" s="664" t="s">
        <v>14</v>
      </c>
      <c r="F2087" s="664">
        <v>479.0</v>
      </c>
      <c r="G2087" s="664">
        <v>355.0</v>
      </c>
      <c r="H2087" s="664">
        <v>74.11</v>
      </c>
      <c r="I2087" s="664">
        <v>36.67</v>
      </c>
      <c r="J2087" s="664">
        <v>14.98</v>
      </c>
      <c r="K2087" s="664">
        <v>3721.0</v>
      </c>
      <c r="L2087" s="664">
        <v>10148.0</v>
      </c>
      <c r="M2087" s="664">
        <v>7.7683</v>
      </c>
      <c r="N2087" s="1">
        <v>10.4817</v>
      </c>
      <c r="O2087" s="1">
        <v>3721.0</v>
      </c>
      <c r="P2087" s="1">
        <v>10148.0</v>
      </c>
      <c r="Q2087" s="1">
        <v>7.7683</v>
      </c>
      <c r="R2087" s="1">
        <v>1533.0</v>
      </c>
    </row>
    <row r="2088">
      <c r="A2088" s="663" t="s">
        <v>2353</v>
      </c>
      <c r="B2088" s="663" t="s">
        <v>1192</v>
      </c>
      <c r="C2088" s="663" t="s">
        <v>53</v>
      </c>
      <c r="D2088" s="663" t="s">
        <v>599</v>
      </c>
      <c r="E2088" s="664" t="s">
        <v>396</v>
      </c>
      <c r="F2088" s="664">
        <v>479.0</v>
      </c>
      <c r="G2088" s="664">
        <v>446.0</v>
      </c>
      <c r="H2088" s="664">
        <v>93.11</v>
      </c>
      <c r="I2088" s="664">
        <v>20.53</v>
      </c>
      <c r="J2088" s="664">
        <v>30.45</v>
      </c>
      <c r="K2088" s="664">
        <v>2083.0</v>
      </c>
      <c r="L2088" s="664">
        <v>10148.0</v>
      </c>
      <c r="M2088" s="664">
        <v>4.3486</v>
      </c>
      <c r="N2088" s="1">
        <v>4.6704</v>
      </c>
      <c r="O2088" s="1">
        <v>2083.0</v>
      </c>
      <c r="P2088" s="1">
        <v>10148.0</v>
      </c>
      <c r="Q2088" s="1">
        <v>4.3486</v>
      </c>
      <c r="R2088" s="1">
        <v>1533.0</v>
      </c>
    </row>
    <row r="2089">
      <c r="A2089" s="663" t="s">
        <v>2353</v>
      </c>
      <c r="B2089" s="663" t="s">
        <v>1192</v>
      </c>
      <c r="C2089" s="663" t="s">
        <v>53</v>
      </c>
      <c r="D2089" s="663" t="s">
        <v>599</v>
      </c>
      <c r="E2089" s="664" t="s">
        <v>418</v>
      </c>
      <c r="F2089" s="664">
        <v>479.0</v>
      </c>
      <c r="G2089" s="664">
        <v>472.0</v>
      </c>
      <c r="H2089" s="664">
        <v>98.54</v>
      </c>
      <c r="I2089" s="664">
        <v>18.3</v>
      </c>
      <c r="J2089" s="664">
        <v>23.04</v>
      </c>
      <c r="K2089" s="664">
        <v>1857.0</v>
      </c>
      <c r="L2089" s="664">
        <v>10148.0</v>
      </c>
      <c r="M2089" s="664">
        <v>3.8768</v>
      </c>
      <c r="N2089" s="1">
        <v>3.9343</v>
      </c>
      <c r="O2089" s="1">
        <v>1857.0</v>
      </c>
      <c r="P2089" s="1">
        <v>10148.0</v>
      </c>
      <c r="Q2089" s="1">
        <v>3.8768</v>
      </c>
      <c r="R2089" s="1">
        <v>1533.0</v>
      </c>
    </row>
    <row r="2090">
      <c r="A2090" s="663" t="s">
        <v>2353</v>
      </c>
      <c r="B2090" s="663" t="s">
        <v>1192</v>
      </c>
      <c r="C2090" s="663" t="s">
        <v>53</v>
      </c>
      <c r="D2090" s="663" t="s">
        <v>599</v>
      </c>
      <c r="E2090" s="664" t="s">
        <v>413</v>
      </c>
      <c r="F2090" s="664">
        <v>479.0</v>
      </c>
      <c r="G2090" s="664">
        <v>286.0</v>
      </c>
      <c r="H2090" s="664">
        <v>59.71</v>
      </c>
      <c r="I2090" s="664">
        <v>6.03</v>
      </c>
      <c r="J2090" s="664">
        <v>9.04</v>
      </c>
      <c r="K2090" s="664">
        <v>612.0</v>
      </c>
      <c r="L2090" s="664">
        <v>10148.0</v>
      </c>
      <c r="M2090" s="664">
        <v>1.2777</v>
      </c>
      <c r="N2090" s="1">
        <v>2.1399</v>
      </c>
      <c r="O2090" s="1">
        <v>612.0</v>
      </c>
      <c r="P2090" s="1">
        <v>10148.0</v>
      </c>
      <c r="Q2090" s="1">
        <v>1.2777</v>
      </c>
      <c r="R2090" s="1">
        <v>1533.0</v>
      </c>
    </row>
    <row r="2091">
      <c r="A2091" s="663" t="s">
        <v>2353</v>
      </c>
      <c r="B2091" s="663" t="s">
        <v>1192</v>
      </c>
      <c r="C2091" s="663" t="s">
        <v>53</v>
      </c>
      <c r="D2091" s="663" t="s">
        <v>599</v>
      </c>
      <c r="E2091" s="664" t="s">
        <v>411</v>
      </c>
      <c r="F2091" s="664">
        <v>479.0</v>
      </c>
      <c r="G2091" s="664">
        <v>192.0</v>
      </c>
      <c r="H2091" s="664">
        <v>40.08</v>
      </c>
      <c r="I2091" s="664">
        <v>3.88</v>
      </c>
      <c r="J2091" s="664">
        <v>4.94</v>
      </c>
      <c r="K2091" s="664">
        <v>394.0</v>
      </c>
      <c r="L2091" s="664">
        <v>10148.0</v>
      </c>
      <c r="M2091" s="664">
        <v>0.8225</v>
      </c>
      <c r="N2091" s="1">
        <v>2.0521</v>
      </c>
      <c r="O2091" s="1">
        <v>394.0</v>
      </c>
      <c r="P2091" s="1">
        <v>10148.0</v>
      </c>
      <c r="Q2091" s="1">
        <v>0.8225</v>
      </c>
      <c r="R2091" s="1">
        <v>1533.0</v>
      </c>
    </row>
    <row r="2092">
      <c r="A2092" s="663" t="s">
        <v>2353</v>
      </c>
      <c r="B2092" s="663" t="s">
        <v>1192</v>
      </c>
      <c r="C2092" s="663" t="s">
        <v>53</v>
      </c>
      <c r="D2092" s="663" t="s">
        <v>599</v>
      </c>
      <c r="E2092" s="664" t="s">
        <v>9</v>
      </c>
      <c r="F2092" s="664">
        <v>479.0</v>
      </c>
      <c r="G2092" s="664">
        <v>282.0</v>
      </c>
      <c r="H2092" s="664">
        <v>58.87</v>
      </c>
      <c r="I2092" s="664">
        <v>3.28</v>
      </c>
      <c r="J2092" s="664">
        <v>4.97</v>
      </c>
      <c r="K2092" s="664">
        <v>333.0</v>
      </c>
      <c r="L2092" s="664">
        <v>10148.0</v>
      </c>
      <c r="M2092" s="664">
        <v>0.6952</v>
      </c>
      <c r="N2092" s="1">
        <v>1.1809</v>
      </c>
      <c r="O2092" s="1">
        <v>333.0</v>
      </c>
      <c r="P2092" s="1">
        <v>10148.0</v>
      </c>
      <c r="Q2092" s="1">
        <v>0.6952</v>
      </c>
      <c r="R2092" s="1">
        <v>1533.0</v>
      </c>
    </row>
    <row r="2093">
      <c r="A2093" s="663" t="s">
        <v>2353</v>
      </c>
      <c r="B2093" s="663" t="s">
        <v>1192</v>
      </c>
      <c r="C2093" s="663" t="s">
        <v>53</v>
      </c>
      <c r="D2093" s="663" t="s">
        <v>599</v>
      </c>
      <c r="E2093" s="664" t="s">
        <v>393</v>
      </c>
      <c r="F2093" s="664">
        <v>479.0</v>
      </c>
      <c r="G2093" s="664">
        <v>104.0</v>
      </c>
      <c r="H2093" s="664">
        <v>21.71</v>
      </c>
      <c r="I2093" s="664">
        <v>1.97</v>
      </c>
      <c r="J2093" s="664">
        <v>1.96</v>
      </c>
      <c r="K2093" s="664">
        <v>200.0</v>
      </c>
      <c r="L2093" s="664">
        <v>10148.0</v>
      </c>
      <c r="M2093" s="664">
        <v>0.4175</v>
      </c>
      <c r="N2093" s="1">
        <v>1.9231</v>
      </c>
      <c r="O2093" s="1">
        <v>200.0</v>
      </c>
      <c r="P2093" s="1">
        <v>10148.0</v>
      </c>
      <c r="Q2093" s="1">
        <v>0.4175</v>
      </c>
      <c r="R2093" s="1">
        <v>1533.0</v>
      </c>
    </row>
    <row r="2094">
      <c r="A2094" s="663" t="s">
        <v>2353</v>
      </c>
      <c r="B2094" s="663" t="s">
        <v>1192</v>
      </c>
      <c r="C2094" s="663" t="s">
        <v>53</v>
      </c>
      <c r="D2094" s="663" t="s">
        <v>599</v>
      </c>
      <c r="E2094" s="664" t="s">
        <v>16</v>
      </c>
      <c r="F2094" s="664">
        <v>479.0</v>
      </c>
      <c r="G2094" s="664">
        <v>122.0</v>
      </c>
      <c r="H2094" s="664">
        <v>25.47</v>
      </c>
      <c r="I2094" s="664">
        <v>1.62</v>
      </c>
      <c r="J2094" s="664">
        <v>2.33</v>
      </c>
      <c r="K2094" s="664">
        <v>164.0</v>
      </c>
      <c r="L2094" s="664">
        <v>10148.0</v>
      </c>
      <c r="M2094" s="664">
        <v>0.3424</v>
      </c>
      <c r="N2094" s="1">
        <v>1.3443</v>
      </c>
      <c r="O2094" s="1">
        <v>164.0</v>
      </c>
      <c r="P2094" s="1">
        <v>10148.0</v>
      </c>
      <c r="Q2094" s="1">
        <v>0.3424</v>
      </c>
      <c r="R2094" s="1">
        <v>1533.0</v>
      </c>
    </row>
    <row r="2095">
      <c r="A2095" s="663" t="s">
        <v>2353</v>
      </c>
      <c r="B2095" s="663" t="s">
        <v>1192</v>
      </c>
      <c r="C2095" s="663" t="s">
        <v>53</v>
      </c>
      <c r="D2095" s="663" t="s">
        <v>599</v>
      </c>
      <c r="E2095" s="664" t="s">
        <v>42</v>
      </c>
      <c r="F2095" s="664">
        <v>479.0</v>
      </c>
      <c r="G2095" s="664">
        <v>118.0</v>
      </c>
      <c r="H2095" s="664">
        <v>24.63</v>
      </c>
      <c r="I2095" s="664">
        <v>1.49</v>
      </c>
      <c r="J2095" s="664">
        <v>2.14</v>
      </c>
      <c r="K2095" s="664">
        <v>151.0</v>
      </c>
      <c r="L2095" s="664">
        <v>10148.0</v>
      </c>
      <c r="M2095" s="664">
        <v>0.3152</v>
      </c>
      <c r="N2095" s="1">
        <v>1.2797</v>
      </c>
      <c r="O2095" s="1">
        <v>151.0</v>
      </c>
      <c r="P2095" s="1">
        <v>10148.0</v>
      </c>
      <c r="Q2095" s="1">
        <v>0.3152</v>
      </c>
      <c r="R2095" s="1">
        <v>1533.0</v>
      </c>
    </row>
    <row r="2096">
      <c r="A2096" s="663" t="s">
        <v>2353</v>
      </c>
      <c r="B2096" s="663" t="s">
        <v>1192</v>
      </c>
      <c r="C2096" s="663" t="s">
        <v>53</v>
      </c>
      <c r="D2096" s="663" t="s">
        <v>599</v>
      </c>
      <c r="E2096" s="664" t="s">
        <v>397</v>
      </c>
      <c r="F2096" s="664">
        <v>479.0</v>
      </c>
      <c r="G2096" s="664">
        <v>114.0</v>
      </c>
      <c r="H2096" s="664">
        <v>23.8</v>
      </c>
      <c r="I2096" s="664">
        <v>1.46</v>
      </c>
      <c r="J2096" s="664">
        <v>1.27</v>
      </c>
      <c r="K2096" s="664">
        <v>148.0</v>
      </c>
      <c r="L2096" s="664">
        <v>10148.0</v>
      </c>
      <c r="M2096" s="664">
        <v>0.309</v>
      </c>
      <c r="N2096" s="1">
        <v>1.2982</v>
      </c>
      <c r="O2096" s="1">
        <v>148.0</v>
      </c>
      <c r="P2096" s="1">
        <v>10148.0</v>
      </c>
      <c r="Q2096" s="1">
        <v>0.309</v>
      </c>
      <c r="R2096" s="1">
        <v>1533.0</v>
      </c>
    </row>
    <row r="2097">
      <c r="A2097" s="663" t="s">
        <v>2353</v>
      </c>
      <c r="B2097" s="663" t="s">
        <v>1192</v>
      </c>
      <c r="C2097" s="663" t="s">
        <v>53</v>
      </c>
      <c r="D2097" s="663" t="s">
        <v>599</v>
      </c>
      <c r="E2097" s="664" t="s">
        <v>15</v>
      </c>
      <c r="F2097" s="664">
        <v>479.0</v>
      </c>
      <c r="G2097" s="664">
        <v>42.0</v>
      </c>
      <c r="H2097" s="664">
        <v>8.77</v>
      </c>
      <c r="I2097" s="664">
        <v>0.99</v>
      </c>
      <c r="J2097" s="664">
        <v>0.84</v>
      </c>
      <c r="K2097" s="664">
        <v>100.0</v>
      </c>
      <c r="L2097" s="664">
        <v>10148.0</v>
      </c>
      <c r="M2097" s="664">
        <v>0.2088</v>
      </c>
      <c r="N2097" s="1">
        <v>2.381</v>
      </c>
      <c r="O2097" s="1">
        <v>100.0</v>
      </c>
      <c r="P2097" s="1">
        <v>10148.0</v>
      </c>
      <c r="Q2097" s="1">
        <v>0.2088</v>
      </c>
      <c r="R2097" s="1">
        <v>1533.0</v>
      </c>
    </row>
    <row r="2098">
      <c r="A2098" s="663" t="s">
        <v>2353</v>
      </c>
      <c r="B2098" s="663" t="s">
        <v>1192</v>
      </c>
      <c r="C2098" s="663" t="s">
        <v>53</v>
      </c>
      <c r="D2098" s="663" t="s">
        <v>599</v>
      </c>
      <c r="E2098" s="664" t="s">
        <v>63</v>
      </c>
      <c r="F2098" s="664">
        <v>479.0</v>
      </c>
      <c r="G2098" s="664">
        <v>79.0</v>
      </c>
      <c r="H2098" s="664">
        <v>16.49</v>
      </c>
      <c r="I2098" s="664">
        <v>0.99</v>
      </c>
      <c r="J2098" s="664">
        <v>0.98</v>
      </c>
      <c r="K2098" s="664">
        <v>100.0</v>
      </c>
      <c r="L2098" s="664">
        <v>10148.0</v>
      </c>
      <c r="M2098" s="664">
        <v>0.2088</v>
      </c>
      <c r="N2098" s="1">
        <v>1.2658</v>
      </c>
      <c r="O2098" s="1">
        <v>100.0</v>
      </c>
      <c r="P2098" s="1">
        <v>10148.0</v>
      </c>
      <c r="Q2098" s="1">
        <v>0.2088</v>
      </c>
      <c r="R2098" s="1">
        <v>1533.0</v>
      </c>
    </row>
    <row r="2099">
      <c r="A2099" s="663" t="s">
        <v>2353</v>
      </c>
      <c r="B2099" s="663" t="s">
        <v>1192</v>
      </c>
      <c r="C2099" s="663" t="s">
        <v>53</v>
      </c>
      <c r="D2099" s="663" t="s">
        <v>599</v>
      </c>
      <c r="E2099" s="664" t="s">
        <v>7</v>
      </c>
      <c r="F2099" s="664">
        <v>479.0</v>
      </c>
      <c r="G2099" s="664">
        <v>52.0</v>
      </c>
      <c r="H2099" s="664">
        <v>10.86</v>
      </c>
      <c r="I2099" s="664">
        <v>0.54</v>
      </c>
      <c r="J2099" s="664">
        <v>0.49</v>
      </c>
      <c r="K2099" s="664">
        <v>55.0</v>
      </c>
      <c r="L2099" s="664">
        <v>10148.0</v>
      </c>
      <c r="M2099" s="664">
        <v>0.1148</v>
      </c>
      <c r="N2099" s="1">
        <v>1.0577</v>
      </c>
      <c r="O2099" s="1">
        <v>55.0</v>
      </c>
      <c r="P2099" s="1">
        <v>10148.0</v>
      </c>
      <c r="Q2099" s="1">
        <v>0.1148</v>
      </c>
      <c r="R2099" s="1">
        <v>1533.0</v>
      </c>
    </row>
    <row r="2100">
      <c r="A2100" s="663" t="s">
        <v>2353</v>
      </c>
      <c r="B2100" s="663" t="s">
        <v>1192</v>
      </c>
      <c r="C2100" s="663" t="s">
        <v>53</v>
      </c>
      <c r="D2100" s="663" t="s">
        <v>599</v>
      </c>
      <c r="E2100" s="664" t="s">
        <v>338</v>
      </c>
      <c r="F2100" s="664">
        <v>479.0</v>
      </c>
      <c r="G2100" s="664">
        <v>44.0</v>
      </c>
      <c r="H2100" s="664">
        <v>9.19</v>
      </c>
      <c r="I2100" s="664">
        <v>0.52</v>
      </c>
      <c r="J2100" s="664">
        <v>0.63</v>
      </c>
      <c r="K2100" s="664">
        <v>53.0</v>
      </c>
      <c r="L2100" s="664">
        <v>10148.0</v>
      </c>
      <c r="M2100" s="664">
        <v>0.1106</v>
      </c>
      <c r="N2100" s="1">
        <v>1.2045</v>
      </c>
      <c r="O2100" s="1">
        <v>53.0</v>
      </c>
      <c r="P2100" s="1">
        <v>10148.0</v>
      </c>
      <c r="Q2100" s="1">
        <v>0.1106</v>
      </c>
      <c r="R2100" s="1">
        <v>1533.0</v>
      </c>
    </row>
    <row r="2101">
      <c r="A2101" s="663" t="s">
        <v>2353</v>
      </c>
      <c r="B2101" s="663" t="s">
        <v>1192</v>
      </c>
      <c r="C2101" s="663" t="s">
        <v>53</v>
      </c>
      <c r="D2101" s="663" t="s">
        <v>599</v>
      </c>
      <c r="E2101" s="664" t="s">
        <v>341</v>
      </c>
      <c r="F2101" s="664">
        <v>479.0</v>
      </c>
      <c r="G2101" s="664">
        <v>44.0</v>
      </c>
      <c r="H2101" s="664">
        <v>9.19</v>
      </c>
      <c r="I2101" s="664">
        <v>0.48</v>
      </c>
      <c r="J2101" s="664">
        <v>0.52</v>
      </c>
      <c r="K2101" s="664">
        <v>49.0</v>
      </c>
      <c r="L2101" s="664">
        <v>10148.0</v>
      </c>
      <c r="M2101" s="664">
        <v>0.1023</v>
      </c>
      <c r="N2101" s="1">
        <v>1.1136</v>
      </c>
      <c r="O2101" s="1">
        <v>49.0</v>
      </c>
      <c r="P2101" s="1">
        <v>10148.0</v>
      </c>
      <c r="Q2101" s="1">
        <v>0.1023</v>
      </c>
      <c r="R2101" s="1">
        <v>1533.0</v>
      </c>
    </row>
    <row r="2102">
      <c r="A2102" s="663" t="s">
        <v>2353</v>
      </c>
      <c r="B2102" s="663" t="s">
        <v>1192</v>
      </c>
      <c r="C2102" s="663" t="s">
        <v>53</v>
      </c>
      <c r="D2102" s="663" t="s">
        <v>599</v>
      </c>
      <c r="E2102" s="664" t="s">
        <v>329</v>
      </c>
      <c r="F2102" s="664">
        <v>479.0</v>
      </c>
      <c r="G2102" s="664">
        <v>42.0</v>
      </c>
      <c r="H2102" s="664">
        <v>8.77</v>
      </c>
      <c r="I2102" s="664">
        <v>0.47</v>
      </c>
      <c r="J2102" s="664">
        <v>0.63</v>
      </c>
      <c r="K2102" s="664">
        <v>48.0</v>
      </c>
      <c r="L2102" s="664">
        <v>10148.0</v>
      </c>
      <c r="M2102" s="664">
        <v>0.1002</v>
      </c>
      <c r="N2102" s="1">
        <v>1.1429</v>
      </c>
      <c r="O2102" s="1">
        <v>48.0</v>
      </c>
      <c r="P2102" s="1">
        <v>10148.0</v>
      </c>
      <c r="Q2102" s="1">
        <v>0.1002</v>
      </c>
      <c r="R2102" s="1">
        <v>1533.0</v>
      </c>
    </row>
    <row r="2103">
      <c r="A2103" s="663" t="s">
        <v>2353</v>
      </c>
      <c r="B2103" s="663" t="s">
        <v>1192</v>
      </c>
      <c r="C2103" s="663" t="s">
        <v>53</v>
      </c>
      <c r="D2103" s="663" t="s">
        <v>599</v>
      </c>
      <c r="E2103" s="664" t="s">
        <v>73</v>
      </c>
      <c r="F2103" s="664">
        <v>479.0</v>
      </c>
      <c r="G2103" s="664">
        <v>40.0</v>
      </c>
      <c r="H2103" s="664">
        <v>8.35</v>
      </c>
      <c r="I2103" s="664">
        <v>0.39</v>
      </c>
      <c r="J2103" s="664">
        <v>0.52</v>
      </c>
      <c r="K2103" s="664">
        <v>40.0</v>
      </c>
      <c r="L2103" s="664">
        <v>10148.0</v>
      </c>
      <c r="M2103" s="664">
        <v>0.0835</v>
      </c>
      <c r="N2103" s="1">
        <v>1.0</v>
      </c>
      <c r="O2103" s="1">
        <v>40.0</v>
      </c>
      <c r="P2103" s="1">
        <v>10148.0</v>
      </c>
      <c r="Q2103" s="1">
        <v>0.0835</v>
      </c>
      <c r="R2103" s="1">
        <v>1533.0</v>
      </c>
    </row>
    <row r="2104">
      <c r="A2104" s="663" t="s">
        <v>2353</v>
      </c>
      <c r="B2104" s="663" t="s">
        <v>1192</v>
      </c>
      <c r="C2104" s="663" t="s">
        <v>53</v>
      </c>
      <c r="D2104" s="663" t="s">
        <v>599</v>
      </c>
      <c r="E2104" s="664" t="s">
        <v>206</v>
      </c>
      <c r="F2104" s="664">
        <v>479.0</v>
      </c>
      <c r="G2104" s="664">
        <v>39.0</v>
      </c>
      <c r="H2104" s="664">
        <v>8.14</v>
      </c>
      <c r="I2104" s="664">
        <v>0.39</v>
      </c>
      <c r="J2104" s="664">
        <v>0.29</v>
      </c>
      <c r="K2104" s="664">
        <v>40.0</v>
      </c>
      <c r="L2104" s="664">
        <v>10148.0</v>
      </c>
      <c r="M2104" s="664">
        <v>0.0835</v>
      </c>
      <c r="N2104" s="1">
        <v>1.0256</v>
      </c>
      <c r="O2104" s="1">
        <v>40.0</v>
      </c>
      <c r="P2104" s="1">
        <v>10148.0</v>
      </c>
      <c r="Q2104" s="1">
        <v>0.0835</v>
      </c>
      <c r="R2104" s="1">
        <v>1533.0</v>
      </c>
    </row>
    <row r="2105">
      <c r="A2105" s="663" t="s">
        <v>2353</v>
      </c>
      <c r="B2105" s="663" t="s">
        <v>1192</v>
      </c>
      <c r="C2105" s="663" t="s">
        <v>52</v>
      </c>
      <c r="D2105" s="663" t="s">
        <v>599</v>
      </c>
      <c r="E2105" s="664" t="s">
        <v>14</v>
      </c>
      <c r="F2105" s="664">
        <v>479.0</v>
      </c>
      <c r="G2105" s="664">
        <v>348.0</v>
      </c>
      <c r="H2105" s="664">
        <v>72.65</v>
      </c>
      <c r="I2105" s="664">
        <v>38.44</v>
      </c>
      <c r="J2105" s="664">
        <v>19.42</v>
      </c>
      <c r="K2105" s="664">
        <v>4085.0</v>
      </c>
      <c r="L2105" s="664">
        <v>10627.0</v>
      </c>
      <c r="M2105" s="664">
        <v>8.5282</v>
      </c>
      <c r="N2105" s="1">
        <v>11.7385</v>
      </c>
      <c r="O2105" s="1">
        <v>4085.0</v>
      </c>
      <c r="P2105" s="1">
        <v>10627.0</v>
      </c>
      <c r="Q2105" s="1">
        <v>8.5282</v>
      </c>
      <c r="R2105" s="1">
        <v>1533.0</v>
      </c>
    </row>
    <row r="2106">
      <c r="A2106" s="663" t="s">
        <v>2353</v>
      </c>
      <c r="B2106" s="663" t="s">
        <v>1192</v>
      </c>
      <c r="C2106" s="663" t="s">
        <v>52</v>
      </c>
      <c r="D2106" s="663" t="s">
        <v>599</v>
      </c>
      <c r="E2106" s="664" t="s">
        <v>418</v>
      </c>
      <c r="F2106" s="664">
        <v>479.0</v>
      </c>
      <c r="G2106" s="664">
        <v>470.0</v>
      </c>
      <c r="H2106" s="664">
        <v>98.12</v>
      </c>
      <c r="I2106" s="664">
        <v>17.86</v>
      </c>
      <c r="J2106" s="664">
        <v>21.95</v>
      </c>
      <c r="K2106" s="664">
        <v>1898.0</v>
      </c>
      <c r="L2106" s="664">
        <v>10627.0</v>
      </c>
      <c r="M2106" s="664">
        <v>3.9624</v>
      </c>
      <c r="N2106" s="1">
        <v>4.0383</v>
      </c>
      <c r="O2106" s="1">
        <v>1898.0</v>
      </c>
      <c r="P2106" s="1">
        <v>10627.0</v>
      </c>
      <c r="Q2106" s="1">
        <v>3.9624</v>
      </c>
      <c r="R2106" s="1">
        <v>1533.0</v>
      </c>
    </row>
    <row r="2107">
      <c r="A2107" s="663" t="s">
        <v>2353</v>
      </c>
      <c r="B2107" s="663" t="s">
        <v>1192</v>
      </c>
      <c r="C2107" s="663" t="s">
        <v>52</v>
      </c>
      <c r="D2107" s="663" t="s">
        <v>599</v>
      </c>
      <c r="E2107" s="664" t="s">
        <v>396</v>
      </c>
      <c r="F2107" s="664">
        <v>479.0</v>
      </c>
      <c r="G2107" s="664">
        <v>427.0</v>
      </c>
      <c r="H2107" s="664">
        <v>89.14</v>
      </c>
      <c r="I2107" s="664">
        <v>16.19</v>
      </c>
      <c r="J2107" s="664">
        <v>24.59</v>
      </c>
      <c r="K2107" s="664">
        <v>1721.0</v>
      </c>
      <c r="L2107" s="664">
        <v>10627.0</v>
      </c>
      <c r="M2107" s="664">
        <v>3.5929</v>
      </c>
      <c r="N2107" s="1">
        <v>4.0304</v>
      </c>
      <c r="O2107" s="1">
        <v>1721.0</v>
      </c>
      <c r="P2107" s="1">
        <v>10627.0</v>
      </c>
      <c r="Q2107" s="1">
        <v>3.5929</v>
      </c>
      <c r="R2107" s="1">
        <v>1533.0</v>
      </c>
    </row>
    <row r="2108">
      <c r="A2108" s="663" t="s">
        <v>2353</v>
      </c>
      <c r="B2108" s="663" t="s">
        <v>1192</v>
      </c>
      <c r="C2108" s="663" t="s">
        <v>52</v>
      </c>
      <c r="D2108" s="663" t="s">
        <v>599</v>
      </c>
      <c r="E2108" s="664" t="s">
        <v>398</v>
      </c>
      <c r="F2108" s="664">
        <v>479.0</v>
      </c>
      <c r="G2108" s="664">
        <v>391.0</v>
      </c>
      <c r="H2108" s="664">
        <v>81.63</v>
      </c>
      <c r="I2108" s="664">
        <v>5.87</v>
      </c>
      <c r="J2108" s="664">
        <v>10.01</v>
      </c>
      <c r="K2108" s="664">
        <v>624.0</v>
      </c>
      <c r="L2108" s="664">
        <v>10627.0</v>
      </c>
      <c r="M2108" s="664">
        <v>1.3027</v>
      </c>
      <c r="N2108" s="1">
        <v>1.5959</v>
      </c>
      <c r="O2108" s="1">
        <v>624.0</v>
      </c>
      <c r="P2108" s="1">
        <v>10627.0</v>
      </c>
      <c r="Q2108" s="1">
        <v>1.3027</v>
      </c>
      <c r="R2108" s="1">
        <v>1533.0</v>
      </c>
    </row>
    <row r="2109">
      <c r="A2109" s="663" t="s">
        <v>2353</v>
      </c>
      <c r="B2109" s="663" t="s">
        <v>1192</v>
      </c>
      <c r="C2109" s="663" t="s">
        <v>52</v>
      </c>
      <c r="D2109" s="663" t="s">
        <v>599</v>
      </c>
      <c r="E2109" s="664" t="s">
        <v>413</v>
      </c>
      <c r="F2109" s="664">
        <v>479.0</v>
      </c>
      <c r="G2109" s="664">
        <v>165.0</v>
      </c>
      <c r="H2109" s="664">
        <v>34.45</v>
      </c>
      <c r="I2109" s="664">
        <v>3.52</v>
      </c>
      <c r="J2109" s="664">
        <v>4.18</v>
      </c>
      <c r="K2109" s="664">
        <v>374.0</v>
      </c>
      <c r="L2109" s="664">
        <v>10627.0</v>
      </c>
      <c r="M2109" s="664">
        <v>0.7808</v>
      </c>
      <c r="N2109" s="1">
        <v>2.2667</v>
      </c>
      <c r="O2109" s="1">
        <v>374.0</v>
      </c>
      <c r="P2109" s="1">
        <v>10627.0</v>
      </c>
      <c r="Q2109" s="1">
        <v>0.7808</v>
      </c>
      <c r="R2109" s="1">
        <v>1533.0</v>
      </c>
    </row>
    <row r="2110">
      <c r="A2110" s="663" t="s">
        <v>2353</v>
      </c>
      <c r="B2110" s="663" t="s">
        <v>1192</v>
      </c>
      <c r="C2110" s="663" t="s">
        <v>52</v>
      </c>
      <c r="D2110" s="663" t="s">
        <v>599</v>
      </c>
      <c r="E2110" s="664" t="s">
        <v>397</v>
      </c>
      <c r="F2110" s="664">
        <v>479.0</v>
      </c>
      <c r="G2110" s="664">
        <v>255.0</v>
      </c>
      <c r="H2110" s="664">
        <v>53.24</v>
      </c>
      <c r="I2110" s="664">
        <v>3.16</v>
      </c>
      <c r="J2110" s="664">
        <v>3.77</v>
      </c>
      <c r="K2110" s="664">
        <v>336.0</v>
      </c>
      <c r="L2110" s="664">
        <v>10627.0</v>
      </c>
      <c r="M2110" s="664">
        <v>0.7015</v>
      </c>
      <c r="N2110" s="1">
        <v>1.3176</v>
      </c>
      <c r="O2110" s="1">
        <v>336.0</v>
      </c>
      <c r="P2110" s="1">
        <v>10627.0</v>
      </c>
      <c r="Q2110" s="1">
        <v>0.7015</v>
      </c>
      <c r="R2110" s="1">
        <v>1533.0</v>
      </c>
    </row>
    <row r="2111">
      <c r="A2111" s="663" t="s">
        <v>2353</v>
      </c>
      <c r="B2111" s="663" t="s">
        <v>1192</v>
      </c>
      <c r="C2111" s="663" t="s">
        <v>52</v>
      </c>
      <c r="D2111" s="663" t="s">
        <v>599</v>
      </c>
      <c r="E2111" s="664" t="s">
        <v>9</v>
      </c>
      <c r="F2111" s="664">
        <v>479.0</v>
      </c>
      <c r="G2111" s="664">
        <v>239.0</v>
      </c>
      <c r="H2111" s="664">
        <v>49.9</v>
      </c>
      <c r="I2111" s="664">
        <v>2.79</v>
      </c>
      <c r="J2111" s="664">
        <v>3.35</v>
      </c>
      <c r="K2111" s="664">
        <v>297.0</v>
      </c>
      <c r="L2111" s="664">
        <v>10627.0</v>
      </c>
      <c r="M2111" s="664">
        <v>0.62</v>
      </c>
      <c r="N2111" s="1">
        <v>1.2427</v>
      </c>
      <c r="O2111" s="1">
        <v>297.0</v>
      </c>
      <c r="P2111" s="1">
        <v>10627.0</v>
      </c>
      <c r="Q2111" s="1">
        <v>0.62</v>
      </c>
      <c r="R2111" s="1">
        <v>1533.0</v>
      </c>
    </row>
    <row r="2112">
      <c r="A2112" s="663" t="s">
        <v>2353</v>
      </c>
      <c r="B2112" s="663" t="s">
        <v>1192</v>
      </c>
      <c r="C2112" s="663" t="s">
        <v>52</v>
      </c>
      <c r="D2112" s="663" t="s">
        <v>599</v>
      </c>
      <c r="E2112" s="664" t="s">
        <v>411</v>
      </c>
      <c r="F2112" s="664">
        <v>479.0</v>
      </c>
      <c r="G2112" s="664">
        <v>143.0</v>
      </c>
      <c r="H2112" s="664">
        <v>29.85</v>
      </c>
      <c r="I2112" s="664">
        <v>2.7</v>
      </c>
      <c r="J2112" s="664">
        <v>2.48</v>
      </c>
      <c r="K2112" s="664">
        <v>287.0</v>
      </c>
      <c r="L2112" s="664">
        <v>10627.0</v>
      </c>
      <c r="M2112" s="664">
        <v>0.5992</v>
      </c>
      <c r="N2112" s="1">
        <v>2.007</v>
      </c>
      <c r="O2112" s="1">
        <v>287.0</v>
      </c>
      <c r="P2112" s="1">
        <v>10627.0</v>
      </c>
      <c r="Q2112" s="1">
        <v>0.5992</v>
      </c>
      <c r="R2112" s="1">
        <v>1533.0</v>
      </c>
    </row>
    <row r="2113">
      <c r="A2113" s="663" t="s">
        <v>2353</v>
      </c>
      <c r="B2113" s="663" t="s">
        <v>1192</v>
      </c>
      <c r="C2113" s="663" t="s">
        <v>52</v>
      </c>
      <c r="D2113" s="663" t="s">
        <v>599</v>
      </c>
      <c r="E2113" s="664" t="s">
        <v>51</v>
      </c>
      <c r="F2113" s="664">
        <v>479.0</v>
      </c>
      <c r="G2113" s="664">
        <v>152.0</v>
      </c>
      <c r="H2113" s="664">
        <v>31.73</v>
      </c>
      <c r="I2113" s="664">
        <v>2.55</v>
      </c>
      <c r="J2113" s="664">
        <v>2.94</v>
      </c>
      <c r="K2113" s="664">
        <v>271.0</v>
      </c>
      <c r="L2113" s="664">
        <v>10627.0</v>
      </c>
      <c r="M2113" s="664">
        <v>0.5658</v>
      </c>
      <c r="N2113" s="1">
        <v>1.7829</v>
      </c>
      <c r="O2113" s="1">
        <v>271.0</v>
      </c>
      <c r="P2113" s="1">
        <v>10627.0</v>
      </c>
      <c r="Q2113" s="1">
        <v>0.5658</v>
      </c>
      <c r="R2113" s="1">
        <v>1533.0</v>
      </c>
    </row>
    <row r="2114">
      <c r="A2114" s="663" t="s">
        <v>2353</v>
      </c>
      <c r="B2114" s="663" t="s">
        <v>1192</v>
      </c>
      <c r="C2114" s="663" t="s">
        <v>52</v>
      </c>
      <c r="D2114" s="663" t="s">
        <v>599</v>
      </c>
      <c r="E2114" s="664" t="s">
        <v>393</v>
      </c>
      <c r="F2114" s="664">
        <v>479.0</v>
      </c>
      <c r="G2114" s="664">
        <v>110.0</v>
      </c>
      <c r="H2114" s="664">
        <v>22.96</v>
      </c>
      <c r="I2114" s="664">
        <v>2.03</v>
      </c>
      <c r="J2114" s="664">
        <v>1.83</v>
      </c>
      <c r="K2114" s="664">
        <v>216.0</v>
      </c>
      <c r="L2114" s="664">
        <v>10627.0</v>
      </c>
      <c r="M2114" s="664">
        <v>0.4509</v>
      </c>
      <c r="N2114" s="1">
        <v>1.9636</v>
      </c>
      <c r="O2114" s="1">
        <v>216.0</v>
      </c>
      <c r="P2114" s="1">
        <v>10627.0</v>
      </c>
      <c r="Q2114" s="1">
        <v>0.4509</v>
      </c>
      <c r="R2114" s="1">
        <v>1533.0</v>
      </c>
    </row>
    <row r="2115">
      <c r="A2115" s="663" t="s">
        <v>2353</v>
      </c>
      <c r="B2115" s="663" t="s">
        <v>1192</v>
      </c>
      <c r="C2115" s="663" t="s">
        <v>52</v>
      </c>
      <c r="D2115" s="663" t="s">
        <v>599</v>
      </c>
      <c r="E2115" s="664" t="s">
        <v>15</v>
      </c>
      <c r="F2115" s="664">
        <v>479.0</v>
      </c>
      <c r="G2115" s="664">
        <v>78.0</v>
      </c>
      <c r="H2115" s="664">
        <v>16.28</v>
      </c>
      <c r="I2115" s="664">
        <v>1.49</v>
      </c>
      <c r="J2115" s="664">
        <v>1.46</v>
      </c>
      <c r="K2115" s="664">
        <v>158.0</v>
      </c>
      <c r="L2115" s="664">
        <v>10627.0</v>
      </c>
      <c r="M2115" s="664">
        <v>0.3299</v>
      </c>
      <c r="N2115" s="1">
        <v>2.0256</v>
      </c>
      <c r="O2115" s="1">
        <v>158.0</v>
      </c>
      <c r="P2115" s="1">
        <v>10627.0</v>
      </c>
      <c r="Q2115" s="1">
        <v>0.3299</v>
      </c>
      <c r="R2115" s="1">
        <v>1533.0</v>
      </c>
    </row>
    <row r="2116">
      <c r="A2116" s="663" t="s">
        <v>2353</v>
      </c>
      <c r="B2116" s="663" t="s">
        <v>1192</v>
      </c>
      <c r="C2116" s="663" t="s">
        <v>52</v>
      </c>
      <c r="D2116" s="663" t="s">
        <v>599</v>
      </c>
      <c r="E2116" s="664" t="s">
        <v>401</v>
      </c>
      <c r="F2116" s="664">
        <v>479.0</v>
      </c>
      <c r="G2116" s="664">
        <v>75.0</v>
      </c>
      <c r="H2116" s="664">
        <v>15.66</v>
      </c>
      <c r="I2116" s="664">
        <v>0.71</v>
      </c>
      <c r="J2116" s="664">
        <v>0.85</v>
      </c>
      <c r="K2116" s="664">
        <v>75.0</v>
      </c>
      <c r="L2116" s="664">
        <v>10627.0</v>
      </c>
      <c r="M2116" s="664">
        <v>0.1566</v>
      </c>
      <c r="N2116" s="1">
        <v>1.0</v>
      </c>
      <c r="O2116" s="1">
        <v>75.0</v>
      </c>
      <c r="P2116" s="1">
        <v>10627.0</v>
      </c>
      <c r="Q2116" s="1">
        <v>0.1566</v>
      </c>
      <c r="R2116" s="1">
        <v>1533.0</v>
      </c>
    </row>
    <row r="2117">
      <c r="A2117" s="663" t="s">
        <v>2353</v>
      </c>
      <c r="B2117" s="663" t="s">
        <v>1192</v>
      </c>
      <c r="C2117" s="663" t="s">
        <v>52</v>
      </c>
      <c r="D2117" s="663" t="s">
        <v>599</v>
      </c>
      <c r="E2117" s="664" t="s">
        <v>42</v>
      </c>
      <c r="F2117" s="664">
        <v>479.0</v>
      </c>
      <c r="G2117" s="664">
        <v>51.0</v>
      </c>
      <c r="H2117" s="664">
        <v>10.65</v>
      </c>
      <c r="I2117" s="664">
        <v>0.59</v>
      </c>
      <c r="J2117" s="664">
        <v>0.83</v>
      </c>
      <c r="K2117" s="664">
        <v>63.0</v>
      </c>
      <c r="L2117" s="664">
        <v>10627.0</v>
      </c>
      <c r="M2117" s="664">
        <v>0.1315</v>
      </c>
      <c r="N2117" s="1">
        <v>1.2353</v>
      </c>
      <c r="O2117" s="1">
        <v>63.0</v>
      </c>
      <c r="P2117" s="1">
        <v>10627.0</v>
      </c>
      <c r="Q2117" s="1">
        <v>0.1315</v>
      </c>
      <c r="R2117" s="1">
        <v>1533.0</v>
      </c>
    </row>
    <row r="2118">
      <c r="A2118" s="663" t="s">
        <v>2353</v>
      </c>
      <c r="B2118" s="663" t="s">
        <v>1192</v>
      </c>
      <c r="C2118" s="663" t="s">
        <v>52</v>
      </c>
      <c r="D2118" s="663" t="s">
        <v>599</v>
      </c>
      <c r="E2118" s="664" t="s">
        <v>16</v>
      </c>
      <c r="F2118" s="664">
        <v>479.0</v>
      </c>
      <c r="G2118" s="664">
        <v>48.0</v>
      </c>
      <c r="H2118" s="664">
        <v>10.02</v>
      </c>
      <c r="I2118" s="664">
        <v>0.56</v>
      </c>
      <c r="J2118" s="664">
        <v>0.55</v>
      </c>
      <c r="K2118" s="664">
        <v>60.0</v>
      </c>
      <c r="L2118" s="664">
        <v>10627.0</v>
      </c>
      <c r="M2118" s="664">
        <v>0.1253</v>
      </c>
      <c r="N2118" s="1">
        <v>1.25</v>
      </c>
      <c r="O2118" s="1">
        <v>60.0</v>
      </c>
      <c r="P2118" s="1">
        <v>10627.0</v>
      </c>
      <c r="Q2118" s="1">
        <v>0.1253</v>
      </c>
      <c r="R2118" s="1">
        <v>1533.0</v>
      </c>
    </row>
    <row r="2119">
      <c r="A2119" s="663" t="s">
        <v>2353</v>
      </c>
      <c r="B2119" s="663" t="s">
        <v>1192</v>
      </c>
      <c r="C2119" s="663" t="s">
        <v>52</v>
      </c>
      <c r="D2119" s="663" t="s">
        <v>599</v>
      </c>
      <c r="E2119" s="664" t="s">
        <v>206</v>
      </c>
      <c r="F2119" s="664">
        <v>479.0</v>
      </c>
      <c r="G2119" s="664">
        <v>59.0</v>
      </c>
      <c r="H2119" s="664">
        <v>12.32</v>
      </c>
      <c r="I2119" s="664">
        <v>0.56</v>
      </c>
      <c r="J2119" s="664">
        <v>0.6</v>
      </c>
      <c r="K2119" s="664">
        <v>60.0</v>
      </c>
      <c r="L2119" s="664">
        <v>10627.0</v>
      </c>
      <c r="M2119" s="664">
        <v>0.1253</v>
      </c>
      <c r="N2119" s="1">
        <v>1.0169</v>
      </c>
      <c r="O2119" s="1">
        <v>60.0</v>
      </c>
      <c r="P2119" s="1">
        <v>10627.0</v>
      </c>
      <c r="Q2119" s="1">
        <v>0.1253</v>
      </c>
      <c r="R2119" s="1">
        <v>1533.0</v>
      </c>
    </row>
    <row r="2120">
      <c r="A2120" s="663" t="s">
        <v>2353</v>
      </c>
      <c r="B2120" s="663" t="s">
        <v>1192</v>
      </c>
      <c r="C2120" s="663" t="s">
        <v>52</v>
      </c>
      <c r="D2120" s="663" t="s">
        <v>599</v>
      </c>
      <c r="E2120" s="664" t="s">
        <v>63</v>
      </c>
      <c r="F2120" s="664">
        <v>479.0</v>
      </c>
      <c r="G2120" s="664">
        <v>34.0</v>
      </c>
      <c r="H2120" s="664">
        <v>7.1</v>
      </c>
      <c r="I2120" s="664">
        <v>0.4</v>
      </c>
      <c r="J2120" s="664">
        <v>0.43</v>
      </c>
      <c r="K2120" s="664">
        <v>42.0</v>
      </c>
      <c r="L2120" s="664">
        <v>10627.0</v>
      </c>
      <c r="M2120" s="664">
        <v>0.0877</v>
      </c>
      <c r="N2120" s="1">
        <v>1.2353</v>
      </c>
      <c r="O2120" s="1">
        <v>42.0</v>
      </c>
      <c r="P2120" s="1">
        <v>10627.0</v>
      </c>
      <c r="Q2120" s="1">
        <v>0.0877</v>
      </c>
      <c r="R2120" s="1">
        <v>1533.0</v>
      </c>
    </row>
    <row r="2121">
      <c r="A2121" s="663" t="s">
        <v>2353</v>
      </c>
      <c r="B2121" s="663" t="s">
        <v>1192</v>
      </c>
      <c r="C2121" s="663" t="s">
        <v>52</v>
      </c>
      <c r="D2121" s="663" t="s">
        <v>599</v>
      </c>
      <c r="E2121" s="664" t="s">
        <v>7</v>
      </c>
      <c r="F2121" s="664">
        <v>479.0</v>
      </c>
      <c r="G2121" s="664">
        <v>37.0</v>
      </c>
      <c r="H2121" s="664">
        <v>7.72</v>
      </c>
      <c r="I2121" s="664">
        <v>0.36</v>
      </c>
      <c r="J2121" s="664">
        <v>0.4</v>
      </c>
      <c r="K2121" s="664">
        <v>38.0</v>
      </c>
      <c r="L2121" s="664">
        <v>10627.0</v>
      </c>
      <c r="M2121" s="664">
        <v>0.0793</v>
      </c>
      <c r="N2121" s="1">
        <v>1.027</v>
      </c>
      <c r="O2121" s="1">
        <v>38.0</v>
      </c>
      <c r="P2121" s="1">
        <v>10627.0</v>
      </c>
      <c r="Q2121" s="1">
        <v>0.0793</v>
      </c>
      <c r="R2121" s="1">
        <v>1533.0</v>
      </c>
    </row>
    <row r="2122">
      <c r="A2122" s="663" t="s">
        <v>2353</v>
      </c>
      <c r="B2122" s="663" t="s">
        <v>1192</v>
      </c>
      <c r="C2122" s="663" t="s">
        <v>52</v>
      </c>
      <c r="D2122" s="663" t="s">
        <v>599</v>
      </c>
      <c r="E2122" s="664" t="s">
        <v>341</v>
      </c>
      <c r="F2122" s="664">
        <v>479.0</v>
      </c>
      <c r="G2122" s="664">
        <v>9.0</v>
      </c>
      <c r="H2122" s="664">
        <v>1.88</v>
      </c>
      <c r="I2122" s="664">
        <v>0.08</v>
      </c>
      <c r="J2122" s="664">
        <v>0.15</v>
      </c>
      <c r="K2122" s="664">
        <v>9.0</v>
      </c>
      <c r="L2122" s="664">
        <v>10627.0</v>
      </c>
      <c r="M2122" s="664">
        <v>0.0188</v>
      </c>
      <c r="N2122" s="1">
        <v>1.0</v>
      </c>
      <c r="O2122" s="1">
        <v>9.0</v>
      </c>
      <c r="P2122" s="1">
        <v>10627.0</v>
      </c>
      <c r="Q2122" s="1">
        <v>0.0188</v>
      </c>
      <c r="R2122" s="1">
        <v>1533.0</v>
      </c>
    </row>
    <row r="2123">
      <c r="A2123" s="663" t="s">
        <v>2353</v>
      </c>
      <c r="B2123" s="663" t="s">
        <v>1192</v>
      </c>
      <c r="C2123" s="663" t="s">
        <v>52</v>
      </c>
      <c r="D2123" s="663" t="s">
        <v>599</v>
      </c>
      <c r="E2123" s="664" t="s">
        <v>329</v>
      </c>
      <c r="F2123" s="664">
        <v>479.0</v>
      </c>
      <c r="G2123" s="664">
        <v>7.0</v>
      </c>
      <c r="H2123" s="664">
        <v>1.46</v>
      </c>
      <c r="I2123" s="664">
        <v>0.07</v>
      </c>
      <c r="J2123" s="664">
        <v>0.11</v>
      </c>
      <c r="K2123" s="664">
        <v>7.0</v>
      </c>
      <c r="L2123" s="664">
        <v>10627.0</v>
      </c>
      <c r="M2123" s="664">
        <v>0.0146</v>
      </c>
      <c r="N2123" s="1">
        <v>1.0</v>
      </c>
      <c r="O2123" s="1">
        <v>7.0</v>
      </c>
      <c r="P2123" s="1">
        <v>10627.0</v>
      </c>
      <c r="Q2123" s="1">
        <v>0.0146</v>
      </c>
      <c r="R2123" s="1">
        <v>1533.0</v>
      </c>
    </row>
    <row r="2124">
      <c r="A2124" s="663" t="s">
        <v>2353</v>
      </c>
      <c r="B2124" s="663" t="s">
        <v>1192</v>
      </c>
      <c r="C2124" s="663" t="s">
        <v>52</v>
      </c>
      <c r="D2124" s="663" t="s">
        <v>599</v>
      </c>
      <c r="E2124" s="664" t="s">
        <v>338</v>
      </c>
      <c r="F2124" s="664">
        <v>479.0</v>
      </c>
      <c r="G2124" s="664">
        <v>6.0</v>
      </c>
      <c r="H2124" s="664">
        <v>1.25</v>
      </c>
      <c r="I2124" s="664">
        <v>0.06</v>
      </c>
      <c r="J2124" s="664">
        <v>0.1</v>
      </c>
      <c r="K2124" s="664">
        <v>6.0</v>
      </c>
      <c r="L2124" s="664">
        <v>10627.0</v>
      </c>
      <c r="M2124" s="664">
        <v>0.0125</v>
      </c>
      <c r="N2124" s="1">
        <v>1.0</v>
      </c>
      <c r="O2124" s="1">
        <v>6.0</v>
      </c>
      <c r="P2124" s="1">
        <v>10627.0</v>
      </c>
      <c r="Q2124" s="1">
        <v>0.0125</v>
      </c>
      <c r="R2124" s="1">
        <v>1533.0</v>
      </c>
    </row>
    <row r="2125">
      <c r="A2125" s="663" t="s">
        <v>2353</v>
      </c>
      <c r="B2125" s="663" t="s">
        <v>1192</v>
      </c>
      <c r="C2125" s="663" t="s">
        <v>1209</v>
      </c>
      <c r="D2125" s="663" t="s">
        <v>2234</v>
      </c>
      <c r="E2125" s="664" t="s">
        <v>401</v>
      </c>
      <c r="F2125" s="664">
        <v>270.0</v>
      </c>
      <c r="G2125" s="664">
        <v>128.0</v>
      </c>
      <c r="H2125" s="664">
        <v>47.41</v>
      </c>
      <c r="I2125" s="664">
        <v>30.57</v>
      </c>
      <c r="J2125" s="664">
        <v>36.54</v>
      </c>
      <c r="K2125" s="664">
        <v>2215.0</v>
      </c>
      <c r="L2125" s="664">
        <v>7245.0</v>
      </c>
      <c r="M2125" s="664">
        <v>8.2037</v>
      </c>
      <c r="N2125" s="1">
        <v>17.3047</v>
      </c>
      <c r="O2125" s="1">
        <v>2215.0</v>
      </c>
      <c r="P2125" s="1">
        <v>7245.0</v>
      </c>
      <c r="Q2125" s="1">
        <v>8.2037</v>
      </c>
      <c r="R2125" s="1">
        <v>1533.0</v>
      </c>
    </row>
    <row r="2126">
      <c r="A2126" s="663" t="s">
        <v>2353</v>
      </c>
      <c r="B2126" s="663" t="s">
        <v>1192</v>
      </c>
      <c r="C2126" s="663" t="s">
        <v>1209</v>
      </c>
      <c r="D2126" s="663" t="s">
        <v>2234</v>
      </c>
      <c r="E2126" s="664" t="s">
        <v>206</v>
      </c>
      <c r="F2126" s="664">
        <v>270.0</v>
      </c>
      <c r="G2126" s="664">
        <v>115.0</v>
      </c>
      <c r="H2126" s="664">
        <v>42.59</v>
      </c>
      <c r="I2126" s="664">
        <v>28.85</v>
      </c>
      <c r="J2126" s="664">
        <v>33.4</v>
      </c>
      <c r="K2126" s="664">
        <v>2090.0</v>
      </c>
      <c r="L2126" s="664">
        <v>7245.0</v>
      </c>
      <c r="M2126" s="664">
        <v>7.7407</v>
      </c>
      <c r="N2126" s="1">
        <v>18.1739</v>
      </c>
      <c r="O2126" s="1">
        <v>2090.0</v>
      </c>
      <c r="P2126" s="1">
        <v>7245.0</v>
      </c>
      <c r="Q2126" s="1">
        <v>7.7407</v>
      </c>
      <c r="R2126" s="1">
        <v>1533.0</v>
      </c>
    </row>
    <row r="2127">
      <c r="A2127" s="663" t="s">
        <v>2353</v>
      </c>
      <c r="B2127" s="663" t="s">
        <v>1192</v>
      </c>
      <c r="C2127" s="663" t="s">
        <v>1209</v>
      </c>
      <c r="D2127" s="663" t="s">
        <v>2234</v>
      </c>
      <c r="E2127" s="664" t="s">
        <v>413</v>
      </c>
      <c r="F2127" s="664">
        <v>270.0</v>
      </c>
      <c r="G2127" s="664">
        <v>65.0</v>
      </c>
      <c r="H2127" s="664">
        <v>24.07</v>
      </c>
      <c r="I2127" s="664">
        <v>23.6</v>
      </c>
      <c r="J2127" s="664">
        <v>16.39</v>
      </c>
      <c r="K2127" s="664">
        <v>1710.0</v>
      </c>
      <c r="L2127" s="664">
        <v>7245.0</v>
      </c>
      <c r="M2127" s="664">
        <v>6.3333</v>
      </c>
      <c r="N2127" s="1">
        <v>26.3077</v>
      </c>
      <c r="O2127" s="1">
        <v>1710.0</v>
      </c>
      <c r="P2127" s="1">
        <v>7245.0</v>
      </c>
      <c r="Q2127" s="1">
        <v>6.3333</v>
      </c>
      <c r="R2127" s="1">
        <v>1533.0</v>
      </c>
    </row>
    <row r="2128">
      <c r="A2128" s="663" t="s">
        <v>2353</v>
      </c>
      <c r="B2128" s="663" t="s">
        <v>1192</v>
      </c>
      <c r="C2128" s="663" t="s">
        <v>1209</v>
      </c>
      <c r="D2128" s="663" t="s">
        <v>2234</v>
      </c>
      <c r="E2128" s="664" t="s">
        <v>73</v>
      </c>
      <c r="F2128" s="664">
        <v>270.0</v>
      </c>
      <c r="G2128" s="664">
        <v>44.0</v>
      </c>
      <c r="H2128" s="664">
        <v>16.3</v>
      </c>
      <c r="I2128" s="664">
        <v>9.11</v>
      </c>
      <c r="J2128" s="664">
        <v>10.41</v>
      </c>
      <c r="K2128" s="664">
        <v>660.0</v>
      </c>
      <c r="L2128" s="664">
        <v>7245.0</v>
      </c>
      <c r="M2128" s="664">
        <v>2.4444</v>
      </c>
      <c r="N2128" s="1">
        <v>15.0</v>
      </c>
      <c r="O2128" s="1">
        <v>660.0</v>
      </c>
      <c r="P2128" s="1">
        <v>7245.0</v>
      </c>
      <c r="Q2128" s="1">
        <v>2.4444</v>
      </c>
      <c r="R2128" s="1">
        <v>1533.0</v>
      </c>
    </row>
    <row r="2129">
      <c r="A2129" s="663" t="s">
        <v>2353</v>
      </c>
      <c r="B2129" s="663" t="s">
        <v>1192</v>
      </c>
      <c r="C2129" s="663" t="s">
        <v>1209</v>
      </c>
      <c r="D2129" s="663" t="s">
        <v>2234</v>
      </c>
      <c r="E2129" s="664" t="s">
        <v>397</v>
      </c>
      <c r="F2129" s="664">
        <v>270.0</v>
      </c>
      <c r="G2129" s="664">
        <v>18.0</v>
      </c>
      <c r="H2129" s="664">
        <v>6.67</v>
      </c>
      <c r="I2129" s="664">
        <v>7.45</v>
      </c>
      <c r="J2129" s="664">
        <v>2.98</v>
      </c>
      <c r="K2129" s="664">
        <v>540.0</v>
      </c>
      <c r="L2129" s="664">
        <v>7245.0</v>
      </c>
      <c r="M2129" s="664">
        <v>2.0</v>
      </c>
      <c r="N2129" s="1">
        <v>30.0</v>
      </c>
      <c r="O2129" s="1">
        <v>540.0</v>
      </c>
      <c r="P2129" s="1">
        <v>7245.0</v>
      </c>
      <c r="Q2129" s="1">
        <v>2.0</v>
      </c>
      <c r="R2129" s="1">
        <v>1533.0</v>
      </c>
    </row>
    <row r="2130">
      <c r="A2130" s="663" t="s">
        <v>2353</v>
      </c>
      <c r="B2130" s="663" t="s">
        <v>1192</v>
      </c>
      <c r="C2130" s="663" t="s">
        <v>1209</v>
      </c>
      <c r="D2130" s="663" t="s">
        <v>2234</v>
      </c>
      <c r="E2130" s="664" t="s">
        <v>411</v>
      </c>
      <c r="F2130" s="664">
        <v>270.0</v>
      </c>
      <c r="G2130" s="664">
        <v>1.0</v>
      </c>
      <c r="H2130" s="664">
        <v>0.37</v>
      </c>
      <c r="I2130" s="664">
        <v>0.41</v>
      </c>
      <c r="J2130" s="664">
        <v>0.28</v>
      </c>
      <c r="K2130" s="664">
        <v>30.0</v>
      </c>
      <c r="L2130" s="664">
        <v>7245.0</v>
      </c>
      <c r="M2130" s="664">
        <v>0.1111</v>
      </c>
      <c r="N2130" s="1">
        <v>30.0</v>
      </c>
      <c r="O2130" s="1">
        <v>30.0</v>
      </c>
      <c r="P2130" s="1">
        <v>7245.0</v>
      </c>
      <c r="Q2130" s="1">
        <v>0.1111</v>
      </c>
      <c r="R2130" s="1">
        <v>1533.0</v>
      </c>
    </row>
    <row r="2131">
      <c r="A2131" s="663" t="s">
        <v>2353</v>
      </c>
      <c r="B2131" s="663" t="s">
        <v>1192</v>
      </c>
      <c r="C2131" s="663" t="s">
        <v>1210</v>
      </c>
      <c r="D2131" s="663" t="s">
        <v>2234</v>
      </c>
      <c r="E2131" s="664" t="s">
        <v>413</v>
      </c>
      <c r="F2131" s="664">
        <v>434.0</v>
      </c>
      <c r="G2131" s="664">
        <v>261.0</v>
      </c>
      <c r="H2131" s="664">
        <v>60.14</v>
      </c>
      <c r="I2131" s="664">
        <v>36.26</v>
      </c>
      <c r="J2131" s="664">
        <v>34.59</v>
      </c>
      <c r="K2131" s="664">
        <v>6870.0</v>
      </c>
      <c r="L2131" s="664">
        <v>18945.0</v>
      </c>
      <c r="M2131" s="664">
        <v>15.8295</v>
      </c>
      <c r="N2131" s="1">
        <v>26.3218</v>
      </c>
      <c r="O2131" s="1">
        <v>6870.0</v>
      </c>
      <c r="P2131" s="1">
        <v>18945.0</v>
      </c>
      <c r="Q2131" s="1">
        <v>15.8295</v>
      </c>
      <c r="R2131" s="1">
        <v>1533.0</v>
      </c>
    </row>
    <row r="2132">
      <c r="A2132" s="663" t="s">
        <v>2353</v>
      </c>
      <c r="B2132" s="663" t="s">
        <v>1192</v>
      </c>
      <c r="C2132" s="663" t="s">
        <v>1210</v>
      </c>
      <c r="D2132" s="663" t="s">
        <v>2234</v>
      </c>
      <c r="E2132" s="664" t="s">
        <v>9</v>
      </c>
      <c r="F2132" s="664">
        <v>434.0</v>
      </c>
      <c r="G2132" s="664">
        <v>240.0</v>
      </c>
      <c r="H2132" s="664">
        <v>55.3</v>
      </c>
      <c r="I2132" s="664">
        <v>15.15</v>
      </c>
      <c r="J2132" s="664">
        <v>19.72</v>
      </c>
      <c r="K2132" s="664">
        <v>2870.0</v>
      </c>
      <c r="L2132" s="664">
        <v>18945.0</v>
      </c>
      <c r="M2132" s="664">
        <v>6.6129</v>
      </c>
      <c r="N2132" s="1">
        <v>11.9583</v>
      </c>
      <c r="O2132" s="1">
        <v>2870.0</v>
      </c>
      <c r="P2132" s="1">
        <v>18945.0</v>
      </c>
      <c r="Q2132" s="1">
        <v>6.6129</v>
      </c>
      <c r="R2132" s="1">
        <v>1533.0</v>
      </c>
    </row>
    <row r="2133">
      <c r="A2133" s="663" t="s">
        <v>2353</v>
      </c>
      <c r="B2133" s="663" t="s">
        <v>1192</v>
      </c>
      <c r="C2133" s="663" t="s">
        <v>1210</v>
      </c>
      <c r="D2133" s="663" t="s">
        <v>2234</v>
      </c>
      <c r="E2133" s="664" t="s">
        <v>401</v>
      </c>
      <c r="F2133" s="664">
        <v>434.0</v>
      </c>
      <c r="G2133" s="664">
        <v>141.0</v>
      </c>
      <c r="H2133" s="664">
        <v>32.49</v>
      </c>
      <c r="I2133" s="664">
        <v>13.64</v>
      </c>
      <c r="J2133" s="664">
        <v>15.0</v>
      </c>
      <c r="K2133" s="664">
        <v>2585.0</v>
      </c>
      <c r="L2133" s="664">
        <v>18945.0</v>
      </c>
      <c r="M2133" s="664">
        <v>5.9562</v>
      </c>
      <c r="N2133" s="1">
        <v>18.3333</v>
      </c>
      <c r="O2133" s="1">
        <v>2585.0</v>
      </c>
      <c r="P2133" s="1">
        <v>18945.0</v>
      </c>
      <c r="Q2133" s="1">
        <v>5.9562</v>
      </c>
      <c r="R2133" s="1">
        <v>1533.0</v>
      </c>
    </row>
    <row r="2134">
      <c r="A2134" s="663" t="s">
        <v>2353</v>
      </c>
      <c r="B2134" s="663" t="s">
        <v>1192</v>
      </c>
      <c r="C2134" s="663" t="s">
        <v>1210</v>
      </c>
      <c r="D2134" s="663" t="s">
        <v>2234</v>
      </c>
      <c r="E2134" s="664" t="s">
        <v>206</v>
      </c>
      <c r="F2134" s="664">
        <v>434.0</v>
      </c>
      <c r="G2134" s="664">
        <v>119.0</v>
      </c>
      <c r="H2134" s="664">
        <v>27.42</v>
      </c>
      <c r="I2134" s="664">
        <v>11.59</v>
      </c>
      <c r="J2134" s="664">
        <v>12.23</v>
      </c>
      <c r="K2134" s="664">
        <v>2195.0</v>
      </c>
      <c r="L2134" s="664">
        <v>18945.0</v>
      </c>
      <c r="M2134" s="664">
        <v>5.0576</v>
      </c>
      <c r="N2134" s="1">
        <v>18.4454</v>
      </c>
      <c r="O2134" s="1">
        <v>2195.0</v>
      </c>
      <c r="P2134" s="1">
        <v>18945.0</v>
      </c>
      <c r="Q2134" s="1">
        <v>5.0576</v>
      </c>
      <c r="R2134" s="1">
        <v>1533.0</v>
      </c>
    </row>
    <row r="2135">
      <c r="A2135" s="663" t="s">
        <v>2353</v>
      </c>
      <c r="B2135" s="663" t="s">
        <v>1192</v>
      </c>
      <c r="C2135" s="663" t="s">
        <v>1210</v>
      </c>
      <c r="D2135" s="663" t="s">
        <v>2234</v>
      </c>
      <c r="E2135" s="664" t="s">
        <v>14</v>
      </c>
      <c r="F2135" s="664">
        <v>434.0</v>
      </c>
      <c r="G2135" s="664">
        <v>150.0</v>
      </c>
      <c r="H2135" s="664">
        <v>34.56</v>
      </c>
      <c r="I2135" s="664">
        <v>11.4</v>
      </c>
      <c r="J2135" s="664">
        <v>9.99</v>
      </c>
      <c r="K2135" s="664">
        <v>2160.0</v>
      </c>
      <c r="L2135" s="664">
        <v>18945.0</v>
      </c>
      <c r="M2135" s="664">
        <v>4.977</v>
      </c>
      <c r="N2135" s="1">
        <v>14.4</v>
      </c>
      <c r="O2135" s="1">
        <v>2160.0</v>
      </c>
      <c r="P2135" s="1">
        <v>18945.0</v>
      </c>
      <c r="Q2135" s="1">
        <v>4.977</v>
      </c>
      <c r="R2135" s="1">
        <v>1533.0</v>
      </c>
    </row>
    <row r="2136">
      <c r="A2136" s="663" t="s">
        <v>2353</v>
      </c>
      <c r="B2136" s="663" t="s">
        <v>1192</v>
      </c>
      <c r="C2136" s="663" t="s">
        <v>1210</v>
      </c>
      <c r="D2136" s="663" t="s">
        <v>2234</v>
      </c>
      <c r="E2136" s="664" t="s">
        <v>397</v>
      </c>
      <c r="F2136" s="664">
        <v>434.0</v>
      </c>
      <c r="G2136" s="664">
        <v>22.0</v>
      </c>
      <c r="H2136" s="664">
        <v>5.07</v>
      </c>
      <c r="I2136" s="664">
        <v>6.97</v>
      </c>
      <c r="J2136" s="664">
        <v>2.7</v>
      </c>
      <c r="K2136" s="664">
        <v>1320.0</v>
      </c>
      <c r="L2136" s="664">
        <v>18945.0</v>
      </c>
      <c r="M2136" s="664">
        <v>3.0415</v>
      </c>
      <c r="N2136" s="1">
        <v>60.0</v>
      </c>
      <c r="O2136" s="1">
        <v>1320.0</v>
      </c>
      <c r="P2136" s="1">
        <v>18945.0</v>
      </c>
      <c r="Q2136" s="1">
        <v>3.0415</v>
      </c>
      <c r="R2136" s="1">
        <v>1533.0</v>
      </c>
    </row>
    <row r="2137">
      <c r="A2137" s="663" t="s">
        <v>2353</v>
      </c>
      <c r="B2137" s="663" t="s">
        <v>1192</v>
      </c>
      <c r="C2137" s="663" t="s">
        <v>1210</v>
      </c>
      <c r="D2137" s="663" t="s">
        <v>2234</v>
      </c>
      <c r="E2137" s="664" t="s">
        <v>73</v>
      </c>
      <c r="F2137" s="664">
        <v>434.0</v>
      </c>
      <c r="G2137" s="664">
        <v>59.0</v>
      </c>
      <c r="H2137" s="664">
        <v>13.59</v>
      </c>
      <c r="I2137" s="664">
        <v>4.83</v>
      </c>
      <c r="J2137" s="664">
        <v>5.69</v>
      </c>
      <c r="K2137" s="664">
        <v>915.0</v>
      </c>
      <c r="L2137" s="664">
        <v>18945.0</v>
      </c>
      <c r="M2137" s="664">
        <v>2.1083</v>
      </c>
      <c r="N2137" s="1">
        <v>15.5085</v>
      </c>
      <c r="O2137" s="1">
        <v>915.0</v>
      </c>
      <c r="P2137" s="1">
        <v>18945.0</v>
      </c>
      <c r="Q2137" s="1">
        <v>2.1083</v>
      </c>
      <c r="R2137" s="1">
        <v>1533.0</v>
      </c>
    </row>
    <row r="2138">
      <c r="A2138" s="663" t="s">
        <v>2353</v>
      </c>
      <c r="B2138" s="663" t="s">
        <v>1192</v>
      </c>
      <c r="C2138" s="663" t="s">
        <v>1210</v>
      </c>
      <c r="D2138" s="663" t="s">
        <v>2234</v>
      </c>
      <c r="E2138" s="664" t="s">
        <v>411</v>
      </c>
      <c r="F2138" s="664">
        <v>434.0</v>
      </c>
      <c r="G2138" s="664">
        <v>1.0</v>
      </c>
      <c r="H2138" s="664">
        <v>0.23</v>
      </c>
      <c r="I2138" s="664">
        <v>0.16</v>
      </c>
      <c r="J2138" s="664">
        <v>0.09</v>
      </c>
      <c r="K2138" s="664">
        <v>30.0</v>
      </c>
      <c r="L2138" s="664">
        <v>18945.0</v>
      </c>
      <c r="M2138" s="664">
        <v>0.0691</v>
      </c>
      <c r="N2138" s="1">
        <v>30.0</v>
      </c>
      <c r="O2138" s="1">
        <v>30.0</v>
      </c>
      <c r="P2138" s="1">
        <v>18945.0</v>
      </c>
      <c r="Q2138" s="1">
        <v>0.0691</v>
      </c>
      <c r="R2138" s="1">
        <v>1533.0</v>
      </c>
    </row>
    <row r="2139">
      <c r="A2139" s="663" t="s">
        <v>2353</v>
      </c>
      <c r="B2139" s="663" t="s">
        <v>1192</v>
      </c>
      <c r="C2139" s="663" t="s">
        <v>1211</v>
      </c>
      <c r="D2139" s="663" t="s">
        <v>2234</v>
      </c>
      <c r="E2139" s="664" t="s">
        <v>413</v>
      </c>
      <c r="F2139" s="664">
        <v>461.0</v>
      </c>
      <c r="G2139" s="664">
        <v>317.0</v>
      </c>
      <c r="H2139" s="664">
        <v>68.76</v>
      </c>
      <c r="I2139" s="664">
        <v>38.25</v>
      </c>
      <c r="J2139" s="664">
        <v>35.47</v>
      </c>
      <c r="K2139" s="664">
        <v>9900.0</v>
      </c>
      <c r="L2139" s="664">
        <v>25880.0</v>
      </c>
      <c r="M2139" s="664">
        <v>21.4751</v>
      </c>
      <c r="N2139" s="1">
        <v>31.2303</v>
      </c>
      <c r="O2139" s="1">
        <v>9900.0</v>
      </c>
      <c r="P2139" s="1">
        <v>25880.0</v>
      </c>
      <c r="Q2139" s="1">
        <v>21.4751</v>
      </c>
      <c r="R2139" s="1">
        <v>1533.0</v>
      </c>
    </row>
    <row r="2140">
      <c r="A2140" s="663" t="s">
        <v>2353</v>
      </c>
      <c r="B2140" s="663" t="s">
        <v>1192</v>
      </c>
      <c r="C2140" s="663" t="s">
        <v>1211</v>
      </c>
      <c r="D2140" s="663" t="s">
        <v>2234</v>
      </c>
      <c r="E2140" s="664" t="s">
        <v>14</v>
      </c>
      <c r="F2140" s="664">
        <v>461.0</v>
      </c>
      <c r="G2140" s="664">
        <v>315.0</v>
      </c>
      <c r="H2140" s="664">
        <v>68.33</v>
      </c>
      <c r="I2140" s="664">
        <v>16.54</v>
      </c>
      <c r="J2140" s="664">
        <v>20.41</v>
      </c>
      <c r="K2140" s="664">
        <v>4280.0</v>
      </c>
      <c r="L2140" s="664">
        <v>25880.0</v>
      </c>
      <c r="M2140" s="664">
        <v>9.2842</v>
      </c>
      <c r="N2140" s="1">
        <v>13.5873</v>
      </c>
      <c r="O2140" s="1">
        <v>4280.0</v>
      </c>
      <c r="P2140" s="1">
        <v>25880.0</v>
      </c>
      <c r="Q2140" s="1">
        <v>9.2842</v>
      </c>
      <c r="R2140" s="1">
        <v>1533.0</v>
      </c>
    </row>
    <row r="2141">
      <c r="A2141" s="663" t="s">
        <v>2353</v>
      </c>
      <c r="B2141" s="663" t="s">
        <v>1192</v>
      </c>
      <c r="C2141" s="663" t="s">
        <v>1211</v>
      </c>
      <c r="D2141" s="663" t="s">
        <v>2234</v>
      </c>
      <c r="E2141" s="664" t="s">
        <v>9</v>
      </c>
      <c r="F2141" s="664">
        <v>461.0</v>
      </c>
      <c r="G2141" s="664">
        <v>280.0</v>
      </c>
      <c r="H2141" s="664">
        <v>60.74</v>
      </c>
      <c r="I2141" s="664">
        <v>12.67</v>
      </c>
      <c r="J2141" s="664">
        <v>15.14</v>
      </c>
      <c r="K2141" s="664">
        <v>3280.0</v>
      </c>
      <c r="L2141" s="664">
        <v>25880.0</v>
      </c>
      <c r="M2141" s="664">
        <v>7.115</v>
      </c>
      <c r="N2141" s="1">
        <v>11.7143</v>
      </c>
      <c r="O2141" s="1">
        <v>3280.0</v>
      </c>
      <c r="P2141" s="1">
        <v>25880.0</v>
      </c>
      <c r="Q2141" s="1">
        <v>7.115</v>
      </c>
      <c r="R2141" s="1">
        <v>1533.0</v>
      </c>
    </row>
    <row r="2142">
      <c r="A2142" s="663" t="s">
        <v>2353</v>
      </c>
      <c r="B2142" s="663" t="s">
        <v>1192</v>
      </c>
      <c r="C2142" s="663" t="s">
        <v>1211</v>
      </c>
      <c r="D2142" s="663" t="s">
        <v>2234</v>
      </c>
      <c r="E2142" s="664" t="s">
        <v>401</v>
      </c>
      <c r="F2142" s="664">
        <v>461.0</v>
      </c>
      <c r="G2142" s="664">
        <v>140.0</v>
      </c>
      <c r="H2142" s="664">
        <v>30.37</v>
      </c>
      <c r="I2142" s="664">
        <v>11.17</v>
      </c>
      <c r="J2142" s="664">
        <v>11.94</v>
      </c>
      <c r="K2142" s="664">
        <v>2890.0</v>
      </c>
      <c r="L2142" s="664">
        <v>25880.0</v>
      </c>
      <c r="M2142" s="664">
        <v>6.269</v>
      </c>
      <c r="N2142" s="1">
        <v>20.6429</v>
      </c>
      <c r="O2142" s="1">
        <v>2890.0</v>
      </c>
      <c r="P2142" s="1">
        <v>25880.0</v>
      </c>
      <c r="Q2142" s="1">
        <v>6.269</v>
      </c>
      <c r="R2142" s="1">
        <v>1533.0</v>
      </c>
    </row>
    <row r="2143">
      <c r="A2143" s="663" t="s">
        <v>2353</v>
      </c>
      <c r="B2143" s="663" t="s">
        <v>1192</v>
      </c>
      <c r="C2143" s="663" t="s">
        <v>1211</v>
      </c>
      <c r="D2143" s="663" t="s">
        <v>2234</v>
      </c>
      <c r="E2143" s="664" t="s">
        <v>206</v>
      </c>
      <c r="F2143" s="664">
        <v>461.0</v>
      </c>
      <c r="G2143" s="664">
        <v>116.0</v>
      </c>
      <c r="H2143" s="664">
        <v>25.16</v>
      </c>
      <c r="I2143" s="664">
        <v>9.37</v>
      </c>
      <c r="J2143" s="664">
        <v>8.38</v>
      </c>
      <c r="K2143" s="664">
        <v>2425.0</v>
      </c>
      <c r="L2143" s="664">
        <v>25880.0</v>
      </c>
      <c r="M2143" s="664">
        <v>5.2603</v>
      </c>
      <c r="N2143" s="1">
        <v>20.9052</v>
      </c>
      <c r="O2143" s="1">
        <v>2425.0</v>
      </c>
      <c r="P2143" s="1">
        <v>25880.0</v>
      </c>
      <c r="Q2143" s="1">
        <v>5.2603</v>
      </c>
      <c r="R2143" s="1">
        <v>1533.0</v>
      </c>
    </row>
    <row r="2144">
      <c r="A2144" s="663" t="s">
        <v>2353</v>
      </c>
      <c r="B2144" s="663" t="s">
        <v>1192</v>
      </c>
      <c r="C2144" s="663" t="s">
        <v>1211</v>
      </c>
      <c r="D2144" s="663" t="s">
        <v>2234</v>
      </c>
      <c r="E2144" s="664" t="s">
        <v>397</v>
      </c>
      <c r="F2144" s="664">
        <v>461.0</v>
      </c>
      <c r="G2144" s="664">
        <v>34.0</v>
      </c>
      <c r="H2144" s="664">
        <v>7.38</v>
      </c>
      <c r="I2144" s="664">
        <v>7.88</v>
      </c>
      <c r="J2144" s="664">
        <v>3.47</v>
      </c>
      <c r="K2144" s="664">
        <v>2040.0</v>
      </c>
      <c r="L2144" s="664">
        <v>25880.0</v>
      </c>
      <c r="M2144" s="664">
        <v>4.4252</v>
      </c>
      <c r="N2144" s="1">
        <v>60.0</v>
      </c>
      <c r="O2144" s="1">
        <v>2040.0</v>
      </c>
      <c r="P2144" s="1">
        <v>25880.0</v>
      </c>
      <c r="Q2144" s="1">
        <v>4.4252</v>
      </c>
      <c r="R2144" s="1">
        <v>1533.0</v>
      </c>
    </row>
    <row r="2145">
      <c r="A2145" s="663" t="s">
        <v>2353</v>
      </c>
      <c r="B2145" s="663" t="s">
        <v>1192</v>
      </c>
      <c r="C2145" s="663" t="s">
        <v>1211</v>
      </c>
      <c r="D2145" s="663" t="s">
        <v>2234</v>
      </c>
      <c r="E2145" s="664" t="s">
        <v>73</v>
      </c>
      <c r="F2145" s="664">
        <v>461.0</v>
      </c>
      <c r="G2145" s="664">
        <v>66.0</v>
      </c>
      <c r="H2145" s="664">
        <v>14.32</v>
      </c>
      <c r="I2145" s="664">
        <v>4.0</v>
      </c>
      <c r="J2145" s="664">
        <v>5.14</v>
      </c>
      <c r="K2145" s="664">
        <v>1035.0</v>
      </c>
      <c r="L2145" s="664">
        <v>25880.0</v>
      </c>
      <c r="M2145" s="664">
        <v>2.2451</v>
      </c>
      <c r="N2145" s="1">
        <v>15.6818</v>
      </c>
      <c r="O2145" s="1">
        <v>1035.0</v>
      </c>
      <c r="P2145" s="1">
        <v>25880.0</v>
      </c>
      <c r="Q2145" s="1">
        <v>2.2451</v>
      </c>
      <c r="R2145" s="1">
        <v>1533.0</v>
      </c>
    </row>
    <row r="2146">
      <c r="A2146" s="663" t="s">
        <v>2353</v>
      </c>
      <c r="B2146" s="663" t="s">
        <v>1192</v>
      </c>
      <c r="C2146" s="663" t="s">
        <v>1211</v>
      </c>
      <c r="D2146" s="663" t="s">
        <v>2234</v>
      </c>
      <c r="E2146" s="664" t="s">
        <v>411</v>
      </c>
      <c r="F2146" s="664">
        <v>461.0</v>
      </c>
      <c r="G2146" s="664">
        <v>1.0</v>
      </c>
      <c r="H2146" s="664">
        <v>0.22</v>
      </c>
      <c r="I2146" s="664">
        <v>0.12</v>
      </c>
      <c r="J2146" s="664">
        <v>0.05</v>
      </c>
      <c r="K2146" s="664">
        <v>30.0</v>
      </c>
      <c r="L2146" s="664">
        <v>25880.0</v>
      </c>
      <c r="M2146" s="664">
        <v>0.0651</v>
      </c>
      <c r="N2146" s="1">
        <v>30.0</v>
      </c>
      <c r="O2146" s="1">
        <v>30.0</v>
      </c>
      <c r="P2146" s="1">
        <v>25880.0</v>
      </c>
      <c r="Q2146" s="1">
        <v>0.0651</v>
      </c>
      <c r="R2146" s="1">
        <v>1533.0</v>
      </c>
    </row>
    <row r="2147">
      <c r="A2147" s="663" t="s">
        <v>2353</v>
      </c>
      <c r="B2147" s="663" t="s">
        <v>1192</v>
      </c>
      <c r="C2147" s="663" t="s">
        <v>55</v>
      </c>
      <c r="D2147" s="663" t="s">
        <v>2234</v>
      </c>
      <c r="E2147" s="664" t="s">
        <v>418</v>
      </c>
      <c r="F2147" s="664">
        <v>479.0</v>
      </c>
      <c r="G2147" s="664">
        <v>479.0</v>
      </c>
      <c r="H2147" s="664">
        <v>100.0</v>
      </c>
      <c r="I2147" s="664">
        <v>52.99</v>
      </c>
      <c r="J2147" s="664">
        <v>50.13</v>
      </c>
      <c r="K2147" s="664">
        <v>497110.0</v>
      </c>
      <c r="L2147" s="664">
        <v>938192.0</v>
      </c>
      <c r="M2147" s="664">
        <v>1037.8079</v>
      </c>
      <c r="N2147" s="1">
        <v>1037.8079</v>
      </c>
      <c r="O2147" s="1">
        <v>497110.0</v>
      </c>
      <c r="P2147" s="1">
        <v>938192.0</v>
      </c>
      <c r="Q2147" s="1">
        <v>1037.8079</v>
      </c>
      <c r="R2147" s="1">
        <v>1533.0</v>
      </c>
    </row>
    <row r="2148">
      <c r="A2148" s="663" t="s">
        <v>2353</v>
      </c>
      <c r="B2148" s="663" t="s">
        <v>1192</v>
      </c>
      <c r="C2148" s="663" t="s">
        <v>55</v>
      </c>
      <c r="D2148" s="663" t="s">
        <v>2234</v>
      </c>
      <c r="E2148" s="664" t="s">
        <v>396</v>
      </c>
      <c r="F2148" s="664">
        <v>479.0</v>
      </c>
      <c r="G2148" s="664">
        <v>456.0</v>
      </c>
      <c r="H2148" s="664">
        <v>95.2</v>
      </c>
      <c r="I2148" s="664">
        <v>12.91</v>
      </c>
      <c r="J2148" s="664">
        <v>14.61</v>
      </c>
      <c r="K2148" s="664">
        <v>121110.0</v>
      </c>
      <c r="L2148" s="664">
        <v>938192.0</v>
      </c>
      <c r="M2148" s="664">
        <v>252.8392</v>
      </c>
      <c r="N2148" s="1">
        <v>265.5921</v>
      </c>
      <c r="O2148" s="1">
        <v>121110.0</v>
      </c>
      <c r="P2148" s="1">
        <v>938192.0</v>
      </c>
      <c r="Q2148" s="1">
        <v>252.8392</v>
      </c>
      <c r="R2148" s="1">
        <v>1533.0</v>
      </c>
    </row>
    <row r="2149">
      <c r="A2149" s="663" t="s">
        <v>2353</v>
      </c>
      <c r="B2149" s="663" t="s">
        <v>1192</v>
      </c>
      <c r="C2149" s="663" t="s">
        <v>55</v>
      </c>
      <c r="D2149" s="663" t="s">
        <v>2234</v>
      </c>
      <c r="E2149" s="664" t="s">
        <v>413</v>
      </c>
      <c r="F2149" s="664">
        <v>479.0</v>
      </c>
      <c r="G2149" s="664">
        <v>317.0</v>
      </c>
      <c r="H2149" s="664">
        <v>66.18</v>
      </c>
      <c r="I2149" s="664">
        <v>6.77</v>
      </c>
      <c r="J2149" s="664">
        <v>7.46</v>
      </c>
      <c r="K2149" s="664">
        <v>63480.0</v>
      </c>
      <c r="L2149" s="664">
        <v>938192.0</v>
      </c>
      <c r="M2149" s="664">
        <v>132.5261</v>
      </c>
      <c r="N2149" s="1">
        <v>200.2524</v>
      </c>
      <c r="O2149" s="1">
        <v>63480.0</v>
      </c>
      <c r="P2149" s="1">
        <v>938192.0</v>
      </c>
      <c r="Q2149" s="1">
        <v>132.5261</v>
      </c>
      <c r="R2149" s="1">
        <v>1533.0</v>
      </c>
    </row>
    <row r="2150">
      <c r="A2150" s="663" t="s">
        <v>2353</v>
      </c>
      <c r="B2150" s="663" t="s">
        <v>1192</v>
      </c>
      <c r="C2150" s="663" t="s">
        <v>55</v>
      </c>
      <c r="D2150" s="663" t="s">
        <v>2234</v>
      </c>
      <c r="E2150" s="664" t="s">
        <v>14</v>
      </c>
      <c r="F2150" s="664">
        <v>479.0</v>
      </c>
      <c r="G2150" s="664">
        <v>356.0</v>
      </c>
      <c r="H2150" s="664">
        <v>74.32</v>
      </c>
      <c r="I2150" s="664">
        <v>5.15</v>
      </c>
      <c r="J2150" s="664">
        <v>5.22</v>
      </c>
      <c r="K2150" s="664">
        <v>48320.0</v>
      </c>
      <c r="L2150" s="664">
        <v>938192.0</v>
      </c>
      <c r="M2150" s="664">
        <v>100.8768</v>
      </c>
      <c r="N2150" s="1">
        <v>135.7303</v>
      </c>
      <c r="O2150" s="1">
        <v>48320.0</v>
      </c>
      <c r="P2150" s="1">
        <v>938192.0</v>
      </c>
      <c r="Q2150" s="1">
        <v>100.8768</v>
      </c>
      <c r="R2150" s="1">
        <v>1533.0</v>
      </c>
    </row>
    <row r="2151">
      <c r="A2151" s="663" t="s">
        <v>2353</v>
      </c>
      <c r="B2151" s="663" t="s">
        <v>1192</v>
      </c>
      <c r="C2151" s="663" t="s">
        <v>55</v>
      </c>
      <c r="D2151" s="663" t="s">
        <v>2234</v>
      </c>
      <c r="E2151" s="664" t="s">
        <v>51</v>
      </c>
      <c r="F2151" s="664">
        <v>479.0</v>
      </c>
      <c r="G2151" s="664">
        <v>316.0</v>
      </c>
      <c r="H2151" s="664">
        <v>65.97</v>
      </c>
      <c r="I2151" s="664">
        <v>4.62</v>
      </c>
      <c r="J2151" s="664">
        <v>4.67</v>
      </c>
      <c r="K2151" s="664">
        <v>43380.0</v>
      </c>
      <c r="L2151" s="664">
        <v>938192.0</v>
      </c>
      <c r="M2151" s="664">
        <v>90.5637</v>
      </c>
      <c r="N2151" s="1">
        <v>137.2785</v>
      </c>
      <c r="O2151" s="1">
        <v>43380.0</v>
      </c>
      <c r="P2151" s="1">
        <v>938192.0</v>
      </c>
      <c r="Q2151" s="1">
        <v>90.5637</v>
      </c>
      <c r="R2151" s="1">
        <v>1533.0</v>
      </c>
    </row>
    <row r="2152">
      <c r="A2152" s="663" t="s">
        <v>2353</v>
      </c>
      <c r="B2152" s="663" t="s">
        <v>1192</v>
      </c>
      <c r="C2152" s="663" t="s">
        <v>55</v>
      </c>
      <c r="D2152" s="663" t="s">
        <v>2234</v>
      </c>
      <c r="E2152" s="664" t="s">
        <v>9</v>
      </c>
      <c r="F2152" s="664">
        <v>479.0</v>
      </c>
      <c r="G2152" s="664">
        <v>327.0</v>
      </c>
      <c r="H2152" s="664">
        <v>68.27</v>
      </c>
      <c r="I2152" s="664">
        <v>3.52</v>
      </c>
      <c r="J2152" s="664">
        <v>4.61</v>
      </c>
      <c r="K2152" s="664">
        <v>33060.0</v>
      </c>
      <c r="L2152" s="664">
        <v>938192.0</v>
      </c>
      <c r="M2152" s="664">
        <v>69.0188</v>
      </c>
      <c r="N2152" s="1">
        <v>101.1009</v>
      </c>
      <c r="O2152" s="1">
        <v>33060.0</v>
      </c>
      <c r="P2152" s="1">
        <v>938192.0</v>
      </c>
      <c r="Q2152" s="1">
        <v>69.0188</v>
      </c>
      <c r="R2152" s="1">
        <v>1533.0</v>
      </c>
    </row>
    <row r="2153">
      <c r="A2153" s="663" t="s">
        <v>2353</v>
      </c>
      <c r="B2153" s="663" t="s">
        <v>1192</v>
      </c>
      <c r="C2153" s="663" t="s">
        <v>55</v>
      </c>
      <c r="D2153" s="663" t="s">
        <v>2234</v>
      </c>
      <c r="E2153" s="664" t="s">
        <v>398</v>
      </c>
      <c r="F2153" s="664">
        <v>479.0</v>
      </c>
      <c r="G2153" s="664">
        <v>447.0</v>
      </c>
      <c r="H2153" s="664">
        <v>93.32</v>
      </c>
      <c r="I2153" s="664">
        <v>3.17</v>
      </c>
      <c r="J2153" s="664">
        <v>3.08</v>
      </c>
      <c r="K2153" s="664">
        <v>29770.0</v>
      </c>
      <c r="L2153" s="664">
        <v>938192.0</v>
      </c>
      <c r="M2153" s="664">
        <v>62.1503</v>
      </c>
      <c r="N2153" s="1">
        <v>66.5996</v>
      </c>
      <c r="O2153" s="1">
        <v>29770.0</v>
      </c>
      <c r="P2153" s="1">
        <v>938192.0</v>
      </c>
      <c r="Q2153" s="1">
        <v>62.1503</v>
      </c>
      <c r="R2153" s="1">
        <v>1533.0</v>
      </c>
    </row>
    <row r="2154">
      <c r="A2154" s="663" t="s">
        <v>2353</v>
      </c>
      <c r="B2154" s="663" t="s">
        <v>1192</v>
      </c>
      <c r="C2154" s="663" t="s">
        <v>55</v>
      </c>
      <c r="D2154" s="663" t="s">
        <v>2234</v>
      </c>
      <c r="E2154" s="664" t="s">
        <v>397</v>
      </c>
      <c r="F2154" s="664">
        <v>479.0</v>
      </c>
      <c r="G2154" s="664">
        <v>355.0</v>
      </c>
      <c r="H2154" s="664">
        <v>74.11</v>
      </c>
      <c r="I2154" s="664">
        <v>2.36</v>
      </c>
      <c r="J2154" s="664">
        <v>1.83</v>
      </c>
      <c r="K2154" s="664">
        <v>22145.0</v>
      </c>
      <c r="L2154" s="664">
        <v>938192.0</v>
      </c>
      <c r="M2154" s="664">
        <v>46.2317</v>
      </c>
      <c r="N2154" s="1">
        <v>62.3803</v>
      </c>
      <c r="O2154" s="1">
        <v>22145.0</v>
      </c>
      <c r="P2154" s="1">
        <v>938192.0</v>
      </c>
      <c r="Q2154" s="1">
        <v>46.2317</v>
      </c>
      <c r="R2154" s="1">
        <v>1533.0</v>
      </c>
    </row>
    <row r="2155">
      <c r="A2155" s="663" t="s">
        <v>2353</v>
      </c>
      <c r="B2155" s="663" t="s">
        <v>1192</v>
      </c>
      <c r="C2155" s="663" t="s">
        <v>55</v>
      </c>
      <c r="D2155" s="663" t="s">
        <v>2234</v>
      </c>
      <c r="E2155" s="664" t="s">
        <v>401</v>
      </c>
      <c r="F2155" s="664">
        <v>479.0</v>
      </c>
      <c r="G2155" s="664">
        <v>143.0</v>
      </c>
      <c r="H2155" s="664">
        <v>29.85</v>
      </c>
      <c r="I2155" s="664">
        <v>1.56</v>
      </c>
      <c r="J2155" s="664">
        <v>1.69</v>
      </c>
      <c r="K2155" s="664">
        <v>14670.0</v>
      </c>
      <c r="L2155" s="664">
        <v>938192.0</v>
      </c>
      <c r="M2155" s="664">
        <v>30.6263</v>
      </c>
      <c r="N2155" s="1">
        <v>102.5874</v>
      </c>
      <c r="O2155" s="1">
        <v>14670.0</v>
      </c>
      <c r="P2155" s="1">
        <v>938192.0</v>
      </c>
      <c r="Q2155" s="1">
        <v>30.6263</v>
      </c>
      <c r="R2155" s="1">
        <v>1533.0</v>
      </c>
    </row>
    <row r="2156">
      <c r="A2156" s="663" t="s">
        <v>2353</v>
      </c>
      <c r="B2156" s="663" t="s">
        <v>1192</v>
      </c>
      <c r="C2156" s="663" t="s">
        <v>55</v>
      </c>
      <c r="D2156" s="663" t="s">
        <v>2234</v>
      </c>
      <c r="E2156" s="664" t="s">
        <v>411</v>
      </c>
      <c r="F2156" s="664">
        <v>479.0</v>
      </c>
      <c r="G2156" s="664">
        <v>155.0</v>
      </c>
      <c r="H2156" s="664">
        <v>32.36</v>
      </c>
      <c r="I2156" s="664">
        <v>1.52</v>
      </c>
      <c r="J2156" s="664">
        <v>1.15</v>
      </c>
      <c r="K2156" s="664">
        <v>14287.0</v>
      </c>
      <c r="L2156" s="664">
        <v>938192.0</v>
      </c>
      <c r="M2156" s="664">
        <v>29.8267</v>
      </c>
      <c r="N2156" s="1">
        <v>92.1742</v>
      </c>
      <c r="O2156" s="1">
        <v>14287.0</v>
      </c>
      <c r="P2156" s="1">
        <v>938192.0</v>
      </c>
      <c r="Q2156" s="1">
        <v>29.8267</v>
      </c>
      <c r="R2156" s="1">
        <v>1533.0</v>
      </c>
    </row>
    <row r="2157">
      <c r="A2157" s="663" t="s">
        <v>2353</v>
      </c>
      <c r="B2157" s="663" t="s">
        <v>1192</v>
      </c>
      <c r="C2157" s="663" t="s">
        <v>55</v>
      </c>
      <c r="D2157" s="663" t="s">
        <v>2234</v>
      </c>
      <c r="E2157" s="664" t="s">
        <v>206</v>
      </c>
      <c r="F2157" s="664">
        <v>479.0</v>
      </c>
      <c r="G2157" s="664">
        <v>122.0</v>
      </c>
      <c r="H2157" s="664">
        <v>25.47</v>
      </c>
      <c r="I2157" s="664">
        <v>1.29</v>
      </c>
      <c r="J2157" s="664">
        <v>1.2</v>
      </c>
      <c r="K2157" s="664">
        <v>12060.0</v>
      </c>
      <c r="L2157" s="664">
        <v>938192.0</v>
      </c>
      <c r="M2157" s="664">
        <v>25.1775</v>
      </c>
      <c r="N2157" s="1">
        <v>98.8525</v>
      </c>
      <c r="O2157" s="1">
        <v>12060.0</v>
      </c>
      <c r="P2157" s="1">
        <v>938192.0</v>
      </c>
      <c r="Q2157" s="1">
        <v>25.1775</v>
      </c>
      <c r="R2157" s="1">
        <v>1533.0</v>
      </c>
    </row>
    <row r="2158">
      <c r="A2158" s="663" t="s">
        <v>2353</v>
      </c>
      <c r="B2158" s="663" t="s">
        <v>1192</v>
      </c>
      <c r="C2158" s="663" t="s">
        <v>55</v>
      </c>
      <c r="D2158" s="663" t="s">
        <v>2234</v>
      </c>
      <c r="E2158" s="664" t="s">
        <v>73</v>
      </c>
      <c r="F2158" s="664">
        <v>479.0</v>
      </c>
      <c r="G2158" s="664">
        <v>80.0</v>
      </c>
      <c r="H2158" s="664">
        <v>16.7</v>
      </c>
      <c r="I2158" s="664">
        <v>1.28</v>
      </c>
      <c r="J2158" s="664">
        <v>1.3</v>
      </c>
      <c r="K2158" s="664">
        <v>12000.0</v>
      </c>
      <c r="L2158" s="664">
        <v>938192.0</v>
      </c>
      <c r="M2158" s="664">
        <v>25.0522</v>
      </c>
      <c r="N2158" s="1">
        <v>150.0</v>
      </c>
      <c r="O2158" s="1">
        <v>12000.0</v>
      </c>
      <c r="P2158" s="1">
        <v>938192.0</v>
      </c>
      <c r="Q2158" s="1">
        <v>25.0522</v>
      </c>
      <c r="R2158" s="1">
        <v>1533.0</v>
      </c>
    </row>
    <row r="2159">
      <c r="A2159" s="663" t="s">
        <v>2353</v>
      </c>
      <c r="B2159" s="663" t="s">
        <v>1192</v>
      </c>
      <c r="C2159" s="663" t="s">
        <v>55</v>
      </c>
      <c r="D2159" s="663" t="s">
        <v>2234</v>
      </c>
      <c r="E2159" s="664" t="s">
        <v>7</v>
      </c>
      <c r="F2159" s="664">
        <v>479.0</v>
      </c>
      <c r="G2159" s="664">
        <v>275.0</v>
      </c>
      <c r="H2159" s="664">
        <v>57.41</v>
      </c>
      <c r="I2159" s="664">
        <v>1.22</v>
      </c>
      <c r="J2159" s="664">
        <v>1.42</v>
      </c>
      <c r="K2159" s="664">
        <v>11405.0</v>
      </c>
      <c r="L2159" s="664">
        <v>938192.0</v>
      </c>
      <c r="M2159" s="664">
        <v>23.81</v>
      </c>
      <c r="N2159" s="1">
        <v>41.4727</v>
      </c>
      <c r="O2159" s="1">
        <v>11405.0</v>
      </c>
      <c r="P2159" s="1">
        <v>938192.0</v>
      </c>
      <c r="Q2159" s="1">
        <v>23.81</v>
      </c>
      <c r="R2159" s="1">
        <v>1533.0</v>
      </c>
    </row>
    <row r="2160">
      <c r="A2160" s="663" t="s">
        <v>2353</v>
      </c>
      <c r="B2160" s="663" t="s">
        <v>1192</v>
      </c>
      <c r="C2160" s="663" t="s">
        <v>55</v>
      </c>
      <c r="D2160" s="663" t="s">
        <v>2234</v>
      </c>
      <c r="E2160" s="664" t="s">
        <v>63</v>
      </c>
      <c r="F2160" s="664">
        <v>479.0</v>
      </c>
      <c r="G2160" s="664">
        <v>200.0</v>
      </c>
      <c r="H2160" s="664">
        <v>41.75</v>
      </c>
      <c r="I2160" s="664">
        <v>1.13</v>
      </c>
      <c r="J2160" s="664">
        <v>1.09</v>
      </c>
      <c r="K2160" s="664">
        <v>10620.0</v>
      </c>
      <c r="L2160" s="664">
        <v>938192.0</v>
      </c>
      <c r="M2160" s="664">
        <v>22.1712</v>
      </c>
      <c r="N2160" s="1">
        <v>53.1</v>
      </c>
      <c r="O2160" s="1">
        <v>10620.0</v>
      </c>
      <c r="P2160" s="1">
        <v>938192.0</v>
      </c>
      <c r="Q2160" s="1">
        <v>22.1712</v>
      </c>
      <c r="R2160" s="1">
        <v>1533.0</v>
      </c>
    </row>
    <row r="2161">
      <c r="A2161" s="663" t="s">
        <v>2353</v>
      </c>
      <c r="B2161" s="663" t="s">
        <v>1192</v>
      </c>
      <c r="C2161" s="663" t="s">
        <v>55</v>
      </c>
      <c r="D2161" s="663" t="s">
        <v>2234</v>
      </c>
      <c r="E2161" s="664" t="s">
        <v>393</v>
      </c>
      <c r="F2161" s="664">
        <v>479.0</v>
      </c>
      <c r="G2161" s="664">
        <v>145.0</v>
      </c>
      <c r="H2161" s="664">
        <v>30.27</v>
      </c>
      <c r="I2161" s="664">
        <v>0.42</v>
      </c>
      <c r="J2161" s="664">
        <v>0.41</v>
      </c>
      <c r="K2161" s="664">
        <v>3935.0</v>
      </c>
      <c r="L2161" s="664">
        <v>938192.0</v>
      </c>
      <c r="M2161" s="664">
        <v>8.215</v>
      </c>
      <c r="N2161" s="1">
        <v>27.1379</v>
      </c>
      <c r="O2161" s="1">
        <v>3935.0</v>
      </c>
      <c r="P2161" s="1">
        <v>938192.0</v>
      </c>
      <c r="Q2161" s="1">
        <v>8.215</v>
      </c>
      <c r="R2161" s="1">
        <v>1533.0</v>
      </c>
    </row>
    <row r="2162">
      <c r="A2162" s="663" t="s">
        <v>2353</v>
      </c>
      <c r="B2162" s="663" t="s">
        <v>1192</v>
      </c>
      <c r="C2162" s="663" t="s">
        <v>55</v>
      </c>
      <c r="D2162" s="663" t="s">
        <v>2234</v>
      </c>
      <c r="E2162" s="664" t="s">
        <v>42</v>
      </c>
      <c r="F2162" s="664">
        <v>479.0</v>
      </c>
      <c r="G2162" s="664">
        <v>15.0</v>
      </c>
      <c r="H2162" s="664">
        <v>3.13</v>
      </c>
      <c r="I2162" s="664">
        <v>0.09</v>
      </c>
      <c r="J2162" s="664">
        <v>0.13</v>
      </c>
      <c r="K2162" s="664">
        <v>840.0</v>
      </c>
      <c r="L2162" s="664">
        <v>938192.0</v>
      </c>
      <c r="M2162" s="664">
        <v>1.7537</v>
      </c>
      <c r="N2162" s="1">
        <v>56.0</v>
      </c>
      <c r="O2162" s="1">
        <v>840.0</v>
      </c>
      <c r="P2162" s="1">
        <v>938192.0</v>
      </c>
      <c r="Q2162" s="1">
        <v>1.7537</v>
      </c>
      <c r="R2162" s="1">
        <v>1533.0</v>
      </c>
    </row>
    <row r="2163">
      <c r="A2163" s="663"/>
      <c r="B2163" s="663"/>
      <c r="C2163" s="663"/>
      <c r="D2163" s="663"/>
      <c r="E2163" s="664"/>
      <c r="F2163" s="664"/>
      <c r="G2163" s="664"/>
      <c r="H2163" s="664"/>
      <c r="I2163" s="664"/>
      <c r="J2163" s="664"/>
      <c r="K2163" s="664"/>
      <c r="L2163" s="664"/>
      <c r="M2163" s="664"/>
    </row>
    <row r="2164">
      <c r="A2164" s="663"/>
      <c r="B2164" s="663"/>
      <c r="C2164" s="663"/>
      <c r="D2164" s="663"/>
      <c r="E2164" s="664"/>
      <c r="F2164" s="664"/>
      <c r="G2164" s="664"/>
      <c r="H2164" s="664"/>
      <c r="I2164" s="664"/>
      <c r="J2164" s="664"/>
      <c r="K2164" s="664"/>
      <c r="L2164" s="664"/>
      <c r="M2164" s="664"/>
    </row>
    <row r="2165">
      <c r="A2165" s="663"/>
      <c r="B2165" s="663"/>
      <c r="C2165" s="663"/>
      <c r="D2165" s="663"/>
      <c r="E2165" s="664"/>
      <c r="F2165" s="664"/>
      <c r="G2165" s="664"/>
      <c r="H2165" s="664"/>
      <c r="I2165" s="664"/>
      <c r="J2165" s="664"/>
      <c r="K2165" s="664"/>
      <c r="L2165" s="664"/>
      <c r="M2165" s="664"/>
    </row>
    <row r="2166">
      <c r="A2166" s="663"/>
      <c r="B2166" s="663"/>
      <c r="C2166" s="663"/>
      <c r="D2166" s="663"/>
      <c r="E2166" s="664"/>
      <c r="F2166" s="664"/>
      <c r="G2166" s="664"/>
      <c r="H2166" s="664"/>
      <c r="I2166" s="664"/>
      <c r="J2166" s="664"/>
      <c r="K2166" s="664"/>
      <c r="L2166" s="664"/>
      <c r="M2166" s="664"/>
    </row>
    <row r="2167">
      <c r="A2167" s="663"/>
      <c r="B2167" s="663"/>
      <c r="C2167" s="663"/>
      <c r="D2167" s="663"/>
      <c r="E2167" s="664"/>
      <c r="F2167" s="664"/>
      <c r="G2167" s="664"/>
      <c r="H2167" s="664"/>
      <c r="I2167" s="664"/>
      <c r="J2167" s="664"/>
      <c r="K2167" s="664"/>
      <c r="L2167" s="664"/>
      <c r="M2167" s="664"/>
    </row>
    <row r="2168">
      <c r="A2168" s="663"/>
      <c r="B2168" s="663"/>
      <c r="C2168" s="663"/>
      <c r="D2168" s="663"/>
      <c r="E2168" s="664"/>
      <c r="F2168" s="664"/>
      <c r="G2168" s="664"/>
      <c r="H2168" s="664"/>
      <c r="I2168" s="664"/>
      <c r="J2168" s="664"/>
      <c r="K2168" s="664"/>
      <c r="L2168" s="664"/>
      <c r="M2168" s="664"/>
    </row>
    <row r="2169">
      <c r="A2169" s="663"/>
      <c r="B2169" s="663"/>
      <c r="C2169" s="663"/>
      <c r="D2169" s="663"/>
      <c r="E2169" s="664"/>
      <c r="F2169" s="664"/>
      <c r="G2169" s="664"/>
      <c r="H2169" s="664"/>
      <c r="I2169" s="664"/>
      <c r="J2169" s="664"/>
      <c r="K2169" s="664"/>
      <c r="L2169" s="664"/>
      <c r="M2169" s="664"/>
    </row>
    <row r="2170">
      <c r="A2170" s="663"/>
      <c r="B2170" s="663"/>
      <c r="C2170" s="663"/>
      <c r="D2170" s="663"/>
      <c r="E2170" s="664"/>
      <c r="F2170" s="664"/>
      <c r="G2170" s="664"/>
      <c r="H2170" s="664"/>
      <c r="I2170" s="664"/>
      <c r="J2170" s="664"/>
      <c r="K2170" s="664"/>
      <c r="L2170" s="664"/>
      <c r="M2170" s="664"/>
    </row>
    <row r="2171">
      <c r="A2171" s="663"/>
      <c r="B2171" s="663"/>
      <c r="C2171" s="663"/>
      <c r="D2171" s="663"/>
      <c r="E2171" s="664"/>
      <c r="F2171" s="664"/>
      <c r="G2171" s="664"/>
      <c r="H2171" s="664"/>
      <c r="I2171" s="664"/>
      <c r="J2171" s="664"/>
      <c r="K2171" s="664"/>
      <c r="L2171" s="664"/>
      <c r="M2171" s="664"/>
    </row>
    <row r="2172">
      <c r="A2172" s="663"/>
      <c r="B2172" s="663"/>
      <c r="C2172" s="663"/>
      <c r="D2172" s="663"/>
      <c r="E2172" s="664"/>
      <c r="F2172" s="664"/>
      <c r="G2172" s="664"/>
      <c r="H2172" s="664"/>
      <c r="I2172" s="664"/>
      <c r="J2172" s="664"/>
      <c r="K2172" s="664"/>
      <c r="L2172" s="664"/>
      <c r="M2172" s="664"/>
    </row>
    <row r="2173">
      <c r="A2173" s="663"/>
      <c r="B2173" s="663"/>
      <c r="C2173" s="663"/>
      <c r="D2173" s="663"/>
      <c r="E2173" s="664"/>
      <c r="F2173" s="664"/>
      <c r="G2173" s="664"/>
      <c r="H2173" s="664"/>
      <c r="I2173" s="664"/>
      <c r="J2173" s="664"/>
      <c r="K2173" s="664"/>
      <c r="L2173" s="664"/>
      <c r="M2173" s="664"/>
    </row>
    <row r="2174">
      <c r="A2174" s="663"/>
      <c r="B2174" s="663"/>
      <c r="C2174" s="663"/>
      <c r="D2174" s="663"/>
      <c r="E2174" s="664"/>
      <c r="F2174" s="664"/>
      <c r="G2174" s="664"/>
      <c r="H2174" s="664"/>
      <c r="I2174" s="664"/>
      <c r="J2174" s="664"/>
      <c r="K2174" s="664"/>
      <c r="L2174" s="664"/>
      <c r="M2174" s="664"/>
    </row>
    <row r="2175">
      <c r="A2175" s="663"/>
      <c r="B2175" s="663"/>
      <c r="C2175" s="663"/>
      <c r="D2175" s="663"/>
      <c r="E2175" s="664"/>
      <c r="F2175" s="664"/>
      <c r="G2175" s="664"/>
      <c r="H2175" s="664"/>
      <c r="I2175" s="664"/>
      <c r="J2175" s="664"/>
      <c r="K2175" s="664"/>
      <c r="L2175" s="664"/>
      <c r="M2175" s="664"/>
    </row>
    <row r="2176">
      <c r="A2176" s="663"/>
      <c r="B2176" s="663"/>
      <c r="C2176" s="663"/>
      <c r="D2176" s="663"/>
      <c r="E2176" s="664"/>
      <c r="F2176" s="664"/>
      <c r="G2176" s="664"/>
      <c r="H2176" s="664"/>
      <c r="I2176" s="664"/>
      <c r="J2176" s="664"/>
      <c r="K2176" s="664"/>
      <c r="L2176" s="664"/>
      <c r="M2176" s="664"/>
    </row>
    <row r="2177">
      <c r="A2177" s="663"/>
      <c r="B2177" s="663"/>
      <c r="C2177" s="663"/>
      <c r="D2177" s="663"/>
      <c r="E2177" s="664"/>
      <c r="F2177" s="664"/>
      <c r="G2177" s="664"/>
      <c r="H2177" s="664"/>
      <c r="I2177" s="664"/>
      <c r="J2177" s="664"/>
      <c r="K2177" s="664"/>
      <c r="L2177" s="664"/>
      <c r="M2177" s="664"/>
    </row>
    <row r="2178">
      <c r="A2178" s="663"/>
      <c r="B2178" s="663"/>
      <c r="C2178" s="663"/>
      <c r="D2178" s="663"/>
      <c r="E2178" s="664"/>
      <c r="F2178" s="664"/>
      <c r="G2178" s="664"/>
      <c r="H2178" s="664"/>
      <c r="I2178" s="664"/>
      <c r="J2178" s="664"/>
      <c r="K2178" s="664"/>
      <c r="L2178" s="664"/>
      <c r="M2178" s="664"/>
    </row>
    <row r="2179">
      <c r="A2179" s="663"/>
      <c r="B2179" s="663"/>
      <c r="C2179" s="663"/>
      <c r="D2179" s="663"/>
      <c r="E2179" s="664"/>
      <c r="F2179" s="664"/>
      <c r="G2179" s="664"/>
      <c r="H2179" s="664"/>
      <c r="I2179" s="664"/>
      <c r="J2179" s="664"/>
      <c r="K2179" s="664"/>
      <c r="L2179" s="664"/>
      <c r="M2179" s="664"/>
    </row>
    <row r="2180">
      <c r="A2180" s="663"/>
      <c r="B2180" s="663"/>
      <c r="C2180" s="663"/>
      <c r="D2180" s="663"/>
      <c r="E2180" s="664"/>
      <c r="F2180" s="664"/>
      <c r="G2180" s="664"/>
      <c r="H2180" s="664"/>
      <c r="I2180" s="664"/>
      <c r="J2180" s="664"/>
      <c r="K2180" s="664"/>
      <c r="L2180" s="664"/>
      <c r="M2180" s="664"/>
    </row>
    <row r="2181">
      <c r="A2181" s="663"/>
      <c r="B2181" s="663"/>
      <c r="C2181" s="663"/>
      <c r="D2181" s="663"/>
      <c r="E2181" s="664"/>
      <c r="F2181" s="664"/>
      <c r="G2181" s="664"/>
      <c r="H2181" s="664"/>
      <c r="I2181" s="664"/>
      <c r="J2181" s="664"/>
      <c r="K2181" s="664"/>
      <c r="L2181" s="664"/>
      <c r="M2181" s="664"/>
    </row>
    <row r="2182">
      <c r="A2182" s="663"/>
      <c r="B2182" s="663"/>
      <c r="C2182" s="663"/>
      <c r="D2182" s="663"/>
      <c r="E2182" s="664"/>
      <c r="F2182" s="664"/>
      <c r="G2182" s="664"/>
      <c r="H2182" s="664"/>
      <c r="I2182" s="664"/>
      <c r="J2182" s="664"/>
      <c r="K2182" s="664"/>
      <c r="L2182" s="664"/>
      <c r="M2182" s="664"/>
    </row>
    <row r="2183">
      <c r="A2183" s="663"/>
      <c r="B2183" s="663"/>
      <c r="C2183" s="663"/>
      <c r="D2183" s="663"/>
      <c r="E2183" s="664"/>
      <c r="F2183" s="664"/>
      <c r="G2183" s="664"/>
      <c r="H2183" s="664"/>
      <c r="I2183" s="664"/>
      <c r="J2183" s="664"/>
      <c r="K2183" s="664"/>
      <c r="L2183" s="664"/>
      <c r="M2183" s="664"/>
    </row>
    <row r="2184">
      <c r="A2184" s="663"/>
      <c r="B2184" s="663"/>
      <c r="C2184" s="663"/>
      <c r="D2184" s="663"/>
      <c r="E2184" s="664"/>
      <c r="F2184" s="664"/>
      <c r="G2184" s="664"/>
      <c r="H2184" s="664"/>
      <c r="I2184" s="664"/>
      <c r="J2184" s="664"/>
      <c r="K2184" s="664"/>
      <c r="L2184" s="664"/>
      <c r="M2184" s="664"/>
    </row>
    <row r="2185">
      <c r="A2185" s="663"/>
      <c r="B2185" s="663"/>
      <c r="C2185" s="663"/>
      <c r="D2185" s="663"/>
      <c r="E2185" s="664"/>
      <c r="F2185" s="664"/>
      <c r="G2185" s="664"/>
      <c r="H2185" s="664"/>
      <c r="I2185" s="664"/>
      <c r="J2185" s="664"/>
      <c r="K2185" s="664"/>
      <c r="L2185" s="664"/>
      <c r="M2185" s="664"/>
    </row>
    <row r="2186">
      <c r="A2186" s="663"/>
      <c r="B2186" s="663"/>
      <c r="C2186" s="663"/>
      <c r="D2186" s="663"/>
      <c r="E2186" s="664"/>
      <c r="F2186" s="664"/>
      <c r="G2186" s="664"/>
      <c r="H2186" s="664"/>
      <c r="I2186" s="664"/>
      <c r="J2186" s="664"/>
      <c r="K2186" s="664"/>
      <c r="L2186" s="664"/>
      <c r="M2186" s="664"/>
    </row>
    <row r="2187">
      <c r="A2187" s="663"/>
      <c r="B2187" s="663"/>
      <c r="C2187" s="663"/>
      <c r="D2187" s="663"/>
      <c r="E2187" s="664"/>
      <c r="F2187" s="664"/>
      <c r="G2187" s="664"/>
      <c r="H2187" s="664"/>
      <c r="I2187" s="664"/>
      <c r="J2187" s="664"/>
      <c r="K2187" s="664"/>
      <c r="L2187" s="664"/>
      <c r="M2187" s="664"/>
    </row>
    <row r="2188">
      <c r="A2188" s="663"/>
      <c r="B2188" s="663"/>
      <c r="C2188" s="663"/>
      <c r="D2188" s="663"/>
      <c r="E2188" s="664"/>
      <c r="F2188" s="664"/>
      <c r="G2188" s="664"/>
      <c r="H2188" s="664"/>
      <c r="I2188" s="664"/>
      <c r="J2188" s="664"/>
      <c r="K2188" s="664"/>
      <c r="L2188" s="664"/>
      <c r="M2188" s="664"/>
    </row>
    <row r="2189">
      <c r="A2189" s="663"/>
      <c r="B2189" s="663"/>
      <c r="C2189" s="663"/>
      <c r="D2189" s="663"/>
      <c r="E2189" s="664"/>
      <c r="F2189" s="664"/>
      <c r="G2189" s="664"/>
      <c r="H2189" s="664"/>
      <c r="I2189" s="664"/>
      <c r="J2189" s="664"/>
      <c r="K2189" s="664"/>
      <c r="L2189" s="664"/>
      <c r="M2189" s="664"/>
    </row>
    <row r="2190">
      <c r="A2190" s="663"/>
      <c r="B2190" s="663"/>
      <c r="C2190" s="663"/>
      <c r="D2190" s="663"/>
      <c r="E2190" s="664"/>
      <c r="F2190" s="664"/>
      <c r="G2190" s="664"/>
      <c r="H2190" s="664"/>
      <c r="I2190" s="664"/>
      <c r="J2190" s="664"/>
      <c r="K2190" s="664"/>
      <c r="L2190" s="664"/>
      <c r="M2190" s="664"/>
    </row>
    <row r="2191">
      <c r="A2191" s="663"/>
      <c r="B2191" s="663"/>
      <c r="C2191" s="663"/>
      <c r="D2191" s="663"/>
      <c r="E2191" s="664"/>
      <c r="F2191" s="664"/>
      <c r="G2191" s="664"/>
      <c r="H2191" s="664"/>
      <c r="I2191" s="664"/>
      <c r="J2191" s="664"/>
      <c r="K2191" s="664"/>
      <c r="L2191" s="664"/>
      <c r="M2191" s="664"/>
    </row>
    <row r="2192">
      <c r="A2192" s="663"/>
      <c r="B2192" s="663"/>
      <c r="C2192" s="663"/>
      <c r="D2192" s="663"/>
      <c r="E2192" s="664"/>
      <c r="F2192" s="664"/>
      <c r="G2192" s="664"/>
      <c r="H2192" s="664"/>
      <c r="I2192" s="664"/>
      <c r="J2192" s="664"/>
      <c r="K2192" s="664"/>
      <c r="L2192" s="664"/>
      <c r="M2192" s="664"/>
    </row>
    <row r="2193">
      <c r="A2193" s="663"/>
      <c r="B2193" s="663"/>
      <c r="C2193" s="663"/>
      <c r="D2193" s="663"/>
      <c r="E2193" s="664"/>
      <c r="F2193" s="664"/>
      <c r="G2193" s="664"/>
      <c r="H2193" s="664"/>
      <c r="I2193" s="664"/>
      <c r="J2193" s="664"/>
      <c r="K2193" s="664"/>
      <c r="L2193" s="664"/>
      <c r="M2193" s="664"/>
    </row>
    <row r="2194">
      <c r="A2194" s="663"/>
      <c r="B2194" s="663"/>
      <c r="C2194" s="663"/>
      <c r="D2194" s="663"/>
      <c r="E2194" s="664"/>
      <c r="F2194" s="664"/>
      <c r="G2194" s="664"/>
      <c r="H2194" s="664"/>
      <c r="I2194" s="664"/>
      <c r="J2194" s="664"/>
      <c r="K2194" s="664"/>
      <c r="L2194" s="664"/>
      <c r="M2194" s="664"/>
    </row>
    <row r="2195">
      <c r="A2195" s="663"/>
      <c r="B2195" s="663"/>
      <c r="C2195" s="663"/>
      <c r="D2195" s="663"/>
      <c r="E2195" s="664"/>
      <c r="F2195" s="664"/>
      <c r="G2195" s="664"/>
      <c r="H2195" s="664"/>
      <c r="I2195" s="664"/>
      <c r="J2195" s="664"/>
      <c r="K2195" s="664"/>
      <c r="L2195" s="664"/>
      <c r="M2195" s="664"/>
    </row>
    <row r="2196">
      <c r="A2196" s="663"/>
      <c r="B2196" s="663"/>
      <c r="C2196" s="663"/>
      <c r="D2196" s="663"/>
      <c r="E2196" s="664"/>
      <c r="F2196" s="664"/>
      <c r="G2196" s="664"/>
      <c r="H2196" s="664"/>
      <c r="I2196" s="664"/>
      <c r="J2196" s="664"/>
      <c r="K2196" s="664"/>
      <c r="L2196" s="664"/>
      <c r="M2196" s="664"/>
    </row>
    <row r="2197">
      <c r="A2197" s="663"/>
      <c r="B2197" s="663"/>
      <c r="C2197" s="663"/>
      <c r="D2197" s="663"/>
      <c r="E2197" s="664"/>
      <c r="F2197" s="664"/>
      <c r="G2197" s="664"/>
      <c r="H2197" s="664"/>
      <c r="I2197" s="664"/>
      <c r="J2197" s="664"/>
      <c r="K2197" s="664"/>
      <c r="L2197" s="664"/>
      <c r="M2197" s="664"/>
    </row>
    <row r="2198">
      <c r="A2198" s="663"/>
      <c r="B2198" s="663"/>
      <c r="C2198" s="663"/>
      <c r="D2198" s="663"/>
      <c r="E2198" s="664"/>
      <c r="F2198" s="664"/>
      <c r="G2198" s="664"/>
      <c r="H2198" s="664"/>
      <c r="I2198" s="664"/>
      <c r="J2198" s="664"/>
      <c r="K2198" s="664"/>
      <c r="L2198" s="664"/>
      <c r="M2198" s="664"/>
    </row>
    <row r="2199">
      <c r="A2199" s="663"/>
      <c r="B2199" s="663"/>
      <c r="C2199" s="663"/>
      <c r="D2199" s="663"/>
      <c r="E2199" s="664"/>
      <c r="F2199" s="664"/>
      <c r="G2199" s="664"/>
      <c r="H2199" s="664"/>
      <c r="I2199" s="664"/>
      <c r="J2199" s="664"/>
      <c r="K2199" s="664"/>
      <c r="L2199" s="664"/>
      <c r="M2199" s="664"/>
    </row>
    <row r="2200">
      <c r="A2200" s="663"/>
      <c r="B2200" s="663"/>
      <c r="C2200" s="663"/>
      <c r="D2200" s="663"/>
      <c r="E2200" s="664"/>
      <c r="F2200" s="664"/>
      <c r="G2200" s="664"/>
      <c r="H2200" s="664"/>
      <c r="I2200" s="664"/>
      <c r="J2200" s="664"/>
      <c r="K2200" s="664"/>
      <c r="L2200" s="664"/>
      <c r="M2200" s="664"/>
    </row>
    <row r="2201">
      <c r="A2201" s="663"/>
      <c r="B2201" s="663"/>
      <c r="C2201" s="663"/>
      <c r="D2201" s="663"/>
      <c r="E2201" s="664"/>
      <c r="F2201" s="664"/>
      <c r="G2201" s="664"/>
      <c r="H2201" s="664"/>
      <c r="I2201" s="664"/>
      <c r="J2201" s="664"/>
      <c r="K2201" s="664"/>
      <c r="L2201" s="664"/>
      <c r="M2201" s="664"/>
    </row>
    <row r="2202">
      <c r="A2202" s="663"/>
      <c r="B2202" s="663"/>
      <c r="C2202" s="663"/>
      <c r="D2202" s="663"/>
      <c r="E2202" s="664"/>
      <c r="F2202" s="664"/>
      <c r="G2202" s="664"/>
      <c r="H2202" s="664"/>
      <c r="I2202" s="664"/>
      <c r="J2202" s="664"/>
      <c r="K2202" s="664"/>
      <c r="L2202" s="664"/>
      <c r="M2202" s="664"/>
    </row>
    <row r="2203">
      <c r="A2203" s="663"/>
      <c r="B2203" s="663"/>
      <c r="C2203" s="663"/>
      <c r="D2203" s="663"/>
      <c r="E2203" s="664"/>
      <c r="F2203" s="664"/>
      <c r="G2203" s="664"/>
      <c r="H2203" s="664"/>
      <c r="I2203" s="664"/>
      <c r="J2203" s="664"/>
      <c r="K2203" s="664"/>
      <c r="L2203" s="664"/>
      <c r="M2203" s="664"/>
    </row>
    <row r="2204">
      <c r="A2204" s="663"/>
      <c r="B2204" s="663"/>
      <c r="C2204" s="663"/>
      <c r="D2204" s="663"/>
      <c r="E2204" s="664"/>
      <c r="F2204" s="664"/>
      <c r="G2204" s="664"/>
      <c r="H2204" s="664"/>
      <c r="I2204" s="664"/>
      <c r="J2204" s="664"/>
      <c r="K2204" s="664"/>
      <c r="L2204" s="664"/>
      <c r="M2204" s="664"/>
    </row>
    <row r="2205">
      <c r="A2205" s="663"/>
      <c r="B2205" s="663"/>
      <c r="C2205" s="663"/>
      <c r="D2205" s="663"/>
      <c r="E2205" s="664"/>
      <c r="F2205" s="664"/>
      <c r="G2205" s="664"/>
      <c r="H2205" s="664"/>
      <c r="I2205" s="664"/>
      <c r="J2205" s="664"/>
      <c r="K2205" s="664"/>
      <c r="L2205" s="664"/>
      <c r="M2205" s="664"/>
    </row>
    <row r="2206">
      <c r="A2206" s="663"/>
      <c r="B2206" s="663"/>
      <c r="C2206" s="663"/>
      <c r="D2206" s="663"/>
      <c r="E2206" s="664"/>
      <c r="F2206" s="664"/>
      <c r="G2206" s="664"/>
      <c r="H2206" s="664"/>
      <c r="I2206" s="664"/>
      <c r="J2206" s="664"/>
      <c r="K2206" s="664"/>
      <c r="L2206" s="664"/>
      <c r="M2206" s="664"/>
    </row>
    <row r="2207">
      <c r="A2207" s="663"/>
      <c r="B2207" s="663"/>
      <c r="C2207" s="663"/>
      <c r="D2207" s="663"/>
      <c r="E2207" s="664"/>
      <c r="F2207" s="664"/>
      <c r="G2207" s="664"/>
      <c r="H2207" s="664"/>
      <c r="I2207" s="664"/>
      <c r="J2207" s="664"/>
      <c r="K2207" s="664"/>
      <c r="L2207" s="664"/>
      <c r="M2207" s="664"/>
    </row>
    <row r="2208">
      <c r="A2208" s="663"/>
      <c r="B2208" s="663"/>
      <c r="C2208" s="663"/>
      <c r="D2208" s="663"/>
      <c r="E2208" s="664"/>
      <c r="F2208" s="664"/>
      <c r="G2208" s="664"/>
      <c r="H2208" s="664"/>
      <c r="I2208" s="664"/>
      <c r="J2208" s="664"/>
      <c r="K2208" s="664"/>
      <c r="L2208" s="664"/>
      <c r="M2208" s="664"/>
    </row>
    <row r="2209">
      <c r="A2209" s="663"/>
      <c r="B2209" s="663"/>
      <c r="C2209" s="663"/>
      <c r="D2209" s="663"/>
      <c r="E2209" s="664"/>
      <c r="F2209" s="664"/>
      <c r="G2209" s="664"/>
      <c r="H2209" s="664"/>
      <c r="I2209" s="664"/>
      <c r="J2209" s="664"/>
      <c r="K2209" s="664"/>
      <c r="L2209" s="664"/>
      <c r="M2209" s="664"/>
    </row>
    <row r="2210">
      <c r="A2210" s="663"/>
      <c r="B2210" s="663"/>
      <c r="C2210" s="663"/>
      <c r="D2210" s="663"/>
      <c r="E2210" s="664"/>
      <c r="F2210" s="664"/>
      <c r="G2210" s="664"/>
      <c r="H2210" s="664"/>
      <c r="I2210" s="664"/>
      <c r="J2210" s="664"/>
      <c r="K2210" s="664"/>
      <c r="L2210" s="664"/>
      <c r="M2210" s="664"/>
    </row>
    <row r="2211">
      <c r="A2211" s="663"/>
      <c r="B2211" s="663"/>
      <c r="C2211" s="663"/>
      <c r="D2211" s="663"/>
      <c r="E2211" s="664"/>
      <c r="F2211" s="664"/>
      <c r="G2211" s="664"/>
      <c r="H2211" s="664"/>
      <c r="I2211" s="664"/>
      <c r="J2211" s="664"/>
      <c r="K2211" s="664"/>
      <c r="L2211" s="664"/>
      <c r="M2211" s="664"/>
    </row>
    <row r="2212">
      <c r="A2212" s="663"/>
      <c r="B2212" s="663"/>
      <c r="C2212" s="663"/>
      <c r="D2212" s="663"/>
      <c r="E2212" s="664"/>
      <c r="F2212" s="664"/>
      <c r="G2212" s="664"/>
      <c r="H2212" s="664"/>
      <c r="I2212" s="664"/>
      <c r="J2212" s="664"/>
      <c r="K2212" s="664"/>
      <c r="L2212" s="664"/>
      <c r="M2212" s="664"/>
    </row>
    <row r="2213">
      <c r="A2213" s="663"/>
      <c r="B2213" s="663"/>
      <c r="C2213" s="663"/>
      <c r="D2213" s="663"/>
      <c r="E2213" s="664"/>
      <c r="F2213" s="664"/>
      <c r="G2213" s="664"/>
      <c r="H2213" s="664"/>
      <c r="I2213" s="664"/>
      <c r="J2213" s="664"/>
      <c r="K2213" s="664"/>
      <c r="L2213" s="664"/>
      <c r="M2213" s="664"/>
    </row>
    <row r="2214">
      <c r="A2214" s="663"/>
      <c r="B2214" s="663"/>
      <c r="C2214" s="663"/>
      <c r="D2214" s="663"/>
      <c r="E2214" s="664"/>
      <c r="F2214" s="664"/>
      <c r="G2214" s="664"/>
      <c r="H2214" s="664"/>
      <c r="I2214" s="664"/>
      <c r="J2214" s="664"/>
      <c r="K2214" s="664"/>
      <c r="L2214" s="664"/>
      <c r="M2214" s="664"/>
    </row>
    <row r="2215">
      <c r="A2215" s="663"/>
      <c r="B2215" s="663"/>
      <c r="C2215" s="663"/>
      <c r="D2215" s="663"/>
      <c r="E2215" s="664"/>
      <c r="F2215" s="664"/>
      <c r="G2215" s="664"/>
      <c r="H2215" s="664"/>
      <c r="I2215" s="664"/>
      <c r="J2215" s="664"/>
      <c r="K2215" s="664"/>
      <c r="L2215" s="664"/>
      <c r="M2215" s="664"/>
    </row>
    <row r="2216">
      <c r="A2216" s="663"/>
      <c r="B2216" s="663"/>
      <c r="C2216" s="663"/>
      <c r="D2216" s="663"/>
      <c r="E2216" s="664"/>
      <c r="F2216" s="664"/>
      <c r="G2216" s="664"/>
      <c r="H2216" s="664"/>
      <c r="I2216" s="664"/>
      <c r="J2216" s="664"/>
      <c r="K2216" s="664"/>
      <c r="L2216" s="664"/>
      <c r="M2216" s="664"/>
    </row>
    <row r="2217">
      <c r="A2217" s="663"/>
      <c r="B2217" s="663"/>
      <c r="C2217" s="663"/>
      <c r="D2217" s="663"/>
      <c r="E2217" s="664"/>
      <c r="F2217" s="664"/>
      <c r="G2217" s="664"/>
      <c r="H2217" s="664"/>
      <c r="I2217" s="664"/>
      <c r="J2217" s="664"/>
      <c r="K2217" s="664"/>
      <c r="L2217" s="664"/>
      <c r="M2217" s="664"/>
    </row>
    <row r="2218">
      <c r="A2218" s="663"/>
      <c r="B2218" s="663"/>
      <c r="C2218" s="663"/>
      <c r="D2218" s="663"/>
      <c r="E2218" s="664"/>
      <c r="F2218" s="664"/>
      <c r="G2218" s="664"/>
      <c r="H2218" s="664"/>
      <c r="I2218" s="664"/>
      <c r="J2218" s="664"/>
      <c r="K2218" s="664"/>
      <c r="L2218" s="664"/>
      <c r="M2218" s="664"/>
    </row>
    <row r="2219">
      <c r="A2219" s="663"/>
      <c r="B2219" s="663"/>
      <c r="C2219" s="663"/>
      <c r="D2219" s="663"/>
      <c r="E2219" s="664"/>
      <c r="F2219" s="664"/>
      <c r="G2219" s="664"/>
      <c r="H2219" s="664"/>
      <c r="I2219" s="664"/>
      <c r="J2219" s="664"/>
      <c r="K2219" s="664"/>
      <c r="L2219" s="664"/>
      <c r="M2219" s="664"/>
    </row>
    <row r="2220">
      <c r="A2220" s="663"/>
      <c r="B2220" s="663"/>
      <c r="C2220" s="663"/>
      <c r="D2220" s="663"/>
      <c r="E2220" s="664"/>
      <c r="F2220" s="664"/>
      <c r="G2220" s="664"/>
      <c r="H2220" s="664"/>
      <c r="I2220" s="664"/>
      <c r="J2220" s="664"/>
      <c r="K2220" s="664"/>
      <c r="L2220" s="664"/>
      <c r="M2220" s="664"/>
    </row>
    <row r="2221">
      <c r="A2221" s="663"/>
      <c r="B2221" s="663"/>
      <c r="C2221" s="663"/>
      <c r="D2221" s="663"/>
      <c r="E2221" s="664"/>
      <c r="F2221" s="664"/>
      <c r="G2221" s="664"/>
      <c r="H2221" s="664"/>
      <c r="I2221" s="664"/>
      <c r="J2221" s="664"/>
      <c r="K2221" s="664"/>
      <c r="L2221" s="664"/>
      <c r="M2221" s="664"/>
    </row>
    <row r="2222">
      <c r="A2222" s="663"/>
      <c r="B2222" s="663"/>
      <c r="C2222" s="663"/>
      <c r="D2222" s="663"/>
      <c r="E2222" s="664"/>
      <c r="F2222" s="664"/>
      <c r="G2222" s="664"/>
      <c r="H2222" s="664"/>
      <c r="I2222" s="664"/>
      <c r="J2222" s="664"/>
      <c r="K2222" s="664"/>
      <c r="L2222" s="664"/>
      <c r="M2222" s="664"/>
    </row>
    <row r="2223">
      <c r="A2223" s="663"/>
      <c r="B2223" s="663"/>
      <c r="C2223" s="663"/>
      <c r="D2223" s="663"/>
      <c r="E2223" s="664"/>
      <c r="F2223" s="664"/>
      <c r="G2223" s="664"/>
      <c r="H2223" s="664"/>
      <c r="I2223" s="664"/>
      <c r="J2223" s="664"/>
      <c r="K2223" s="664"/>
      <c r="L2223" s="664"/>
      <c r="M2223" s="664"/>
    </row>
    <row r="2224">
      <c r="A2224" s="663"/>
      <c r="B2224" s="663"/>
      <c r="C2224" s="663"/>
      <c r="D2224" s="663"/>
      <c r="E2224" s="664"/>
      <c r="F2224" s="664"/>
      <c r="G2224" s="664"/>
      <c r="H2224" s="664"/>
      <c r="I2224" s="664"/>
      <c r="J2224" s="664"/>
      <c r="K2224" s="664"/>
      <c r="L2224" s="664"/>
      <c r="M2224" s="664"/>
    </row>
    <row r="2225">
      <c r="A2225" s="663"/>
      <c r="B2225" s="663"/>
      <c r="C2225" s="663"/>
      <c r="D2225" s="663"/>
      <c r="E2225" s="664"/>
      <c r="F2225" s="664"/>
      <c r="G2225" s="664"/>
      <c r="H2225" s="664"/>
      <c r="I2225" s="664"/>
      <c r="J2225" s="664"/>
      <c r="K2225" s="664"/>
      <c r="L2225" s="664"/>
      <c r="M2225" s="664"/>
    </row>
    <row r="2226">
      <c r="A2226" s="663"/>
      <c r="B2226" s="663"/>
      <c r="C2226" s="663"/>
      <c r="D2226" s="663"/>
      <c r="E2226" s="664"/>
      <c r="F2226" s="664"/>
      <c r="G2226" s="664"/>
      <c r="H2226" s="664"/>
      <c r="I2226" s="664"/>
      <c r="J2226" s="664"/>
      <c r="K2226" s="664"/>
      <c r="L2226" s="664"/>
      <c r="M2226" s="664"/>
    </row>
    <row r="2227">
      <c r="A2227" s="663"/>
      <c r="B2227" s="663"/>
      <c r="C2227" s="663"/>
      <c r="D2227" s="663"/>
      <c r="E2227" s="664"/>
      <c r="F2227" s="664"/>
      <c r="G2227" s="664"/>
      <c r="H2227" s="664"/>
      <c r="I2227" s="664"/>
      <c r="J2227" s="664"/>
      <c r="K2227" s="664"/>
      <c r="L2227" s="664"/>
      <c r="M2227" s="664"/>
    </row>
    <row r="2228">
      <c r="A2228" s="663"/>
      <c r="B2228" s="663"/>
      <c r="C2228" s="663"/>
      <c r="D2228" s="663"/>
      <c r="E2228" s="664"/>
      <c r="F2228" s="664"/>
      <c r="G2228" s="664"/>
      <c r="H2228" s="664"/>
      <c r="I2228" s="664"/>
      <c r="J2228" s="664"/>
      <c r="K2228" s="664"/>
      <c r="L2228" s="664"/>
      <c r="M2228" s="664"/>
    </row>
    <row r="2229">
      <c r="A2229" s="663"/>
      <c r="B2229" s="663"/>
      <c r="C2229" s="663"/>
      <c r="D2229" s="663"/>
      <c r="E2229" s="664"/>
      <c r="F2229" s="664"/>
      <c r="G2229" s="664"/>
      <c r="H2229" s="664"/>
      <c r="I2229" s="664"/>
      <c r="J2229" s="664"/>
      <c r="K2229" s="664"/>
      <c r="L2229" s="664"/>
      <c r="M2229" s="664"/>
    </row>
    <row r="2230">
      <c r="A2230" s="663"/>
      <c r="B2230" s="663"/>
      <c r="C2230" s="663"/>
      <c r="D2230" s="663"/>
      <c r="E2230" s="664"/>
      <c r="F2230" s="664"/>
      <c r="G2230" s="664"/>
      <c r="H2230" s="664"/>
      <c r="I2230" s="664"/>
      <c r="J2230" s="664"/>
      <c r="K2230" s="664"/>
      <c r="L2230" s="664"/>
      <c r="M2230" s="664"/>
    </row>
    <row r="2231">
      <c r="A2231" s="663"/>
      <c r="B2231" s="663"/>
      <c r="C2231" s="663"/>
      <c r="D2231" s="663"/>
      <c r="E2231" s="664"/>
      <c r="F2231" s="664"/>
      <c r="G2231" s="664"/>
      <c r="H2231" s="664"/>
      <c r="I2231" s="664"/>
      <c r="J2231" s="664"/>
      <c r="K2231" s="664"/>
      <c r="L2231" s="664"/>
      <c r="M2231" s="664"/>
    </row>
    <row r="2232">
      <c r="A2232" s="663"/>
      <c r="B2232" s="663"/>
      <c r="C2232" s="663"/>
      <c r="D2232" s="663"/>
      <c r="E2232" s="664"/>
      <c r="F2232" s="664"/>
      <c r="G2232" s="664"/>
      <c r="H2232" s="664"/>
      <c r="I2232" s="664"/>
      <c r="J2232" s="664"/>
      <c r="K2232" s="664"/>
      <c r="L2232" s="664"/>
      <c r="M2232" s="664"/>
    </row>
    <row r="2233">
      <c r="A2233" s="663"/>
      <c r="B2233" s="663"/>
      <c r="C2233" s="663"/>
      <c r="D2233" s="663"/>
      <c r="E2233" s="664"/>
      <c r="F2233" s="664"/>
      <c r="G2233" s="664"/>
      <c r="H2233" s="664"/>
      <c r="I2233" s="664"/>
      <c r="J2233" s="664"/>
      <c r="K2233" s="664"/>
      <c r="L2233" s="664"/>
      <c r="M2233" s="664"/>
    </row>
    <row r="2234">
      <c r="A2234" s="663"/>
      <c r="B2234" s="663"/>
      <c r="C2234" s="663"/>
      <c r="D2234" s="663"/>
      <c r="E2234" s="664"/>
      <c r="F2234" s="664"/>
      <c r="G2234" s="664"/>
      <c r="H2234" s="664"/>
      <c r="I2234" s="664"/>
      <c r="J2234" s="664"/>
      <c r="K2234" s="664"/>
      <c r="L2234" s="664"/>
      <c r="M2234" s="664"/>
    </row>
    <row r="2235">
      <c r="A2235" s="663"/>
      <c r="B2235" s="663"/>
      <c r="C2235" s="663"/>
      <c r="D2235" s="663"/>
      <c r="E2235" s="664"/>
      <c r="F2235" s="664"/>
      <c r="G2235" s="664"/>
      <c r="H2235" s="664"/>
      <c r="I2235" s="664"/>
      <c r="J2235" s="664"/>
      <c r="K2235" s="664"/>
      <c r="L2235" s="664"/>
      <c r="M2235" s="664"/>
    </row>
    <row r="2236">
      <c r="A2236" s="663"/>
      <c r="B2236" s="663"/>
      <c r="C2236" s="663"/>
      <c r="D2236" s="663"/>
      <c r="E2236" s="664"/>
      <c r="F2236" s="664"/>
      <c r="G2236" s="664"/>
      <c r="H2236" s="664"/>
      <c r="I2236" s="664"/>
      <c r="J2236" s="664"/>
      <c r="K2236" s="664"/>
      <c r="L2236" s="664"/>
      <c r="M2236" s="664"/>
    </row>
    <row r="2237">
      <c r="A2237" s="663"/>
      <c r="B2237" s="663"/>
      <c r="C2237" s="663"/>
      <c r="D2237" s="663"/>
      <c r="E2237" s="664"/>
      <c r="F2237" s="664"/>
      <c r="G2237" s="664"/>
      <c r="H2237" s="664"/>
      <c r="I2237" s="664"/>
      <c r="J2237" s="664"/>
      <c r="K2237" s="664"/>
      <c r="L2237" s="664"/>
      <c r="M2237" s="664"/>
    </row>
    <row r="2238">
      <c r="A2238" s="663"/>
      <c r="B2238" s="663"/>
      <c r="C2238" s="663"/>
      <c r="D2238" s="663"/>
      <c r="E2238" s="664"/>
      <c r="F2238" s="664"/>
      <c r="G2238" s="664"/>
      <c r="H2238" s="664"/>
      <c r="I2238" s="664"/>
      <c r="J2238" s="664"/>
      <c r="K2238" s="664"/>
      <c r="L2238" s="664"/>
      <c r="M2238" s="664"/>
    </row>
    <row r="2239">
      <c r="A2239" s="663"/>
      <c r="B2239" s="663"/>
      <c r="C2239" s="663"/>
      <c r="D2239" s="663"/>
      <c r="E2239" s="664"/>
      <c r="F2239" s="664"/>
      <c r="G2239" s="664"/>
      <c r="H2239" s="664"/>
      <c r="I2239" s="664"/>
      <c r="J2239" s="664"/>
      <c r="K2239" s="664"/>
      <c r="L2239" s="664"/>
      <c r="M2239" s="664"/>
    </row>
    <row r="2240">
      <c r="A2240" s="663"/>
      <c r="B2240" s="663"/>
      <c r="C2240" s="663"/>
      <c r="D2240" s="663"/>
      <c r="E2240" s="664"/>
      <c r="F2240" s="664"/>
      <c r="G2240" s="664"/>
      <c r="H2240" s="664"/>
      <c r="I2240" s="664"/>
      <c r="J2240" s="664"/>
      <c r="K2240" s="664"/>
      <c r="L2240" s="664"/>
      <c r="M2240" s="664"/>
    </row>
    <row r="2241">
      <c r="A2241" s="663"/>
      <c r="B2241" s="663"/>
      <c r="C2241" s="663"/>
      <c r="D2241" s="663"/>
      <c r="E2241" s="664"/>
      <c r="F2241" s="664"/>
      <c r="G2241" s="664"/>
      <c r="H2241" s="664"/>
      <c r="I2241" s="664"/>
      <c r="J2241" s="664"/>
      <c r="K2241" s="664"/>
      <c r="L2241" s="664"/>
      <c r="M2241" s="664"/>
    </row>
    <row r="2242">
      <c r="A2242" s="663"/>
      <c r="B2242" s="663"/>
      <c r="C2242" s="663"/>
      <c r="D2242" s="663"/>
      <c r="E2242" s="664"/>
      <c r="F2242" s="664"/>
      <c r="G2242" s="664"/>
      <c r="H2242" s="664"/>
      <c r="I2242" s="664"/>
      <c r="J2242" s="664"/>
      <c r="K2242" s="664"/>
      <c r="L2242" s="664"/>
      <c r="M2242" s="664"/>
    </row>
    <row r="2243">
      <c r="A2243" s="663"/>
      <c r="B2243" s="663"/>
      <c r="C2243" s="663"/>
      <c r="D2243" s="663"/>
      <c r="E2243" s="664"/>
      <c r="F2243" s="664"/>
      <c r="G2243" s="664"/>
      <c r="H2243" s="664"/>
      <c r="I2243" s="664"/>
      <c r="J2243" s="664"/>
      <c r="K2243" s="664"/>
      <c r="L2243" s="664"/>
      <c r="M2243" s="664"/>
    </row>
    <row r="2244">
      <c r="A2244" s="663"/>
      <c r="B2244" s="663"/>
      <c r="C2244" s="663"/>
      <c r="D2244" s="663"/>
      <c r="E2244" s="664"/>
      <c r="F2244" s="664"/>
      <c r="G2244" s="664"/>
      <c r="H2244" s="664"/>
      <c r="I2244" s="664"/>
      <c r="J2244" s="664"/>
      <c r="K2244" s="664"/>
      <c r="L2244" s="664"/>
      <c r="M2244" s="664"/>
    </row>
    <row r="2245">
      <c r="A2245" s="663"/>
      <c r="B2245" s="663"/>
      <c r="C2245" s="663"/>
      <c r="D2245" s="663"/>
      <c r="E2245" s="664"/>
      <c r="F2245" s="664"/>
      <c r="G2245" s="664"/>
      <c r="H2245" s="664"/>
      <c r="I2245" s="664"/>
      <c r="J2245" s="664"/>
      <c r="K2245" s="664"/>
      <c r="L2245" s="664"/>
      <c r="M2245" s="664"/>
    </row>
    <row r="2246">
      <c r="A2246" s="663"/>
      <c r="B2246" s="663"/>
      <c r="C2246" s="663"/>
      <c r="D2246" s="663"/>
      <c r="E2246" s="664"/>
      <c r="F2246" s="664"/>
      <c r="G2246" s="664"/>
      <c r="H2246" s="664"/>
      <c r="I2246" s="664"/>
      <c r="J2246" s="664"/>
      <c r="K2246" s="664"/>
      <c r="L2246" s="664"/>
      <c r="M2246" s="664"/>
    </row>
    <row r="2247">
      <c r="A2247" s="663"/>
      <c r="B2247" s="663"/>
      <c r="C2247" s="663"/>
      <c r="D2247" s="663"/>
      <c r="E2247" s="664"/>
      <c r="F2247" s="664"/>
      <c r="G2247" s="664"/>
      <c r="H2247" s="664"/>
      <c r="I2247" s="664"/>
      <c r="J2247" s="664"/>
      <c r="K2247" s="664"/>
      <c r="L2247" s="664"/>
      <c r="M2247" s="664"/>
    </row>
    <row r="2248">
      <c r="A2248" s="663"/>
      <c r="B2248" s="663"/>
      <c r="C2248" s="663"/>
      <c r="D2248" s="663"/>
      <c r="E2248" s="664"/>
      <c r="F2248" s="664"/>
      <c r="G2248" s="664"/>
      <c r="H2248" s="664"/>
      <c r="I2248" s="664"/>
      <c r="J2248" s="664"/>
      <c r="K2248" s="664"/>
      <c r="L2248" s="664"/>
      <c r="M2248" s="664"/>
    </row>
    <row r="2249">
      <c r="A2249" s="663"/>
      <c r="B2249" s="663"/>
      <c r="C2249" s="663"/>
      <c r="D2249" s="663"/>
      <c r="E2249" s="664"/>
      <c r="F2249" s="664"/>
      <c r="G2249" s="664"/>
      <c r="H2249" s="664"/>
      <c r="I2249" s="664"/>
      <c r="J2249" s="664"/>
      <c r="K2249" s="664"/>
      <c r="L2249" s="664"/>
      <c r="M2249" s="664"/>
    </row>
    <row r="2250">
      <c r="A2250" s="663"/>
      <c r="B2250" s="663"/>
      <c r="C2250" s="663"/>
      <c r="D2250" s="663"/>
      <c r="E2250" s="664"/>
      <c r="F2250" s="664"/>
      <c r="G2250" s="664"/>
      <c r="H2250" s="664"/>
      <c r="I2250" s="664"/>
      <c r="J2250" s="664"/>
      <c r="K2250" s="664"/>
      <c r="L2250" s="664"/>
      <c r="M2250" s="664"/>
    </row>
    <row r="2251">
      <c r="A2251" s="663"/>
      <c r="B2251" s="663"/>
      <c r="C2251" s="663"/>
      <c r="D2251" s="663"/>
      <c r="E2251" s="664"/>
      <c r="F2251" s="664"/>
      <c r="G2251" s="664"/>
      <c r="H2251" s="664"/>
      <c r="I2251" s="664"/>
      <c r="J2251" s="664"/>
      <c r="K2251" s="664"/>
      <c r="L2251" s="664"/>
      <c r="M2251" s="664"/>
    </row>
    <row r="2252">
      <c r="A2252" s="663"/>
      <c r="B2252" s="663"/>
      <c r="C2252" s="663"/>
      <c r="D2252" s="663"/>
      <c r="E2252" s="664"/>
      <c r="F2252" s="664"/>
      <c r="G2252" s="664"/>
      <c r="H2252" s="664"/>
      <c r="I2252" s="664"/>
      <c r="J2252" s="664"/>
      <c r="K2252" s="664"/>
      <c r="L2252" s="664"/>
      <c r="M2252" s="664"/>
    </row>
    <row r="2253">
      <c r="A2253" s="663"/>
      <c r="B2253" s="663"/>
      <c r="C2253" s="663"/>
      <c r="D2253" s="663"/>
      <c r="E2253" s="664"/>
      <c r="F2253" s="664"/>
      <c r="G2253" s="664"/>
      <c r="H2253" s="664"/>
      <c r="I2253" s="664"/>
      <c r="J2253" s="664"/>
      <c r="K2253" s="664"/>
      <c r="L2253" s="664"/>
      <c r="M2253" s="664"/>
    </row>
    <row r="2254">
      <c r="A2254" s="663"/>
      <c r="B2254" s="663"/>
      <c r="C2254" s="663"/>
      <c r="D2254" s="663"/>
      <c r="E2254" s="664"/>
      <c r="F2254" s="664"/>
      <c r="G2254" s="664"/>
      <c r="H2254" s="664"/>
      <c r="I2254" s="664"/>
      <c r="J2254" s="664"/>
      <c r="K2254" s="664"/>
      <c r="L2254" s="664"/>
      <c r="M2254" s="664"/>
    </row>
    <row r="2255">
      <c r="A2255" s="663"/>
      <c r="B2255" s="663"/>
      <c r="C2255" s="663"/>
      <c r="D2255" s="663"/>
      <c r="E2255" s="664"/>
      <c r="F2255" s="664"/>
      <c r="G2255" s="664"/>
      <c r="H2255" s="664"/>
      <c r="I2255" s="664"/>
      <c r="J2255" s="664"/>
      <c r="K2255" s="664"/>
      <c r="L2255" s="664"/>
      <c r="M2255" s="664"/>
    </row>
    <row r="2256">
      <c r="A2256" s="663"/>
      <c r="B2256" s="663"/>
      <c r="C2256" s="663"/>
      <c r="D2256" s="663"/>
      <c r="E2256" s="664"/>
      <c r="F2256" s="664"/>
      <c r="G2256" s="664"/>
      <c r="H2256" s="664"/>
      <c r="I2256" s="664"/>
      <c r="J2256" s="664"/>
      <c r="K2256" s="664"/>
      <c r="L2256" s="664"/>
      <c r="M2256" s="664"/>
    </row>
    <row r="2257">
      <c r="A2257" s="663"/>
      <c r="B2257" s="663"/>
      <c r="C2257" s="663"/>
      <c r="D2257" s="663"/>
      <c r="E2257" s="664"/>
      <c r="F2257" s="664"/>
      <c r="G2257" s="664"/>
      <c r="H2257" s="664"/>
      <c r="I2257" s="664"/>
      <c r="J2257" s="664"/>
      <c r="K2257" s="664"/>
      <c r="L2257" s="664"/>
      <c r="M2257" s="664"/>
    </row>
    <row r="2258">
      <c r="A2258" s="663"/>
      <c r="B2258" s="663"/>
      <c r="C2258" s="663"/>
      <c r="D2258" s="663"/>
      <c r="E2258" s="664"/>
      <c r="F2258" s="664"/>
      <c r="G2258" s="664"/>
      <c r="H2258" s="664"/>
      <c r="I2258" s="664"/>
      <c r="J2258" s="664"/>
      <c r="K2258" s="664"/>
      <c r="L2258" s="664"/>
      <c r="M2258" s="664"/>
    </row>
    <row r="2259">
      <c r="A2259" s="663"/>
      <c r="B2259" s="663"/>
      <c r="C2259" s="663"/>
      <c r="D2259" s="663"/>
      <c r="E2259" s="664"/>
      <c r="F2259" s="664"/>
      <c r="G2259" s="664"/>
      <c r="H2259" s="664"/>
      <c r="I2259" s="664"/>
      <c r="J2259" s="664"/>
      <c r="K2259" s="664"/>
      <c r="L2259" s="664"/>
      <c r="M2259" s="664"/>
    </row>
    <row r="2260">
      <c r="A2260" s="663"/>
      <c r="B2260" s="663"/>
      <c r="C2260" s="663"/>
      <c r="D2260" s="663"/>
      <c r="E2260" s="664"/>
      <c r="F2260" s="664"/>
      <c r="G2260" s="664"/>
      <c r="H2260" s="664"/>
      <c r="I2260" s="664"/>
      <c r="J2260" s="664"/>
      <c r="K2260" s="664"/>
      <c r="L2260" s="664"/>
      <c r="M2260" s="664"/>
    </row>
    <row r="2261">
      <c r="A2261" s="663"/>
      <c r="B2261" s="663"/>
      <c r="C2261" s="663"/>
      <c r="D2261" s="663"/>
      <c r="E2261" s="664"/>
      <c r="F2261" s="664"/>
      <c r="G2261" s="664"/>
      <c r="H2261" s="664"/>
      <c r="I2261" s="664"/>
      <c r="J2261" s="664"/>
      <c r="K2261" s="664"/>
      <c r="L2261" s="664"/>
      <c r="M2261" s="664"/>
    </row>
    <row r="2262">
      <c r="A2262" s="663"/>
      <c r="B2262" s="663"/>
      <c r="C2262" s="663"/>
      <c r="D2262" s="663"/>
      <c r="E2262" s="664"/>
      <c r="F2262" s="664"/>
      <c r="G2262" s="664"/>
      <c r="H2262" s="664"/>
      <c r="I2262" s="664"/>
      <c r="J2262" s="664"/>
      <c r="K2262" s="664"/>
      <c r="L2262" s="664"/>
      <c r="M2262" s="664"/>
    </row>
    <row r="2263">
      <c r="A2263" s="663"/>
      <c r="B2263" s="663"/>
      <c r="C2263" s="663"/>
      <c r="D2263" s="663"/>
      <c r="E2263" s="664"/>
      <c r="F2263" s="664"/>
      <c r="G2263" s="664"/>
      <c r="H2263" s="664"/>
      <c r="I2263" s="664"/>
      <c r="J2263" s="664"/>
      <c r="K2263" s="664"/>
      <c r="L2263" s="664"/>
      <c r="M2263" s="664"/>
    </row>
    <row r="2264">
      <c r="A2264" s="663"/>
      <c r="B2264" s="663"/>
      <c r="C2264" s="663"/>
      <c r="D2264" s="663"/>
      <c r="E2264" s="664"/>
      <c r="F2264" s="664"/>
      <c r="G2264" s="664"/>
      <c r="H2264" s="664"/>
      <c r="I2264" s="664"/>
      <c r="J2264" s="664"/>
      <c r="K2264" s="664"/>
      <c r="L2264" s="664"/>
      <c r="M2264" s="664"/>
    </row>
  </sheetData>
  <drawing r:id="rId2"/>
  <legacy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0.13"/>
    <col customWidth="1" min="3" max="3" width="8.38"/>
    <col customWidth="1" min="4" max="4" width="13.25"/>
    <col customWidth="1" min="5" max="5" width="10.63"/>
    <col customWidth="1" min="6" max="6" width="5.63"/>
    <col customWidth="1" min="7" max="7" width="12.88"/>
    <col customWidth="1" min="8" max="8" width="15.75"/>
    <col customWidth="1" min="9" max="12" width="14.25"/>
    <col customWidth="1" min="13" max="14" width="17.63"/>
    <col customWidth="1" min="15" max="15" width="14.13"/>
    <col customWidth="1" min="16" max="16" width="13.13"/>
    <col customWidth="1" min="17" max="17" width="13.88"/>
    <col customWidth="1" min="18" max="18" width="13.25"/>
    <col customWidth="1" min="19" max="19" width="12.25"/>
    <col customWidth="1" min="20" max="20" width="13.0"/>
    <col customWidth="1" min="21" max="21" width="13.63"/>
    <col customWidth="1" min="22" max="22" width="16.13"/>
    <col customWidth="1" min="23" max="25" width="14.63"/>
    <col customWidth="1" min="26" max="26" width="21.13"/>
    <col customWidth="1" min="27" max="27" width="26.88"/>
    <col customWidth="1" min="28" max="28" width="24.75"/>
    <col customWidth="1" min="29" max="29" width="27.88"/>
    <col customWidth="1" min="30" max="30" width="20.38"/>
    <col customWidth="1" min="31" max="31" width="20.88"/>
    <col customWidth="1" min="32" max="32" width="23.38"/>
    <col customWidth="1" min="33" max="33" width="20.13"/>
    <col customWidth="1" min="34" max="36" width="18.75"/>
  </cols>
  <sheetData>
    <row r="1">
      <c r="A1" s="660" t="s">
        <v>2199</v>
      </c>
      <c r="B1" s="660" t="s">
        <v>2177</v>
      </c>
      <c r="C1" s="660" t="s">
        <v>2200</v>
      </c>
      <c r="D1" s="660" t="s">
        <v>2201</v>
      </c>
      <c r="E1" s="660" t="s">
        <v>2193</v>
      </c>
      <c r="F1" s="660" t="s">
        <v>2202</v>
      </c>
      <c r="G1" s="660" t="s">
        <v>2203</v>
      </c>
      <c r="H1" s="660" t="s">
        <v>2204</v>
      </c>
      <c r="I1" s="660" t="s">
        <v>2205</v>
      </c>
      <c r="J1" s="660" t="s">
        <v>2206</v>
      </c>
      <c r="K1" s="660" t="s">
        <v>2207</v>
      </c>
      <c r="L1" s="660" t="s">
        <v>2208</v>
      </c>
      <c r="M1" s="660" t="s">
        <v>2209</v>
      </c>
      <c r="N1" s="660" t="s">
        <v>2210</v>
      </c>
      <c r="O1" s="660" t="s">
        <v>2211</v>
      </c>
      <c r="P1" s="660" t="s">
        <v>2212</v>
      </c>
      <c r="Q1" s="660" t="s">
        <v>2213</v>
      </c>
      <c r="R1" s="660" t="s">
        <v>2214</v>
      </c>
      <c r="S1" s="660" t="s">
        <v>2215</v>
      </c>
      <c r="T1" s="660" t="s">
        <v>2216</v>
      </c>
      <c r="U1" s="660" t="s">
        <v>2217</v>
      </c>
      <c r="V1" s="660" t="s">
        <v>2218</v>
      </c>
      <c r="W1" s="660" t="s">
        <v>2219</v>
      </c>
      <c r="X1" s="660" t="s">
        <v>2220</v>
      </c>
      <c r="Y1" s="660" t="s">
        <v>2221</v>
      </c>
      <c r="Z1" s="660" t="s">
        <v>2222</v>
      </c>
      <c r="AA1" s="660" t="s">
        <v>2223</v>
      </c>
      <c r="AB1" s="660" t="s">
        <v>2224</v>
      </c>
      <c r="AC1" s="660" t="s">
        <v>2225</v>
      </c>
      <c r="AD1" s="660" t="s">
        <v>2226</v>
      </c>
      <c r="AE1" s="660" t="s">
        <v>2227</v>
      </c>
      <c r="AF1" s="660" t="s">
        <v>2228</v>
      </c>
      <c r="AG1" s="660" t="s">
        <v>2229</v>
      </c>
      <c r="AH1" s="660" t="s">
        <v>2230</v>
      </c>
      <c r="AI1" s="660" t="s">
        <v>2231</v>
      </c>
      <c r="AJ1" s="660" t="s">
        <v>2232</v>
      </c>
    </row>
    <row r="2">
      <c r="A2" s="1" t="s">
        <v>19</v>
      </c>
      <c r="B2" s="1" t="s">
        <v>180</v>
      </c>
      <c r="C2" s="1">
        <v>1.0</v>
      </c>
      <c r="D2" s="1">
        <v>47765.0</v>
      </c>
      <c r="E2" s="1">
        <v>129761.0</v>
      </c>
      <c r="F2" s="1">
        <v>6179.0</v>
      </c>
      <c r="G2" s="1">
        <v>6.24</v>
      </c>
      <c r="H2" s="1">
        <v>2.5</v>
      </c>
      <c r="I2" s="1">
        <v>1.0</v>
      </c>
      <c r="J2" s="1">
        <v>1.0</v>
      </c>
      <c r="K2" s="1">
        <v>2.0</v>
      </c>
      <c r="L2" s="1">
        <v>6.0</v>
      </c>
      <c r="M2" s="1">
        <v>0.1216</v>
      </c>
      <c r="N2" s="1">
        <v>0.1127</v>
      </c>
      <c r="O2" s="1">
        <v>0.1286</v>
      </c>
      <c r="P2" s="1">
        <v>0.1264</v>
      </c>
      <c r="Q2" s="1">
        <v>0.1212</v>
      </c>
      <c r="R2" s="1">
        <v>0.1177</v>
      </c>
      <c r="S2" s="1">
        <v>0.1139</v>
      </c>
      <c r="T2" s="1">
        <v>0.113</v>
      </c>
      <c r="U2" s="1">
        <v>0.1124</v>
      </c>
      <c r="V2" s="1">
        <v>1.63</v>
      </c>
      <c r="W2" s="1">
        <v>1.0</v>
      </c>
      <c r="X2" s="1">
        <v>1.0</v>
      </c>
      <c r="Y2" s="1">
        <v>3.0</v>
      </c>
      <c r="Z2" s="1"/>
      <c r="AA2" s="1">
        <v>4.9722</v>
      </c>
      <c r="AB2" s="1">
        <v>9.2098</v>
      </c>
      <c r="AC2" s="1">
        <v>4.9868</v>
      </c>
      <c r="AD2" s="1">
        <v>17.8428</v>
      </c>
      <c r="AE2" s="1">
        <v>72.98</v>
      </c>
      <c r="AF2" s="1">
        <v>8.0784</v>
      </c>
      <c r="AG2" s="1">
        <v>4.03</v>
      </c>
      <c r="AH2" s="1">
        <v>3.0</v>
      </c>
      <c r="AI2" s="1">
        <v>5.0</v>
      </c>
      <c r="AJ2" s="1">
        <v>8.0</v>
      </c>
    </row>
    <row r="3">
      <c r="A3" s="1" t="s">
        <v>19</v>
      </c>
      <c r="B3" s="1" t="s">
        <v>1192</v>
      </c>
      <c r="C3" s="1">
        <v>1.0</v>
      </c>
      <c r="D3" s="1">
        <v>3181.0</v>
      </c>
      <c r="E3" s="1">
        <v>25183.0</v>
      </c>
      <c r="F3" s="1">
        <v>1199.0</v>
      </c>
      <c r="G3" s="1">
        <v>6.24</v>
      </c>
      <c r="H3" s="1">
        <v>7.71</v>
      </c>
      <c r="I3" s="1">
        <v>2.0</v>
      </c>
      <c r="J3" s="1">
        <v>6.0</v>
      </c>
      <c r="K3" s="1">
        <v>13.0</v>
      </c>
      <c r="L3" s="1">
        <v>17.0</v>
      </c>
      <c r="M3" s="1">
        <v>0.3732</v>
      </c>
      <c r="N3" s="1">
        <v>0.3519</v>
      </c>
      <c r="O3" s="1">
        <v>0.3891</v>
      </c>
      <c r="P3" s="1">
        <v>0.3785</v>
      </c>
      <c r="Q3" s="1">
        <v>0.3714</v>
      </c>
      <c r="R3" s="1">
        <v>0.3638</v>
      </c>
      <c r="S3" s="1">
        <v>0.363</v>
      </c>
      <c r="T3" s="1">
        <v>0.35</v>
      </c>
      <c r="U3" s="1">
        <v>0.3538</v>
      </c>
      <c r="V3" s="1">
        <v>4.1</v>
      </c>
      <c r="W3" s="1">
        <v>2.0</v>
      </c>
      <c r="X3" s="1">
        <v>5.0</v>
      </c>
      <c r="Y3" s="1">
        <v>10.0</v>
      </c>
      <c r="Z3" s="1"/>
      <c r="AA3" s="1">
        <v>5.5437</v>
      </c>
      <c r="AB3" s="1">
        <v>18.2325</v>
      </c>
      <c r="AC3" s="1">
        <v>5.7063</v>
      </c>
      <c r="AD3" s="1">
        <v>35.216</v>
      </c>
      <c r="AE3" s="1">
        <v>91.55</v>
      </c>
      <c r="AF3" s="1">
        <v>13.6497</v>
      </c>
      <c r="AG3" s="1">
        <v>3.79</v>
      </c>
      <c r="AH3" s="1">
        <v>2.0</v>
      </c>
      <c r="AI3" s="1">
        <v>5.0</v>
      </c>
      <c r="AJ3" s="1">
        <v>8.0</v>
      </c>
    </row>
    <row r="4">
      <c r="A4" s="1" t="s">
        <v>21</v>
      </c>
      <c r="B4" s="1" t="s">
        <v>180</v>
      </c>
      <c r="C4" s="1">
        <v>2.0</v>
      </c>
      <c r="D4" s="1">
        <v>25505.0</v>
      </c>
      <c r="E4" s="1">
        <v>105456.0</v>
      </c>
      <c r="F4" s="1">
        <v>5022.0</v>
      </c>
      <c r="G4" s="1">
        <v>6.92</v>
      </c>
      <c r="H4" s="1">
        <v>4.06</v>
      </c>
      <c r="I4" s="1">
        <v>1.0</v>
      </c>
      <c r="J4" s="1">
        <v>2.0</v>
      </c>
      <c r="K4" s="1">
        <v>5.0</v>
      </c>
      <c r="L4" s="1">
        <v>12.0</v>
      </c>
      <c r="M4" s="1">
        <v>0.1968</v>
      </c>
      <c r="N4" s="1">
        <v>0.1852</v>
      </c>
      <c r="O4" s="1">
        <v>0.205</v>
      </c>
      <c r="P4" s="1">
        <v>0.2021</v>
      </c>
      <c r="Q4" s="1">
        <v>0.1983</v>
      </c>
      <c r="R4" s="1">
        <v>0.1919</v>
      </c>
      <c r="S4" s="1">
        <v>0.1867</v>
      </c>
      <c r="T4" s="1">
        <v>0.185</v>
      </c>
      <c r="U4" s="1">
        <v>0.1855</v>
      </c>
      <c r="V4" s="1">
        <v>2.61</v>
      </c>
      <c r="W4" s="1">
        <v>1.0</v>
      </c>
      <c r="X4" s="1">
        <v>3.0</v>
      </c>
      <c r="Y4" s="1">
        <v>6.0</v>
      </c>
      <c r="Z4" s="1"/>
      <c r="AA4" s="1">
        <v>13.046</v>
      </c>
      <c r="AB4" s="1">
        <v>20.7482</v>
      </c>
      <c r="AC4" s="1">
        <v>13.218</v>
      </c>
      <c r="AD4" s="1">
        <v>38.6461</v>
      </c>
      <c r="AE4" s="1">
        <v>90.74</v>
      </c>
      <c r="AF4" s="1">
        <v>10.4991</v>
      </c>
      <c r="AG4" s="1">
        <v>9.52</v>
      </c>
      <c r="AH4" s="1">
        <v>8.0</v>
      </c>
      <c r="AI4" s="1">
        <v>13.0</v>
      </c>
      <c r="AJ4" s="1">
        <v>18.0</v>
      </c>
    </row>
    <row r="5">
      <c r="A5" s="1" t="s">
        <v>21</v>
      </c>
      <c r="B5" s="1" t="s">
        <v>1192</v>
      </c>
      <c r="C5" s="1">
        <v>2.0</v>
      </c>
      <c r="D5" s="1">
        <v>1897.0</v>
      </c>
      <c r="E5" s="1">
        <v>16507.0</v>
      </c>
      <c r="F5" s="1">
        <v>786.0</v>
      </c>
      <c r="G5" s="1">
        <v>6.92</v>
      </c>
      <c r="H5" s="1">
        <v>8.42</v>
      </c>
      <c r="I5" s="1">
        <v>2.0</v>
      </c>
      <c r="J5" s="1">
        <v>7.0</v>
      </c>
      <c r="K5" s="1">
        <v>14.0</v>
      </c>
      <c r="L5" s="1">
        <v>19.0</v>
      </c>
      <c r="M5" s="1">
        <v>0.4099</v>
      </c>
      <c r="N5" s="1">
        <v>0.3783</v>
      </c>
      <c r="O5" s="1">
        <v>0.4361</v>
      </c>
      <c r="P5" s="1">
        <v>0.4231</v>
      </c>
      <c r="Q5" s="1">
        <v>0.4163</v>
      </c>
      <c r="R5" s="1">
        <v>0.3883</v>
      </c>
      <c r="S5" s="1">
        <v>0.3857</v>
      </c>
      <c r="T5" s="1">
        <v>0.3827</v>
      </c>
      <c r="U5" s="1">
        <v>0.3739</v>
      </c>
      <c r="V5" s="1">
        <v>5.06</v>
      </c>
      <c r="W5" s="1">
        <v>3.0</v>
      </c>
      <c r="X5" s="1">
        <v>7.0</v>
      </c>
      <c r="Y5" s="1">
        <v>13.0</v>
      </c>
      <c r="Z5" s="1"/>
      <c r="AA5" s="1">
        <v>13.6011</v>
      </c>
      <c r="AB5" s="1">
        <v>32.6738</v>
      </c>
      <c r="AC5" s="1">
        <v>14.3002</v>
      </c>
      <c r="AD5" s="1">
        <v>58.2099</v>
      </c>
      <c r="AE5" s="1">
        <v>90.88</v>
      </c>
      <c r="AF5" s="1">
        <v>14.1913</v>
      </c>
      <c r="AG5" s="1">
        <v>8.88</v>
      </c>
      <c r="AH5" s="1">
        <v>7.0</v>
      </c>
      <c r="AI5" s="1">
        <v>12.0</v>
      </c>
      <c r="AJ5" s="1">
        <v>19.0</v>
      </c>
    </row>
    <row r="6">
      <c r="A6" s="1" t="s">
        <v>22</v>
      </c>
      <c r="B6" s="1" t="s">
        <v>180</v>
      </c>
      <c r="C6" s="1">
        <v>3.0</v>
      </c>
      <c r="D6" s="1">
        <v>19870.0</v>
      </c>
      <c r="E6" s="1">
        <v>90356.0</v>
      </c>
      <c r="F6" s="1">
        <v>4303.0</v>
      </c>
      <c r="G6" s="1">
        <v>7.19</v>
      </c>
      <c r="H6" s="1">
        <v>4.91</v>
      </c>
      <c r="I6" s="1">
        <v>1.0</v>
      </c>
      <c r="J6" s="1">
        <v>3.0</v>
      </c>
      <c r="K6" s="1">
        <v>6.0</v>
      </c>
      <c r="L6" s="1">
        <v>14.0</v>
      </c>
      <c r="M6" s="1">
        <v>0.2361</v>
      </c>
      <c r="N6" s="1">
        <v>0.2284</v>
      </c>
      <c r="O6" s="1">
        <v>0.2385</v>
      </c>
      <c r="P6" s="1">
        <v>0.2409</v>
      </c>
      <c r="Q6" s="1">
        <v>0.2374</v>
      </c>
      <c r="R6" s="1">
        <v>0.2351</v>
      </c>
      <c r="S6" s="1">
        <v>0.2286</v>
      </c>
      <c r="T6" s="1">
        <v>0.2286</v>
      </c>
      <c r="U6" s="1">
        <v>0.2283</v>
      </c>
      <c r="V6" s="1">
        <v>3.39</v>
      </c>
      <c r="W6" s="1">
        <v>2.0</v>
      </c>
      <c r="X6" s="1">
        <v>4.0</v>
      </c>
      <c r="Y6" s="1">
        <v>8.0</v>
      </c>
      <c r="Z6" s="1"/>
      <c r="AA6" s="1">
        <v>24.8445</v>
      </c>
      <c r="AB6" s="1">
        <v>34.8194</v>
      </c>
      <c r="AC6" s="1">
        <v>25.0613</v>
      </c>
      <c r="AD6" s="1">
        <v>60.933</v>
      </c>
      <c r="AE6" s="1">
        <v>89.34</v>
      </c>
      <c r="AF6" s="1">
        <v>11.2156</v>
      </c>
      <c r="AG6" s="1">
        <v>16.14</v>
      </c>
      <c r="AH6" s="1">
        <v>13.0</v>
      </c>
      <c r="AI6" s="1">
        <v>22.0</v>
      </c>
      <c r="AJ6" s="1">
        <v>32.0</v>
      </c>
    </row>
    <row r="7">
      <c r="A7" s="1" t="s">
        <v>22</v>
      </c>
      <c r="B7" s="1" t="s">
        <v>1192</v>
      </c>
      <c r="C7" s="1">
        <v>3.0</v>
      </c>
      <c r="D7" s="1">
        <v>1539.0</v>
      </c>
      <c r="E7" s="1">
        <v>12544.0</v>
      </c>
      <c r="F7" s="1">
        <v>597.0</v>
      </c>
      <c r="G7" s="1">
        <v>7.19</v>
      </c>
      <c r="H7" s="1">
        <v>8.15</v>
      </c>
      <c r="I7" s="1">
        <v>2.0</v>
      </c>
      <c r="J7" s="1">
        <v>6.0</v>
      </c>
      <c r="K7" s="1">
        <v>14.0</v>
      </c>
      <c r="L7" s="1">
        <v>19.0</v>
      </c>
      <c r="M7" s="1">
        <v>0.3957</v>
      </c>
      <c r="N7" s="1">
        <v>0.3687</v>
      </c>
      <c r="O7" s="1">
        <v>0.4128</v>
      </c>
      <c r="P7" s="1">
        <v>0.4133</v>
      </c>
      <c r="Q7" s="1">
        <v>0.3894</v>
      </c>
      <c r="R7" s="1">
        <v>0.3857</v>
      </c>
      <c r="S7" s="1">
        <v>0.3773</v>
      </c>
      <c r="T7" s="1">
        <v>0.3645</v>
      </c>
      <c r="U7" s="1">
        <v>0.373</v>
      </c>
      <c r="V7" s="1">
        <v>5.35</v>
      </c>
      <c r="W7" s="1">
        <v>3.0</v>
      </c>
      <c r="X7" s="1">
        <v>7.0</v>
      </c>
      <c r="Y7" s="1">
        <v>14.0</v>
      </c>
      <c r="Z7" s="1"/>
      <c r="AA7" s="1">
        <v>26.3236</v>
      </c>
      <c r="AB7" s="1">
        <v>46.8936</v>
      </c>
      <c r="AC7" s="1">
        <v>27.4202</v>
      </c>
      <c r="AD7" s="1">
        <v>79.6842</v>
      </c>
      <c r="AE7" s="1">
        <v>89.45</v>
      </c>
      <c r="AF7" s="1">
        <v>13.6324</v>
      </c>
      <c r="AG7" s="1">
        <v>16.07</v>
      </c>
      <c r="AH7" s="1">
        <v>12.0</v>
      </c>
      <c r="AI7" s="1">
        <v>22.0</v>
      </c>
      <c r="AJ7" s="1">
        <v>35.0</v>
      </c>
    </row>
    <row r="8">
      <c r="A8" s="1" t="s">
        <v>24</v>
      </c>
      <c r="B8" s="1" t="s">
        <v>180</v>
      </c>
      <c r="C8" s="1">
        <v>4.0</v>
      </c>
      <c r="D8" s="1">
        <v>10454.0</v>
      </c>
      <c r="E8" s="1">
        <v>54005.0</v>
      </c>
      <c r="F8" s="1">
        <v>2572.0</v>
      </c>
      <c r="G8" s="1">
        <v>9.96</v>
      </c>
      <c r="H8" s="1">
        <v>5.75</v>
      </c>
      <c r="I8" s="1">
        <v>2.0</v>
      </c>
      <c r="J8" s="1">
        <v>4.0</v>
      </c>
      <c r="K8" s="1">
        <v>8.0</v>
      </c>
      <c r="L8" s="1">
        <v>15.0</v>
      </c>
      <c r="M8" s="1">
        <v>0.2708</v>
      </c>
      <c r="N8" s="1">
        <v>0.2813</v>
      </c>
      <c r="O8" s="1">
        <v>0.2607</v>
      </c>
      <c r="P8" s="1">
        <v>0.2646</v>
      </c>
      <c r="Q8" s="1">
        <v>0.2726</v>
      </c>
      <c r="R8" s="1">
        <v>0.2786</v>
      </c>
      <c r="S8" s="1">
        <v>0.2777</v>
      </c>
      <c r="T8" s="1">
        <v>0.2784</v>
      </c>
      <c r="U8" s="1">
        <v>0.2842</v>
      </c>
      <c r="V8" s="1">
        <v>4.42</v>
      </c>
      <c r="W8" s="1">
        <v>3.0</v>
      </c>
      <c r="X8" s="1">
        <v>6.0</v>
      </c>
      <c r="Y8" s="1">
        <v>10.0</v>
      </c>
      <c r="Z8" s="1"/>
      <c r="AA8" s="1">
        <v>51.586</v>
      </c>
      <c r="AB8" s="1">
        <v>69.0483</v>
      </c>
      <c r="AC8" s="1">
        <v>51.6601</v>
      </c>
      <c r="AD8" s="1">
        <v>111.7734</v>
      </c>
      <c r="AE8" s="1">
        <v>87.12</v>
      </c>
      <c r="AF8" s="1">
        <v>12.37</v>
      </c>
      <c r="AG8" s="1">
        <v>27.81</v>
      </c>
      <c r="AH8" s="1">
        <v>20.0</v>
      </c>
      <c r="AI8" s="1">
        <v>39.0</v>
      </c>
      <c r="AJ8" s="1">
        <v>58.0</v>
      </c>
    </row>
    <row r="9">
      <c r="A9" s="1" t="s">
        <v>24</v>
      </c>
      <c r="B9" s="1" t="s">
        <v>1192</v>
      </c>
      <c r="C9" s="1">
        <v>4.0</v>
      </c>
      <c r="D9" s="1">
        <v>1156.0</v>
      </c>
      <c r="E9" s="1">
        <v>8767.0</v>
      </c>
      <c r="F9" s="1">
        <v>417.0</v>
      </c>
      <c r="G9" s="1">
        <v>9.96</v>
      </c>
      <c r="H9" s="1">
        <v>8.7</v>
      </c>
      <c r="I9" s="1">
        <v>3.0</v>
      </c>
      <c r="J9" s="1">
        <v>7.0</v>
      </c>
      <c r="K9" s="1">
        <v>13.0</v>
      </c>
      <c r="L9" s="1">
        <v>19.0</v>
      </c>
      <c r="M9" s="1">
        <v>0.4133</v>
      </c>
      <c r="N9" s="1">
        <v>0.4159</v>
      </c>
      <c r="O9" s="1">
        <v>0.4268</v>
      </c>
      <c r="P9" s="1">
        <v>0.4103</v>
      </c>
      <c r="Q9" s="1">
        <v>0.3953</v>
      </c>
      <c r="R9" s="1">
        <v>0.4115</v>
      </c>
      <c r="S9" s="1">
        <v>0.4227</v>
      </c>
      <c r="T9" s="1">
        <v>0.4161</v>
      </c>
      <c r="U9" s="1">
        <v>0.4158</v>
      </c>
      <c r="V9" s="1">
        <v>6.54</v>
      </c>
      <c r="W9" s="1">
        <v>5.0</v>
      </c>
      <c r="X9" s="1">
        <v>9.0</v>
      </c>
      <c r="Y9" s="1">
        <v>16.0</v>
      </c>
      <c r="Z9" s="1"/>
      <c r="AA9" s="1">
        <v>53.8549</v>
      </c>
      <c r="AB9" s="1">
        <v>83.6224</v>
      </c>
      <c r="AC9" s="1">
        <v>54.811</v>
      </c>
      <c r="AD9" s="1">
        <v>131.4784</v>
      </c>
      <c r="AE9" s="1">
        <v>86.79</v>
      </c>
      <c r="AF9" s="1">
        <v>14.8392</v>
      </c>
      <c r="AG9" s="1">
        <v>27.8</v>
      </c>
      <c r="AH9" s="1">
        <v>18.0</v>
      </c>
      <c r="AI9" s="1">
        <v>39.0</v>
      </c>
      <c r="AJ9" s="1">
        <v>63.0</v>
      </c>
    </row>
    <row r="10">
      <c r="A10" s="1" t="s">
        <v>26</v>
      </c>
      <c r="B10" s="1" t="s">
        <v>180</v>
      </c>
      <c r="C10" s="1">
        <v>5.0</v>
      </c>
      <c r="D10" s="1">
        <v>1207.0</v>
      </c>
      <c r="E10" s="1">
        <v>7484.0</v>
      </c>
      <c r="F10" s="1">
        <v>356.0</v>
      </c>
      <c r="G10" s="1">
        <v>14.34</v>
      </c>
      <c r="H10" s="1">
        <v>5.21</v>
      </c>
      <c r="I10" s="1">
        <v>2.0</v>
      </c>
      <c r="J10" s="1">
        <v>3.0</v>
      </c>
      <c r="K10" s="1">
        <v>6.0</v>
      </c>
      <c r="L10" s="1">
        <v>15.0</v>
      </c>
      <c r="M10" s="1">
        <v>0.2393</v>
      </c>
      <c r="N10" s="1">
        <v>0.2709</v>
      </c>
      <c r="O10" s="1">
        <v>0.2096</v>
      </c>
      <c r="P10" s="1">
        <v>0.2237</v>
      </c>
      <c r="Q10" s="1">
        <v>0.2383</v>
      </c>
      <c r="R10" s="1">
        <v>0.259</v>
      </c>
      <c r="S10" s="1">
        <v>0.2657</v>
      </c>
      <c r="T10" s="1">
        <v>0.2706</v>
      </c>
      <c r="U10" s="1">
        <v>0.2712</v>
      </c>
      <c r="V10" s="1">
        <v>4.56</v>
      </c>
      <c r="W10" s="1">
        <v>3.0</v>
      </c>
      <c r="X10" s="1">
        <v>5.0</v>
      </c>
      <c r="Y10" s="1">
        <v>12.0</v>
      </c>
      <c r="Z10" s="1"/>
      <c r="AA10" s="1">
        <v>125.2652</v>
      </c>
      <c r="AB10" s="1">
        <v>164.9209</v>
      </c>
      <c r="AC10" s="1">
        <v>123.8744</v>
      </c>
      <c r="AD10" s="1">
        <v>238.4606</v>
      </c>
      <c r="AE10" s="1">
        <v>86.68</v>
      </c>
      <c r="AF10" s="1">
        <v>11.733</v>
      </c>
      <c r="AG10" s="1">
        <v>50.32</v>
      </c>
      <c r="AH10" s="1">
        <v>36.0</v>
      </c>
      <c r="AI10" s="1">
        <v>64.0</v>
      </c>
      <c r="AJ10" s="1">
        <v>109.0</v>
      </c>
    </row>
    <row r="11">
      <c r="A11" s="1" t="s">
        <v>26</v>
      </c>
      <c r="B11" s="1" t="s">
        <v>1192</v>
      </c>
      <c r="C11" s="1">
        <v>5.0</v>
      </c>
      <c r="D11" s="1">
        <v>202.0</v>
      </c>
      <c r="E11" s="1">
        <v>1533.0</v>
      </c>
      <c r="F11" s="1">
        <v>73.0</v>
      </c>
      <c r="G11" s="1">
        <v>14.34</v>
      </c>
      <c r="H11" s="1">
        <v>7.18</v>
      </c>
      <c r="I11" s="1">
        <v>2.0</v>
      </c>
      <c r="J11" s="1">
        <v>5.0</v>
      </c>
      <c r="K11" s="1">
        <v>10.0</v>
      </c>
      <c r="L11" s="1">
        <v>18.0</v>
      </c>
      <c r="M11" s="1">
        <v>0.3267</v>
      </c>
      <c r="N11" s="1">
        <v>0.3804</v>
      </c>
      <c r="O11" s="1">
        <v>0.3086</v>
      </c>
      <c r="P11" s="1">
        <v>0.3251</v>
      </c>
      <c r="Q11" s="1">
        <v>0.3152</v>
      </c>
      <c r="R11" s="1">
        <v>0.3317</v>
      </c>
      <c r="S11" s="1">
        <v>0.3531</v>
      </c>
      <c r="T11" s="1">
        <v>0.3812</v>
      </c>
      <c r="U11" s="1">
        <v>0.3795</v>
      </c>
      <c r="V11" s="1">
        <v>5.77</v>
      </c>
      <c r="W11" s="1">
        <v>4.0</v>
      </c>
      <c r="X11" s="1">
        <v>7.0</v>
      </c>
      <c r="Y11" s="1">
        <v>14.0</v>
      </c>
      <c r="Z11" s="1"/>
      <c r="AA11" s="1">
        <v>123.1344</v>
      </c>
      <c r="AB11" s="1">
        <v>173.8995</v>
      </c>
      <c r="AC11" s="1">
        <v>122.6269</v>
      </c>
      <c r="AD11" s="1">
        <v>248.7096</v>
      </c>
      <c r="AE11" s="1">
        <v>86.37</v>
      </c>
      <c r="AF11" s="1">
        <v>12.5734</v>
      </c>
      <c r="AG11" s="1">
        <v>49.3</v>
      </c>
      <c r="AH11" s="1">
        <v>32.0</v>
      </c>
      <c r="AI11" s="1">
        <v>64.0</v>
      </c>
      <c r="AJ11" s="1">
        <v>115.0</v>
      </c>
    </row>
  </sheetData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6" max="6" width="15.63"/>
    <col customWidth="1" min="7" max="7" width="15.0"/>
    <col customWidth="1" min="8" max="8" width="15.88"/>
    <col customWidth="1" min="14" max="14" width="14.88"/>
  </cols>
  <sheetData>
    <row r="1">
      <c r="A1" s="660" t="s">
        <v>2236</v>
      </c>
      <c r="B1" s="660" t="s">
        <v>2177</v>
      </c>
      <c r="C1" s="660" t="s">
        <v>2199</v>
      </c>
      <c r="D1" s="660" t="s">
        <v>2200</v>
      </c>
      <c r="E1" s="660" t="s">
        <v>2237</v>
      </c>
      <c r="F1" s="660" t="s">
        <v>2238</v>
      </c>
      <c r="G1" s="660" t="s">
        <v>2239</v>
      </c>
      <c r="H1" s="660" t="s">
        <v>2240</v>
      </c>
      <c r="I1" s="660" t="s">
        <v>2241</v>
      </c>
      <c r="J1" s="660" t="s">
        <v>2242</v>
      </c>
      <c r="K1" s="660" t="s">
        <v>2243</v>
      </c>
      <c r="L1" s="660" t="s">
        <v>2244</v>
      </c>
      <c r="M1" s="660" t="s">
        <v>2245</v>
      </c>
      <c r="N1" s="660" t="s">
        <v>2246</v>
      </c>
      <c r="O1" s="660" t="s">
        <v>2247</v>
      </c>
      <c r="P1" s="660" t="s">
        <v>2248</v>
      </c>
      <c r="Q1" s="660" t="s">
        <v>2249</v>
      </c>
      <c r="R1" s="660" t="s">
        <v>2250</v>
      </c>
      <c r="S1" s="662"/>
      <c r="T1" s="662"/>
      <c r="U1" s="662"/>
      <c r="V1" s="662"/>
      <c r="W1" s="662"/>
      <c r="X1" s="662"/>
      <c r="Y1" s="662"/>
      <c r="Z1" s="662"/>
    </row>
    <row r="2">
      <c r="A2" s="1" t="s">
        <v>50</v>
      </c>
      <c r="B2" s="1" t="s">
        <v>180</v>
      </c>
      <c r="C2" s="1" t="s">
        <v>19</v>
      </c>
      <c r="D2" s="1">
        <v>1.0</v>
      </c>
      <c r="E2" s="1">
        <v>5.0</v>
      </c>
      <c r="F2" s="1">
        <v>53157.0</v>
      </c>
      <c r="G2" s="1">
        <v>1901.0</v>
      </c>
      <c r="H2" s="669">
        <v>0.2</v>
      </c>
      <c r="I2" s="669">
        <v>0.4</v>
      </c>
      <c r="J2" s="669">
        <v>0.0</v>
      </c>
      <c r="K2" s="1">
        <v>7.0</v>
      </c>
      <c r="L2" s="1">
        <v>12.0</v>
      </c>
      <c r="M2" s="1">
        <v>16.0</v>
      </c>
      <c r="N2" s="1">
        <v>37.9</v>
      </c>
      <c r="O2" s="1">
        <v>0.0</v>
      </c>
      <c r="P2" s="669">
        <v>5.4</v>
      </c>
      <c r="Q2" s="669">
        <v>16.3</v>
      </c>
      <c r="R2" s="669">
        <v>45.7</v>
      </c>
    </row>
    <row r="3">
      <c r="A3" s="1" t="s">
        <v>50</v>
      </c>
      <c r="B3" s="1" t="s">
        <v>1192</v>
      </c>
      <c r="C3" s="1" t="s">
        <v>19</v>
      </c>
      <c r="D3" s="1">
        <v>1.0</v>
      </c>
      <c r="E3" s="1">
        <v>5.0</v>
      </c>
      <c r="F3" s="1">
        <v>8555.0</v>
      </c>
      <c r="G3" s="1">
        <v>537.0</v>
      </c>
      <c r="H3" s="669">
        <v>0.3</v>
      </c>
      <c r="I3" s="669">
        <v>0.4</v>
      </c>
      <c r="J3" s="669">
        <v>0.0</v>
      </c>
      <c r="K3" s="1">
        <v>8.0</v>
      </c>
      <c r="L3" s="1">
        <v>14.0</v>
      </c>
      <c r="M3" s="1">
        <v>17.0</v>
      </c>
      <c r="N3" s="1">
        <v>42.4</v>
      </c>
      <c r="O3" s="1">
        <v>0.0</v>
      </c>
      <c r="P3" s="669">
        <v>3.8</v>
      </c>
      <c r="Q3" s="669">
        <v>16.0</v>
      </c>
      <c r="R3" s="669">
        <v>53.7</v>
      </c>
    </row>
    <row r="4">
      <c r="A4" s="1" t="s">
        <v>50</v>
      </c>
      <c r="B4" s="1" t="s">
        <v>180</v>
      </c>
      <c r="C4" s="1" t="s">
        <v>21</v>
      </c>
      <c r="D4" s="1">
        <v>2.0</v>
      </c>
      <c r="E4" s="1">
        <v>5.0</v>
      </c>
      <c r="F4" s="1">
        <v>38895.0</v>
      </c>
      <c r="G4" s="1">
        <v>2344.0</v>
      </c>
      <c r="H4" s="669">
        <v>0.3</v>
      </c>
      <c r="I4" s="669">
        <v>0.4</v>
      </c>
      <c r="J4" s="669">
        <v>0.0</v>
      </c>
      <c r="K4" s="1">
        <v>5.0</v>
      </c>
      <c r="L4" s="1">
        <v>9.0</v>
      </c>
      <c r="M4" s="1">
        <v>13.0</v>
      </c>
      <c r="N4" s="1">
        <v>108.1</v>
      </c>
      <c r="O4" s="1">
        <v>0.0</v>
      </c>
      <c r="P4" s="669">
        <v>19.5</v>
      </c>
      <c r="Q4" s="669">
        <v>54.3</v>
      </c>
      <c r="R4" s="669">
        <v>131.3</v>
      </c>
    </row>
    <row r="5">
      <c r="A5" s="1" t="s">
        <v>50</v>
      </c>
      <c r="B5" s="1" t="s">
        <v>1192</v>
      </c>
      <c r="C5" s="1" t="s">
        <v>21</v>
      </c>
      <c r="D5" s="1">
        <v>2.0</v>
      </c>
      <c r="E5" s="1">
        <v>5.0</v>
      </c>
      <c r="F5" s="1">
        <v>5436.0</v>
      </c>
      <c r="G5" s="1">
        <v>425.0</v>
      </c>
      <c r="H5" s="669">
        <v>0.4</v>
      </c>
      <c r="I5" s="669">
        <v>0.4</v>
      </c>
      <c r="J5" s="669">
        <v>0.0</v>
      </c>
      <c r="K5" s="1">
        <v>5.0</v>
      </c>
      <c r="L5" s="1">
        <v>9.0</v>
      </c>
      <c r="M5" s="1">
        <v>14.0</v>
      </c>
      <c r="N5" s="1">
        <v>132.7</v>
      </c>
      <c r="O5" s="1">
        <v>0.0</v>
      </c>
      <c r="P5" s="669">
        <v>21.1</v>
      </c>
      <c r="Q5" s="669">
        <v>77.7</v>
      </c>
      <c r="R5" s="669">
        <v>178.1</v>
      </c>
    </row>
    <row r="6">
      <c r="A6" s="1" t="s">
        <v>50</v>
      </c>
      <c r="B6" s="1" t="s">
        <v>180</v>
      </c>
      <c r="C6" s="1" t="s">
        <v>22</v>
      </c>
      <c r="D6" s="1">
        <v>3.0</v>
      </c>
      <c r="E6" s="1">
        <v>5.0</v>
      </c>
      <c r="F6" s="1">
        <v>31987.0</v>
      </c>
      <c r="G6" s="1">
        <v>2344.0</v>
      </c>
      <c r="H6" s="669">
        <v>0.4</v>
      </c>
      <c r="I6" s="669">
        <v>0.4</v>
      </c>
      <c r="J6" s="669">
        <v>0.0</v>
      </c>
      <c r="K6" s="1">
        <v>3.0</v>
      </c>
      <c r="L6" s="1">
        <v>6.0</v>
      </c>
      <c r="M6" s="1">
        <v>10.0</v>
      </c>
      <c r="N6" s="1">
        <v>204.6</v>
      </c>
      <c r="O6" s="1">
        <v>0.0</v>
      </c>
      <c r="P6" s="669">
        <v>41.8</v>
      </c>
      <c r="Q6" s="669">
        <v>108.1</v>
      </c>
      <c r="R6" s="669">
        <v>257.8</v>
      </c>
    </row>
    <row r="7">
      <c r="A7" s="1" t="s">
        <v>50</v>
      </c>
      <c r="B7" s="1" t="s">
        <v>1192</v>
      </c>
      <c r="C7" s="1" t="s">
        <v>22</v>
      </c>
      <c r="D7" s="1">
        <v>3.0</v>
      </c>
      <c r="E7" s="1">
        <v>5.0</v>
      </c>
      <c r="F7" s="1">
        <v>4016.0</v>
      </c>
      <c r="G7" s="1">
        <v>323.0</v>
      </c>
      <c r="H7" s="669">
        <v>0.4</v>
      </c>
      <c r="I7" s="669">
        <v>0.4</v>
      </c>
      <c r="J7" s="669">
        <v>0.0</v>
      </c>
      <c r="K7" s="1">
        <v>2.0</v>
      </c>
      <c r="L7" s="1">
        <v>6.0</v>
      </c>
      <c r="M7" s="1">
        <v>10.0</v>
      </c>
      <c r="N7" s="1">
        <v>317.9</v>
      </c>
      <c r="O7" s="1">
        <v>0.0</v>
      </c>
      <c r="P7" s="669">
        <v>70.7</v>
      </c>
      <c r="Q7" s="669">
        <v>181.6</v>
      </c>
      <c r="R7" s="669">
        <v>397.7</v>
      </c>
    </row>
    <row r="8">
      <c r="A8" s="1" t="s">
        <v>50</v>
      </c>
      <c r="B8" s="1" t="s">
        <v>180</v>
      </c>
      <c r="C8" s="1" t="s">
        <v>24</v>
      </c>
      <c r="D8" s="1">
        <v>4.0</v>
      </c>
      <c r="E8" s="1">
        <v>5.0</v>
      </c>
      <c r="F8" s="1">
        <v>18382.0</v>
      </c>
      <c r="G8" s="1">
        <v>1472.0</v>
      </c>
      <c r="H8" s="669">
        <v>0.4</v>
      </c>
      <c r="I8" s="669">
        <v>0.4</v>
      </c>
      <c r="J8" s="669">
        <v>0.0</v>
      </c>
      <c r="K8" s="1">
        <v>2.0</v>
      </c>
      <c r="L8" s="1">
        <v>4.0</v>
      </c>
      <c r="M8" s="1">
        <v>7.0</v>
      </c>
      <c r="N8" s="1">
        <v>432.8</v>
      </c>
      <c r="O8" s="1">
        <v>0.0</v>
      </c>
      <c r="P8" s="669">
        <v>93.4</v>
      </c>
      <c r="Q8" s="669">
        <v>236.8</v>
      </c>
      <c r="R8" s="669">
        <v>535.2</v>
      </c>
    </row>
    <row r="9">
      <c r="A9" s="1" t="s">
        <v>50</v>
      </c>
      <c r="B9" s="1" t="s">
        <v>1192</v>
      </c>
      <c r="C9" s="1" t="s">
        <v>24</v>
      </c>
      <c r="D9" s="1">
        <v>4.0</v>
      </c>
      <c r="E9" s="1">
        <v>5.0</v>
      </c>
      <c r="F9" s="1">
        <v>2725.0</v>
      </c>
      <c r="G9" s="1">
        <v>214.0</v>
      </c>
      <c r="H9" s="669">
        <v>0.4</v>
      </c>
      <c r="I9" s="669">
        <v>0.4</v>
      </c>
      <c r="J9" s="669">
        <v>0.0</v>
      </c>
      <c r="K9" s="1">
        <v>1.0</v>
      </c>
      <c r="L9" s="1">
        <v>3.0</v>
      </c>
      <c r="M9" s="1">
        <v>7.0</v>
      </c>
      <c r="N9" s="1">
        <v>596.5</v>
      </c>
      <c r="O9" s="1">
        <v>0.0</v>
      </c>
      <c r="P9" s="669">
        <v>148.3</v>
      </c>
      <c r="Q9" s="669">
        <v>367.7</v>
      </c>
      <c r="R9" s="669">
        <v>768.1</v>
      </c>
    </row>
    <row r="10">
      <c r="A10" s="1" t="s">
        <v>50</v>
      </c>
      <c r="B10" s="1" t="s">
        <v>180</v>
      </c>
      <c r="C10" s="1" t="s">
        <v>26</v>
      </c>
      <c r="D10" s="1">
        <v>5.0</v>
      </c>
      <c r="E10" s="1">
        <v>5.0</v>
      </c>
      <c r="F10" s="1">
        <v>2656.0</v>
      </c>
      <c r="G10" s="1">
        <v>200.0</v>
      </c>
      <c r="H10" s="669">
        <v>0.4</v>
      </c>
      <c r="I10" s="669">
        <v>0.4</v>
      </c>
      <c r="J10" s="669">
        <v>0.0</v>
      </c>
      <c r="K10" s="1">
        <v>1.0</v>
      </c>
      <c r="L10" s="1">
        <v>2.0</v>
      </c>
      <c r="M10" s="1">
        <v>3.0</v>
      </c>
      <c r="N10" s="1">
        <v>935.0</v>
      </c>
      <c r="O10" s="1">
        <v>0.0</v>
      </c>
      <c r="P10" s="669">
        <v>248.9</v>
      </c>
      <c r="Q10" s="669">
        <v>525.0</v>
      </c>
      <c r="R10" s="669">
        <v>1147.3</v>
      </c>
    </row>
    <row r="11">
      <c r="A11" s="1" t="s">
        <v>50</v>
      </c>
      <c r="B11" s="1" t="s">
        <v>1192</v>
      </c>
      <c r="C11" s="1" t="s">
        <v>26</v>
      </c>
      <c r="D11" s="1">
        <v>5.0</v>
      </c>
      <c r="E11" s="1">
        <v>5.0</v>
      </c>
      <c r="F11" s="1">
        <v>479.0</v>
      </c>
      <c r="G11" s="1">
        <v>35.0</v>
      </c>
      <c r="H11" s="669">
        <v>0.4</v>
      </c>
      <c r="I11" s="669">
        <v>0.4</v>
      </c>
      <c r="J11" s="669">
        <v>0.0</v>
      </c>
      <c r="K11" s="1">
        <v>1.0</v>
      </c>
      <c r="L11" s="1">
        <v>1.0</v>
      </c>
      <c r="M11" s="1">
        <v>3.0</v>
      </c>
      <c r="N11" s="1">
        <v>1052.4</v>
      </c>
      <c r="O11" s="1">
        <v>0.0</v>
      </c>
      <c r="P11" s="669">
        <v>288.4</v>
      </c>
      <c r="Q11" s="669">
        <v>660.0</v>
      </c>
      <c r="R11" s="669">
        <v>1401.8</v>
      </c>
    </row>
    <row r="12">
      <c r="A12" s="1" t="s">
        <v>2251</v>
      </c>
      <c r="B12" s="1" t="s">
        <v>180</v>
      </c>
      <c r="C12" s="1" t="s">
        <v>19</v>
      </c>
      <c r="D12" s="1">
        <v>1.0</v>
      </c>
      <c r="E12" s="1">
        <v>2.0</v>
      </c>
      <c r="F12" s="1">
        <v>32387.0</v>
      </c>
      <c r="G12" s="1">
        <v>3049.0</v>
      </c>
      <c r="H12" s="669">
        <v>0.2</v>
      </c>
      <c r="I12" s="669">
        <v>0.4</v>
      </c>
      <c r="J12" s="669">
        <v>0.5</v>
      </c>
      <c r="K12" s="1"/>
      <c r="L12" s="1"/>
      <c r="M12" s="1"/>
      <c r="N12" s="1">
        <v>43.5</v>
      </c>
      <c r="O12" s="1"/>
      <c r="P12" s="669">
        <v>14.0</v>
      </c>
      <c r="Q12" s="669">
        <v>25.7</v>
      </c>
      <c r="R12" s="669">
        <v>51.2</v>
      </c>
    </row>
    <row r="13">
      <c r="A13" s="1" t="s">
        <v>2251</v>
      </c>
      <c r="B13" s="1" t="s">
        <v>1192</v>
      </c>
      <c r="C13" s="1" t="s">
        <v>19</v>
      </c>
      <c r="D13" s="1">
        <v>1.0</v>
      </c>
      <c r="E13" s="1">
        <v>2.0</v>
      </c>
      <c r="F13" s="1">
        <v>4191.0</v>
      </c>
      <c r="G13" s="1">
        <v>714.0</v>
      </c>
      <c r="H13" s="669">
        <v>0.3</v>
      </c>
      <c r="I13" s="669">
        <v>0.4</v>
      </c>
      <c r="J13" s="669">
        <v>0.7</v>
      </c>
      <c r="K13" s="1"/>
      <c r="L13" s="1"/>
      <c r="M13" s="1"/>
      <c r="N13" s="1">
        <v>49.4</v>
      </c>
      <c r="O13" s="1"/>
      <c r="P13" s="669">
        <v>12.4</v>
      </c>
      <c r="Q13" s="669">
        <v>26.6</v>
      </c>
      <c r="R13" s="669">
        <v>49.7</v>
      </c>
    </row>
    <row r="14">
      <c r="A14" s="1" t="s">
        <v>2251</v>
      </c>
      <c r="B14" s="1" t="s">
        <v>180</v>
      </c>
      <c r="C14" s="1" t="s">
        <v>21</v>
      </c>
      <c r="D14" s="1">
        <v>2.0</v>
      </c>
      <c r="E14" s="1">
        <v>2.0</v>
      </c>
      <c r="F14" s="1">
        <v>21361.0</v>
      </c>
      <c r="G14" s="1">
        <v>3487.0</v>
      </c>
      <c r="H14" s="669">
        <v>0.3</v>
      </c>
      <c r="I14" s="669">
        <v>0.4</v>
      </c>
      <c r="J14" s="669">
        <v>0.7</v>
      </c>
      <c r="K14" s="1"/>
      <c r="L14" s="1"/>
      <c r="M14" s="1"/>
      <c r="N14" s="1">
        <v>105.6</v>
      </c>
      <c r="O14" s="1"/>
      <c r="P14" s="669">
        <v>36.4</v>
      </c>
      <c r="Q14" s="669">
        <v>75.3</v>
      </c>
      <c r="R14" s="669">
        <v>138.4</v>
      </c>
    </row>
    <row r="15">
      <c r="A15" s="1" t="s">
        <v>2251</v>
      </c>
      <c r="B15" s="1" t="s">
        <v>1192</v>
      </c>
      <c r="C15" s="1" t="s">
        <v>21</v>
      </c>
      <c r="D15" s="1">
        <v>2.0</v>
      </c>
      <c r="E15" s="1">
        <v>2.0</v>
      </c>
      <c r="F15" s="1">
        <v>2633.0</v>
      </c>
      <c r="G15" s="1">
        <v>549.0</v>
      </c>
      <c r="H15" s="669">
        <v>0.4</v>
      </c>
      <c r="I15" s="669">
        <v>0.4</v>
      </c>
      <c r="J15" s="669">
        <v>0.9</v>
      </c>
      <c r="K15" s="1"/>
      <c r="L15" s="1"/>
      <c r="M15" s="1"/>
      <c r="N15" s="1">
        <v>127.9</v>
      </c>
      <c r="O15" s="1"/>
      <c r="P15" s="669">
        <v>50.1</v>
      </c>
      <c r="Q15" s="669">
        <v>92.0</v>
      </c>
      <c r="R15" s="669">
        <v>158.5</v>
      </c>
    </row>
    <row r="16">
      <c r="A16" s="1" t="s">
        <v>2251</v>
      </c>
      <c r="B16" s="1" t="s">
        <v>180</v>
      </c>
      <c r="C16" s="1" t="s">
        <v>22</v>
      </c>
      <c r="D16" s="1">
        <v>3.0</v>
      </c>
      <c r="E16" s="1">
        <v>2.0</v>
      </c>
      <c r="F16" s="1">
        <v>17063.0</v>
      </c>
      <c r="G16" s="1">
        <v>3284.0</v>
      </c>
      <c r="H16" s="669">
        <v>0.4</v>
      </c>
      <c r="I16" s="669">
        <v>0.4</v>
      </c>
      <c r="J16" s="669">
        <v>0.7</v>
      </c>
      <c r="K16" s="1"/>
      <c r="L16" s="1"/>
      <c r="M16" s="1"/>
      <c r="N16" s="1">
        <v>198.4</v>
      </c>
      <c r="O16" s="1"/>
      <c r="P16" s="669">
        <v>72.2</v>
      </c>
      <c r="Q16" s="669">
        <v>152.2</v>
      </c>
      <c r="R16" s="669">
        <v>285.1</v>
      </c>
    </row>
    <row r="17">
      <c r="A17" s="1" t="s">
        <v>2251</v>
      </c>
      <c r="B17" s="1" t="s">
        <v>1192</v>
      </c>
      <c r="C17" s="1" t="s">
        <v>22</v>
      </c>
      <c r="D17" s="1">
        <v>3.0</v>
      </c>
      <c r="E17" s="1">
        <v>2.0</v>
      </c>
      <c r="F17" s="1">
        <v>2000.0</v>
      </c>
      <c r="G17" s="1">
        <v>450.0</v>
      </c>
      <c r="H17" s="669">
        <v>0.4</v>
      </c>
      <c r="I17" s="669">
        <v>0.5</v>
      </c>
      <c r="J17" s="669">
        <v>0.9</v>
      </c>
      <c r="K17" s="1"/>
      <c r="L17" s="1"/>
      <c r="M17" s="1"/>
      <c r="N17" s="1">
        <v>249.9</v>
      </c>
      <c r="O17" s="1"/>
      <c r="P17" s="669">
        <v>112.9</v>
      </c>
      <c r="Q17" s="669">
        <v>203.5</v>
      </c>
      <c r="R17" s="669">
        <v>346.6</v>
      </c>
    </row>
    <row r="18">
      <c r="A18" s="1" t="s">
        <v>2251</v>
      </c>
      <c r="B18" s="1" t="s">
        <v>180</v>
      </c>
      <c r="C18" s="1" t="s">
        <v>24</v>
      </c>
      <c r="D18" s="1">
        <v>4.0</v>
      </c>
      <c r="E18" s="1">
        <v>2.0</v>
      </c>
      <c r="F18" s="1">
        <v>9385.0</v>
      </c>
      <c r="G18" s="1">
        <v>1893.0</v>
      </c>
      <c r="H18" s="669">
        <v>0.4</v>
      </c>
      <c r="I18" s="669">
        <v>0.4</v>
      </c>
      <c r="J18" s="669">
        <v>0.8</v>
      </c>
      <c r="K18" s="1"/>
      <c r="L18" s="1"/>
      <c r="M18" s="1"/>
      <c r="N18" s="1">
        <v>420.1</v>
      </c>
      <c r="O18" s="1"/>
      <c r="P18" s="669">
        <v>179.6</v>
      </c>
      <c r="Q18" s="669">
        <v>352.1</v>
      </c>
      <c r="R18" s="669">
        <v>602.4</v>
      </c>
    </row>
    <row r="19">
      <c r="A19" s="1" t="s">
        <v>2251</v>
      </c>
      <c r="B19" s="1" t="s">
        <v>1192</v>
      </c>
      <c r="C19" s="1" t="s">
        <v>24</v>
      </c>
      <c r="D19" s="1">
        <v>4.0</v>
      </c>
      <c r="E19" s="1">
        <v>2.0</v>
      </c>
      <c r="F19" s="1">
        <v>1346.0</v>
      </c>
      <c r="G19" s="1">
        <v>313.0</v>
      </c>
      <c r="H19" s="669">
        <v>0.5</v>
      </c>
      <c r="I19" s="669">
        <v>0.5</v>
      </c>
      <c r="J19" s="669">
        <v>0.8</v>
      </c>
      <c r="K19" s="1"/>
      <c r="L19" s="1"/>
      <c r="M19" s="1"/>
      <c r="N19" s="1">
        <v>482.0</v>
      </c>
      <c r="O19" s="1"/>
      <c r="P19" s="669">
        <v>255.1</v>
      </c>
      <c r="Q19" s="669">
        <v>437.4</v>
      </c>
      <c r="R19" s="669">
        <v>676.9</v>
      </c>
    </row>
    <row r="20">
      <c r="A20" s="1" t="s">
        <v>2251</v>
      </c>
      <c r="B20" s="1" t="s">
        <v>180</v>
      </c>
      <c r="C20" s="1" t="s">
        <v>26</v>
      </c>
      <c r="D20" s="1">
        <v>5.0</v>
      </c>
      <c r="E20" s="1">
        <v>2.0</v>
      </c>
      <c r="F20" s="1">
        <v>1252.0</v>
      </c>
      <c r="G20" s="1">
        <v>253.0</v>
      </c>
      <c r="H20" s="669">
        <v>0.4</v>
      </c>
      <c r="I20" s="669">
        <v>0.4</v>
      </c>
      <c r="J20" s="669">
        <v>0.6</v>
      </c>
      <c r="K20" s="1"/>
      <c r="L20" s="1"/>
      <c r="M20" s="1"/>
      <c r="N20" s="1">
        <v>738.4</v>
      </c>
      <c r="O20" s="1"/>
      <c r="P20" s="669">
        <v>442.0</v>
      </c>
      <c r="Q20" s="669">
        <v>672.5</v>
      </c>
      <c r="R20" s="669">
        <v>978.5</v>
      </c>
    </row>
    <row r="21">
      <c r="A21" s="1" t="s">
        <v>2251</v>
      </c>
      <c r="B21" s="1" t="s">
        <v>1192</v>
      </c>
      <c r="C21" s="1" t="s">
        <v>26</v>
      </c>
      <c r="D21" s="1">
        <v>5.0</v>
      </c>
      <c r="E21" s="1">
        <v>2.0</v>
      </c>
      <c r="F21" s="1">
        <v>226.0</v>
      </c>
      <c r="G21" s="1">
        <v>57.0</v>
      </c>
      <c r="H21" s="669">
        <v>0.5</v>
      </c>
      <c r="I21" s="669">
        <v>0.5</v>
      </c>
      <c r="J21" s="669">
        <v>0.6</v>
      </c>
      <c r="K21" s="1"/>
      <c r="L21" s="1"/>
      <c r="M21" s="1"/>
      <c r="N21" s="1">
        <v>723.7</v>
      </c>
      <c r="O21" s="1"/>
      <c r="P21" s="669">
        <v>496.5</v>
      </c>
      <c r="Q21" s="669">
        <v>708.3</v>
      </c>
      <c r="R21" s="669">
        <v>997.8</v>
      </c>
    </row>
    <row r="22">
      <c r="A22" s="1" t="s">
        <v>48</v>
      </c>
      <c r="B22" s="1" t="s">
        <v>180</v>
      </c>
      <c r="C22" s="1" t="s">
        <v>19</v>
      </c>
      <c r="D22" s="1">
        <v>1.0</v>
      </c>
      <c r="E22" s="1">
        <v>2.0</v>
      </c>
      <c r="F22" s="1">
        <v>24775.0</v>
      </c>
      <c r="G22" s="1">
        <v>5491.0</v>
      </c>
      <c r="H22" s="669">
        <v>0.4</v>
      </c>
      <c r="I22" s="669">
        <v>0.8</v>
      </c>
      <c r="J22" s="669">
        <v>0.0</v>
      </c>
      <c r="K22" s="1">
        <v>7.0</v>
      </c>
      <c r="L22" s="1">
        <v>12.0</v>
      </c>
      <c r="M22" s="1">
        <v>16.0</v>
      </c>
      <c r="N22" s="1">
        <v>51.7</v>
      </c>
      <c r="O22" s="1">
        <v>0.0</v>
      </c>
      <c r="P22" s="669">
        <v>13.6</v>
      </c>
      <c r="Q22" s="669">
        <v>35.0</v>
      </c>
      <c r="R22" s="669">
        <v>73.1</v>
      </c>
    </row>
    <row r="23">
      <c r="A23" s="1" t="s">
        <v>48</v>
      </c>
      <c r="B23" s="1" t="s">
        <v>1192</v>
      </c>
      <c r="C23" s="1" t="s">
        <v>19</v>
      </c>
      <c r="D23" s="1">
        <v>1.0</v>
      </c>
      <c r="E23" s="1">
        <v>2.0</v>
      </c>
      <c r="F23" s="1">
        <v>3622.0</v>
      </c>
      <c r="G23" s="1">
        <v>1498.0</v>
      </c>
      <c r="H23" s="669">
        <v>0.8</v>
      </c>
      <c r="I23" s="669">
        <v>0.9</v>
      </c>
      <c r="J23" s="669">
        <v>0.0</v>
      </c>
      <c r="K23" s="1">
        <v>8.0</v>
      </c>
      <c r="L23" s="1">
        <v>13.0</v>
      </c>
      <c r="M23" s="1">
        <v>16.0</v>
      </c>
      <c r="N23" s="1">
        <v>57.3</v>
      </c>
      <c r="O23" s="1">
        <v>0.0</v>
      </c>
      <c r="P23" s="669">
        <v>18.0</v>
      </c>
      <c r="Q23" s="669">
        <v>42.0</v>
      </c>
      <c r="R23" s="669">
        <v>81.0</v>
      </c>
    </row>
    <row r="24">
      <c r="A24" s="1" t="s">
        <v>48</v>
      </c>
      <c r="B24" s="1" t="s">
        <v>180</v>
      </c>
      <c r="C24" s="1" t="s">
        <v>21</v>
      </c>
      <c r="D24" s="1">
        <v>2.0</v>
      </c>
      <c r="E24" s="1">
        <v>2.0</v>
      </c>
      <c r="F24" s="1">
        <v>17032.0</v>
      </c>
      <c r="G24" s="1">
        <v>5724.0</v>
      </c>
      <c r="H24" s="669">
        <v>0.7</v>
      </c>
      <c r="I24" s="669">
        <v>0.8</v>
      </c>
      <c r="J24" s="669">
        <v>0.0</v>
      </c>
      <c r="K24" s="1">
        <v>4.0</v>
      </c>
      <c r="L24" s="1">
        <v>8.0</v>
      </c>
      <c r="M24" s="1">
        <v>11.0</v>
      </c>
      <c r="N24" s="1">
        <v>134.5</v>
      </c>
      <c r="O24" s="1">
        <v>0.0</v>
      </c>
      <c r="P24" s="669">
        <v>47.4</v>
      </c>
      <c r="Q24" s="669">
        <v>103.1</v>
      </c>
      <c r="R24" s="669">
        <v>187.4</v>
      </c>
    </row>
    <row r="25">
      <c r="A25" s="1" t="s">
        <v>48</v>
      </c>
      <c r="B25" s="1" t="s">
        <v>1192</v>
      </c>
      <c r="C25" s="1" t="s">
        <v>21</v>
      </c>
      <c r="D25" s="1">
        <v>2.0</v>
      </c>
      <c r="E25" s="1">
        <v>2.0</v>
      </c>
      <c r="F25" s="1">
        <v>2286.0</v>
      </c>
      <c r="G25" s="1">
        <v>1005.0</v>
      </c>
      <c r="H25" s="669">
        <v>0.9</v>
      </c>
      <c r="I25" s="669">
        <v>0.9</v>
      </c>
      <c r="J25" s="669">
        <v>0.0</v>
      </c>
      <c r="K25" s="1">
        <v>5.0</v>
      </c>
      <c r="L25" s="1">
        <v>8.0</v>
      </c>
      <c r="M25" s="1">
        <v>12.0</v>
      </c>
      <c r="N25" s="1">
        <v>154.8</v>
      </c>
      <c r="O25" s="1">
        <v>0.0</v>
      </c>
      <c r="P25" s="669">
        <v>61.4</v>
      </c>
      <c r="Q25" s="669">
        <v>126.2</v>
      </c>
      <c r="R25" s="669">
        <v>204.8</v>
      </c>
    </row>
    <row r="26">
      <c r="A26" s="1" t="s">
        <v>48</v>
      </c>
      <c r="B26" s="1" t="s">
        <v>180</v>
      </c>
      <c r="C26" s="1" t="s">
        <v>22</v>
      </c>
      <c r="D26" s="1">
        <v>3.0</v>
      </c>
      <c r="E26" s="1">
        <v>2.0</v>
      </c>
      <c r="F26" s="1">
        <v>13532.0</v>
      </c>
      <c r="G26" s="1">
        <v>5365.0</v>
      </c>
      <c r="H26" s="669">
        <v>0.8</v>
      </c>
      <c r="I26" s="669">
        <v>0.9</v>
      </c>
      <c r="J26" s="669">
        <v>0.0</v>
      </c>
      <c r="K26" s="1">
        <v>3.0</v>
      </c>
      <c r="L26" s="1">
        <v>5.0</v>
      </c>
      <c r="M26" s="1">
        <v>8.0</v>
      </c>
      <c r="N26" s="1">
        <v>250.0</v>
      </c>
      <c r="O26" s="1">
        <v>0.0</v>
      </c>
      <c r="P26" s="669">
        <v>83.6</v>
      </c>
      <c r="Q26" s="669">
        <v>191.5</v>
      </c>
      <c r="R26" s="669">
        <v>361.2</v>
      </c>
    </row>
    <row r="27">
      <c r="A27" s="1" t="s">
        <v>48</v>
      </c>
      <c r="B27" s="1" t="s">
        <v>1192</v>
      </c>
      <c r="C27" s="1" t="s">
        <v>22</v>
      </c>
      <c r="D27" s="1">
        <v>3.0</v>
      </c>
      <c r="E27" s="1">
        <v>2.0</v>
      </c>
      <c r="F27" s="1">
        <v>1768.0</v>
      </c>
      <c r="G27" s="1">
        <v>801.0</v>
      </c>
      <c r="H27" s="669">
        <v>0.9</v>
      </c>
      <c r="I27" s="669">
        <v>0.9</v>
      </c>
      <c r="J27" s="669">
        <v>0.0</v>
      </c>
      <c r="K27" s="1">
        <v>2.0</v>
      </c>
      <c r="L27" s="1">
        <v>5.0</v>
      </c>
      <c r="M27" s="1">
        <v>9.0</v>
      </c>
      <c r="N27" s="1">
        <v>303.2</v>
      </c>
      <c r="O27" s="1">
        <v>0.0</v>
      </c>
      <c r="P27" s="669">
        <v>133.1</v>
      </c>
      <c r="Q27" s="669">
        <v>247.0</v>
      </c>
      <c r="R27" s="669">
        <v>400.4</v>
      </c>
    </row>
    <row r="28">
      <c r="A28" s="1" t="s">
        <v>48</v>
      </c>
      <c r="B28" s="1" t="s">
        <v>180</v>
      </c>
      <c r="C28" s="1" t="s">
        <v>24</v>
      </c>
      <c r="D28" s="1">
        <v>4.0</v>
      </c>
      <c r="E28" s="1">
        <v>2.0</v>
      </c>
      <c r="F28" s="1">
        <v>7513.0</v>
      </c>
      <c r="G28" s="1">
        <v>3239.0</v>
      </c>
      <c r="H28" s="669">
        <v>0.9</v>
      </c>
      <c r="I28" s="669">
        <v>0.9</v>
      </c>
      <c r="J28" s="669">
        <v>0.0</v>
      </c>
      <c r="K28" s="1">
        <v>1.0</v>
      </c>
      <c r="L28" s="1">
        <v>3.0</v>
      </c>
      <c r="M28" s="1">
        <v>5.0</v>
      </c>
      <c r="N28" s="1">
        <v>507.0</v>
      </c>
      <c r="O28" s="1">
        <v>0.0</v>
      </c>
      <c r="P28" s="669">
        <v>191.0</v>
      </c>
      <c r="Q28" s="669">
        <v>418.0</v>
      </c>
      <c r="R28" s="669">
        <v>718.8</v>
      </c>
    </row>
    <row r="29">
      <c r="A29" s="1" t="s">
        <v>48</v>
      </c>
      <c r="B29" s="1" t="s">
        <v>1192</v>
      </c>
      <c r="C29" s="1" t="s">
        <v>24</v>
      </c>
      <c r="D29" s="1">
        <v>4.0</v>
      </c>
      <c r="E29" s="1">
        <v>2.0</v>
      </c>
      <c r="F29" s="1">
        <v>1182.0</v>
      </c>
      <c r="G29" s="1">
        <v>544.0</v>
      </c>
      <c r="H29" s="669">
        <v>0.9</v>
      </c>
      <c r="I29" s="669">
        <v>0.9</v>
      </c>
      <c r="J29" s="669">
        <v>0.0</v>
      </c>
      <c r="K29" s="1">
        <v>1.0</v>
      </c>
      <c r="L29" s="1">
        <v>2.0</v>
      </c>
      <c r="M29" s="1">
        <v>5.0</v>
      </c>
      <c r="N29" s="1">
        <v>569.0</v>
      </c>
      <c r="O29" s="1">
        <v>0.0</v>
      </c>
      <c r="P29" s="669">
        <v>251.5</v>
      </c>
      <c r="Q29" s="669">
        <v>461.0</v>
      </c>
      <c r="R29" s="669">
        <v>798.5</v>
      </c>
    </row>
    <row r="30">
      <c r="A30" s="1" t="s">
        <v>48</v>
      </c>
      <c r="B30" s="1" t="s">
        <v>180</v>
      </c>
      <c r="C30" s="1" t="s">
        <v>26</v>
      </c>
      <c r="D30" s="1">
        <v>5.0</v>
      </c>
      <c r="E30" s="1">
        <v>2.0</v>
      </c>
      <c r="F30" s="1">
        <v>1005.0</v>
      </c>
      <c r="G30" s="1">
        <v>412.0</v>
      </c>
      <c r="H30" s="669">
        <v>0.8</v>
      </c>
      <c r="I30" s="669">
        <v>0.8</v>
      </c>
      <c r="J30" s="669">
        <v>0.0</v>
      </c>
      <c r="K30" s="1">
        <v>1.0</v>
      </c>
      <c r="L30" s="1">
        <v>1.0</v>
      </c>
      <c r="M30" s="1">
        <v>2.0</v>
      </c>
      <c r="N30" s="1">
        <v>1059.5</v>
      </c>
      <c r="O30" s="1">
        <v>0.0</v>
      </c>
      <c r="P30" s="669">
        <v>457.8</v>
      </c>
      <c r="Q30" s="669">
        <v>938.3</v>
      </c>
      <c r="R30" s="669">
        <v>1481.2</v>
      </c>
    </row>
    <row r="31">
      <c r="A31" s="1" t="s">
        <v>48</v>
      </c>
      <c r="B31" s="1" t="s">
        <v>1192</v>
      </c>
      <c r="C31" s="1" t="s">
        <v>26</v>
      </c>
      <c r="D31" s="1">
        <v>5.0</v>
      </c>
      <c r="E31" s="1">
        <v>2.0</v>
      </c>
      <c r="F31" s="1">
        <v>187.0</v>
      </c>
      <c r="G31" s="1">
        <v>84.0</v>
      </c>
      <c r="H31" s="669">
        <v>0.9</v>
      </c>
      <c r="I31" s="669">
        <v>0.9</v>
      </c>
      <c r="J31" s="669">
        <v>0.0</v>
      </c>
      <c r="K31" s="1">
        <v>1.0</v>
      </c>
      <c r="L31" s="1">
        <v>1.0</v>
      </c>
      <c r="M31" s="1">
        <v>2.0</v>
      </c>
      <c r="N31" s="1">
        <v>1184.5</v>
      </c>
      <c r="O31" s="1">
        <v>0.0</v>
      </c>
      <c r="P31" s="669">
        <v>608.0</v>
      </c>
      <c r="Q31" s="669">
        <v>1143.6</v>
      </c>
      <c r="R31" s="669">
        <v>1615.2</v>
      </c>
    </row>
    <row r="32">
      <c r="A32" s="1" t="s">
        <v>2252</v>
      </c>
      <c r="B32" s="1" t="s">
        <v>180</v>
      </c>
      <c r="C32" s="1" t="s">
        <v>19</v>
      </c>
      <c r="D32" s="1">
        <v>1.0</v>
      </c>
      <c r="E32" s="1">
        <v>110.0</v>
      </c>
      <c r="F32" s="1">
        <v>1061080.0</v>
      </c>
      <c r="G32" s="1">
        <v>501.0</v>
      </c>
      <c r="H32" s="669">
        <v>0.1</v>
      </c>
      <c r="I32" s="669">
        <v>0.1</v>
      </c>
      <c r="J32" s="669">
        <v>0.0</v>
      </c>
      <c r="K32" s="1"/>
      <c r="L32" s="1"/>
      <c r="M32" s="1"/>
      <c r="N32" s="1">
        <v>1.3</v>
      </c>
      <c r="O32" s="1"/>
      <c r="P32" s="669">
        <v>0.0</v>
      </c>
      <c r="Q32" s="669">
        <v>1.0</v>
      </c>
      <c r="R32" s="669">
        <v>2.0</v>
      </c>
    </row>
    <row r="33">
      <c r="A33" s="1" t="s">
        <v>2252</v>
      </c>
      <c r="B33" s="1" t="s">
        <v>1192</v>
      </c>
      <c r="C33" s="1" t="s">
        <v>19</v>
      </c>
      <c r="D33" s="1">
        <v>1.0</v>
      </c>
      <c r="E33" s="1">
        <v>110.0</v>
      </c>
      <c r="F33" s="1">
        <v>174210.0</v>
      </c>
      <c r="G33" s="1">
        <v>184.0</v>
      </c>
      <c r="H33" s="669">
        <v>0.1</v>
      </c>
      <c r="I33" s="669">
        <v>0.1</v>
      </c>
      <c r="J33" s="669">
        <v>0.0</v>
      </c>
      <c r="K33" s="1"/>
      <c r="L33" s="1"/>
      <c r="M33" s="1"/>
      <c r="N33" s="1">
        <v>1.0</v>
      </c>
      <c r="O33" s="1"/>
      <c r="P33" s="669">
        <v>0.0</v>
      </c>
      <c r="Q33" s="669">
        <v>0.0</v>
      </c>
      <c r="R33" s="669">
        <v>1.4</v>
      </c>
    </row>
    <row r="34">
      <c r="A34" s="1" t="s">
        <v>2252</v>
      </c>
      <c r="B34" s="1" t="s">
        <v>180</v>
      </c>
      <c r="C34" s="1" t="s">
        <v>21</v>
      </c>
      <c r="D34" s="1">
        <v>2.0</v>
      </c>
      <c r="E34" s="1">
        <v>110.0</v>
      </c>
      <c r="F34" s="1">
        <v>783875.0</v>
      </c>
      <c r="G34" s="1">
        <v>586.0</v>
      </c>
      <c r="H34" s="669">
        <v>0.1</v>
      </c>
      <c r="I34" s="669">
        <v>0.1</v>
      </c>
      <c r="J34" s="669">
        <v>0.0</v>
      </c>
      <c r="K34" s="1"/>
      <c r="L34" s="1"/>
      <c r="M34" s="1"/>
      <c r="N34" s="1">
        <v>2.8</v>
      </c>
      <c r="O34" s="1"/>
      <c r="P34" s="669">
        <v>0.0</v>
      </c>
      <c r="Q34" s="669">
        <v>1.8</v>
      </c>
      <c r="R34" s="669">
        <v>4.1</v>
      </c>
    </row>
    <row r="35">
      <c r="A35" s="1" t="s">
        <v>2252</v>
      </c>
      <c r="B35" s="1" t="s">
        <v>1192</v>
      </c>
      <c r="C35" s="1" t="s">
        <v>21</v>
      </c>
      <c r="D35" s="1">
        <v>2.0</v>
      </c>
      <c r="E35" s="1">
        <v>110.0</v>
      </c>
      <c r="F35" s="1">
        <v>113015.0</v>
      </c>
      <c r="G35" s="1">
        <v>139.0</v>
      </c>
      <c r="H35" s="669">
        <v>0.1</v>
      </c>
      <c r="I35" s="669">
        <v>0.1</v>
      </c>
      <c r="J35" s="669">
        <v>0.0</v>
      </c>
      <c r="K35" s="1"/>
      <c r="L35" s="1"/>
      <c r="M35" s="1"/>
      <c r="N35" s="1">
        <v>2.4</v>
      </c>
      <c r="O35" s="1"/>
      <c r="P35" s="669">
        <v>0.0</v>
      </c>
      <c r="Q35" s="669">
        <v>0.8</v>
      </c>
      <c r="R35" s="669">
        <v>4.0</v>
      </c>
    </row>
    <row r="36">
      <c r="A36" s="1" t="s">
        <v>2252</v>
      </c>
      <c r="B36" s="1" t="s">
        <v>180</v>
      </c>
      <c r="C36" s="1" t="s">
        <v>22</v>
      </c>
      <c r="D36" s="1">
        <v>3.0</v>
      </c>
      <c r="E36" s="1">
        <v>110.0</v>
      </c>
      <c r="F36" s="1">
        <v>646130.0</v>
      </c>
      <c r="G36" s="1">
        <v>579.0</v>
      </c>
      <c r="H36" s="669">
        <v>0.1</v>
      </c>
      <c r="I36" s="669">
        <v>0.1</v>
      </c>
      <c r="J36" s="669">
        <v>0.0</v>
      </c>
      <c r="K36" s="1"/>
      <c r="L36" s="1"/>
      <c r="M36" s="1"/>
      <c r="N36" s="1">
        <v>4.9</v>
      </c>
      <c r="O36" s="1"/>
      <c r="P36" s="669">
        <v>0.0</v>
      </c>
      <c r="Q36" s="669">
        <v>3.3</v>
      </c>
      <c r="R36" s="669">
        <v>8.5</v>
      </c>
    </row>
    <row r="37">
      <c r="A37" s="1" t="s">
        <v>2252</v>
      </c>
      <c r="B37" s="1" t="s">
        <v>1192</v>
      </c>
      <c r="C37" s="1" t="s">
        <v>22</v>
      </c>
      <c r="D37" s="1">
        <v>3.0</v>
      </c>
      <c r="E37" s="1">
        <v>110.0</v>
      </c>
      <c r="F37" s="1">
        <v>84440.0</v>
      </c>
      <c r="G37" s="1">
        <v>108.0</v>
      </c>
      <c r="H37" s="669">
        <v>0.1</v>
      </c>
      <c r="I37" s="669">
        <v>0.2</v>
      </c>
      <c r="J37" s="669">
        <v>0.0</v>
      </c>
      <c r="K37" s="1"/>
      <c r="L37" s="1"/>
      <c r="M37" s="1"/>
      <c r="N37" s="1">
        <v>4.9</v>
      </c>
      <c r="O37" s="1"/>
      <c r="P37" s="669">
        <v>0.0</v>
      </c>
      <c r="Q37" s="669">
        <v>2.5</v>
      </c>
      <c r="R37" s="669">
        <v>8.7</v>
      </c>
    </row>
    <row r="38">
      <c r="A38" s="1" t="s">
        <v>2252</v>
      </c>
      <c r="B38" s="1" t="s">
        <v>180</v>
      </c>
      <c r="C38" s="1" t="s">
        <v>24</v>
      </c>
      <c r="D38" s="1">
        <v>4.0</v>
      </c>
      <c r="E38" s="1">
        <v>110.0</v>
      </c>
      <c r="F38" s="1">
        <v>374440.0</v>
      </c>
      <c r="G38" s="1">
        <v>412.0</v>
      </c>
      <c r="H38" s="669">
        <v>0.1</v>
      </c>
      <c r="I38" s="669">
        <v>0.1</v>
      </c>
      <c r="J38" s="669">
        <v>0.0</v>
      </c>
      <c r="K38" s="1"/>
      <c r="L38" s="1"/>
      <c r="M38" s="1"/>
      <c r="N38" s="1">
        <v>8.4</v>
      </c>
      <c r="O38" s="1"/>
      <c r="P38" s="669">
        <v>0.0</v>
      </c>
      <c r="Q38" s="669">
        <v>4.2</v>
      </c>
      <c r="R38" s="669">
        <v>14.0</v>
      </c>
    </row>
    <row r="39">
      <c r="A39" s="1" t="s">
        <v>2252</v>
      </c>
      <c r="B39" s="1" t="s">
        <v>1192</v>
      </c>
      <c r="C39" s="1" t="s">
        <v>24</v>
      </c>
      <c r="D39" s="1">
        <v>4.0</v>
      </c>
      <c r="E39" s="1">
        <v>110.0</v>
      </c>
      <c r="F39" s="1">
        <v>57490.0</v>
      </c>
      <c r="G39" s="1">
        <v>78.0</v>
      </c>
      <c r="H39" s="669">
        <v>0.1</v>
      </c>
      <c r="I39" s="669">
        <v>0.2</v>
      </c>
      <c r="J39" s="669">
        <v>0.0</v>
      </c>
      <c r="K39" s="1"/>
      <c r="L39" s="1"/>
      <c r="M39" s="1"/>
      <c r="N39" s="1">
        <v>8.6</v>
      </c>
      <c r="O39" s="1"/>
      <c r="P39" s="669">
        <v>0.0</v>
      </c>
      <c r="Q39" s="669">
        <v>3.9</v>
      </c>
      <c r="R39" s="669">
        <v>14.7</v>
      </c>
    </row>
    <row r="40">
      <c r="A40" s="1" t="s">
        <v>2252</v>
      </c>
      <c r="B40" s="1" t="s">
        <v>180</v>
      </c>
      <c r="C40" s="1" t="s">
        <v>26</v>
      </c>
      <c r="D40" s="1">
        <v>5.0</v>
      </c>
      <c r="E40" s="1">
        <v>110.0</v>
      </c>
      <c r="F40" s="1">
        <v>55055.0</v>
      </c>
      <c r="G40" s="1">
        <v>70.0</v>
      </c>
      <c r="H40" s="669">
        <v>0.1</v>
      </c>
      <c r="I40" s="669">
        <v>0.1</v>
      </c>
      <c r="J40" s="669">
        <v>0.0</v>
      </c>
      <c r="K40" s="1"/>
      <c r="L40" s="1"/>
      <c r="M40" s="1"/>
      <c r="N40" s="1">
        <v>14.1</v>
      </c>
      <c r="O40" s="1"/>
      <c r="P40" s="669">
        <v>2.6</v>
      </c>
      <c r="Q40" s="669">
        <v>4.0</v>
      </c>
      <c r="R40" s="669">
        <v>19.1</v>
      </c>
    </row>
    <row r="41">
      <c r="A41" s="1" t="s">
        <v>2252</v>
      </c>
      <c r="B41" s="1" t="s">
        <v>1192</v>
      </c>
      <c r="C41" s="1" t="s">
        <v>26</v>
      </c>
      <c r="D41" s="1">
        <v>5.0</v>
      </c>
      <c r="E41" s="1">
        <v>110.0</v>
      </c>
      <c r="F41" s="1">
        <v>10675.0</v>
      </c>
      <c r="G41" s="1">
        <v>15.0</v>
      </c>
      <c r="H41" s="669">
        <v>0.2</v>
      </c>
      <c r="I41" s="669">
        <v>0.2</v>
      </c>
      <c r="J41" s="669">
        <v>0.0</v>
      </c>
      <c r="K41" s="1"/>
      <c r="L41" s="1"/>
      <c r="M41" s="1"/>
      <c r="N41" s="1">
        <v>14.3</v>
      </c>
      <c r="O41" s="1"/>
      <c r="P41" s="669">
        <v>0.2</v>
      </c>
      <c r="Q41" s="669">
        <v>4.0</v>
      </c>
      <c r="R41" s="669">
        <v>21.7</v>
      </c>
    </row>
    <row r="42">
      <c r="A42" s="1" t="s">
        <v>2254</v>
      </c>
      <c r="B42" s="1" t="s">
        <v>180</v>
      </c>
      <c r="C42" s="1" t="s">
        <v>19</v>
      </c>
      <c r="D42" s="1">
        <v>1.0</v>
      </c>
      <c r="E42" s="1">
        <v>2.0</v>
      </c>
      <c r="F42" s="1">
        <v>12002.0</v>
      </c>
      <c r="G42" s="1">
        <v>0.0</v>
      </c>
      <c r="H42" s="669">
        <v>0.0</v>
      </c>
      <c r="I42" s="669">
        <v>0.0</v>
      </c>
      <c r="J42" s="669"/>
      <c r="K42" s="1"/>
      <c r="L42" s="1"/>
      <c r="M42" s="1"/>
      <c r="N42" s="1"/>
      <c r="O42" s="1"/>
      <c r="P42" s="669"/>
      <c r="Q42" s="669"/>
      <c r="R42" s="669"/>
    </row>
    <row r="43">
      <c r="A43" s="1" t="s">
        <v>2254</v>
      </c>
      <c r="B43" s="1" t="s">
        <v>1192</v>
      </c>
      <c r="C43" s="1" t="s">
        <v>19</v>
      </c>
      <c r="D43" s="1">
        <v>1.0</v>
      </c>
      <c r="E43" s="1">
        <v>2.0</v>
      </c>
      <c r="F43" s="1">
        <v>2410.0</v>
      </c>
      <c r="G43" s="1">
        <v>0.0</v>
      </c>
      <c r="H43" s="669">
        <v>0.0</v>
      </c>
      <c r="I43" s="669">
        <v>0.0</v>
      </c>
      <c r="J43" s="1"/>
      <c r="K43" s="1"/>
      <c r="L43" s="1"/>
      <c r="M43" s="1"/>
      <c r="N43" s="1"/>
      <c r="O43" s="1"/>
      <c r="P43" s="1"/>
      <c r="Q43" s="1"/>
      <c r="R43" s="1"/>
    </row>
    <row r="44">
      <c r="A44" s="1" t="s">
        <v>2254</v>
      </c>
      <c r="B44" s="1" t="s">
        <v>180</v>
      </c>
      <c r="C44" s="1" t="s">
        <v>21</v>
      </c>
      <c r="D44" s="1">
        <v>2.0</v>
      </c>
      <c r="E44" s="1">
        <v>2.0</v>
      </c>
      <c r="F44" s="1">
        <v>9818.0</v>
      </c>
      <c r="G44" s="1">
        <v>0.0</v>
      </c>
      <c r="H44" s="669">
        <v>0.0</v>
      </c>
      <c r="I44" s="669">
        <v>0.0</v>
      </c>
      <c r="J44" s="1"/>
      <c r="K44" s="1"/>
      <c r="L44" s="1"/>
      <c r="M44" s="1"/>
      <c r="N44" s="1"/>
      <c r="O44" s="1"/>
      <c r="P44" s="1"/>
      <c r="Q44" s="1"/>
      <c r="R44" s="1"/>
    </row>
    <row r="45">
      <c r="A45" s="1" t="s">
        <v>2254</v>
      </c>
      <c r="B45" s="1" t="s">
        <v>1192</v>
      </c>
      <c r="C45" s="1" t="s">
        <v>21</v>
      </c>
      <c r="D45" s="1">
        <v>2.0</v>
      </c>
      <c r="E45" s="1">
        <v>2.0</v>
      </c>
      <c r="F45" s="1">
        <v>1594.0</v>
      </c>
      <c r="G45" s="1">
        <v>0.0</v>
      </c>
      <c r="H45" s="669">
        <v>0.0</v>
      </c>
      <c r="I45" s="669">
        <v>0.0</v>
      </c>
      <c r="J45" s="1"/>
      <c r="K45" s="1"/>
      <c r="L45" s="1"/>
      <c r="M45" s="1"/>
      <c r="N45" s="1"/>
      <c r="O45" s="1"/>
      <c r="P45" s="1"/>
      <c r="Q45" s="1"/>
      <c r="R45" s="1"/>
    </row>
    <row r="46">
      <c r="A46" s="1" t="s">
        <v>2254</v>
      </c>
      <c r="B46" s="1" t="s">
        <v>180</v>
      </c>
      <c r="C46" s="1" t="s">
        <v>22</v>
      </c>
      <c r="D46" s="1">
        <v>3.0</v>
      </c>
      <c r="E46" s="1">
        <v>2.0</v>
      </c>
      <c r="F46" s="1">
        <v>8180.0</v>
      </c>
      <c r="G46" s="1">
        <v>0.0</v>
      </c>
      <c r="H46" s="669">
        <v>0.0</v>
      </c>
      <c r="I46" s="669">
        <v>0.0</v>
      </c>
      <c r="J46" s="1"/>
      <c r="K46" s="1"/>
      <c r="L46" s="1"/>
      <c r="M46" s="1"/>
      <c r="N46" s="1"/>
      <c r="O46" s="1"/>
      <c r="P46" s="1"/>
      <c r="Q46" s="1"/>
      <c r="R46" s="1"/>
    </row>
    <row r="47">
      <c r="A47" s="1" t="s">
        <v>2254</v>
      </c>
      <c r="B47" s="1" t="s">
        <v>1192</v>
      </c>
      <c r="C47" s="1" t="s">
        <v>22</v>
      </c>
      <c r="D47" s="1">
        <v>3.0</v>
      </c>
      <c r="E47" s="1">
        <v>2.0</v>
      </c>
      <c r="F47" s="1">
        <v>1178.0</v>
      </c>
      <c r="G47" s="1">
        <v>0.0</v>
      </c>
      <c r="H47" s="669">
        <v>0.0</v>
      </c>
      <c r="I47" s="669">
        <v>0.0</v>
      </c>
      <c r="J47" s="1"/>
      <c r="K47" s="1"/>
      <c r="L47" s="1"/>
      <c r="M47" s="1"/>
      <c r="N47" s="1"/>
      <c r="O47" s="1"/>
      <c r="P47" s="1"/>
      <c r="Q47" s="1"/>
      <c r="R47" s="1"/>
    </row>
    <row r="48">
      <c r="A48" s="1" t="s">
        <v>2254</v>
      </c>
      <c r="B48" s="1" t="s">
        <v>180</v>
      </c>
      <c r="C48" s="1" t="s">
        <v>24</v>
      </c>
      <c r="D48" s="1">
        <v>4.0</v>
      </c>
      <c r="E48" s="1">
        <v>2.0</v>
      </c>
      <c r="F48" s="1">
        <v>4940.0</v>
      </c>
      <c r="G48" s="1">
        <v>0.0</v>
      </c>
      <c r="H48" s="669">
        <v>0.0</v>
      </c>
      <c r="I48" s="669">
        <v>0.0</v>
      </c>
      <c r="J48" s="1"/>
      <c r="K48" s="1"/>
      <c r="L48" s="1"/>
      <c r="M48" s="1"/>
      <c r="N48" s="1"/>
      <c r="O48" s="1"/>
      <c r="P48" s="1"/>
      <c r="Q48" s="1"/>
      <c r="R48" s="1"/>
    </row>
    <row r="49">
      <c r="A49" s="1" t="s">
        <v>2254</v>
      </c>
      <c r="B49" s="1" t="s">
        <v>1192</v>
      </c>
      <c r="C49" s="1" t="s">
        <v>24</v>
      </c>
      <c r="D49" s="1">
        <v>4.0</v>
      </c>
      <c r="E49" s="1">
        <v>2.0</v>
      </c>
      <c r="F49" s="1">
        <v>824.0</v>
      </c>
      <c r="G49" s="1">
        <v>0.0</v>
      </c>
      <c r="H49" s="669">
        <v>0.0</v>
      </c>
      <c r="I49" s="669">
        <v>0.0</v>
      </c>
      <c r="J49" s="1"/>
      <c r="K49" s="1"/>
      <c r="L49" s="1"/>
      <c r="M49" s="1"/>
      <c r="N49" s="1"/>
      <c r="O49" s="1"/>
      <c r="P49" s="1"/>
      <c r="Q49" s="1"/>
      <c r="R49" s="1"/>
    </row>
    <row r="50">
      <c r="A50" s="1" t="s">
        <v>2254</v>
      </c>
      <c r="B50" s="1" t="s">
        <v>180</v>
      </c>
      <c r="C50" s="1" t="s">
        <v>26</v>
      </c>
      <c r="D50" s="1">
        <v>5.0</v>
      </c>
      <c r="E50" s="1">
        <v>2.0</v>
      </c>
      <c r="F50" s="1">
        <v>706.0</v>
      </c>
      <c r="G50" s="1">
        <v>0.0</v>
      </c>
      <c r="H50" s="669">
        <v>0.0</v>
      </c>
      <c r="I50" s="669">
        <v>0.0</v>
      </c>
      <c r="J50" s="1"/>
      <c r="K50" s="1"/>
      <c r="L50" s="1"/>
      <c r="M50" s="1"/>
      <c r="N50" s="1"/>
      <c r="O50" s="1"/>
      <c r="P50" s="1"/>
      <c r="Q50" s="1"/>
      <c r="R50" s="1"/>
    </row>
    <row r="51">
      <c r="A51" s="1" t="s">
        <v>2254</v>
      </c>
      <c r="B51" s="1" t="s">
        <v>1192</v>
      </c>
      <c r="C51" s="1" t="s">
        <v>26</v>
      </c>
      <c r="D51" s="1">
        <v>5.0</v>
      </c>
      <c r="E51" s="1">
        <v>2.0</v>
      </c>
      <c r="F51" s="1">
        <v>132.0</v>
      </c>
      <c r="G51" s="1">
        <v>0.0</v>
      </c>
      <c r="H51" s="669">
        <v>0.0</v>
      </c>
      <c r="I51" s="669">
        <v>0.0</v>
      </c>
      <c r="J51" s="1"/>
      <c r="K51" s="1"/>
      <c r="L51" s="1"/>
      <c r="M51" s="1"/>
      <c r="N51" s="1"/>
      <c r="O51" s="1"/>
      <c r="P51" s="1"/>
      <c r="Q51" s="1"/>
      <c r="R51" s="1"/>
    </row>
    <row r="52">
      <c r="A52" s="1" t="s">
        <v>42</v>
      </c>
      <c r="B52" s="1" t="s">
        <v>180</v>
      </c>
      <c r="C52" s="1" t="s">
        <v>19</v>
      </c>
      <c r="D52" s="1">
        <v>1.0</v>
      </c>
      <c r="E52" s="1">
        <v>17.0</v>
      </c>
      <c r="F52" s="1">
        <v>163865.0</v>
      </c>
      <c r="G52" s="1">
        <v>824.0</v>
      </c>
      <c r="H52" s="669">
        <v>0.1</v>
      </c>
      <c r="I52" s="669">
        <v>0.3</v>
      </c>
      <c r="J52" s="669">
        <v>0.0</v>
      </c>
      <c r="K52" s="1">
        <v>3.0</v>
      </c>
      <c r="L52" s="1">
        <v>4.0</v>
      </c>
      <c r="M52" s="1">
        <v>6.0</v>
      </c>
      <c r="N52" s="1">
        <v>5.1</v>
      </c>
      <c r="O52" s="1">
        <v>0.0</v>
      </c>
      <c r="P52" s="669">
        <v>2.1</v>
      </c>
      <c r="Q52" s="669">
        <v>4.4</v>
      </c>
      <c r="R52" s="669">
        <v>8.2</v>
      </c>
    </row>
    <row r="53">
      <c r="A53" s="1" t="s">
        <v>42</v>
      </c>
      <c r="B53" s="1" t="s">
        <v>1192</v>
      </c>
      <c r="C53" s="1" t="s">
        <v>19</v>
      </c>
      <c r="D53" s="1">
        <v>1.0</v>
      </c>
      <c r="E53" s="1">
        <v>17.0</v>
      </c>
      <c r="F53" s="1">
        <v>26845.0</v>
      </c>
      <c r="G53" s="1">
        <v>302.0</v>
      </c>
      <c r="H53" s="669">
        <v>0.2</v>
      </c>
      <c r="I53" s="669">
        <v>0.4</v>
      </c>
      <c r="J53" s="669">
        <v>0.0</v>
      </c>
      <c r="K53" s="1">
        <v>3.0</v>
      </c>
      <c r="L53" s="1">
        <v>5.0</v>
      </c>
      <c r="M53" s="1">
        <v>6.0</v>
      </c>
      <c r="N53" s="1">
        <v>5.0</v>
      </c>
      <c r="O53" s="1">
        <v>0.0</v>
      </c>
      <c r="P53" s="669">
        <v>2.1</v>
      </c>
      <c r="Q53" s="669">
        <v>4.3</v>
      </c>
      <c r="R53" s="669">
        <v>7.8</v>
      </c>
    </row>
    <row r="54">
      <c r="A54" s="1" t="s">
        <v>42</v>
      </c>
      <c r="B54" s="1" t="s">
        <v>180</v>
      </c>
      <c r="C54" s="1" t="s">
        <v>21</v>
      </c>
      <c r="D54" s="1">
        <v>2.0</v>
      </c>
      <c r="E54" s="1">
        <v>17.0</v>
      </c>
      <c r="F54" s="1">
        <v>120129.0</v>
      </c>
      <c r="G54" s="1">
        <v>1247.0</v>
      </c>
      <c r="H54" s="669">
        <v>0.2</v>
      </c>
      <c r="I54" s="669">
        <v>0.3</v>
      </c>
      <c r="J54" s="669">
        <v>0.0</v>
      </c>
      <c r="K54" s="1">
        <v>2.0</v>
      </c>
      <c r="L54" s="1">
        <v>4.0</v>
      </c>
      <c r="M54" s="1">
        <v>5.0</v>
      </c>
      <c r="N54" s="1">
        <v>7.6</v>
      </c>
      <c r="O54" s="1">
        <v>0.0</v>
      </c>
      <c r="P54" s="669">
        <v>5.3</v>
      </c>
      <c r="Q54" s="669">
        <v>9.8</v>
      </c>
      <c r="R54" s="669">
        <v>10.0</v>
      </c>
    </row>
    <row r="55">
      <c r="A55" s="1" t="s">
        <v>42</v>
      </c>
      <c r="B55" s="1" t="s">
        <v>1192</v>
      </c>
      <c r="C55" s="1" t="s">
        <v>21</v>
      </c>
      <c r="D55" s="1">
        <v>2.0</v>
      </c>
      <c r="E55" s="1">
        <v>17.0</v>
      </c>
      <c r="F55" s="1">
        <v>17206.0</v>
      </c>
      <c r="G55" s="1">
        <v>272.0</v>
      </c>
      <c r="H55" s="669">
        <v>0.3</v>
      </c>
      <c r="I55" s="669">
        <v>0.4</v>
      </c>
      <c r="J55" s="669">
        <v>0.0</v>
      </c>
      <c r="K55" s="1">
        <v>2.0</v>
      </c>
      <c r="L55" s="1">
        <v>4.0</v>
      </c>
      <c r="M55" s="1">
        <v>5.0</v>
      </c>
      <c r="N55" s="1">
        <v>7.7</v>
      </c>
      <c r="O55" s="1">
        <v>0.0</v>
      </c>
      <c r="P55" s="669">
        <v>5.2</v>
      </c>
      <c r="Q55" s="669">
        <v>9.9</v>
      </c>
      <c r="R55" s="669">
        <v>10.0</v>
      </c>
    </row>
    <row r="56">
      <c r="A56" s="1" t="s">
        <v>42</v>
      </c>
      <c r="B56" s="1" t="s">
        <v>180</v>
      </c>
      <c r="C56" s="1" t="s">
        <v>22</v>
      </c>
      <c r="D56" s="1">
        <v>3.0</v>
      </c>
      <c r="E56" s="1">
        <v>17.0</v>
      </c>
      <c r="F56" s="1">
        <v>98954.0</v>
      </c>
      <c r="G56" s="1">
        <v>1389.0</v>
      </c>
      <c r="H56" s="669">
        <v>0.2</v>
      </c>
      <c r="I56" s="669">
        <v>0.4</v>
      </c>
      <c r="J56" s="669">
        <v>0.0</v>
      </c>
      <c r="K56" s="1">
        <v>2.0</v>
      </c>
      <c r="L56" s="1">
        <v>3.0</v>
      </c>
      <c r="M56" s="1">
        <v>4.0</v>
      </c>
      <c r="N56" s="1">
        <v>8.8</v>
      </c>
      <c r="O56" s="1">
        <v>0.0</v>
      </c>
      <c r="P56" s="669">
        <v>9.5</v>
      </c>
      <c r="Q56" s="669">
        <v>10.0</v>
      </c>
      <c r="R56" s="669">
        <v>10.0</v>
      </c>
    </row>
    <row r="57">
      <c r="A57" s="1" t="s">
        <v>42</v>
      </c>
      <c r="B57" s="1" t="s">
        <v>1192</v>
      </c>
      <c r="C57" s="1" t="s">
        <v>22</v>
      </c>
      <c r="D57" s="1">
        <v>3.0</v>
      </c>
      <c r="E57" s="1">
        <v>17.0</v>
      </c>
      <c r="F57" s="1">
        <v>12930.0</v>
      </c>
      <c r="G57" s="1">
        <v>230.0</v>
      </c>
      <c r="H57" s="669">
        <v>0.3</v>
      </c>
      <c r="I57" s="669">
        <v>0.4</v>
      </c>
      <c r="J57" s="669">
        <v>0.0</v>
      </c>
      <c r="K57" s="1">
        <v>2.0</v>
      </c>
      <c r="L57" s="1">
        <v>3.0</v>
      </c>
      <c r="M57" s="1">
        <v>4.0</v>
      </c>
      <c r="N57" s="1">
        <v>8.9</v>
      </c>
      <c r="O57" s="1">
        <v>0.0</v>
      </c>
      <c r="P57" s="669">
        <v>9.8</v>
      </c>
      <c r="Q57" s="669">
        <v>10.0</v>
      </c>
      <c r="R57" s="669">
        <v>10.0</v>
      </c>
    </row>
    <row r="58">
      <c r="A58" s="1" t="s">
        <v>42</v>
      </c>
      <c r="B58" s="1" t="s">
        <v>180</v>
      </c>
      <c r="C58" s="1" t="s">
        <v>24</v>
      </c>
      <c r="D58" s="1">
        <v>4.0</v>
      </c>
      <c r="E58" s="1">
        <v>17.0</v>
      </c>
      <c r="F58" s="1">
        <v>57465.0</v>
      </c>
      <c r="G58" s="1">
        <v>1007.0</v>
      </c>
      <c r="H58" s="669">
        <v>0.3</v>
      </c>
      <c r="I58" s="669">
        <v>0.4</v>
      </c>
      <c r="J58" s="669">
        <v>0.0</v>
      </c>
      <c r="K58" s="1">
        <v>1.0</v>
      </c>
      <c r="L58" s="1">
        <v>3.0</v>
      </c>
      <c r="M58" s="1">
        <v>4.0</v>
      </c>
      <c r="N58" s="1">
        <v>9.6</v>
      </c>
      <c r="O58" s="1">
        <v>0.0</v>
      </c>
      <c r="P58" s="669">
        <v>10.0</v>
      </c>
      <c r="Q58" s="669">
        <v>10.0</v>
      </c>
      <c r="R58" s="669">
        <v>10.0</v>
      </c>
    </row>
    <row r="59">
      <c r="A59" s="1" t="s">
        <v>42</v>
      </c>
      <c r="B59" s="1" t="s">
        <v>1192</v>
      </c>
      <c r="C59" s="1" t="s">
        <v>24</v>
      </c>
      <c r="D59" s="1">
        <v>4.0</v>
      </c>
      <c r="E59" s="1">
        <v>17.0</v>
      </c>
      <c r="F59" s="1">
        <v>8834.0</v>
      </c>
      <c r="G59" s="1">
        <v>185.0</v>
      </c>
      <c r="H59" s="669">
        <v>0.4</v>
      </c>
      <c r="I59" s="669">
        <v>0.4</v>
      </c>
      <c r="J59" s="669">
        <v>0.0</v>
      </c>
      <c r="K59" s="1">
        <v>2.0</v>
      </c>
      <c r="L59" s="1">
        <v>3.0</v>
      </c>
      <c r="M59" s="1">
        <v>4.0</v>
      </c>
      <c r="N59" s="1">
        <v>9.5</v>
      </c>
      <c r="O59" s="1">
        <v>0.0</v>
      </c>
      <c r="P59" s="669">
        <v>10.0</v>
      </c>
      <c r="Q59" s="669">
        <v>10.0</v>
      </c>
      <c r="R59" s="669">
        <v>10.0</v>
      </c>
    </row>
    <row r="60">
      <c r="A60" s="1" t="s">
        <v>42</v>
      </c>
      <c r="B60" s="1" t="s">
        <v>180</v>
      </c>
      <c r="C60" s="1" t="s">
        <v>26</v>
      </c>
      <c r="D60" s="1">
        <v>5.0</v>
      </c>
      <c r="E60" s="1">
        <v>17.0</v>
      </c>
      <c r="F60" s="1">
        <v>8558.0</v>
      </c>
      <c r="G60" s="1">
        <v>162.0</v>
      </c>
      <c r="H60" s="669">
        <v>0.3</v>
      </c>
      <c r="I60" s="669">
        <v>0.4</v>
      </c>
      <c r="J60" s="669">
        <v>0.0</v>
      </c>
      <c r="K60" s="1">
        <v>1.0</v>
      </c>
      <c r="L60" s="1">
        <v>2.0</v>
      </c>
      <c r="M60" s="1">
        <v>3.0</v>
      </c>
      <c r="N60" s="1">
        <v>9.9</v>
      </c>
      <c r="O60" s="1">
        <v>0.0</v>
      </c>
      <c r="P60" s="669">
        <v>10.0</v>
      </c>
      <c r="Q60" s="669">
        <v>10.0</v>
      </c>
      <c r="R60" s="669">
        <v>10.0</v>
      </c>
    </row>
    <row r="61">
      <c r="A61" s="1" t="s">
        <v>42</v>
      </c>
      <c r="B61" s="1" t="s">
        <v>1192</v>
      </c>
      <c r="C61" s="1" t="s">
        <v>26</v>
      </c>
      <c r="D61" s="1">
        <v>5.0</v>
      </c>
      <c r="E61" s="1">
        <v>17.0</v>
      </c>
      <c r="F61" s="1">
        <v>1694.0</v>
      </c>
      <c r="G61" s="1">
        <v>36.0</v>
      </c>
      <c r="H61" s="669">
        <v>0.4</v>
      </c>
      <c r="I61" s="669">
        <v>0.4</v>
      </c>
      <c r="J61" s="669">
        <v>0.0</v>
      </c>
      <c r="K61" s="1">
        <v>1.0</v>
      </c>
      <c r="L61" s="1">
        <v>2.0</v>
      </c>
      <c r="M61" s="1">
        <v>3.0</v>
      </c>
      <c r="N61" s="1">
        <v>9.9</v>
      </c>
      <c r="O61" s="1">
        <v>0.0</v>
      </c>
      <c r="P61" s="669">
        <v>10.0</v>
      </c>
      <c r="Q61" s="669">
        <v>10.0</v>
      </c>
      <c r="R61" s="669">
        <v>10.0</v>
      </c>
    </row>
    <row r="62">
      <c r="A62" s="1" t="s">
        <v>51</v>
      </c>
      <c r="B62" s="1" t="s">
        <v>180</v>
      </c>
      <c r="C62" s="1" t="s">
        <v>19</v>
      </c>
      <c r="D62" s="1">
        <v>1.0</v>
      </c>
      <c r="E62" s="1">
        <v>23.0</v>
      </c>
      <c r="F62" s="1">
        <v>224041.0</v>
      </c>
      <c r="G62" s="1">
        <v>789.0</v>
      </c>
      <c r="H62" s="669">
        <v>0.1</v>
      </c>
      <c r="I62" s="669">
        <v>0.1</v>
      </c>
      <c r="J62" s="669">
        <v>0.0</v>
      </c>
      <c r="K62" s="1">
        <v>2.0</v>
      </c>
      <c r="L62" s="1">
        <v>3.0</v>
      </c>
      <c r="M62" s="1">
        <v>4.0</v>
      </c>
      <c r="N62" s="1">
        <v>923.3</v>
      </c>
      <c r="O62" s="1">
        <v>0.0</v>
      </c>
      <c r="P62" s="669">
        <v>46.8</v>
      </c>
      <c r="Q62" s="669">
        <v>291.5</v>
      </c>
      <c r="R62" s="669">
        <v>989.1</v>
      </c>
    </row>
    <row r="63">
      <c r="A63" s="1" t="s">
        <v>51</v>
      </c>
      <c r="B63" s="1" t="s">
        <v>1192</v>
      </c>
      <c r="C63" s="1" t="s">
        <v>19</v>
      </c>
      <c r="D63" s="1">
        <v>1.0</v>
      </c>
      <c r="E63" s="1">
        <v>23.0</v>
      </c>
      <c r="F63" s="1">
        <v>36139.0</v>
      </c>
      <c r="G63" s="1">
        <v>312.0</v>
      </c>
      <c r="H63" s="669">
        <v>0.2</v>
      </c>
      <c r="I63" s="669">
        <v>0.2</v>
      </c>
      <c r="J63" s="669">
        <v>0.0</v>
      </c>
      <c r="K63" s="1">
        <v>2.0</v>
      </c>
      <c r="L63" s="1">
        <v>3.0</v>
      </c>
      <c r="M63" s="1">
        <v>4.0</v>
      </c>
      <c r="N63" s="1">
        <v>984.7</v>
      </c>
      <c r="O63" s="1">
        <v>0.0</v>
      </c>
      <c r="P63" s="669">
        <v>31.9</v>
      </c>
      <c r="Q63" s="669">
        <v>272.2</v>
      </c>
      <c r="R63" s="669">
        <v>913.8</v>
      </c>
    </row>
    <row r="64">
      <c r="A64" s="1" t="s">
        <v>51</v>
      </c>
      <c r="B64" s="1" t="s">
        <v>180</v>
      </c>
      <c r="C64" s="1" t="s">
        <v>21</v>
      </c>
      <c r="D64" s="1">
        <v>2.0</v>
      </c>
      <c r="E64" s="1">
        <v>23.0</v>
      </c>
      <c r="F64" s="1">
        <v>166179.0</v>
      </c>
      <c r="G64" s="1">
        <v>1168.0</v>
      </c>
      <c r="H64" s="669">
        <v>0.2</v>
      </c>
      <c r="I64" s="669">
        <v>0.2</v>
      </c>
      <c r="J64" s="669">
        <v>0.0</v>
      </c>
      <c r="K64" s="1">
        <v>2.0</v>
      </c>
      <c r="L64" s="1">
        <v>3.0</v>
      </c>
      <c r="M64" s="1">
        <v>4.0</v>
      </c>
      <c r="N64" s="1">
        <v>1975.0</v>
      </c>
      <c r="O64" s="1">
        <v>0.0</v>
      </c>
      <c r="P64" s="669">
        <v>185.8</v>
      </c>
      <c r="Q64" s="669">
        <v>760.3</v>
      </c>
      <c r="R64" s="669">
        <v>2391.4</v>
      </c>
    </row>
    <row r="65">
      <c r="A65" s="1" t="s">
        <v>51</v>
      </c>
      <c r="B65" s="1" t="s">
        <v>1192</v>
      </c>
      <c r="C65" s="1" t="s">
        <v>21</v>
      </c>
      <c r="D65" s="1">
        <v>2.0</v>
      </c>
      <c r="E65" s="1">
        <v>23.0</v>
      </c>
      <c r="F65" s="1">
        <v>24006.0</v>
      </c>
      <c r="G65" s="1">
        <v>278.0</v>
      </c>
      <c r="H65" s="669">
        <v>0.3</v>
      </c>
      <c r="I65" s="669">
        <v>0.3</v>
      </c>
      <c r="J65" s="669">
        <v>0.0</v>
      </c>
      <c r="K65" s="1">
        <v>1.0</v>
      </c>
      <c r="L65" s="1">
        <v>3.0</v>
      </c>
      <c r="M65" s="1">
        <v>4.0</v>
      </c>
      <c r="N65" s="1">
        <v>2524.2</v>
      </c>
      <c r="O65" s="1">
        <v>0.0</v>
      </c>
      <c r="P65" s="669">
        <v>174.6</v>
      </c>
      <c r="Q65" s="669">
        <v>816.2</v>
      </c>
      <c r="R65" s="669">
        <v>3173.2</v>
      </c>
    </row>
    <row r="66">
      <c r="A66" s="1" t="s">
        <v>51</v>
      </c>
      <c r="B66" s="1" t="s">
        <v>180</v>
      </c>
      <c r="C66" s="1" t="s">
        <v>22</v>
      </c>
      <c r="D66" s="1">
        <v>3.0</v>
      </c>
      <c r="E66" s="1">
        <v>23.0</v>
      </c>
      <c r="F66" s="1">
        <v>136990.0</v>
      </c>
      <c r="G66" s="1">
        <v>1304.0</v>
      </c>
      <c r="H66" s="669">
        <v>0.2</v>
      </c>
      <c r="I66" s="669">
        <v>0.2</v>
      </c>
      <c r="J66" s="669">
        <v>0.0</v>
      </c>
      <c r="K66" s="1">
        <v>1.0</v>
      </c>
      <c r="L66" s="1">
        <v>3.0</v>
      </c>
      <c r="M66" s="1">
        <v>4.0</v>
      </c>
      <c r="N66" s="1">
        <v>2934.0</v>
      </c>
      <c r="O66" s="1">
        <v>1.0</v>
      </c>
      <c r="P66" s="669">
        <v>355.3</v>
      </c>
      <c r="Q66" s="669">
        <v>1268.5</v>
      </c>
      <c r="R66" s="669">
        <v>3754.4</v>
      </c>
    </row>
    <row r="67">
      <c r="A67" s="1" t="s">
        <v>51</v>
      </c>
      <c r="B67" s="1" t="s">
        <v>1192</v>
      </c>
      <c r="C67" s="1" t="s">
        <v>22</v>
      </c>
      <c r="D67" s="1">
        <v>3.0</v>
      </c>
      <c r="E67" s="1">
        <v>23.0</v>
      </c>
      <c r="F67" s="1">
        <v>17960.0</v>
      </c>
      <c r="G67" s="1">
        <v>232.0</v>
      </c>
      <c r="H67" s="669">
        <v>0.3</v>
      </c>
      <c r="I67" s="669">
        <v>0.3</v>
      </c>
      <c r="J67" s="669">
        <v>0.0</v>
      </c>
      <c r="K67" s="1">
        <v>1.0</v>
      </c>
      <c r="L67" s="1">
        <v>2.0</v>
      </c>
      <c r="M67" s="1">
        <v>4.0</v>
      </c>
      <c r="N67" s="1">
        <v>4376.2</v>
      </c>
      <c r="O67" s="1">
        <v>0.0</v>
      </c>
      <c r="P67" s="669">
        <v>445.2</v>
      </c>
      <c r="Q67" s="669">
        <v>1937.3</v>
      </c>
      <c r="R67" s="669">
        <v>6051.4</v>
      </c>
    </row>
    <row r="68">
      <c r="A68" s="1" t="s">
        <v>51</v>
      </c>
      <c r="B68" s="1" t="s">
        <v>180</v>
      </c>
      <c r="C68" s="1" t="s">
        <v>24</v>
      </c>
      <c r="D68" s="1">
        <v>4.0</v>
      </c>
      <c r="E68" s="1">
        <v>23.0</v>
      </c>
      <c r="F68" s="1">
        <v>79675.0</v>
      </c>
      <c r="G68" s="1">
        <v>984.0</v>
      </c>
      <c r="H68" s="669">
        <v>0.3</v>
      </c>
      <c r="I68" s="669">
        <v>0.3</v>
      </c>
      <c r="J68" s="669">
        <v>0.0</v>
      </c>
      <c r="K68" s="1">
        <v>1.0</v>
      </c>
      <c r="L68" s="1">
        <v>2.0</v>
      </c>
      <c r="M68" s="1">
        <v>4.0</v>
      </c>
      <c r="N68" s="1">
        <v>3984.5</v>
      </c>
      <c r="O68" s="1">
        <v>1.0</v>
      </c>
      <c r="P68" s="669">
        <v>672.4</v>
      </c>
      <c r="Q68" s="669">
        <v>2006.0</v>
      </c>
      <c r="R68" s="669">
        <v>5348.3</v>
      </c>
    </row>
    <row r="69">
      <c r="A69" s="1" t="s">
        <v>51</v>
      </c>
      <c r="B69" s="1" t="s">
        <v>1192</v>
      </c>
      <c r="C69" s="1" t="s">
        <v>24</v>
      </c>
      <c r="D69" s="1">
        <v>4.0</v>
      </c>
      <c r="E69" s="1">
        <v>23.0</v>
      </c>
      <c r="F69" s="1">
        <v>12180.0</v>
      </c>
      <c r="G69" s="1">
        <v>184.0</v>
      </c>
      <c r="H69" s="669">
        <v>0.3</v>
      </c>
      <c r="I69" s="669">
        <v>0.3</v>
      </c>
      <c r="J69" s="669">
        <v>0.0</v>
      </c>
      <c r="K69" s="1">
        <v>1.0</v>
      </c>
      <c r="L69" s="1">
        <v>2.0</v>
      </c>
      <c r="M69" s="1">
        <v>3.0</v>
      </c>
      <c r="N69" s="1">
        <v>5532.0</v>
      </c>
      <c r="O69" s="1">
        <v>0.0</v>
      </c>
      <c r="P69" s="669">
        <v>758.7</v>
      </c>
      <c r="Q69" s="669">
        <v>2896.3</v>
      </c>
      <c r="R69" s="669">
        <v>7836.7</v>
      </c>
    </row>
    <row r="70">
      <c r="A70" s="1" t="s">
        <v>51</v>
      </c>
      <c r="B70" s="1" t="s">
        <v>180</v>
      </c>
      <c r="C70" s="1" t="s">
        <v>26</v>
      </c>
      <c r="D70" s="1">
        <v>5.0</v>
      </c>
      <c r="E70" s="1">
        <v>23.0</v>
      </c>
      <c r="F70" s="1">
        <v>11744.0</v>
      </c>
      <c r="G70" s="1">
        <v>158.0</v>
      </c>
      <c r="H70" s="669">
        <v>0.3</v>
      </c>
      <c r="I70" s="669">
        <v>0.3</v>
      </c>
      <c r="J70" s="669">
        <v>0.0</v>
      </c>
      <c r="K70" s="1">
        <v>1.0</v>
      </c>
      <c r="L70" s="1">
        <v>2.0</v>
      </c>
      <c r="M70" s="1">
        <v>3.0</v>
      </c>
      <c r="N70" s="1">
        <v>6061.7</v>
      </c>
      <c r="O70" s="1">
        <v>1.0</v>
      </c>
      <c r="P70" s="669">
        <v>1509.5</v>
      </c>
      <c r="Q70" s="669">
        <v>3638.9</v>
      </c>
      <c r="R70" s="669">
        <v>8662.4</v>
      </c>
    </row>
    <row r="71">
      <c r="A71" s="1" t="s">
        <v>51</v>
      </c>
      <c r="B71" s="1" t="s">
        <v>1192</v>
      </c>
      <c r="C71" s="1" t="s">
        <v>26</v>
      </c>
      <c r="D71" s="1">
        <v>5.0</v>
      </c>
      <c r="E71" s="1">
        <v>23.0</v>
      </c>
      <c r="F71" s="1">
        <v>2268.0</v>
      </c>
      <c r="G71" s="1">
        <v>35.0</v>
      </c>
      <c r="H71" s="669">
        <v>0.4</v>
      </c>
      <c r="I71" s="669">
        <v>0.4</v>
      </c>
      <c r="J71" s="669">
        <v>0.0</v>
      </c>
      <c r="K71" s="1">
        <v>1.0</v>
      </c>
      <c r="L71" s="1">
        <v>2.0</v>
      </c>
      <c r="M71" s="1">
        <v>3.0</v>
      </c>
      <c r="N71" s="1">
        <v>7094.3</v>
      </c>
      <c r="O71" s="1">
        <v>0.0</v>
      </c>
      <c r="P71" s="669">
        <v>1604.7</v>
      </c>
      <c r="Q71" s="669">
        <v>4539.6</v>
      </c>
      <c r="R71" s="669">
        <v>10214.8</v>
      </c>
    </row>
    <row r="72">
      <c r="A72" s="1" t="s">
        <v>9</v>
      </c>
      <c r="B72" s="1" t="s">
        <v>180</v>
      </c>
      <c r="C72" s="1" t="s">
        <v>19</v>
      </c>
      <c r="D72" s="1">
        <v>1.0</v>
      </c>
      <c r="E72" s="1">
        <v>6.0</v>
      </c>
      <c r="F72" s="1">
        <v>100441.0</v>
      </c>
      <c r="G72" s="1">
        <v>3607.0</v>
      </c>
      <c r="H72" s="669">
        <v>0.2</v>
      </c>
      <c r="I72" s="669">
        <v>0.5</v>
      </c>
      <c r="J72" s="669">
        <v>0.0</v>
      </c>
      <c r="K72" s="1"/>
      <c r="L72" s="1"/>
      <c r="M72" s="1"/>
      <c r="N72" s="1">
        <v>19.6</v>
      </c>
      <c r="O72" s="1"/>
      <c r="P72" s="669">
        <v>6.2</v>
      </c>
      <c r="Q72" s="669">
        <v>13.1</v>
      </c>
      <c r="R72" s="669">
        <v>27.9</v>
      </c>
    </row>
    <row r="73">
      <c r="A73" s="1" t="s">
        <v>9</v>
      </c>
      <c r="B73" s="1" t="s">
        <v>1192</v>
      </c>
      <c r="C73" s="1" t="s">
        <v>19</v>
      </c>
      <c r="D73" s="1">
        <v>1.0</v>
      </c>
      <c r="E73" s="1">
        <v>6.0</v>
      </c>
      <c r="F73" s="1">
        <v>12330.0</v>
      </c>
      <c r="G73" s="1">
        <v>885.0</v>
      </c>
      <c r="H73" s="669">
        <v>0.4</v>
      </c>
      <c r="I73" s="669">
        <v>0.5</v>
      </c>
      <c r="J73" s="669">
        <v>0.0</v>
      </c>
      <c r="K73" s="1"/>
      <c r="L73" s="1"/>
      <c r="M73" s="1"/>
      <c r="N73" s="1">
        <v>24.0</v>
      </c>
      <c r="O73" s="1"/>
      <c r="P73" s="669">
        <v>8.4</v>
      </c>
      <c r="Q73" s="669">
        <v>17.9</v>
      </c>
      <c r="R73" s="669">
        <v>34.5</v>
      </c>
    </row>
    <row r="74">
      <c r="A74" s="1" t="s">
        <v>9</v>
      </c>
      <c r="B74" s="1" t="s">
        <v>180</v>
      </c>
      <c r="C74" s="1" t="s">
        <v>21</v>
      </c>
      <c r="D74" s="1">
        <v>2.0</v>
      </c>
      <c r="E74" s="1">
        <v>6.0</v>
      </c>
      <c r="F74" s="1">
        <v>64527.0</v>
      </c>
      <c r="G74" s="1">
        <v>4125.0</v>
      </c>
      <c r="H74" s="669">
        <v>0.4</v>
      </c>
      <c r="I74" s="669">
        <v>0.5</v>
      </c>
      <c r="J74" s="669">
        <v>0.0</v>
      </c>
      <c r="K74" s="1"/>
      <c r="L74" s="1"/>
      <c r="M74" s="1"/>
      <c r="N74" s="1">
        <v>47.4</v>
      </c>
      <c r="O74" s="1"/>
      <c r="P74" s="669">
        <v>17.7</v>
      </c>
      <c r="Q74" s="669">
        <v>38.3</v>
      </c>
      <c r="R74" s="669">
        <v>67.9</v>
      </c>
    </row>
    <row r="75">
      <c r="A75" s="1" t="s">
        <v>9</v>
      </c>
      <c r="B75" s="1" t="s">
        <v>1192</v>
      </c>
      <c r="C75" s="1" t="s">
        <v>21</v>
      </c>
      <c r="D75" s="1">
        <v>2.0</v>
      </c>
      <c r="E75" s="1">
        <v>6.0</v>
      </c>
      <c r="F75" s="1">
        <v>7881.0</v>
      </c>
      <c r="G75" s="1">
        <v>635.0</v>
      </c>
      <c r="H75" s="669">
        <v>0.5</v>
      </c>
      <c r="I75" s="669">
        <v>0.5</v>
      </c>
      <c r="J75" s="669">
        <v>0.0</v>
      </c>
      <c r="K75" s="1"/>
      <c r="L75" s="1"/>
      <c r="M75" s="1"/>
      <c r="N75" s="1">
        <v>60.4</v>
      </c>
      <c r="O75" s="1"/>
      <c r="P75" s="669">
        <v>26.9</v>
      </c>
      <c r="Q75" s="669">
        <v>53.5</v>
      </c>
      <c r="R75" s="669">
        <v>83.8</v>
      </c>
    </row>
    <row r="76">
      <c r="A76" s="1" t="s">
        <v>9</v>
      </c>
      <c r="B76" s="1" t="s">
        <v>180</v>
      </c>
      <c r="C76" s="1" t="s">
        <v>22</v>
      </c>
      <c r="D76" s="1">
        <v>3.0</v>
      </c>
      <c r="E76" s="1">
        <v>6.0</v>
      </c>
      <c r="F76" s="1">
        <v>50845.0</v>
      </c>
      <c r="G76" s="1">
        <v>3965.0</v>
      </c>
      <c r="H76" s="669">
        <v>0.5</v>
      </c>
      <c r="I76" s="669">
        <v>0.5</v>
      </c>
      <c r="J76" s="669">
        <v>0.0</v>
      </c>
      <c r="K76" s="1"/>
      <c r="L76" s="1"/>
      <c r="M76" s="1"/>
      <c r="N76" s="1">
        <v>84.2</v>
      </c>
      <c r="O76" s="1"/>
      <c r="P76" s="669">
        <v>32.1</v>
      </c>
      <c r="Q76" s="669">
        <v>74.0</v>
      </c>
      <c r="R76" s="669">
        <v>132.8</v>
      </c>
    </row>
    <row r="77">
      <c r="A77" s="1" t="s">
        <v>9</v>
      </c>
      <c r="B77" s="1" t="s">
        <v>1192</v>
      </c>
      <c r="C77" s="1" t="s">
        <v>22</v>
      </c>
      <c r="D77" s="1">
        <v>3.0</v>
      </c>
      <c r="E77" s="1">
        <v>6.0</v>
      </c>
      <c r="F77" s="1">
        <v>5997.0</v>
      </c>
      <c r="G77" s="1">
        <v>481.0</v>
      </c>
      <c r="H77" s="669">
        <v>0.5</v>
      </c>
      <c r="I77" s="669">
        <v>0.5</v>
      </c>
      <c r="J77" s="669">
        <v>0.0</v>
      </c>
      <c r="K77" s="1"/>
      <c r="L77" s="1"/>
      <c r="M77" s="1"/>
      <c r="N77" s="1">
        <v>104.9</v>
      </c>
      <c r="O77" s="1"/>
      <c r="P77" s="669">
        <v>53.7</v>
      </c>
      <c r="Q77" s="669">
        <v>106.1</v>
      </c>
      <c r="R77" s="669">
        <v>147.5</v>
      </c>
    </row>
    <row r="78">
      <c r="A78" s="1" t="s">
        <v>9</v>
      </c>
      <c r="B78" s="1" t="s">
        <v>180</v>
      </c>
      <c r="C78" s="1" t="s">
        <v>24</v>
      </c>
      <c r="D78" s="1">
        <v>4.0</v>
      </c>
      <c r="E78" s="1">
        <v>6.0</v>
      </c>
      <c r="F78" s="1">
        <v>27837.0</v>
      </c>
      <c r="G78" s="1">
        <v>2199.0</v>
      </c>
      <c r="H78" s="669">
        <v>0.5</v>
      </c>
      <c r="I78" s="669">
        <v>0.5</v>
      </c>
      <c r="J78" s="669">
        <v>0.0</v>
      </c>
      <c r="K78" s="1"/>
      <c r="L78" s="1"/>
      <c r="M78" s="1"/>
      <c r="N78" s="1">
        <v>134.3</v>
      </c>
      <c r="O78" s="1"/>
      <c r="P78" s="669">
        <v>75.9</v>
      </c>
      <c r="Q78" s="669">
        <v>145.8</v>
      </c>
      <c r="R78" s="669">
        <v>164.7</v>
      </c>
    </row>
    <row r="79">
      <c r="A79" s="1" t="s">
        <v>9</v>
      </c>
      <c r="B79" s="1" t="s">
        <v>1192</v>
      </c>
      <c r="C79" s="1" t="s">
        <v>24</v>
      </c>
      <c r="D79" s="1">
        <v>4.0</v>
      </c>
      <c r="E79" s="1">
        <v>6.0</v>
      </c>
      <c r="F79" s="1">
        <v>4029.0</v>
      </c>
      <c r="G79" s="1">
        <v>326.0</v>
      </c>
      <c r="H79" s="669">
        <v>0.5</v>
      </c>
      <c r="I79" s="669">
        <v>0.5</v>
      </c>
      <c r="J79" s="669">
        <v>0.0</v>
      </c>
      <c r="K79" s="1"/>
      <c r="L79" s="1"/>
      <c r="M79" s="1"/>
      <c r="N79" s="1">
        <v>145.2</v>
      </c>
      <c r="O79" s="1"/>
      <c r="P79" s="669">
        <v>113.1</v>
      </c>
      <c r="Q79" s="669">
        <v>150.8</v>
      </c>
      <c r="R79" s="669">
        <v>164.9</v>
      </c>
    </row>
    <row r="80">
      <c r="A80" s="1" t="s">
        <v>9</v>
      </c>
      <c r="B80" s="1" t="s">
        <v>180</v>
      </c>
      <c r="C80" s="1" t="s">
        <v>26</v>
      </c>
      <c r="D80" s="1">
        <v>5.0</v>
      </c>
      <c r="E80" s="1">
        <v>6.0</v>
      </c>
      <c r="F80" s="1">
        <v>3793.0</v>
      </c>
      <c r="G80" s="1">
        <v>278.0</v>
      </c>
      <c r="H80" s="669">
        <v>0.4</v>
      </c>
      <c r="I80" s="669">
        <v>0.4</v>
      </c>
      <c r="J80" s="669">
        <v>0.0</v>
      </c>
      <c r="K80" s="1"/>
      <c r="L80" s="1"/>
      <c r="M80" s="1"/>
      <c r="N80" s="1">
        <v>189.3</v>
      </c>
      <c r="O80" s="1"/>
      <c r="P80" s="669">
        <v>146.5</v>
      </c>
      <c r="Q80" s="669">
        <v>161.9</v>
      </c>
      <c r="R80" s="669">
        <v>195.4</v>
      </c>
    </row>
    <row r="81">
      <c r="A81" s="1" t="s">
        <v>9</v>
      </c>
      <c r="B81" s="1" t="s">
        <v>1192</v>
      </c>
      <c r="C81" s="1" t="s">
        <v>26</v>
      </c>
      <c r="D81" s="1">
        <v>5.0</v>
      </c>
      <c r="E81" s="1">
        <v>6.0</v>
      </c>
      <c r="F81" s="1">
        <v>710.0</v>
      </c>
      <c r="G81" s="1">
        <v>49.0</v>
      </c>
      <c r="H81" s="669">
        <v>0.4</v>
      </c>
      <c r="I81" s="669">
        <v>0.4</v>
      </c>
      <c r="J81" s="669">
        <v>0.0</v>
      </c>
      <c r="K81" s="1"/>
      <c r="L81" s="1"/>
      <c r="M81" s="1"/>
      <c r="N81" s="1">
        <v>183.9</v>
      </c>
      <c r="O81" s="1"/>
      <c r="P81" s="669">
        <v>148.4</v>
      </c>
      <c r="Q81" s="669">
        <v>160.0</v>
      </c>
      <c r="R81" s="669">
        <v>181.3</v>
      </c>
    </row>
    <row r="82">
      <c r="A82" s="1" t="s">
        <v>401</v>
      </c>
      <c r="B82" s="1" t="s">
        <v>180</v>
      </c>
      <c r="C82" s="1" t="s">
        <v>19</v>
      </c>
      <c r="D82" s="1">
        <v>1.0</v>
      </c>
      <c r="E82" s="1">
        <v>2.0</v>
      </c>
      <c r="F82" s="1">
        <v>32663.0</v>
      </c>
      <c r="G82" s="1">
        <v>3425.0</v>
      </c>
      <c r="H82" s="669">
        <v>0.2</v>
      </c>
      <c r="I82" s="669">
        <v>0.4</v>
      </c>
      <c r="J82" s="669">
        <v>0.5</v>
      </c>
      <c r="K82" s="1"/>
      <c r="L82" s="1"/>
      <c r="M82" s="1"/>
      <c r="N82" s="1">
        <v>97.0</v>
      </c>
      <c r="O82" s="1"/>
      <c r="P82" s="669">
        <v>26.1</v>
      </c>
      <c r="Q82" s="669">
        <v>61.2</v>
      </c>
      <c r="R82" s="669">
        <v>115.6</v>
      </c>
    </row>
    <row r="83">
      <c r="A83" s="1" t="s">
        <v>401</v>
      </c>
      <c r="B83" s="1" t="s">
        <v>1192</v>
      </c>
      <c r="C83" s="1" t="s">
        <v>19</v>
      </c>
      <c r="D83" s="1">
        <v>1.0</v>
      </c>
      <c r="E83" s="1">
        <v>2.0</v>
      </c>
      <c r="F83" s="1">
        <v>4153.0</v>
      </c>
      <c r="G83" s="1">
        <v>803.0</v>
      </c>
      <c r="H83" s="669">
        <v>0.4</v>
      </c>
      <c r="I83" s="669">
        <v>0.5</v>
      </c>
      <c r="J83" s="669">
        <v>0.7</v>
      </c>
      <c r="K83" s="1"/>
      <c r="L83" s="1"/>
      <c r="M83" s="1"/>
      <c r="N83" s="1">
        <v>114.5</v>
      </c>
      <c r="O83" s="1"/>
      <c r="P83" s="669">
        <v>34.0</v>
      </c>
      <c r="Q83" s="669">
        <v>68.5</v>
      </c>
      <c r="R83" s="669">
        <v>132.4</v>
      </c>
    </row>
    <row r="84">
      <c r="A84" s="1" t="s">
        <v>401</v>
      </c>
      <c r="B84" s="1" t="s">
        <v>180</v>
      </c>
      <c r="C84" s="1" t="s">
        <v>21</v>
      </c>
      <c r="D84" s="1">
        <v>2.0</v>
      </c>
      <c r="E84" s="1">
        <v>2.0</v>
      </c>
      <c r="F84" s="1">
        <v>21382.0</v>
      </c>
      <c r="G84" s="1">
        <v>3613.0</v>
      </c>
      <c r="H84" s="669">
        <v>0.3</v>
      </c>
      <c r="I84" s="669">
        <v>0.4</v>
      </c>
      <c r="J84" s="669">
        <v>0.7</v>
      </c>
      <c r="K84" s="1"/>
      <c r="L84" s="1"/>
      <c r="M84" s="1"/>
      <c r="N84" s="1">
        <v>237.3</v>
      </c>
      <c r="O84" s="1"/>
      <c r="P84" s="669">
        <v>85.6</v>
      </c>
      <c r="Q84" s="669">
        <v>181.5</v>
      </c>
      <c r="R84" s="669">
        <v>321.5</v>
      </c>
    </row>
    <row r="85">
      <c r="A85" s="1" t="s">
        <v>401</v>
      </c>
      <c r="B85" s="1" t="s">
        <v>1192</v>
      </c>
      <c r="C85" s="1" t="s">
        <v>21</v>
      </c>
      <c r="D85" s="1">
        <v>2.0</v>
      </c>
      <c r="E85" s="1">
        <v>2.0</v>
      </c>
      <c r="F85" s="1">
        <v>2663.0</v>
      </c>
      <c r="G85" s="1">
        <v>595.0</v>
      </c>
      <c r="H85" s="669">
        <v>0.4</v>
      </c>
      <c r="I85" s="669">
        <v>0.5</v>
      </c>
      <c r="J85" s="669">
        <v>0.8</v>
      </c>
      <c r="K85" s="1"/>
      <c r="L85" s="1"/>
      <c r="M85" s="1"/>
      <c r="N85" s="1">
        <v>281.2</v>
      </c>
      <c r="O85" s="1"/>
      <c r="P85" s="669">
        <v>115.0</v>
      </c>
      <c r="Q85" s="669">
        <v>219.0</v>
      </c>
      <c r="R85" s="669">
        <v>368.8</v>
      </c>
    </row>
    <row r="86">
      <c r="A86" s="1" t="s">
        <v>401</v>
      </c>
      <c r="B86" s="1" t="s">
        <v>180</v>
      </c>
      <c r="C86" s="1" t="s">
        <v>22</v>
      </c>
      <c r="D86" s="1">
        <v>3.0</v>
      </c>
      <c r="E86" s="1">
        <v>2.0</v>
      </c>
      <c r="F86" s="1">
        <v>16916.0</v>
      </c>
      <c r="G86" s="1">
        <v>3534.0</v>
      </c>
      <c r="H86" s="669">
        <v>0.4</v>
      </c>
      <c r="I86" s="669">
        <v>0.4</v>
      </c>
      <c r="J86" s="669">
        <v>0.7</v>
      </c>
      <c r="K86" s="1"/>
      <c r="L86" s="1"/>
      <c r="M86" s="1"/>
      <c r="N86" s="1">
        <v>434.7</v>
      </c>
      <c r="O86" s="1"/>
      <c r="P86" s="669">
        <v>167.3</v>
      </c>
      <c r="Q86" s="669">
        <v>356.1</v>
      </c>
      <c r="R86" s="669">
        <v>586.0</v>
      </c>
    </row>
    <row r="87">
      <c r="A87" s="1" t="s">
        <v>401</v>
      </c>
      <c r="B87" s="1" t="s">
        <v>1192</v>
      </c>
      <c r="C87" s="1" t="s">
        <v>22</v>
      </c>
      <c r="D87" s="1">
        <v>3.0</v>
      </c>
      <c r="E87" s="1">
        <v>2.0</v>
      </c>
      <c r="F87" s="1">
        <v>2048.0</v>
      </c>
      <c r="G87" s="1">
        <v>450.0</v>
      </c>
      <c r="H87" s="669">
        <v>0.4</v>
      </c>
      <c r="I87" s="669">
        <v>0.5</v>
      </c>
      <c r="J87" s="669">
        <v>0.9</v>
      </c>
      <c r="K87" s="1"/>
      <c r="L87" s="1"/>
      <c r="M87" s="1"/>
      <c r="N87" s="1">
        <v>521.4</v>
      </c>
      <c r="O87" s="1"/>
      <c r="P87" s="669">
        <v>247.0</v>
      </c>
      <c r="Q87" s="669">
        <v>471.1</v>
      </c>
      <c r="R87" s="669">
        <v>730.4</v>
      </c>
    </row>
    <row r="88">
      <c r="A88" s="1" t="s">
        <v>401</v>
      </c>
      <c r="B88" s="1" t="s">
        <v>180</v>
      </c>
      <c r="C88" s="1" t="s">
        <v>24</v>
      </c>
      <c r="D88" s="1">
        <v>4.0</v>
      </c>
      <c r="E88" s="1">
        <v>2.0</v>
      </c>
      <c r="F88" s="1">
        <v>9435.0</v>
      </c>
      <c r="G88" s="1">
        <v>2079.0</v>
      </c>
      <c r="H88" s="669">
        <v>0.4</v>
      </c>
      <c r="I88" s="669">
        <v>0.5</v>
      </c>
      <c r="J88" s="669">
        <v>0.8</v>
      </c>
      <c r="K88" s="1"/>
      <c r="L88" s="1"/>
      <c r="M88" s="1"/>
      <c r="N88" s="1">
        <v>807.1</v>
      </c>
      <c r="O88" s="1"/>
      <c r="P88" s="669">
        <v>401.5</v>
      </c>
      <c r="Q88" s="669">
        <v>729.8</v>
      </c>
      <c r="R88" s="669">
        <v>1173.9</v>
      </c>
    </row>
    <row r="89">
      <c r="A89" s="1" t="s">
        <v>401</v>
      </c>
      <c r="B89" s="1" t="s">
        <v>1192</v>
      </c>
      <c r="C89" s="1" t="s">
        <v>24</v>
      </c>
      <c r="D89" s="1">
        <v>4.0</v>
      </c>
      <c r="E89" s="1">
        <v>2.0</v>
      </c>
      <c r="F89" s="1">
        <v>1341.0</v>
      </c>
      <c r="G89" s="1">
        <v>306.0</v>
      </c>
      <c r="H89" s="669">
        <v>0.5</v>
      </c>
      <c r="I89" s="669">
        <v>0.5</v>
      </c>
      <c r="J89" s="669">
        <v>0.8</v>
      </c>
      <c r="K89" s="1"/>
      <c r="L89" s="1"/>
      <c r="M89" s="1"/>
      <c r="N89" s="1">
        <v>932.7</v>
      </c>
      <c r="O89" s="1"/>
      <c r="P89" s="669">
        <v>493.9</v>
      </c>
      <c r="Q89" s="669">
        <v>915.5</v>
      </c>
      <c r="R89" s="669">
        <v>1308.3</v>
      </c>
    </row>
    <row r="90">
      <c r="A90" s="1" t="s">
        <v>401</v>
      </c>
      <c r="B90" s="1" t="s">
        <v>180</v>
      </c>
      <c r="C90" s="1" t="s">
        <v>26</v>
      </c>
      <c r="D90" s="1">
        <v>5.0</v>
      </c>
      <c r="E90" s="1">
        <v>2.0</v>
      </c>
      <c r="F90" s="1">
        <v>1352.0</v>
      </c>
      <c r="G90" s="1">
        <v>308.0</v>
      </c>
      <c r="H90" s="669">
        <v>0.5</v>
      </c>
      <c r="I90" s="669">
        <v>0.5</v>
      </c>
      <c r="J90" s="669">
        <v>0.5</v>
      </c>
      <c r="K90" s="1"/>
      <c r="L90" s="1"/>
      <c r="M90" s="1"/>
      <c r="N90" s="1">
        <v>1164.2</v>
      </c>
      <c r="O90" s="1"/>
      <c r="P90" s="669">
        <v>809.3</v>
      </c>
      <c r="Q90" s="669">
        <v>1075.2</v>
      </c>
      <c r="R90" s="669">
        <v>1628.0</v>
      </c>
    </row>
    <row r="91">
      <c r="A91" s="1" t="s">
        <v>401</v>
      </c>
      <c r="B91" s="1" t="s">
        <v>1192</v>
      </c>
      <c r="C91" s="1" t="s">
        <v>26</v>
      </c>
      <c r="D91" s="1">
        <v>5.0</v>
      </c>
      <c r="E91" s="1">
        <v>2.0</v>
      </c>
      <c r="F91" s="1">
        <v>248.0</v>
      </c>
      <c r="G91" s="1">
        <v>59.0</v>
      </c>
      <c r="H91" s="669">
        <v>0.5</v>
      </c>
      <c r="I91" s="669">
        <v>0.5</v>
      </c>
      <c r="J91" s="669">
        <v>0.4</v>
      </c>
      <c r="K91" s="1"/>
      <c r="L91" s="1"/>
      <c r="M91" s="1"/>
      <c r="N91" s="1">
        <v>1191.8</v>
      </c>
      <c r="O91" s="1"/>
      <c r="P91" s="669">
        <v>781.0</v>
      </c>
      <c r="Q91" s="669">
        <v>1207.9</v>
      </c>
      <c r="R91" s="669">
        <v>1600.0</v>
      </c>
    </row>
    <row r="92">
      <c r="A92" s="1" t="s">
        <v>7</v>
      </c>
      <c r="B92" s="1" t="s">
        <v>180</v>
      </c>
      <c r="C92" s="1" t="s">
        <v>19</v>
      </c>
      <c r="D92" s="1">
        <v>1.0</v>
      </c>
      <c r="E92" s="1">
        <v>31.0</v>
      </c>
      <c r="F92" s="1">
        <v>716738.0</v>
      </c>
      <c r="G92" s="1">
        <v>122.0</v>
      </c>
      <c r="H92" s="669">
        <v>0.0</v>
      </c>
      <c r="I92" s="669">
        <v>0.0</v>
      </c>
      <c r="J92" s="669">
        <v>0.0</v>
      </c>
      <c r="K92" s="1">
        <v>21.0</v>
      </c>
      <c r="L92" s="1">
        <v>36.0</v>
      </c>
      <c r="M92" s="1">
        <v>48.0</v>
      </c>
      <c r="N92" s="1">
        <v>5027.3</v>
      </c>
      <c r="O92" s="1">
        <v>0.0</v>
      </c>
      <c r="P92" s="669">
        <v>10.5</v>
      </c>
      <c r="Q92" s="669">
        <v>208.5</v>
      </c>
      <c r="R92" s="669">
        <v>2386.2</v>
      </c>
    </row>
    <row r="93">
      <c r="A93" s="1" t="s">
        <v>7</v>
      </c>
      <c r="B93" s="1" t="s">
        <v>1192</v>
      </c>
      <c r="C93" s="1" t="s">
        <v>19</v>
      </c>
      <c r="D93" s="1">
        <v>1.0</v>
      </c>
      <c r="E93" s="1">
        <v>31.0</v>
      </c>
      <c r="F93" s="1">
        <v>73712.0</v>
      </c>
      <c r="G93" s="1">
        <v>35.0</v>
      </c>
      <c r="H93" s="669">
        <v>0.0</v>
      </c>
      <c r="I93" s="669">
        <v>0.1</v>
      </c>
      <c r="J93" s="669">
        <v>0.0</v>
      </c>
      <c r="K93" s="1">
        <v>23.0</v>
      </c>
      <c r="L93" s="1">
        <v>39.0</v>
      </c>
      <c r="M93" s="1">
        <v>49.0</v>
      </c>
      <c r="N93" s="1">
        <v>5702.0</v>
      </c>
      <c r="O93" s="1">
        <v>0.0</v>
      </c>
      <c r="P93" s="669">
        <v>93.4</v>
      </c>
      <c r="Q93" s="669">
        <v>371.2</v>
      </c>
      <c r="R93" s="669">
        <v>4031.2</v>
      </c>
    </row>
    <row r="94">
      <c r="A94" s="1" t="s">
        <v>7</v>
      </c>
      <c r="B94" s="1" t="s">
        <v>180</v>
      </c>
      <c r="C94" s="1" t="s">
        <v>21</v>
      </c>
      <c r="D94" s="1">
        <v>2.0</v>
      </c>
      <c r="E94" s="1">
        <v>31.0</v>
      </c>
      <c r="F94" s="1">
        <v>430841.0</v>
      </c>
      <c r="G94" s="1">
        <v>179.0</v>
      </c>
      <c r="H94" s="669">
        <v>0.0</v>
      </c>
      <c r="I94" s="669">
        <v>0.0</v>
      </c>
      <c r="J94" s="669">
        <v>0.0</v>
      </c>
      <c r="K94" s="1">
        <v>16.0</v>
      </c>
      <c r="L94" s="1">
        <v>29.0</v>
      </c>
      <c r="M94" s="1">
        <v>41.0</v>
      </c>
      <c r="N94" s="1">
        <v>11555.5</v>
      </c>
      <c r="O94" s="1">
        <v>0.0</v>
      </c>
      <c r="P94" s="669">
        <v>201.1</v>
      </c>
      <c r="Q94" s="669">
        <v>3034.6</v>
      </c>
      <c r="R94" s="669">
        <v>13167.2</v>
      </c>
    </row>
    <row r="95">
      <c r="A95" s="1" t="s">
        <v>7</v>
      </c>
      <c r="B95" s="1" t="s">
        <v>1192</v>
      </c>
      <c r="C95" s="1" t="s">
        <v>21</v>
      </c>
      <c r="D95" s="1">
        <v>2.0</v>
      </c>
      <c r="E95" s="1">
        <v>31.0</v>
      </c>
      <c r="F95" s="1">
        <v>45639.0</v>
      </c>
      <c r="G95" s="1">
        <v>41.0</v>
      </c>
      <c r="H95" s="669">
        <v>0.0</v>
      </c>
      <c r="I95" s="669">
        <v>0.1</v>
      </c>
      <c r="J95" s="669">
        <v>0.0</v>
      </c>
      <c r="K95" s="1">
        <v>18.0</v>
      </c>
      <c r="L95" s="1">
        <v>28.0</v>
      </c>
      <c r="M95" s="1">
        <v>41.0</v>
      </c>
      <c r="N95" s="1">
        <v>15532.2</v>
      </c>
      <c r="O95" s="1">
        <v>0.0</v>
      </c>
      <c r="P95" s="669">
        <v>637.3</v>
      </c>
      <c r="Q95" s="669">
        <v>5362.8</v>
      </c>
      <c r="R95" s="669">
        <v>18071.9</v>
      </c>
    </row>
    <row r="96">
      <c r="A96" s="1" t="s">
        <v>7</v>
      </c>
      <c r="B96" s="1" t="s">
        <v>180</v>
      </c>
      <c r="C96" s="1" t="s">
        <v>22</v>
      </c>
      <c r="D96" s="1">
        <v>3.0</v>
      </c>
      <c r="E96" s="1">
        <v>31.0</v>
      </c>
      <c r="F96" s="1">
        <v>336898.0</v>
      </c>
      <c r="G96" s="1">
        <v>202.0</v>
      </c>
      <c r="H96" s="669">
        <v>0.0</v>
      </c>
      <c r="I96" s="669">
        <v>0.0</v>
      </c>
      <c r="J96" s="669">
        <v>0.0</v>
      </c>
      <c r="K96" s="1">
        <v>12.0</v>
      </c>
      <c r="L96" s="1">
        <v>21.0</v>
      </c>
      <c r="M96" s="1">
        <v>36.0</v>
      </c>
      <c r="N96" s="1">
        <v>23071.1</v>
      </c>
      <c r="O96" s="1">
        <v>0.0</v>
      </c>
      <c r="P96" s="669">
        <v>1092.2</v>
      </c>
      <c r="Q96" s="669">
        <v>8799.3</v>
      </c>
      <c r="R96" s="669">
        <v>28025.5</v>
      </c>
    </row>
    <row r="97">
      <c r="A97" s="1" t="s">
        <v>7</v>
      </c>
      <c r="B97" s="1" t="s">
        <v>1192</v>
      </c>
      <c r="C97" s="1" t="s">
        <v>22</v>
      </c>
      <c r="D97" s="1">
        <v>3.0</v>
      </c>
      <c r="E97" s="1">
        <v>31.0</v>
      </c>
      <c r="F97" s="1">
        <v>36020.0</v>
      </c>
      <c r="G97" s="1">
        <v>38.0</v>
      </c>
      <c r="H97" s="669">
        <v>0.0</v>
      </c>
      <c r="I97" s="669">
        <v>0.1</v>
      </c>
      <c r="J97" s="669">
        <v>0.0</v>
      </c>
      <c r="K97" s="1">
        <v>10.0</v>
      </c>
      <c r="L97" s="1">
        <v>19.0</v>
      </c>
      <c r="M97" s="1">
        <v>33.0</v>
      </c>
      <c r="N97" s="1">
        <v>33358.1</v>
      </c>
      <c r="O97" s="1">
        <v>0.0</v>
      </c>
      <c r="P97" s="669">
        <v>4439.7</v>
      </c>
      <c r="Q97" s="669">
        <v>18405.9</v>
      </c>
      <c r="R97" s="669">
        <v>44231.1</v>
      </c>
    </row>
    <row r="98">
      <c r="A98" s="1" t="s">
        <v>7</v>
      </c>
      <c r="B98" s="1" t="s">
        <v>180</v>
      </c>
      <c r="C98" s="1" t="s">
        <v>24</v>
      </c>
      <c r="D98" s="1">
        <v>4.0</v>
      </c>
      <c r="E98" s="1">
        <v>31.0</v>
      </c>
      <c r="F98" s="1">
        <v>184055.0</v>
      </c>
      <c r="G98" s="1">
        <v>155.0</v>
      </c>
      <c r="H98" s="669">
        <v>0.0</v>
      </c>
      <c r="I98" s="669">
        <v>0.0</v>
      </c>
      <c r="J98" s="669">
        <v>0.0</v>
      </c>
      <c r="K98" s="1">
        <v>6.0</v>
      </c>
      <c r="L98" s="1">
        <v>14.0</v>
      </c>
      <c r="M98" s="1">
        <v>30.0</v>
      </c>
      <c r="N98" s="1">
        <v>51769.3</v>
      </c>
      <c r="O98" s="1">
        <v>0.0</v>
      </c>
      <c r="P98" s="669">
        <v>2916.4</v>
      </c>
      <c r="Q98" s="669">
        <v>19780.6</v>
      </c>
      <c r="R98" s="669">
        <v>68478.6</v>
      </c>
    </row>
    <row r="99">
      <c r="A99" s="1" t="s">
        <v>7</v>
      </c>
      <c r="B99" s="1" t="s">
        <v>1192</v>
      </c>
      <c r="C99" s="1" t="s">
        <v>24</v>
      </c>
      <c r="D99" s="1">
        <v>4.0</v>
      </c>
      <c r="E99" s="1">
        <v>31.0</v>
      </c>
      <c r="F99" s="1">
        <v>24330.0</v>
      </c>
      <c r="G99" s="1">
        <v>30.0</v>
      </c>
      <c r="H99" s="669">
        <v>0.0</v>
      </c>
      <c r="I99" s="669">
        <v>0.1</v>
      </c>
      <c r="J99" s="669">
        <v>0.0</v>
      </c>
      <c r="K99" s="1">
        <v>5.0</v>
      </c>
      <c r="L99" s="1">
        <v>11.0</v>
      </c>
      <c r="M99" s="1">
        <v>22.0</v>
      </c>
      <c r="N99" s="1">
        <v>73712.2</v>
      </c>
      <c r="O99" s="1">
        <v>0.0</v>
      </c>
      <c r="P99" s="669">
        <v>12870.1</v>
      </c>
      <c r="Q99" s="669">
        <v>42843.2</v>
      </c>
      <c r="R99" s="669">
        <v>104424.0</v>
      </c>
    </row>
    <row r="100">
      <c r="A100" s="1" t="s">
        <v>7</v>
      </c>
      <c r="B100" s="1" t="s">
        <v>180</v>
      </c>
      <c r="C100" s="1" t="s">
        <v>26</v>
      </c>
      <c r="D100" s="1">
        <v>5.0</v>
      </c>
      <c r="E100" s="1">
        <v>31.0</v>
      </c>
      <c r="F100" s="1">
        <v>24550.0</v>
      </c>
      <c r="G100" s="1">
        <v>26.0</v>
      </c>
      <c r="H100" s="669">
        <v>0.0</v>
      </c>
      <c r="I100" s="669">
        <v>0.0</v>
      </c>
      <c r="J100" s="669">
        <v>0.0</v>
      </c>
      <c r="K100" s="1">
        <v>2.0</v>
      </c>
      <c r="L100" s="1">
        <v>5.0</v>
      </c>
      <c r="M100" s="1">
        <v>17.0</v>
      </c>
      <c r="N100" s="1">
        <v>109150.5</v>
      </c>
      <c r="O100" s="1">
        <v>0.0</v>
      </c>
      <c r="P100" s="669">
        <v>11758.4</v>
      </c>
      <c r="Q100" s="669">
        <v>51744.2</v>
      </c>
      <c r="R100" s="669">
        <v>160965.1</v>
      </c>
    </row>
    <row r="101">
      <c r="A101" s="1" t="s">
        <v>7</v>
      </c>
      <c r="B101" s="1" t="s">
        <v>1192</v>
      </c>
      <c r="C101" s="1" t="s">
        <v>26</v>
      </c>
      <c r="D101" s="1">
        <v>5.0</v>
      </c>
      <c r="E101" s="1">
        <v>31.0</v>
      </c>
      <c r="F101" s="1">
        <v>4361.0</v>
      </c>
      <c r="G101" s="1">
        <v>7.0</v>
      </c>
      <c r="H101" s="669">
        <v>0.0</v>
      </c>
      <c r="I101" s="669">
        <v>0.1</v>
      </c>
      <c r="J101" s="669">
        <v>0.0</v>
      </c>
      <c r="K101" s="1">
        <v>2.0</v>
      </c>
      <c r="L101" s="1">
        <v>4.0</v>
      </c>
      <c r="M101" s="1">
        <v>12.0</v>
      </c>
      <c r="N101" s="1">
        <v>111585.4</v>
      </c>
      <c r="O101" s="1">
        <v>0.0</v>
      </c>
      <c r="P101" s="669">
        <v>24370.4</v>
      </c>
      <c r="Q101" s="669">
        <v>73119.9</v>
      </c>
      <c r="R101" s="669">
        <v>169570.0</v>
      </c>
    </row>
    <row r="102">
      <c r="A102" s="1" t="s">
        <v>20</v>
      </c>
      <c r="B102" s="1" t="s">
        <v>180</v>
      </c>
      <c r="C102" s="1" t="s">
        <v>19</v>
      </c>
      <c r="D102" s="1">
        <v>1.0</v>
      </c>
      <c r="E102" s="1">
        <v>2.0</v>
      </c>
      <c r="F102" s="1">
        <v>19232.0</v>
      </c>
      <c r="G102" s="1">
        <v>4.0</v>
      </c>
      <c r="H102" s="669">
        <v>0.0</v>
      </c>
      <c r="I102" s="669">
        <v>0.0</v>
      </c>
      <c r="J102" s="669">
        <v>0.0</v>
      </c>
      <c r="K102" s="1">
        <v>9.0</v>
      </c>
      <c r="L102" s="1">
        <v>14.0</v>
      </c>
      <c r="M102" s="1">
        <v>14.0</v>
      </c>
      <c r="N102" s="1">
        <v>11.1</v>
      </c>
      <c r="O102" s="1">
        <v>0.0</v>
      </c>
      <c r="P102" s="669">
        <v>3.0</v>
      </c>
      <c r="Q102" s="669">
        <v>5.0</v>
      </c>
      <c r="R102" s="669">
        <v>9.0</v>
      </c>
    </row>
    <row r="103">
      <c r="A103" s="1" t="s">
        <v>20</v>
      </c>
      <c r="B103" s="1" t="s">
        <v>1192</v>
      </c>
      <c r="C103" s="1" t="s">
        <v>19</v>
      </c>
      <c r="D103" s="1">
        <v>1.0</v>
      </c>
      <c r="E103" s="1">
        <v>2.0</v>
      </c>
      <c r="F103" s="1">
        <v>3194.0</v>
      </c>
      <c r="G103" s="1">
        <v>5.0</v>
      </c>
      <c r="H103" s="669">
        <v>0.0</v>
      </c>
      <c r="I103" s="669">
        <v>0.0</v>
      </c>
      <c r="J103" s="669">
        <v>0.0</v>
      </c>
      <c r="K103" s="1">
        <v>9.0</v>
      </c>
      <c r="L103" s="1">
        <v>11.0</v>
      </c>
      <c r="M103" s="1">
        <v>16.0</v>
      </c>
      <c r="N103" s="1">
        <v>8.3</v>
      </c>
      <c r="O103" s="1">
        <v>0.0</v>
      </c>
      <c r="P103" s="669">
        <v>1.0</v>
      </c>
      <c r="Q103" s="669">
        <v>5.0</v>
      </c>
      <c r="R103" s="669">
        <v>7.0</v>
      </c>
    </row>
    <row r="104">
      <c r="A104" s="1" t="s">
        <v>20</v>
      </c>
      <c r="B104" s="1" t="s">
        <v>180</v>
      </c>
      <c r="C104" s="1" t="s">
        <v>21</v>
      </c>
      <c r="D104" s="1">
        <v>2.0</v>
      </c>
      <c r="E104" s="1">
        <v>2.0</v>
      </c>
      <c r="F104" s="1">
        <v>14681.0</v>
      </c>
      <c r="G104" s="1">
        <v>7.0</v>
      </c>
      <c r="H104" s="669">
        <v>0.0</v>
      </c>
      <c r="I104" s="669">
        <v>0.0</v>
      </c>
      <c r="J104" s="669">
        <v>0.0</v>
      </c>
      <c r="K104" s="1">
        <v>6.0</v>
      </c>
      <c r="L104" s="1">
        <v>8.0</v>
      </c>
      <c r="M104" s="1">
        <v>12.0</v>
      </c>
      <c r="N104" s="1">
        <v>9.8</v>
      </c>
      <c r="O104" s="1">
        <v>0.0</v>
      </c>
      <c r="P104" s="669">
        <v>7.0</v>
      </c>
      <c r="Q104" s="669">
        <v>10.0</v>
      </c>
      <c r="R104" s="669">
        <v>14.0</v>
      </c>
    </row>
    <row r="105">
      <c r="A105" s="1" t="s">
        <v>20</v>
      </c>
      <c r="B105" s="1" t="s">
        <v>1192</v>
      </c>
      <c r="C105" s="1" t="s">
        <v>21</v>
      </c>
      <c r="D105" s="1">
        <v>2.0</v>
      </c>
      <c r="E105" s="1">
        <v>2.0</v>
      </c>
      <c r="F105" s="1">
        <v>2155.0</v>
      </c>
      <c r="G105" s="1">
        <v>5.0</v>
      </c>
      <c r="H105" s="669">
        <v>0.0</v>
      </c>
      <c r="I105" s="669">
        <v>0.0</v>
      </c>
      <c r="J105" s="669">
        <v>0.0</v>
      </c>
      <c r="K105" s="1">
        <v>1.0</v>
      </c>
      <c r="L105" s="1">
        <v>3.0</v>
      </c>
      <c r="M105" s="1">
        <v>9.0</v>
      </c>
      <c r="N105" s="1">
        <v>11.3</v>
      </c>
      <c r="O105" s="1">
        <v>0.0</v>
      </c>
      <c r="P105" s="669">
        <v>1.0</v>
      </c>
      <c r="Q105" s="669">
        <v>3.0</v>
      </c>
      <c r="R105" s="669">
        <v>18.0</v>
      </c>
    </row>
    <row r="106">
      <c r="A106" s="1" t="s">
        <v>20</v>
      </c>
      <c r="B106" s="1" t="s">
        <v>180</v>
      </c>
      <c r="C106" s="1" t="s">
        <v>22</v>
      </c>
      <c r="D106" s="1">
        <v>3.0</v>
      </c>
      <c r="E106" s="1">
        <v>2.0</v>
      </c>
      <c r="F106" s="1">
        <v>12086.0</v>
      </c>
      <c r="G106" s="1">
        <v>4.0</v>
      </c>
      <c r="H106" s="669">
        <v>0.0</v>
      </c>
      <c r="I106" s="669">
        <v>0.0</v>
      </c>
      <c r="J106" s="669">
        <v>0.0</v>
      </c>
      <c r="K106" s="1">
        <v>2.0</v>
      </c>
      <c r="L106" s="1">
        <v>2.0</v>
      </c>
      <c r="M106" s="1">
        <v>6.0</v>
      </c>
      <c r="N106" s="1">
        <v>35.0</v>
      </c>
      <c r="O106" s="1">
        <v>0.0</v>
      </c>
      <c r="P106" s="669">
        <v>14.0</v>
      </c>
      <c r="Q106" s="669">
        <v>17.0</v>
      </c>
      <c r="R106" s="669">
        <v>84.0</v>
      </c>
    </row>
    <row r="107">
      <c r="A107" s="1" t="s">
        <v>20</v>
      </c>
      <c r="B107" s="1" t="s">
        <v>1192</v>
      </c>
      <c r="C107" s="1" t="s">
        <v>22</v>
      </c>
      <c r="D107" s="1">
        <v>3.0</v>
      </c>
      <c r="E107" s="1">
        <v>2.0</v>
      </c>
      <c r="F107" s="1">
        <v>1679.0</v>
      </c>
      <c r="G107" s="1">
        <v>1.0</v>
      </c>
      <c r="H107" s="669">
        <v>0.0</v>
      </c>
      <c r="I107" s="669">
        <v>0.0</v>
      </c>
      <c r="J107" s="669">
        <v>0.0</v>
      </c>
      <c r="K107" s="1">
        <v>6.0</v>
      </c>
      <c r="L107" s="1">
        <v>14.0</v>
      </c>
      <c r="M107" s="1">
        <v>14.0</v>
      </c>
      <c r="N107" s="1">
        <v>22.5</v>
      </c>
      <c r="O107" s="1">
        <v>0.0</v>
      </c>
      <c r="P107" s="669">
        <v>7.0</v>
      </c>
      <c r="Q107" s="669">
        <v>38.0</v>
      </c>
      <c r="R107" s="669">
        <v>38.0</v>
      </c>
    </row>
    <row r="108">
      <c r="A108" s="1" t="s">
        <v>20</v>
      </c>
      <c r="B108" s="1" t="s">
        <v>180</v>
      </c>
      <c r="C108" s="1" t="s">
        <v>24</v>
      </c>
      <c r="D108" s="1">
        <v>4.0</v>
      </c>
      <c r="E108" s="1">
        <v>2.0</v>
      </c>
      <c r="F108" s="1">
        <v>7132.0</v>
      </c>
      <c r="G108" s="1">
        <v>6.0</v>
      </c>
      <c r="H108" s="669">
        <v>0.0</v>
      </c>
      <c r="I108" s="669">
        <v>0.0</v>
      </c>
      <c r="J108" s="669">
        <v>0.0</v>
      </c>
      <c r="K108" s="1">
        <v>2.0</v>
      </c>
      <c r="L108" s="1">
        <v>3.0</v>
      </c>
      <c r="M108" s="1">
        <v>6.0</v>
      </c>
      <c r="N108" s="1">
        <v>34.7</v>
      </c>
      <c r="O108" s="1">
        <v>0.0</v>
      </c>
      <c r="P108" s="669">
        <v>14.0</v>
      </c>
      <c r="Q108" s="669">
        <v>22.0</v>
      </c>
      <c r="R108" s="669">
        <v>68.0</v>
      </c>
    </row>
    <row r="109">
      <c r="A109" s="1" t="s">
        <v>20</v>
      </c>
      <c r="B109" s="1" t="s">
        <v>1192</v>
      </c>
      <c r="C109" s="1" t="s">
        <v>24</v>
      </c>
      <c r="D109" s="1">
        <v>4.0</v>
      </c>
      <c r="E109" s="1">
        <v>2.0</v>
      </c>
      <c r="F109" s="1">
        <v>1121.0</v>
      </c>
      <c r="G109" s="1">
        <v>2.0</v>
      </c>
      <c r="H109" s="669">
        <v>0.0</v>
      </c>
      <c r="I109" s="669">
        <v>0.0</v>
      </c>
      <c r="J109" s="669">
        <v>0.0</v>
      </c>
      <c r="K109" s="1">
        <v>1.0</v>
      </c>
      <c r="L109" s="1">
        <v>1.0</v>
      </c>
      <c r="M109" s="1">
        <v>2.0</v>
      </c>
      <c r="N109" s="1">
        <v>85.7</v>
      </c>
      <c r="O109" s="1">
        <v>0.0</v>
      </c>
      <c r="P109" s="669">
        <v>48.0</v>
      </c>
      <c r="Q109" s="669">
        <v>100.0</v>
      </c>
      <c r="R109" s="669">
        <v>109.0</v>
      </c>
    </row>
    <row r="110">
      <c r="A110" s="1" t="s">
        <v>20</v>
      </c>
      <c r="B110" s="1" t="s">
        <v>180</v>
      </c>
      <c r="C110" s="1" t="s">
        <v>26</v>
      </c>
      <c r="D110" s="1">
        <v>5.0</v>
      </c>
      <c r="E110" s="1">
        <v>2.0</v>
      </c>
      <c r="F110" s="1">
        <v>1068.0</v>
      </c>
      <c r="G110" s="1">
        <v>0.0</v>
      </c>
      <c r="H110" s="669">
        <v>0.0</v>
      </c>
      <c r="I110" s="669">
        <v>0.0</v>
      </c>
      <c r="J110" s="669"/>
      <c r="K110" s="6"/>
      <c r="L110" s="6"/>
      <c r="M110" s="6"/>
      <c r="N110" s="1"/>
      <c r="O110" s="1"/>
      <c r="P110" s="669"/>
      <c r="Q110" s="669"/>
      <c r="R110" s="669"/>
    </row>
    <row r="111">
      <c r="A111" s="1" t="s">
        <v>20</v>
      </c>
      <c r="B111" s="1" t="s">
        <v>1192</v>
      </c>
      <c r="C111" s="1" t="s">
        <v>26</v>
      </c>
      <c r="D111" s="1">
        <v>5.0</v>
      </c>
      <c r="E111" s="1">
        <v>2.0</v>
      </c>
      <c r="F111" s="1">
        <v>223.0</v>
      </c>
      <c r="G111" s="1">
        <v>1.0</v>
      </c>
      <c r="H111" s="669">
        <v>0.0</v>
      </c>
      <c r="I111" s="669">
        <v>0.0</v>
      </c>
      <c r="J111" s="669">
        <v>0.0</v>
      </c>
      <c r="K111" s="1">
        <v>1.0</v>
      </c>
      <c r="L111" s="1">
        <v>1.0</v>
      </c>
      <c r="M111" s="1">
        <v>1.0</v>
      </c>
      <c r="N111" s="1">
        <v>196.0</v>
      </c>
      <c r="O111" s="1">
        <v>0.0</v>
      </c>
      <c r="P111" s="669">
        <v>196.0</v>
      </c>
      <c r="Q111" s="669">
        <v>196.0</v>
      </c>
      <c r="R111" s="669">
        <v>196.0</v>
      </c>
    </row>
    <row r="112">
      <c r="A112" s="1" t="s">
        <v>174</v>
      </c>
      <c r="B112" s="1" t="s">
        <v>180</v>
      </c>
      <c r="C112" s="1" t="s">
        <v>19</v>
      </c>
      <c r="D112" s="1">
        <v>1.0</v>
      </c>
      <c r="E112" s="1">
        <v>3.0</v>
      </c>
      <c r="F112" s="1">
        <v>54010.0</v>
      </c>
      <c r="G112" s="1">
        <v>6615.0</v>
      </c>
      <c r="H112" s="669">
        <v>0.4</v>
      </c>
      <c r="I112" s="669">
        <v>0.9</v>
      </c>
      <c r="J112" s="669">
        <v>0.7</v>
      </c>
      <c r="K112" s="1"/>
      <c r="L112" s="1"/>
      <c r="M112" s="1"/>
      <c r="N112" s="1">
        <v>1475.0</v>
      </c>
      <c r="O112" s="1"/>
      <c r="P112" s="669">
        <v>485.4</v>
      </c>
      <c r="Q112" s="669">
        <v>971.8</v>
      </c>
      <c r="R112" s="669">
        <v>1814.1</v>
      </c>
    </row>
    <row r="113">
      <c r="A113" s="1" t="s">
        <v>174</v>
      </c>
      <c r="B113" s="1" t="s">
        <v>1192</v>
      </c>
      <c r="C113" s="1" t="s">
        <v>19</v>
      </c>
      <c r="D113" s="1">
        <v>1.0</v>
      </c>
      <c r="E113" s="1">
        <v>3.0</v>
      </c>
      <c r="F113" s="1">
        <v>6408.0</v>
      </c>
      <c r="G113" s="1">
        <v>1816.0</v>
      </c>
      <c r="H113" s="669">
        <v>0.9</v>
      </c>
      <c r="I113" s="669">
        <v>0.9</v>
      </c>
      <c r="J113" s="1">
        <v>0.888</v>
      </c>
      <c r="K113" s="1"/>
      <c r="L113" s="1"/>
      <c r="M113" s="1"/>
      <c r="N113" s="1">
        <v>1662.2</v>
      </c>
      <c r="O113" s="1"/>
      <c r="P113" s="1">
        <v>536.5794504</v>
      </c>
      <c r="Q113" s="1">
        <v>1090.570373</v>
      </c>
      <c r="R113" s="1">
        <v>2180.180064</v>
      </c>
    </row>
    <row r="114">
      <c r="A114" s="1" t="s">
        <v>174</v>
      </c>
      <c r="B114" s="1" t="s">
        <v>180</v>
      </c>
      <c r="C114" s="1" t="s">
        <v>21</v>
      </c>
      <c r="D114" s="1">
        <v>2.0</v>
      </c>
      <c r="E114" s="1">
        <v>3.0</v>
      </c>
      <c r="F114" s="1">
        <v>34223.0</v>
      </c>
      <c r="G114" s="1">
        <v>7071.0</v>
      </c>
      <c r="H114" s="669">
        <v>0.6</v>
      </c>
      <c r="I114" s="669">
        <v>0.9</v>
      </c>
      <c r="J114" s="1">
        <v>0.7823</v>
      </c>
      <c r="K114" s="1"/>
      <c r="L114" s="1"/>
      <c r="M114" s="1"/>
      <c r="N114" s="1">
        <v>3077.3</v>
      </c>
      <c r="O114" s="1"/>
      <c r="P114" s="1">
        <v>847.4302064</v>
      </c>
      <c r="Q114" s="1">
        <v>1949.514384</v>
      </c>
      <c r="R114" s="1">
        <v>3970.204907</v>
      </c>
    </row>
    <row r="115">
      <c r="A115" s="1" t="s">
        <v>174</v>
      </c>
      <c r="B115" s="1" t="s">
        <v>1192</v>
      </c>
      <c r="C115" s="1" t="s">
        <v>21</v>
      </c>
      <c r="D115" s="1">
        <v>2.0</v>
      </c>
      <c r="E115" s="1">
        <v>3.0</v>
      </c>
      <c r="F115" s="1">
        <v>4082.0</v>
      </c>
      <c r="G115" s="1">
        <v>1270.0</v>
      </c>
      <c r="H115" s="669">
        <v>0.9</v>
      </c>
      <c r="I115" s="669">
        <v>1.0</v>
      </c>
      <c r="J115" s="669">
        <v>0.9</v>
      </c>
      <c r="K115" s="1"/>
      <c r="L115" s="1"/>
      <c r="M115" s="1"/>
      <c r="N115" s="1">
        <v>3914.8</v>
      </c>
      <c r="O115" s="1"/>
      <c r="P115" s="669">
        <v>1149.9</v>
      </c>
      <c r="Q115" s="669">
        <v>2506.5</v>
      </c>
      <c r="R115" s="669">
        <v>4929.4</v>
      </c>
    </row>
    <row r="116">
      <c r="A116" s="1" t="s">
        <v>174</v>
      </c>
      <c r="B116" s="1" t="s">
        <v>180</v>
      </c>
      <c r="C116" s="1" t="s">
        <v>22</v>
      </c>
      <c r="D116" s="1">
        <v>3.0</v>
      </c>
      <c r="E116" s="1">
        <v>3.0</v>
      </c>
      <c r="F116" s="1">
        <v>27022.0</v>
      </c>
      <c r="G116" s="1">
        <v>6830.0</v>
      </c>
      <c r="H116" s="669">
        <v>0.8</v>
      </c>
      <c r="I116" s="669">
        <v>0.9</v>
      </c>
      <c r="J116" s="1">
        <v>0.7781</v>
      </c>
      <c r="K116" s="1"/>
      <c r="L116" s="1"/>
      <c r="M116" s="1"/>
      <c r="N116" s="1">
        <v>4878.4</v>
      </c>
      <c r="O116" s="1"/>
      <c r="P116" s="1">
        <v>1225.749396</v>
      </c>
      <c r="Q116" s="1">
        <v>2982.55224</v>
      </c>
      <c r="R116" s="1">
        <v>6483.318973</v>
      </c>
    </row>
    <row r="117">
      <c r="A117" s="1" t="s">
        <v>174</v>
      </c>
      <c r="B117" s="1" t="s">
        <v>1192</v>
      </c>
      <c r="C117" s="1" t="s">
        <v>22</v>
      </c>
      <c r="D117" s="1">
        <v>3.0</v>
      </c>
      <c r="E117" s="1">
        <v>3.0</v>
      </c>
      <c r="F117" s="1">
        <v>3054.0</v>
      </c>
      <c r="G117" s="1">
        <v>958.0</v>
      </c>
      <c r="H117" s="669">
        <v>0.9</v>
      </c>
      <c r="I117" s="669">
        <v>1.0</v>
      </c>
      <c r="J117" s="1">
        <v>0.8636</v>
      </c>
      <c r="K117" s="1"/>
      <c r="L117" s="1"/>
      <c r="M117" s="1"/>
      <c r="N117" s="1">
        <v>6722.5</v>
      </c>
      <c r="O117" s="1"/>
      <c r="P117" s="1">
        <v>1954.126613</v>
      </c>
      <c r="Q117" s="1">
        <v>4215.13005</v>
      </c>
      <c r="R117" s="1">
        <v>8338.856138</v>
      </c>
    </row>
    <row r="118">
      <c r="A118" s="1" t="s">
        <v>174</v>
      </c>
      <c r="B118" s="1" t="s">
        <v>180</v>
      </c>
      <c r="C118" s="1" t="s">
        <v>24</v>
      </c>
      <c r="D118" s="1">
        <v>4.0</v>
      </c>
      <c r="E118" s="1">
        <v>3.0</v>
      </c>
      <c r="F118" s="1">
        <v>14519.0</v>
      </c>
      <c r="G118" s="1">
        <v>4369.0</v>
      </c>
      <c r="H118" s="669">
        <v>0.9</v>
      </c>
      <c r="I118" s="669">
        <v>0.9</v>
      </c>
      <c r="J118" s="1">
        <v>0.7984</v>
      </c>
      <c r="K118" s="1"/>
      <c r="L118" s="1"/>
      <c r="M118" s="1"/>
      <c r="N118" s="1">
        <v>8283.9</v>
      </c>
      <c r="O118" s="1"/>
      <c r="P118" s="1">
        <v>1803.03672</v>
      </c>
      <c r="Q118" s="1">
        <v>4744.232682</v>
      </c>
      <c r="R118" s="1">
        <v>9995.975348</v>
      </c>
    </row>
    <row r="119">
      <c r="A119" s="1" t="s">
        <v>174</v>
      </c>
      <c r="B119" s="1" t="s">
        <v>1192</v>
      </c>
      <c r="C119" s="1" t="s">
        <v>24</v>
      </c>
      <c r="D119" s="1">
        <v>4.0</v>
      </c>
      <c r="E119" s="1">
        <v>3.0</v>
      </c>
      <c r="F119" s="1">
        <v>2060.0</v>
      </c>
      <c r="G119" s="1">
        <v>651.0</v>
      </c>
      <c r="H119" s="669">
        <v>0.9</v>
      </c>
      <c r="I119" s="669">
        <v>1.0</v>
      </c>
      <c r="J119" s="1">
        <v>0.8955</v>
      </c>
      <c r="K119" s="1"/>
      <c r="L119" s="1"/>
      <c r="M119" s="1"/>
      <c r="N119" s="1">
        <v>11566.2</v>
      </c>
      <c r="O119" s="1"/>
      <c r="P119" s="1">
        <v>2623.559821</v>
      </c>
      <c r="Q119" s="1">
        <v>6604.619895</v>
      </c>
      <c r="R119" s="1">
        <v>13691.94803</v>
      </c>
    </row>
    <row r="120">
      <c r="A120" s="1" t="s">
        <v>174</v>
      </c>
      <c r="B120" s="1" t="s">
        <v>180</v>
      </c>
      <c r="C120" s="1" t="s">
        <v>26</v>
      </c>
      <c r="D120" s="1">
        <v>5.0</v>
      </c>
      <c r="E120" s="1">
        <v>3.0</v>
      </c>
      <c r="F120" s="1">
        <v>1922.0</v>
      </c>
      <c r="G120" s="1">
        <v>552.0</v>
      </c>
      <c r="H120" s="669">
        <v>0.9</v>
      </c>
      <c r="I120" s="669">
        <v>0.9</v>
      </c>
      <c r="J120" s="1">
        <v>0.8205</v>
      </c>
      <c r="K120" s="1"/>
      <c r="L120" s="1"/>
      <c r="M120" s="1"/>
      <c r="N120" s="1">
        <v>23244.5</v>
      </c>
      <c r="O120" s="1"/>
      <c r="P120" s="1">
        <v>4030.119009</v>
      </c>
      <c r="Q120" s="1">
        <v>8938.39439</v>
      </c>
      <c r="R120" s="1">
        <v>19569.41399</v>
      </c>
    </row>
    <row r="121">
      <c r="A121" s="1" t="s">
        <v>174</v>
      </c>
      <c r="B121" s="1" t="s">
        <v>1192</v>
      </c>
      <c r="C121" s="1" t="s">
        <v>26</v>
      </c>
      <c r="D121" s="1">
        <v>5.0</v>
      </c>
      <c r="E121" s="1">
        <v>3.0</v>
      </c>
      <c r="F121" s="1">
        <v>328.0</v>
      </c>
      <c r="G121" s="1">
        <v>99.0</v>
      </c>
      <c r="H121" s="669">
        <v>0.9</v>
      </c>
      <c r="I121" s="669">
        <v>0.9</v>
      </c>
      <c r="J121" s="1">
        <v>0.8725</v>
      </c>
      <c r="K121" s="1"/>
      <c r="L121" s="1"/>
      <c r="M121" s="1"/>
      <c r="N121" s="1">
        <v>27803.0</v>
      </c>
      <c r="O121" s="1"/>
      <c r="P121" s="1">
        <v>4360.6</v>
      </c>
      <c r="Q121" s="1">
        <v>11426.73333</v>
      </c>
      <c r="R121" s="1">
        <v>23596.36111</v>
      </c>
    </row>
    <row r="122">
      <c r="A122" s="1" t="s">
        <v>73</v>
      </c>
      <c r="B122" s="1" t="s">
        <v>180</v>
      </c>
      <c r="C122" s="1" t="s">
        <v>19</v>
      </c>
      <c r="D122" s="1">
        <v>1.0</v>
      </c>
      <c r="E122" s="1">
        <v>1.0</v>
      </c>
      <c r="F122" s="1">
        <v>19852.0</v>
      </c>
      <c r="G122" s="1">
        <v>50.0</v>
      </c>
      <c r="H122" s="669">
        <v>0.0</v>
      </c>
      <c r="I122" s="669">
        <v>0.0</v>
      </c>
      <c r="J122" s="669">
        <v>0.2</v>
      </c>
      <c r="K122" s="1"/>
      <c r="L122" s="1"/>
      <c r="M122" s="1"/>
      <c r="N122" s="1">
        <v>260.9</v>
      </c>
      <c r="O122" s="1"/>
      <c r="P122" s="669">
        <v>25.0</v>
      </c>
      <c r="Q122" s="669">
        <v>72.5</v>
      </c>
      <c r="R122" s="669">
        <v>255.0</v>
      </c>
    </row>
    <row r="123">
      <c r="A123" s="1" t="s">
        <v>73</v>
      </c>
      <c r="B123" s="1" t="s">
        <v>1192</v>
      </c>
      <c r="C123" s="1" t="s">
        <v>19</v>
      </c>
      <c r="D123" s="1">
        <v>1.0</v>
      </c>
      <c r="E123" s="1">
        <v>1.0</v>
      </c>
      <c r="F123" s="1">
        <v>2053.0</v>
      </c>
      <c r="G123" s="1">
        <v>22.0</v>
      </c>
      <c r="H123" s="669">
        <v>0.0</v>
      </c>
      <c r="I123" s="669">
        <v>0.0</v>
      </c>
      <c r="J123" s="669">
        <v>0.3</v>
      </c>
      <c r="K123" s="1"/>
      <c r="L123" s="1"/>
      <c r="M123" s="1"/>
      <c r="N123" s="1">
        <v>242.6</v>
      </c>
      <c r="O123" s="1"/>
      <c r="P123" s="669">
        <v>20.0</v>
      </c>
      <c r="Q123" s="669">
        <v>75.0</v>
      </c>
      <c r="R123" s="669">
        <v>145.0</v>
      </c>
    </row>
    <row r="124">
      <c r="A124" s="1" t="s">
        <v>73</v>
      </c>
      <c r="B124" s="1" t="s">
        <v>180</v>
      </c>
      <c r="C124" s="1" t="s">
        <v>21</v>
      </c>
      <c r="D124" s="1">
        <v>2.0</v>
      </c>
      <c r="E124" s="1">
        <v>1.0</v>
      </c>
      <c r="F124" s="1">
        <v>11820.0</v>
      </c>
      <c r="G124" s="1">
        <v>38.0</v>
      </c>
      <c r="H124" s="669">
        <v>0.0</v>
      </c>
      <c r="I124" s="669">
        <v>0.0</v>
      </c>
      <c r="J124" s="669">
        <v>0.5</v>
      </c>
      <c r="K124" s="1"/>
      <c r="L124" s="1"/>
      <c r="M124" s="1"/>
      <c r="N124" s="1">
        <v>463.9</v>
      </c>
      <c r="O124" s="1"/>
      <c r="P124" s="669">
        <v>66.0</v>
      </c>
      <c r="Q124" s="669">
        <v>250.0</v>
      </c>
      <c r="R124" s="669">
        <v>683.0</v>
      </c>
    </row>
    <row r="125">
      <c r="A125" s="1" t="s">
        <v>73</v>
      </c>
      <c r="B125" s="1" t="s">
        <v>1192</v>
      </c>
      <c r="C125" s="1" t="s">
        <v>21</v>
      </c>
      <c r="D125" s="1">
        <v>2.0</v>
      </c>
      <c r="E125" s="1">
        <v>1.0</v>
      </c>
      <c r="F125" s="1">
        <v>1355.0</v>
      </c>
      <c r="G125" s="1">
        <v>12.0</v>
      </c>
      <c r="H125" s="669">
        <v>0.0</v>
      </c>
      <c r="I125" s="669">
        <v>0.0</v>
      </c>
      <c r="J125" s="669">
        <v>0.8</v>
      </c>
      <c r="K125" s="1"/>
      <c r="L125" s="1"/>
      <c r="M125" s="1"/>
      <c r="N125" s="1">
        <v>187.8</v>
      </c>
      <c r="O125" s="1"/>
      <c r="P125" s="669">
        <v>119.0</v>
      </c>
      <c r="Q125" s="669">
        <v>145.0</v>
      </c>
      <c r="R125" s="669">
        <v>205.0</v>
      </c>
    </row>
    <row r="126">
      <c r="A126" s="1" t="s">
        <v>73</v>
      </c>
      <c r="B126" s="1" t="s">
        <v>180</v>
      </c>
      <c r="C126" s="1" t="s">
        <v>22</v>
      </c>
      <c r="D126" s="1">
        <v>3.0</v>
      </c>
      <c r="E126" s="1">
        <v>1.0</v>
      </c>
      <c r="F126" s="1">
        <v>9104.0</v>
      </c>
      <c r="G126" s="1">
        <v>47.0</v>
      </c>
      <c r="H126" s="669">
        <v>0.0</v>
      </c>
      <c r="I126" s="669">
        <v>0.0</v>
      </c>
      <c r="J126" s="669">
        <v>0.4</v>
      </c>
      <c r="K126" s="1"/>
      <c r="L126" s="1"/>
      <c r="M126" s="1"/>
      <c r="N126" s="1">
        <v>1164.5</v>
      </c>
      <c r="O126" s="1"/>
      <c r="P126" s="669">
        <v>164.0</v>
      </c>
      <c r="Q126" s="669">
        <v>454.5</v>
      </c>
      <c r="R126" s="669">
        <v>1318.0</v>
      </c>
    </row>
    <row r="127">
      <c r="A127" s="1" t="s">
        <v>73</v>
      </c>
      <c r="B127" s="1" t="s">
        <v>1192</v>
      </c>
      <c r="C127" s="1" t="s">
        <v>22</v>
      </c>
      <c r="D127" s="1">
        <v>3.0</v>
      </c>
      <c r="E127" s="1">
        <v>1.0</v>
      </c>
      <c r="F127" s="1">
        <v>979.0</v>
      </c>
      <c r="G127" s="1">
        <v>10.0</v>
      </c>
      <c r="H127" s="669">
        <v>0.0</v>
      </c>
      <c r="I127" s="669">
        <v>0.0</v>
      </c>
      <c r="J127" s="669">
        <v>0.6</v>
      </c>
      <c r="K127" s="1"/>
      <c r="L127" s="1"/>
      <c r="M127" s="1"/>
      <c r="N127" s="1">
        <v>1438.4</v>
      </c>
      <c r="O127" s="1"/>
      <c r="P127" s="669">
        <v>175.0</v>
      </c>
      <c r="Q127" s="669">
        <v>390.0</v>
      </c>
      <c r="R127" s="669">
        <v>2318.0</v>
      </c>
    </row>
    <row r="128">
      <c r="A128" s="1" t="s">
        <v>73</v>
      </c>
      <c r="B128" s="1" t="s">
        <v>180</v>
      </c>
      <c r="C128" s="1" t="s">
        <v>24</v>
      </c>
      <c r="D128" s="1">
        <v>4.0</v>
      </c>
      <c r="E128" s="1">
        <v>1.0</v>
      </c>
      <c r="F128" s="1">
        <v>4748.0</v>
      </c>
      <c r="G128" s="1">
        <v>18.0</v>
      </c>
      <c r="H128" s="669">
        <v>0.0</v>
      </c>
      <c r="I128" s="669">
        <v>0.0</v>
      </c>
      <c r="J128" s="669">
        <v>0.6</v>
      </c>
      <c r="K128" s="1"/>
      <c r="L128" s="1"/>
      <c r="M128" s="1"/>
      <c r="N128" s="1">
        <v>1414.1</v>
      </c>
      <c r="O128" s="1"/>
      <c r="P128" s="669">
        <v>215.0</v>
      </c>
      <c r="Q128" s="669">
        <v>421.0</v>
      </c>
      <c r="R128" s="669">
        <v>1942.0</v>
      </c>
    </row>
    <row r="129">
      <c r="A129" s="1" t="s">
        <v>73</v>
      </c>
      <c r="B129" s="1" t="s">
        <v>1192</v>
      </c>
      <c r="C129" s="1" t="s">
        <v>24</v>
      </c>
      <c r="D129" s="1">
        <v>4.0</v>
      </c>
      <c r="E129" s="1">
        <v>1.0</v>
      </c>
      <c r="F129" s="1">
        <v>681.0</v>
      </c>
      <c r="G129" s="1">
        <v>6.0</v>
      </c>
      <c r="H129" s="669">
        <v>0.0</v>
      </c>
      <c r="I129" s="669">
        <v>0.0</v>
      </c>
      <c r="J129" s="669">
        <v>0.7</v>
      </c>
      <c r="K129" s="1"/>
      <c r="L129" s="1"/>
      <c r="M129" s="1"/>
      <c r="N129" s="1">
        <v>1561.2</v>
      </c>
      <c r="O129" s="1"/>
      <c r="P129" s="669">
        <v>154.0</v>
      </c>
      <c r="Q129" s="669">
        <v>605.0</v>
      </c>
      <c r="R129" s="669">
        <v>1635.0</v>
      </c>
    </row>
    <row r="130">
      <c r="A130" s="1" t="s">
        <v>73</v>
      </c>
      <c r="B130" s="1" t="s">
        <v>180</v>
      </c>
      <c r="C130" s="1" t="s">
        <v>26</v>
      </c>
      <c r="D130" s="1">
        <v>5.0</v>
      </c>
      <c r="E130" s="1">
        <v>1.0</v>
      </c>
      <c r="F130" s="1">
        <v>619.0</v>
      </c>
      <c r="G130" s="1">
        <v>1.0</v>
      </c>
      <c r="H130" s="669">
        <v>0.0</v>
      </c>
      <c r="I130" s="669">
        <v>0.0</v>
      </c>
      <c r="J130" s="669">
        <v>0.0</v>
      </c>
      <c r="K130" s="1"/>
      <c r="L130" s="1"/>
      <c r="M130" s="1"/>
      <c r="N130" s="1">
        <v>55.0</v>
      </c>
      <c r="O130" s="1"/>
      <c r="P130" s="669">
        <v>55.0</v>
      </c>
      <c r="Q130" s="669">
        <v>55.0</v>
      </c>
      <c r="R130" s="669">
        <v>55.0</v>
      </c>
    </row>
    <row r="131">
      <c r="A131" s="1" t="s">
        <v>73</v>
      </c>
      <c r="B131" s="1" t="s">
        <v>1192</v>
      </c>
      <c r="C131" s="1" t="s">
        <v>26</v>
      </c>
      <c r="D131" s="1">
        <v>5.0</v>
      </c>
      <c r="E131" s="1">
        <v>1.0</v>
      </c>
      <c r="F131" s="1">
        <v>113.0</v>
      </c>
      <c r="G131" s="1">
        <v>0.0</v>
      </c>
      <c r="H131" s="669">
        <v>0.0</v>
      </c>
      <c r="I131" s="669">
        <v>0.0</v>
      </c>
      <c r="J131" s="669"/>
      <c r="K131" s="1"/>
      <c r="L131" s="1"/>
      <c r="M131" s="1"/>
      <c r="N131" s="6"/>
      <c r="O131" s="1"/>
      <c r="P131" s="669"/>
      <c r="Q131" s="669"/>
      <c r="R131" s="669"/>
    </row>
    <row r="132">
      <c r="A132" s="1" t="s">
        <v>47</v>
      </c>
      <c r="B132" s="1" t="s">
        <v>180</v>
      </c>
      <c r="C132" s="1" t="s">
        <v>19</v>
      </c>
      <c r="D132" s="1">
        <v>1.0</v>
      </c>
      <c r="E132" s="1">
        <v>5.0</v>
      </c>
      <c r="F132" s="1">
        <v>57621.0</v>
      </c>
      <c r="G132" s="1">
        <v>2006.0</v>
      </c>
      <c r="H132" s="669">
        <v>0.2</v>
      </c>
      <c r="I132" s="669">
        <v>0.4</v>
      </c>
      <c r="J132" s="1">
        <v>0.0</v>
      </c>
      <c r="K132" s="1">
        <v>7.0</v>
      </c>
      <c r="L132" s="1">
        <v>12.0</v>
      </c>
      <c r="M132" s="1">
        <v>16.0</v>
      </c>
      <c r="N132" s="1">
        <v>100.3</v>
      </c>
      <c r="O132" s="1">
        <v>0.0</v>
      </c>
      <c r="P132" s="669">
        <v>28.1</v>
      </c>
      <c r="Q132" s="669">
        <v>68.4</v>
      </c>
      <c r="R132" s="669">
        <v>138.8</v>
      </c>
    </row>
    <row r="133">
      <c r="A133" s="1" t="s">
        <v>47</v>
      </c>
      <c r="B133" s="1" t="s">
        <v>1192</v>
      </c>
      <c r="C133" s="1" t="s">
        <v>19</v>
      </c>
      <c r="D133" s="1">
        <v>1.0</v>
      </c>
      <c r="E133" s="1">
        <v>5.0</v>
      </c>
      <c r="F133" s="1">
        <v>8221.0</v>
      </c>
      <c r="G133" s="1">
        <v>590.0</v>
      </c>
      <c r="H133" s="669">
        <v>0.4</v>
      </c>
      <c r="I133" s="669">
        <v>0.4</v>
      </c>
      <c r="J133" s="1">
        <v>0.0</v>
      </c>
      <c r="K133" s="1">
        <v>8.0</v>
      </c>
      <c r="L133" s="1">
        <v>13.0</v>
      </c>
      <c r="M133" s="1">
        <v>16.0</v>
      </c>
      <c r="N133" s="1">
        <v>113.7</v>
      </c>
      <c r="O133" s="1">
        <v>0.0</v>
      </c>
      <c r="P133" s="669">
        <v>33.8</v>
      </c>
      <c r="Q133" s="669">
        <v>83.2</v>
      </c>
      <c r="R133" s="669">
        <v>158.8</v>
      </c>
    </row>
    <row r="134">
      <c r="A134" s="1" t="s">
        <v>47</v>
      </c>
      <c r="B134" s="1" t="s">
        <v>180</v>
      </c>
      <c r="C134" s="1" t="s">
        <v>21</v>
      </c>
      <c r="D134" s="1">
        <v>2.0</v>
      </c>
      <c r="E134" s="1">
        <v>5.0</v>
      </c>
      <c r="F134" s="1">
        <v>40404.0</v>
      </c>
      <c r="G134" s="1">
        <v>2280.0</v>
      </c>
      <c r="H134" s="669">
        <v>0.3</v>
      </c>
      <c r="I134" s="669">
        <v>0.4</v>
      </c>
      <c r="J134" s="1">
        <v>0.0</v>
      </c>
      <c r="K134" s="1">
        <v>4.0</v>
      </c>
      <c r="L134" s="1">
        <v>8.0</v>
      </c>
      <c r="M134" s="1">
        <v>12.0</v>
      </c>
      <c r="N134" s="1">
        <v>257.3</v>
      </c>
      <c r="O134" s="1">
        <v>0.0</v>
      </c>
      <c r="P134" s="669">
        <v>92.6</v>
      </c>
      <c r="Q134" s="669">
        <v>188.4</v>
      </c>
      <c r="R134" s="669">
        <v>334.6</v>
      </c>
    </row>
    <row r="135">
      <c r="A135" s="1" t="s">
        <v>47</v>
      </c>
      <c r="B135" s="1" t="s">
        <v>1192</v>
      </c>
      <c r="C135" s="1" t="s">
        <v>21</v>
      </c>
      <c r="D135" s="1">
        <v>2.0</v>
      </c>
      <c r="E135" s="1">
        <v>5.0</v>
      </c>
      <c r="F135" s="1">
        <v>5485.0</v>
      </c>
      <c r="G135" s="1">
        <v>415.0</v>
      </c>
      <c r="H135" s="669">
        <v>0.4</v>
      </c>
      <c r="I135" s="669">
        <v>0.4</v>
      </c>
      <c r="J135" s="1">
        <v>0.0</v>
      </c>
      <c r="K135" s="1">
        <v>5.0</v>
      </c>
      <c r="L135" s="1">
        <v>8.0</v>
      </c>
      <c r="M135" s="1">
        <v>12.0</v>
      </c>
      <c r="N135" s="1">
        <v>307.9</v>
      </c>
      <c r="O135" s="1">
        <v>0.0</v>
      </c>
      <c r="P135" s="669">
        <v>124.8</v>
      </c>
      <c r="Q135" s="669">
        <v>240.2</v>
      </c>
      <c r="R135" s="669">
        <v>405.1</v>
      </c>
    </row>
    <row r="136">
      <c r="A136" s="1" t="s">
        <v>47</v>
      </c>
      <c r="B136" s="1" t="s">
        <v>180</v>
      </c>
      <c r="C136" s="1" t="s">
        <v>22</v>
      </c>
      <c r="D136" s="1">
        <v>3.0</v>
      </c>
      <c r="E136" s="1">
        <v>5.0</v>
      </c>
      <c r="F136" s="1">
        <v>32667.0</v>
      </c>
      <c r="G136" s="1">
        <v>2207.0</v>
      </c>
      <c r="H136" s="669">
        <v>0.3</v>
      </c>
      <c r="I136" s="669">
        <v>0.4</v>
      </c>
      <c r="J136" s="1">
        <v>0.0</v>
      </c>
      <c r="K136" s="1">
        <v>3.0</v>
      </c>
      <c r="L136" s="1">
        <v>5.0</v>
      </c>
      <c r="M136" s="1">
        <v>9.0</v>
      </c>
      <c r="N136" s="1">
        <v>462.5</v>
      </c>
      <c r="O136" s="1">
        <v>0.0</v>
      </c>
      <c r="P136" s="669">
        <v>153.8</v>
      </c>
      <c r="Q136" s="669">
        <v>353.9</v>
      </c>
      <c r="R136" s="669">
        <v>649.2</v>
      </c>
    </row>
    <row r="137">
      <c r="A137" s="1" t="s">
        <v>47</v>
      </c>
      <c r="B137" s="1" t="s">
        <v>1192</v>
      </c>
      <c r="C137" s="1" t="s">
        <v>22</v>
      </c>
      <c r="D137" s="1">
        <v>3.0</v>
      </c>
      <c r="E137" s="1">
        <v>5.0</v>
      </c>
      <c r="F137" s="1">
        <v>4173.0</v>
      </c>
      <c r="G137" s="1">
        <v>298.0</v>
      </c>
      <c r="H137" s="669">
        <v>0.4</v>
      </c>
      <c r="I137" s="669">
        <v>0.4</v>
      </c>
      <c r="J137" s="1">
        <v>0.0</v>
      </c>
      <c r="K137" s="1">
        <v>2.0</v>
      </c>
      <c r="L137" s="1">
        <v>5.0</v>
      </c>
      <c r="M137" s="1">
        <v>8.0</v>
      </c>
      <c r="N137" s="1">
        <v>602.4</v>
      </c>
      <c r="O137" s="1">
        <v>0.0</v>
      </c>
      <c r="P137" s="669">
        <v>265.4</v>
      </c>
      <c r="Q137" s="669">
        <v>489.4</v>
      </c>
      <c r="R137" s="669">
        <v>795.1</v>
      </c>
    </row>
    <row r="138">
      <c r="A138" s="1" t="s">
        <v>47</v>
      </c>
      <c r="B138" s="1" t="s">
        <v>180</v>
      </c>
      <c r="C138" s="1" t="s">
        <v>24</v>
      </c>
      <c r="D138" s="1">
        <v>4.0</v>
      </c>
      <c r="E138" s="1">
        <v>5.0</v>
      </c>
      <c r="F138" s="1">
        <v>18408.0</v>
      </c>
      <c r="G138" s="1">
        <v>1330.0</v>
      </c>
      <c r="H138" s="669">
        <v>0.4</v>
      </c>
      <c r="I138" s="669">
        <v>0.4</v>
      </c>
      <c r="J138" s="1">
        <v>0.0</v>
      </c>
      <c r="K138" s="1">
        <v>2.0</v>
      </c>
      <c r="L138" s="1">
        <v>3.0</v>
      </c>
      <c r="M138" s="1">
        <v>5.0</v>
      </c>
      <c r="N138" s="1">
        <v>920.2</v>
      </c>
      <c r="O138" s="1">
        <v>0.0</v>
      </c>
      <c r="P138" s="669">
        <v>344.9</v>
      </c>
      <c r="Q138" s="669">
        <v>739.6</v>
      </c>
      <c r="R138" s="669">
        <v>1300.1</v>
      </c>
    </row>
    <row r="139">
      <c r="A139" s="1" t="s">
        <v>47</v>
      </c>
      <c r="B139" s="1" t="s">
        <v>1192</v>
      </c>
      <c r="C139" s="1" t="s">
        <v>24</v>
      </c>
      <c r="D139" s="1">
        <v>4.0</v>
      </c>
      <c r="E139" s="1">
        <v>5.0</v>
      </c>
      <c r="F139" s="1">
        <v>2820.0</v>
      </c>
      <c r="G139" s="1">
        <v>204.0</v>
      </c>
      <c r="H139" s="669">
        <v>0.4</v>
      </c>
      <c r="I139" s="669">
        <v>0.4</v>
      </c>
      <c r="J139" s="1">
        <v>0.0</v>
      </c>
      <c r="K139" s="1">
        <v>1.0</v>
      </c>
      <c r="L139" s="1">
        <v>3.0</v>
      </c>
      <c r="M139" s="1">
        <v>5.0</v>
      </c>
      <c r="N139" s="1">
        <v>1096.6</v>
      </c>
      <c r="O139" s="1">
        <v>0.0</v>
      </c>
      <c r="P139" s="669">
        <v>458.2</v>
      </c>
      <c r="Q139" s="669">
        <v>956.1</v>
      </c>
      <c r="R139" s="669">
        <v>1554.7</v>
      </c>
    </row>
    <row r="140">
      <c r="A140" s="1" t="s">
        <v>47</v>
      </c>
      <c r="B140" s="1" t="s">
        <v>180</v>
      </c>
      <c r="C140" s="1" t="s">
        <v>26</v>
      </c>
      <c r="D140" s="1">
        <v>5.0</v>
      </c>
      <c r="E140" s="1">
        <v>5.0</v>
      </c>
      <c r="F140" s="1">
        <v>2580.0</v>
      </c>
      <c r="G140" s="1">
        <v>172.0</v>
      </c>
      <c r="H140" s="669">
        <v>0.3</v>
      </c>
      <c r="I140" s="669">
        <v>0.3</v>
      </c>
      <c r="J140" s="1">
        <v>0.0</v>
      </c>
      <c r="K140" s="1">
        <v>1.0</v>
      </c>
      <c r="L140" s="1">
        <v>1.0</v>
      </c>
      <c r="M140" s="1">
        <v>2.0</v>
      </c>
      <c r="N140" s="1">
        <v>2023.2</v>
      </c>
      <c r="O140" s="1">
        <v>0.0</v>
      </c>
      <c r="P140" s="669">
        <v>931.0</v>
      </c>
      <c r="Q140" s="669">
        <v>1753.4</v>
      </c>
      <c r="R140" s="669">
        <v>2842.9</v>
      </c>
    </row>
    <row r="141">
      <c r="A141" s="1" t="s">
        <v>47</v>
      </c>
      <c r="B141" s="1" t="s">
        <v>1192</v>
      </c>
      <c r="C141" s="1" t="s">
        <v>26</v>
      </c>
      <c r="D141" s="1">
        <v>5.0</v>
      </c>
      <c r="E141" s="1">
        <v>5.0</v>
      </c>
      <c r="F141" s="1">
        <v>506.0</v>
      </c>
      <c r="G141" s="1">
        <v>34.0</v>
      </c>
      <c r="H141" s="669">
        <v>0.3</v>
      </c>
      <c r="I141" s="669">
        <v>0.3</v>
      </c>
      <c r="J141" s="1">
        <v>0.0</v>
      </c>
      <c r="K141" s="1">
        <v>1.0</v>
      </c>
      <c r="L141" s="1">
        <v>1.0</v>
      </c>
      <c r="M141" s="1">
        <v>2.0</v>
      </c>
      <c r="N141" s="1">
        <v>2182.5</v>
      </c>
      <c r="O141" s="1">
        <v>0.0</v>
      </c>
      <c r="P141" s="669">
        <v>951.7</v>
      </c>
      <c r="Q141" s="669">
        <v>1865.3</v>
      </c>
      <c r="R141" s="669">
        <v>3063.0</v>
      </c>
    </row>
    <row r="142">
      <c r="A142" s="1" t="s">
        <v>151</v>
      </c>
      <c r="B142" s="1" t="s">
        <v>180</v>
      </c>
      <c r="C142" s="1" t="s">
        <v>19</v>
      </c>
      <c r="D142" s="1">
        <v>1.0</v>
      </c>
      <c r="E142" s="1">
        <v>1.0</v>
      </c>
      <c r="F142" s="1">
        <v>24235.0</v>
      </c>
      <c r="G142" s="1">
        <v>72.0</v>
      </c>
      <c r="H142" s="669">
        <v>0.0</v>
      </c>
      <c r="I142" s="669">
        <v>0.0</v>
      </c>
      <c r="J142" s="1">
        <v>0.3611</v>
      </c>
      <c r="K142" s="1">
        <v>1.0</v>
      </c>
      <c r="L142" s="1">
        <v>2.0</v>
      </c>
      <c r="M142" s="1">
        <v>3.0</v>
      </c>
      <c r="N142" s="1">
        <v>0.5</v>
      </c>
      <c r="O142" s="1"/>
      <c r="P142" s="1">
        <v>0.0</v>
      </c>
      <c r="Q142" s="1">
        <v>0.0</v>
      </c>
      <c r="R142" s="1">
        <v>0.0</v>
      </c>
    </row>
    <row r="143">
      <c r="A143" s="1" t="s">
        <v>151</v>
      </c>
      <c r="B143" s="1" t="s">
        <v>1192</v>
      </c>
      <c r="C143" s="1" t="s">
        <v>19</v>
      </c>
      <c r="D143" s="1">
        <v>1.0</v>
      </c>
      <c r="E143" s="1">
        <v>1.0</v>
      </c>
      <c r="F143" s="1">
        <v>2387.0</v>
      </c>
      <c r="G143" s="1">
        <v>47.0</v>
      </c>
      <c r="H143" s="669">
        <v>0.0</v>
      </c>
      <c r="I143" s="669">
        <v>0.1</v>
      </c>
      <c r="J143" s="1">
        <v>0.4255</v>
      </c>
      <c r="K143" s="1">
        <v>1.0</v>
      </c>
      <c r="L143" s="1">
        <v>2.0</v>
      </c>
      <c r="M143" s="1">
        <v>3.0</v>
      </c>
      <c r="N143" s="1">
        <v>0.7</v>
      </c>
      <c r="O143" s="1"/>
      <c r="P143" s="1">
        <v>0.0</v>
      </c>
      <c r="Q143" s="1">
        <v>0.0</v>
      </c>
      <c r="R143" s="1">
        <v>0.0</v>
      </c>
    </row>
    <row r="144">
      <c r="A144" s="1" t="s">
        <v>151</v>
      </c>
      <c r="B144" s="1" t="s">
        <v>180</v>
      </c>
      <c r="C144" s="1" t="s">
        <v>21</v>
      </c>
      <c r="D144" s="1">
        <v>2.0</v>
      </c>
      <c r="E144" s="1">
        <v>1.0</v>
      </c>
      <c r="F144" s="1">
        <v>14101.0</v>
      </c>
      <c r="G144" s="1">
        <v>69.0</v>
      </c>
      <c r="H144" s="669">
        <v>0.0</v>
      </c>
      <c r="I144" s="669">
        <v>0.0</v>
      </c>
      <c r="J144" s="1">
        <v>0.3043</v>
      </c>
      <c r="K144" s="1">
        <v>1.0</v>
      </c>
      <c r="L144" s="1">
        <v>2.0</v>
      </c>
      <c r="M144" s="1">
        <v>3.0</v>
      </c>
      <c r="N144" s="1">
        <v>0.7</v>
      </c>
      <c r="O144" s="1"/>
      <c r="P144" s="1">
        <v>0.0</v>
      </c>
      <c r="Q144" s="1">
        <v>0.0</v>
      </c>
      <c r="R144" s="1">
        <v>0.0</v>
      </c>
    </row>
    <row r="145">
      <c r="A145" s="1" t="s">
        <v>151</v>
      </c>
      <c r="B145" s="1" t="s">
        <v>1192</v>
      </c>
      <c r="C145" s="1" t="s">
        <v>21</v>
      </c>
      <c r="D145" s="1">
        <v>2.0</v>
      </c>
      <c r="E145" s="1">
        <v>1.0</v>
      </c>
      <c r="F145" s="1">
        <v>1446.0</v>
      </c>
      <c r="G145" s="1">
        <v>25.0</v>
      </c>
      <c r="H145" s="669">
        <v>0.0</v>
      </c>
      <c r="I145" s="669">
        <v>0.1</v>
      </c>
      <c r="J145" s="1">
        <v>0.44</v>
      </c>
      <c r="K145" s="1">
        <v>1.0</v>
      </c>
      <c r="L145" s="1">
        <v>3.0</v>
      </c>
      <c r="M145" s="1">
        <v>4.0</v>
      </c>
      <c r="N145" s="1">
        <v>2.1</v>
      </c>
      <c r="O145" s="1"/>
      <c r="P145" s="1">
        <v>0.0</v>
      </c>
      <c r="Q145" s="1">
        <v>0.0</v>
      </c>
      <c r="R145" s="1">
        <v>3.0</v>
      </c>
    </row>
    <row r="146">
      <c r="A146" s="1" t="s">
        <v>151</v>
      </c>
      <c r="B146" s="1" t="s">
        <v>180</v>
      </c>
      <c r="C146" s="1" t="s">
        <v>22</v>
      </c>
      <c r="D146" s="1">
        <v>3.0</v>
      </c>
      <c r="E146" s="1">
        <v>1.0</v>
      </c>
      <c r="F146" s="1">
        <v>10902.0</v>
      </c>
      <c r="G146" s="1">
        <v>45.0</v>
      </c>
      <c r="H146" s="669">
        <v>0.0</v>
      </c>
      <c r="I146" s="669">
        <v>0.0</v>
      </c>
      <c r="J146" s="1">
        <v>0.4</v>
      </c>
      <c r="K146" s="1">
        <v>2.0</v>
      </c>
      <c r="L146" s="1">
        <v>2.0</v>
      </c>
      <c r="M146" s="1">
        <v>3.0</v>
      </c>
      <c r="N146" s="1">
        <v>2.5</v>
      </c>
      <c r="O146" s="1"/>
      <c r="P146" s="1">
        <v>0.0</v>
      </c>
      <c r="Q146" s="1">
        <v>0.0</v>
      </c>
      <c r="R146" s="1">
        <v>2.0</v>
      </c>
    </row>
    <row r="147">
      <c r="A147" s="1" t="s">
        <v>151</v>
      </c>
      <c r="B147" s="1" t="s">
        <v>1192</v>
      </c>
      <c r="C147" s="1" t="s">
        <v>22</v>
      </c>
      <c r="D147" s="1">
        <v>3.0</v>
      </c>
      <c r="E147" s="1">
        <v>1.0</v>
      </c>
      <c r="F147" s="1">
        <v>1173.0</v>
      </c>
      <c r="G147" s="1">
        <v>11.0</v>
      </c>
      <c r="H147" s="669">
        <v>0.0</v>
      </c>
      <c r="I147" s="669">
        <v>0.0</v>
      </c>
      <c r="J147" s="1">
        <v>0.2727</v>
      </c>
      <c r="K147" s="1">
        <v>1.0</v>
      </c>
      <c r="L147" s="1">
        <v>2.0</v>
      </c>
      <c r="M147" s="1">
        <v>3.0</v>
      </c>
      <c r="N147" s="1">
        <v>0.1</v>
      </c>
      <c r="O147" s="1"/>
      <c r="P147" s="1">
        <v>0.0</v>
      </c>
      <c r="Q147" s="1">
        <v>0.0</v>
      </c>
      <c r="R147" s="1">
        <v>0.0</v>
      </c>
    </row>
    <row r="148">
      <c r="A148" s="1" t="s">
        <v>151</v>
      </c>
      <c r="B148" s="1" t="s">
        <v>180</v>
      </c>
      <c r="C148" s="1" t="s">
        <v>24</v>
      </c>
      <c r="D148" s="1">
        <v>4.0</v>
      </c>
      <c r="E148" s="1">
        <v>1.0</v>
      </c>
      <c r="F148" s="1">
        <v>5786.0</v>
      </c>
      <c r="G148" s="1">
        <v>21.0</v>
      </c>
      <c r="H148" s="669">
        <v>0.0</v>
      </c>
      <c r="I148" s="669">
        <v>0.0</v>
      </c>
      <c r="J148" s="1">
        <v>0.2381</v>
      </c>
      <c r="K148" s="1">
        <v>2.0</v>
      </c>
      <c r="L148" s="1">
        <v>3.0</v>
      </c>
      <c r="M148" s="1">
        <v>4.0</v>
      </c>
      <c r="N148" s="1">
        <v>1.9</v>
      </c>
      <c r="O148" s="1"/>
      <c r="P148" s="1">
        <v>0.0</v>
      </c>
      <c r="Q148" s="1">
        <v>0.0</v>
      </c>
      <c r="R148" s="1">
        <v>3.0</v>
      </c>
    </row>
    <row r="149">
      <c r="A149" s="1" t="s">
        <v>151</v>
      </c>
      <c r="B149" s="1" t="s">
        <v>1192</v>
      </c>
      <c r="C149" s="1" t="s">
        <v>24</v>
      </c>
      <c r="D149" s="1">
        <v>4.0</v>
      </c>
      <c r="E149" s="1">
        <v>1.0</v>
      </c>
      <c r="F149" s="1">
        <v>823.0</v>
      </c>
      <c r="G149" s="1">
        <v>15.0</v>
      </c>
      <c r="H149" s="669">
        <v>0.0</v>
      </c>
      <c r="I149" s="669">
        <v>0.1</v>
      </c>
      <c r="J149" s="1">
        <v>0.6</v>
      </c>
      <c r="K149" s="1">
        <v>2.0</v>
      </c>
      <c r="L149" s="1">
        <v>3.0</v>
      </c>
      <c r="M149" s="1">
        <v>3.0</v>
      </c>
      <c r="N149" s="1">
        <v>1.0</v>
      </c>
      <c r="O149" s="1"/>
      <c r="P149" s="1">
        <v>0.0</v>
      </c>
      <c r="Q149" s="1">
        <v>0.0</v>
      </c>
      <c r="R149" s="1">
        <v>1.0</v>
      </c>
    </row>
    <row r="150">
      <c r="A150" s="1" t="s">
        <v>151</v>
      </c>
      <c r="B150" s="1" t="s">
        <v>180</v>
      </c>
      <c r="C150" s="1" t="s">
        <v>26</v>
      </c>
      <c r="D150" s="1">
        <v>5.0</v>
      </c>
      <c r="E150" s="1">
        <v>1.0</v>
      </c>
      <c r="F150" s="1">
        <v>744.0</v>
      </c>
      <c r="G150" s="1">
        <v>1.0</v>
      </c>
      <c r="H150" s="669">
        <v>0.0</v>
      </c>
      <c r="I150" s="669">
        <v>0.0</v>
      </c>
      <c r="J150" s="1">
        <v>0.0</v>
      </c>
      <c r="K150" s="1"/>
      <c r="L150" s="1"/>
      <c r="M150" s="1"/>
      <c r="N150" s="1">
        <v>0.0</v>
      </c>
      <c r="O150" s="1"/>
      <c r="P150" s="1">
        <v>0.0</v>
      </c>
      <c r="Q150" s="1">
        <v>0.0</v>
      </c>
      <c r="R150" s="1">
        <v>0.0</v>
      </c>
    </row>
    <row r="151">
      <c r="A151" s="1" t="s">
        <v>151</v>
      </c>
      <c r="B151" s="1" t="s">
        <v>1192</v>
      </c>
      <c r="C151" s="1" t="s">
        <v>26</v>
      </c>
      <c r="D151" s="1">
        <v>5.0</v>
      </c>
      <c r="E151" s="1">
        <v>1.0</v>
      </c>
      <c r="F151" s="1">
        <v>140.0</v>
      </c>
      <c r="G151" s="1">
        <v>0.0</v>
      </c>
      <c r="H151" s="669">
        <v>0.0</v>
      </c>
      <c r="I151" s="669">
        <v>0.0</v>
      </c>
      <c r="J151" s="6"/>
      <c r="K151" s="6"/>
      <c r="L151" s="6"/>
      <c r="M151" s="6"/>
      <c r="N151" s="6"/>
      <c r="O151" s="1"/>
      <c r="P151" s="6"/>
      <c r="Q151" s="6"/>
      <c r="R151" s="6"/>
    </row>
    <row r="152">
      <c r="A152" s="1" t="s">
        <v>2269</v>
      </c>
      <c r="B152" s="1" t="s">
        <v>180</v>
      </c>
      <c r="C152" s="1" t="s">
        <v>19</v>
      </c>
      <c r="D152" s="1">
        <v>1.0</v>
      </c>
      <c r="E152" s="1">
        <v>9.0</v>
      </c>
      <c r="F152" s="1">
        <v>62089.0</v>
      </c>
      <c r="G152" s="1">
        <v>0.0</v>
      </c>
      <c r="H152" s="669">
        <v>0.0</v>
      </c>
      <c r="I152" s="669">
        <v>0.0</v>
      </c>
      <c r="J152" s="669">
        <v>0.0</v>
      </c>
      <c r="K152" s="1">
        <v>49.0</v>
      </c>
      <c r="L152" s="1">
        <v>49.0</v>
      </c>
      <c r="M152" s="1">
        <v>49.0</v>
      </c>
      <c r="N152" s="1">
        <v>3737.0</v>
      </c>
      <c r="O152" s="1">
        <v>0.0</v>
      </c>
      <c r="P152" s="669">
        <v>3737.0</v>
      </c>
      <c r="Q152" s="669">
        <v>3737.0</v>
      </c>
      <c r="R152" s="669">
        <v>3737.0</v>
      </c>
    </row>
    <row r="153">
      <c r="A153" s="1" t="s">
        <v>2269</v>
      </c>
      <c r="B153" s="1" t="s">
        <v>1192</v>
      </c>
      <c r="C153" s="1" t="s">
        <v>19</v>
      </c>
      <c r="D153" s="1">
        <v>1.0</v>
      </c>
      <c r="E153" s="1">
        <v>9.0</v>
      </c>
      <c r="F153" s="1">
        <v>11197.0</v>
      </c>
      <c r="G153" s="1">
        <v>0.0</v>
      </c>
      <c r="H153" s="669">
        <v>0.0</v>
      </c>
      <c r="I153" s="669">
        <v>0.0</v>
      </c>
      <c r="J153" s="669"/>
      <c r="K153" s="6"/>
      <c r="L153" s="6"/>
      <c r="M153" s="6"/>
      <c r="N153" s="6"/>
      <c r="O153" s="6"/>
      <c r="P153" s="6"/>
      <c r="Q153" s="6"/>
      <c r="R153" s="6"/>
    </row>
    <row r="154">
      <c r="A154" s="1" t="s">
        <v>2269</v>
      </c>
      <c r="B154" s="1" t="s">
        <v>180</v>
      </c>
      <c r="C154" s="1" t="s">
        <v>21</v>
      </c>
      <c r="D154" s="1">
        <v>2.0</v>
      </c>
      <c r="E154" s="1">
        <v>9.0</v>
      </c>
      <c r="F154" s="1">
        <v>48972.0</v>
      </c>
      <c r="G154" s="1">
        <v>0.0</v>
      </c>
      <c r="H154" s="669">
        <v>0.0</v>
      </c>
      <c r="I154" s="669">
        <v>0.0</v>
      </c>
      <c r="J154" s="669">
        <v>0.0</v>
      </c>
      <c r="K154" s="1">
        <v>18.0</v>
      </c>
      <c r="L154" s="1">
        <v>18.0</v>
      </c>
      <c r="M154" s="1">
        <v>18.0</v>
      </c>
      <c r="N154" s="6"/>
      <c r="O154" s="6"/>
      <c r="P154" s="6"/>
      <c r="Q154" s="6"/>
      <c r="R154" s="6"/>
    </row>
    <row r="155">
      <c r="A155" s="1" t="s">
        <v>2269</v>
      </c>
      <c r="B155" s="1" t="s">
        <v>1192</v>
      </c>
      <c r="C155" s="1" t="s">
        <v>21</v>
      </c>
      <c r="D155" s="1">
        <v>2.0</v>
      </c>
      <c r="E155" s="1">
        <v>9.0</v>
      </c>
      <c r="F155" s="1">
        <v>7466.0</v>
      </c>
      <c r="G155" s="1">
        <v>0.0</v>
      </c>
      <c r="H155" s="669">
        <v>0.0</v>
      </c>
      <c r="I155" s="669">
        <v>0.0</v>
      </c>
      <c r="J155" s="669"/>
      <c r="K155" s="6"/>
      <c r="L155" s="6"/>
      <c r="M155" s="6"/>
      <c r="N155" s="6"/>
      <c r="O155" s="6"/>
      <c r="P155" s="6"/>
      <c r="Q155" s="6"/>
      <c r="R155" s="6"/>
    </row>
    <row r="156">
      <c r="A156" s="1" t="s">
        <v>2269</v>
      </c>
      <c r="B156" s="1" t="s">
        <v>180</v>
      </c>
      <c r="C156" s="1" t="s">
        <v>22</v>
      </c>
      <c r="D156" s="1">
        <v>3.0</v>
      </c>
      <c r="E156" s="1">
        <v>9.0</v>
      </c>
      <c r="F156" s="1">
        <v>41291.0</v>
      </c>
      <c r="G156" s="1">
        <v>0.0</v>
      </c>
      <c r="H156" s="669">
        <v>0.0</v>
      </c>
      <c r="I156" s="669">
        <v>0.0</v>
      </c>
      <c r="J156" s="669">
        <v>0.0</v>
      </c>
      <c r="K156" s="1">
        <v>3.0</v>
      </c>
      <c r="L156" s="1">
        <v>42.0</v>
      </c>
      <c r="M156" s="1">
        <v>42.0</v>
      </c>
      <c r="N156" s="1">
        <v>6126.7</v>
      </c>
      <c r="O156" s="1">
        <v>0.0</v>
      </c>
      <c r="P156" s="669">
        <v>72.0</v>
      </c>
      <c r="Q156" s="669">
        <v>8238.0</v>
      </c>
      <c r="R156" s="669">
        <v>10070.0</v>
      </c>
    </row>
    <row r="157">
      <c r="A157" s="1" t="s">
        <v>2269</v>
      </c>
      <c r="B157" s="1" t="s">
        <v>1192</v>
      </c>
      <c r="C157" s="1" t="s">
        <v>22</v>
      </c>
      <c r="D157" s="1">
        <v>3.0</v>
      </c>
      <c r="E157" s="1">
        <v>9.0</v>
      </c>
      <c r="F157" s="1">
        <v>5613.0</v>
      </c>
      <c r="G157" s="1">
        <v>0.0</v>
      </c>
      <c r="H157" s="669">
        <v>0.0</v>
      </c>
      <c r="I157" s="669">
        <v>0.0</v>
      </c>
      <c r="J157" s="669"/>
      <c r="K157" s="6"/>
      <c r="L157" s="6"/>
      <c r="M157" s="6"/>
      <c r="N157" s="6"/>
      <c r="O157" s="6"/>
      <c r="P157" s="6"/>
      <c r="Q157" s="6"/>
      <c r="R157" s="6"/>
    </row>
    <row r="158">
      <c r="A158" s="1" t="s">
        <v>2269</v>
      </c>
      <c r="B158" s="1" t="s">
        <v>180</v>
      </c>
      <c r="C158" s="1" t="s">
        <v>24</v>
      </c>
      <c r="D158" s="1">
        <v>4.0</v>
      </c>
      <c r="E158" s="1">
        <v>9.0</v>
      </c>
      <c r="F158" s="1">
        <v>24371.0</v>
      </c>
      <c r="G158" s="1">
        <v>0.0</v>
      </c>
      <c r="H158" s="669">
        <v>0.0</v>
      </c>
      <c r="I158" s="669">
        <v>0.0</v>
      </c>
      <c r="J158" s="669"/>
      <c r="K158" s="6"/>
      <c r="L158" s="6"/>
      <c r="M158" s="6"/>
      <c r="N158" s="6"/>
      <c r="O158" s="6"/>
      <c r="P158" s="6"/>
      <c r="Q158" s="6"/>
      <c r="R158" s="6"/>
    </row>
    <row r="159">
      <c r="A159" s="1" t="s">
        <v>2269</v>
      </c>
      <c r="B159" s="1" t="s">
        <v>1192</v>
      </c>
      <c r="C159" s="1" t="s">
        <v>24</v>
      </c>
      <c r="D159" s="1">
        <v>4.0</v>
      </c>
      <c r="E159" s="1">
        <v>9.0</v>
      </c>
      <c r="F159" s="1">
        <v>3865.0</v>
      </c>
      <c r="G159" s="1">
        <v>0.0</v>
      </c>
      <c r="H159" s="669">
        <v>0.0</v>
      </c>
      <c r="I159" s="669">
        <v>0.0</v>
      </c>
      <c r="J159" s="6"/>
      <c r="K159" s="6"/>
      <c r="L159" s="6"/>
      <c r="M159" s="6"/>
      <c r="N159" s="6"/>
      <c r="O159" s="6"/>
      <c r="P159" s="6"/>
      <c r="Q159" s="6"/>
      <c r="R159" s="6"/>
    </row>
    <row r="160">
      <c r="A160" s="1" t="s">
        <v>2269</v>
      </c>
      <c r="B160" s="1" t="s">
        <v>180</v>
      </c>
      <c r="C160" s="1" t="s">
        <v>26</v>
      </c>
      <c r="D160" s="1">
        <v>5.0</v>
      </c>
      <c r="E160" s="1">
        <v>9.0</v>
      </c>
      <c r="F160" s="1">
        <v>3308.0</v>
      </c>
      <c r="G160" s="1">
        <v>0.0</v>
      </c>
      <c r="H160" s="669">
        <v>0.0</v>
      </c>
      <c r="I160" s="669">
        <v>0.0</v>
      </c>
      <c r="J160" s="669"/>
      <c r="K160" s="6"/>
      <c r="L160" s="6"/>
      <c r="M160" s="6"/>
      <c r="N160" s="6"/>
      <c r="O160" s="6"/>
      <c r="P160" s="6"/>
      <c r="Q160" s="6"/>
      <c r="R160" s="6"/>
    </row>
    <row r="161">
      <c r="A161" s="1" t="s">
        <v>2269</v>
      </c>
      <c r="B161" s="1" t="s">
        <v>1192</v>
      </c>
      <c r="C161" s="1" t="s">
        <v>26</v>
      </c>
      <c r="D161" s="1">
        <v>5.0</v>
      </c>
      <c r="E161" s="1">
        <v>9.0</v>
      </c>
      <c r="F161" s="1">
        <v>674.0</v>
      </c>
      <c r="G161" s="1">
        <v>0.0</v>
      </c>
      <c r="H161" s="669">
        <v>0.0</v>
      </c>
      <c r="I161" s="669">
        <v>0.0</v>
      </c>
      <c r="J161" s="6"/>
      <c r="K161" s="6"/>
      <c r="L161" s="6"/>
      <c r="M161" s="6"/>
      <c r="N161" s="6"/>
      <c r="O161" s="6"/>
      <c r="P161" s="6"/>
      <c r="Q161" s="6"/>
      <c r="R161" s="6"/>
    </row>
    <row r="162">
      <c r="A162" s="1" t="s">
        <v>63</v>
      </c>
      <c r="B162" s="1" t="s">
        <v>180</v>
      </c>
      <c r="C162" s="1" t="s">
        <v>19</v>
      </c>
      <c r="D162" s="1">
        <v>1.0</v>
      </c>
      <c r="E162" s="1">
        <v>12.0</v>
      </c>
      <c r="F162" s="1">
        <v>115825.0</v>
      </c>
      <c r="G162" s="1">
        <v>2720.0</v>
      </c>
      <c r="H162" s="669">
        <v>0.3</v>
      </c>
      <c r="I162" s="669">
        <v>0.4</v>
      </c>
      <c r="J162" s="669">
        <v>0.0</v>
      </c>
      <c r="K162" s="1">
        <v>5.0</v>
      </c>
      <c r="L162" s="1">
        <v>10.0</v>
      </c>
      <c r="M162" s="1">
        <v>14.0</v>
      </c>
      <c r="N162" s="1">
        <v>176.0</v>
      </c>
      <c r="O162" s="1">
        <v>1.0</v>
      </c>
      <c r="P162" s="669">
        <v>1.1</v>
      </c>
      <c r="Q162" s="669">
        <v>13.1</v>
      </c>
      <c r="R162" s="669">
        <v>156.2</v>
      </c>
    </row>
    <row r="163">
      <c r="A163" s="1" t="s">
        <v>63</v>
      </c>
      <c r="B163" s="1" t="s">
        <v>1192</v>
      </c>
      <c r="C163" s="1" t="s">
        <v>19</v>
      </c>
      <c r="D163" s="1">
        <v>1.0</v>
      </c>
      <c r="E163" s="1">
        <v>12.0</v>
      </c>
      <c r="F163" s="1">
        <v>18860.0</v>
      </c>
      <c r="G163" s="1">
        <v>815.0</v>
      </c>
      <c r="H163" s="669">
        <v>0.5</v>
      </c>
      <c r="I163" s="669">
        <v>0.5</v>
      </c>
      <c r="J163" s="669">
        <v>0.0</v>
      </c>
      <c r="K163" s="1">
        <v>7.0</v>
      </c>
      <c r="L163" s="1">
        <v>11.0</v>
      </c>
      <c r="M163" s="1">
        <v>15.0</v>
      </c>
      <c r="N163" s="1">
        <v>165.5</v>
      </c>
      <c r="O163" s="1">
        <v>0.0</v>
      </c>
      <c r="P163" s="669">
        <v>1.1</v>
      </c>
      <c r="Q163" s="669">
        <v>7.9</v>
      </c>
      <c r="R163" s="669">
        <v>72.4</v>
      </c>
    </row>
    <row r="164">
      <c r="A164" s="1" t="s">
        <v>63</v>
      </c>
      <c r="B164" s="1" t="s">
        <v>180</v>
      </c>
      <c r="C164" s="1" t="s">
        <v>21</v>
      </c>
      <c r="D164" s="1">
        <v>2.0</v>
      </c>
      <c r="E164" s="1">
        <v>12.0</v>
      </c>
      <c r="F164" s="1">
        <v>85179.0</v>
      </c>
      <c r="G164" s="1">
        <v>2888.0</v>
      </c>
      <c r="H164" s="669">
        <v>0.4</v>
      </c>
      <c r="I164" s="669">
        <v>0.5</v>
      </c>
      <c r="J164" s="669">
        <v>0.0</v>
      </c>
      <c r="K164" s="1">
        <v>4.0</v>
      </c>
      <c r="L164" s="1">
        <v>8.0</v>
      </c>
      <c r="M164" s="1">
        <v>12.0</v>
      </c>
      <c r="N164" s="1">
        <v>614.0</v>
      </c>
      <c r="O164" s="1">
        <v>1.0</v>
      </c>
      <c r="P164" s="669">
        <v>19.1</v>
      </c>
      <c r="Q164" s="669">
        <v>293.1</v>
      </c>
      <c r="R164" s="669">
        <v>876.8</v>
      </c>
    </row>
    <row r="165">
      <c r="A165" s="1" t="s">
        <v>63</v>
      </c>
      <c r="B165" s="1" t="s">
        <v>1192</v>
      </c>
      <c r="C165" s="1" t="s">
        <v>21</v>
      </c>
      <c r="D165" s="1">
        <v>2.0</v>
      </c>
      <c r="E165" s="1">
        <v>12.0</v>
      </c>
      <c r="F165" s="1">
        <v>12259.0</v>
      </c>
      <c r="G165" s="1">
        <v>547.0</v>
      </c>
      <c r="H165" s="669">
        <v>0.5</v>
      </c>
      <c r="I165" s="669">
        <v>0.5</v>
      </c>
      <c r="J165" s="669">
        <v>0.0</v>
      </c>
      <c r="K165" s="1">
        <v>4.0</v>
      </c>
      <c r="L165" s="1">
        <v>8.0</v>
      </c>
      <c r="M165" s="1">
        <v>13.0</v>
      </c>
      <c r="N165" s="1">
        <v>645.0</v>
      </c>
      <c r="O165" s="1">
        <v>0.0</v>
      </c>
      <c r="P165" s="669">
        <v>11.0</v>
      </c>
      <c r="Q165" s="669">
        <v>208.5</v>
      </c>
      <c r="R165" s="669">
        <v>919.5</v>
      </c>
    </row>
    <row r="166">
      <c r="A166" s="1" t="s">
        <v>63</v>
      </c>
      <c r="B166" s="1" t="s">
        <v>180</v>
      </c>
      <c r="C166" s="1" t="s">
        <v>22</v>
      </c>
      <c r="D166" s="1">
        <v>3.0</v>
      </c>
      <c r="E166" s="1">
        <v>12.0</v>
      </c>
      <c r="F166" s="1">
        <v>69757.0</v>
      </c>
      <c r="G166" s="1">
        <v>2822.0</v>
      </c>
      <c r="H166" s="669">
        <v>0.5</v>
      </c>
      <c r="I166" s="669">
        <v>0.5</v>
      </c>
      <c r="J166" s="669">
        <v>0.0</v>
      </c>
      <c r="K166" s="1">
        <v>3.0</v>
      </c>
      <c r="L166" s="1">
        <v>6.0</v>
      </c>
      <c r="M166" s="1">
        <v>10.0</v>
      </c>
      <c r="N166" s="1">
        <v>1369.5</v>
      </c>
      <c r="O166" s="1">
        <v>2.0</v>
      </c>
      <c r="P166" s="669">
        <v>206.4</v>
      </c>
      <c r="Q166" s="669">
        <v>912.0</v>
      </c>
      <c r="R166" s="669">
        <v>2020.6</v>
      </c>
    </row>
    <row r="167">
      <c r="A167" s="1" t="s">
        <v>63</v>
      </c>
      <c r="B167" s="1" t="s">
        <v>1192</v>
      </c>
      <c r="C167" s="1" t="s">
        <v>22</v>
      </c>
      <c r="D167" s="1">
        <v>3.0</v>
      </c>
      <c r="E167" s="1">
        <v>12.0</v>
      </c>
      <c r="F167" s="1">
        <v>9029.0</v>
      </c>
      <c r="G167" s="1">
        <v>422.0</v>
      </c>
      <c r="H167" s="669">
        <v>0.6</v>
      </c>
      <c r="I167" s="669">
        <v>0.6</v>
      </c>
      <c r="J167" s="669">
        <v>0.0</v>
      </c>
      <c r="K167" s="1">
        <v>2.0</v>
      </c>
      <c r="L167" s="1">
        <v>5.0</v>
      </c>
      <c r="M167" s="1">
        <v>10.0</v>
      </c>
      <c r="N167" s="1">
        <v>1594.8</v>
      </c>
      <c r="O167" s="1">
        <v>0.0</v>
      </c>
      <c r="P167" s="669">
        <v>178.0</v>
      </c>
      <c r="Q167" s="669">
        <v>975.7</v>
      </c>
      <c r="R167" s="669">
        <v>2375.5</v>
      </c>
    </row>
    <row r="168">
      <c r="A168" s="1" t="s">
        <v>63</v>
      </c>
      <c r="B168" s="1" t="s">
        <v>180</v>
      </c>
      <c r="C168" s="1" t="s">
        <v>24</v>
      </c>
      <c r="D168" s="1">
        <v>4.0</v>
      </c>
      <c r="E168" s="1">
        <v>12.0</v>
      </c>
      <c r="F168" s="1">
        <v>40687.0</v>
      </c>
      <c r="G168" s="1">
        <v>1814.0</v>
      </c>
      <c r="H168" s="669">
        <v>0.5</v>
      </c>
      <c r="I168" s="669">
        <v>0.5</v>
      </c>
      <c r="J168" s="669">
        <v>0.0</v>
      </c>
      <c r="K168" s="1">
        <v>2.0</v>
      </c>
      <c r="L168" s="1">
        <v>3.0</v>
      </c>
      <c r="M168" s="1">
        <v>7.0</v>
      </c>
      <c r="N168" s="1">
        <v>3304.5</v>
      </c>
      <c r="O168" s="1">
        <v>2.0</v>
      </c>
      <c r="P168" s="669">
        <v>1062.7</v>
      </c>
      <c r="Q168" s="669">
        <v>2469.1</v>
      </c>
      <c r="R168" s="669">
        <v>4619.2</v>
      </c>
    </row>
    <row r="169">
      <c r="A169" s="1" t="s">
        <v>63</v>
      </c>
      <c r="B169" s="1" t="s">
        <v>1192</v>
      </c>
      <c r="C169" s="1" t="s">
        <v>24</v>
      </c>
      <c r="D169" s="1">
        <v>4.0</v>
      </c>
      <c r="E169" s="1">
        <v>12.0</v>
      </c>
      <c r="F169" s="1">
        <v>6210.0</v>
      </c>
      <c r="G169" s="1">
        <v>308.0</v>
      </c>
      <c r="H169" s="669">
        <v>0.6</v>
      </c>
      <c r="I169" s="669">
        <v>0.6</v>
      </c>
      <c r="J169" s="669">
        <v>0.0</v>
      </c>
      <c r="K169" s="1">
        <v>1.0</v>
      </c>
      <c r="L169" s="1">
        <v>3.0</v>
      </c>
      <c r="M169" s="1">
        <v>7.0</v>
      </c>
      <c r="N169" s="1">
        <v>3825.8</v>
      </c>
      <c r="O169" s="1">
        <v>1.0</v>
      </c>
      <c r="P169" s="669">
        <v>929.2</v>
      </c>
      <c r="Q169" s="669">
        <v>2827.9</v>
      </c>
      <c r="R169" s="669">
        <v>5479.2</v>
      </c>
    </row>
    <row r="170">
      <c r="A170" s="1" t="s">
        <v>63</v>
      </c>
      <c r="B170" s="1" t="s">
        <v>180</v>
      </c>
      <c r="C170" s="1" t="s">
        <v>26</v>
      </c>
      <c r="D170" s="1">
        <v>5.0</v>
      </c>
      <c r="E170" s="1">
        <v>12.0</v>
      </c>
      <c r="F170" s="1">
        <v>6080.0</v>
      </c>
      <c r="G170" s="1">
        <v>272.0</v>
      </c>
      <c r="H170" s="669">
        <v>0.5</v>
      </c>
      <c r="I170" s="669">
        <v>0.5</v>
      </c>
      <c r="J170" s="669">
        <v>0.0</v>
      </c>
      <c r="K170" s="1">
        <v>1.0</v>
      </c>
      <c r="L170" s="1">
        <v>1.0</v>
      </c>
      <c r="M170" s="1">
        <v>3.0</v>
      </c>
      <c r="N170" s="1">
        <v>8476.9</v>
      </c>
      <c r="O170" s="1">
        <v>2.0</v>
      </c>
      <c r="P170" s="669">
        <v>4138.9</v>
      </c>
      <c r="Q170" s="669">
        <v>7229.3</v>
      </c>
      <c r="R170" s="669">
        <v>11468.7</v>
      </c>
    </row>
    <row r="171">
      <c r="A171" s="1" t="s">
        <v>63</v>
      </c>
      <c r="B171" s="1" t="s">
        <v>1192</v>
      </c>
      <c r="C171" s="1" t="s">
        <v>26</v>
      </c>
      <c r="D171" s="1">
        <v>5.0</v>
      </c>
      <c r="E171" s="1">
        <v>12.0</v>
      </c>
      <c r="F171" s="1">
        <v>1197.0</v>
      </c>
      <c r="G171" s="1">
        <v>57.0</v>
      </c>
      <c r="H171" s="669">
        <v>0.6</v>
      </c>
      <c r="I171" s="669">
        <v>0.6</v>
      </c>
      <c r="J171" s="669">
        <v>0.0</v>
      </c>
      <c r="K171" s="1">
        <v>1.0</v>
      </c>
      <c r="L171" s="1">
        <v>1.0</v>
      </c>
      <c r="M171" s="1">
        <v>3.0</v>
      </c>
      <c r="N171" s="1">
        <v>8896.0</v>
      </c>
      <c r="O171" s="1">
        <v>2.0</v>
      </c>
      <c r="P171" s="669">
        <v>3643.3</v>
      </c>
      <c r="Q171" s="669">
        <v>7635.7</v>
      </c>
      <c r="R171" s="669">
        <v>12339.8</v>
      </c>
    </row>
    <row r="172">
      <c r="H172" s="671"/>
      <c r="I172" s="671"/>
      <c r="J172" s="671"/>
      <c r="P172" s="671"/>
      <c r="Q172" s="671"/>
      <c r="R172" s="671"/>
    </row>
    <row r="173">
      <c r="H173" s="671"/>
      <c r="I173" s="671"/>
      <c r="J173" s="671"/>
      <c r="P173" s="671"/>
      <c r="Q173" s="671"/>
      <c r="R173" s="671"/>
    </row>
    <row r="174">
      <c r="H174" s="671"/>
      <c r="I174" s="671"/>
      <c r="J174" s="671"/>
      <c r="P174" s="671"/>
      <c r="Q174" s="671"/>
      <c r="R174" s="671"/>
    </row>
    <row r="175">
      <c r="H175" s="671"/>
      <c r="I175" s="671"/>
      <c r="J175" s="671"/>
      <c r="P175" s="671"/>
      <c r="Q175" s="671"/>
      <c r="R175" s="671"/>
    </row>
    <row r="176">
      <c r="H176" s="671"/>
      <c r="I176" s="671"/>
      <c r="J176" s="671"/>
      <c r="P176" s="671"/>
      <c r="Q176" s="671"/>
      <c r="R176" s="671"/>
    </row>
    <row r="177">
      <c r="H177" s="671"/>
      <c r="I177" s="671"/>
      <c r="J177" s="671"/>
      <c r="P177" s="671"/>
      <c r="Q177" s="671"/>
      <c r="R177" s="671"/>
    </row>
    <row r="178">
      <c r="H178" s="671"/>
      <c r="I178" s="671"/>
      <c r="J178" s="671"/>
      <c r="P178" s="671"/>
      <c r="Q178" s="671"/>
      <c r="R178" s="671"/>
    </row>
    <row r="179">
      <c r="H179" s="671"/>
      <c r="I179" s="671"/>
      <c r="J179" s="671"/>
      <c r="P179" s="671"/>
      <c r="Q179" s="671"/>
      <c r="R179" s="671"/>
    </row>
    <row r="180">
      <c r="H180" s="671"/>
      <c r="I180" s="671"/>
      <c r="J180" s="671"/>
      <c r="P180" s="671"/>
      <c r="Q180" s="671"/>
      <c r="R180" s="671"/>
    </row>
    <row r="181">
      <c r="H181" s="671"/>
      <c r="I181" s="671"/>
      <c r="J181" s="671"/>
      <c r="P181" s="671"/>
      <c r="Q181" s="671"/>
      <c r="R181" s="671"/>
    </row>
    <row r="182">
      <c r="H182" s="671"/>
      <c r="I182" s="671"/>
      <c r="J182" s="671"/>
      <c r="P182" s="671"/>
      <c r="Q182" s="671"/>
      <c r="R182" s="671"/>
    </row>
    <row r="183">
      <c r="H183" s="671"/>
      <c r="I183" s="671"/>
      <c r="J183" s="671"/>
      <c r="P183" s="671"/>
      <c r="Q183" s="671"/>
      <c r="R183" s="671"/>
    </row>
    <row r="184">
      <c r="H184" s="671"/>
      <c r="I184" s="671"/>
      <c r="J184" s="671"/>
      <c r="P184" s="671"/>
      <c r="Q184" s="671"/>
      <c r="R184" s="671"/>
    </row>
    <row r="185">
      <c r="H185" s="671"/>
      <c r="I185" s="671"/>
      <c r="J185" s="671"/>
      <c r="P185" s="671"/>
      <c r="Q185" s="671"/>
      <c r="R185" s="671"/>
    </row>
    <row r="186">
      <c r="H186" s="671"/>
      <c r="I186" s="671"/>
      <c r="J186" s="671"/>
      <c r="P186" s="671"/>
      <c r="Q186" s="671"/>
      <c r="R186" s="671"/>
    </row>
    <row r="187">
      <c r="H187" s="671"/>
      <c r="I187" s="671"/>
      <c r="J187" s="671"/>
      <c r="P187" s="671"/>
      <c r="Q187" s="671"/>
      <c r="R187" s="671"/>
    </row>
    <row r="188">
      <c r="H188" s="671"/>
      <c r="I188" s="671"/>
      <c r="J188" s="671"/>
      <c r="P188" s="671"/>
      <c r="Q188" s="671"/>
      <c r="R188" s="671"/>
    </row>
    <row r="189">
      <c r="H189" s="671"/>
      <c r="I189" s="671"/>
      <c r="J189" s="671"/>
      <c r="P189" s="671"/>
      <c r="Q189" s="671"/>
      <c r="R189" s="671"/>
    </row>
    <row r="190">
      <c r="H190" s="671"/>
      <c r="I190" s="671"/>
      <c r="J190" s="671"/>
      <c r="P190" s="671"/>
      <c r="Q190" s="671"/>
      <c r="R190" s="671"/>
    </row>
    <row r="191">
      <c r="H191" s="671"/>
      <c r="I191" s="671"/>
      <c r="J191" s="671"/>
      <c r="P191" s="671"/>
      <c r="Q191" s="671"/>
      <c r="R191" s="671"/>
    </row>
    <row r="192">
      <c r="H192" s="671"/>
      <c r="I192" s="671"/>
      <c r="J192" s="671"/>
      <c r="P192" s="671"/>
      <c r="Q192" s="671"/>
      <c r="R192" s="671"/>
    </row>
    <row r="193">
      <c r="H193" s="671"/>
      <c r="I193" s="671"/>
      <c r="J193" s="671"/>
      <c r="P193" s="671"/>
      <c r="Q193" s="671"/>
      <c r="R193" s="671"/>
    </row>
    <row r="194">
      <c r="H194" s="671"/>
      <c r="I194" s="671"/>
      <c r="J194" s="671"/>
      <c r="P194" s="671"/>
      <c r="Q194" s="671"/>
      <c r="R194" s="671"/>
    </row>
    <row r="195">
      <c r="H195" s="671"/>
      <c r="I195" s="671"/>
      <c r="J195" s="671"/>
      <c r="P195" s="671"/>
      <c r="Q195" s="671"/>
      <c r="R195" s="671"/>
    </row>
    <row r="196">
      <c r="H196" s="671"/>
      <c r="I196" s="671"/>
      <c r="J196" s="671"/>
      <c r="P196" s="671"/>
      <c r="Q196" s="671"/>
      <c r="R196" s="671"/>
    </row>
    <row r="197">
      <c r="H197" s="671"/>
      <c r="I197" s="671"/>
      <c r="J197" s="671"/>
      <c r="P197" s="671"/>
      <c r="Q197" s="671"/>
      <c r="R197" s="671"/>
    </row>
    <row r="198">
      <c r="H198" s="671"/>
      <c r="I198" s="671"/>
      <c r="J198" s="671"/>
      <c r="P198" s="671"/>
      <c r="Q198" s="671"/>
      <c r="R198" s="671"/>
    </row>
    <row r="199">
      <c r="H199" s="671"/>
      <c r="I199" s="671"/>
      <c r="J199" s="671"/>
      <c r="P199" s="671"/>
      <c r="Q199" s="671"/>
      <c r="R199" s="671"/>
    </row>
    <row r="200">
      <c r="H200" s="671"/>
      <c r="I200" s="671"/>
      <c r="J200" s="671"/>
      <c r="P200" s="671"/>
      <c r="Q200" s="671"/>
      <c r="R200" s="671"/>
    </row>
    <row r="201">
      <c r="H201" s="671"/>
      <c r="I201" s="671"/>
      <c r="J201" s="671"/>
      <c r="P201" s="671"/>
      <c r="Q201" s="671"/>
      <c r="R201" s="671"/>
    </row>
    <row r="202">
      <c r="H202" s="671"/>
      <c r="I202" s="671"/>
      <c r="J202" s="671"/>
      <c r="P202" s="671"/>
      <c r="Q202" s="671"/>
      <c r="R202" s="671"/>
    </row>
    <row r="203">
      <c r="H203" s="671"/>
      <c r="I203" s="671"/>
      <c r="J203" s="671"/>
      <c r="P203" s="671"/>
      <c r="Q203" s="671"/>
      <c r="R203" s="671"/>
    </row>
    <row r="204">
      <c r="H204" s="671"/>
      <c r="I204" s="671"/>
      <c r="J204" s="671"/>
      <c r="P204" s="671"/>
      <c r="Q204" s="671"/>
      <c r="R204" s="671"/>
    </row>
    <row r="205">
      <c r="H205" s="671"/>
      <c r="I205" s="671"/>
      <c r="J205" s="671"/>
      <c r="P205" s="671"/>
      <c r="Q205" s="671"/>
      <c r="R205" s="671"/>
    </row>
    <row r="206">
      <c r="H206" s="671"/>
      <c r="I206" s="671"/>
      <c r="J206" s="671"/>
      <c r="P206" s="671"/>
      <c r="Q206" s="671"/>
      <c r="R206" s="671"/>
    </row>
    <row r="207">
      <c r="H207" s="671"/>
      <c r="I207" s="671"/>
      <c r="J207" s="671"/>
      <c r="P207" s="671"/>
      <c r="Q207" s="671"/>
      <c r="R207" s="671"/>
    </row>
    <row r="208">
      <c r="H208" s="671"/>
      <c r="I208" s="671"/>
      <c r="J208" s="671"/>
      <c r="P208" s="671"/>
      <c r="Q208" s="671"/>
      <c r="R208" s="671"/>
    </row>
    <row r="209">
      <c r="H209" s="671"/>
      <c r="I209" s="671"/>
      <c r="J209" s="671"/>
      <c r="P209" s="671"/>
      <c r="Q209" s="671"/>
      <c r="R209" s="671"/>
    </row>
    <row r="210">
      <c r="H210" s="671"/>
      <c r="I210" s="671"/>
      <c r="J210" s="671"/>
      <c r="P210" s="671"/>
      <c r="Q210" s="671"/>
      <c r="R210" s="671"/>
    </row>
    <row r="211">
      <c r="H211" s="671"/>
      <c r="I211" s="671"/>
      <c r="J211" s="671"/>
      <c r="P211" s="671"/>
      <c r="Q211" s="671"/>
      <c r="R211" s="671"/>
    </row>
    <row r="212">
      <c r="H212" s="671"/>
      <c r="I212" s="671"/>
      <c r="J212" s="671"/>
      <c r="P212" s="671"/>
      <c r="Q212" s="671"/>
      <c r="R212" s="671"/>
    </row>
    <row r="213">
      <c r="H213" s="671"/>
      <c r="I213" s="671"/>
      <c r="J213" s="671"/>
      <c r="P213" s="671"/>
      <c r="Q213" s="671"/>
      <c r="R213" s="671"/>
    </row>
    <row r="214">
      <c r="H214" s="671"/>
      <c r="I214" s="671"/>
      <c r="J214" s="671"/>
      <c r="P214" s="671"/>
      <c r="Q214" s="671"/>
      <c r="R214" s="671"/>
    </row>
    <row r="215">
      <c r="H215" s="671"/>
      <c r="I215" s="671"/>
      <c r="J215" s="671"/>
      <c r="P215" s="671"/>
      <c r="Q215" s="671"/>
      <c r="R215" s="671"/>
    </row>
    <row r="216">
      <c r="H216" s="671"/>
      <c r="I216" s="671"/>
      <c r="J216" s="671"/>
      <c r="P216" s="671"/>
      <c r="Q216" s="671"/>
      <c r="R216" s="671"/>
    </row>
    <row r="217">
      <c r="H217" s="671"/>
      <c r="I217" s="671"/>
      <c r="J217" s="671"/>
      <c r="P217" s="671"/>
      <c r="Q217" s="671"/>
      <c r="R217" s="671"/>
    </row>
    <row r="218">
      <c r="H218" s="671"/>
      <c r="I218" s="671"/>
      <c r="J218" s="671"/>
      <c r="P218" s="671"/>
      <c r="Q218" s="671"/>
      <c r="R218" s="671"/>
    </row>
    <row r="219">
      <c r="H219" s="671"/>
      <c r="I219" s="671"/>
      <c r="J219" s="671"/>
      <c r="P219" s="671"/>
      <c r="Q219" s="671"/>
      <c r="R219" s="671"/>
    </row>
    <row r="220">
      <c r="H220" s="671"/>
      <c r="I220" s="671"/>
      <c r="J220" s="671"/>
      <c r="P220" s="671"/>
      <c r="Q220" s="671"/>
      <c r="R220" s="671"/>
    </row>
    <row r="221">
      <c r="H221" s="671"/>
      <c r="I221" s="671"/>
      <c r="J221" s="671"/>
      <c r="P221" s="671"/>
      <c r="Q221" s="671"/>
      <c r="R221" s="671"/>
    </row>
    <row r="222">
      <c r="H222" s="671"/>
      <c r="I222" s="671"/>
      <c r="J222" s="671"/>
      <c r="P222" s="671"/>
      <c r="Q222" s="671"/>
      <c r="R222" s="671"/>
    </row>
    <row r="223">
      <c r="H223" s="671"/>
      <c r="I223" s="671"/>
      <c r="J223" s="671"/>
      <c r="P223" s="671"/>
      <c r="Q223" s="671"/>
      <c r="R223" s="671"/>
    </row>
    <row r="224">
      <c r="H224" s="671"/>
      <c r="I224" s="671"/>
      <c r="J224" s="671"/>
      <c r="P224" s="671"/>
      <c r="Q224" s="671"/>
      <c r="R224" s="671"/>
    </row>
    <row r="225">
      <c r="H225" s="671"/>
      <c r="I225" s="671"/>
      <c r="J225" s="671"/>
      <c r="P225" s="671"/>
      <c r="Q225" s="671"/>
      <c r="R225" s="671"/>
    </row>
    <row r="226">
      <c r="H226" s="671"/>
      <c r="I226" s="671"/>
      <c r="J226" s="671"/>
      <c r="P226" s="671"/>
      <c r="Q226" s="671"/>
      <c r="R226" s="671"/>
    </row>
    <row r="227">
      <c r="H227" s="671"/>
      <c r="I227" s="671"/>
      <c r="J227" s="671"/>
      <c r="P227" s="671"/>
      <c r="Q227" s="671"/>
      <c r="R227" s="671"/>
    </row>
    <row r="228">
      <c r="H228" s="671"/>
      <c r="I228" s="671"/>
      <c r="J228" s="671"/>
      <c r="P228" s="671"/>
      <c r="Q228" s="671"/>
      <c r="R228" s="671"/>
    </row>
    <row r="229">
      <c r="H229" s="671"/>
      <c r="I229" s="671"/>
      <c r="J229" s="671"/>
      <c r="P229" s="671"/>
      <c r="Q229" s="671"/>
      <c r="R229" s="671"/>
    </row>
    <row r="230">
      <c r="H230" s="671"/>
      <c r="I230" s="671"/>
      <c r="J230" s="671"/>
      <c r="P230" s="671"/>
      <c r="Q230" s="671"/>
      <c r="R230" s="671"/>
    </row>
    <row r="231">
      <c r="H231" s="671"/>
      <c r="I231" s="671"/>
      <c r="J231" s="671"/>
      <c r="P231" s="671"/>
      <c r="Q231" s="671"/>
      <c r="R231" s="671"/>
    </row>
    <row r="232">
      <c r="H232" s="671"/>
      <c r="I232" s="671"/>
      <c r="J232" s="671"/>
      <c r="P232" s="671"/>
      <c r="Q232" s="671"/>
      <c r="R232" s="671"/>
    </row>
    <row r="233">
      <c r="H233" s="671"/>
      <c r="I233" s="671"/>
      <c r="J233" s="671"/>
      <c r="P233" s="671"/>
      <c r="Q233" s="671"/>
      <c r="R233" s="671"/>
    </row>
    <row r="234">
      <c r="H234" s="671"/>
      <c r="I234" s="671"/>
      <c r="J234" s="671"/>
      <c r="P234" s="671"/>
      <c r="Q234" s="671"/>
      <c r="R234" s="671"/>
    </row>
    <row r="235">
      <c r="H235" s="671"/>
      <c r="I235" s="671"/>
      <c r="J235" s="671"/>
      <c r="P235" s="671"/>
      <c r="Q235" s="671"/>
      <c r="R235" s="671"/>
    </row>
    <row r="236">
      <c r="H236" s="671"/>
      <c r="I236" s="671"/>
      <c r="J236" s="671"/>
      <c r="P236" s="671"/>
      <c r="Q236" s="671"/>
      <c r="R236" s="671"/>
    </row>
    <row r="237">
      <c r="H237" s="671"/>
      <c r="I237" s="671"/>
      <c r="J237" s="671"/>
      <c r="P237" s="671"/>
      <c r="Q237" s="671"/>
      <c r="R237" s="671"/>
    </row>
    <row r="238">
      <c r="H238" s="671"/>
      <c r="I238" s="671"/>
      <c r="J238" s="671"/>
      <c r="P238" s="671"/>
      <c r="Q238" s="671"/>
      <c r="R238" s="671"/>
    </row>
    <row r="239">
      <c r="H239" s="671"/>
      <c r="I239" s="671"/>
      <c r="J239" s="671"/>
      <c r="P239" s="671"/>
      <c r="Q239" s="671"/>
      <c r="R239" s="671"/>
    </row>
    <row r="240">
      <c r="H240" s="671"/>
      <c r="I240" s="671"/>
      <c r="J240" s="671"/>
      <c r="P240" s="671"/>
      <c r="Q240" s="671"/>
      <c r="R240" s="671"/>
    </row>
    <row r="241">
      <c r="H241" s="671"/>
      <c r="I241" s="671"/>
      <c r="J241" s="671"/>
      <c r="P241" s="671"/>
      <c r="Q241" s="671"/>
      <c r="R241" s="671"/>
    </row>
    <row r="242">
      <c r="H242" s="671"/>
      <c r="I242" s="671"/>
      <c r="J242" s="671"/>
      <c r="P242" s="671"/>
      <c r="Q242" s="671"/>
      <c r="R242" s="671"/>
    </row>
    <row r="243">
      <c r="H243" s="671"/>
      <c r="I243" s="671"/>
      <c r="J243" s="671"/>
      <c r="P243" s="671"/>
      <c r="Q243" s="671"/>
      <c r="R243" s="671"/>
    </row>
    <row r="244">
      <c r="H244" s="671"/>
      <c r="I244" s="671"/>
      <c r="J244" s="671"/>
      <c r="P244" s="671"/>
      <c r="Q244" s="671"/>
      <c r="R244" s="671"/>
    </row>
    <row r="245">
      <c r="H245" s="671"/>
      <c r="I245" s="671"/>
      <c r="J245" s="671"/>
      <c r="P245" s="671"/>
      <c r="Q245" s="671"/>
      <c r="R245" s="671"/>
    </row>
    <row r="246">
      <c r="H246" s="671"/>
      <c r="I246" s="671"/>
      <c r="J246" s="671"/>
      <c r="P246" s="671"/>
      <c r="Q246" s="671"/>
      <c r="R246" s="671"/>
    </row>
    <row r="247">
      <c r="H247" s="671"/>
      <c r="I247" s="671"/>
      <c r="J247" s="671"/>
      <c r="P247" s="671"/>
      <c r="Q247" s="671"/>
      <c r="R247" s="671"/>
    </row>
    <row r="248">
      <c r="H248" s="671"/>
      <c r="I248" s="671"/>
      <c r="J248" s="671"/>
      <c r="P248" s="671"/>
      <c r="Q248" s="671"/>
      <c r="R248" s="671"/>
    </row>
    <row r="249">
      <c r="H249" s="671"/>
      <c r="I249" s="671"/>
      <c r="J249" s="671"/>
      <c r="P249" s="671"/>
      <c r="Q249" s="671"/>
      <c r="R249" s="671"/>
    </row>
    <row r="250">
      <c r="H250" s="671"/>
      <c r="I250" s="671"/>
      <c r="J250" s="671"/>
      <c r="P250" s="671"/>
      <c r="Q250" s="671"/>
      <c r="R250" s="671"/>
    </row>
    <row r="251">
      <c r="H251" s="671"/>
      <c r="I251" s="671"/>
      <c r="J251" s="671"/>
      <c r="P251" s="671"/>
      <c r="Q251" s="671"/>
      <c r="R251" s="671"/>
    </row>
    <row r="252">
      <c r="H252" s="671"/>
      <c r="I252" s="671"/>
      <c r="J252" s="671"/>
      <c r="P252" s="671"/>
      <c r="Q252" s="671"/>
      <c r="R252" s="671"/>
    </row>
    <row r="253">
      <c r="H253" s="671"/>
      <c r="I253" s="671"/>
      <c r="J253" s="671"/>
      <c r="P253" s="671"/>
      <c r="Q253" s="671"/>
      <c r="R253" s="671"/>
    </row>
    <row r="254">
      <c r="H254" s="671"/>
      <c r="I254" s="671"/>
      <c r="J254" s="671"/>
      <c r="P254" s="671"/>
      <c r="Q254" s="671"/>
      <c r="R254" s="671"/>
    </row>
    <row r="255">
      <c r="H255" s="671"/>
      <c r="I255" s="671"/>
      <c r="J255" s="671"/>
      <c r="P255" s="671"/>
      <c r="Q255" s="671"/>
      <c r="R255" s="671"/>
    </row>
    <row r="256">
      <c r="H256" s="671"/>
      <c r="I256" s="671"/>
      <c r="J256" s="671"/>
      <c r="P256" s="671"/>
      <c r="Q256" s="671"/>
      <c r="R256" s="671"/>
    </row>
    <row r="257">
      <c r="H257" s="671"/>
      <c r="I257" s="671"/>
      <c r="J257" s="671"/>
      <c r="P257" s="671"/>
      <c r="Q257" s="671"/>
      <c r="R257" s="671"/>
    </row>
    <row r="258">
      <c r="H258" s="671"/>
      <c r="I258" s="671"/>
      <c r="J258" s="671"/>
      <c r="P258" s="671"/>
      <c r="Q258" s="671"/>
      <c r="R258" s="671"/>
    </row>
    <row r="259">
      <c r="H259" s="671"/>
      <c r="I259" s="671"/>
      <c r="J259" s="671"/>
      <c r="P259" s="671"/>
      <c r="Q259" s="671"/>
      <c r="R259" s="671"/>
    </row>
    <row r="260">
      <c r="H260" s="671"/>
      <c r="I260" s="671"/>
      <c r="J260" s="671"/>
      <c r="P260" s="671"/>
      <c r="Q260" s="671"/>
      <c r="R260" s="671"/>
    </row>
    <row r="261">
      <c r="H261" s="671"/>
      <c r="I261" s="671"/>
      <c r="J261" s="671"/>
      <c r="P261" s="671"/>
      <c r="Q261" s="671"/>
      <c r="R261" s="671"/>
    </row>
    <row r="262">
      <c r="H262" s="671"/>
      <c r="I262" s="671"/>
      <c r="J262" s="671"/>
      <c r="P262" s="671"/>
      <c r="Q262" s="671"/>
      <c r="R262" s="671"/>
    </row>
    <row r="263">
      <c r="H263" s="671"/>
      <c r="I263" s="671"/>
      <c r="J263" s="671"/>
      <c r="P263" s="671"/>
      <c r="Q263" s="671"/>
      <c r="R263" s="671"/>
    </row>
    <row r="264">
      <c r="H264" s="671"/>
      <c r="I264" s="671"/>
      <c r="J264" s="671"/>
      <c r="P264" s="671"/>
      <c r="Q264" s="671"/>
      <c r="R264" s="671"/>
    </row>
    <row r="265">
      <c r="H265" s="671"/>
      <c r="I265" s="671"/>
      <c r="J265" s="671"/>
      <c r="P265" s="671"/>
      <c r="Q265" s="671"/>
      <c r="R265" s="671"/>
    </row>
    <row r="266">
      <c r="H266" s="671"/>
      <c r="I266" s="671"/>
      <c r="J266" s="671"/>
      <c r="P266" s="671"/>
      <c r="Q266" s="671"/>
      <c r="R266" s="671"/>
    </row>
    <row r="267">
      <c r="H267" s="671"/>
      <c r="I267" s="671"/>
      <c r="J267" s="671"/>
      <c r="P267" s="671"/>
      <c r="Q267" s="671"/>
      <c r="R267" s="671"/>
    </row>
    <row r="268">
      <c r="H268" s="671"/>
      <c r="I268" s="671"/>
      <c r="J268" s="671"/>
      <c r="P268" s="671"/>
      <c r="Q268" s="671"/>
      <c r="R268" s="671"/>
    </row>
    <row r="269">
      <c r="H269" s="671"/>
      <c r="I269" s="671"/>
      <c r="J269" s="671"/>
      <c r="P269" s="671"/>
      <c r="Q269" s="671"/>
      <c r="R269" s="671"/>
    </row>
    <row r="270">
      <c r="H270" s="671"/>
      <c r="I270" s="671"/>
      <c r="J270" s="671"/>
      <c r="P270" s="671"/>
      <c r="Q270" s="671"/>
      <c r="R270" s="671"/>
    </row>
    <row r="271">
      <c r="H271" s="671"/>
      <c r="I271" s="671"/>
      <c r="J271" s="671"/>
      <c r="P271" s="671"/>
      <c r="Q271" s="671"/>
      <c r="R271" s="671"/>
    </row>
    <row r="272">
      <c r="H272" s="671"/>
      <c r="I272" s="671"/>
      <c r="J272" s="671"/>
      <c r="P272" s="671"/>
      <c r="Q272" s="671"/>
      <c r="R272" s="671"/>
    </row>
    <row r="273">
      <c r="H273" s="671"/>
      <c r="I273" s="671"/>
      <c r="J273" s="671"/>
      <c r="P273" s="671"/>
      <c r="Q273" s="671"/>
      <c r="R273" s="671"/>
    </row>
    <row r="274">
      <c r="H274" s="671"/>
      <c r="I274" s="671"/>
      <c r="J274" s="671"/>
      <c r="P274" s="671"/>
      <c r="Q274" s="671"/>
      <c r="R274" s="671"/>
    </row>
    <row r="275">
      <c r="H275" s="671"/>
      <c r="I275" s="671"/>
      <c r="J275" s="671"/>
      <c r="P275" s="671"/>
      <c r="Q275" s="671"/>
      <c r="R275" s="671"/>
    </row>
    <row r="276">
      <c r="H276" s="671"/>
      <c r="I276" s="671"/>
      <c r="J276" s="671"/>
      <c r="P276" s="671"/>
      <c r="Q276" s="671"/>
      <c r="R276" s="671"/>
    </row>
    <row r="277">
      <c r="H277" s="671"/>
      <c r="I277" s="671"/>
      <c r="J277" s="671"/>
      <c r="P277" s="671"/>
      <c r="Q277" s="671"/>
      <c r="R277" s="671"/>
    </row>
    <row r="278">
      <c r="H278" s="671"/>
      <c r="I278" s="671"/>
      <c r="J278" s="671"/>
      <c r="P278" s="671"/>
      <c r="Q278" s="671"/>
      <c r="R278" s="671"/>
    </row>
    <row r="279">
      <c r="H279" s="671"/>
      <c r="I279" s="671"/>
      <c r="J279" s="671"/>
      <c r="P279" s="671"/>
      <c r="Q279" s="671"/>
      <c r="R279" s="671"/>
    </row>
    <row r="280">
      <c r="H280" s="671"/>
      <c r="I280" s="671"/>
      <c r="J280" s="671"/>
      <c r="P280" s="671"/>
      <c r="Q280" s="671"/>
      <c r="R280" s="671"/>
    </row>
    <row r="281">
      <c r="H281" s="671"/>
      <c r="I281" s="671"/>
      <c r="J281" s="671"/>
      <c r="P281" s="671"/>
      <c r="Q281" s="671"/>
      <c r="R281" s="671"/>
    </row>
    <row r="282">
      <c r="H282" s="671"/>
      <c r="I282" s="671"/>
      <c r="J282" s="671"/>
      <c r="P282" s="671"/>
      <c r="Q282" s="671"/>
      <c r="R282" s="671"/>
    </row>
    <row r="283">
      <c r="H283" s="671"/>
      <c r="I283" s="671"/>
      <c r="J283" s="671"/>
      <c r="P283" s="671"/>
      <c r="Q283" s="671"/>
      <c r="R283" s="671"/>
    </row>
    <row r="284">
      <c r="H284" s="671"/>
      <c r="I284" s="671"/>
      <c r="J284" s="671"/>
      <c r="P284" s="671"/>
      <c r="Q284" s="671"/>
      <c r="R284" s="671"/>
    </row>
    <row r="285">
      <c r="H285" s="671"/>
      <c r="I285" s="671"/>
      <c r="J285" s="671"/>
      <c r="P285" s="671"/>
      <c r="Q285" s="671"/>
      <c r="R285" s="671"/>
    </row>
    <row r="286">
      <c r="H286" s="671"/>
      <c r="I286" s="671"/>
      <c r="J286" s="671"/>
      <c r="P286" s="671"/>
      <c r="Q286" s="671"/>
      <c r="R286" s="671"/>
    </row>
    <row r="287">
      <c r="H287" s="671"/>
      <c r="I287" s="671"/>
      <c r="J287" s="671"/>
      <c r="P287" s="671"/>
      <c r="Q287" s="671"/>
      <c r="R287" s="671"/>
    </row>
    <row r="288">
      <c r="H288" s="671"/>
      <c r="I288" s="671"/>
      <c r="J288" s="671"/>
      <c r="P288" s="671"/>
      <c r="Q288" s="671"/>
      <c r="R288" s="671"/>
    </row>
    <row r="289">
      <c r="H289" s="671"/>
      <c r="I289" s="671"/>
      <c r="J289" s="671"/>
      <c r="P289" s="671"/>
      <c r="Q289" s="671"/>
      <c r="R289" s="671"/>
    </row>
    <row r="290">
      <c r="H290" s="671"/>
      <c r="I290" s="671"/>
      <c r="J290" s="671"/>
      <c r="P290" s="671"/>
      <c r="Q290" s="671"/>
      <c r="R290" s="671"/>
    </row>
    <row r="291">
      <c r="H291" s="671"/>
      <c r="I291" s="671"/>
      <c r="J291" s="671"/>
      <c r="P291" s="671"/>
      <c r="Q291" s="671"/>
      <c r="R291" s="671"/>
    </row>
    <row r="292">
      <c r="H292" s="671"/>
      <c r="I292" s="671"/>
      <c r="J292" s="671"/>
      <c r="P292" s="671"/>
      <c r="Q292" s="671"/>
      <c r="R292" s="671"/>
    </row>
    <row r="293">
      <c r="H293" s="671"/>
      <c r="I293" s="671"/>
      <c r="J293" s="671"/>
      <c r="P293" s="671"/>
      <c r="Q293" s="671"/>
      <c r="R293" s="671"/>
    </row>
    <row r="294">
      <c r="H294" s="671"/>
      <c r="I294" s="671"/>
      <c r="J294" s="671"/>
      <c r="P294" s="671"/>
      <c r="Q294" s="671"/>
      <c r="R294" s="671"/>
    </row>
    <row r="295">
      <c r="H295" s="671"/>
      <c r="I295" s="671"/>
      <c r="J295" s="671"/>
      <c r="P295" s="671"/>
      <c r="Q295" s="671"/>
      <c r="R295" s="671"/>
    </row>
    <row r="296">
      <c r="H296" s="671"/>
      <c r="I296" s="671"/>
      <c r="J296" s="671"/>
      <c r="P296" s="671"/>
      <c r="Q296" s="671"/>
      <c r="R296" s="671"/>
    </row>
    <row r="297">
      <c r="H297" s="671"/>
      <c r="I297" s="671"/>
      <c r="J297" s="671"/>
      <c r="P297" s="671"/>
      <c r="Q297" s="671"/>
      <c r="R297" s="671"/>
    </row>
    <row r="298">
      <c r="H298" s="671"/>
      <c r="I298" s="671"/>
      <c r="J298" s="671"/>
      <c r="P298" s="671"/>
      <c r="Q298" s="671"/>
      <c r="R298" s="671"/>
    </row>
    <row r="299">
      <c r="H299" s="671"/>
      <c r="I299" s="671"/>
      <c r="J299" s="671"/>
      <c r="P299" s="671"/>
      <c r="Q299" s="671"/>
      <c r="R299" s="671"/>
    </row>
    <row r="300">
      <c r="H300" s="671"/>
      <c r="I300" s="671"/>
      <c r="J300" s="671"/>
      <c r="P300" s="671"/>
      <c r="Q300" s="671"/>
      <c r="R300" s="671"/>
    </row>
    <row r="301">
      <c r="H301" s="671"/>
      <c r="I301" s="671"/>
      <c r="J301" s="671"/>
      <c r="P301" s="671"/>
      <c r="Q301" s="671"/>
      <c r="R301" s="671"/>
    </row>
    <row r="302">
      <c r="H302" s="671"/>
      <c r="I302" s="671"/>
      <c r="J302" s="671"/>
      <c r="P302" s="671"/>
      <c r="Q302" s="671"/>
      <c r="R302" s="671"/>
    </row>
    <row r="303">
      <c r="H303" s="671"/>
      <c r="I303" s="671"/>
      <c r="J303" s="671"/>
      <c r="P303" s="671"/>
      <c r="Q303" s="671"/>
      <c r="R303" s="671"/>
    </row>
    <row r="304">
      <c r="H304" s="671"/>
      <c r="I304" s="671"/>
      <c r="J304" s="671"/>
      <c r="P304" s="671"/>
      <c r="Q304" s="671"/>
      <c r="R304" s="671"/>
    </row>
    <row r="305">
      <c r="H305" s="671"/>
      <c r="I305" s="671"/>
      <c r="J305" s="671"/>
      <c r="P305" s="671"/>
      <c r="Q305" s="671"/>
      <c r="R305" s="671"/>
    </row>
    <row r="306">
      <c r="H306" s="671"/>
      <c r="I306" s="671"/>
      <c r="J306" s="671"/>
      <c r="P306" s="671"/>
      <c r="Q306" s="671"/>
      <c r="R306" s="671"/>
    </row>
    <row r="307">
      <c r="H307" s="671"/>
      <c r="I307" s="671"/>
      <c r="J307" s="671"/>
      <c r="P307" s="671"/>
      <c r="Q307" s="671"/>
      <c r="R307" s="671"/>
    </row>
    <row r="308">
      <c r="H308" s="671"/>
      <c r="I308" s="671"/>
      <c r="J308" s="671"/>
      <c r="P308" s="671"/>
      <c r="Q308" s="671"/>
      <c r="R308" s="671"/>
    </row>
    <row r="309">
      <c r="H309" s="671"/>
      <c r="I309" s="671"/>
      <c r="J309" s="671"/>
      <c r="P309" s="671"/>
      <c r="Q309" s="671"/>
      <c r="R309" s="671"/>
    </row>
    <row r="310">
      <c r="H310" s="671"/>
      <c r="I310" s="671"/>
      <c r="J310" s="671"/>
      <c r="P310" s="671"/>
      <c r="Q310" s="671"/>
      <c r="R310" s="671"/>
    </row>
    <row r="311">
      <c r="H311" s="671"/>
      <c r="I311" s="671"/>
      <c r="J311" s="671"/>
      <c r="P311" s="671"/>
      <c r="Q311" s="671"/>
      <c r="R311" s="671"/>
    </row>
    <row r="312">
      <c r="H312" s="671"/>
      <c r="I312" s="671"/>
      <c r="J312" s="671"/>
      <c r="P312" s="671"/>
      <c r="Q312" s="671"/>
      <c r="R312" s="671"/>
    </row>
    <row r="313">
      <c r="H313" s="671"/>
      <c r="I313" s="671"/>
      <c r="J313" s="671"/>
      <c r="P313" s="671"/>
      <c r="Q313" s="671"/>
      <c r="R313" s="671"/>
    </row>
    <row r="314">
      <c r="H314" s="671"/>
      <c r="I314" s="671"/>
      <c r="J314" s="671"/>
      <c r="P314" s="671"/>
      <c r="Q314" s="671"/>
      <c r="R314" s="671"/>
    </row>
    <row r="315">
      <c r="H315" s="671"/>
      <c r="I315" s="671"/>
      <c r="J315" s="671"/>
      <c r="P315" s="671"/>
      <c r="Q315" s="671"/>
      <c r="R315" s="671"/>
    </row>
    <row r="316">
      <c r="H316" s="671"/>
      <c r="I316" s="671"/>
      <c r="J316" s="671"/>
      <c r="P316" s="671"/>
      <c r="Q316" s="671"/>
      <c r="R316" s="671"/>
    </row>
    <row r="317">
      <c r="H317" s="671"/>
      <c r="I317" s="671"/>
      <c r="J317" s="671"/>
      <c r="P317" s="671"/>
      <c r="Q317" s="671"/>
      <c r="R317" s="671"/>
    </row>
    <row r="318">
      <c r="H318" s="671"/>
      <c r="I318" s="671"/>
      <c r="J318" s="671"/>
      <c r="P318" s="671"/>
      <c r="Q318" s="671"/>
      <c r="R318" s="671"/>
    </row>
    <row r="319">
      <c r="H319" s="671"/>
      <c r="I319" s="671"/>
      <c r="J319" s="671"/>
      <c r="P319" s="671"/>
      <c r="Q319" s="671"/>
      <c r="R319" s="671"/>
    </row>
    <row r="320">
      <c r="H320" s="671"/>
      <c r="I320" s="671"/>
      <c r="J320" s="671"/>
      <c r="P320" s="671"/>
      <c r="Q320" s="671"/>
      <c r="R320" s="671"/>
    </row>
    <row r="321">
      <c r="H321" s="671"/>
      <c r="I321" s="671"/>
      <c r="J321" s="671"/>
      <c r="P321" s="671"/>
      <c r="Q321" s="671"/>
      <c r="R321" s="671"/>
    </row>
    <row r="322">
      <c r="H322" s="671"/>
      <c r="I322" s="671"/>
      <c r="J322" s="671"/>
      <c r="P322" s="671"/>
      <c r="Q322" s="671"/>
      <c r="R322" s="671"/>
    </row>
    <row r="323">
      <c r="H323" s="671"/>
      <c r="I323" s="671"/>
      <c r="J323" s="671"/>
      <c r="P323" s="671"/>
      <c r="Q323" s="671"/>
      <c r="R323" s="671"/>
    </row>
    <row r="324">
      <c r="H324" s="671"/>
      <c r="I324" s="671"/>
      <c r="J324" s="671"/>
      <c r="P324" s="671"/>
      <c r="Q324" s="671"/>
      <c r="R324" s="671"/>
    </row>
    <row r="325">
      <c r="H325" s="671"/>
      <c r="I325" s="671"/>
      <c r="J325" s="671"/>
      <c r="P325" s="671"/>
      <c r="Q325" s="671"/>
      <c r="R325" s="671"/>
    </row>
    <row r="326">
      <c r="H326" s="671"/>
      <c r="I326" s="671"/>
      <c r="J326" s="671"/>
      <c r="P326" s="671"/>
      <c r="Q326" s="671"/>
      <c r="R326" s="671"/>
    </row>
    <row r="327">
      <c r="H327" s="671"/>
      <c r="I327" s="671"/>
      <c r="J327" s="671"/>
      <c r="P327" s="671"/>
      <c r="Q327" s="671"/>
      <c r="R327" s="671"/>
    </row>
    <row r="328">
      <c r="H328" s="671"/>
      <c r="I328" s="671"/>
      <c r="J328" s="671"/>
      <c r="P328" s="671"/>
      <c r="Q328" s="671"/>
      <c r="R328" s="671"/>
    </row>
    <row r="329">
      <c r="H329" s="671"/>
      <c r="I329" s="671"/>
      <c r="J329" s="671"/>
      <c r="P329" s="671"/>
      <c r="Q329" s="671"/>
      <c r="R329" s="671"/>
    </row>
    <row r="330">
      <c r="H330" s="671"/>
      <c r="I330" s="671"/>
      <c r="J330" s="671"/>
      <c r="P330" s="671"/>
      <c r="Q330" s="671"/>
      <c r="R330" s="671"/>
    </row>
    <row r="331">
      <c r="H331" s="671"/>
      <c r="I331" s="671"/>
      <c r="J331" s="671"/>
      <c r="P331" s="671"/>
      <c r="Q331" s="671"/>
      <c r="R331" s="671"/>
    </row>
    <row r="332">
      <c r="H332" s="671"/>
      <c r="I332" s="671"/>
      <c r="J332" s="671"/>
      <c r="P332" s="671"/>
      <c r="Q332" s="671"/>
      <c r="R332" s="671"/>
    </row>
    <row r="333">
      <c r="H333" s="671"/>
      <c r="I333" s="671"/>
      <c r="J333" s="671"/>
      <c r="P333" s="671"/>
      <c r="Q333" s="671"/>
      <c r="R333" s="671"/>
    </row>
    <row r="334">
      <c r="H334" s="671"/>
      <c r="I334" s="671"/>
      <c r="J334" s="671"/>
      <c r="P334" s="671"/>
      <c r="Q334" s="671"/>
      <c r="R334" s="671"/>
    </row>
    <row r="335">
      <c r="H335" s="671"/>
      <c r="I335" s="671"/>
      <c r="J335" s="671"/>
      <c r="P335" s="671"/>
      <c r="Q335" s="671"/>
      <c r="R335" s="671"/>
    </row>
    <row r="336">
      <c r="H336" s="671"/>
      <c r="I336" s="671"/>
      <c r="J336" s="671"/>
      <c r="P336" s="671"/>
      <c r="Q336" s="671"/>
      <c r="R336" s="671"/>
    </row>
    <row r="337">
      <c r="H337" s="671"/>
      <c r="I337" s="671"/>
      <c r="J337" s="671"/>
      <c r="P337" s="671"/>
      <c r="Q337" s="671"/>
      <c r="R337" s="671"/>
    </row>
    <row r="338">
      <c r="H338" s="671"/>
      <c r="I338" s="671"/>
      <c r="J338" s="671"/>
      <c r="P338" s="671"/>
      <c r="Q338" s="671"/>
      <c r="R338" s="671"/>
    </row>
    <row r="339">
      <c r="H339" s="671"/>
      <c r="I339" s="671"/>
      <c r="J339" s="671"/>
      <c r="P339" s="671"/>
      <c r="Q339" s="671"/>
      <c r="R339" s="671"/>
    </row>
    <row r="340">
      <c r="H340" s="671"/>
      <c r="I340" s="671"/>
      <c r="J340" s="671"/>
      <c r="P340" s="671"/>
      <c r="Q340" s="671"/>
      <c r="R340" s="671"/>
    </row>
    <row r="341">
      <c r="H341" s="671"/>
      <c r="I341" s="671"/>
      <c r="J341" s="671"/>
      <c r="P341" s="671"/>
      <c r="Q341" s="671"/>
      <c r="R341" s="671"/>
    </row>
    <row r="342">
      <c r="H342" s="671"/>
      <c r="I342" s="671"/>
      <c r="J342" s="671"/>
      <c r="P342" s="671"/>
      <c r="Q342" s="671"/>
      <c r="R342" s="671"/>
    </row>
    <row r="343">
      <c r="H343" s="671"/>
      <c r="I343" s="671"/>
      <c r="J343" s="671"/>
      <c r="P343" s="671"/>
      <c r="Q343" s="671"/>
      <c r="R343" s="671"/>
    </row>
    <row r="344">
      <c r="H344" s="671"/>
      <c r="I344" s="671"/>
      <c r="J344" s="671"/>
      <c r="P344" s="671"/>
      <c r="Q344" s="671"/>
      <c r="R344" s="671"/>
    </row>
    <row r="345">
      <c r="H345" s="671"/>
      <c r="I345" s="671"/>
      <c r="J345" s="671"/>
      <c r="P345" s="671"/>
      <c r="Q345" s="671"/>
      <c r="R345" s="671"/>
    </row>
    <row r="346">
      <c r="H346" s="671"/>
      <c r="I346" s="671"/>
      <c r="J346" s="671"/>
      <c r="P346" s="671"/>
      <c r="Q346" s="671"/>
      <c r="R346" s="671"/>
    </row>
    <row r="347">
      <c r="H347" s="671"/>
      <c r="I347" s="671"/>
      <c r="J347" s="671"/>
      <c r="P347" s="671"/>
      <c r="Q347" s="671"/>
      <c r="R347" s="671"/>
    </row>
    <row r="348">
      <c r="H348" s="671"/>
      <c r="I348" s="671"/>
      <c r="J348" s="671"/>
      <c r="P348" s="671"/>
      <c r="Q348" s="671"/>
      <c r="R348" s="671"/>
    </row>
    <row r="349">
      <c r="H349" s="671"/>
      <c r="I349" s="671"/>
      <c r="J349" s="671"/>
      <c r="P349" s="671"/>
      <c r="Q349" s="671"/>
      <c r="R349" s="671"/>
    </row>
    <row r="350">
      <c r="H350" s="671"/>
      <c r="I350" s="671"/>
      <c r="J350" s="671"/>
      <c r="P350" s="671"/>
      <c r="Q350" s="671"/>
      <c r="R350" s="671"/>
    </row>
    <row r="351">
      <c r="H351" s="671"/>
      <c r="I351" s="671"/>
      <c r="J351" s="671"/>
      <c r="P351" s="671"/>
      <c r="Q351" s="671"/>
      <c r="R351" s="671"/>
    </row>
    <row r="352">
      <c r="H352" s="671"/>
      <c r="I352" s="671"/>
      <c r="J352" s="671"/>
      <c r="P352" s="671"/>
      <c r="Q352" s="671"/>
      <c r="R352" s="671"/>
    </row>
    <row r="353">
      <c r="H353" s="671"/>
      <c r="I353" s="671"/>
      <c r="J353" s="671"/>
      <c r="P353" s="671"/>
      <c r="Q353" s="671"/>
      <c r="R353" s="671"/>
    </row>
    <row r="354">
      <c r="H354" s="671"/>
      <c r="I354" s="671"/>
      <c r="J354" s="671"/>
      <c r="P354" s="671"/>
      <c r="Q354" s="671"/>
      <c r="R354" s="671"/>
    </row>
    <row r="355">
      <c r="H355" s="671"/>
      <c r="I355" s="671"/>
      <c r="J355" s="671"/>
      <c r="P355" s="671"/>
      <c r="Q355" s="671"/>
      <c r="R355" s="671"/>
    </row>
    <row r="356">
      <c r="H356" s="671"/>
      <c r="I356" s="671"/>
      <c r="J356" s="671"/>
      <c r="P356" s="671"/>
      <c r="Q356" s="671"/>
      <c r="R356" s="671"/>
    </row>
    <row r="357">
      <c r="H357" s="671"/>
      <c r="I357" s="671"/>
      <c r="J357" s="671"/>
      <c r="P357" s="671"/>
      <c r="Q357" s="671"/>
      <c r="R357" s="671"/>
    </row>
    <row r="358">
      <c r="H358" s="671"/>
      <c r="I358" s="671"/>
      <c r="J358" s="671"/>
      <c r="P358" s="671"/>
      <c r="Q358" s="671"/>
      <c r="R358" s="671"/>
    </row>
    <row r="359">
      <c r="H359" s="671"/>
      <c r="I359" s="671"/>
      <c r="J359" s="671"/>
      <c r="P359" s="671"/>
      <c r="Q359" s="671"/>
      <c r="R359" s="671"/>
    </row>
    <row r="360">
      <c r="H360" s="671"/>
      <c r="I360" s="671"/>
      <c r="J360" s="671"/>
      <c r="P360" s="671"/>
      <c r="Q360" s="671"/>
      <c r="R360" s="671"/>
    </row>
    <row r="361">
      <c r="H361" s="671"/>
      <c r="I361" s="671"/>
      <c r="J361" s="671"/>
      <c r="P361" s="671"/>
      <c r="Q361" s="671"/>
      <c r="R361" s="671"/>
    </row>
    <row r="362">
      <c r="H362" s="671"/>
      <c r="I362" s="671"/>
      <c r="J362" s="671"/>
      <c r="P362" s="671"/>
      <c r="Q362" s="671"/>
      <c r="R362" s="671"/>
    </row>
    <row r="363">
      <c r="H363" s="671"/>
      <c r="I363" s="671"/>
      <c r="J363" s="671"/>
      <c r="P363" s="671"/>
      <c r="Q363" s="671"/>
      <c r="R363" s="671"/>
    </row>
    <row r="364">
      <c r="H364" s="671"/>
      <c r="I364" s="671"/>
      <c r="J364" s="671"/>
      <c r="P364" s="671"/>
      <c r="Q364" s="671"/>
      <c r="R364" s="671"/>
    </row>
    <row r="365">
      <c r="H365" s="671"/>
      <c r="I365" s="671"/>
      <c r="J365" s="671"/>
      <c r="P365" s="671"/>
      <c r="Q365" s="671"/>
      <c r="R365" s="671"/>
    </row>
    <row r="366">
      <c r="H366" s="671"/>
      <c r="I366" s="671"/>
      <c r="J366" s="671"/>
      <c r="P366" s="671"/>
      <c r="Q366" s="671"/>
      <c r="R366" s="671"/>
    </row>
    <row r="367">
      <c r="H367" s="671"/>
      <c r="I367" s="671"/>
      <c r="J367" s="671"/>
      <c r="P367" s="671"/>
      <c r="Q367" s="671"/>
      <c r="R367" s="671"/>
    </row>
    <row r="368">
      <c r="H368" s="671"/>
      <c r="I368" s="671"/>
      <c r="J368" s="671"/>
      <c r="P368" s="671"/>
      <c r="Q368" s="671"/>
      <c r="R368" s="671"/>
    </row>
    <row r="369">
      <c r="H369" s="671"/>
      <c r="I369" s="671"/>
      <c r="J369" s="671"/>
      <c r="P369" s="671"/>
      <c r="Q369" s="671"/>
      <c r="R369" s="671"/>
    </row>
    <row r="370">
      <c r="H370" s="671"/>
      <c r="I370" s="671"/>
      <c r="J370" s="671"/>
      <c r="P370" s="671"/>
      <c r="Q370" s="671"/>
      <c r="R370" s="671"/>
    </row>
    <row r="371">
      <c r="H371" s="671"/>
      <c r="I371" s="671"/>
      <c r="J371" s="671"/>
      <c r="P371" s="671"/>
      <c r="Q371" s="671"/>
      <c r="R371" s="671"/>
    </row>
    <row r="372">
      <c r="H372" s="671"/>
      <c r="I372" s="671"/>
      <c r="J372" s="671"/>
      <c r="P372" s="671"/>
      <c r="Q372" s="671"/>
      <c r="R372" s="671"/>
    </row>
    <row r="373">
      <c r="H373" s="671"/>
      <c r="I373" s="671"/>
      <c r="J373" s="671"/>
      <c r="P373" s="671"/>
      <c r="Q373" s="671"/>
      <c r="R373" s="671"/>
    </row>
    <row r="374">
      <c r="H374" s="671"/>
      <c r="I374" s="671"/>
      <c r="J374" s="671"/>
      <c r="P374" s="671"/>
      <c r="Q374" s="671"/>
      <c r="R374" s="671"/>
    </row>
    <row r="375">
      <c r="H375" s="671"/>
      <c r="I375" s="671"/>
      <c r="J375" s="671"/>
      <c r="P375" s="671"/>
      <c r="Q375" s="671"/>
      <c r="R375" s="671"/>
    </row>
    <row r="376">
      <c r="H376" s="671"/>
      <c r="I376" s="671"/>
      <c r="J376" s="671"/>
      <c r="P376" s="671"/>
      <c r="Q376" s="671"/>
      <c r="R376" s="671"/>
    </row>
    <row r="377">
      <c r="H377" s="671"/>
      <c r="I377" s="671"/>
      <c r="J377" s="671"/>
      <c r="P377" s="671"/>
      <c r="Q377" s="671"/>
      <c r="R377" s="671"/>
    </row>
    <row r="378">
      <c r="H378" s="671"/>
      <c r="I378" s="671"/>
      <c r="J378" s="671"/>
      <c r="P378" s="671"/>
      <c r="Q378" s="671"/>
      <c r="R378" s="671"/>
    </row>
    <row r="379">
      <c r="H379" s="671"/>
      <c r="I379" s="671"/>
      <c r="J379" s="671"/>
      <c r="P379" s="671"/>
      <c r="Q379" s="671"/>
      <c r="R379" s="671"/>
    </row>
    <row r="380">
      <c r="H380" s="671"/>
      <c r="I380" s="671"/>
      <c r="J380" s="671"/>
      <c r="P380" s="671"/>
      <c r="Q380" s="671"/>
      <c r="R380" s="671"/>
    </row>
    <row r="381">
      <c r="H381" s="671"/>
      <c r="I381" s="671"/>
      <c r="J381" s="671"/>
      <c r="P381" s="671"/>
      <c r="Q381" s="671"/>
      <c r="R381" s="671"/>
    </row>
    <row r="382">
      <c r="H382" s="671"/>
      <c r="I382" s="671"/>
      <c r="J382" s="671"/>
      <c r="P382" s="671"/>
      <c r="Q382" s="671"/>
      <c r="R382" s="671"/>
    </row>
    <row r="383">
      <c r="H383" s="671"/>
      <c r="I383" s="671"/>
      <c r="J383" s="671"/>
      <c r="P383" s="671"/>
      <c r="Q383" s="671"/>
      <c r="R383" s="671"/>
    </row>
    <row r="384">
      <c r="H384" s="671"/>
      <c r="I384" s="671"/>
      <c r="J384" s="671"/>
      <c r="P384" s="671"/>
      <c r="Q384" s="671"/>
      <c r="R384" s="671"/>
    </row>
    <row r="385">
      <c r="H385" s="671"/>
      <c r="I385" s="671"/>
      <c r="J385" s="671"/>
      <c r="P385" s="671"/>
      <c r="Q385" s="671"/>
      <c r="R385" s="671"/>
    </row>
    <row r="386">
      <c r="H386" s="671"/>
      <c r="I386" s="671"/>
      <c r="J386" s="671"/>
      <c r="P386" s="671"/>
      <c r="Q386" s="671"/>
      <c r="R386" s="671"/>
    </row>
    <row r="387">
      <c r="H387" s="671"/>
      <c r="I387" s="671"/>
      <c r="J387" s="671"/>
      <c r="P387" s="671"/>
      <c r="Q387" s="671"/>
      <c r="R387" s="671"/>
    </row>
    <row r="388">
      <c r="H388" s="671"/>
      <c r="I388" s="671"/>
      <c r="J388" s="671"/>
      <c r="P388" s="671"/>
      <c r="Q388" s="671"/>
      <c r="R388" s="671"/>
    </row>
    <row r="389">
      <c r="H389" s="671"/>
      <c r="I389" s="671"/>
      <c r="J389" s="671"/>
      <c r="P389" s="671"/>
      <c r="Q389" s="671"/>
      <c r="R389" s="671"/>
    </row>
    <row r="390">
      <c r="H390" s="671"/>
      <c r="I390" s="671"/>
      <c r="J390" s="671"/>
      <c r="P390" s="671"/>
      <c r="Q390" s="671"/>
      <c r="R390" s="671"/>
    </row>
    <row r="391">
      <c r="H391" s="671"/>
      <c r="I391" s="671"/>
      <c r="J391" s="671"/>
      <c r="P391" s="671"/>
      <c r="Q391" s="671"/>
      <c r="R391" s="671"/>
    </row>
    <row r="392">
      <c r="H392" s="671"/>
      <c r="I392" s="671"/>
      <c r="J392" s="671"/>
      <c r="P392" s="671"/>
      <c r="Q392" s="671"/>
      <c r="R392" s="671"/>
    </row>
    <row r="393">
      <c r="H393" s="671"/>
      <c r="I393" s="671"/>
      <c r="J393" s="671"/>
      <c r="P393" s="671"/>
      <c r="Q393" s="671"/>
      <c r="R393" s="671"/>
    </row>
    <row r="394">
      <c r="H394" s="671"/>
      <c r="I394" s="671"/>
      <c r="J394" s="671"/>
      <c r="P394" s="671"/>
      <c r="Q394" s="671"/>
      <c r="R394" s="671"/>
    </row>
    <row r="395">
      <c r="H395" s="671"/>
      <c r="I395" s="671"/>
      <c r="J395" s="671"/>
      <c r="P395" s="671"/>
      <c r="Q395" s="671"/>
      <c r="R395" s="671"/>
    </row>
    <row r="396">
      <c r="H396" s="671"/>
      <c r="I396" s="671"/>
      <c r="J396" s="671"/>
      <c r="P396" s="671"/>
      <c r="Q396" s="671"/>
      <c r="R396" s="671"/>
    </row>
    <row r="397">
      <c r="H397" s="671"/>
      <c r="I397" s="671"/>
      <c r="J397" s="671"/>
      <c r="P397" s="671"/>
      <c r="Q397" s="671"/>
      <c r="R397" s="671"/>
    </row>
    <row r="398">
      <c r="H398" s="671"/>
      <c r="I398" s="671"/>
      <c r="J398" s="671"/>
      <c r="P398" s="671"/>
      <c r="Q398" s="671"/>
      <c r="R398" s="671"/>
    </row>
    <row r="399">
      <c r="H399" s="671"/>
      <c r="I399" s="671"/>
      <c r="J399" s="671"/>
      <c r="P399" s="671"/>
      <c r="Q399" s="671"/>
      <c r="R399" s="671"/>
    </row>
    <row r="400">
      <c r="H400" s="671"/>
      <c r="I400" s="671"/>
      <c r="J400" s="671"/>
      <c r="P400" s="671"/>
      <c r="Q400" s="671"/>
      <c r="R400" s="671"/>
    </row>
    <row r="401">
      <c r="H401" s="671"/>
      <c r="I401" s="671"/>
      <c r="J401" s="671"/>
      <c r="P401" s="671"/>
      <c r="Q401" s="671"/>
      <c r="R401" s="671"/>
    </row>
    <row r="402">
      <c r="H402" s="671"/>
      <c r="I402" s="671"/>
      <c r="J402" s="671"/>
      <c r="P402" s="671"/>
      <c r="Q402" s="671"/>
      <c r="R402" s="671"/>
    </row>
    <row r="403">
      <c r="H403" s="671"/>
      <c r="I403" s="671"/>
      <c r="J403" s="671"/>
      <c r="P403" s="671"/>
      <c r="Q403" s="671"/>
      <c r="R403" s="671"/>
    </row>
    <row r="404">
      <c r="H404" s="671"/>
      <c r="I404" s="671"/>
      <c r="J404" s="671"/>
      <c r="P404" s="671"/>
      <c r="Q404" s="671"/>
      <c r="R404" s="671"/>
    </row>
    <row r="405">
      <c r="H405" s="671"/>
      <c r="I405" s="671"/>
      <c r="J405" s="671"/>
      <c r="P405" s="671"/>
      <c r="Q405" s="671"/>
      <c r="R405" s="671"/>
    </row>
    <row r="406">
      <c r="H406" s="671"/>
      <c r="I406" s="671"/>
      <c r="J406" s="671"/>
      <c r="P406" s="671"/>
      <c r="Q406" s="671"/>
      <c r="R406" s="671"/>
    </row>
    <row r="407">
      <c r="H407" s="671"/>
      <c r="I407" s="671"/>
      <c r="J407" s="671"/>
      <c r="P407" s="671"/>
      <c r="Q407" s="671"/>
      <c r="R407" s="671"/>
    </row>
    <row r="408">
      <c r="H408" s="671"/>
      <c r="I408" s="671"/>
      <c r="J408" s="671"/>
      <c r="P408" s="671"/>
      <c r="Q408" s="671"/>
      <c r="R408" s="671"/>
    </row>
    <row r="409">
      <c r="H409" s="671"/>
      <c r="I409" s="671"/>
      <c r="J409" s="671"/>
      <c r="P409" s="671"/>
      <c r="Q409" s="671"/>
      <c r="R409" s="671"/>
    </row>
    <row r="410">
      <c r="H410" s="671"/>
      <c r="I410" s="671"/>
      <c r="J410" s="671"/>
      <c r="P410" s="671"/>
      <c r="Q410" s="671"/>
      <c r="R410" s="671"/>
    </row>
    <row r="411">
      <c r="H411" s="671"/>
      <c r="I411" s="671"/>
      <c r="J411" s="671"/>
      <c r="P411" s="671"/>
      <c r="Q411" s="671"/>
      <c r="R411" s="671"/>
    </row>
    <row r="412">
      <c r="H412" s="671"/>
      <c r="I412" s="671"/>
      <c r="J412" s="671"/>
      <c r="P412" s="671"/>
      <c r="Q412" s="671"/>
      <c r="R412" s="671"/>
    </row>
    <row r="413">
      <c r="H413" s="671"/>
      <c r="I413" s="671"/>
      <c r="J413" s="671"/>
      <c r="P413" s="671"/>
      <c r="Q413" s="671"/>
      <c r="R413" s="671"/>
    </row>
    <row r="414">
      <c r="H414" s="671"/>
      <c r="I414" s="671"/>
      <c r="J414" s="671"/>
      <c r="P414" s="671"/>
      <c r="Q414" s="671"/>
      <c r="R414" s="671"/>
    </row>
    <row r="415">
      <c r="H415" s="671"/>
      <c r="I415" s="671"/>
      <c r="J415" s="671"/>
      <c r="P415" s="671"/>
      <c r="Q415" s="671"/>
      <c r="R415" s="671"/>
    </row>
    <row r="416">
      <c r="H416" s="671"/>
      <c r="I416" s="671"/>
      <c r="J416" s="671"/>
      <c r="P416" s="671"/>
      <c r="Q416" s="671"/>
      <c r="R416" s="671"/>
    </row>
    <row r="417">
      <c r="H417" s="671"/>
      <c r="I417" s="671"/>
      <c r="J417" s="671"/>
      <c r="P417" s="671"/>
      <c r="Q417" s="671"/>
      <c r="R417" s="671"/>
    </row>
    <row r="418">
      <c r="H418" s="671"/>
      <c r="I418" s="671"/>
      <c r="J418" s="671"/>
      <c r="P418" s="671"/>
      <c r="Q418" s="671"/>
      <c r="R418" s="671"/>
    </row>
    <row r="419">
      <c r="H419" s="671"/>
      <c r="I419" s="671"/>
      <c r="J419" s="671"/>
      <c r="P419" s="671"/>
      <c r="Q419" s="671"/>
      <c r="R419" s="671"/>
    </row>
    <row r="420">
      <c r="H420" s="671"/>
      <c r="I420" s="671"/>
      <c r="J420" s="671"/>
      <c r="P420" s="671"/>
      <c r="Q420" s="671"/>
      <c r="R420" s="671"/>
    </row>
    <row r="421">
      <c r="H421" s="671"/>
      <c r="I421" s="671"/>
      <c r="J421" s="671"/>
      <c r="P421" s="671"/>
      <c r="Q421" s="671"/>
      <c r="R421" s="671"/>
    </row>
    <row r="422">
      <c r="H422" s="671"/>
      <c r="I422" s="671"/>
      <c r="J422" s="671"/>
      <c r="P422" s="671"/>
      <c r="Q422" s="671"/>
      <c r="R422" s="671"/>
    </row>
    <row r="423">
      <c r="H423" s="671"/>
      <c r="I423" s="671"/>
      <c r="J423" s="671"/>
      <c r="P423" s="671"/>
      <c r="Q423" s="671"/>
      <c r="R423" s="671"/>
    </row>
    <row r="424">
      <c r="H424" s="671"/>
      <c r="I424" s="671"/>
      <c r="J424" s="671"/>
      <c r="P424" s="671"/>
      <c r="Q424" s="671"/>
      <c r="R424" s="671"/>
    </row>
    <row r="425">
      <c r="H425" s="671"/>
      <c r="I425" s="671"/>
      <c r="J425" s="671"/>
      <c r="P425" s="671"/>
      <c r="Q425" s="671"/>
      <c r="R425" s="671"/>
    </row>
    <row r="426">
      <c r="H426" s="671"/>
      <c r="I426" s="671"/>
      <c r="J426" s="671"/>
      <c r="P426" s="671"/>
      <c r="Q426" s="671"/>
      <c r="R426" s="671"/>
    </row>
    <row r="427">
      <c r="H427" s="671"/>
      <c r="I427" s="671"/>
      <c r="J427" s="671"/>
      <c r="P427" s="671"/>
      <c r="Q427" s="671"/>
      <c r="R427" s="671"/>
    </row>
    <row r="428">
      <c r="H428" s="671"/>
      <c r="I428" s="671"/>
      <c r="J428" s="671"/>
      <c r="P428" s="671"/>
      <c r="Q428" s="671"/>
      <c r="R428" s="671"/>
    </row>
    <row r="429">
      <c r="H429" s="671"/>
      <c r="I429" s="671"/>
      <c r="J429" s="671"/>
      <c r="P429" s="671"/>
      <c r="Q429" s="671"/>
      <c r="R429" s="671"/>
    </row>
    <row r="430">
      <c r="H430" s="671"/>
      <c r="I430" s="671"/>
      <c r="J430" s="671"/>
      <c r="P430" s="671"/>
      <c r="Q430" s="671"/>
      <c r="R430" s="671"/>
    </row>
    <row r="431">
      <c r="H431" s="671"/>
      <c r="I431" s="671"/>
      <c r="J431" s="671"/>
      <c r="P431" s="671"/>
      <c r="Q431" s="671"/>
      <c r="R431" s="671"/>
    </row>
    <row r="432">
      <c r="H432" s="671"/>
      <c r="I432" s="671"/>
      <c r="J432" s="671"/>
      <c r="P432" s="671"/>
      <c r="Q432" s="671"/>
      <c r="R432" s="671"/>
    </row>
    <row r="433">
      <c r="H433" s="671"/>
      <c r="I433" s="671"/>
      <c r="J433" s="671"/>
      <c r="P433" s="671"/>
      <c r="Q433" s="671"/>
      <c r="R433" s="671"/>
    </row>
    <row r="434">
      <c r="H434" s="671"/>
      <c r="I434" s="671"/>
      <c r="J434" s="671"/>
      <c r="P434" s="671"/>
      <c r="Q434" s="671"/>
      <c r="R434" s="671"/>
    </row>
    <row r="435">
      <c r="H435" s="671"/>
      <c r="I435" s="671"/>
      <c r="J435" s="671"/>
      <c r="P435" s="671"/>
      <c r="Q435" s="671"/>
      <c r="R435" s="671"/>
    </row>
    <row r="436">
      <c r="H436" s="671"/>
      <c r="I436" s="671"/>
      <c r="J436" s="671"/>
      <c r="P436" s="671"/>
      <c r="Q436" s="671"/>
      <c r="R436" s="671"/>
    </row>
    <row r="437">
      <c r="H437" s="671"/>
      <c r="I437" s="671"/>
      <c r="J437" s="671"/>
      <c r="P437" s="671"/>
      <c r="Q437" s="671"/>
      <c r="R437" s="671"/>
    </row>
    <row r="438">
      <c r="H438" s="671"/>
      <c r="I438" s="671"/>
      <c r="J438" s="671"/>
      <c r="P438" s="671"/>
      <c r="Q438" s="671"/>
      <c r="R438" s="671"/>
    </row>
    <row r="439">
      <c r="H439" s="671"/>
      <c r="I439" s="671"/>
      <c r="J439" s="671"/>
      <c r="P439" s="671"/>
      <c r="Q439" s="671"/>
      <c r="R439" s="671"/>
    </row>
    <row r="440">
      <c r="H440" s="671"/>
      <c r="I440" s="671"/>
      <c r="J440" s="671"/>
      <c r="P440" s="671"/>
      <c r="Q440" s="671"/>
      <c r="R440" s="671"/>
    </row>
    <row r="441">
      <c r="H441" s="671"/>
      <c r="I441" s="671"/>
      <c r="J441" s="671"/>
      <c r="P441" s="671"/>
      <c r="Q441" s="671"/>
      <c r="R441" s="671"/>
    </row>
    <row r="442">
      <c r="H442" s="671"/>
      <c r="I442" s="671"/>
      <c r="J442" s="671"/>
      <c r="P442" s="671"/>
      <c r="Q442" s="671"/>
      <c r="R442" s="671"/>
    </row>
    <row r="443">
      <c r="H443" s="671"/>
      <c r="I443" s="671"/>
      <c r="J443" s="671"/>
      <c r="P443" s="671"/>
      <c r="Q443" s="671"/>
      <c r="R443" s="671"/>
    </row>
    <row r="444">
      <c r="H444" s="671"/>
      <c r="I444" s="671"/>
      <c r="J444" s="671"/>
      <c r="P444" s="671"/>
      <c r="Q444" s="671"/>
      <c r="R444" s="671"/>
    </row>
    <row r="445">
      <c r="H445" s="671"/>
      <c r="I445" s="671"/>
      <c r="J445" s="671"/>
      <c r="P445" s="671"/>
      <c r="Q445" s="671"/>
      <c r="R445" s="671"/>
    </row>
    <row r="446">
      <c r="H446" s="671"/>
      <c r="I446" s="671"/>
      <c r="J446" s="671"/>
      <c r="P446" s="671"/>
      <c r="Q446" s="671"/>
      <c r="R446" s="671"/>
    </row>
    <row r="447">
      <c r="H447" s="671"/>
      <c r="I447" s="671"/>
      <c r="J447" s="671"/>
      <c r="P447" s="671"/>
      <c r="Q447" s="671"/>
      <c r="R447" s="671"/>
    </row>
    <row r="448">
      <c r="H448" s="671"/>
      <c r="I448" s="671"/>
      <c r="J448" s="671"/>
      <c r="P448" s="671"/>
      <c r="Q448" s="671"/>
      <c r="R448" s="671"/>
    </row>
    <row r="449">
      <c r="H449" s="671"/>
      <c r="I449" s="671"/>
      <c r="J449" s="671"/>
      <c r="P449" s="671"/>
      <c r="Q449" s="671"/>
      <c r="R449" s="671"/>
    </row>
    <row r="450">
      <c r="H450" s="671"/>
      <c r="I450" s="671"/>
      <c r="J450" s="671"/>
      <c r="P450" s="671"/>
      <c r="Q450" s="671"/>
      <c r="R450" s="671"/>
    </row>
    <row r="451">
      <c r="H451" s="671"/>
      <c r="I451" s="671"/>
      <c r="J451" s="671"/>
      <c r="P451" s="671"/>
      <c r="Q451" s="671"/>
      <c r="R451" s="671"/>
    </row>
    <row r="452">
      <c r="H452" s="671"/>
      <c r="I452" s="671"/>
      <c r="J452" s="671"/>
      <c r="P452" s="671"/>
      <c r="Q452" s="671"/>
      <c r="R452" s="671"/>
    </row>
    <row r="453">
      <c r="H453" s="671"/>
      <c r="I453" s="671"/>
      <c r="J453" s="671"/>
      <c r="P453" s="671"/>
      <c r="Q453" s="671"/>
      <c r="R453" s="671"/>
    </row>
    <row r="454">
      <c r="H454" s="671"/>
      <c r="I454" s="671"/>
      <c r="J454" s="671"/>
      <c r="P454" s="671"/>
      <c r="Q454" s="671"/>
      <c r="R454" s="671"/>
    </row>
    <row r="455">
      <c r="H455" s="671"/>
      <c r="I455" s="671"/>
      <c r="J455" s="671"/>
      <c r="P455" s="671"/>
      <c r="Q455" s="671"/>
      <c r="R455" s="671"/>
    </row>
    <row r="456">
      <c r="H456" s="671"/>
      <c r="I456" s="671"/>
      <c r="J456" s="671"/>
      <c r="P456" s="671"/>
      <c r="Q456" s="671"/>
      <c r="R456" s="671"/>
    </row>
    <row r="457">
      <c r="H457" s="671"/>
      <c r="I457" s="671"/>
      <c r="J457" s="671"/>
      <c r="P457" s="671"/>
      <c r="Q457" s="671"/>
      <c r="R457" s="671"/>
    </row>
    <row r="458">
      <c r="H458" s="671"/>
      <c r="I458" s="671"/>
      <c r="J458" s="671"/>
      <c r="P458" s="671"/>
      <c r="Q458" s="671"/>
      <c r="R458" s="671"/>
    </row>
    <row r="459">
      <c r="H459" s="671"/>
      <c r="I459" s="671"/>
      <c r="J459" s="671"/>
      <c r="P459" s="671"/>
      <c r="Q459" s="671"/>
      <c r="R459" s="671"/>
    </row>
    <row r="460">
      <c r="H460" s="671"/>
      <c r="I460" s="671"/>
      <c r="J460" s="671"/>
      <c r="P460" s="671"/>
      <c r="Q460" s="671"/>
      <c r="R460" s="671"/>
    </row>
    <row r="461">
      <c r="H461" s="671"/>
      <c r="I461" s="671"/>
      <c r="J461" s="671"/>
      <c r="P461" s="671"/>
      <c r="Q461" s="671"/>
      <c r="R461" s="671"/>
    </row>
    <row r="462">
      <c r="H462" s="671"/>
      <c r="I462" s="671"/>
      <c r="J462" s="671"/>
      <c r="P462" s="671"/>
      <c r="Q462" s="671"/>
      <c r="R462" s="671"/>
    </row>
    <row r="463">
      <c r="H463" s="671"/>
      <c r="I463" s="671"/>
      <c r="J463" s="671"/>
      <c r="P463" s="671"/>
      <c r="Q463" s="671"/>
      <c r="R463" s="671"/>
    </row>
    <row r="464">
      <c r="H464" s="671"/>
      <c r="I464" s="671"/>
      <c r="J464" s="671"/>
      <c r="P464" s="671"/>
      <c r="Q464" s="671"/>
      <c r="R464" s="671"/>
    </row>
    <row r="465">
      <c r="H465" s="671"/>
      <c r="I465" s="671"/>
      <c r="J465" s="671"/>
      <c r="P465" s="671"/>
      <c r="Q465" s="671"/>
      <c r="R465" s="671"/>
    </row>
    <row r="466">
      <c r="H466" s="671"/>
      <c r="I466" s="671"/>
      <c r="J466" s="671"/>
      <c r="P466" s="671"/>
      <c r="Q466" s="671"/>
      <c r="R466" s="671"/>
    </row>
    <row r="467">
      <c r="H467" s="671"/>
      <c r="I467" s="671"/>
      <c r="J467" s="671"/>
      <c r="P467" s="671"/>
      <c r="Q467" s="671"/>
      <c r="R467" s="671"/>
    </row>
    <row r="468">
      <c r="H468" s="671"/>
      <c r="I468" s="671"/>
      <c r="J468" s="671"/>
      <c r="P468" s="671"/>
      <c r="Q468" s="671"/>
      <c r="R468" s="671"/>
    </row>
    <row r="469">
      <c r="H469" s="671"/>
      <c r="I469" s="671"/>
      <c r="J469" s="671"/>
      <c r="P469" s="671"/>
      <c r="Q469" s="671"/>
      <c r="R469" s="671"/>
    </row>
    <row r="470">
      <c r="H470" s="671"/>
      <c r="I470" s="671"/>
      <c r="J470" s="671"/>
      <c r="P470" s="671"/>
      <c r="Q470" s="671"/>
      <c r="R470" s="671"/>
    </row>
    <row r="471">
      <c r="H471" s="671"/>
      <c r="I471" s="671"/>
      <c r="J471" s="671"/>
      <c r="P471" s="671"/>
      <c r="Q471" s="671"/>
      <c r="R471" s="671"/>
    </row>
    <row r="472">
      <c r="H472" s="671"/>
      <c r="I472" s="671"/>
      <c r="J472" s="671"/>
      <c r="P472" s="671"/>
      <c r="Q472" s="671"/>
      <c r="R472" s="671"/>
    </row>
    <row r="473">
      <c r="H473" s="671"/>
      <c r="I473" s="671"/>
      <c r="J473" s="671"/>
      <c r="P473" s="671"/>
      <c r="Q473" s="671"/>
      <c r="R473" s="671"/>
    </row>
    <row r="474">
      <c r="H474" s="671"/>
      <c r="I474" s="671"/>
      <c r="J474" s="671"/>
      <c r="P474" s="671"/>
      <c r="Q474" s="671"/>
      <c r="R474" s="671"/>
    </row>
    <row r="475">
      <c r="H475" s="671"/>
      <c r="I475" s="671"/>
      <c r="J475" s="671"/>
      <c r="P475" s="671"/>
      <c r="Q475" s="671"/>
      <c r="R475" s="671"/>
    </row>
    <row r="476">
      <c r="H476" s="671"/>
      <c r="I476" s="671"/>
      <c r="J476" s="671"/>
      <c r="P476" s="671"/>
      <c r="Q476" s="671"/>
      <c r="R476" s="671"/>
    </row>
    <row r="477">
      <c r="H477" s="671"/>
      <c r="I477" s="671"/>
      <c r="J477" s="671"/>
      <c r="P477" s="671"/>
      <c r="Q477" s="671"/>
      <c r="R477" s="671"/>
    </row>
    <row r="478">
      <c r="H478" s="671"/>
      <c r="I478" s="671"/>
      <c r="J478" s="671"/>
      <c r="P478" s="671"/>
      <c r="Q478" s="671"/>
      <c r="R478" s="671"/>
    </row>
    <row r="479">
      <c r="H479" s="671"/>
      <c r="I479" s="671"/>
      <c r="J479" s="671"/>
      <c r="P479" s="671"/>
      <c r="Q479" s="671"/>
      <c r="R479" s="671"/>
    </row>
    <row r="480">
      <c r="H480" s="671"/>
      <c r="I480" s="671"/>
      <c r="J480" s="671"/>
      <c r="P480" s="671"/>
      <c r="Q480" s="671"/>
      <c r="R480" s="671"/>
    </row>
    <row r="481">
      <c r="H481" s="671"/>
      <c r="I481" s="671"/>
      <c r="J481" s="671"/>
      <c r="P481" s="671"/>
      <c r="Q481" s="671"/>
      <c r="R481" s="671"/>
    </row>
    <row r="482">
      <c r="H482" s="671"/>
      <c r="I482" s="671"/>
      <c r="J482" s="671"/>
      <c r="P482" s="671"/>
      <c r="Q482" s="671"/>
      <c r="R482" s="671"/>
    </row>
    <row r="483">
      <c r="H483" s="671"/>
      <c r="I483" s="671"/>
      <c r="J483" s="671"/>
      <c r="P483" s="671"/>
      <c r="Q483" s="671"/>
      <c r="R483" s="671"/>
    </row>
    <row r="484">
      <c r="H484" s="671"/>
      <c r="I484" s="671"/>
      <c r="J484" s="671"/>
      <c r="P484" s="671"/>
      <c r="Q484" s="671"/>
      <c r="R484" s="671"/>
    </row>
    <row r="485">
      <c r="H485" s="671"/>
      <c r="I485" s="671"/>
      <c r="J485" s="671"/>
      <c r="P485" s="671"/>
      <c r="Q485" s="671"/>
      <c r="R485" s="671"/>
    </row>
    <row r="486">
      <c r="H486" s="671"/>
      <c r="I486" s="671"/>
      <c r="J486" s="671"/>
      <c r="P486" s="671"/>
      <c r="Q486" s="671"/>
      <c r="R486" s="671"/>
    </row>
    <row r="487">
      <c r="H487" s="671"/>
      <c r="I487" s="671"/>
      <c r="J487" s="671"/>
      <c r="P487" s="671"/>
      <c r="Q487" s="671"/>
      <c r="R487" s="671"/>
    </row>
    <row r="488">
      <c r="H488" s="671"/>
      <c r="I488" s="671"/>
      <c r="J488" s="671"/>
      <c r="P488" s="671"/>
      <c r="Q488" s="671"/>
      <c r="R488" s="671"/>
    </row>
    <row r="489">
      <c r="H489" s="671"/>
      <c r="I489" s="671"/>
      <c r="J489" s="671"/>
      <c r="P489" s="671"/>
      <c r="Q489" s="671"/>
      <c r="R489" s="671"/>
    </row>
    <row r="490">
      <c r="H490" s="671"/>
      <c r="I490" s="671"/>
      <c r="J490" s="671"/>
      <c r="P490" s="671"/>
      <c r="Q490" s="671"/>
      <c r="R490" s="671"/>
    </row>
    <row r="491">
      <c r="H491" s="671"/>
      <c r="I491" s="671"/>
      <c r="J491" s="671"/>
      <c r="P491" s="671"/>
      <c r="Q491" s="671"/>
      <c r="R491" s="671"/>
    </row>
    <row r="492">
      <c r="H492" s="671"/>
      <c r="I492" s="671"/>
      <c r="J492" s="671"/>
      <c r="P492" s="671"/>
      <c r="Q492" s="671"/>
      <c r="R492" s="671"/>
    </row>
    <row r="493">
      <c r="H493" s="671"/>
      <c r="I493" s="671"/>
      <c r="J493" s="671"/>
      <c r="P493" s="671"/>
      <c r="Q493" s="671"/>
      <c r="R493" s="671"/>
    </row>
    <row r="494">
      <c r="H494" s="671"/>
      <c r="I494" s="671"/>
      <c r="J494" s="671"/>
      <c r="P494" s="671"/>
      <c r="Q494" s="671"/>
      <c r="R494" s="671"/>
    </row>
    <row r="495">
      <c r="H495" s="671"/>
      <c r="I495" s="671"/>
      <c r="J495" s="671"/>
      <c r="P495" s="671"/>
      <c r="Q495" s="671"/>
      <c r="R495" s="671"/>
    </row>
    <row r="496">
      <c r="H496" s="671"/>
      <c r="I496" s="671"/>
      <c r="J496" s="671"/>
      <c r="P496" s="671"/>
      <c r="Q496" s="671"/>
      <c r="R496" s="671"/>
    </row>
    <row r="497">
      <c r="H497" s="671"/>
      <c r="I497" s="671"/>
      <c r="J497" s="671"/>
      <c r="P497" s="671"/>
      <c r="Q497" s="671"/>
      <c r="R497" s="671"/>
    </row>
    <row r="498">
      <c r="H498" s="671"/>
      <c r="I498" s="671"/>
      <c r="J498" s="671"/>
      <c r="P498" s="671"/>
      <c r="Q498" s="671"/>
      <c r="R498" s="671"/>
    </row>
    <row r="499">
      <c r="H499" s="671"/>
      <c r="I499" s="671"/>
      <c r="J499" s="671"/>
      <c r="P499" s="671"/>
      <c r="Q499" s="671"/>
      <c r="R499" s="671"/>
    </row>
    <row r="500">
      <c r="H500" s="671"/>
      <c r="I500" s="671"/>
      <c r="J500" s="671"/>
      <c r="P500" s="671"/>
      <c r="Q500" s="671"/>
      <c r="R500" s="671"/>
    </row>
    <row r="501">
      <c r="H501" s="671"/>
      <c r="I501" s="671"/>
      <c r="J501" s="671"/>
      <c r="P501" s="671"/>
      <c r="Q501" s="671"/>
      <c r="R501" s="671"/>
    </row>
    <row r="502">
      <c r="H502" s="671"/>
      <c r="I502" s="671"/>
      <c r="J502" s="671"/>
      <c r="P502" s="671"/>
      <c r="Q502" s="671"/>
      <c r="R502" s="671"/>
    </row>
    <row r="503">
      <c r="H503" s="671"/>
      <c r="I503" s="671"/>
      <c r="J503" s="671"/>
      <c r="P503" s="671"/>
      <c r="Q503" s="671"/>
      <c r="R503" s="671"/>
    </row>
    <row r="504">
      <c r="H504" s="671"/>
      <c r="I504" s="671"/>
      <c r="J504" s="671"/>
      <c r="P504" s="671"/>
      <c r="Q504" s="671"/>
      <c r="R504" s="671"/>
    </row>
    <row r="505">
      <c r="H505" s="671"/>
      <c r="I505" s="671"/>
      <c r="J505" s="671"/>
      <c r="P505" s="671"/>
      <c r="Q505" s="671"/>
      <c r="R505" s="671"/>
    </row>
    <row r="506">
      <c r="H506" s="671"/>
      <c r="I506" s="671"/>
      <c r="J506" s="671"/>
      <c r="P506" s="671"/>
      <c r="Q506" s="671"/>
      <c r="R506" s="671"/>
    </row>
    <row r="507">
      <c r="H507" s="671"/>
      <c r="I507" s="671"/>
      <c r="J507" s="671"/>
      <c r="P507" s="671"/>
      <c r="Q507" s="671"/>
      <c r="R507" s="671"/>
    </row>
    <row r="508">
      <c r="H508" s="671"/>
      <c r="I508" s="671"/>
      <c r="J508" s="671"/>
      <c r="P508" s="671"/>
      <c r="Q508" s="671"/>
      <c r="R508" s="671"/>
    </row>
    <row r="509">
      <c r="H509" s="671"/>
      <c r="I509" s="671"/>
      <c r="J509" s="671"/>
      <c r="P509" s="671"/>
      <c r="Q509" s="671"/>
      <c r="R509" s="671"/>
    </row>
    <row r="510">
      <c r="H510" s="671"/>
      <c r="I510" s="671"/>
      <c r="J510" s="671"/>
      <c r="P510" s="671"/>
      <c r="Q510" s="671"/>
      <c r="R510" s="671"/>
    </row>
    <row r="511">
      <c r="H511" s="671"/>
      <c r="I511" s="671"/>
      <c r="J511" s="671"/>
      <c r="P511" s="671"/>
      <c r="Q511" s="671"/>
      <c r="R511" s="671"/>
    </row>
    <row r="512">
      <c r="H512" s="671"/>
      <c r="I512" s="671"/>
      <c r="J512" s="671"/>
      <c r="P512" s="671"/>
      <c r="Q512" s="671"/>
      <c r="R512" s="671"/>
    </row>
    <row r="513">
      <c r="H513" s="671"/>
      <c r="I513" s="671"/>
      <c r="J513" s="671"/>
      <c r="P513" s="671"/>
      <c r="Q513" s="671"/>
      <c r="R513" s="671"/>
    </row>
    <row r="514">
      <c r="H514" s="671"/>
      <c r="I514" s="671"/>
      <c r="J514" s="671"/>
      <c r="P514" s="671"/>
      <c r="Q514" s="671"/>
      <c r="R514" s="671"/>
    </row>
    <row r="515">
      <c r="H515" s="671"/>
      <c r="I515" s="671"/>
      <c r="J515" s="671"/>
      <c r="P515" s="671"/>
      <c r="Q515" s="671"/>
      <c r="R515" s="671"/>
    </row>
    <row r="516">
      <c r="H516" s="671"/>
      <c r="I516" s="671"/>
      <c r="J516" s="671"/>
      <c r="P516" s="671"/>
      <c r="Q516" s="671"/>
      <c r="R516" s="671"/>
    </row>
    <row r="517">
      <c r="H517" s="671"/>
      <c r="I517" s="671"/>
      <c r="J517" s="671"/>
      <c r="P517" s="671"/>
      <c r="Q517" s="671"/>
      <c r="R517" s="671"/>
    </row>
    <row r="518">
      <c r="H518" s="671"/>
      <c r="I518" s="671"/>
      <c r="J518" s="671"/>
      <c r="P518" s="671"/>
      <c r="Q518" s="671"/>
      <c r="R518" s="671"/>
    </row>
    <row r="519">
      <c r="H519" s="671"/>
      <c r="I519" s="671"/>
      <c r="J519" s="671"/>
      <c r="P519" s="671"/>
      <c r="Q519" s="671"/>
      <c r="R519" s="671"/>
    </row>
    <row r="520">
      <c r="H520" s="671"/>
      <c r="I520" s="671"/>
      <c r="J520" s="671"/>
      <c r="P520" s="671"/>
      <c r="Q520" s="671"/>
      <c r="R520" s="671"/>
    </row>
    <row r="521">
      <c r="H521" s="671"/>
      <c r="I521" s="671"/>
      <c r="J521" s="671"/>
      <c r="P521" s="671"/>
      <c r="Q521" s="671"/>
      <c r="R521" s="671"/>
    </row>
    <row r="522">
      <c r="H522" s="671"/>
      <c r="I522" s="671"/>
      <c r="J522" s="671"/>
      <c r="P522" s="671"/>
      <c r="Q522" s="671"/>
      <c r="R522" s="671"/>
    </row>
    <row r="523">
      <c r="H523" s="671"/>
      <c r="I523" s="671"/>
      <c r="J523" s="671"/>
      <c r="P523" s="671"/>
      <c r="Q523" s="671"/>
      <c r="R523" s="671"/>
    </row>
    <row r="524">
      <c r="H524" s="671"/>
      <c r="I524" s="671"/>
      <c r="J524" s="671"/>
      <c r="P524" s="671"/>
      <c r="Q524" s="671"/>
      <c r="R524" s="671"/>
    </row>
    <row r="525">
      <c r="H525" s="671"/>
      <c r="I525" s="671"/>
      <c r="J525" s="671"/>
      <c r="P525" s="671"/>
      <c r="Q525" s="671"/>
      <c r="R525" s="671"/>
    </row>
    <row r="526">
      <c r="H526" s="671"/>
      <c r="I526" s="671"/>
      <c r="J526" s="671"/>
      <c r="P526" s="671"/>
      <c r="Q526" s="671"/>
      <c r="R526" s="671"/>
    </row>
    <row r="527">
      <c r="H527" s="671"/>
      <c r="I527" s="671"/>
      <c r="J527" s="671"/>
      <c r="P527" s="671"/>
      <c r="Q527" s="671"/>
      <c r="R527" s="671"/>
    </row>
    <row r="528">
      <c r="H528" s="671"/>
      <c r="I528" s="671"/>
      <c r="J528" s="671"/>
      <c r="P528" s="671"/>
      <c r="Q528" s="671"/>
      <c r="R528" s="671"/>
    </row>
    <row r="529">
      <c r="H529" s="671"/>
      <c r="I529" s="671"/>
      <c r="J529" s="671"/>
      <c r="P529" s="671"/>
      <c r="Q529" s="671"/>
      <c r="R529" s="671"/>
    </row>
    <row r="530">
      <c r="H530" s="671"/>
      <c r="I530" s="671"/>
      <c r="J530" s="671"/>
      <c r="P530" s="671"/>
      <c r="Q530" s="671"/>
      <c r="R530" s="671"/>
    </row>
    <row r="531">
      <c r="H531" s="671"/>
      <c r="I531" s="671"/>
      <c r="J531" s="671"/>
      <c r="P531" s="671"/>
      <c r="Q531" s="671"/>
      <c r="R531" s="671"/>
    </row>
    <row r="532">
      <c r="H532" s="671"/>
      <c r="I532" s="671"/>
      <c r="J532" s="671"/>
      <c r="P532" s="671"/>
      <c r="Q532" s="671"/>
      <c r="R532" s="671"/>
    </row>
    <row r="533">
      <c r="H533" s="671"/>
      <c r="I533" s="671"/>
      <c r="J533" s="671"/>
      <c r="P533" s="671"/>
      <c r="Q533" s="671"/>
      <c r="R533" s="671"/>
    </row>
    <row r="534">
      <c r="H534" s="671"/>
      <c r="I534" s="671"/>
      <c r="J534" s="671"/>
      <c r="P534" s="671"/>
      <c r="Q534" s="671"/>
      <c r="R534" s="671"/>
    </row>
    <row r="535">
      <c r="H535" s="671"/>
      <c r="I535" s="671"/>
      <c r="J535" s="671"/>
      <c r="P535" s="671"/>
      <c r="Q535" s="671"/>
      <c r="R535" s="671"/>
    </row>
    <row r="536">
      <c r="H536" s="671"/>
      <c r="I536" s="671"/>
      <c r="J536" s="671"/>
      <c r="P536" s="671"/>
      <c r="Q536" s="671"/>
      <c r="R536" s="671"/>
    </row>
    <row r="537">
      <c r="H537" s="671"/>
      <c r="I537" s="671"/>
      <c r="J537" s="671"/>
      <c r="P537" s="671"/>
      <c r="Q537" s="671"/>
      <c r="R537" s="671"/>
    </row>
    <row r="538">
      <c r="H538" s="671"/>
      <c r="I538" s="671"/>
      <c r="J538" s="671"/>
      <c r="P538" s="671"/>
      <c r="Q538" s="671"/>
      <c r="R538" s="671"/>
    </row>
    <row r="539">
      <c r="H539" s="671"/>
      <c r="I539" s="671"/>
      <c r="J539" s="671"/>
      <c r="P539" s="671"/>
      <c r="Q539" s="671"/>
      <c r="R539" s="671"/>
    </row>
    <row r="540">
      <c r="H540" s="671"/>
      <c r="I540" s="671"/>
      <c r="J540" s="671"/>
      <c r="P540" s="671"/>
      <c r="Q540" s="671"/>
      <c r="R540" s="671"/>
    </row>
    <row r="541">
      <c r="H541" s="671"/>
      <c r="I541" s="671"/>
      <c r="J541" s="671"/>
      <c r="P541" s="671"/>
      <c r="Q541" s="671"/>
      <c r="R541" s="671"/>
    </row>
    <row r="542">
      <c r="H542" s="671"/>
      <c r="I542" s="671"/>
      <c r="J542" s="671"/>
      <c r="P542" s="671"/>
      <c r="Q542" s="671"/>
      <c r="R542" s="671"/>
    </row>
    <row r="543">
      <c r="H543" s="671"/>
      <c r="I543" s="671"/>
      <c r="J543" s="671"/>
      <c r="P543" s="671"/>
      <c r="Q543" s="671"/>
      <c r="R543" s="671"/>
    </row>
    <row r="544">
      <c r="H544" s="671"/>
      <c r="I544" s="671"/>
      <c r="J544" s="671"/>
      <c r="P544" s="671"/>
      <c r="Q544" s="671"/>
      <c r="R544" s="671"/>
    </row>
    <row r="545">
      <c r="H545" s="671"/>
      <c r="I545" s="671"/>
      <c r="J545" s="671"/>
      <c r="P545" s="671"/>
      <c r="Q545" s="671"/>
      <c r="R545" s="671"/>
    </row>
    <row r="546">
      <c r="H546" s="671"/>
      <c r="I546" s="671"/>
      <c r="J546" s="671"/>
      <c r="P546" s="671"/>
      <c r="Q546" s="671"/>
      <c r="R546" s="671"/>
    </row>
    <row r="547">
      <c r="H547" s="671"/>
      <c r="I547" s="671"/>
      <c r="J547" s="671"/>
      <c r="P547" s="671"/>
      <c r="Q547" s="671"/>
      <c r="R547" s="671"/>
    </row>
    <row r="548">
      <c r="H548" s="671"/>
      <c r="I548" s="671"/>
      <c r="J548" s="671"/>
      <c r="P548" s="671"/>
      <c r="Q548" s="671"/>
      <c r="R548" s="671"/>
    </row>
    <row r="549">
      <c r="H549" s="671"/>
      <c r="I549" s="671"/>
      <c r="J549" s="671"/>
      <c r="P549" s="671"/>
      <c r="Q549" s="671"/>
      <c r="R549" s="671"/>
    </row>
    <row r="550">
      <c r="H550" s="671"/>
      <c r="I550" s="671"/>
      <c r="J550" s="671"/>
      <c r="P550" s="671"/>
      <c r="Q550" s="671"/>
      <c r="R550" s="671"/>
    </row>
    <row r="551">
      <c r="H551" s="671"/>
      <c r="I551" s="671"/>
      <c r="J551" s="671"/>
      <c r="P551" s="671"/>
      <c r="Q551" s="671"/>
      <c r="R551" s="671"/>
    </row>
    <row r="552">
      <c r="H552" s="671"/>
      <c r="I552" s="671"/>
      <c r="J552" s="671"/>
      <c r="P552" s="671"/>
      <c r="Q552" s="671"/>
      <c r="R552" s="671"/>
    </row>
    <row r="553">
      <c r="H553" s="671"/>
      <c r="I553" s="671"/>
      <c r="J553" s="671"/>
      <c r="P553" s="671"/>
      <c r="Q553" s="671"/>
      <c r="R553" s="671"/>
    </row>
    <row r="554">
      <c r="H554" s="671"/>
      <c r="I554" s="671"/>
      <c r="J554" s="671"/>
      <c r="P554" s="671"/>
      <c r="Q554" s="671"/>
      <c r="R554" s="671"/>
    </row>
    <row r="555">
      <c r="H555" s="671"/>
      <c r="I555" s="671"/>
      <c r="J555" s="671"/>
      <c r="P555" s="671"/>
      <c r="Q555" s="671"/>
      <c r="R555" s="671"/>
    </row>
    <row r="556">
      <c r="H556" s="671"/>
      <c r="I556" s="671"/>
      <c r="J556" s="671"/>
      <c r="P556" s="671"/>
      <c r="Q556" s="671"/>
      <c r="R556" s="671"/>
    </row>
    <row r="557">
      <c r="H557" s="671"/>
      <c r="I557" s="671"/>
      <c r="J557" s="671"/>
      <c r="P557" s="671"/>
      <c r="Q557" s="671"/>
      <c r="R557" s="671"/>
    </row>
    <row r="558">
      <c r="H558" s="671"/>
      <c r="I558" s="671"/>
      <c r="J558" s="671"/>
      <c r="P558" s="671"/>
      <c r="Q558" s="671"/>
      <c r="R558" s="671"/>
    </row>
    <row r="559">
      <c r="H559" s="671"/>
      <c r="I559" s="671"/>
      <c r="J559" s="671"/>
      <c r="P559" s="671"/>
      <c r="Q559" s="671"/>
      <c r="R559" s="671"/>
    </row>
    <row r="560">
      <c r="H560" s="671"/>
      <c r="I560" s="671"/>
      <c r="J560" s="671"/>
      <c r="P560" s="671"/>
      <c r="Q560" s="671"/>
      <c r="R560" s="671"/>
    </row>
    <row r="561">
      <c r="H561" s="671"/>
      <c r="I561" s="671"/>
      <c r="J561" s="671"/>
      <c r="P561" s="671"/>
      <c r="Q561" s="671"/>
      <c r="R561" s="671"/>
    </row>
    <row r="562">
      <c r="H562" s="671"/>
      <c r="I562" s="671"/>
      <c r="J562" s="671"/>
      <c r="P562" s="671"/>
      <c r="Q562" s="671"/>
      <c r="R562" s="671"/>
    </row>
    <row r="563">
      <c r="H563" s="671"/>
      <c r="I563" s="671"/>
      <c r="J563" s="671"/>
      <c r="P563" s="671"/>
      <c r="Q563" s="671"/>
      <c r="R563" s="671"/>
    </row>
    <row r="564">
      <c r="H564" s="671"/>
      <c r="I564" s="671"/>
      <c r="J564" s="671"/>
      <c r="P564" s="671"/>
      <c r="Q564" s="671"/>
      <c r="R564" s="671"/>
    </row>
    <row r="565">
      <c r="H565" s="671"/>
      <c r="I565" s="671"/>
      <c r="J565" s="671"/>
      <c r="P565" s="671"/>
      <c r="Q565" s="671"/>
      <c r="R565" s="671"/>
    </row>
    <row r="566">
      <c r="H566" s="671"/>
      <c r="I566" s="671"/>
      <c r="J566" s="671"/>
      <c r="P566" s="671"/>
      <c r="Q566" s="671"/>
      <c r="R566" s="671"/>
    </row>
    <row r="567">
      <c r="H567" s="671"/>
      <c r="I567" s="671"/>
      <c r="J567" s="671"/>
      <c r="P567" s="671"/>
      <c r="Q567" s="671"/>
      <c r="R567" s="671"/>
    </row>
    <row r="568">
      <c r="H568" s="671"/>
      <c r="I568" s="671"/>
      <c r="J568" s="671"/>
      <c r="P568" s="671"/>
      <c r="Q568" s="671"/>
      <c r="R568" s="671"/>
    </row>
    <row r="569">
      <c r="H569" s="671"/>
      <c r="I569" s="671"/>
      <c r="J569" s="671"/>
      <c r="P569" s="671"/>
      <c r="Q569" s="671"/>
      <c r="R569" s="671"/>
    </row>
    <row r="570">
      <c r="H570" s="671"/>
      <c r="I570" s="671"/>
      <c r="J570" s="671"/>
      <c r="P570" s="671"/>
      <c r="Q570" s="671"/>
      <c r="R570" s="671"/>
    </row>
    <row r="571">
      <c r="H571" s="671"/>
      <c r="I571" s="671"/>
      <c r="J571" s="671"/>
      <c r="P571" s="671"/>
      <c r="Q571" s="671"/>
      <c r="R571" s="671"/>
    </row>
    <row r="572">
      <c r="H572" s="671"/>
      <c r="I572" s="671"/>
      <c r="J572" s="671"/>
      <c r="P572" s="671"/>
      <c r="Q572" s="671"/>
      <c r="R572" s="671"/>
    </row>
    <row r="573">
      <c r="H573" s="671"/>
      <c r="I573" s="671"/>
      <c r="J573" s="671"/>
      <c r="P573" s="671"/>
      <c r="Q573" s="671"/>
      <c r="R573" s="671"/>
    </row>
    <row r="574">
      <c r="H574" s="671"/>
      <c r="I574" s="671"/>
      <c r="J574" s="671"/>
      <c r="P574" s="671"/>
      <c r="Q574" s="671"/>
      <c r="R574" s="671"/>
    </row>
    <row r="575">
      <c r="H575" s="671"/>
      <c r="I575" s="671"/>
      <c r="J575" s="671"/>
      <c r="P575" s="671"/>
      <c r="Q575" s="671"/>
      <c r="R575" s="671"/>
    </row>
    <row r="576">
      <c r="H576" s="671"/>
      <c r="I576" s="671"/>
      <c r="J576" s="671"/>
      <c r="P576" s="671"/>
      <c r="Q576" s="671"/>
      <c r="R576" s="671"/>
    </row>
    <row r="577">
      <c r="H577" s="671"/>
      <c r="I577" s="671"/>
      <c r="J577" s="671"/>
      <c r="P577" s="671"/>
      <c r="Q577" s="671"/>
      <c r="R577" s="671"/>
    </row>
    <row r="578">
      <c r="H578" s="671"/>
      <c r="I578" s="671"/>
      <c r="J578" s="671"/>
      <c r="P578" s="671"/>
      <c r="Q578" s="671"/>
      <c r="R578" s="671"/>
    </row>
    <row r="579">
      <c r="H579" s="671"/>
      <c r="I579" s="671"/>
      <c r="J579" s="671"/>
      <c r="P579" s="671"/>
      <c r="Q579" s="671"/>
      <c r="R579" s="671"/>
    </row>
    <row r="580">
      <c r="H580" s="671"/>
      <c r="I580" s="671"/>
      <c r="J580" s="671"/>
      <c r="P580" s="671"/>
      <c r="Q580" s="671"/>
      <c r="R580" s="671"/>
    </row>
    <row r="581">
      <c r="H581" s="671"/>
      <c r="I581" s="671"/>
      <c r="J581" s="671"/>
      <c r="P581" s="671"/>
      <c r="Q581" s="671"/>
      <c r="R581" s="671"/>
    </row>
    <row r="582">
      <c r="H582" s="671"/>
      <c r="I582" s="671"/>
      <c r="J582" s="671"/>
      <c r="P582" s="671"/>
      <c r="Q582" s="671"/>
      <c r="R582" s="671"/>
    </row>
    <row r="583">
      <c r="H583" s="671"/>
      <c r="I583" s="671"/>
      <c r="J583" s="671"/>
      <c r="P583" s="671"/>
      <c r="Q583" s="671"/>
      <c r="R583" s="671"/>
    </row>
    <row r="584">
      <c r="H584" s="671"/>
      <c r="I584" s="671"/>
      <c r="J584" s="671"/>
      <c r="P584" s="671"/>
      <c r="Q584" s="671"/>
      <c r="R584" s="671"/>
    </row>
    <row r="585">
      <c r="H585" s="671"/>
      <c r="I585" s="671"/>
      <c r="J585" s="671"/>
      <c r="P585" s="671"/>
      <c r="Q585" s="671"/>
      <c r="R585" s="671"/>
    </row>
    <row r="586">
      <c r="H586" s="671"/>
      <c r="I586" s="671"/>
      <c r="J586" s="671"/>
      <c r="P586" s="671"/>
      <c r="Q586" s="671"/>
      <c r="R586" s="671"/>
    </row>
    <row r="587">
      <c r="H587" s="671"/>
      <c r="I587" s="671"/>
      <c r="J587" s="671"/>
      <c r="P587" s="671"/>
      <c r="Q587" s="671"/>
      <c r="R587" s="671"/>
    </row>
    <row r="588">
      <c r="H588" s="671"/>
      <c r="I588" s="671"/>
      <c r="J588" s="671"/>
      <c r="P588" s="671"/>
      <c r="Q588" s="671"/>
      <c r="R588" s="671"/>
    </row>
    <row r="589">
      <c r="H589" s="671"/>
      <c r="I589" s="671"/>
      <c r="J589" s="671"/>
      <c r="P589" s="671"/>
      <c r="Q589" s="671"/>
      <c r="R589" s="671"/>
    </row>
    <row r="590">
      <c r="H590" s="671"/>
      <c r="I590" s="671"/>
      <c r="J590" s="671"/>
      <c r="P590" s="671"/>
      <c r="Q590" s="671"/>
      <c r="R590" s="671"/>
    </row>
    <row r="591">
      <c r="H591" s="671"/>
      <c r="I591" s="671"/>
      <c r="J591" s="671"/>
      <c r="P591" s="671"/>
      <c r="Q591" s="671"/>
      <c r="R591" s="671"/>
    </row>
    <row r="592">
      <c r="H592" s="671"/>
      <c r="I592" s="671"/>
      <c r="J592" s="671"/>
      <c r="P592" s="671"/>
      <c r="Q592" s="671"/>
      <c r="R592" s="671"/>
    </row>
    <row r="593">
      <c r="H593" s="671"/>
      <c r="I593" s="671"/>
      <c r="J593" s="671"/>
      <c r="P593" s="671"/>
      <c r="Q593" s="671"/>
      <c r="R593" s="671"/>
    </row>
    <row r="594">
      <c r="H594" s="671"/>
      <c r="I594" s="671"/>
      <c r="J594" s="671"/>
      <c r="P594" s="671"/>
      <c r="Q594" s="671"/>
      <c r="R594" s="671"/>
    </row>
    <row r="595">
      <c r="H595" s="671"/>
      <c r="I595" s="671"/>
      <c r="J595" s="671"/>
      <c r="P595" s="671"/>
      <c r="Q595" s="671"/>
      <c r="R595" s="671"/>
    </row>
    <row r="596">
      <c r="H596" s="671"/>
      <c r="I596" s="671"/>
      <c r="J596" s="671"/>
      <c r="P596" s="671"/>
      <c r="Q596" s="671"/>
      <c r="R596" s="671"/>
    </row>
    <row r="597">
      <c r="H597" s="671"/>
      <c r="I597" s="671"/>
      <c r="J597" s="671"/>
      <c r="P597" s="671"/>
      <c r="Q597" s="671"/>
      <c r="R597" s="671"/>
    </row>
    <row r="598">
      <c r="H598" s="671"/>
      <c r="I598" s="671"/>
      <c r="J598" s="671"/>
      <c r="P598" s="671"/>
      <c r="Q598" s="671"/>
      <c r="R598" s="671"/>
    </row>
    <row r="599">
      <c r="H599" s="671"/>
      <c r="I599" s="671"/>
      <c r="J599" s="671"/>
      <c r="P599" s="671"/>
      <c r="Q599" s="671"/>
      <c r="R599" s="671"/>
    </row>
    <row r="600">
      <c r="H600" s="671"/>
      <c r="I600" s="671"/>
      <c r="J600" s="671"/>
      <c r="P600" s="671"/>
      <c r="Q600" s="671"/>
      <c r="R600" s="671"/>
    </row>
    <row r="601">
      <c r="H601" s="671"/>
      <c r="I601" s="671"/>
      <c r="J601" s="671"/>
      <c r="P601" s="671"/>
      <c r="Q601" s="671"/>
      <c r="R601" s="671"/>
    </row>
    <row r="602">
      <c r="H602" s="671"/>
      <c r="I602" s="671"/>
      <c r="J602" s="671"/>
      <c r="P602" s="671"/>
      <c r="Q602" s="671"/>
      <c r="R602" s="671"/>
    </row>
    <row r="603">
      <c r="H603" s="671"/>
      <c r="I603" s="671"/>
      <c r="J603" s="671"/>
      <c r="P603" s="671"/>
      <c r="Q603" s="671"/>
      <c r="R603" s="671"/>
    </row>
    <row r="604">
      <c r="H604" s="671"/>
      <c r="I604" s="671"/>
      <c r="J604" s="671"/>
      <c r="P604" s="671"/>
      <c r="Q604" s="671"/>
      <c r="R604" s="671"/>
    </row>
    <row r="605">
      <c r="H605" s="671"/>
      <c r="I605" s="671"/>
      <c r="J605" s="671"/>
      <c r="P605" s="671"/>
      <c r="Q605" s="671"/>
      <c r="R605" s="671"/>
    </row>
    <row r="606">
      <c r="H606" s="671"/>
      <c r="I606" s="671"/>
      <c r="J606" s="671"/>
      <c r="P606" s="671"/>
      <c r="Q606" s="671"/>
      <c r="R606" s="671"/>
    </row>
    <row r="607">
      <c r="H607" s="671"/>
      <c r="I607" s="671"/>
      <c r="J607" s="671"/>
      <c r="P607" s="671"/>
      <c r="Q607" s="671"/>
      <c r="R607" s="671"/>
    </row>
    <row r="608">
      <c r="H608" s="671"/>
      <c r="I608" s="671"/>
      <c r="J608" s="671"/>
      <c r="P608" s="671"/>
      <c r="Q608" s="671"/>
      <c r="R608" s="671"/>
    </row>
    <row r="609">
      <c r="H609" s="671"/>
      <c r="I609" s="671"/>
      <c r="J609" s="671"/>
      <c r="P609" s="671"/>
      <c r="Q609" s="671"/>
      <c r="R609" s="671"/>
    </row>
    <row r="610">
      <c r="H610" s="671"/>
      <c r="I610" s="671"/>
      <c r="J610" s="671"/>
      <c r="P610" s="671"/>
      <c r="Q610" s="671"/>
      <c r="R610" s="671"/>
    </row>
    <row r="611">
      <c r="H611" s="671"/>
      <c r="I611" s="671"/>
      <c r="J611" s="671"/>
      <c r="P611" s="671"/>
      <c r="Q611" s="671"/>
      <c r="R611" s="671"/>
    </row>
    <row r="612">
      <c r="H612" s="671"/>
      <c r="I612" s="671"/>
      <c r="J612" s="671"/>
      <c r="P612" s="671"/>
      <c r="Q612" s="671"/>
      <c r="R612" s="671"/>
    </row>
    <row r="613">
      <c r="H613" s="671"/>
      <c r="I613" s="671"/>
      <c r="J613" s="671"/>
      <c r="P613" s="671"/>
      <c r="Q613" s="671"/>
      <c r="R613" s="671"/>
    </row>
    <row r="614">
      <c r="H614" s="671"/>
      <c r="I614" s="671"/>
      <c r="J614" s="671"/>
      <c r="P614" s="671"/>
      <c r="Q614" s="671"/>
      <c r="R614" s="671"/>
    </row>
    <row r="615">
      <c r="H615" s="671"/>
      <c r="I615" s="671"/>
      <c r="J615" s="671"/>
      <c r="P615" s="671"/>
      <c r="Q615" s="671"/>
      <c r="R615" s="671"/>
    </row>
    <row r="616">
      <c r="H616" s="671"/>
      <c r="I616" s="671"/>
      <c r="J616" s="671"/>
      <c r="P616" s="671"/>
      <c r="Q616" s="671"/>
      <c r="R616" s="671"/>
    </row>
    <row r="617">
      <c r="H617" s="671"/>
      <c r="I617" s="671"/>
      <c r="J617" s="671"/>
      <c r="P617" s="671"/>
      <c r="Q617" s="671"/>
      <c r="R617" s="671"/>
    </row>
    <row r="618">
      <c r="H618" s="671"/>
      <c r="I618" s="671"/>
      <c r="J618" s="671"/>
      <c r="P618" s="671"/>
      <c r="Q618" s="671"/>
      <c r="R618" s="671"/>
    </row>
    <row r="619">
      <c r="H619" s="671"/>
      <c r="I619" s="671"/>
      <c r="J619" s="671"/>
      <c r="P619" s="671"/>
      <c r="Q619" s="671"/>
      <c r="R619" s="671"/>
    </row>
    <row r="620">
      <c r="H620" s="671"/>
      <c r="I620" s="671"/>
      <c r="J620" s="671"/>
      <c r="P620" s="671"/>
      <c r="Q620" s="671"/>
      <c r="R620" s="671"/>
    </row>
    <row r="621">
      <c r="H621" s="671"/>
      <c r="I621" s="671"/>
      <c r="J621" s="671"/>
      <c r="P621" s="671"/>
      <c r="Q621" s="671"/>
      <c r="R621" s="671"/>
    </row>
    <row r="622">
      <c r="H622" s="671"/>
      <c r="I622" s="671"/>
      <c r="J622" s="671"/>
      <c r="P622" s="671"/>
      <c r="Q622" s="671"/>
      <c r="R622" s="671"/>
    </row>
    <row r="623">
      <c r="H623" s="671"/>
      <c r="I623" s="671"/>
      <c r="J623" s="671"/>
      <c r="P623" s="671"/>
      <c r="Q623" s="671"/>
      <c r="R623" s="671"/>
    </row>
    <row r="624">
      <c r="H624" s="671"/>
      <c r="I624" s="671"/>
      <c r="J624" s="671"/>
      <c r="P624" s="671"/>
      <c r="Q624" s="671"/>
      <c r="R624" s="671"/>
    </row>
    <row r="625">
      <c r="H625" s="671"/>
      <c r="I625" s="671"/>
      <c r="J625" s="671"/>
      <c r="P625" s="671"/>
      <c r="Q625" s="671"/>
      <c r="R625" s="671"/>
    </row>
    <row r="626">
      <c r="H626" s="671"/>
      <c r="I626" s="671"/>
      <c r="J626" s="671"/>
      <c r="P626" s="671"/>
      <c r="Q626" s="671"/>
      <c r="R626" s="671"/>
    </row>
    <row r="627">
      <c r="H627" s="671"/>
      <c r="I627" s="671"/>
      <c r="J627" s="671"/>
      <c r="P627" s="671"/>
      <c r="Q627" s="671"/>
      <c r="R627" s="671"/>
    </row>
    <row r="628">
      <c r="H628" s="671"/>
      <c r="I628" s="671"/>
      <c r="J628" s="671"/>
      <c r="P628" s="671"/>
      <c r="Q628" s="671"/>
      <c r="R628" s="671"/>
    </row>
    <row r="629">
      <c r="H629" s="671"/>
      <c r="I629" s="671"/>
      <c r="J629" s="671"/>
      <c r="P629" s="671"/>
      <c r="Q629" s="671"/>
      <c r="R629" s="671"/>
    </row>
    <row r="630">
      <c r="H630" s="671"/>
      <c r="I630" s="671"/>
      <c r="J630" s="671"/>
      <c r="P630" s="671"/>
      <c r="Q630" s="671"/>
      <c r="R630" s="671"/>
    </row>
    <row r="631">
      <c r="H631" s="671"/>
      <c r="I631" s="671"/>
      <c r="J631" s="671"/>
      <c r="P631" s="671"/>
      <c r="Q631" s="671"/>
      <c r="R631" s="671"/>
    </row>
    <row r="632">
      <c r="H632" s="671"/>
      <c r="I632" s="671"/>
      <c r="J632" s="671"/>
      <c r="P632" s="671"/>
      <c r="Q632" s="671"/>
      <c r="R632" s="671"/>
    </row>
    <row r="633">
      <c r="H633" s="671"/>
      <c r="I633" s="671"/>
      <c r="J633" s="671"/>
      <c r="P633" s="671"/>
      <c r="Q633" s="671"/>
      <c r="R633" s="671"/>
    </row>
    <row r="634">
      <c r="H634" s="671"/>
      <c r="I634" s="671"/>
      <c r="J634" s="671"/>
      <c r="P634" s="671"/>
      <c r="Q634" s="671"/>
      <c r="R634" s="671"/>
    </row>
    <row r="635">
      <c r="H635" s="671"/>
      <c r="I635" s="671"/>
      <c r="J635" s="671"/>
      <c r="P635" s="671"/>
      <c r="Q635" s="671"/>
      <c r="R635" s="671"/>
    </row>
    <row r="636">
      <c r="H636" s="671"/>
      <c r="I636" s="671"/>
      <c r="J636" s="671"/>
      <c r="P636" s="671"/>
      <c r="Q636" s="671"/>
      <c r="R636" s="671"/>
    </row>
    <row r="637">
      <c r="H637" s="671"/>
      <c r="I637" s="671"/>
      <c r="J637" s="671"/>
      <c r="P637" s="671"/>
      <c r="Q637" s="671"/>
      <c r="R637" s="671"/>
    </row>
    <row r="638">
      <c r="H638" s="671"/>
      <c r="I638" s="671"/>
      <c r="J638" s="671"/>
      <c r="P638" s="671"/>
      <c r="Q638" s="671"/>
      <c r="R638" s="671"/>
    </row>
    <row r="639">
      <c r="H639" s="671"/>
      <c r="I639" s="671"/>
      <c r="J639" s="671"/>
      <c r="P639" s="671"/>
      <c r="Q639" s="671"/>
      <c r="R639" s="671"/>
    </row>
    <row r="640">
      <c r="H640" s="671"/>
      <c r="I640" s="671"/>
      <c r="J640" s="671"/>
      <c r="P640" s="671"/>
      <c r="Q640" s="671"/>
      <c r="R640" s="671"/>
    </row>
    <row r="641">
      <c r="H641" s="671"/>
      <c r="I641" s="671"/>
      <c r="J641" s="671"/>
      <c r="P641" s="671"/>
      <c r="Q641" s="671"/>
      <c r="R641" s="671"/>
    </row>
    <row r="642">
      <c r="H642" s="671"/>
      <c r="I642" s="671"/>
      <c r="J642" s="671"/>
      <c r="P642" s="671"/>
      <c r="Q642" s="671"/>
      <c r="R642" s="671"/>
    </row>
    <row r="643">
      <c r="H643" s="671"/>
      <c r="I643" s="671"/>
      <c r="J643" s="671"/>
      <c r="P643" s="671"/>
      <c r="Q643" s="671"/>
      <c r="R643" s="671"/>
    </row>
    <row r="644">
      <c r="H644" s="671"/>
      <c r="I644" s="671"/>
      <c r="J644" s="671"/>
      <c r="P644" s="671"/>
      <c r="Q644" s="671"/>
      <c r="R644" s="671"/>
    </row>
    <row r="645">
      <c r="H645" s="671"/>
      <c r="I645" s="671"/>
      <c r="J645" s="671"/>
      <c r="P645" s="671"/>
      <c r="Q645" s="671"/>
      <c r="R645" s="671"/>
    </row>
    <row r="646">
      <c r="H646" s="671"/>
      <c r="I646" s="671"/>
      <c r="J646" s="671"/>
      <c r="P646" s="671"/>
      <c r="Q646" s="671"/>
      <c r="R646" s="671"/>
    </row>
    <row r="647">
      <c r="H647" s="671"/>
      <c r="I647" s="671"/>
      <c r="J647" s="671"/>
      <c r="P647" s="671"/>
      <c r="Q647" s="671"/>
      <c r="R647" s="671"/>
    </row>
    <row r="648">
      <c r="H648" s="671"/>
      <c r="I648" s="671"/>
      <c r="J648" s="671"/>
      <c r="P648" s="671"/>
      <c r="Q648" s="671"/>
      <c r="R648" s="671"/>
    </row>
    <row r="649">
      <c r="H649" s="671"/>
      <c r="I649" s="671"/>
      <c r="J649" s="671"/>
      <c r="P649" s="671"/>
      <c r="Q649" s="671"/>
      <c r="R649" s="671"/>
    </row>
    <row r="650">
      <c r="H650" s="671"/>
      <c r="I650" s="671"/>
      <c r="J650" s="671"/>
      <c r="P650" s="671"/>
      <c r="Q650" s="671"/>
      <c r="R650" s="671"/>
    </row>
    <row r="651">
      <c r="H651" s="671"/>
      <c r="I651" s="671"/>
      <c r="J651" s="671"/>
      <c r="P651" s="671"/>
      <c r="Q651" s="671"/>
      <c r="R651" s="671"/>
    </row>
    <row r="652">
      <c r="H652" s="671"/>
      <c r="I652" s="671"/>
      <c r="J652" s="671"/>
      <c r="P652" s="671"/>
      <c r="Q652" s="671"/>
      <c r="R652" s="671"/>
    </row>
    <row r="653">
      <c r="H653" s="671"/>
      <c r="I653" s="671"/>
      <c r="J653" s="671"/>
      <c r="P653" s="671"/>
      <c r="Q653" s="671"/>
      <c r="R653" s="671"/>
    </row>
    <row r="654">
      <c r="H654" s="671"/>
      <c r="I654" s="671"/>
      <c r="J654" s="671"/>
      <c r="P654" s="671"/>
      <c r="Q654" s="671"/>
      <c r="R654" s="671"/>
    </row>
    <row r="655">
      <c r="H655" s="671"/>
      <c r="I655" s="671"/>
      <c r="J655" s="671"/>
      <c r="P655" s="671"/>
      <c r="Q655" s="671"/>
      <c r="R655" s="671"/>
    </row>
    <row r="656">
      <c r="H656" s="671"/>
      <c r="I656" s="671"/>
      <c r="J656" s="671"/>
      <c r="P656" s="671"/>
      <c r="Q656" s="671"/>
      <c r="R656" s="671"/>
    </row>
    <row r="657">
      <c r="H657" s="671"/>
      <c r="I657" s="671"/>
      <c r="J657" s="671"/>
      <c r="P657" s="671"/>
      <c r="Q657" s="671"/>
      <c r="R657" s="671"/>
    </row>
    <row r="658">
      <c r="H658" s="671"/>
      <c r="I658" s="671"/>
      <c r="J658" s="671"/>
      <c r="P658" s="671"/>
      <c r="Q658" s="671"/>
      <c r="R658" s="671"/>
    </row>
    <row r="659">
      <c r="H659" s="671"/>
      <c r="I659" s="671"/>
      <c r="J659" s="671"/>
      <c r="P659" s="671"/>
      <c r="Q659" s="671"/>
      <c r="R659" s="671"/>
    </row>
    <row r="660">
      <c r="H660" s="671"/>
      <c r="I660" s="671"/>
      <c r="J660" s="671"/>
      <c r="P660" s="671"/>
      <c r="Q660" s="671"/>
      <c r="R660" s="671"/>
    </row>
    <row r="661">
      <c r="H661" s="671"/>
      <c r="I661" s="671"/>
      <c r="J661" s="671"/>
      <c r="P661" s="671"/>
      <c r="Q661" s="671"/>
      <c r="R661" s="671"/>
    </row>
    <row r="662">
      <c r="H662" s="671"/>
      <c r="I662" s="671"/>
      <c r="J662" s="671"/>
      <c r="P662" s="671"/>
      <c r="Q662" s="671"/>
      <c r="R662" s="671"/>
    </row>
    <row r="663">
      <c r="H663" s="671"/>
      <c r="I663" s="671"/>
      <c r="J663" s="671"/>
      <c r="P663" s="671"/>
      <c r="Q663" s="671"/>
      <c r="R663" s="671"/>
    </row>
    <row r="664">
      <c r="H664" s="671"/>
      <c r="I664" s="671"/>
      <c r="J664" s="671"/>
      <c r="P664" s="671"/>
      <c r="Q664" s="671"/>
      <c r="R664" s="671"/>
    </row>
    <row r="665">
      <c r="H665" s="671"/>
      <c r="I665" s="671"/>
      <c r="J665" s="671"/>
      <c r="P665" s="671"/>
      <c r="Q665" s="671"/>
      <c r="R665" s="671"/>
    </row>
    <row r="666">
      <c r="H666" s="671"/>
      <c r="I666" s="671"/>
      <c r="J666" s="671"/>
      <c r="P666" s="671"/>
      <c r="Q666" s="671"/>
      <c r="R666" s="671"/>
    </row>
    <row r="667">
      <c r="H667" s="671"/>
      <c r="I667" s="671"/>
      <c r="J667" s="671"/>
      <c r="P667" s="671"/>
      <c r="Q667" s="671"/>
      <c r="R667" s="671"/>
    </row>
    <row r="668">
      <c r="H668" s="671"/>
      <c r="I668" s="671"/>
      <c r="J668" s="671"/>
      <c r="P668" s="671"/>
      <c r="Q668" s="671"/>
      <c r="R668" s="671"/>
    </row>
    <row r="669">
      <c r="H669" s="671"/>
      <c r="I669" s="671"/>
      <c r="J669" s="671"/>
      <c r="P669" s="671"/>
      <c r="Q669" s="671"/>
      <c r="R669" s="671"/>
    </row>
    <row r="670">
      <c r="H670" s="671"/>
      <c r="I670" s="671"/>
      <c r="J670" s="671"/>
      <c r="P670" s="671"/>
      <c r="Q670" s="671"/>
      <c r="R670" s="671"/>
    </row>
    <row r="671">
      <c r="H671" s="671"/>
      <c r="I671" s="671"/>
      <c r="J671" s="671"/>
      <c r="P671" s="671"/>
      <c r="Q671" s="671"/>
      <c r="R671" s="671"/>
    </row>
    <row r="672">
      <c r="H672" s="671"/>
      <c r="I672" s="671"/>
      <c r="J672" s="671"/>
      <c r="P672" s="671"/>
      <c r="Q672" s="671"/>
      <c r="R672" s="671"/>
    </row>
    <row r="673">
      <c r="H673" s="671"/>
      <c r="I673" s="671"/>
      <c r="J673" s="671"/>
      <c r="P673" s="671"/>
      <c r="Q673" s="671"/>
      <c r="R673" s="671"/>
    </row>
    <row r="674">
      <c r="H674" s="671"/>
      <c r="I674" s="671"/>
      <c r="J674" s="671"/>
      <c r="P674" s="671"/>
      <c r="Q674" s="671"/>
      <c r="R674" s="671"/>
    </row>
    <row r="675">
      <c r="H675" s="671"/>
      <c r="I675" s="671"/>
      <c r="J675" s="671"/>
      <c r="P675" s="671"/>
      <c r="Q675" s="671"/>
      <c r="R675" s="671"/>
    </row>
    <row r="676">
      <c r="H676" s="671"/>
      <c r="I676" s="671"/>
      <c r="J676" s="671"/>
      <c r="P676" s="671"/>
      <c r="Q676" s="671"/>
      <c r="R676" s="671"/>
    </row>
    <row r="677">
      <c r="H677" s="671"/>
      <c r="I677" s="671"/>
      <c r="J677" s="671"/>
      <c r="P677" s="671"/>
      <c r="Q677" s="671"/>
      <c r="R677" s="671"/>
    </row>
    <row r="678">
      <c r="H678" s="671"/>
      <c r="I678" s="671"/>
      <c r="J678" s="671"/>
      <c r="P678" s="671"/>
      <c r="Q678" s="671"/>
      <c r="R678" s="671"/>
    </row>
    <row r="679">
      <c r="H679" s="671"/>
      <c r="I679" s="671"/>
      <c r="J679" s="671"/>
      <c r="P679" s="671"/>
      <c r="Q679" s="671"/>
      <c r="R679" s="671"/>
    </row>
    <row r="680">
      <c r="H680" s="671"/>
      <c r="I680" s="671"/>
      <c r="J680" s="671"/>
      <c r="P680" s="671"/>
      <c r="Q680" s="671"/>
      <c r="R680" s="671"/>
    </row>
    <row r="681">
      <c r="H681" s="671"/>
      <c r="I681" s="671"/>
      <c r="J681" s="671"/>
      <c r="P681" s="671"/>
      <c r="Q681" s="671"/>
      <c r="R681" s="671"/>
    </row>
    <row r="682">
      <c r="H682" s="671"/>
      <c r="I682" s="671"/>
      <c r="J682" s="671"/>
      <c r="P682" s="671"/>
      <c r="Q682" s="671"/>
      <c r="R682" s="671"/>
    </row>
    <row r="683">
      <c r="H683" s="671"/>
      <c r="I683" s="671"/>
      <c r="J683" s="671"/>
      <c r="P683" s="671"/>
      <c r="Q683" s="671"/>
      <c r="R683" s="671"/>
    </row>
    <row r="684">
      <c r="H684" s="671"/>
      <c r="I684" s="671"/>
      <c r="J684" s="671"/>
      <c r="P684" s="671"/>
      <c r="Q684" s="671"/>
      <c r="R684" s="671"/>
    </row>
    <row r="685">
      <c r="H685" s="671"/>
      <c r="I685" s="671"/>
      <c r="J685" s="671"/>
      <c r="P685" s="671"/>
      <c r="Q685" s="671"/>
      <c r="R685" s="671"/>
    </row>
    <row r="686">
      <c r="H686" s="671"/>
      <c r="I686" s="671"/>
      <c r="J686" s="671"/>
      <c r="P686" s="671"/>
      <c r="Q686" s="671"/>
      <c r="R686" s="671"/>
    </row>
    <row r="687">
      <c r="H687" s="671"/>
      <c r="I687" s="671"/>
      <c r="J687" s="671"/>
      <c r="P687" s="671"/>
      <c r="Q687" s="671"/>
      <c r="R687" s="671"/>
    </row>
    <row r="688">
      <c r="H688" s="671"/>
      <c r="I688" s="671"/>
      <c r="J688" s="671"/>
      <c r="P688" s="671"/>
      <c r="Q688" s="671"/>
      <c r="R688" s="671"/>
    </row>
    <row r="689">
      <c r="H689" s="671"/>
      <c r="I689" s="671"/>
      <c r="J689" s="671"/>
      <c r="P689" s="671"/>
      <c r="Q689" s="671"/>
      <c r="R689" s="671"/>
    </row>
    <row r="690">
      <c r="H690" s="671"/>
      <c r="I690" s="671"/>
      <c r="J690" s="671"/>
      <c r="P690" s="671"/>
      <c r="Q690" s="671"/>
      <c r="R690" s="671"/>
    </row>
    <row r="691">
      <c r="H691" s="671"/>
      <c r="I691" s="671"/>
      <c r="J691" s="671"/>
      <c r="P691" s="671"/>
      <c r="Q691" s="671"/>
      <c r="R691" s="671"/>
    </row>
    <row r="692">
      <c r="H692" s="671"/>
      <c r="I692" s="671"/>
      <c r="J692" s="671"/>
      <c r="P692" s="671"/>
      <c r="Q692" s="671"/>
      <c r="R692" s="671"/>
    </row>
    <row r="693">
      <c r="H693" s="671"/>
      <c r="I693" s="671"/>
      <c r="J693" s="671"/>
      <c r="P693" s="671"/>
      <c r="Q693" s="671"/>
      <c r="R693" s="671"/>
    </row>
    <row r="694">
      <c r="H694" s="671"/>
      <c r="I694" s="671"/>
      <c r="J694" s="671"/>
      <c r="P694" s="671"/>
      <c r="Q694" s="671"/>
      <c r="R694" s="671"/>
    </row>
    <row r="695">
      <c r="H695" s="671"/>
      <c r="I695" s="671"/>
      <c r="J695" s="671"/>
      <c r="P695" s="671"/>
      <c r="Q695" s="671"/>
      <c r="R695" s="671"/>
    </row>
    <row r="696">
      <c r="H696" s="671"/>
      <c r="I696" s="671"/>
      <c r="J696" s="671"/>
      <c r="P696" s="671"/>
      <c r="Q696" s="671"/>
      <c r="R696" s="671"/>
    </row>
    <row r="697">
      <c r="H697" s="671"/>
      <c r="I697" s="671"/>
      <c r="J697" s="671"/>
      <c r="P697" s="671"/>
      <c r="Q697" s="671"/>
      <c r="R697" s="671"/>
    </row>
    <row r="698">
      <c r="H698" s="671"/>
      <c r="I698" s="671"/>
      <c r="J698" s="671"/>
      <c r="P698" s="671"/>
      <c r="Q698" s="671"/>
      <c r="R698" s="671"/>
    </row>
    <row r="699">
      <c r="H699" s="671"/>
      <c r="I699" s="671"/>
      <c r="J699" s="671"/>
      <c r="P699" s="671"/>
      <c r="Q699" s="671"/>
      <c r="R699" s="671"/>
    </row>
    <row r="700">
      <c r="H700" s="671"/>
      <c r="I700" s="671"/>
      <c r="J700" s="671"/>
      <c r="P700" s="671"/>
      <c r="Q700" s="671"/>
      <c r="R700" s="671"/>
    </row>
    <row r="701">
      <c r="H701" s="671"/>
      <c r="I701" s="671"/>
      <c r="J701" s="671"/>
      <c r="P701" s="671"/>
      <c r="Q701" s="671"/>
      <c r="R701" s="671"/>
    </row>
    <row r="702">
      <c r="H702" s="671"/>
      <c r="I702" s="671"/>
      <c r="J702" s="671"/>
      <c r="P702" s="671"/>
      <c r="Q702" s="671"/>
      <c r="R702" s="671"/>
    </row>
    <row r="703">
      <c r="H703" s="671"/>
      <c r="I703" s="671"/>
      <c r="J703" s="671"/>
      <c r="P703" s="671"/>
      <c r="Q703" s="671"/>
      <c r="R703" s="671"/>
    </row>
    <row r="704">
      <c r="H704" s="671"/>
      <c r="I704" s="671"/>
      <c r="J704" s="671"/>
      <c r="P704" s="671"/>
      <c r="Q704" s="671"/>
      <c r="R704" s="671"/>
    </row>
    <row r="705">
      <c r="H705" s="671"/>
      <c r="I705" s="671"/>
      <c r="J705" s="671"/>
      <c r="P705" s="671"/>
      <c r="Q705" s="671"/>
      <c r="R705" s="671"/>
    </row>
    <row r="706">
      <c r="H706" s="671"/>
      <c r="I706" s="671"/>
      <c r="J706" s="671"/>
      <c r="P706" s="671"/>
      <c r="Q706" s="671"/>
      <c r="R706" s="671"/>
    </row>
    <row r="707">
      <c r="H707" s="671"/>
      <c r="I707" s="671"/>
      <c r="J707" s="671"/>
      <c r="P707" s="671"/>
      <c r="Q707" s="671"/>
      <c r="R707" s="671"/>
    </row>
    <row r="708">
      <c r="H708" s="671"/>
      <c r="I708" s="671"/>
      <c r="J708" s="671"/>
      <c r="P708" s="671"/>
      <c r="Q708" s="671"/>
      <c r="R708" s="671"/>
    </row>
    <row r="709">
      <c r="H709" s="671"/>
      <c r="I709" s="671"/>
      <c r="J709" s="671"/>
      <c r="P709" s="671"/>
      <c r="Q709" s="671"/>
      <c r="R709" s="671"/>
    </row>
    <row r="710">
      <c r="H710" s="671"/>
      <c r="I710" s="671"/>
      <c r="J710" s="671"/>
      <c r="P710" s="671"/>
      <c r="Q710" s="671"/>
      <c r="R710" s="671"/>
    </row>
    <row r="711">
      <c r="H711" s="671"/>
      <c r="I711" s="671"/>
      <c r="J711" s="671"/>
      <c r="P711" s="671"/>
      <c r="Q711" s="671"/>
      <c r="R711" s="671"/>
    </row>
    <row r="712">
      <c r="H712" s="671"/>
      <c r="I712" s="671"/>
      <c r="J712" s="671"/>
      <c r="P712" s="671"/>
      <c r="Q712" s="671"/>
      <c r="R712" s="671"/>
    </row>
    <row r="713">
      <c r="H713" s="671"/>
      <c r="I713" s="671"/>
      <c r="J713" s="671"/>
      <c r="P713" s="671"/>
      <c r="Q713" s="671"/>
      <c r="R713" s="671"/>
    </row>
    <row r="714">
      <c r="H714" s="671"/>
      <c r="I714" s="671"/>
      <c r="J714" s="671"/>
      <c r="P714" s="671"/>
      <c r="Q714" s="671"/>
      <c r="R714" s="671"/>
    </row>
    <row r="715">
      <c r="H715" s="671"/>
      <c r="I715" s="671"/>
      <c r="J715" s="671"/>
      <c r="P715" s="671"/>
      <c r="Q715" s="671"/>
      <c r="R715" s="671"/>
    </row>
    <row r="716">
      <c r="H716" s="671"/>
      <c r="I716" s="671"/>
      <c r="J716" s="671"/>
      <c r="P716" s="671"/>
      <c r="Q716" s="671"/>
      <c r="R716" s="671"/>
    </row>
    <row r="717">
      <c r="H717" s="671"/>
      <c r="I717" s="671"/>
      <c r="J717" s="671"/>
      <c r="P717" s="671"/>
      <c r="Q717" s="671"/>
      <c r="R717" s="671"/>
    </row>
    <row r="718">
      <c r="H718" s="671"/>
      <c r="I718" s="671"/>
      <c r="J718" s="671"/>
      <c r="P718" s="671"/>
      <c r="Q718" s="671"/>
      <c r="R718" s="671"/>
    </row>
    <row r="719">
      <c r="H719" s="671"/>
      <c r="I719" s="671"/>
      <c r="J719" s="671"/>
      <c r="P719" s="671"/>
      <c r="Q719" s="671"/>
      <c r="R719" s="671"/>
    </row>
    <row r="720">
      <c r="H720" s="671"/>
      <c r="I720" s="671"/>
      <c r="J720" s="671"/>
      <c r="P720" s="671"/>
      <c r="Q720" s="671"/>
      <c r="R720" s="671"/>
    </row>
    <row r="721">
      <c r="H721" s="671"/>
      <c r="I721" s="671"/>
      <c r="J721" s="671"/>
      <c r="P721" s="671"/>
      <c r="Q721" s="671"/>
      <c r="R721" s="671"/>
    </row>
    <row r="722">
      <c r="H722" s="671"/>
      <c r="I722" s="671"/>
      <c r="J722" s="671"/>
      <c r="P722" s="671"/>
      <c r="Q722" s="671"/>
      <c r="R722" s="671"/>
    </row>
    <row r="723">
      <c r="H723" s="671"/>
      <c r="I723" s="671"/>
      <c r="J723" s="671"/>
      <c r="P723" s="671"/>
      <c r="Q723" s="671"/>
      <c r="R723" s="671"/>
    </row>
    <row r="724">
      <c r="H724" s="671"/>
      <c r="I724" s="671"/>
      <c r="J724" s="671"/>
      <c r="P724" s="671"/>
      <c r="Q724" s="671"/>
      <c r="R724" s="671"/>
    </row>
    <row r="725">
      <c r="H725" s="671"/>
      <c r="I725" s="671"/>
      <c r="J725" s="671"/>
      <c r="P725" s="671"/>
      <c r="Q725" s="671"/>
      <c r="R725" s="671"/>
    </row>
    <row r="726">
      <c r="H726" s="671"/>
      <c r="I726" s="671"/>
      <c r="J726" s="671"/>
      <c r="P726" s="671"/>
      <c r="Q726" s="671"/>
      <c r="R726" s="671"/>
    </row>
    <row r="727">
      <c r="H727" s="671"/>
      <c r="I727" s="671"/>
      <c r="J727" s="671"/>
      <c r="P727" s="671"/>
      <c r="Q727" s="671"/>
      <c r="R727" s="671"/>
    </row>
    <row r="728">
      <c r="H728" s="671"/>
      <c r="I728" s="671"/>
      <c r="J728" s="671"/>
      <c r="P728" s="671"/>
      <c r="Q728" s="671"/>
      <c r="R728" s="671"/>
    </row>
    <row r="729">
      <c r="H729" s="671"/>
      <c r="I729" s="671"/>
      <c r="J729" s="671"/>
      <c r="P729" s="671"/>
      <c r="Q729" s="671"/>
      <c r="R729" s="671"/>
    </row>
    <row r="730">
      <c r="H730" s="671"/>
      <c r="I730" s="671"/>
      <c r="J730" s="671"/>
      <c r="P730" s="671"/>
      <c r="Q730" s="671"/>
      <c r="R730" s="671"/>
    </row>
    <row r="731">
      <c r="H731" s="671"/>
      <c r="I731" s="671"/>
      <c r="J731" s="671"/>
      <c r="P731" s="671"/>
      <c r="Q731" s="671"/>
      <c r="R731" s="671"/>
    </row>
    <row r="732">
      <c r="H732" s="671"/>
      <c r="I732" s="671"/>
      <c r="J732" s="671"/>
      <c r="P732" s="671"/>
      <c r="Q732" s="671"/>
      <c r="R732" s="671"/>
    </row>
    <row r="733">
      <c r="H733" s="671"/>
      <c r="I733" s="671"/>
      <c r="J733" s="671"/>
      <c r="P733" s="671"/>
      <c r="Q733" s="671"/>
      <c r="R733" s="671"/>
    </row>
    <row r="734">
      <c r="H734" s="671"/>
      <c r="I734" s="671"/>
      <c r="J734" s="671"/>
      <c r="P734" s="671"/>
      <c r="Q734" s="671"/>
      <c r="R734" s="671"/>
    </row>
    <row r="735">
      <c r="H735" s="671"/>
      <c r="I735" s="671"/>
      <c r="J735" s="671"/>
      <c r="P735" s="671"/>
      <c r="Q735" s="671"/>
      <c r="R735" s="671"/>
    </row>
    <row r="736">
      <c r="H736" s="671"/>
      <c r="I736" s="671"/>
      <c r="J736" s="671"/>
      <c r="P736" s="671"/>
      <c r="Q736" s="671"/>
      <c r="R736" s="671"/>
    </row>
    <row r="737">
      <c r="H737" s="671"/>
      <c r="I737" s="671"/>
      <c r="J737" s="671"/>
      <c r="P737" s="671"/>
      <c r="Q737" s="671"/>
      <c r="R737" s="671"/>
    </row>
    <row r="738">
      <c r="H738" s="671"/>
      <c r="I738" s="671"/>
      <c r="J738" s="671"/>
      <c r="P738" s="671"/>
      <c r="Q738" s="671"/>
      <c r="R738" s="671"/>
    </row>
    <row r="739">
      <c r="H739" s="671"/>
      <c r="I739" s="671"/>
      <c r="J739" s="671"/>
      <c r="P739" s="671"/>
      <c r="Q739" s="671"/>
      <c r="R739" s="671"/>
    </row>
    <row r="740">
      <c r="H740" s="671"/>
      <c r="I740" s="671"/>
      <c r="J740" s="671"/>
      <c r="P740" s="671"/>
      <c r="Q740" s="671"/>
      <c r="R740" s="671"/>
    </row>
    <row r="741">
      <c r="H741" s="671"/>
      <c r="I741" s="671"/>
      <c r="J741" s="671"/>
      <c r="P741" s="671"/>
      <c r="Q741" s="671"/>
      <c r="R741" s="671"/>
    </row>
    <row r="742">
      <c r="H742" s="671"/>
      <c r="I742" s="671"/>
      <c r="J742" s="671"/>
      <c r="P742" s="671"/>
      <c r="Q742" s="671"/>
      <c r="R742" s="671"/>
    </row>
    <row r="743">
      <c r="H743" s="671"/>
      <c r="I743" s="671"/>
      <c r="J743" s="671"/>
      <c r="P743" s="671"/>
      <c r="Q743" s="671"/>
      <c r="R743" s="671"/>
    </row>
    <row r="744">
      <c r="H744" s="671"/>
      <c r="I744" s="671"/>
      <c r="J744" s="671"/>
      <c r="P744" s="671"/>
      <c r="Q744" s="671"/>
      <c r="R744" s="671"/>
    </row>
    <row r="745">
      <c r="H745" s="671"/>
      <c r="I745" s="671"/>
      <c r="J745" s="671"/>
      <c r="P745" s="671"/>
      <c r="Q745" s="671"/>
      <c r="R745" s="671"/>
    </row>
    <row r="746">
      <c r="H746" s="671"/>
      <c r="I746" s="671"/>
      <c r="J746" s="671"/>
      <c r="P746" s="671"/>
      <c r="Q746" s="671"/>
      <c r="R746" s="671"/>
    </row>
    <row r="747">
      <c r="H747" s="671"/>
      <c r="I747" s="671"/>
      <c r="J747" s="671"/>
      <c r="P747" s="671"/>
      <c r="Q747" s="671"/>
      <c r="R747" s="671"/>
    </row>
    <row r="748">
      <c r="H748" s="671"/>
      <c r="I748" s="671"/>
      <c r="J748" s="671"/>
      <c r="P748" s="671"/>
      <c r="Q748" s="671"/>
      <c r="R748" s="671"/>
    </row>
    <row r="749">
      <c r="H749" s="671"/>
      <c r="I749" s="671"/>
      <c r="J749" s="671"/>
      <c r="P749" s="671"/>
      <c r="Q749" s="671"/>
      <c r="R749" s="671"/>
    </row>
    <row r="750">
      <c r="H750" s="671"/>
      <c r="I750" s="671"/>
      <c r="J750" s="671"/>
      <c r="P750" s="671"/>
      <c r="Q750" s="671"/>
      <c r="R750" s="671"/>
    </row>
    <row r="751">
      <c r="H751" s="671"/>
      <c r="I751" s="671"/>
      <c r="J751" s="671"/>
      <c r="P751" s="671"/>
      <c r="Q751" s="671"/>
      <c r="R751" s="671"/>
    </row>
    <row r="752">
      <c r="H752" s="671"/>
      <c r="I752" s="671"/>
      <c r="J752" s="671"/>
      <c r="P752" s="671"/>
      <c r="Q752" s="671"/>
      <c r="R752" s="671"/>
    </row>
    <row r="753">
      <c r="H753" s="671"/>
      <c r="I753" s="671"/>
      <c r="J753" s="671"/>
      <c r="P753" s="671"/>
      <c r="Q753" s="671"/>
      <c r="R753" s="671"/>
    </row>
    <row r="754">
      <c r="H754" s="671"/>
      <c r="I754" s="671"/>
      <c r="J754" s="671"/>
      <c r="P754" s="671"/>
      <c r="Q754" s="671"/>
      <c r="R754" s="671"/>
    </row>
    <row r="755">
      <c r="H755" s="671"/>
      <c r="I755" s="671"/>
      <c r="J755" s="671"/>
      <c r="P755" s="671"/>
      <c r="Q755" s="671"/>
      <c r="R755" s="671"/>
    </row>
    <row r="756">
      <c r="H756" s="671"/>
      <c r="I756" s="671"/>
      <c r="J756" s="671"/>
      <c r="P756" s="671"/>
      <c r="Q756" s="671"/>
      <c r="R756" s="671"/>
    </row>
    <row r="757">
      <c r="H757" s="671"/>
      <c r="I757" s="671"/>
      <c r="J757" s="671"/>
      <c r="P757" s="671"/>
      <c r="Q757" s="671"/>
      <c r="R757" s="671"/>
    </row>
    <row r="758">
      <c r="H758" s="671"/>
      <c r="I758" s="671"/>
      <c r="J758" s="671"/>
      <c r="P758" s="671"/>
      <c r="Q758" s="671"/>
      <c r="R758" s="671"/>
    </row>
    <row r="759">
      <c r="H759" s="671"/>
      <c r="I759" s="671"/>
      <c r="J759" s="671"/>
      <c r="P759" s="671"/>
      <c r="Q759" s="671"/>
      <c r="R759" s="671"/>
    </row>
    <row r="760">
      <c r="H760" s="671"/>
      <c r="I760" s="671"/>
      <c r="J760" s="671"/>
      <c r="P760" s="671"/>
      <c r="Q760" s="671"/>
      <c r="R760" s="671"/>
    </row>
    <row r="761">
      <c r="H761" s="671"/>
      <c r="I761" s="671"/>
      <c r="J761" s="671"/>
      <c r="P761" s="671"/>
      <c r="Q761" s="671"/>
      <c r="R761" s="671"/>
    </row>
    <row r="762">
      <c r="H762" s="671"/>
      <c r="I762" s="671"/>
      <c r="J762" s="671"/>
      <c r="P762" s="671"/>
      <c r="Q762" s="671"/>
      <c r="R762" s="671"/>
    </row>
    <row r="763">
      <c r="H763" s="671"/>
      <c r="I763" s="671"/>
      <c r="J763" s="671"/>
      <c r="P763" s="671"/>
      <c r="Q763" s="671"/>
      <c r="R763" s="671"/>
    </row>
    <row r="764">
      <c r="H764" s="671"/>
      <c r="I764" s="671"/>
      <c r="J764" s="671"/>
      <c r="P764" s="671"/>
      <c r="Q764" s="671"/>
      <c r="R764" s="671"/>
    </row>
    <row r="765">
      <c r="H765" s="671"/>
      <c r="I765" s="671"/>
      <c r="J765" s="671"/>
      <c r="P765" s="671"/>
      <c r="Q765" s="671"/>
      <c r="R765" s="671"/>
    </row>
    <row r="766">
      <c r="H766" s="671"/>
      <c r="I766" s="671"/>
      <c r="J766" s="671"/>
      <c r="P766" s="671"/>
      <c r="Q766" s="671"/>
      <c r="R766" s="671"/>
    </row>
    <row r="767">
      <c r="H767" s="671"/>
      <c r="I767" s="671"/>
      <c r="J767" s="671"/>
      <c r="P767" s="671"/>
      <c r="Q767" s="671"/>
      <c r="R767" s="671"/>
    </row>
    <row r="768">
      <c r="H768" s="671"/>
      <c r="I768" s="671"/>
      <c r="J768" s="671"/>
      <c r="P768" s="671"/>
      <c r="Q768" s="671"/>
      <c r="R768" s="671"/>
    </row>
    <row r="769">
      <c r="H769" s="671"/>
      <c r="I769" s="671"/>
      <c r="J769" s="671"/>
      <c r="P769" s="671"/>
      <c r="Q769" s="671"/>
      <c r="R769" s="671"/>
    </row>
    <row r="770">
      <c r="H770" s="671"/>
      <c r="I770" s="671"/>
      <c r="J770" s="671"/>
      <c r="P770" s="671"/>
      <c r="Q770" s="671"/>
      <c r="R770" s="671"/>
    </row>
    <row r="771">
      <c r="H771" s="671"/>
      <c r="I771" s="671"/>
      <c r="J771" s="671"/>
      <c r="P771" s="671"/>
      <c r="Q771" s="671"/>
      <c r="R771" s="671"/>
    </row>
    <row r="772">
      <c r="H772" s="671"/>
      <c r="I772" s="671"/>
      <c r="J772" s="671"/>
      <c r="P772" s="671"/>
      <c r="Q772" s="671"/>
      <c r="R772" s="671"/>
    </row>
    <row r="773">
      <c r="H773" s="671"/>
      <c r="I773" s="671"/>
      <c r="J773" s="671"/>
      <c r="P773" s="671"/>
      <c r="Q773" s="671"/>
      <c r="R773" s="671"/>
    </row>
    <row r="774">
      <c r="H774" s="671"/>
      <c r="I774" s="671"/>
      <c r="J774" s="671"/>
      <c r="P774" s="671"/>
      <c r="Q774" s="671"/>
      <c r="R774" s="671"/>
    </row>
    <row r="775">
      <c r="H775" s="671"/>
      <c r="I775" s="671"/>
      <c r="J775" s="671"/>
      <c r="P775" s="671"/>
      <c r="Q775" s="671"/>
      <c r="R775" s="671"/>
    </row>
    <row r="776">
      <c r="H776" s="671"/>
      <c r="I776" s="671"/>
      <c r="J776" s="671"/>
      <c r="P776" s="671"/>
      <c r="Q776" s="671"/>
      <c r="R776" s="671"/>
    </row>
    <row r="777">
      <c r="H777" s="671"/>
      <c r="I777" s="671"/>
      <c r="J777" s="671"/>
      <c r="P777" s="671"/>
      <c r="Q777" s="671"/>
      <c r="R777" s="671"/>
    </row>
    <row r="778">
      <c r="H778" s="671"/>
      <c r="I778" s="671"/>
      <c r="J778" s="671"/>
      <c r="P778" s="671"/>
      <c r="Q778" s="671"/>
      <c r="R778" s="671"/>
    </row>
    <row r="779">
      <c r="H779" s="671"/>
      <c r="I779" s="671"/>
      <c r="J779" s="671"/>
      <c r="P779" s="671"/>
      <c r="Q779" s="671"/>
      <c r="R779" s="671"/>
    </row>
    <row r="780">
      <c r="H780" s="671"/>
      <c r="I780" s="671"/>
      <c r="J780" s="671"/>
      <c r="P780" s="671"/>
      <c r="Q780" s="671"/>
      <c r="R780" s="671"/>
    </row>
    <row r="781">
      <c r="H781" s="671"/>
      <c r="I781" s="671"/>
      <c r="J781" s="671"/>
      <c r="P781" s="671"/>
      <c r="Q781" s="671"/>
      <c r="R781" s="671"/>
    </row>
    <row r="782">
      <c r="H782" s="671"/>
      <c r="I782" s="671"/>
      <c r="J782" s="671"/>
      <c r="P782" s="671"/>
      <c r="Q782" s="671"/>
      <c r="R782" s="671"/>
    </row>
    <row r="783">
      <c r="H783" s="671"/>
      <c r="I783" s="671"/>
      <c r="J783" s="671"/>
      <c r="P783" s="671"/>
      <c r="Q783" s="671"/>
      <c r="R783" s="671"/>
    </row>
    <row r="784">
      <c r="H784" s="671"/>
      <c r="I784" s="671"/>
      <c r="J784" s="671"/>
      <c r="P784" s="671"/>
      <c r="Q784" s="671"/>
      <c r="R784" s="671"/>
    </row>
    <row r="785">
      <c r="H785" s="671"/>
      <c r="I785" s="671"/>
      <c r="J785" s="671"/>
      <c r="P785" s="671"/>
      <c r="Q785" s="671"/>
      <c r="R785" s="671"/>
    </row>
    <row r="786">
      <c r="H786" s="671"/>
      <c r="I786" s="671"/>
      <c r="J786" s="671"/>
      <c r="P786" s="671"/>
      <c r="Q786" s="671"/>
      <c r="R786" s="671"/>
    </row>
    <row r="787">
      <c r="H787" s="671"/>
      <c r="I787" s="671"/>
      <c r="J787" s="671"/>
      <c r="P787" s="671"/>
      <c r="Q787" s="671"/>
      <c r="R787" s="671"/>
    </row>
    <row r="788">
      <c r="H788" s="671"/>
      <c r="I788" s="671"/>
      <c r="J788" s="671"/>
      <c r="P788" s="671"/>
      <c r="Q788" s="671"/>
      <c r="R788" s="671"/>
    </row>
    <row r="789">
      <c r="H789" s="671"/>
      <c r="I789" s="671"/>
      <c r="J789" s="671"/>
      <c r="P789" s="671"/>
      <c r="Q789" s="671"/>
      <c r="R789" s="671"/>
    </row>
    <row r="790">
      <c r="H790" s="671"/>
      <c r="I790" s="671"/>
      <c r="J790" s="671"/>
      <c r="P790" s="671"/>
      <c r="Q790" s="671"/>
      <c r="R790" s="671"/>
    </row>
    <row r="791">
      <c r="H791" s="671"/>
      <c r="I791" s="671"/>
      <c r="J791" s="671"/>
      <c r="P791" s="671"/>
      <c r="Q791" s="671"/>
      <c r="R791" s="671"/>
    </row>
    <row r="792">
      <c r="H792" s="671"/>
      <c r="I792" s="671"/>
      <c r="J792" s="671"/>
      <c r="P792" s="671"/>
      <c r="Q792" s="671"/>
      <c r="R792" s="671"/>
    </row>
    <row r="793">
      <c r="H793" s="671"/>
      <c r="I793" s="671"/>
      <c r="J793" s="671"/>
      <c r="P793" s="671"/>
      <c r="Q793" s="671"/>
      <c r="R793" s="671"/>
    </row>
    <row r="794">
      <c r="H794" s="671"/>
      <c r="I794" s="671"/>
      <c r="J794" s="671"/>
      <c r="P794" s="671"/>
      <c r="Q794" s="671"/>
      <c r="R794" s="671"/>
    </row>
    <row r="795">
      <c r="H795" s="671"/>
      <c r="I795" s="671"/>
      <c r="J795" s="671"/>
      <c r="P795" s="671"/>
      <c r="Q795" s="671"/>
      <c r="R795" s="671"/>
    </row>
    <row r="796">
      <c r="H796" s="671"/>
      <c r="I796" s="671"/>
      <c r="J796" s="671"/>
      <c r="P796" s="671"/>
      <c r="Q796" s="671"/>
      <c r="R796" s="671"/>
    </row>
    <row r="797">
      <c r="H797" s="671"/>
      <c r="I797" s="671"/>
      <c r="J797" s="671"/>
      <c r="P797" s="671"/>
      <c r="Q797" s="671"/>
      <c r="R797" s="671"/>
    </row>
    <row r="798">
      <c r="H798" s="671"/>
      <c r="I798" s="671"/>
      <c r="J798" s="671"/>
      <c r="P798" s="671"/>
      <c r="Q798" s="671"/>
      <c r="R798" s="671"/>
    </row>
    <row r="799">
      <c r="H799" s="671"/>
      <c r="I799" s="671"/>
      <c r="J799" s="671"/>
      <c r="P799" s="671"/>
      <c r="Q799" s="671"/>
      <c r="R799" s="671"/>
    </row>
    <row r="800">
      <c r="H800" s="671"/>
      <c r="I800" s="671"/>
      <c r="J800" s="671"/>
      <c r="P800" s="671"/>
      <c r="Q800" s="671"/>
      <c r="R800" s="671"/>
    </row>
    <row r="801">
      <c r="H801" s="671"/>
      <c r="I801" s="671"/>
      <c r="J801" s="671"/>
      <c r="P801" s="671"/>
      <c r="Q801" s="671"/>
      <c r="R801" s="671"/>
    </row>
    <row r="802">
      <c r="H802" s="671"/>
      <c r="I802" s="671"/>
      <c r="J802" s="671"/>
      <c r="P802" s="671"/>
      <c r="Q802" s="671"/>
      <c r="R802" s="671"/>
    </row>
    <row r="803">
      <c r="H803" s="671"/>
      <c r="I803" s="671"/>
      <c r="J803" s="671"/>
      <c r="P803" s="671"/>
      <c r="Q803" s="671"/>
      <c r="R803" s="671"/>
    </row>
    <row r="804">
      <c r="H804" s="671"/>
      <c r="I804" s="671"/>
      <c r="J804" s="671"/>
      <c r="P804" s="671"/>
      <c r="Q804" s="671"/>
      <c r="R804" s="671"/>
    </row>
    <row r="805">
      <c r="H805" s="671"/>
      <c r="I805" s="671"/>
      <c r="J805" s="671"/>
      <c r="P805" s="671"/>
      <c r="Q805" s="671"/>
      <c r="R805" s="671"/>
    </row>
    <row r="806">
      <c r="H806" s="671"/>
      <c r="I806" s="671"/>
      <c r="J806" s="671"/>
      <c r="P806" s="671"/>
      <c r="Q806" s="671"/>
      <c r="R806" s="671"/>
    </row>
    <row r="807">
      <c r="H807" s="671"/>
      <c r="I807" s="671"/>
      <c r="J807" s="671"/>
      <c r="P807" s="671"/>
      <c r="Q807" s="671"/>
      <c r="R807" s="671"/>
    </row>
    <row r="808">
      <c r="H808" s="671"/>
      <c r="I808" s="671"/>
      <c r="J808" s="671"/>
      <c r="P808" s="671"/>
      <c r="Q808" s="671"/>
      <c r="R808" s="671"/>
    </row>
    <row r="809">
      <c r="H809" s="671"/>
      <c r="I809" s="671"/>
      <c r="J809" s="671"/>
      <c r="P809" s="671"/>
      <c r="Q809" s="671"/>
      <c r="R809" s="671"/>
    </row>
    <row r="810">
      <c r="H810" s="671"/>
      <c r="I810" s="671"/>
      <c r="J810" s="671"/>
      <c r="P810" s="671"/>
      <c r="Q810" s="671"/>
      <c r="R810" s="671"/>
    </row>
    <row r="811">
      <c r="H811" s="671"/>
      <c r="I811" s="671"/>
      <c r="J811" s="671"/>
      <c r="P811" s="671"/>
      <c r="Q811" s="671"/>
      <c r="R811" s="671"/>
    </row>
    <row r="812">
      <c r="H812" s="671"/>
      <c r="I812" s="671"/>
      <c r="J812" s="671"/>
      <c r="P812" s="671"/>
      <c r="Q812" s="671"/>
      <c r="R812" s="671"/>
    </row>
    <row r="813">
      <c r="H813" s="671"/>
      <c r="I813" s="671"/>
      <c r="J813" s="671"/>
      <c r="P813" s="671"/>
      <c r="Q813" s="671"/>
      <c r="R813" s="671"/>
    </row>
    <row r="814">
      <c r="H814" s="671"/>
      <c r="I814" s="671"/>
      <c r="J814" s="671"/>
      <c r="P814" s="671"/>
      <c r="Q814" s="671"/>
      <c r="R814" s="671"/>
    </row>
    <row r="815">
      <c r="H815" s="671"/>
      <c r="I815" s="671"/>
      <c r="J815" s="671"/>
      <c r="P815" s="671"/>
      <c r="Q815" s="671"/>
      <c r="R815" s="671"/>
    </row>
    <row r="816">
      <c r="H816" s="671"/>
      <c r="I816" s="671"/>
      <c r="J816" s="671"/>
      <c r="P816" s="671"/>
      <c r="Q816" s="671"/>
      <c r="R816" s="671"/>
    </row>
    <row r="817">
      <c r="H817" s="671"/>
      <c r="I817" s="671"/>
      <c r="J817" s="671"/>
      <c r="P817" s="671"/>
      <c r="Q817" s="671"/>
      <c r="R817" s="671"/>
    </row>
    <row r="818">
      <c r="H818" s="671"/>
      <c r="I818" s="671"/>
      <c r="J818" s="671"/>
      <c r="P818" s="671"/>
      <c r="Q818" s="671"/>
      <c r="R818" s="671"/>
    </row>
    <row r="819">
      <c r="H819" s="671"/>
      <c r="I819" s="671"/>
      <c r="J819" s="671"/>
      <c r="P819" s="671"/>
      <c r="Q819" s="671"/>
      <c r="R819" s="671"/>
    </row>
    <row r="820">
      <c r="H820" s="671"/>
      <c r="I820" s="671"/>
      <c r="J820" s="671"/>
      <c r="P820" s="671"/>
      <c r="Q820" s="671"/>
      <c r="R820" s="671"/>
    </row>
    <row r="821">
      <c r="H821" s="671"/>
      <c r="I821" s="671"/>
      <c r="J821" s="671"/>
      <c r="P821" s="671"/>
      <c r="Q821" s="671"/>
      <c r="R821" s="671"/>
    </row>
    <row r="822">
      <c r="H822" s="671"/>
      <c r="I822" s="671"/>
      <c r="J822" s="671"/>
      <c r="P822" s="671"/>
      <c r="Q822" s="671"/>
      <c r="R822" s="671"/>
    </row>
    <row r="823">
      <c r="H823" s="671"/>
      <c r="I823" s="671"/>
      <c r="J823" s="671"/>
      <c r="P823" s="671"/>
      <c r="Q823" s="671"/>
      <c r="R823" s="671"/>
    </row>
    <row r="824">
      <c r="H824" s="671"/>
      <c r="I824" s="671"/>
      <c r="J824" s="671"/>
      <c r="P824" s="671"/>
      <c r="Q824" s="671"/>
      <c r="R824" s="671"/>
    </row>
    <row r="825">
      <c r="H825" s="671"/>
      <c r="I825" s="671"/>
      <c r="J825" s="671"/>
      <c r="P825" s="671"/>
      <c r="Q825" s="671"/>
      <c r="R825" s="671"/>
    </row>
    <row r="826">
      <c r="H826" s="671"/>
      <c r="I826" s="671"/>
      <c r="J826" s="671"/>
      <c r="P826" s="671"/>
      <c r="Q826" s="671"/>
      <c r="R826" s="671"/>
    </row>
    <row r="827">
      <c r="H827" s="671"/>
      <c r="I827" s="671"/>
      <c r="J827" s="671"/>
      <c r="P827" s="671"/>
      <c r="Q827" s="671"/>
      <c r="R827" s="671"/>
    </row>
    <row r="828">
      <c r="H828" s="671"/>
      <c r="I828" s="671"/>
      <c r="J828" s="671"/>
      <c r="P828" s="671"/>
      <c r="Q828" s="671"/>
      <c r="R828" s="671"/>
    </row>
    <row r="829">
      <c r="H829" s="671"/>
      <c r="I829" s="671"/>
      <c r="J829" s="671"/>
      <c r="P829" s="671"/>
      <c r="Q829" s="671"/>
      <c r="R829" s="671"/>
    </row>
    <row r="830">
      <c r="H830" s="671"/>
      <c r="I830" s="671"/>
      <c r="J830" s="671"/>
      <c r="P830" s="671"/>
      <c r="Q830" s="671"/>
      <c r="R830" s="671"/>
    </row>
    <row r="831">
      <c r="H831" s="671"/>
      <c r="I831" s="671"/>
      <c r="J831" s="671"/>
      <c r="P831" s="671"/>
      <c r="Q831" s="671"/>
      <c r="R831" s="671"/>
    </row>
    <row r="832">
      <c r="H832" s="671"/>
      <c r="I832" s="671"/>
      <c r="J832" s="671"/>
      <c r="P832" s="671"/>
      <c r="Q832" s="671"/>
      <c r="R832" s="671"/>
    </row>
    <row r="833">
      <c r="H833" s="671"/>
      <c r="I833" s="671"/>
      <c r="J833" s="671"/>
      <c r="P833" s="671"/>
      <c r="Q833" s="671"/>
      <c r="R833" s="671"/>
    </row>
    <row r="834">
      <c r="H834" s="671"/>
      <c r="I834" s="671"/>
      <c r="J834" s="671"/>
      <c r="P834" s="671"/>
      <c r="Q834" s="671"/>
      <c r="R834" s="671"/>
    </row>
    <row r="835">
      <c r="H835" s="671"/>
      <c r="I835" s="671"/>
      <c r="J835" s="671"/>
      <c r="P835" s="671"/>
      <c r="Q835" s="671"/>
      <c r="R835" s="671"/>
    </row>
    <row r="836">
      <c r="H836" s="671"/>
      <c r="I836" s="671"/>
      <c r="J836" s="671"/>
      <c r="P836" s="671"/>
      <c r="Q836" s="671"/>
      <c r="R836" s="671"/>
    </row>
    <row r="837">
      <c r="H837" s="671"/>
      <c r="I837" s="671"/>
      <c r="J837" s="671"/>
      <c r="P837" s="671"/>
      <c r="Q837" s="671"/>
      <c r="R837" s="671"/>
    </row>
    <row r="838">
      <c r="H838" s="671"/>
      <c r="I838" s="671"/>
      <c r="J838" s="671"/>
      <c r="P838" s="671"/>
      <c r="Q838" s="671"/>
      <c r="R838" s="671"/>
    </row>
    <row r="839">
      <c r="H839" s="671"/>
      <c r="I839" s="671"/>
      <c r="J839" s="671"/>
      <c r="P839" s="671"/>
      <c r="Q839" s="671"/>
      <c r="R839" s="671"/>
    </row>
    <row r="840">
      <c r="H840" s="671"/>
      <c r="I840" s="671"/>
      <c r="J840" s="671"/>
      <c r="P840" s="671"/>
      <c r="Q840" s="671"/>
      <c r="R840" s="671"/>
    </row>
    <row r="841">
      <c r="H841" s="671"/>
      <c r="I841" s="671"/>
      <c r="J841" s="671"/>
      <c r="P841" s="671"/>
      <c r="Q841" s="671"/>
      <c r="R841" s="671"/>
    </row>
    <row r="842">
      <c r="H842" s="671"/>
      <c r="I842" s="671"/>
      <c r="J842" s="671"/>
      <c r="P842" s="671"/>
      <c r="Q842" s="671"/>
      <c r="R842" s="671"/>
    </row>
    <row r="843">
      <c r="H843" s="671"/>
      <c r="I843" s="671"/>
      <c r="J843" s="671"/>
      <c r="P843" s="671"/>
      <c r="Q843" s="671"/>
      <c r="R843" s="671"/>
    </row>
    <row r="844">
      <c r="H844" s="671"/>
      <c r="I844" s="671"/>
      <c r="J844" s="671"/>
      <c r="P844" s="671"/>
      <c r="Q844" s="671"/>
      <c r="R844" s="671"/>
    </row>
    <row r="845">
      <c r="H845" s="671"/>
      <c r="I845" s="671"/>
      <c r="J845" s="671"/>
      <c r="P845" s="671"/>
      <c r="Q845" s="671"/>
      <c r="R845" s="671"/>
    </row>
    <row r="846">
      <c r="H846" s="671"/>
      <c r="I846" s="671"/>
      <c r="J846" s="671"/>
      <c r="P846" s="671"/>
      <c r="Q846" s="671"/>
      <c r="R846" s="671"/>
    </row>
    <row r="847">
      <c r="H847" s="671"/>
      <c r="I847" s="671"/>
      <c r="J847" s="671"/>
      <c r="P847" s="671"/>
      <c r="Q847" s="671"/>
      <c r="R847" s="671"/>
    </row>
    <row r="848">
      <c r="H848" s="671"/>
      <c r="I848" s="671"/>
      <c r="J848" s="671"/>
      <c r="P848" s="671"/>
      <c r="Q848" s="671"/>
      <c r="R848" s="671"/>
    </row>
    <row r="849">
      <c r="H849" s="671"/>
      <c r="I849" s="671"/>
      <c r="J849" s="671"/>
      <c r="P849" s="671"/>
      <c r="Q849" s="671"/>
      <c r="R849" s="671"/>
    </row>
    <row r="850">
      <c r="H850" s="671"/>
      <c r="I850" s="671"/>
      <c r="J850" s="671"/>
      <c r="P850" s="671"/>
      <c r="Q850" s="671"/>
      <c r="R850" s="671"/>
    </row>
    <row r="851">
      <c r="H851" s="671"/>
      <c r="I851" s="671"/>
      <c r="J851" s="671"/>
      <c r="P851" s="671"/>
      <c r="Q851" s="671"/>
      <c r="R851" s="671"/>
    </row>
    <row r="852">
      <c r="H852" s="671"/>
      <c r="I852" s="671"/>
      <c r="J852" s="671"/>
      <c r="P852" s="671"/>
      <c r="Q852" s="671"/>
      <c r="R852" s="671"/>
    </row>
    <row r="853">
      <c r="H853" s="671"/>
      <c r="I853" s="671"/>
      <c r="J853" s="671"/>
      <c r="P853" s="671"/>
      <c r="Q853" s="671"/>
      <c r="R853" s="671"/>
    </row>
    <row r="854">
      <c r="H854" s="671"/>
      <c r="I854" s="671"/>
      <c r="J854" s="671"/>
      <c r="P854" s="671"/>
      <c r="Q854" s="671"/>
      <c r="R854" s="671"/>
    </row>
    <row r="855">
      <c r="H855" s="671"/>
      <c r="I855" s="671"/>
      <c r="J855" s="671"/>
      <c r="P855" s="671"/>
      <c r="Q855" s="671"/>
      <c r="R855" s="671"/>
    </row>
    <row r="856">
      <c r="H856" s="671"/>
      <c r="I856" s="671"/>
      <c r="J856" s="671"/>
      <c r="P856" s="671"/>
      <c r="Q856" s="671"/>
      <c r="R856" s="671"/>
    </row>
    <row r="857">
      <c r="H857" s="671"/>
      <c r="I857" s="671"/>
      <c r="J857" s="671"/>
      <c r="P857" s="671"/>
      <c r="Q857" s="671"/>
      <c r="R857" s="671"/>
    </row>
    <row r="858">
      <c r="H858" s="671"/>
      <c r="I858" s="671"/>
      <c r="J858" s="671"/>
      <c r="P858" s="671"/>
      <c r="Q858" s="671"/>
      <c r="R858" s="671"/>
    </row>
    <row r="859">
      <c r="H859" s="671"/>
      <c r="I859" s="671"/>
      <c r="J859" s="671"/>
      <c r="P859" s="671"/>
      <c r="Q859" s="671"/>
      <c r="R859" s="671"/>
    </row>
    <row r="860">
      <c r="H860" s="671"/>
      <c r="I860" s="671"/>
      <c r="J860" s="671"/>
      <c r="P860" s="671"/>
      <c r="Q860" s="671"/>
      <c r="R860" s="671"/>
    </row>
    <row r="861">
      <c r="H861" s="671"/>
      <c r="I861" s="671"/>
      <c r="J861" s="671"/>
      <c r="P861" s="671"/>
      <c r="Q861" s="671"/>
      <c r="R861" s="671"/>
    </row>
    <row r="862">
      <c r="H862" s="671"/>
      <c r="I862" s="671"/>
      <c r="J862" s="671"/>
      <c r="P862" s="671"/>
      <c r="Q862" s="671"/>
      <c r="R862" s="671"/>
    </row>
    <row r="863">
      <c r="H863" s="671"/>
      <c r="I863" s="671"/>
      <c r="J863" s="671"/>
      <c r="P863" s="671"/>
      <c r="Q863" s="671"/>
      <c r="R863" s="671"/>
    </row>
    <row r="864">
      <c r="H864" s="671"/>
      <c r="I864" s="671"/>
      <c r="J864" s="671"/>
      <c r="P864" s="671"/>
      <c r="Q864" s="671"/>
      <c r="R864" s="671"/>
    </row>
    <row r="865">
      <c r="H865" s="671"/>
      <c r="I865" s="671"/>
      <c r="J865" s="671"/>
      <c r="P865" s="671"/>
      <c r="Q865" s="671"/>
      <c r="R865" s="671"/>
    </row>
    <row r="866">
      <c r="H866" s="671"/>
      <c r="I866" s="671"/>
      <c r="J866" s="671"/>
      <c r="P866" s="671"/>
      <c r="Q866" s="671"/>
      <c r="R866" s="671"/>
    </row>
    <row r="867">
      <c r="H867" s="671"/>
      <c r="I867" s="671"/>
      <c r="J867" s="671"/>
      <c r="P867" s="671"/>
      <c r="Q867" s="671"/>
      <c r="R867" s="671"/>
    </row>
    <row r="868">
      <c r="H868" s="671"/>
      <c r="I868" s="671"/>
      <c r="J868" s="671"/>
      <c r="P868" s="671"/>
      <c r="Q868" s="671"/>
      <c r="R868" s="671"/>
    </row>
    <row r="869">
      <c r="H869" s="671"/>
      <c r="I869" s="671"/>
      <c r="J869" s="671"/>
      <c r="P869" s="671"/>
      <c r="Q869" s="671"/>
      <c r="R869" s="671"/>
    </row>
    <row r="870">
      <c r="H870" s="671"/>
      <c r="I870" s="671"/>
      <c r="J870" s="671"/>
      <c r="P870" s="671"/>
      <c r="Q870" s="671"/>
      <c r="R870" s="671"/>
    </row>
    <row r="871">
      <c r="H871" s="671"/>
      <c r="I871" s="671"/>
      <c r="J871" s="671"/>
      <c r="P871" s="671"/>
      <c r="Q871" s="671"/>
      <c r="R871" s="671"/>
    </row>
    <row r="872">
      <c r="H872" s="671"/>
      <c r="I872" s="671"/>
      <c r="J872" s="671"/>
      <c r="P872" s="671"/>
      <c r="Q872" s="671"/>
      <c r="R872" s="671"/>
    </row>
    <row r="873">
      <c r="H873" s="671"/>
      <c r="I873" s="671"/>
      <c r="J873" s="671"/>
      <c r="P873" s="671"/>
      <c r="Q873" s="671"/>
      <c r="R873" s="671"/>
    </row>
    <row r="874">
      <c r="H874" s="671"/>
      <c r="I874" s="671"/>
      <c r="J874" s="671"/>
      <c r="P874" s="671"/>
      <c r="Q874" s="671"/>
      <c r="R874" s="671"/>
    </row>
    <row r="875">
      <c r="H875" s="671"/>
      <c r="I875" s="671"/>
      <c r="J875" s="671"/>
      <c r="P875" s="671"/>
      <c r="Q875" s="671"/>
      <c r="R875" s="671"/>
    </row>
    <row r="876">
      <c r="H876" s="671"/>
      <c r="I876" s="671"/>
      <c r="J876" s="671"/>
      <c r="P876" s="671"/>
      <c r="Q876" s="671"/>
      <c r="R876" s="671"/>
    </row>
    <row r="877">
      <c r="H877" s="671"/>
      <c r="I877" s="671"/>
      <c r="J877" s="671"/>
      <c r="P877" s="671"/>
      <c r="Q877" s="671"/>
      <c r="R877" s="671"/>
    </row>
    <row r="878">
      <c r="H878" s="671"/>
      <c r="I878" s="671"/>
      <c r="J878" s="671"/>
      <c r="P878" s="671"/>
      <c r="Q878" s="671"/>
      <c r="R878" s="671"/>
    </row>
    <row r="879">
      <c r="H879" s="671"/>
      <c r="I879" s="671"/>
      <c r="J879" s="671"/>
      <c r="P879" s="671"/>
      <c r="Q879" s="671"/>
      <c r="R879" s="671"/>
    </row>
    <row r="880">
      <c r="H880" s="671"/>
      <c r="I880" s="671"/>
      <c r="J880" s="671"/>
      <c r="P880" s="671"/>
      <c r="Q880" s="671"/>
      <c r="R880" s="671"/>
    </row>
    <row r="881">
      <c r="H881" s="671"/>
      <c r="I881" s="671"/>
      <c r="J881" s="671"/>
      <c r="P881" s="671"/>
      <c r="Q881" s="671"/>
      <c r="R881" s="671"/>
    </row>
    <row r="882">
      <c r="H882" s="671"/>
      <c r="I882" s="671"/>
      <c r="J882" s="671"/>
      <c r="P882" s="671"/>
      <c r="Q882" s="671"/>
      <c r="R882" s="671"/>
    </row>
    <row r="883">
      <c r="H883" s="671"/>
      <c r="I883" s="671"/>
      <c r="J883" s="671"/>
      <c r="P883" s="671"/>
      <c r="Q883" s="671"/>
      <c r="R883" s="671"/>
    </row>
    <row r="884">
      <c r="H884" s="671"/>
      <c r="I884" s="671"/>
      <c r="J884" s="671"/>
      <c r="P884" s="671"/>
      <c r="Q884" s="671"/>
      <c r="R884" s="671"/>
    </row>
    <row r="885">
      <c r="H885" s="671"/>
      <c r="I885" s="671"/>
      <c r="J885" s="671"/>
      <c r="P885" s="671"/>
      <c r="Q885" s="671"/>
      <c r="R885" s="671"/>
    </row>
    <row r="886">
      <c r="H886" s="671"/>
      <c r="I886" s="671"/>
      <c r="J886" s="671"/>
      <c r="P886" s="671"/>
      <c r="Q886" s="671"/>
      <c r="R886" s="671"/>
    </row>
    <row r="887">
      <c r="H887" s="671"/>
      <c r="I887" s="671"/>
      <c r="J887" s="671"/>
      <c r="P887" s="671"/>
      <c r="Q887" s="671"/>
      <c r="R887" s="671"/>
    </row>
    <row r="888">
      <c r="H888" s="671"/>
      <c r="I888" s="671"/>
      <c r="J888" s="671"/>
      <c r="P888" s="671"/>
      <c r="Q888" s="671"/>
      <c r="R888" s="671"/>
    </row>
    <row r="889">
      <c r="H889" s="671"/>
      <c r="I889" s="671"/>
      <c r="J889" s="671"/>
      <c r="P889" s="671"/>
      <c r="Q889" s="671"/>
      <c r="R889" s="671"/>
    </row>
    <row r="890">
      <c r="H890" s="671"/>
      <c r="I890" s="671"/>
      <c r="J890" s="671"/>
      <c r="P890" s="671"/>
      <c r="Q890" s="671"/>
      <c r="R890" s="671"/>
    </row>
    <row r="891">
      <c r="H891" s="671"/>
      <c r="I891" s="671"/>
      <c r="J891" s="671"/>
      <c r="P891" s="671"/>
      <c r="Q891" s="671"/>
      <c r="R891" s="671"/>
    </row>
    <row r="892">
      <c r="H892" s="671"/>
      <c r="I892" s="671"/>
      <c r="J892" s="671"/>
      <c r="P892" s="671"/>
      <c r="Q892" s="671"/>
      <c r="R892" s="671"/>
    </row>
    <row r="893">
      <c r="H893" s="671"/>
      <c r="I893" s="671"/>
      <c r="J893" s="671"/>
      <c r="P893" s="671"/>
      <c r="Q893" s="671"/>
      <c r="R893" s="671"/>
    </row>
    <row r="894">
      <c r="H894" s="671"/>
      <c r="I894" s="671"/>
      <c r="J894" s="671"/>
      <c r="P894" s="671"/>
      <c r="Q894" s="671"/>
      <c r="R894" s="671"/>
    </row>
    <row r="895">
      <c r="H895" s="671"/>
      <c r="I895" s="671"/>
      <c r="J895" s="671"/>
      <c r="P895" s="671"/>
      <c r="Q895" s="671"/>
      <c r="R895" s="671"/>
    </row>
    <row r="896">
      <c r="H896" s="671"/>
      <c r="I896" s="671"/>
      <c r="J896" s="671"/>
      <c r="P896" s="671"/>
      <c r="Q896" s="671"/>
      <c r="R896" s="671"/>
    </row>
    <row r="897">
      <c r="H897" s="671"/>
      <c r="I897" s="671"/>
      <c r="J897" s="671"/>
      <c r="P897" s="671"/>
      <c r="Q897" s="671"/>
      <c r="R897" s="671"/>
    </row>
    <row r="898">
      <c r="H898" s="671"/>
      <c r="I898" s="671"/>
      <c r="J898" s="671"/>
      <c r="P898" s="671"/>
      <c r="Q898" s="671"/>
      <c r="R898" s="671"/>
    </row>
    <row r="899">
      <c r="H899" s="671"/>
      <c r="I899" s="671"/>
      <c r="J899" s="671"/>
      <c r="P899" s="671"/>
      <c r="Q899" s="671"/>
      <c r="R899" s="671"/>
    </row>
    <row r="900">
      <c r="H900" s="671"/>
      <c r="I900" s="671"/>
      <c r="J900" s="671"/>
      <c r="P900" s="671"/>
      <c r="Q900" s="671"/>
      <c r="R900" s="671"/>
    </row>
    <row r="901">
      <c r="H901" s="671"/>
      <c r="I901" s="671"/>
      <c r="J901" s="671"/>
      <c r="P901" s="671"/>
      <c r="Q901" s="671"/>
      <c r="R901" s="671"/>
    </row>
    <row r="902">
      <c r="H902" s="671"/>
      <c r="I902" s="671"/>
      <c r="J902" s="671"/>
      <c r="P902" s="671"/>
      <c r="Q902" s="671"/>
      <c r="R902" s="671"/>
    </row>
    <row r="903">
      <c r="H903" s="671"/>
      <c r="I903" s="671"/>
      <c r="J903" s="671"/>
      <c r="P903" s="671"/>
      <c r="Q903" s="671"/>
      <c r="R903" s="671"/>
    </row>
    <row r="904">
      <c r="H904" s="671"/>
      <c r="I904" s="671"/>
      <c r="J904" s="671"/>
      <c r="P904" s="671"/>
      <c r="Q904" s="671"/>
      <c r="R904" s="671"/>
    </row>
    <row r="905">
      <c r="H905" s="671"/>
      <c r="I905" s="671"/>
      <c r="J905" s="671"/>
      <c r="P905" s="671"/>
      <c r="Q905" s="671"/>
      <c r="R905" s="671"/>
    </row>
    <row r="906">
      <c r="H906" s="671"/>
      <c r="I906" s="671"/>
      <c r="J906" s="671"/>
      <c r="P906" s="671"/>
      <c r="Q906" s="671"/>
      <c r="R906" s="671"/>
    </row>
    <row r="907">
      <c r="H907" s="671"/>
      <c r="I907" s="671"/>
      <c r="J907" s="671"/>
      <c r="P907" s="671"/>
      <c r="Q907" s="671"/>
      <c r="R907" s="671"/>
    </row>
    <row r="908">
      <c r="H908" s="671"/>
      <c r="I908" s="671"/>
      <c r="J908" s="671"/>
      <c r="P908" s="671"/>
      <c r="Q908" s="671"/>
      <c r="R908" s="671"/>
    </row>
    <row r="909">
      <c r="H909" s="671"/>
      <c r="I909" s="671"/>
      <c r="J909" s="671"/>
      <c r="P909" s="671"/>
      <c r="Q909" s="671"/>
      <c r="R909" s="671"/>
    </row>
    <row r="910">
      <c r="H910" s="671"/>
      <c r="I910" s="671"/>
      <c r="J910" s="671"/>
      <c r="P910" s="671"/>
      <c r="Q910" s="671"/>
      <c r="R910" s="671"/>
    </row>
    <row r="911">
      <c r="H911" s="671"/>
      <c r="I911" s="671"/>
      <c r="J911" s="671"/>
      <c r="P911" s="671"/>
      <c r="Q911" s="671"/>
      <c r="R911" s="671"/>
    </row>
    <row r="912">
      <c r="H912" s="671"/>
      <c r="I912" s="671"/>
      <c r="J912" s="671"/>
      <c r="P912" s="671"/>
      <c r="Q912" s="671"/>
      <c r="R912" s="671"/>
    </row>
    <row r="913">
      <c r="H913" s="671"/>
      <c r="I913" s="671"/>
      <c r="J913" s="671"/>
      <c r="P913" s="671"/>
      <c r="Q913" s="671"/>
      <c r="R913" s="671"/>
    </row>
    <row r="914">
      <c r="H914" s="671"/>
      <c r="I914" s="671"/>
      <c r="J914" s="671"/>
      <c r="P914" s="671"/>
      <c r="Q914" s="671"/>
      <c r="R914" s="671"/>
    </row>
    <row r="915">
      <c r="H915" s="671"/>
      <c r="I915" s="671"/>
      <c r="J915" s="671"/>
      <c r="P915" s="671"/>
      <c r="Q915" s="671"/>
      <c r="R915" s="671"/>
    </row>
    <row r="916">
      <c r="H916" s="671"/>
      <c r="I916" s="671"/>
      <c r="J916" s="671"/>
      <c r="P916" s="671"/>
      <c r="Q916" s="671"/>
      <c r="R916" s="671"/>
    </row>
    <row r="917">
      <c r="H917" s="671"/>
      <c r="I917" s="671"/>
      <c r="J917" s="671"/>
      <c r="P917" s="671"/>
      <c r="Q917" s="671"/>
      <c r="R917" s="671"/>
    </row>
    <row r="918">
      <c r="H918" s="671"/>
      <c r="I918" s="671"/>
      <c r="J918" s="671"/>
      <c r="P918" s="671"/>
      <c r="Q918" s="671"/>
      <c r="R918" s="671"/>
    </row>
    <row r="919">
      <c r="H919" s="671"/>
      <c r="I919" s="671"/>
      <c r="J919" s="671"/>
      <c r="P919" s="671"/>
      <c r="Q919" s="671"/>
      <c r="R919" s="671"/>
    </row>
    <row r="920">
      <c r="H920" s="671"/>
      <c r="I920" s="671"/>
      <c r="J920" s="671"/>
      <c r="P920" s="671"/>
      <c r="Q920" s="671"/>
      <c r="R920" s="671"/>
    </row>
    <row r="921">
      <c r="H921" s="671"/>
      <c r="I921" s="671"/>
      <c r="J921" s="671"/>
      <c r="P921" s="671"/>
      <c r="Q921" s="671"/>
      <c r="R921" s="671"/>
    </row>
    <row r="922">
      <c r="H922" s="671"/>
      <c r="I922" s="671"/>
      <c r="J922" s="671"/>
      <c r="P922" s="671"/>
      <c r="Q922" s="671"/>
      <c r="R922" s="671"/>
    </row>
    <row r="923">
      <c r="H923" s="671"/>
      <c r="I923" s="671"/>
      <c r="J923" s="671"/>
      <c r="P923" s="671"/>
      <c r="Q923" s="671"/>
      <c r="R923" s="671"/>
    </row>
    <row r="924">
      <c r="H924" s="671"/>
      <c r="I924" s="671"/>
      <c r="J924" s="671"/>
      <c r="P924" s="671"/>
      <c r="Q924" s="671"/>
      <c r="R924" s="671"/>
    </row>
    <row r="925">
      <c r="H925" s="671"/>
      <c r="I925" s="671"/>
      <c r="J925" s="671"/>
      <c r="P925" s="671"/>
      <c r="Q925" s="671"/>
      <c r="R925" s="671"/>
    </row>
    <row r="926">
      <c r="H926" s="671"/>
      <c r="I926" s="671"/>
      <c r="J926" s="671"/>
      <c r="P926" s="671"/>
      <c r="Q926" s="671"/>
      <c r="R926" s="671"/>
    </row>
    <row r="927">
      <c r="H927" s="671"/>
      <c r="I927" s="671"/>
      <c r="J927" s="671"/>
      <c r="P927" s="671"/>
      <c r="Q927" s="671"/>
      <c r="R927" s="671"/>
    </row>
    <row r="928">
      <c r="H928" s="671"/>
      <c r="I928" s="671"/>
      <c r="J928" s="671"/>
      <c r="P928" s="671"/>
      <c r="Q928" s="671"/>
      <c r="R928" s="671"/>
    </row>
    <row r="929">
      <c r="H929" s="671"/>
      <c r="I929" s="671"/>
      <c r="J929" s="671"/>
      <c r="P929" s="671"/>
      <c r="Q929" s="671"/>
      <c r="R929" s="671"/>
    </row>
    <row r="930">
      <c r="H930" s="671"/>
      <c r="I930" s="671"/>
      <c r="J930" s="671"/>
      <c r="P930" s="671"/>
      <c r="Q930" s="671"/>
      <c r="R930" s="671"/>
    </row>
    <row r="931">
      <c r="H931" s="671"/>
      <c r="I931" s="671"/>
      <c r="J931" s="671"/>
      <c r="P931" s="671"/>
      <c r="Q931" s="671"/>
      <c r="R931" s="671"/>
    </row>
    <row r="932">
      <c r="H932" s="671"/>
      <c r="I932" s="671"/>
      <c r="J932" s="671"/>
      <c r="P932" s="671"/>
      <c r="Q932" s="671"/>
      <c r="R932" s="671"/>
    </row>
    <row r="933">
      <c r="H933" s="671"/>
      <c r="I933" s="671"/>
      <c r="J933" s="671"/>
      <c r="P933" s="671"/>
      <c r="Q933" s="671"/>
      <c r="R933" s="671"/>
    </row>
    <row r="934">
      <c r="H934" s="671"/>
      <c r="I934" s="671"/>
      <c r="J934" s="671"/>
      <c r="P934" s="671"/>
      <c r="Q934" s="671"/>
      <c r="R934" s="671"/>
    </row>
    <row r="935">
      <c r="H935" s="671"/>
      <c r="I935" s="671"/>
      <c r="J935" s="671"/>
      <c r="P935" s="671"/>
      <c r="Q935" s="671"/>
      <c r="R935" s="671"/>
    </row>
    <row r="936">
      <c r="H936" s="671"/>
      <c r="I936" s="671"/>
      <c r="J936" s="671"/>
      <c r="P936" s="671"/>
      <c r="Q936" s="671"/>
      <c r="R936" s="671"/>
    </row>
    <row r="937">
      <c r="H937" s="671"/>
      <c r="I937" s="671"/>
      <c r="J937" s="671"/>
      <c r="P937" s="671"/>
      <c r="Q937" s="671"/>
      <c r="R937" s="671"/>
    </row>
    <row r="938">
      <c r="H938" s="671"/>
      <c r="I938" s="671"/>
      <c r="J938" s="671"/>
      <c r="P938" s="671"/>
      <c r="Q938" s="671"/>
      <c r="R938" s="671"/>
    </row>
    <row r="939">
      <c r="H939" s="671"/>
      <c r="I939" s="671"/>
      <c r="J939" s="671"/>
      <c r="P939" s="671"/>
      <c r="Q939" s="671"/>
      <c r="R939" s="671"/>
    </row>
    <row r="940">
      <c r="H940" s="671"/>
      <c r="I940" s="671"/>
      <c r="J940" s="671"/>
      <c r="P940" s="671"/>
      <c r="Q940" s="671"/>
      <c r="R940" s="671"/>
    </row>
    <row r="941">
      <c r="H941" s="671"/>
      <c r="I941" s="671"/>
      <c r="J941" s="671"/>
      <c r="P941" s="671"/>
      <c r="Q941" s="671"/>
      <c r="R941" s="671"/>
    </row>
    <row r="942">
      <c r="H942" s="671"/>
      <c r="I942" s="671"/>
      <c r="J942" s="671"/>
      <c r="P942" s="671"/>
      <c r="Q942" s="671"/>
      <c r="R942" s="671"/>
    </row>
    <row r="943">
      <c r="H943" s="671"/>
      <c r="I943" s="671"/>
      <c r="J943" s="671"/>
      <c r="P943" s="671"/>
      <c r="Q943" s="671"/>
      <c r="R943" s="671"/>
    </row>
    <row r="944">
      <c r="H944" s="671"/>
      <c r="I944" s="671"/>
      <c r="J944" s="671"/>
      <c r="P944" s="671"/>
      <c r="Q944" s="671"/>
      <c r="R944" s="671"/>
    </row>
    <row r="945">
      <c r="H945" s="671"/>
      <c r="I945" s="671"/>
      <c r="J945" s="671"/>
      <c r="P945" s="671"/>
      <c r="Q945" s="671"/>
      <c r="R945" s="671"/>
    </row>
    <row r="946">
      <c r="H946" s="671"/>
      <c r="I946" s="671"/>
      <c r="J946" s="671"/>
      <c r="P946" s="671"/>
      <c r="Q946" s="671"/>
      <c r="R946" s="671"/>
    </row>
    <row r="947">
      <c r="H947" s="671"/>
      <c r="I947" s="671"/>
      <c r="J947" s="671"/>
      <c r="P947" s="671"/>
      <c r="Q947" s="671"/>
      <c r="R947" s="671"/>
    </row>
    <row r="948">
      <c r="H948" s="671"/>
      <c r="I948" s="671"/>
      <c r="J948" s="671"/>
      <c r="P948" s="671"/>
      <c r="Q948" s="671"/>
      <c r="R948" s="671"/>
    </row>
    <row r="949">
      <c r="H949" s="671"/>
      <c r="I949" s="671"/>
      <c r="J949" s="671"/>
      <c r="P949" s="671"/>
      <c r="Q949" s="671"/>
      <c r="R949" s="671"/>
    </row>
    <row r="950">
      <c r="H950" s="671"/>
      <c r="I950" s="671"/>
      <c r="J950" s="671"/>
      <c r="P950" s="671"/>
      <c r="Q950" s="671"/>
      <c r="R950" s="671"/>
    </row>
    <row r="951">
      <c r="H951" s="671"/>
      <c r="I951" s="671"/>
      <c r="J951" s="671"/>
      <c r="P951" s="671"/>
      <c r="Q951" s="671"/>
      <c r="R951" s="671"/>
    </row>
    <row r="952">
      <c r="H952" s="671"/>
      <c r="I952" s="671"/>
      <c r="J952" s="671"/>
      <c r="P952" s="671"/>
      <c r="Q952" s="671"/>
      <c r="R952" s="671"/>
    </row>
    <row r="953">
      <c r="H953" s="671"/>
      <c r="I953" s="671"/>
      <c r="J953" s="671"/>
      <c r="P953" s="671"/>
      <c r="Q953" s="671"/>
      <c r="R953" s="671"/>
    </row>
    <row r="954">
      <c r="H954" s="671"/>
      <c r="I954" s="671"/>
      <c r="J954" s="671"/>
      <c r="P954" s="671"/>
      <c r="Q954" s="671"/>
      <c r="R954" s="671"/>
    </row>
    <row r="955">
      <c r="H955" s="671"/>
      <c r="I955" s="671"/>
      <c r="J955" s="671"/>
      <c r="P955" s="671"/>
      <c r="Q955" s="671"/>
      <c r="R955" s="671"/>
    </row>
    <row r="956">
      <c r="H956" s="671"/>
      <c r="I956" s="671"/>
      <c r="J956" s="671"/>
      <c r="P956" s="671"/>
      <c r="Q956" s="671"/>
      <c r="R956" s="671"/>
    </row>
    <row r="957">
      <c r="H957" s="671"/>
      <c r="I957" s="671"/>
      <c r="J957" s="671"/>
      <c r="P957" s="671"/>
      <c r="Q957" s="671"/>
      <c r="R957" s="671"/>
    </row>
    <row r="958">
      <c r="H958" s="671"/>
      <c r="I958" s="671"/>
      <c r="J958" s="671"/>
      <c r="P958" s="671"/>
      <c r="Q958" s="671"/>
      <c r="R958" s="671"/>
    </row>
    <row r="959">
      <c r="H959" s="671"/>
      <c r="I959" s="671"/>
      <c r="J959" s="671"/>
      <c r="P959" s="671"/>
      <c r="Q959" s="671"/>
      <c r="R959" s="671"/>
    </row>
    <row r="960">
      <c r="H960" s="671"/>
      <c r="I960" s="671"/>
      <c r="J960" s="671"/>
      <c r="P960" s="671"/>
      <c r="Q960" s="671"/>
      <c r="R960" s="671"/>
    </row>
    <row r="961">
      <c r="H961" s="671"/>
      <c r="I961" s="671"/>
      <c r="J961" s="671"/>
      <c r="P961" s="671"/>
      <c r="Q961" s="671"/>
      <c r="R961" s="671"/>
    </row>
    <row r="962">
      <c r="H962" s="671"/>
      <c r="I962" s="671"/>
      <c r="J962" s="671"/>
      <c r="P962" s="671"/>
      <c r="Q962" s="671"/>
      <c r="R962" s="671"/>
    </row>
    <row r="963">
      <c r="H963" s="671"/>
      <c r="I963" s="671"/>
      <c r="J963" s="671"/>
      <c r="P963" s="671"/>
      <c r="Q963" s="671"/>
      <c r="R963" s="671"/>
    </row>
    <row r="964">
      <c r="H964" s="671"/>
      <c r="I964" s="671"/>
      <c r="J964" s="671"/>
      <c r="P964" s="671"/>
      <c r="Q964" s="671"/>
      <c r="R964" s="671"/>
    </row>
    <row r="965">
      <c r="H965" s="671"/>
      <c r="I965" s="671"/>
      <c r="J965" s="671"/>
      <c r="P965" s="671"/>
      <c r="Q965" s="671"/>
      <c r="R965" s="671"/>
    </row>
    <row r="966">
      <c r="H966" s="671"/>
      <c r="I966" s="671"/>
      <c r="J966" s="671"/>
      <c r="P966" s="671"/>
      <c r="Q966" s="671"/>
      <c r="R966" s="671"/>
    </row>
    <row r="967">
      <c r="H967" s="671"/>
      <c r="I967" s="671"/>
      <c r="J967" s="671"/>
      <c r="P967" s="671"/>
      <c r="Q967" s="671"/>
      <c r="R967" s="671"/>
    </row>
    <row r="968">
      <c r="H968" s="671"/>
      <c r="I968" s="671"/>
      <c r="J968" s="671"/>
      <c r="P968" s="671"/>
      <c r="Q968" s="671"/>
      <c r="R968" s="671"/>
    </row>
    <row r="969">
      <c r="H969" s="671"/>
      <c r="I969" s="671"/>
      <c r="J969" s="671"/>
      <c r="P969" s="671"/>
      <c r="Q969" s="671"/>
      <c r="R969" s="671"/>
    </row>
    <row r="970">
      <c r="H970" s="671"/>
      <c r="I970" s="671"/>
      <c r="J970" s="671"/>
      <c r="P970" s="671"/>
      <c r="Q970" s="671"/>
      <c r="R970" s="671"/>
    </row>
    <row r="971">
      <c r="H971" s="671"/>
      <c r="I971" s="671"/>
      <c r="J971" s="671"/>
      <c r="P971" s="671"/>
      <c r="Q971" s="671"/>
      <c r="R971" s="671"/>
    </row>
    <row r="972">
      <c r="H972" s="671"/>
      <c r="I972" s="671"/>
      <c r="J972" s="671"/>
      <c r="P972" s="671"/>
      <c r="Q972" s="671"/>
      <c r="R972" s="671"/>
    </row>
    <row r="973">
      <c r="H973" s="671"/>
      <c r="I973" s="671"/>
      <c r="J973" s="671"/>
      <c r="P973" s="671"/>
      <c r="Q973" s="671"/>
      <c r="R973" s="671"/>
    </row>
    <row r="974">
      <c r="H974" s="671"/>
      <c r="I974" s="671"/>
      <c r="J974" s="671"/>
      <c r="P974" s="671"/>
      <c r="Q974" s="671"/>
      <c r="R974" s="671"/>
    </row>
    <row r="975">
      <c r="H975" s="671"/>
      <c r="I975" s="671"/>
      <c r="J975" s="671"/>
      <c r="P975" s="671"/>
      <c r="Q975" s="671"/>
      <c r="R975" s="671"/>
    </row>
    <row r="976">
      <c r="H976" s="671"/>
      <c r="I976" s="671"/>
      <c r="J976" s="671"/>
      <c r="P976" s="671"/>
      <c r="Q976" s="671"/>
      <c r="R976" s="671"/>
    </row>
    <row r="977">
      <c r="H977" s="671"/>
      <c r="I977" s="671"/>
      <c r="J977" s="671"/>
      <c r="P977" s="671"/>
      <c r="Q977" s="671"/>
      <c r="R977" s="671"/>
    </row>
    <row r="978">
      <c r="H978" s="671"/>
      <c r="I978" s="671"/>
      <c r="J978" s="671"/>
      <c r="P978" s="671"/>
      <c r="Q978" s="671"/>
      <c r="R978" s="671"/>
    </row>
    <row r="979">
      <c r="H979" s="671"/>
      <c r="I979" s="671"/>
      <c r="J979" s="671"/>
      <c r="P979" s="671"/>
      <c r="Q979" s="671"/>
      <c r="R979" s="671"/>
    </row>
    <row r="980">
      <c r="H980" s="671"/>
      <c r="I980" s="671"/>
      <c r="J980" s="671"/>
      <c r="P980" s="671"/>
      <c r="Q980" s="671"/>
      <c r="R980" s="671"/>
    </row>
    <row r="981">
      <c r="H981" s="671"/>
      <c r="I981" s="671"/>
      <c r="J981" s="671"/>
      <c r="P981" s="671"/>
      <c r="Q981" s="671"/>
      <c r="R981" s="671"/>
    </row>
    <row r="982">
      <c r="H982" s="671"/>
      <c r="I982" s="671"/>
      <c r="J982" s="671"/>
      <c r="P982" s="671"/>
      <c r="Q982" s="671"/>
      <c r="R982" s="671"/>
    </row>
    <row r="983">
      <c r="H983" s="671"/>
      <c r="I983" s="671"/>
      <c r="J983" s="671"/>
      <c r="P983" s="671"/>
      <c r="Q983" s="671"/>
      <c r="R983" s="671"/>
    </row>
    <row r="984">
      <c r="H984" s="671"/>
      <c r="I984" s="671"/>
      <c r="J984" s="671"/>
      <c r="P984" s="671"/>
      <c r="Q984" s="671"/>
      <c r="R984" s="671"/>
    </row>
    <row r="985">
      <c r="H985" s="671"/>
      <c r="I985" s="671"/>
      <c r="J985" s="671"/>
      <c r="P985" s="671"/>
      <c r="Q985" s="671"/>
      <c r="R985" s="671"/>
    </row>
    <row r="986">
      <c r="H986" s="671"/>
      <c r="I986" s="671"/>
      <c r="J986" s="671"/>
      <c r="P986" s="671"/>
      <c r="Q986" s="671"/>
      <c r="R986" s="671"/>
    </row>
    <row r="987">
      <c r="H987" s="671"/>
      <c r="I987" s="671"/>
      <c r="J987" s="671"/>
      <c r="P987" s="671"/>
      <c r="Q987" s="671"/>
      <c r="R987" s="671"/>
    </row>
    <row r="988">
      <c r="H988" s="671"/>
      <c r="I988" s="671"/>
      <c r="J988" s="671"/>
      <c r="P988" s="671"/>
      <c r="Q988" s="671"/>
      <c r="R988" s="671"/>
    </row>
    <row r="989">
      <c r="H989" s="671"/>
      <c r="I989" s="671"/>
      <c r="J989" s="671"/>
      <c r="P989" s="671"/>
      <c r="Q989" s="671"/>
      <c r="R989" s="671"/>
    </row>
    <row r="990">
      <c r="H990" s="671"/>
      <c r="I990" s="671"/>
      <c r="J990" s="671"/>
      <c r="P990" s="671"/>
      <c r="Q990" s="671"/>
      <c r="R990" s="671"/>
    </row>
    <row r="991">
      <c r="H991" s="671"/>
      <c r="I991" s="671"/>
      <c r="J991" s="671"/>
      <c r="P991" s="671"/>
      <c r="Q991" s="671"/>
      <c r="R991" s="671"/>
    </row>
    <row r="992">
      <c r="H992" s="671"/>
      <c r="I992" s="671"/>
      <c r="J992" s="671"/>
      <c r="P992" s="671"/>
      <c r="Q992" s="671"/>
      <c r="R992" s="671"/>
    </row>
    <row r="993">
      <c r="H993" s="671"/>
      <c r="I993" s="671"/>
      <c r="J993" s="671"/>
      <c r="P993" s="671"/>
      <c r="Q993" s="671"/>
      <c r="R993" s="671"/>
    </row>
    <row r="994">
      <c r="H994" s="671"/>
      <c r="I994" s="671"/>
      <c r="J994" s="671"/>
      <c r="P994" s="671"/>
      <c r="Q994" s="671"/>
      <c r="R994" s="671"/>
    </row>
    <row r="995">
      <c r="H995" s="671"/>
      <c r="I995" s="671"/>
      <c r="J995" s="671"/>
      <c r="P995" s="671"/>
      <c r="Q995" s="671"/>
      <c r="R995" s="671"/>
    </row>
    <row r="996">
      <c r="H996" s="671"/>
      <c r="I996" s="671"/>
      <c r="J996" s="671"/>
      <c r="P996" s="671"/>
      <c r="Q996" s="671"/>
      <c r="R996" s="671"/>
    </row>
    <row r="997">
      <c r="H997" s="671"/>
      <c r="I997" s="671"/>
      <c r="J997" s="671"/>
      <c r="P997" s="671"/>
      <c r="Q997" s="671"/>
      <c r="R997" s="671"/>
    </row>
    <row r="998">
      <c r="H998" s="671"/>
      <c r="I998" s="671"/>
      <c r="J998" s="671"/>
      <c r="P998" s="671"/>
      <c r="Q998" s="671"/>
      <c r="R998" s="671"/>
    </row>
    <row r="999">
      <c r="H999" s="671"/>
      <c r="I999" s="671"/>
      <c r="J999" s="671"/>
      <c r="P999" s="671"/>
      <c r="Q999" s="671"/>
      <c r="R999" s="671"/>
    </row>
    <row r="1000">
      <c r="H1000" s="671"/>
      <c r="I1000" s="671"/>
      <c r="J1000" s="671"/>
      <c r="P1000" s="671"/>
      <c r="Q1000" s="671"/>
      <c r="R1000" s="671"/>
    </row>
  </sheetData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</cols>
  <sheetData>
    <row r="1">
      <c r="A1" s="660" t="s">
        <v>2236</v>
      </c>
      <c r="B1" s="660" t="s">
        <v>2177</v>
      </c>
      <c r="C1" s="660" t="s">
        <v>2199</v>
      </c>
      <c r="D1" s="660" t="s">
        <v>2200</v>
      </c>
      <c r="E1" s="660" t="s">
        <v>2271</v>
      </c>
      <c r="F1" s="660" t="s">
        <v>2272</v>
      </c>
      <c r="G1" s="660" t="s">
        <v>2237</v>
      </c>
      <c r="H1" s="660" t="s">
        <v>2273</v>
      </c>
      <c r="I1" s="660" t="s">
        <v>2274</v>
      </c>
      <c r="J1" s="660" t="s">
        <v>2275</v>
      </c>
      <c r="K1" s="660" t="s">
        <v>2276</v>
      </c>
      <c r="L1" s="660" t="s">
        <v>2277</v>
      </c>
      <c r="M1" s="660" t="s">
        <v>2278</v>
      </c>
      <c r="N1" s="662"/>
      <c r="O1" s="662"/>
      <c r="P1" s="662"/>
      <c r="Q1" s="662"/>
      <c r="R1" s="662"/>
      <c r="S1" s="662"/>
      <c r="T1" s="662"/>
      <c r="U1" s="662"/>
      <c r="V1" s="662"/>
      <c r="W1" s="662"/>
      <c r="X1" s="662"/>
      <c r="Y1" s="662"/>
      <c r="Z1" s="662"/>
    </row>
    <row r="2">
      <c r="A2" s="1" t="s">
        <v>50</v>
      </c>
      <c r="B2" s="1" t="s">
        <v>180</v>
      </c>
      <c r="C2" s="1" t="s">
        <v>19</v>
      </c>
      <c r="D2" s="1">
        <v>1.0</v>
      </c>
      <c r="E2" s="1">
        <v>1.0</v>
      </c>
      <c r="F2" s="1">
        <v>3.0</v>
      </c>
      <c r="G2" s="1">
        <v>4.0</v>
      </c>
      <c r="H2" s="1">
        <v>7189.0</v>
      </c>
      <c r="I2" s="1">
        <v>0.4368</v>
      </c>
      <c r="J2" s="1">
        <v>0.2958</v>
      </c>
      <c r="K2" s="1">
        <v>0.0</v>
      </c>
      <c r="L2" s="1">
        <v>0.9999</v>
      </c>
      <c r="M2" s="1">
        <v>0.4362</v>
      </c>
    </row>
    <row r="3">
      <c r="A3" s="1" t="s">
        <v>50</v>
      </c>
      <c r="B3" s="1" t="s">
        <v>180</v>
      </c>
      <c r="C3" s="1" t="s">
        <v>19</v>
      </c>
      <c r="D3" s="1">
        <v>1.0</v>
      </c>
      <c r="E3" s="1">
        <v>2.0</v>
      </c>
      <c r="F3" s="1">
        <v>3.0</v>
      </c>
      <c r="G3" s="1">
        <v>4.0</v>
      </c>
      <c r="H3" s="1">
        <v>7189.0</v>
      </c>
      <c r="I3" s="1">
        <v>0.9357</v>
      </c>
      <c r="J3" s="1">
        <v>1.0</v>
      </c>
      <c r="K3" s="1">
        <v>1.0</v>
      </c>
      <c r="L3" s="1">
        <v>1.0</v>
      </c>
      <c r="M3" s="1">
        <v>0.9362</v>
      </c>
    </row>
    <row r="4">
      <c r="A4" s="1" t="s">
        <v>50</v>
      </c>
      <c r="B4" s="1" t="s">
        <v>180</v>
      </c>
      <c r="C4" s="1" t="s">
        <v>19</v>
      </c>
      <c r="D4" s="1">
        <v>1.0</v>
      </c>
      <c r="E4" s="1">
        <v>3.0</v>
      </c>
      <c r="F4" s="1">
        <v>3.0</v>
      </c>
      <c r="G4" s="1">
        <v>2.0</v>
      </c>
      <c r="H4" s="1">
        <v>7187.0</v>
      </c>
      <c r="I4" s="1">
        <v>1.0</v>
      </c>
      <c r="J4" s="1">
        <v>1.0</v>
      </c>
      <c r="K4" s="1">
        <v>1.0</v>
      </c>
      <c r="L4" s="1">
        <v>1.0</v>
      </c>
      <c r="M4" s="1">
        <v>1.0</v>
      </c>
    </row>
    <row r="5">
      <c r="A5" s="1" t="s">
        <v>50</v>
      </c>
      <c r="B5" s="1" t="s">
        <v>1192</v>
      </c>
      <c r="C5" s="1" t="s">
        <v>19</v>
      </c>
      <c r="D5" s="1">
        <v>1.0</v>
      </c>
      <c r="E5" s="1">
        <v>1.0</v>
      </c>
      <c r="F5" s="1">
        <v>3.0</v>
      </c>
      <c r="G5" s="1">
        <v>3.0</v>
      </c>
      <c r="H5" s="1">
        <v>1853.0</v>
      </c>
      <c r="I5" s="1">
        <v>0.4527</v>
      </c>
      <c r="J5" s="1">
        <v>0.371</v>
      </c>
      <c r="K5" s="1">
        <v>0.0</v>
      </c>
      <c r="L5" s="1">
        <v>0.9984</v>
      </c>
      <c r="M5" s="1">
        <v>0.4507</v>
      </c>
    </row>
    <row r="6">
      <c r="A6" s="1" t="s">
        <v>50</v>
      </c>
      <c r="B6" s="1" t="s">
        <v>1192</v>
      </c>
      <c r="C6" s="1" t="s">
        <v>19</v>
      </c>
      <c r="D6" s="1">
        <v>1.0</v>
      </c>
      <c r="E6" s="1">
        <v>2.0</v>
      </c>
      <c r="F6" s="1">
        <v>3.0</v>
      </c>
      <c r="G6" s="1">
        <v>3.0</v>
      </c>
      <c r="H6" s="1">
        <v>1853.0</v>
      </c>
      <c r="I6" s="1">
        <v>0.9337</v>
      </c>
      <c r="J6" s="1">
        <v>1.0</v>
      </c>
      <c r="K6" s="1">
        <v>1.0</v>
      </c>
      <c r="L6" s="1">
        <v>1.0</v>
      </c>
      <c r="M6" s="1">
        <v>0.9335</v>
      </c>
    </row>
    <row r="7">
      <c r="A7" s="1" t="s">
        <v>50</v>
      </c>
      <c r="B7" s="1" t="s">
        <v>1192</v>
      </c>
      <c r="C7" s="1" t="s">
        <v>19</v>
      </c>
      <c r="D7" s="1">
        <v>1.0</v>
      </c>
      <c r="E7" s="1">
        <v>3.0</v>
      </c>
      <c r="F7" s="1">
        <v>3.0</v>
      </c>
      <c r="G7" s="1">
        <v>2.0</v>
      </c>
      <c r="H7" s="1">
        <v>1852.0</v>
      </c>
      <c r="I7" s="1">
        <v>1.0</v>
      </c>
      <c r="J7" s="1">
        <v>1.0</v>
      </c>
      <c r="K7" s="1">
        <v>1.0</v>
      </c>
      <c r="L7" s="1">
        <v>1.0</v>
      </c>
      <c r="M7" s="1">
        <v>1.0</v>
      </c>
    </row>
    <row r="8">
      <c r="A8" s="1" t="s">
        <v>50</v>
      </c>
      <c r="B8" s="1" t="s">
        <v>180</v>
      </c>
      <c r="C8" s="1" t="s">
        <v>21</v>
      </c>
      <c r="D8" s="1">
        <v>2.0</v>
      </c>
      <c r="E8" s="1">
        <v>1.0</v>
      </c>
      <c r="F8" s="1">
        <v>3.0</v>
      </c>
      <c r="G8" s="1">
        <v>5.0</v>
      </c>
      <c r="H8" s="1">
        <v>8856.0</v>
      </c>
      <c r="I8" s="1">
        <v>0.4579</v>
      </c>
      <c r="J8" s="1">
        <v>0.4089</v>
      </c>
      <c r="K8" s="1">
        <v>0.0</v>
      </c>
      <c r="L8" s="1">
        <v>0.9693</v>
      </c>
      <c r="M8" s="1">
        <v>0.4568</v>
      </c>
    </row>
    <row r="9">
      <c r="A9" s="1" t="s">
        <v>50</v>
      </c>
      <c r="B9" s="1" t="s">
        <v>180</v>
      </c>
      <c r="C9" s="1" t="s">
        <v>21</v>
      </c>
      <c r="D9" s="1">
        <v>2.0</v>
      </c>
      <c r="E9" s="1">
        <v>2.0</v>
      </c>
      <c r="F9" s="1">
        <v>3.0</v>
      </c>
      <c r="G9" s="1">
        <v>5.0</v>
      </c>
      <c r="H9" s="1">
        <v>8856.0</v>
      </c>
      <c r="I9" s="1">
        <v>0.943</v>
      </c>
      <c r="J9" s="1">
        <v>1.0</v>
      </c>
      <c r="K9" s="1">
        <v>1.0</v>
      </c>
      <c r="L9" s="1">
        <v>1.0</v>
      </c>
      <c r="M9" s="1">
        <v>0.9432</v>
      </c>
    </row>
    <row r="10">
      <c r="A10" s="1" t="s">
        <v>50</v>
      </c>
      <c r="B10" s="1" t="s">
        <v>180</v>
      </c>
      <c r="C10" s="1" t="s">
        <v>21</v>
      </c>
      <c r="D10" s="1">
        <v>2.0</v>
      </c>
      <c r="E10" s="1">
        <v>3.0</v>
      </c>
      <c r="F10" s="1">
        <v>3.0</v>
      </c>
      <c r="G10" s="1">
        <v>2.0</v>
      </c>
      <c r="H10" s="1">
        <v>8851.0</v>
      </c>
      <c r="I10" s="1">
        <v>1.0</v>
      </c>
      <c r="J10" s="1">
        <v>1.0</v>
      </c>
      <c r="K10" s="1">
        <v>1.0</v>
      </c>
      <c r="L10" s="1">
        <v>1.0</v>
      </c>
      <c r="M10" s="1">
        <v>1.0</v>
      </c>
    </row>
    <row r="11">
      <c r="A11" s="1" t="s">
        <v>50</v>
      </c>
      <c r="B11" s="1" t="s">
        <v>1192</v>
      </c>
      <c r="C11" s="1" t="s">
        <v>21</v>
      </c>
      <c r="D11" s="1">
        <v>2.0</v>
      </c>
      <c r="E11" s="1">
        <v>1.0</v>
      </c>
      <c r="F11" s="1">
        <v>3.0</v>
      </c>
      <c r="G11" s="1">
        <v>3.0</v>
      </c>
      <c r="H11" s="1">
        <v>1529.0</v>
      </c>
      <c r="I11" s="1">
        <v>0.4767</v>
      </c>
      <c r="J11" s="1">
        <v>0.4507</v>
      </c>
      <c r="K11" s="1">
        <v>0.0</v>
      </c>
      <c r="L11" s="1">
        <v>0.9666</v>
      </c>
      <c r="M11" s="1">
        <v>0.4742</v>
      </c>
    </row>
    <row r="12">
      <c r="A12" s="1" t="s">
        <v>50</v>
      </c>
      <c r="B12" s="1" t="s">
        <v>1192</v>
      </c>
      <c r="C12" s="1" t="s">
        <v>21</v>
      </c>
      <c r="D12" s="1">
        <v>2.0</v>
      </c>
      <c r="E12" s="1">
        <v>2.0</v>
      </c>
      <c r="F12" s="1">
        <v>3.0</v>
      </c>
      <c r="G12" s="1">
        <v>3.0</v>
      </c>
      <c r="H12" s="1">
        <v>1529.0</v>
      </c>
      <c r="I12" s="1">
        <v>0.9441</v>
      </c>
      <c r="J12" s="1">
        <v>1.0</v>
      </c>
      <c r="K12" s="1">
        <v>1.0</v>
      </c>
      <c r="L12" s="1">
        <v>1.0</v>
      </c>
      <c r="M12" s="1">
        <v>0.9444</v>
      </c>
    </row>
    <row r="13">
      <c r="A13" s="1" t="s">
        <v>50</v>
      </c>
      <c r="B13" s="1" t="s">
        <v>1192</v>
      </c>
      <c r="C13" s="1" t="s">
        <v>21</v>
      </c>
      <c r="D13" s="1">
        <v>2.0</v>
      </c>
      <c r="E13" s="1">
        <v>3.0</v>
      </c>
      <c r="F13" s="1">
        <v>3.0</v>
      </c>
      <c r="G13" s="1">
        <v>2.0</v>
      </c>
      <c r="H13" s="1">
        <v>1528.0</v>
      </c>
      <c r="I13" s="1">
        <v>1.0</v>
      </c>
      <c r="J13" s="1">
        <v>1.0</v>
      </c>
      <c r="K13" s="1">
        <v>1.0</v>
      </c>
      <c r="L13" s="1">
        <v>1.0</v>
      </c>
      <c r="M13" s="1">
        <v>1.0</v>
      </c>
    </row>
    <row r="14">
      <c r="A14" s="1" t="s">
        <v>50</v>
      </c>
      <c r="B14" s="1" t="s">
        <v>180</v>
      </c>
      <c r="C14" s="1" t="s">
        <v>22</v>
      </c>
      <c r="D14" s="1">
        <v>3.0</v>
      </c>
      <c r="E14" s="1">
        <v>1.0</v>
      </c>
      <c r="F14" s="1">
        <v>3.0</v>
      </c>
      <c r="G14" s="1">
        <v>5.0</v>
      </c>
      <c r="H14" s="1">
        <v>8787.0</v>
      </c>
      <c r="I14" s="1">
        <v>0.4578</v>
      </c>
      <c r="J14" s="1">
        <v>0.4302</v>
      </c>
      <c r="K14" s="1">
        <v>0.0023</v>
      </c>
      <c r="L14" s="1">
        <v>0.8719</v>
      </c>
      <c r="M14" s="1">
        <v>0.4551</v>
      </c>
    </row>
    <row r="15">
      <c r="A15" s="1" t="s">
        <v>50</v>
      </c>
      <c r="B15" s="1" t="s">
        <v>180</v>
      </c>
      <c r="C15" s="1" t="s">
        <v>22</v>
      </c>
      <c r="D15" s="1">
        <v>3.0</v>
      </c>
      <c r="E15" s="1">
        <v>2.0</v>
      </c>
      <c r="F15" s="1">
        <v>3.0</v>
      </c>
      <c r="G15" s="1">
        <v>5.0</v>
      </c>
      <c r="H15" s="1">
        <v>8787.0</v>
      </c>
      <c r="I15" s="1">
        <v>0.9441</v>
      </c>
      <c r="J15" s="1">
        <v>1.0</v>
      </c>
      <c r="K15" s="1">
        <v>0.9995</v>
      </c>
      <c r="L15" s="1">
        <v>1.0</v>
      </c>
      <c r="M15" s="1">
        <v>0.9443</v>
      </c>
    </row>
    <row r="16">
      <c r="A16" s="1" t="s">
        <v>50</v>
      </c>
      <c r="B16" s="1" t="s">
        <v>180</v>
      </c>
      <c r="C16" s="1" t="s">
        <v>22</v>
      </c>
      <c r="D16" s="1">
        <v>3.0</v>
      </c>
      <c r="E16" s="1">
        <v>3.0</v>
      </c>
      <c r="F16" s="1">
        <v>3.0</v>
      </c>
      <c r="G16" s="1">
        <v>2.0</v>
      </c>
      <c r="H16" s="1">
        <v>8782.0</v>
      </c>
      <c r="I16" s="1">
        <v>1.0</v>
      </c>
      <c r="J16" s="1">
        <v>1.0</v>
      </c>
      <c r="K16" s="1">
        <v>1.0</v>
      </c>
      <c r="L16" s="1">
        <v>1.0</v>
      </c>
      <c r="M16" s="1">
        <v>1.0</v>
      </c>
    </row>
    <row r="17">
      <c r="A17" s="1" t="s">
        <v>50</v>
      </c>
      <c r="B17" s="1" t="s">
        <v>1192</v>
      </c>
      <c r="C17" s="1" t="s">
        <v>22</v>
      </c>
      <c r="D17" s="1">
        <v>3.0</v>
      </c>
      <c r="E17" s="1">
        <v>1.0</v>
      </c>
      <c r="F17" s="1">
        <v>3.0</v>
      </c>
      <c r="G17" s="1">
        <v>3.0</v>
      </c>
      <c r="H17" s="1">
        <v>1175.0</v>
      </c>
      <c r="I17" s="1">
        <v>0.4881</v>
      </c>
      <c r="J17" s="1">
        <v>0.4867</v>
      </c>
      <c r="K17" s="1">
        <v>0.0564</v>
      </c>
      <c r="L17" s="1">
        <v>0.8871</v>
      </c>
      <c r="M17" s="1">
        <v>0.4835</v>
      </c>
    </row>
    <row r="18">
      <c r="A18" s="1" t="s">
        <v>50</v>
      </c>
      <c r="B18" s="1" t="s">
        <v>1192</v>
      </c>
      <c r="C18" s="1" t="s">
        <v>22</v>
      </c>
      <c r="D18" s="1">
        <v>3.0</v>
      </c>
      <c r="E18" s="1">
        <v>2.0</v>
      </c>
      <c r="F18" s="1">
        <v>3.0</v>
      </c>
      <c r="G18" s="1">
        <v>3.0</v>
      </c>
      <c r="H18" s="1">
        <v>1175.0</v>
      </c>
      <c r="I18" s="1">
        <v>0.9422</v>
      </c>
      <c r="J18" s="1">
        <v>1.0</v>
      </c>
      <c r="K18" s="1">
        <v>0.9999</v>
      </c>
      <c r="L18" s="1">
        <v>1.0</v>
      </c>
      <c r="M18" s="1">
        <v>0.9417</v>
      </c>
    </row>
    <row r="19">
      <c r="A19" s="1" t="s">
        <v>50</v>
      </c>
      <c r="B19" s="1" t="s">
        <v>1192</v>
      </c>
      <c r="C19" s="1" t="s">
        <v>22</v>
      </c>
      <c r="D19" s="1">
        <v>3.0</v>
      </c>
      <c r="E19" s="1">
        <v>3.0</v>
      </c>
      <c r="F19" s="1">
        <v>3.0</v>
      </c>
      <c r="G19" s="1">
        <v>2.0</v>
      </c>
      <c r="H19" s="1">
        <v>1174.0</v>
      </c>
      <c r="I19" s="1">
        <v>1.0</v>
      </c>
      <c r="J19" s="1">
        <v>1.0</v>
      </c>
      <c r="K19" s="1">
        <v>1.0</v>
      </c>
      <c r="L19" s="1">
        <v>1.0</v>
      </c>
      <c r="M19" s="1">
        <v>1.0</v>
      </c>
    </row>
    <row r="20">
      <c r="A20" s="1" t="s">
        <v>50</v>
      </c>
      <c r="B20" s="1" t="s">
        <v>180</v>
      </c>
      <c r="C20" s="1" t="s">
        <v>24</v>
      </c>
      <c r="D20" s="1">
        <v>4.0</v>
      </c>
      <c r="E20" s="1">
        <v>1.0</v>
      </c>
      <c r="F20" s="1">
        <v>3.0</v>
      </c>
      <c r="G20" s="1">
        <v>5.0</v>
      </c>
      <c r="H20" s="1">
        <v>5495.0</v>
      </c>
      <c r="I20" s="1">
        <v>0.4659</v>
      </c>
      <c r="J20" s="1">
        <v>0.4625</v>
      </c>
      <c r="K20" s="1">
        <v>0.0459</v>
      </c>
      <c r="L20" s="1">
        <v>0.8001</v>
      </c>
      <c r="M20" s="1">
        <v>0.4664</v>
      </c>
    </row>
    <row r="21">
      <c r="A21" s="1" t="s">
        <v>50</v>
      </c>
      <c r="B21" s="1" t="s">
        <v>180</v>
      </c>
      <c r="C21" s="1" t="s">
        <v>24</v>
      </c>
      <c r="D21" s="1">
        <v>4.0</v>
      </c>
      <c r="E21" s="1">
        <v>2.0</v>
      </c>
      <c r="F21" s="1">
        <v>3.0</v>
      </c>
      <c r="G21" s="1">
        <v>5.0</v>
      </c>
      <c r="H21" s="1">
        <v>5495.0</v>
      </c>
      <c r="I21" s="1">
        <v>0.9528</v>
      </c>
      <c r="J21" s="1">
        <v>1.0</v>
      </c>
      <c r="K21" s="1">
        <v>0.9969</v>
      </c>
      <c r="L21" s="1">
        <v>1.0</v>
      </c>
      <c r="M21" s="1">
        <v>0.9529</v>
      </c>
    </row>
    <row r="22">
      <c r="A22" s="1" t="s">
        <v>50</v>
      </c>
      <c r="B22" s="1" t="s">
        <v>180</v>
      </c>
      <c r="C22" s="1" t="s">
        <v>24</v>
      </c>
      <c r="D22" s="1">
        <v>4.0</v>
      </c>
      <c r="E22" s="1">
        <v>3.0</v>
      </c>
      <c r="F22" s="1">
        <v>3.0</v>
      </c>
      <c r="G22" s="1">
        <v>2.0</v>
      </c>
      <c r="H22" s="1">
        <v>5489.0</v>
      </c>
      <c r="I22" s="1">
        <v>1.0</v>
      </c>
      <c r="J22" s="1">
        <v>1.0</v>
      </c>
      <c r="K22" s="1">
        <v>1.0</v>
      </c>
      <c r="L22" s="1">
        <v>1.0</v>
      </c>
      <c r="M22" s="1">
        <v>1.0</v>
      </c>
    </row>
    <row r="23">
      <c r="A23" s="1" t="s">
        <v>50</v>
      </c>
      <c r="B23" s="1" t="s">
        <v>1192</v>
      </c>
      <c r="C23" s="1" t="s">
        <v>24</v>
      </c>
      <c r="D23" s="1">
        <v>4.0</v>
      </c>
      <c r="E23" s="1">
        <v>1.0</v>
      </c>
      <c r="F23" s="1">
        <v>3.0</v>
      </c>
      <c r="G23" s="1">
        <v>4.0</v>
      </c>
      <c r="H23" s="1">
        <v>733.0</v>
      </c>
      <c r="I23" s="1">
        <v>0.4885</v>
      </c>
      <c r="J23" s="1">
        <v>0.5059</v>
      </c>
      <c r="K23" s="1">
        <v>0.115</v>
      </c>
      <c r="L23" s="1">
        <v>0.82</v>
      </c>
      <c r="M23" s="1">
        <v>0.4858</v>
      </c>
    </row>
    <row r="24">
      <c r="A24" s="1" t="s">
        <v>50</v>
      </c>
      <c r="B24" s="1" t="s">
        <v>1192</v>
      </c>
      <c r="C24" s="1" t="s">
        <v>24</v>
      </c>
      <c r="D24" s="1">
        <v>4.0</v>
      </c>
      <c r="E24" s="1">
        <v>2.0</v>
      </c>
      <c r="F24" s="1">
        <v>3.0</v>
      </c>
      <c r="G24" s="1">
        <v>4.0</v>
      </c>
      <c r="H24" s="1">
        <v>733.0</v>
      </c>
      <c r="I24" s="1">
        <v>0.961</v>
      </c>
      <c r="J24" s="1">
        <v>1.0</v>
      </c>
      <c r="K24" s="1">
        <v>0.9986</v>
      </c>
      <c r="L24" s="1">
        <v>1.0</v>
      </c>
      <c r="M24" s="1">
        <v>0.9595</v>
      </c>
    </row>
    <row r="25">
      <c r="A25" s="1" t="s">
        <v>50</v>
      </c>
      <c r="B25" s="1" t="s">
        <v>1192</v>
      </c>
      <c r="C25" s="1" t="s">
        <v>24</v>
      </c>
      <c r="D25" s="1">
        <v>4.0</v>
      </c>
      <c r="E25" s="1">
        <v>3.0</v>
      </c>
      <c r="F25" s="1">
        <v>3.0</v>
      </c>
      <c r="G25" s="1">
        <v>2.0</v>
      </c>
      <c r="H25" s="1">
        <v>732.0</v>
      </c>
      <c r="I25" s="1">
        <v>1.0</v>
      </c>
      <c r="J25" s="1">
        <v>1.0</v>
      </c>
      <c r="K25" s="1">
        <v>1.0</v>
      </c>
      <c r="L25" s="1">
        <v>1.0</v>
      </c>
      <c r="M25" s="1">
        <v>1.0</v>
      </c>
    </row>
    <row r="26">
      <c r="A26" s="1" t="s">
        <v>50</v>
      </c>
      <c r="B26" s="1" t="s">
        <v>180</v>
      </c>
      <c r="C26" s="1" t="s">
        <v>26</v>
      </c>
      <c r="D26" s="1">
        <v>5.0</v>
      </c>
      <c r="E26" s="1">
        <v>1.0</v>
      </c>
      <c r="F26" s="1">
        <v>3.0</v>
      </c>
      <c r="G26" s="1">
        <v>3.0</v>
      </c>
      <c r="H26" s="1">
        <v>857.0</v>
      </c>
      <c r="I26" s="1">
        <v>0.4494</v>
      </c>
      <c r="J26" s="1">
        <v>0.4746</v>
      </c>
      <c r="K26" s="1">
        <v>0.0072</v>
      </c>
      <c r="L26" s="1">
        <v>0.7347</v>
      </c>
      <c r="M26" s="1">
        <v>0.4525</v>
      </c>
    </row>
    <row r="27">
      <c r="A27" s="1" t="s">
        <v>50</v>
      </c>
      <c r="B27" s="1" t="s">
        <v>180</v>
      </c>
      <c r="C27" s="1" t="s">
        <v>26</v>
      </c>
      <c r="D27" s="1">
        <v>5.0</v>
      </c>
      <c r="E27" s="1">
        <v>2.0</v>
      </c>
      <c r="F27" s="1">
        <v>3.0</v>
      </c>
      <c r="G27" s="1">
        <v>3.0</v>
      </c>
      <c r="H27" s="1">
        <v>857.0</v>
      </c>
      <c r="I27" s="1">
        <v>0.9499</v>
      </c>
      <c r="J27" s="1">
        <v>1.0</v>
      </c>
      <c r="K27" s="1">
        <v>0.9882</v>
      </c>
      <c r="L27" s="1">
        <v>1.0</v>
      </c>
      <c r="M27" s="1">
        <v>0.951</v>
      </c>
    </row>
    <row r="28">
      <c r="A28" s="1" t="s">
        <v>50</v>
      </c>
      <c r="B28" s="1" t="s">
        <v>180</v>
      </c>
      <c r="C28" s="1" t="s">
        <v>26</v>
      </c>
      <c r="D28" s="1">
        <v>5.0</v>
      </c>
      <c r="E28" s="1">
        <v>3.0</v>
      </c>
      <c r="F28" s="1">
        <v>3.0</v>
      </c>
      <c r="G28" s="1">
        <v>2.0</v>
      </c>
      <c r="H28" s="1">
        <v>856.0</v>
      </c>
      <c r="I28" s="1">
        <v>1.0</v>
      </c>
      <c r="J28" s="1">
        <v>1.0</v>
      </c>
      <c r="K28" s="1">
        <v>1.0</v>
      </c>
      <c r="L28" s="1">
        <v>1.0</v>
      </c>
      <c r="M28" s="1">
        <v>1.0</v>
      </c>
    </row>
    <row r="29">
      <c r="A29" s="1" t="s">
        <v>50</v>
      </c>
      <c r="B29" s="1" t="s">
        <v>1192</v>
      </c>
      <c r="C29" s="1" t="s">
        <v>26</v>
      </c>
      <c r="D29" s="1">
        <v>5.0</v>
      </c>
      <c r="E29" s="1">
        <v>1.0</v>
      </c>
      <c r="F29" s="1">
        <v>3.0</v>
      </c>
      <c r="G29" s="1">
        <v>2.0</v>
      </c>
      <c r="H29" s="1">
        <v>140.0</v>
      </c>
      <c r="I29" s="1">
        <v>0.4893</v>
      </c>
      <c r="J29" s="1">
        <v>0.5252</v>
      </c>
      <c r="K29" s="1">
        <v>0.1</v>
      </c>
      <c r="L29" s="1">
        <v>0.8006</v>
      </c>
      <c r="M29" s="1">
        <v>0.4838</v>
      </c>
    </row>
    <row r="30">
      <c r="A30" s="1" t="s">
        <v>50</v>
      </c>
      <c r="B30" s="1" t="s">
        <v>1192</v>
      </c>
      <c r="C30" s="1" t="s">
        <v>26</v>
      </c>
      <c r="D30" s="1">
        <v>5.0</v>
      </c>
      <c r="E30" s="1">
        <v>2.0</v>
      </c>
      <c r="F30" s="1">
        <v>3.0</v>
      </c>
      <c r="G30" s="1">
        <v>2.0</v>
      </c>
      <c r="H30" s="1">
        <v>140.0</v>
      </c>
      <c r="I30" s="1">
        <v>0.9516</v>
      </c>
      <c r="J30" s="1">
        <v>1.0</v>
      </c>
      <c r="K30" s="1">
        <v>0.9694</v>
      </c>
      <c r="L30" s="1">
        <v>1.0</v>
      </c>
      <c r="M30" s="1">
        <v>0.9508</v>
      </c>
    </row>
    <row r="31">
      <c r="A31" s="1" t="s">
        <v>50</v>
      </c>
      <c r="B31" s="1" t="s">
        <v>1192</v>
      </c>
      <c r="C31" s="1" t="s">
        <v>26</v>
      </c>
      <c r="D31" s="1">
        <v>5.0</v>
      </c>
      <c r="E31" s="1">
        <v>3.0</v>
      </c>
      <c r="F31" s="1">
        <v>3.0</v>
      </c>
      <c r="G31" s="1">
        <v>2.0</v>
      </c>
      <c r="H31" s="1">
        <v>140.0</v>
      </c>
      <c r="I31" s="1">
        <v>1.0</v>
      </c>
      <c r="J31" s="1">
        <v>1.0</v>
      </c>
      <c r="K31" s="1">
        <v>1.0</v>
      </c>
      <c r="L31" s="1">
        <v>1.0</v>
      </c>
      <c r="M31" s="1">
        <v>1.0</v>
      </c>
    </row>
    <row r="32">
      <c r="A32" s="1" t="s">
        <v>2251</v>
      </c>
      <c r="B32" s="1" t="s">
        <v>180</v>
      </c>
      <c r="C32" s="1" t="s">
        <v>19</v>
      </c>
      <c r="D32" s="1">
        <v>1.0</v>
      </c>
      <c r="E32" s="1">
        <v>1.0</v>
      </c>
      <c r="F32" s="1">
        <v>5.0</v>
      </c>
      <c r="G32" s="1">
        <v>2.0</v>
      </c>
      <c r="H32" s="1">
        <v>6117.0</v>
      </c>
      <c r="I32" s="1">
        <v>0.2988</v>
      </c>
      <c r="J32" s="1">
        <v>9.0E-4</v>
      </c>
      <c r="K32" s="1">
        <v>0.0</v>
      </c>
      <c r="L32" s="1">
        <v>0.6072</v>
      </c>
      <c r="M32" s="1">
        <v>0.299</v>
      </c>
    </row>
    <row r="33">
      <c r="A33" s="1" t="s">
        <v>2251</v>
      </c>
      <c r="B33" s="1" t="s">
        <v>180</v>
      </c>
      <c r="C33" s="1" t="s">
        <v>19</v>
      </c>
      <c r="D33" s="1">
        <v>1.0</v>
      </c>
      <c r="E33" s="1">
        <v>2.0</v>
      </c>
      <c r="F33" s="1">
        <v>5.0</v>
      </c>
      <c r="G33" s="1">
        <v>2.0</v>
      </c>
      <c r="H33" s="1">
        <v>6117.0</v>
      </c>
      <c r="I33" s="1">
        <v>0.6206</v>
      </c>
      <c r="J33" s="1">
        <v>0.8554</v>
      </c>
      <c r="K33" s="1">
        <v>0.0685</v>
      </c>
      <c r="L33" s="1">
        <v>1.0</v>
      </c>
      <c r="M33" s="1">
        <v>0.6208</v>
      </c>
    </row>
    <row r="34">
      <c r="A34" s="1" t="s">
        <v>2251</v>
      </c>
      <c r="B34" s="1" t="s">
        <v>180</v>
      </c>
      <c r="C34" s="1" t="s">
        <v>19</v>
      </c>
      <c r="D34" s="1">
        <v>1.0</v>
      </c>
      <c r="E34" s="1">
        <v>3.0</v>
      </c>
      <c r="F34" s="1">
        <v>5.0</v>
      </c>
      <c r="G34" s="1">
        <v>2.0</v>
      </c>
      <c r="H34" s="1">
        <v>6117.0</v>
      </c>
      <c r="I34" s="1">
        <v>0.9604</v>
      </c>
      <c r="J34" s="1">
        <v>1.0</v>
      </c>
      <c r="K34" s="1">
        <v>1.0</v>
      </c>
      <c r="L34" s="1">
        <v>1.0</v>
      </c>
      <c r="M34" s="1">
        <v>0.9605</v>
      </c>
    </row>
    <row r="35">
      <c r="A35" s="1" t="s">
        <v>2251</v>
      </c>
      <c r="B35" s="1" t="s">
        <v>180</v>
      </c>
      <c r="C35" s="1" t="s">
        <v>19</v>
      </c>
      <c r="D35" s="1">
        <v>1.0</v>
      </c>
      <c r="E35" s="1">
        <v>4.0</v>
      </c>
      <c r="F35" s="1">
        <v>5.0</v>
      </c>
      <c r="G35" s="1">
        <v>2.0</v>
      </c>
      <c r="H35" s="1">
        <v>6117.0</v>
      </c>
      <c r="I35" s="1">
        <v>0.9999</v>
      </c>
      <c r="J35" s="1">
        <v>1.0</v>
      </c>
      <c r="K35" s="1">
        <v>1.0</v>
      </c>
      <c r="L35" s="1">
        <v>1.0</v>
      </c>
      <c r="M35" s="1">
        <v>0.9999</v>
      </c>
    </row>
    <row r="36">
      <c r="A36" s="1" t="s">
        <v>2251</v>
      </c>
      <c r="B36" s="1" t="s">
        <v>180</v>
      </c>
      <c r="C36" s="1" t="s">
        <v>19</v>
      </c>
      <c r="D36" s="1">
        <v>1.0</v>
      </c>
      <c r="E36" s="1">
        <v>5.0</v>
      </c>
      <c r="F36" s="1">
        <v>5.0</v>
      </c>
      <c r="G36" s="1">
        <v>1.0</v>
      </c>
      <c r="H36" s="1">
        <v>15.0</v>
      </c>
      <c r="I36" s="1">
        <v>1.0</v>
      </c>
      <c r="J36" s="1">
        <v>1.0</v>
      </c>
      <c r="K36" s="1">
        <v>1.0</v>
      </c>
      <c r="L36" s="1">
        <v>1.0</v>
      </c>
      <c r="M36" s="1">
        <v>1.0</v>
      </c>
    </row>
    <row r="37">
      <c r="A37" s="1" t="s">
        <v>2251</v>
      </c>
      <c r="B37" s="1" t="s">
        <v>1192</v>
      </c>
      <c r="C37" s="1" t="s">
        <v>19</v>
      </c>
      <c r="D37" s="1">
        <v>1.0</v>
      </c>
      <c r="E37" s="1">
        <v>1.0</v>
      </c>
      <c r="F37" s="1">
        <v>5.0</v>
      </c>
      <c r="G37" s="1">
        <v>2.0</v>
      </c>
      <c r="H37" s="1">
        <v>1417.0</v>
      </c>
      <c r="I37" s="1">
        <v>0.2971</v>
      </c>
      <c r="J37" s="1">
        <v>0.0406</v>
      </c>
      <c r="K37" s="1">
        <v>0.0</v>
      </c>
      <c r="L37" s="1">
        <v>0.5607</v>
      </c>
      <c r="M37" s="1">
        <v>0.2972</v>
      </c>
    </row>
    <row r="38">
      <c r="A38" s="1" t="s">
        <v>2251</v>
      </c>
      <c r="B38" s="1" t="s">
        <v>1192</v>
      </c>
      <c r="C38" s="1" t="s">
        <v>19</v>
      </c>
      <c r="D38" s="1">
        <v>1.0</v>
      </c>
      <c r="E38" s="1">
        <v>2.0</v>
      </c>
      <c r="F38" s="1">
        <v>5.0</v>
      </c>
      <c r="G38" s="1">
        <v>2.0</v>
      </c>
      <c r="H38" s="1">
        <v>1417.0</v>
      </c>
      <c r="I38" s="1">
        <v>0.6098</v>
      </c>
      <c r="J38" s="1">
        <v>0.7216</v>
      </c>
      <c r="K38" s="1">
        <v>0.2162</v>
      </c>
      <c r="L38" s="1">
        <v>1.0</v>
      </c>
      <c r="M38" s="1">
        <v>0.6102</v>
      </c>
    </row>
    <row r="39">
      <c r="A39" s="1" t="s">
        <v>2251</v>
      </c>
      <c r="B39" s="1" t="s">
        <v>1192</v>
      </c>
      <c r="C39" s="1" t="s">
        <v>19</v>
      </c>
      <c r="D39" s="1">
        <v>1.0</v>
      </c>
      <c r="E39" s="1">
        <v>3.0</v>
      </c>
      <c r="F39" s="1">
        <v>5.0</v>
      </c>
      <c r="G39" s="1">
        <v>2.0</v>
      </c>
      <c r="H39" s="1">
        <v>1417.0</v>
      </c>
      <c r="I39" s="1">
        <v>0.9534</v>
      </c>
      <c r="J39" s="1">
        <v>1.0</v>
      </c>
      <c r="K39" s="1">
        <v>1.0</v>
      </c>
      <c r="L39" s="1">
        <v>1.0</v>
      </c>
      <c r="M39" s="1">
        <v>0.9533</v>
      </c>
    </row>
    <row r="40">
      <c r="A40" s="1" t="s">
        <v>2251</v>
      </c>
      <c r="B40" s="1" t="s">
        <v>1192</v>
      </c>
      <c r="C40" s="1" t="s">
        <v>19</v>
      </c>
      <c r="D40" s="1">
        <v>1.0</v>
      </c>
      <c r="E40" s="1">
        <v>4.0</v>
      </c>
      <c r="F40" s="1">
        <v>5.0</v>
      </c>
      <c r="G40" s="1">
        <v>2.0</v>
      </c>
      <c r="H40" s="1">
        <v>1417.0</v>
      </c>
      <c r="I40" s="1">
        <v>0.9999</v>
      </c>
      <c r="J40" s="1">
        <v>1.0</v>
      </c>
      <c r="K40" s="1">
        <v>1.0</v>
      </c>
      <c r="L40" s="1">
        <v>1.0</v>
      </c>
      <c r="M40" s="1">
        <v>0.9999</v>
      </c>
    </row>
    <row r="41">
      <c r="A41" s="1" t="s">
        <v>2251</v>
      </c>
      <c r="B41" s="1" t="s">
        <v>1192</v>
      </c>
      <c r="C41" s="1" t="s">
        <v>19</v>
      </c>
      <c r="D41" s="1">
        <v>1.0</v>
      </c>
      <c r="E41" s="1">
        <v>5.0</v>
      </c>
      <c r="F41" s="1">
        <v>5.0</v>
      </c>
      <c r="G41" s="1">
        <v>1.0</v>
      </c>
      <c r="H41" s="1">
        <v>14.0</v>
      </c>
      <c r="I41" s="1">
        <v>1.0</v>
      </c>
      <c r="J41" s="1">
        <v>1.0</v>
      </c>
      <c r="K41" s="1">
        <v>1.0</v>
      </c>
      <c r="L41" s="1">
        <v>1.0</v>
      </c>
      <c r="M41" s="1">
        <v>1.0</v>
      </c>
    </row>
    <row r="42">
      <c r="A42" s="1" t="s">
        <v>2251</v>
      </c>
      <c r="B42" s="1" t="s">
        <v>180</v>
      </c>
      <c r="C42" s="1" t="s">
        <v>21</v>
      </c>
      <c r="D42" s="1">
        <v>2.0</v>
      </c>
      <c r="E42" s="1">
        <v>1.0</v>
      </c>
      <c r="F42" s="1">
        <v>5.0</v>
      </c>
      <c r="G42" s="1">
        <v>2.0</v>
      </c>
      <c r="H42" s="1">
        <v>6764.0</v>
      </c>
      <c r="I42" s="1">
        <v>0.3393</v>
      </c>
      <c r="J42" s="1">
        <v>0.1523</v>
      </c>
      <c r="K42" s="1">
        <v>0.0</v>
      </c>
      <c r="L42" s="1">
        <v>0.673</v>
      </c>
      <c r="M42" s="1">
        <v>0.3397</v>
      </c>
    </row>
    <row r="43">
      <c r="A43" s="1" t="s">
        <v>2251</v>
      </c>
      <c r="B43" s="1" t="s">
        <v>180</v>
      </c>
      <c r="C43" s="1" t="s">
        <v>21</v>
      </c>
      <c r="D43" s="1">
        <v>2.0</v>
      </c>
      <c r="E43" s="1">
        <v>2.0</v>
      </c>
      <c r="F43" s="1">
        <v>5.0</v>
      </c>
      <c r="G43" s="1">
        <v>2.0</v>
      </c>
      <c r="H43" s="1">
        <v>6764.0</v>
      </c>
      <c r="I43" s="1">
        <v>0.6454</v>
      </c>
      <c r="J43" s="1">
        <v>0.7967</v>
      </c>
      <c r="K43" s="1">
        <v>0.3089</v>
      </c>
      <c r="L43" s="1">
        <v>1.0</v>
      </c>
      <c r="M43" s="1">
        <v>0.6456</v>
      </c>
    </row>
    <row r="44">
      <c r="A44" s="1" t="s">
        <v>2251</v>
      </c>
      <c r="B44" s="1" t="s">
        <v>180</v>
      </c>
      <c r="C44" s="1" t="s">
        <v>21</v>
      </c>
      <c r="D44" s="1">
        <v>2.0</v>
      </c>
      <c r="E44" s="1">
        <v>3.0</v>
      </c>
      <c r="F44" s="1">
        <v>5.0</v>
      </c>
      <c r="G44" s="1">
        <v>2.0</v>
      </c>
      <c r="H44" s="1">
        <v>6764.0</v>
      </c>
      <c r="I44" s="1">
        <v>0.9655</v>
      </c>
      <c r="J44" s="1">
        <v>1.0</v>
      </c>
      <c r="K44" s="1">
        <v>1.0</v>
      </c>
      <c r="L44" s="1">
        <v>1.0</v>
      </c>
      <c r="M44" s="1">
        <v>0.9655</v>
      </c>
    </row>
    <row r="45">
      <c r="A45" s="1" t="s">
        <v>2251</v>
      </c>
      <c r="B45" s="1" t="s">
        <v>180</v>
      </c>
      <c r="C45" s="1" t="s">
        <v>21</v>
      </c>
      <c r="D45" s="1">
        <v>2.0</v>
      </c>
      <c r="E45" s="1">
        <v>4.0</v>
      </c>
      <c r="F45" s="1">
        <v>5.0</v>
      </c>
      <c r="G45" s="1">
        <v>2.0</v>
      </c>
      <c r="H45" s="1">
        <v>6764.0</v>
      </c>
      <c r="I45" s="1">
        <v>0.9999</v>
      </c>
      <c r="J45" s="1">
        <v>1.0</v>
      </c>
      <c r="K45" s="1">
        <v>1.0</v>
      </c>
      <c r="L45" s="1">
        <v>1.0</v>
      </c>
      <c r="M45" s="1">
        <v>0.9999</v>
      </c>
    </row>
    <row r="46">
      <c r="A46" s="1" t="s">
        <v>2251</v>
      </c>
      <c r="B46" s="1" t="s">
        <v>180</v>
      </c>
      <c r="C46" s="1" t="s">
        <v>21</v>
      </c>
      <c r="D46" s="1">
        <v>2.0</v>
      </c>
      <c r="E46" s="1">
        <v>5.0</v>
      </c>
      <c r="F46" s="1">
        <v>5.0</v>
      </c>
      <c r="G46" s="1">
        <v>1.0</v>
      </c>
      <c r="H46" s="1">
        <v>30.0</v>
      </c>
      <c r="I46" s="1">
        <v>1.0</v>
      </c>
      <c r="J46" s="1">
        <v>1.0</v>
      </c>
      <c r="K46" s="1">
        <v>1.0</v>
      </c>
      <c r="L46" s="1">
        <v>1.0</v>
      </c>
      <c r="M46" s="1">
        <v>1.0</v>
      </c>
    </row>
    <row r="47">
      <c r="A47" s="1" t="s">
        <v>2251</v>
      </c>
      <c r="B47" s="1" t="s">
        <v>1192</v>
      </c>
      <c r="C47" s="1" t="s">
        <v>21</v>
      </c>
      <c r="D47" s="1">
        <v>2.0</v>
      </c>
      <c r="E47" s="1">
        <v>1.0</v>
      </c>
      <c r="F47" s="1">
        <v>5.0</v>
      </c>
      <c r="G47" s="1">
        <v>2.0</v>
      </c>
      <c r="H47" s="1">
        <v>1036.0</v>
      </c>
      <c r="I47" s="1">
        <v>0.3349</v>
      </c>
      <c r="J47" s="1">
        <v>0.2183</v>
      </c>
      <c r="K47" s="1">
        <v>0.0</v>
      </c>
      <c r="L47" s="1">
        <v>0.6038</v>
      </c>
      <c r="M47" s="1">
        <v>0.3349</v>
      </c>
    </row>
    <row r="48">
      <c r="A48" s="1" t="s">
        <v>2251</v>
      </c>
      <c r="B48" s="1" t="s">
        <v>1192</v>
      </c>
      <c r="C48" s="1" t="s">
        <v>21</v>
      </c>
      <c r="D48" s="1">
        <v>2.0</v>
      </c>
      <c r="E48" s="1">
        <v>2.0</v>
      </c>
      <c r="F48" s="1">
        <v>5.0</v>
      </c>
      <c r="G48" s="1">
        <v>2.0</v>
      </c>
      <c r="H48" s="1">
        <v>1036.0</v>
      </c>
      <c r="I48" s="1">
        <v>0.646</v>
      </c>
      <c r="J48" s="1">
        <v>0.7437</v>
      </c>
      <c r="K48" s="1">
        <v>0.3707</v>
      </c>
      <c r="L48" s="1">
        <v>1.0</v>
      </c>
      <c r="M48" s="1">
        <v>0.6464</v>
      </c>
    </row>
    <row r="49">
      <c r="A49" s="1" t="s">
        <v>2251</v>
      </c>
      <c r="B49" s="1" t="s">
        <v>1192</v>
      </c>
      <c r="C49" s="1" t="s">
        <v>21</v>
      </c>
      <c r="D49" s="1">
        <v>2.0</v>
      </c>
      <c r="E49" s="1">
        <v>3.0</v>
      </c>
      <c r="F49" s="1">
        <v>5.0</v>
      </c>
      <c r="G49" s="1">
        <v>2.0</v>
      </c>
      <c r="H49" s="1">
        <v>1036.0</v>
      </c>
      <c r="I49" s="1">
        <v>0.9613</v>
      </c>
      <c r="J49" s="1">
        <v>1.0</v>
      </c>
      <c r="K49" s="1">
        <v>1.0</v>
      </c>
      <c r="L49" s="1">
        <v>1.0</v>
      </c>
      <c r="M49" s="1">
        <v>0.9613</v>
      </c>
    </row>
    <row r="50">
      <c r="A50" s="1" t="s">
        <v>2251</v>
      </c>
      <c r="B50" s="1" t="s">
        <v>1192</v>
      </c>
      <c r="C50" s="1" t="s">
        <v>21</v>
      </c>
      <c r="D50" s="1">
        <v>2.0</v>
      </c>
      <c r="E50" s="1">
        <v>4.0</v>
      </c>
      <c r="F50" s="1">
        <v>5.0</v>
      </c>
      <c r="G50" s="1">
        <v>2.0</v>
      </c>
      <c r="H50" s="1">
        <v>1036.0</v>
      </c>
      <c r="I50" s="1">
        <v>1.0</v>
      </c>
      <c r="J50" s="1">
        <v>1.0</v>
      </c>
      <c r="K50" s="1">
        <v>1.0</v>
      </c>
      <c r="L50" s="1">
        <v>1.0</v>
      </c>
      <c r="M50" s="1">
        <v>1.0</v>
      </c>
    </row>
    <row r="51">
      <c r="A51" s="1" t="s">
        <v>2251</v>
      </c>
      <c r="B51" s="1" t="s">
        <v>1192</v>
      </c>
      <c r="C51" s="1" t="s">
        <v>21</v>
      </c>
      <c r="D51" s="1">
        <v>2.0</v>
      </c>
      <c r="E51" s="1">
        <v>5.0</v>
      </c>
      <c r="F51" s="1">
        <v>5.0</v>
      </c>
      <c r="G51" s="1">
        <v>1.0</v>
      </c>
      <c r="H51" s="1">
        <v>7.0</v>
      </c>
      <c r="I51" s="1">
        <v>1.0</v>
      </c>
      <c r="J51" s="1">
        <v>1.0</v>
      </c>
      <c r="K51" s="1">
        <v>1.0</v>
      </c>
      <c r="L51" s="1">
        <v>1.0</v>
      </c>
      <c r="M51" s="1">
        <v>1.0</v>
      </c>
    </row>
    <row r="52">
      <c r="A52" s="1" t="s">
        <v>2251</v>
      </c>
      <c r="B52" s="1" t="s">
        <v>180</v>
      </c>
      <c r="C52" s="1" t="s">
        <v>22</v>
      </c>
      <c r="D52" s="1">
        <v>3.0</v>
      </c>
      <c r="E52" s="1">
        <v>1.0</v>
      </c>
      <c r="F52" s="1">
        <v>5.0</v>
      </c>
      <c r="G52" s="1">
        <v>2.0</v>
      </c>
      <c r="H52" s="1">
        <v>6399.0</v>
      </c>
      <c r="I52" s="1">
        <v>0.3337</v>
      </c>
      <c r="J52" s="1">
        <v>0.1984</v>
      </c>
      <c r="K52" s="1">
        <v>0.0</v>
      </c>
      <c r="L52" s="1">
        <v>0.6108</v>
      </c>
      <c r="M52" s="1">
        <v>0.3341</v>
      </c>
    </row>
    <row r="53">
      <c r="A53" s="1" t="s">
        <v>2251</v>
      </c>
      <c r="B53" s="1" t="s">
        <v>180</v>
      </c>
      <c r="C53" s="1" t="s">
        <v>22</v>
      </c>
      <c r="D53" s="1">
        <v>3.0</v>
      </c>
      <c r="E53" s="1">
        <v>2.0</v>
      </c>
      <c r="F53" s="1">
        <v>5.0</v>
      </c>
      <c r="G53" s="1">
        <v>2.0</v>
      </c>
      <c r="H53" s="1">
        <v>6399.0</v>
      </c>
      <c r="I53" s="1">
        <v>0.6401</v>
      </c>
      <c r="J53" s="1">
        <v>0.7625</v>
      </c>
      <c r="K53" s="1">
        <v>0.3521</v>
      </c>
      <c r="L53" s="1">
        <v>1.0</v>
      </c>
      <c r="M53" s="1">
        <v>0.6405</v>
      </c>
    </row>
    <row r="54">
      <c r="A54" s="1" t="s">
        <v>2251</v>
      </c>
      <c r="B54" s="1" t="s">
        <v>180</v>
      </c>
      <c r="C54" s="1" t="s">
        <v>22</v>
      </c>
      <c r="D54" s="1">
        <v>3.0</v>
      </c>
      <c r="E54" s="1">
        <v>3.0</v>
      </c>
      <c r="F54" s="1">
        <v>5.0</v>
      </c>
      <c r="G54" s="1">
        <v>2.0</v>
      </c>
      <c r="H54" s="1">
        <v>6399.0</v>
      </c>
      <c r="I54" s="1">
        <v>0.9666</v>
      </c>
      <c r="J54" s="1">
        <v>1.0</v>
      </c>
      <c r="K54" s="1">
        <v>1.0</v>
      </c>
      <c r="L54" s="1">
        <v>1.0</v>
      </c>
      <c r="M54" s="1">
        <v>0.9667</v>
      </c>
    </row>
    <row r="55">
      <c r="A55" s="1" t="s">
        <v>2251</v>
      </c>
      <c r="B55" s="1" t="s">
        <v>180</v>
      </c>
      <c r="C55" s="1" t="s">
        <v>22</v>
      </c>
      <c r="D55" s="1">
        <v>3.0</v>
      </c>
      <c r="E55" s="1">
        <v>4.0</v>
      </c>
      <c r="F55" s="1">
        <v>5.0</v>
      </c>
      <c r="G55" s="1">
        <v>2.0</v>
      </c>
      <c r="H55" s="1">
        <v>6399.0</v>
      </c>
      <c r="I55" s="1">
        <v>0.9999</v>
      </c>
      <c r="J55" s="1">
        <v>1.0</v>
      </c>
      <c r="K55" s="1">
        <v>1.0</v>
      </c>
      <c r="L55" s="1">
        <v>1.0</v>
      </c>
      <c r="M55" s="1">
        <v>0.9999</v>
      </c>
    </row>
    <row r="56">
      <c r="A56" s="1" t="s">
        <v>2251</v>
      </c>
      <c r="B56" s="1" t="s">
        <v>180</v>
      </c>
      <c r="C56" s="1" t="s">
        <v>22</v>
      </c>
      <c r="D56" s="1">
        <v>3.0</v>
      </c>
      <c r="E56" s="1">
        <v>5.0</v>
      </c>
      <c r="F56" s="1">
        <v>5.0</v>
      </c>
      <c r="G56" s="1">
        <v>1.0</v>
      </c>
      <c r="H56" s="1">
        <v>13.0</v>
      </c>
      <c r="I56" s="1">
        <v>1.0</v>
      </c>
      <c r="J56" s="1">
        <v>1.0</v>
      </c>
      <c r="K56" s="1">
        <v>1.0</v>
      </c>
      <c r="L56" s="1">
        <v>1.0</v>
      </c>
      <c r="M56" s="1">
        <v>1.0</v>
      </c>
    </row>
    <row r="57">
      <c r="A57" s="1" t="s">
        <v>2251</v>
      </c>
      <c r="B57" s="1" t="s">
        <v>1192</v>
      </c>
      <c r="C57" s="1" t="s">
        <v>22</v>
      </c>
      <c r="D57" s="1">
        <v>3.0</v>
      </c>
      <c r="E57" s="1">
        <v>1.0</v>
      </c>
      <c r="F57" s="1">
        <v>5.0</v>
      </c>
      <c r="G57" s="1">
        <v>2.0</v>
      </c>
      <c r="H57" s="1">
        <v>847.0</v>
      </c>
      <c r="I57" s="1">
        <v>0.3496</v>
      </c>
      <c r="J57" s="1">
        <v>0.2766</v>
      </c>
      <c r="K57" s="1">
        <v>0.0</v>
      </c>
      <c r="L57" s="1">
        <v>0.5932</v>
      </c>
      <c r="M57" s="1">
        <v>0.3499</v>
      </c>
    </row>
    <row r="58">
      <c r="A58" s="1" t="s">
        <v>2251</v>
      </c>
      <c r="B58" s="1" t="s">
        <v>1192</v>
      </c>
      <c r="C58" s="1" t="s">
        <v>22</v>
      </c>
      <c r="D58" s="1">
        <v>3.0</v>
      </c>
      <c r="E58" s="1">
        <v>2.0</v>
      </c>
      <c r="F58" s="1">
        <v>5.0</v>
      </c>
      <c r="G58" s="1">
        <v>2.0</v>
      </c>
      <c r="H58" s="1">
        <v>847.0</v>
      </c>
      <c r="I58" s="1">
        <v>0.6587</v>
      </c>
      <c r="J58" s="1">
        <v>0.7689</v>
      </c>
      <c r="K58" s="1">
        <v>0.4189</v>
      </c>
      <c r="L58" s="1">
        <v>1.0</v>
      </c>
      <c r="M58" s="1">
        <v>0.6589</v>
      </c>
    </row>
    <row r="59">
      <c r="A59" s="1" t="s">
        <v>2251</v>
      </c>
      <c r="B59" s="1" t="s">
        <v>1192</v>
      </c>
      <c r="C59" s="1" t="s">
        <v>22</v>
      </c>
      <c r="D59" s="1">
        <v>3.0</v>
      </c>
      <c r="E59" s="1">
        <v>3.0</v>
      </c>
      <c r="F59" s="1">
        <v>5.0</v>
      </c>
      <c r="G59" s="1">
        <v>2.0</v>
      </c>
      <c r="H59" s="1">
        <v>847.0</v>
      </c>
      <c r="I59" s="1">
        <v>0.9644</v>
      </c>
      <c r="J59" s="1">
        <v>1.0</v>
      </c>
      <c r="K59" s="1">
        <v>1.0</v>
      </c>
      <c r="L59" s="1">
        <v>1.0</v>
      </c>
      <c r="M59" s="1">
        <v>0.9645</v>
      </c>
    </row>
    <row r="60">
      <c r="A60" s="1" t="s">
        <v>2251</v>
      </c>
      <c r="B60" s="1" t="s">
        <v>1192</v>
      </c>
      <c r="C60" s="1" t="s">
        <v>22</v>
      </c>
      <c r="D60" s="1">
        <v>3.0</v>
      </c>
      <c r="E60" s="1">
        <v>4.0</v>
      </c>
      <c r="F60" s="1">
        <v>5.0</v>
      </c>
      <c r="G60" s="1">
        <v>2.0</v>
      </c>
      <c r="H60" s="1">
        <v>847.0</v>
      </c>
      <c r="I60" s="1">
        <v>0.9995</v>
      </c>
      <c r="J60" s="1">
        <v>1.0</v>
      </c>
      <c r="K60" s="1">
        <v>1.0</v>
      </c>
      <c r="L60" s="1">
        <v>1.0</v>
      </c>
      <c r="M60" s="1">
        <v>0.9995</v>
      </c>
    </row>
    <row r="61">
      <c r="A61" s="1" t="s">
        <v>2251</v>
      </c>
      <c r="B61" s="1" t="s">
        <v>1192</v>
      </c>
      <c r="C61" s="1" t="s">
        <v>22</v>
      </c>
      <c r="D61" s="1">
        <v>3.0</v>
      </c>
      <c r="E61" s="1">
        <v>5.0</v>
      </c>
      <c r="F61" s="1">
        <v>5.0</v>
      </c>
      <c r="G61" s="1">
        <v>1.0</v>
      </c>
      <c r="H61" s="1">
        <v>6.0</v>
      </c>
      <c r="I61" s="1">
        <v>1.0</v>
      </c>
      <c r="J61" s="1">
        <v>1.0</v>
      </c>
      <c r="K61" s="1">
        <v>1.0</v>
      </c>
      <c r="L61" s="1">
        <v>1.0</v>
      </c>
      <c r="M61" s="1">
        <v>1.0</v>
      </c>
    </row>
    <row r="62">
      <c r="A62" s="1" t="s">
        <v>2251</v>
      </c>
      <c r="B62" s="1" t="s">
        <v>180</v>
      </c>
      <c r="C62" s="1" t="s">
        <v>24</v>
      </c>
      <c r="D62" s="1">
        <v>4.0</v>
      </c>
      <c r="E62" s="1">
        <v>1.0</v>
      </c>
      <c r="F62" s="1">
        <v>5.0</v>
      </c>
      <c r="G62" s="1">
        <v>2.0</v>
      </c>
      <c r="H62" s="1">
        <v>3663.0</v>
      </c>
      <c r="I62" s="1">
        <v>0.3311</v>
      </c>
      <c r="J62" s="1">
        <v>0.2527</v>
      </c>
      <c r="K62" s="1">
        <v>0.0</v>
      </c>
      <c r="L62" s="1">
        <v>0.5744</v>
      </c>
      <c r="M62" s="1">
        <v>0.3319</v>
      </c>
    </row>
    <row r="63">
      <c r="A63" s="1" t="s">
        <v>2251</v>
      </c>
      <c r="B63" s="1" t="s">
        <v>180</v>
      </c>
      <c r="C63" s="1" t="s">
        <v>24</v>
      </c>
      <c r="D63" s="1">
        <v>4.0</v>
      </c>
      <c r="E63" s="1">
        <v>2.0</v>
      </c>
      <c r="F63" s="1">
        <v>5.0</v>
      </c>
      <c r="G63" s="1">
        <v>2.0</v>
      </c>
      <c r="H63" s="1">
        <v>3663.0</v>
      </c>
      <c r="I63" s="1">
        <v>0.6352</v>
      </c>
      <c r="J63" s="1">
        <v>0.7334</v>
      </c>
      <c r="K63" s="1">
        <v>0.4064</v>
      </c>
      <c r="L63" s="1">
        <v>0.9914</v>
      </c>
      <c r="M63" s="1">
        <v>0.6365</v>
      </c>
    </row>
    <row r="64">
      <c r="A64" s="1" t="s">
        <v>2251</v>
      </c>
      <c r="B64" s="1" t="s">
        <v>180</v>
      </c>
      <c r="C64" s="1" t="s">
        <v>24</v>
      </c>
      <c r="D64" s="1">
        <v>4.0</v>
      </c>
      <c r="E64" s="1">
        <v>3.0</v>
      </c>
      <c r="F64" s="1">
        <v>5.0</v>
      </c>
      <c r="G64" s="1">
        <v>2.0</v>
      </c>
      <c r="H64" s="1">
        <v>3663.0</v>
      </c>
      <c r="I64" s="1">
        <v>0.9718</v>
      </c>
      <c r="J64" s="1">
        <v>1.0</v>
      </c>
      <c r="K64" s="1">
        <v>1.0</v>
      </c>
      <c r="L64" s="1">
        <v>1.0</v>
      </c>
      <c r="M64" s="1">
        <v>0.9721</v>
      </c>
    </row>
    <row r="65">
      <c r="A65" s="1" t="s">
        <v>2251</v>
      </c>
      <c r="B65" s="1" t="s">
        <v>180</v>
      </c>
      <c r="C65" s="1" t="s">
        <v>24</v>
      </c>
      <c r="D65" s="1">
        <v>4.0</v>
      </c>
      <c r="E65" s="1">
        <v>4.0</v>
      </c>
      <c r="F65" s="1">
        <v>5.0</v>
      </c>
      <c r="G65" s="1">
        <v>2.0</v>
      </c>
      <c r="H65" s="1">
        <v>3663.0</v>
      </c>
      <c r="I65" s="1">
        <v>1.0</v>
      </c>
      <c r="J65" s="1">
        <v>1.0</v>
      </c>
      <c r="K65" s="1">
        <v>1.0</v>
      </c>
      <c r="L65" s="1">
        <v>1.0</v>
      </c>
      <c r="M65" s="1">
        <v>1.0</v>
      </c>
    </row>
    <row r="66">
      <c r="A66" s="1" t="s">
        <v>2251</v>
      </c>
      <c r="B66" s="1" t="s">
        <v>180</v>
      </c>
      <c r="C66" s="1" t="s">
        <v>24</v>
      </c>
      <c r="D66" s="1">
        <v>4.0</v>
      </c>
      <c r="E66" s="1">
        <v>5.0</v>
      </c>
      <c r="F66" s="1">
        <v>5.0</v>
      </c>
      <c r="G66" s="1">
        <v>1.0</v>
      </c>
      <c r="H66" s="1">
        <v>14.0</v>
      </c>
      <c r="I66" s="1">
        <v>1.0</v>
      </c>
      <c r="J66" s="1">
        <v>1.0</v>
      </c>
      <c r="K66" s="1">
        <v>1.0</v>
      </c>
      <c r="L66" s="1">
        <v>1.0</v>
      </c>
      <c r="M66" s="1">
        <v>1.0</v>
      </c>
    </row>
    <row r="67">
      <c r="A67" s="1" t="s">
        <v>2251</v>
      </c>
      <c r="B67" s="1" t="s">
        <v>1192</v>
      </c>
      <c r="C67" s="1" t="s">
        <v>24</v>
      </c>
      <c r="D67" s="1">
        <v>4.0</v>
      </c>
      <c r="E67" s="1">
        <v>1.0</v>
      </c>
      <c r="F67" s="1">
        <v>5.0</v>
      </c>
      <c r="G67" s="1">
        <v>2.0</v>
      </c>
      <c r="H67" s="1">
        <v>584.0</v>
      </c>
      <c r="I67" s="1">
        <v>0.3737</v>
      </c>
      <c r="J67" s="1">
        <v>0.3186</v>
      </c>
      <c r="K67" s="1">
        <v>0.0135</v>
      </c>
      <c r="L67" s="1">
        <v>0.623</v>
      </c>
      <c r="M67" s="1">
        <v>0.3737</v>
      </c>
    </row>
    <row r="68">
      <c r="A68" s="1" t="s">
        <v>2251</v>
      </c>
      <c r="B68" s="1" t="s">
        <v>1192</v>
      </c>
      <c r="C68" s="1" t="s">
        <v>24</v>
      </c>
      <c r="D68" s="1">
        <v>4.0</v>
      </c>
      <c r="E68" s="1">
        <v>2.0</v>
      </c>
      <c r="F68" s="1">
        <v>5.0</v>
      </c>
      <c r="G68" s="1">
        <v>2.0</v>
      </c>
      <c r="H68" s="1">
        <v>584.0</v>
      </c>
      <c r="I68" s="1">
        <v>0.6805</v>
      </c>
      <c r="J68" s="1">
        <v>0.7411</v>
      </c>
      <c r="K68" s="1">
        <v>0.5221</v>
      </c>
      <c r="L68" s="1">
        <v>0.976</v>
      </c>
      <c r="M68" s="1">
        <v>0.6805</v>
      </c>
    </row>
    <row r="69">
      <c r="A69" s="1" t="s">
        <v>2251</v>
      </c>
      <c r="B69" s="1" t="s">
        <v>1192</v>
      </c>
      <c r="C69" s="1" t="s">
        <v>24</v>
      </c>
      <c r="D69" s="1">
        <v>4.0</v>
      </c>
      <c r="E69" s="1">
        <v>3.0</v>
      </c>
      <c r="F69" s="1">
        <v>5.0</v>
      </c>
      <c r="G69" s="1">
        <v>2.0</v>
      </c>
      <c r="H69" s="1">
        <v>584.0</v>
      </c>
      <c r="I69" s="1">
        <v>0.9726</v>
      </c>
      <c r="J69" s="1">
        <v>1.0</v>
      </c>
      <c r="K69" s="1">
        <v>1.0</v>
      </c>
      <c r="L69" s="1">
        <v>1.0</v>
      </c>
      <c r="M69" s="1">
        <v>0.9725</v>
      </c>
    </row>
    <row r="70">
      <c r="A70" s="1" t="s">
        <v>2251</v>
      </c>
      <c r="B70" s="1" t="s">
        <v>1192</v>
      </c>
      <c r="C70" s="1" t="s">
        <v>24</v>
      </c>
      <c r="D70" s="1">
        <v>4.0</v>
      </c>
      <c r="E70" s="1">
        <v>4.0</v>
      </c>
      <c r="F70" s="1">
        <v>5.0</v>
      </c>
      <c r="G70" s="1">
        <v>2.0</v>
      </c>
      <c r="H70" s="1">
        <v>584.0</v>
      </c>
      <c r="I70" s="1">
        <v>1.0</v>
      </c>
      <c r="J70" s="1">
        <v>1.0</v>
      </c>
      <c r="K70" s="1">
        <v>1.0</v>
      </c>
      <c r="L70" s="1">
        <v>1.0</v>
      </c>
      <c r="M70" s="1">
        <v>1.0</v>
      </c>
    </row>
    <row r="71">
      <c r="A71" s="1" t="s">
        <v>2251</v>
      </c>
      <c r="B71" s="1" t="s">
        <v>1192</v>
      </c>
      <c r="C71" s="1" t="s">
        <v>24</v>
      </c>
      <c r="D71" s="1">
        <v>4.0</v>
      </c>
      <c r="E71" s="1">
        <v>5.0</v>
      </c>
      <c r="F71" s="1">
        <v>5.0</v>
      </c>
      <c r="G71" s="1">
        <v>1.0</v>
      </c>
      <c r="H71" s="1">
        <v>3.0</v>
      </c>
      <c r="I71" s="1">
        <v>1.0</v>
      </c>
      <c r="J71" s="1">
        <v>1.0</v>
      </c>
      <c r="K71" s="1">
        <v>1.0</v>
      </c>
      <c r="L71" s="1">
        <v>1.0</v>
      </c>
      <c r="M71" s="1">
        <v>1.0</v>
      </c>
    </row>
    <row r="72">
      <c r="A72" s="1" t="s">
        <v>2251</v>
      </c>
      <c r="B72" s="1" t="s">
        <v>180</v>
      </c>
      <c r="C72" s="1" t="s">
        <v>26</v>
      </c>
      <c r="D72" s="1">
        <v>5.0</v>
      </c>
      <c r="E72" s="1">
        <v>1.0</v>
      </c>
      <c r="F72" s="1">
        <v>5.0</v>
      </c>
      <c r="G72" s="1">
        <v>2.0</v>
      </c>
      <c r="H72" s="1">
        <v>522.0</v>
      </c>
      <c r="I72" s="1">
        <v>0.3543</v>
      </c>
      <c r="J72" s="1">
        <v>0.3378</v>
      </c>
      <c r="K72" s="1">
        <v>0.0</v>
      </c>
      <c r="L72" s="1">
        <v>0.6306</v>
      </c>
      <c r="M72" s="1">
        <v>0.3552</v>
      </c>
    </row>
    <row r="73">
      <c r="A73" s="1" t="s">
        <v>2251</v>
      </c>
      <c r="B73" s="1" t="s">
        <v>180</v>
      </c>
      <c r="C73" s="1" t="s">
        <v>26</v>
      </c>
      <c r="D73" s="1">
        <v>5.0</v>
      </c>
      <c r="E73" s="1">
        <v>2.0</v>
      </c>
      <c r="F73" s="1">
        <v>5.0</v>
      </c>
      <c r="G73" s="1">
        <v>2.0</v>
      </c>
      <c r="H73" s="1">
        <v>522.0</v>
      </c>
      <c r="I73" s="1">
        <v>0.6413</v>
      </c>
      <c r="J73" s="1">
        <v>0.7976</v>
      </c>
      <c r="K73" s="1">
        <v>0.3141</v>
      </c>
      <c r="L73" s="1">
        <v>1.0</v>
      </c>
      <c r="M73" s="1">
        <v>0.6425</v>
      </c>
    </row>
    <row r="74">
      <c r="A74" s="1" t="s">
        <v>2251</v>
      </c>
      <c r="B74" s="1" t="s">
        <v>180</v>
      </c>
      <c r="C74" s="1" t="s">
        <v>26</v>
      </c>
      <c r="D74" s="1">
        <v>5.0</v>
      </c>
      <c r="E74" s="1">
        <v>3.0</v>
      </c>
      <c r="F74" s="1">
        <v>5.0</v>
      </c>
      <c r="G74" s="1">
        <v>2.0</v>
      </c>
      <c r="H74" s="1">
        <v>522.0</v>
      </c>
      <c r="I74" s="1">
        <v>0.9682</v>
      </c>
      <c r="J74" s="1">
        <v>1.0</v>
      </c>
      <c r="K74" s="1">
        <v>1.0</v>
      </c>
      <c r="L74" s="1">
        <v>1.0</v>
      </c>
      <c r="M74" s="1">
        <v>0.9685</v>
      </c>
    </row>
    <row r="75">
      <c r="A75" s="1" t="s">
        <v>2251</v>
      </c>
      <c r="B75" s="1" t="s">
        <v>180</v>
      </c>
      <c r="C75" s="1" t="s">
        <v>26</v>
      </c>
      <c r="D75" s="1">
        <v>5.0</v>
      </c>
      <c r="E75" s="1">
        <v>4.0</v>
      </c>
      <c r="F75" s="1">
        <v>5.0</v>
      </c>
      <c r="G75" s="1">
        <v>2.0</v>
      </c>
      <c r="H75" s="1">
        <v>522.0</v>
      </c>
      <c r="I75" s="1">
        <v>0.9999</v>
      </c>
      <c r="J75" s="1">
        <v>1.0</v>
      </c>
      <c r="K75" s="1">
        <v>1.0</v>
      </c>
      <c r="L75" s="1">
        <v>1.0</v>
      </c>
      <c r="M75" s="1">
        <v>0.9999</v>
      </c>
    </row>
    <row r="76">
      <c r="A76" s="1" t="s">
        <v>2251</v>
      </c>
      <c r="B76" s="1" t="s">
        <v>180</v>
      </c>
      <c r="C76" s="1" t="s">
        <v>26</v>
      </c>
      <c r="D76" s="1">
        <v>5.0</v>
      </c>
      <c r="E76" s="1">
        <v>5.0</v>
      </c>
      <c r="F76" s="1">
        <v>5.0</v>
      </c>
      <c r="G76" s="1">
        <v>1.0</v>
      </c>
      <c r="H76" s="1">
        <v>5.0</v>
      </c>
      <c r="I76" s="1">
        <v>1.0</v>
      </c>
      <c r="J76" s="1">
        <v>1.0</v>
      </c>
      <c r="K76" s="1">
        <v>1.0</v>
      </c>
      <c r="L76" s="1">
        <v>1.0</v>
      </c>
      <c r="M76" s="1">
        <v>1.0</v>
      </c>
    </row>
    <row r="77">
      <c r="A77" s="1" t="s">
        <v>2251</v>
      </c>
      <c r="B77" s="1" t="s">
        <v>1192</v>
      </c>
      <c r="C77" s="1" t="s">
        <v>26</v>
      </c>
      <c r="D77" s="1">
        <v>5.0</v>
      </c>
      <c r="E77" s="1">
        <v>1.0</v>
      </c>
      <c r="F77" s="1">
        <v>4.0</v>
      </c>
      <c r="G77" s="1">
        <v>1.0</v>
      </c>
      <c r="H77" s="1">
        <v>113.0</v>
      </c>
      <c r="I77" s="1">
        <v>0.3386</v>
      </c>
      <c r="J77" s="1">
        <v>0.2849</v>
      </c>
      <c r="K77" s="1">
        <v>0.0</v>
      </c>
      <c r="L77" s="1">
        <v>0.6124</v>
      </c>
      <c r="M77" s="1">
        <v>0.3389</v>
      </c>
    </row>
    <row r="78">
      <c r="A78" s="1" t="s">
        <v>2251</v>
      </c>
      <c r="B78" s="1" t="s">
        <v>1192</v>
      </c>
      <c r="C78" s="1" t="s">
        <v>26</v>
      </c>
      <c r="D78" s="1">
        <v>5.0</v>
      </c>
      <c r="E78" s="1">
        <v>2.0</v>
      </c>
      <c r="F78" s="1">
        <v>4.0</v>
      </c>
      <c r="G78" s="1">
        <v>1.0</v>
      </c>
      <c r="H78" s="1">
        <v>113.0</v>
      </c>
      <c r="I78" s="1">
        <v>0.6337</v>
      </c>
      <c r="J78" s="1">
        <v>0.8028</v>
      </c>
      <c r="K78" s="1">
        <v>0.2436</v>
      </c>
      <c r="L78" s="1">
        <v>1.0</v>
      </c>
      <c r="M78" s="1">
        <v>0.6345</v>
      </c>
    </row>
    <row r="79">
      <c r="A79" s="1" t="s">
        <v>2251</v>
      </c>
      <c r="B79" s="1" t="s">
        <v>1192</v>
      </c>
      <c r="C79" s="1" t="s">
        <v>26</v>
      </c>
      <c r="D79" s="1">
        <v>5.0</v>
      </c>
      <c r="E79" s="1">
        <v>3.0</v>
      </c>
      <c r="F79" s="1">
        <v>4.0</v>
      </c>
      <c r="G79" s="1">
        <v>1.0</v>
      </c>
      <c r="H79" s="1">
        <v>113.0</v>
      </c>
      <c r="I79" s="1">
        <v>0.9815</v>
      </c>
      <c r="J79" s="1">
        <v>1.0</v>
      </c>
      <c r="K79" s="1">
        <v>1.0</v>
      </c>
      <c r="L79" s="1">
        <v>1.0</v>
      </c>
      <c r="M79" s="1">
        <v>0.982</v>
      </c>
    </row>
    <row r="80">
      <c r="A80" s="1" t="s">
        <v>2251</v>
      </c>
      <c r="B80" s="1" t="s">
        <v>1192</v>
      </c>
      <c r="C80" s="1" t="s">
        <v>26</v>
      </c>
      <c r="D80" s="1">
        <v>5.0</v>
      </c>
      <c r="E80" s="1">
        <v>4.0</v>
      </c>
      <c r="F80" s="1">
        <v>4.0</v>
      </c>
      <c r="G80" s="1">
        <v>1.0</v>
      </c>
      <c r="H80" s="1">
        <v>113.0</v>
      </c>
      <c r="I80" s="1">
        <v>1.0</v>
      </c>
      <c r="J80" s="1">
        <v>1.0</v>
      </c>
      <c r="K80" s="1">
        <v>1.0</v>
      </c>
      <c r="L80" s="1">
        <v>1.0</v>
      </c>
      <c r="M80" s="1">
        <v>1.0</v>
      </c>
    </row>
    <row r="81">
      <c r="A81" s="1" t="s">
        <v>48</v>
      </c>
      <c r="B81" s="1" t="s">
        <v>180</v>
      </c>
      <c r="C81" s="1" t="s">
        <v>19</v>
      </c>
      <c r="D81" s="1">
        <v>1.0</v>
      </c>
      <c r="E81" s="1">
        <v>1.0</v>
      </c>
      <c r="F81" s="1">
        <v>3.0</v>
      </c>
      <c r="G81" s="1">
        <v>2.0</v>
      </c>
      <c r="H81" s="1">
        <v>7579.0</v>
      </c>
      <c r="I81" s="1">
        <v>0.4265</v>
      </c>
      <c r="J81" s="1">
        <v>0.317</v>
      </c>
      <c r="K81" s="1">
        <v>0.0</v>
      </c>
      <c r="L81" s="1">
        <v>0.9847</v>
      </c>
      <c r="M81" s="1">
        <v>0.4261</v>
      </c>
    </row>
    <row r="82">
      <c r="A82" s="1" t="s">
        <v>48</v>
      </c>
      <c r="B82" s="1" t="s">
        <v>180</v>
      </c>
      <c r="C82" s="1" t="s">
        <v>19</v>
      </c>
      <c r="D82" s="1">
        <v>1.0</v>
      </c>
      <c r="E82" s="1">
        <v>2.0</v>
      </c>
      <c r="F82" s="1">
        <v>3.0</v>
      </c>
      <c r="G82" s="1">
        <v>2.0</v>
      </c>
      <c r="H82" s="1">
        <v>7579.0</v>
      </c>
      <c r="I82" s="1">
        <v>0.9353</v>
      </c>
      <c r="J82" s="1">
        <v>1.0</v>
      </c>
      <c r="K82" s="1">
        <v>1.0</v>
      </c>
      <c r="L82" s="1">
        <v>1.0</v>
      </c>
      <c r="M82" s="1">
        <v>0.9348</v>
      </c>
    </row>
    <row r="83">
      <c r="A83" s="1" t="s">
        <v>48</v>
      </c>
      <c r="B83" s="1" t="s">
        <v>180</v>
      </c>
      <c r="C83" s="1" t="s">
        <v>19</v>
      </c>
      <c r="D83" s="1">
        <v>1.0</v>
      </c>
      <c r="E83" s="1">
        <v>3.0</v>
      </c>
      <c r="F83" s="1">
        <v>3.0</v>
      </c>
      <c r="G83" s="1">
        <v>2.0</v>
      </c>
      <c r="H83" s="1">
        <v>7579.0</v>
      </c>
      <c r="I83" s="1">
        <v>1.0</v>
      </c>
      <c r="J83" s="1">
        <v>1.0</v>
      </c>
      <c r="K83" s="1">
        <v>1.0</v>
      </c>
      <c r="L83" s="1">
        <v>1.0</v>
      </c>
      <c r="M83" s="1">
        <v>1.0</v>
      </c>
    </row>
    <row r="84">
      <c r="A84" s="1" t="s">
        <v>48</v>
      </c>
      <c r="B84" s="1" t="s">
        <v>1192</v>
      </c>
      <c r="C84" s="1" t="s">
        <v>19</v>
      </c>
      <c r="D84" s="1">
        <v>1.0</v>
      </c>
      <c r="E84" s="1">
        <v>1.0</v>
      </c>
      <c r="F84" s="1">
        <v>3.0</v>
      </c>
      <c r="G84" s="1">
        <v>2.0</v>
      </c>
      <c r="H84" s="1">
        <v>1889.0</v>
      </c>
      <c r="I84" s="1">
        <v>0.436</v>
      </c>
      <c r="J84" s="1">
        <v>0.3821</v>
      </c>
      <c r="K84" s="1">
        <v>0.0</v>
      </c>
      <c r="L84" s="1">
        <v>0.8502</v>
      </c>
      <c r="M84" s="1">
        <v>0.4352</v>
      </c>
    </row>
    <row r="85">
      <c r="A85" s="1" t="s">
        <v>48</v>
      </c>
      <c r="B85" s="1" t="s">
        <v>1192</v>
      </c>
      <c r="C85" s="1" t="s">
        <v>19</v>
      </c>
      <c r="D85" s="1">
        <v>1.0</v>
      </c>
      <c r="E85" s="1">
        <v>2.0</v>
      </c>
      <c r="F85" s="1">
        <v>3.0</v>
      </c>
      <c r="G85" s="1">
        <v>2.0</v>
      </c>
      <c r="H85" s="1">
        <v>1889.0</v>
      </c>
      <c r="I85" s="1">
        <v>0.9341</v>
      </c>
      <c r="J85" s="1">
        <v>1.0</v>
      </c>
      <c r="K85" s="1">
        <v>1.0</v>
      </c>
      <c r="L85" s="1">
        <v>1.0</v>
      </c>
      <c r="M85" s="1">
        <v>0.9341</v>
      </c>
    </row>
    <row r="86">
      <c r="A86" s="1" t="s">
        <v>48</v>
      </c>
      <c r="B86" s="1" t="s">
        <v>1192</v>
      </c>
      <c r="C86" s="1" t="s">
        <v>19</v>
      </c>
      <c r="D86" s="1">
        <v>1.0</v>
      </c>
      <c r="E86" s="1">
        <v>3.0</v>
      </c>
      <c r="F86" s="1">
        <v>3.0</v>
      </c>
      <c r="G86" s="1">
        <v>2.0</v>
      </c>
      <c r="H86" s="1">
        <v>1889.0</v>
      </c>
      <c r="I86" s="1">
        <v>1.0</v>
      </c>
      <c r="J86" s="1">
        <v>1.0</v>
      </c>
      <c r="K86" s="1">
        <v>1.0</v>
      </c>
      <c r="L86" s="1">
        <v>1.0</v>
      </c>
      <c r="M86" s="1">
        <v>1.0</v>
      </c>
    </row>
    <row r="87">
      <c r="A87" s="1" t="s">
        <v>48</v>
      </c>
      <c r="B87" s="1" t="s">
        <v>180</v>
      </c>
      <c r="C87" s="1" t="s">
        <v>21</v>
      </c>
      <c r="D87" s="1">
        <v>2.0</v>
      </c>
      <c r="E87" s="1">
        <v>1.0</v>
      </c>
      <c r="F87" s="1">
        <v>3.0</v>
      </c>
      <c r="G87" s="1">
        <v>2.0</v>
      </c>
      <c r="H87" s="1">
        <v>8564.0</v>
      </c>
      <c r="I87" s="1">
        <v>0.4457</v>
      </c>
      <c r="J87" s="1">
        <v>0.4033</v>
      </c>
      <c r="K87" s="1">
        <v>1.0E-4</v>
      </c>
      <c r="L87" s="1">
        <v>0.8712</v>
      </c>
      <c r="M87" s="1">
        <v>0.4462</v>
      </c>
    </row>
    <row r="88">
      <c r="A88" s="1" t="s">
        <v>48</v>
      </c>
      <c r="B88" s="1" t="s">
        <v>180</v>
      </c>
      <c r="C88" s="1" t="s">
        <v>21</v>
      </c>
      <c r="D88" s="1">
        <v>2.0</v>
      </c>
      <c r="E88" s="1">
        <v>2.0</v>
      </c>
      <c r="F88" s="1">
        <v>3.0</v>
      </c>
      <c r="G88" s="1">
        <v>2.0</v>
      </c>
      <c r="H88" s="1">
        <v>8564.0</v>
      </c>
      <c r="I88" s="1">
        <v>0.9401</v>
      </c>
      <c r="J88" s="1">
        <v>1.0</v>
      </c>
      <c r="K88" s="1">
        <v>1.0</v>
      </c>
      <c r="L88" s="1">
        <v>1.0</v>
      </c>
      <c r="M88" s="1">
        <v>0.9405</v>
      </c>
    </row>
    <row r="89">
      <c r="A89" s="1" t="s">
        <v>48</v>
      </c>
      <c r="B89" s="1" t="s">
        <v>180</v>
      </c>
      <c r="C89" s="1" t="s">
        <v>21</v>
      </c>
      <c r="D89" s="1">
        <v>2.0</v>
      </c>
      <c r="E89" s="1">
        <v>3.0</v>
      </c>
      <c r="F89" s="1">
        <v>3.0</v>
      </c>
      <c r="G89" s="1">
        <v>2.0</v>
      </c>
      <c r="H89" s="1">
        <v>8564.0</v>
      </c>
      <c r="I89" s="1">
        <v>1.0</v>
      </c>
      <c r="J89" s="1">
        <v>1.0</v>
      </c>
      <c r="K89" s="1">
        <v>1.0</v>
      </c>
      <c r="L89" s="1">
        <v>1.0</v>
      </c>
      <c r="M89" s="1">
        <v>1.0</v>
      </c>
    </row>
    <row r="90">
      <c r="A90" s="1" t="s">
        <v>48</v>
      </c>
      <c r="B90" s="1" t="s">
        <v>1192</v>
      </c>
      <c r="C90" s="1" t="s">
        <v>21</v>
      </c>
      <c r="D90" s="1">
        <v>2.0</v>
      </c>
      <c r="E90" s="1">
        <v>1.0</v>
      </c>
      <c r="F90" s="1">
        <v>3.0</v>
      </c>
      <c r="G90" s="1">
        <v>2.0</v>
      </c>
      <c r="H90" s="1">
        <v>1445.0</v>
      </c>
      <c r="I90" s="1">
        <v>0.4616</v>
      </c>
      <c r="J90" s="1">
        <v>0.4456</v>
      </c>
      <c r="K90" s="1">
        <v>0.0508</v>
      </c>
      <c r="L90" s="1">
        <v>0.7933</v>
      </c>
      <c r="M90" s="1">
        <v>0.4608</v>
      </c>
    </row>
    <row r="91">
      <c r="A91" s="1" t="s">
        <v>48</v>
      </c>
      <c r="B91" s="1" t="s">
        <v>1192</v>
      </c>
      <c r="C91" s="1" t="s">
        <v>21</v>
      </c>
      <c r="D91" s="1">
        <v>2.0</v>
      </c>
      <c r="E91" s="1">
        <v>2.0</v>
      </c>
      <c r="F91" s="1">
        <v>3.0</v>
      </c>
      <c r="G91" s="1">
        <v>2.0</v>
      </c>
      <c r="H91" s="1">
        <v>1445.0</v>
      </c>
      <c r="I91" s="1">
        <v>0.9388</v>
      </c>
      <c r="J91" s="1">
        <v>1.0</v>
      </c>
      <c r="K91" s="1">
        <v>1.0</v>
      </c>
      <c r="L91" s="1">
        <v>1.0</v>
      </c>
      <c r="M91" s="1">
        <v>0.9388</v>
      </c>
    </row>
    <row r="92">
      <c r="A92" s="1" t="s">
        <v>48</v>
      </c>
      <c r="B92" s="1" t="s">
        <v>1192</v>
      </c>
      <c r="C92" s="1" t="s">
        <v>21</v>
      </c>
      <c r="D92" s="1">
        <v>2.0</v>
      </c>
      <c r="E92" s="1">
        <v>3.0</v>
      </c>
      <c r="F92" s="1">
        <v>3.0</v>
      </c>
      <c r="G92" s="1">
        <v>2.0</v>
      </c>
      <c r="H92" s="1">
        <v>1445.0</v>
      </c>
      <c r="I92" s="1">
        <v>1.0</v>
      </c>
      <c r="J92" s="1">
        <v>1.0</v>
      </c>
      <c r="K92" s="1">
        <v>1.0</v>
      </c>
      <c r="L92" s="1">
        <v>1.0</v>
      </c>
      <c r="M92" s="1">
        <v>1.0</v>
      </c>
    </row>
    <row r="93">
      <c r="A93" s="1" t="s">
        <v>48</v>
      </c>
      <c r="B93" s="1" t="s">
        <v>180</v>
      </c>
      <c r="C93" s="1" t="s">
        <v>22</v>
      </c>
      <c r="D93" s="1">
        <v>3.0</v>
      </c>
      <c r="E93" s="1">
        <v>1.0</v>
      </c>
      <c r="F93" s="1">
        <v>3.0</v>
      </c>
      <c r="G93" s="1">
        <v>2.0</v>
      </c>
      <c r="H93" s="1">
        <v>8057.0</v>
      </c>
      <c r="I93" s="1">
        <v>0.456</v>
      </c>
      <c r="J93" s="1">
        <v>0.4354</v>
      </c>
      <c r="K93" s="1">
        <v>0.0078</v>
      </c>
      <c r="L93" s="1">
        <v>0.8225</v>
      </c>
      <c r="M93" s="1">
        <v>0.4573</v>
      </c>
    </row>
    <row r="94">
      <c r="A94" s="1" t="s">
        <v>48</v>
      </c>
      <c r="B94" s="1" t="s">
        <v>180</v>
      </c>
      <c r="C94" s="1" t="s">
        <v>22</v>
      </c>
      <c r="D94" s="1">
        <v>3.0</v>
      </c>
      <c r="E94" s="1">
        <v>2.0</v>
      </c>
      <c r="F94" s="1">
        <v>3.0</v>
      </c>
      <c r="G94" s="1">
        <v>2.0</v>
      </c>
      <c r="H94" s="1">
        <v>8057.0</v>
      </c>
      <c r="I94" s="1">
        <v>0.945</v>
      </c>
      <c r="J94" s="1">
        <v>1.0</v>
      </c>
      <c r="K94" s="1">
        <v>0.9988</v>
      </c>
      <c r="L94" s="1">
        <v>1.0</v>
      </c>
      <c r="M94" s="1">
        <v>0.9453</v>
      </c>
    </row>
    <row r="95">
      <c r="A95" s="1" t="s">
        <v>48</v>
      </c>
      <c r="B95" s="1" t="s">
        <v>180</v>
      </c>
      <c r="C95" s="1" t="s">
        <v>22</v>
      </c>
      <c r="D95" s="1">
        <v>3.0</v>
      </c>
      <c r="E95" s="1">
        <v>3.0</v>
      </c>
      <c r="F95" s="1">
        <v>3.0</v>
      </c>
      <c r="G95" s="1">
        <v>2.0</v>
      </c>
      <c r="H95" s="1">
        <v>8057.0</v>
      </c>
      <c r="I95" s="1">
        <v>1.0</v>
      </c>
      <c r="J95" s="1">
        <v>1.0</v>
      </c>
      <c r="K95" s="1">
        <v>1.0</v>
      </c>
      <c r="L95" s="1">
        <v>1.0</v>
      </c>
      <c r="M95" s="1">
        <v>1.0</v>
      </c>
    </row>
    <row r="96">
      <c r="A96" s="1" t="s">
        <v>48</v>
      </c>
      <c r="B96" s="1" t="s">
        <v>1192</v>
      </c>
      <c r="C96" s="1" t="s">
        <v>22</v>
      </c>
      <c r="D96" s="1">
        <v>3.0</v>
      </c>
      <c r="E96" s="1">
        <v>1.0</v>
      </c>
      <c r="F96" s="1">
        <v>3.0</v>
      </c>
      <c r="G96" s="1">
        <v>2.0</v>
      </c>
      <c r="H96" s="1">
        <v>1159.0</v>
      </c>
      <c r="I96" s="1">
        <v>0.4413</v>
      </c>
      <c r="J96" s="1">
        <v>0.4281</v>
      </c>
      <c r="K96" s="1">
        <v>0.0722</v>
      </c>
      <c r="L96" s="1">
        <v>0.7292</v>
      </c>
      <c r="M96" s="1">
        <v>0.443</v>
      </c>
    </row>
    <row r="97">
      <c r="A97" s="1" t="s">
        <v>48</v>
      </c>
      <c r="B97" s="1" t="s">
        <v>1192</v>
      </c>
      <c r="C97" s="1" t="s">
        <v>22</v>
      </c>
      <c r="D97" s="1">
        <v>3.0</v>
      </c>
      <c r="E97" s="1">
        <v>2.0</v>
      </c>
      <c r="F97" s="1">
        <v>3.0</v>
      </c>
      <c r="G97" s="1">
        <v>2.0</v>
      </c>
      <c r="H97" s="1">
        <v>1159.0</v>
      </c>
      <c r="I97" s="1">
        <v>0.9441</v>
      </c>
      <c r="J97" s="1">
        <v>1.0</v>
      </c>
      <c r="K97" s="1">
        <v>0.9913</v>
      </c>
      <c r="L97" s="1">
        <v>1.0</v>
      </c>
      <c r="M97" s="1">
        <v>0.9446</v>
      </c>
    </row>
    <row r="98">
      <c r="A98" s="1" t="s">
        <v>48</v>
      </c>
      <c r="B98" s="1" t="s">
        <v>1192</v>
      </c>
      <c r="C98" s="1" t="s">
        <v>22</v>
      </c>
      <c r="D98" s="1">
        <v>3.0</v>
      </c>
      <c r="E98" s="1">
        <v>3.0</v>
      </c>
      <c r="F98" s="1">
        <v>3.0</v>
      </c>
      <c r="G98" s="1">
        <v>2.0</v>
      </c>
      <c r="H98" s="1">
        <v>1159.0</v>
      </c>
      <c r="I98" s="1">
        <v>1.0</v>
      </c>
      <c r="J98" s="1">
        <v>1.0</v>
      </c>
      <c r="K98" s="1">
        <v>1.0</v>
      </c>
      <c r="L98" s="1">
        <v>1.0</v>
      </c>
      <c r="M98" s="1">
        <v>1.0</v>
      </c>
    </row>
    <row r="99">
      <c r="A99" s="1" t="s">
        <v>48</v>
      </c>
      <c r="B99" s="1" t="s">
        <v>180</v>
      </c>
      <c r="C99" s="1" t="s">
        <v>24</v>
      </c>
      <c r="D99" s="1">
        <v>4.0</v>
      </c>
      <c r="E99" s="1">
        <v>1.0</v>
      </c>
      <c r="F99" s="1">
        <v>3.0</v>
      </c>
      <c r="G99" s="1">
        <v>2.0</v>
      </c>
      <c r="H99" s="1">
        <v>4723.0</v>
      </c>
      <c r="I99" s="1">
        <v>0.46</v>
      </c>
      <c r="J99" s="1">
        <v>0.4654</v>
      </c>
      <c r="K99" s="1">
        <v>0.0862</v>
      </c>
      <c r="L99" s="1">
        <v>0.7359</v>
      </c>
      <c r="M99" s="1">
        <v>0.4632</v>
      </c>
    </row>
    <row r="100">
      <c r="A100" s="1" t="s">
        <v>48</v>
      </c>
      <c r="B100" s="1" t="s">
        <v>180</v>
      </c>
      <c r="C100" s="1" t="s">
        <v>24</v>
      </c>
      <c r="D100" s="1">
        <v>4.0</v>
      </c>
      <c r="E100" s="1">
        <v>2.0</v>
      </c>
      <c r="F100" s="1">
        <v>3.0</v>
      </c>
      <c r="G100" s="1">
        <v>2.0</v>
      </c>
      <c r="H100" s="1">
        <v>4723.0</v>
      </c>
      <c r="I100" s="1">
        <v>0.9491</v>
      </c>
      <c r="J100" s="1">
        <v>1.0</v>
      </c>
      <c r="K100" s="1">
        <v>0.9876</v>
      </c>
      <c r="L100" s="1">
        <v>1.0</v>
      </c>
      <c r="M100" s="1">
        <v>0.9501</v>
      </c>
    </row>
    <row r="101">
      <c r="A101" s="1" t="s">
        <v>48</v>
      </c>
      <c r="B101" s="1" t="s">
        <v>180</v>
      </c>
      <c r="C101" s="1" t="s">
        <v>24</v>
      </c>
      <c r="D101" s="1">
        <v>4.0</v>
      </c>
      <c r="E101" s="1">
        <v>3.0</v>
      </c>
      <c r="F101" s="1">
        <v>3.0</v>
      </c>
      <c r="G101" s="1">
        <v>2.0</v>
      </c>
      <c r="H101" s="1">
        <v>4723.0</v>
      </c>
      <c r="I101" s="1">
        <v>1.0</v>
      </c>
      <c r="J101" s="1">
        <v>1.0</v>
      </c>
      <c r="K101" s="1">
        <v>1.0</v>
      </c>
      <c r="L101" s="1">
        <v>1.0</v>
      </c>
      <c r="M101" s="1">
        <v>1.0</v>
      </c>
    </row>
    <row r="102">
      <c r="A102" s="1" t="s">
        <v>48</v>
      </c>
      <c r="B102" s="1" t="s">
        <v>1192</v>
      </c>
      <c r="C102" s="1" t="s">
        <v>24</v>
      </c>
      <c r="D102" s="1">
        <v>4.0</v>
      </c>
      <c r="E102" s="1">
        <v>1.0</v>
      </c>
      <c r="F102" s="1">
        <v>3.0</v>
      </c>
      <c r="G102" s="1">
        <v>2.0</v>
      </c>
      <c r="H102" s="1">
        <v>761.0</v>
      </c>
      <c r="I102" s="1">
        <v>0.4726</v>
      </c>
      <c r="J102" s="1">
        <v>0.4757</v>
      </c>
      <c r="K102" s="1">
        <v>0.19</v>
      </c>
      <c r="L102" s="1">
        <v>0.7145</v>
      </c>
      <c r="M102" s="1">
        <v>0.4738</v>
      </c>
    </row>
    <row r="103">
      <c r="A103" s="1" t="s">
        <v>48</v>
      </c>
      <c r="B103" s="1" t="s">
        <v>1192</v>
      </c>
      <c r="C103" s="1" t="s">
        <v>24</v>
      </c>
      <c r="D103" s="1">
        <v>4.0</v>
      </c>
      <c r="E103" s="1">
        <v>2.0</v>
      </c>
      <c r="F103" s="1">
        <v>3.0</v>
      </c>
      <c r="G103" s="1">
        <v>2.0</v>
      </c>
      <c r="H103" s="1">
        <v>761.0</v>
      </c>
      <c r="I103" s="1">
        <v>0.9501</v>
      </c>
      <c r="J103" s="1">
        <v>1.0</v>
      </c>
      <c r="K103" s="1">
        <v>0.9867</v>
      </c>
      <c r="L103" s="1">
        <v>1.0</v>
      </c>
      <c r="M103" s="1">
        <v>0.9512</v>
      </c>
    </row>
    <row r="104">
      <c r="A104" s="1" t="s">
        <v>48</v>
      </c>
      <c r="B104" s="1" t="s">
        <v>1192</v>
      </c>
      <c r="C104" s="1" t="s">
        <v>24</v>
      </c>
      <c r="D104" s="1">
        <v>4.0</v>
      </c>
      <c r="E104" s="1">
        <v>3.0</v>
      </c>
      <c r="F104" s="1">
        <v>3.0</v>
      </c>
      <c r="G104" s="1">
        <v>2.0</v>
      </c>
      <c r="H104" s="1">
        <v>761.0</v>
      </c>
      <c r="I104" s="1">
        <v>1.0</v>
      </c>
      <c r="J104" s="1">
        <v>1.0</v>
      </c>
      <c r="K104" s="1">
        <v>1.0</v>
      </c>
      <c r="L104" s="1">
        <v>1.0</v>
      </c>
      <c r="M104" s="1">
        <v>1.0</v>
      </c>
    </row>
    <row r="105">
      <c r="A105" s="1" t="s">
        <v>48</v>
      </c>
      <c r="B105" s="1" t="s">
        <v>180</v>
      </c>
      <c r="C105" s="1" t="s">
        <v>26</v>
      </c>
      <c r="D105" s="1">
        <v>5.0</v>
      </c>
      <c r="E105" s="1">
        <v>1.0</v>
      </c>
      <c r="F105" s="1">
        <v>3.0</v>
      </c>
      <c r="G105" s="1">
        <v>2.0</v>
      </c>
      <c r="H105" s="1">
        <v>698.0</v>
      </c>
      <c r="I105" s="1">
        <v>0.4298</v>
      </c>
      <c r="J105" s="1">
        <v>0.4644</v>
      </c>
      <c r="K105" s="1">
        <v>0.0</v>
      </c>
      <c r="L105" s="1">
        <v>0.6977</v>
      </c>
      <c r="M105" s="1">
        <v>0.4338</v>
      </c>
    </row>
    <row r="106">
      <c r="A106" s="1" t="s">
        <v>48</v>
      </c>
      <c r="B106" s="1" t="s">
        <v>180</v>
      </c>
      <c r="C106" s="1" t="s">
        <v>26</v>
      </c>
      <c r="D106" s="1">
        <v>5.0</v>
      </c>
      <c r="E106" s="1">
        <v>2.0</v>
      </c>
      <c r="F106" s="1">
        <v>3.0</v>
      </c>
      <c r="G106" s="1">
        <v>2.0</v>
      </c>
      <c r="H106" s="1">
        <v>698.0</v>
      </c>
      <c r="I106" s="1">
        <v>0.9348</v>
      </c>
      <c r="J106" s="1">
        <v>1.0</v>
      </c>
      <c r="K106" s="1">
        <v>0.9708</v>
      </c>
      <c r="L106" s="1">
        <v>1.0</v>
      </c>
      <c r="M106" s="1">
        <v>0.9368</v>
      </c>
    </row>
    <row r="107">
      <c r="A107" s="1" t="s">
        <v>48</v>
      </c>
      <c r="B107" s="1" t="s">
        <v>180</v>
      </c>
      <c r="C107" s="1" t="s">
        <v>26</v>
      </c>
      <c r="D107" s="1">
        <v>5.0</v>
      </c>
      <c r="E107" s="1">
        <v>3.0</v>
      </c>
      <c r="F107" s="1">
        <v>3.0</v>
      </c>
      <c r="G107" s="1">
        <v>2.0</v>
      </c>
      <c r="H107" s="1">
        <v>698.0</v>
      </c>
      <c r="I107" s="1">
        <v>1.0</v>
      </c>
      <c r="J107" s="1">
        <v>1.0</v>
      </c>
      <c r="K107" s="1">
        <v>1.0</v>
      </c>
      <c r="L107" s="1">
        <v>1.0</v>
      </c>
      <c r="M107" s="1">
        <v>1.0</v>
      </c>
    </row>
    <row r="108">
      <c r="A108" s="1" t="s">
        <v>48</v>
      </c>
      <c r="B108" s="1" t="s">
        <v>1192</v>
      </c>
      <c r="C108" s="1" t="s">
        <v>26</v>
      </c>
      <c r="D108" s="1">
        <v>5.0</v>
      </c>
      <c r="E108" s="1">
        <v>1.0</v>
      </c>
      <c r="F108" s="1">
        <v>3.0</v>
      </c>
      <c r="G108" s="1">
        <v>2.0</v>
      </c>
      <c r="H108" s="1">
        <v>132.0</v>
      </c>
      <c r="I108" s="1">
        <v>0.4426</v>
      </c>
      <c r="J108" s="1">
        <v>0.4663</v>
      </c>
      <c r="K108" s="1">
        <v>0.1958</v>
      </c>
      <c r="L108" s="1">
        <v>0.6932</v>
      </c>
      <c r="M108" s="1">
        <v>0.4431</v>
      </c>
    </row>
    <row r="109">
      <c r="A109" s="1" t="s">
        <v>48</v>
      </c>
      <c r="B109" s="1" t="s">
        <v>1192</v>
      </c>
      <c r="C109" s="1" t="s">
        <v>26</v>
      </c>
      <c r="D109" s="1">
        <v>5.0</v>
      </c>
      <c r="E109" s="1">
        <v>2.0</v>
      </c>
      <c r="F109" s="1">
        <v>3.0</v>
      </c>
      <c r="G109" s="1">
        <v>2.0</v>
      </c>
      <c r="H109" s="1">
        <v>132.0</v>
      </c>
      <c r="I109" s="1">
        <v>0.947</v>
      </c>
      <c r="J109" s="1">
        <v>1.0</v>
      </c>
      <c r="K109" s="1">
        <v>0.9781</v>
      </c>
      <c r="L109" s="1">
        <v>1.0</v>
      </c>
      <c r="M109" s="1">
        <v>0.9487</v>
      </c>
    </row>
    <row r="110">
      <c r="A110" s="1" t="s">
        <v>48</v>
      </c>
      <c r="B110" s="1" t="s">
        <v>1192</v>
      </c>
      <c r="C110" s="1" t="s">
        <v>26</v>
      </c>
      <c r="D110" s="1">
        <v>5.0</v>
      </c>
      <c r="E110" s="1">
        <v>3.0</v>
      </c>
      <c r="F110" s="1">
        <v>3.0</v>
      </c>
      <c r="G110" s="1">
        <v>2.0</v>
      </c>
      <c r="H110" s="1">
        <v>132.0</v>
      </c>
      <c r="I110" s="1">
        <v>1.0</v>
      </c>
      <c r="J110" s="1">
        <v>1.0</v>
      </c>
      <c r="K110" s="1">
        <v>1.0</v>
      </c>
      <c r="L110" s="1">
        <v>1.0</v>
      </c>
      <c r="M110" s="1">
        <v>1.0</v>
      </c>
    </row>
    <row r="111">
      <c r="A111" s="1" t="s">
        <v>2252</v>
      </c>
      <c r="B111" s="1" t="s">
        <v>180</v>
      </c>
      <c r="C111" s="1" t="s">
        <v>19</v>
      </c>
      <c r="D111" s="1">
        <v>1.0</v>
      </c>
      <c r="E111" s="1">
        <v>1.0</v>
      </c>
      <c r="F111" s="1">
        <v>2.0</v>
      </c>
      <c r="G111" s="1">
        <v>93.0</v>
      </c>
      <c r="H111" s="1">
        <v>16728.0</v>
      </c>
      <c r="I111" s="1">
        <v>0.9466</v>
      </c>
      <c r="J111" s="1">
        <v>1.0</v>
      </c>
      <c r="K111" s="1">
        <v>1.0</v>
      </c>
      <c r="L111" s="1">
        <v>1.0</v>
      </c>
      <c r="M111" s="1">
        <v>0.949</v>
      </c>
    </row>
    <row r="112">
      <c r="A112" s="1" t="s">
        <v>2252</v>
      </c>
      <c r="B112" s="1" t="s">
        <v>180</v>
      </c>
      <c r="C112" s="1" t="s">
        <v>19</v>
      </c>
      <c r="D112" s="1">
        <v>1.0</v>
      </c>
      <c r="E112" s="1">
        <v>2.0</v>
      </c>
      <c r="F112" s="1">
        <v>2.0</v>
      </c>
      <c r="G112" s="1">
        <v>93.0</v>
      </c>
      <c r="H112" s="1">
        <v>16728.0</v>
      </c>
      <c r="I112" s="1">
        <v>1.0</v>
      </c>
      <c r="J112" s="1">
        <v>1.0</v>
      </c>
      <c r="K112" s="1">
        <v>1.0</v>
      </c>
      <c r="L112" s="1">
        <v>1.0</v>
      </c>
      <c r="M112" s="1">
        <v>1.0</v>
      </c>
    </row>
    <row r="113">
      <c r="A113" s="1" t="s">
        <v>2252</v>
      </c>
      <c r="B113" s="1" t="s">
        <v>1192</v>
      </c>
      <c r="C113" s="1" t="s">
        <v>19</v>
      </c>
      <c r="D113" s="1">
        <v>1.0</v>
      </c>
      <c r="E113" s="1">
        <v>1.0</v>
      </c>
      <c r="F113" s="1">
        <v>2.0</v>
      </c>
      <c r="G113" s="1">
        <v>89.0</v>
      </c>
      <c r="H113" s="1">
        <v>4015.0</v>
      </c>
      <c r="I113" s="1">
        <v>0.947</v>
      </c>
      <c r="J113" s="1">
        <v>1.0</v>
      </c>
      <c r="K113" s="1">
        <v>1.0</v>
      </c>
      <c r="L113" s="1">
        <v>1.0</v>
      </c>
      <c r="M113" s="1">
        <v>0.949</v>
      </c>
    </row>
    <row r="114">
      <c r="A114" s="1" t="s">
        <v>2252</v>
      </c>
      <c r="B114" s="1" t="s">
        <v>1192</v>
      </c>
      <c r="C114" s="1" t="s">
        <v>19</v>
      </c>
      <c r="D114" s="1">
        <v>1.0</v>
      </c>
      <c r="E114" s="1">
        <v>2.0</v>
      </c>
      <c r="F114" s="1">
        <v>2.0</v>
      </c>
      <c r="G114" s="1">
        <v>89.0</v>
      </c>
      <c r="H114" s="1">
        <v>4015.0</v>
      </c>
      <c r="I114" s="1">
        <v>1.0</v>
      </c>
      <c r="J114" s="1">
        <v>1.0</v>
      </c>
      <c r="K114" s="1">
        <v>1.0</v>
      </c>
      <c r="L114" s="1">
        <v>1.0</v>
      </c>
      <c r="M114" s="1">
        <v>1.0</v>
      </c>
    </row>
    <row r="115">
      <c r="A115" s="1" t="s">
        <v>2252</v>
      </c>
      <c r="B115" s="1" t="s">
        <v>180</v>
      </c>
      <c r="C115" s="1" t="s">
        <v>21</v>
      </c>
      <c r="D115" s="1">
        <v>2.0</v>
      </c>
      <c r="E115" s="1">
        <v>1.0</v>
      </c>
      <c r="F115" s="1">
        <v>2.0</v>
      </c>
      <c r="G115" s="1">
        <v>96.0</v>
      </c>
      <c r="H115" s="1">
        <v>17868.0</v>
      </c>
      <c r="I115" s="1">
        <v>0.9481</v>
      </c>
      <c r="J115" s="1">
        <v>1.0</v>
      </c>
      <c r="K115" s="1">
        <v>1.0</v>
      </c>
      <c r="L115" s="1">
        <v>1.0</v>
      </c>
      <c r="M115" s="1">
        <v>0.9518</v>
      </c>
    </row>
    <row r="116">
      <c r="A116" s="1" t="s">
        <v>2252</v>
      </c>
      <c r="B116" s="1" t="s">
        <v>180</v>
      </c>
      <c r="C116" s="1" t="s">
        <v>21</v>
      </c>
      <c r="D116" s="1">
        <v>2.0</v>
      </c>
      <c r="E116" s="1">
        <v>2.0</v>
      </c>
      <c r="F116" s="1">
        <v>2.0</v>
      </c>
      <c r="G116" s="1">
        <v>96.0</v>
      </c>
      <c r="H116" s="1">
        <v>17868.0</v>
      </c>
      <c r="I116" s="1">
        <v>1.0</v>
      </c>
      <c r="J116" s="1">
        <v>1.0</v>
      </c>
      <c r="K116" s="1">
        <v>1.0</v>
      </c>
      <c r="L116" s="1">
        <v>1.0</v>
      </c>
      <c r="M116" s="1">
        <v>1.0</v>
      </c>
    </row>
    <row r="117">
      <c r="A117" s="1" t="s">
        <v>2252</v>
      </c>
      <c r="B117" s="1" t="s">
        <v>1192</v>
      </c>
      <c r="C117" s="1" t="s">
        <v>21</v>
      </c>
      <c r="D117" s="1">
        <v>2.0</v>
      </c>
      <c r="E117" s="1">
        <v>1.0</v>
      </c>
      <c r="F117" s="1">
        <v>2.0</v>
      </c>
      <c r="G117" s="1">
        <v>92.0</v>
      </c>
      <c r="H117" s="1">
        <v>3736.0</v>
      </c>
      <c r="I117" s="1">
        <v>0.9524</v>
      </c>
      <c r="J117" s="1">
        <v>1.0</v>
      </c>
      <c r="K117" s="1">
        <v>1.0</v>
      </c>
      <c r="L117" s="1">
        <v>1.0</v>
      </c>
      <c r="M117" s="1">
        <v>0.9553</v>
      </c>
    </row>
    <row r="118">
      <c r="A118" s="1" t="s">
        <v>2252</v>
      </c>
      <c r="B118" s="1" t="s">
        <v>1192</v>
      </c>
      <c r="C118" s="1" t="s">
        <v>21</v>
      </c>
      <c r="D118" s="1">
        <v>2.0</v>
      </c>
      <c r="E118" s="1">
        <v>2.0</v>
      </c>
      <c r="F118" s="1">
        <v>2.0</v>
      </c>
      <c r="G118" s="1">
        <v>92.0</v>
      </c>
      <c r="H118" s="1">
        <v>3736.0</v>
      </c>
      <c r="I118" s="1">
        <v>1.0</v>
      </c>
      <c r="J118" s="1">
        <v>1.0</v>
      </c>
      <c r="K118" s="1">
        <v>1.0</v>
      </c>
      <c r="L118" s="1">
        <v>1.0</v>
      </c>
      <c r="M118" s="1">
        <v>1.0</v>
      </c>
    </row>
    <row r="119">
      <c r="A119" s="1" t="s">
        <v>2252</v>
      </c>
      <c r="B119" s="1" t="s">
        <v>180</v>
      </c>
      <c r="C119" s="1" t="s">
        <v>22</v>
      </c>
      <c r="D119" s="1">
        <v>3.0</v>
      </c>
      <c r="E119" s="1">
        <v>1.0</v>
      </c>
      <c r="F119" s="1">
        <v>2.0</v>
      </c>
      <c r="G119" s="1">
        <v>101.0</v>
      </c>
      <c r="H119" s="1">
        <v>16775.0</v>
      </c>
      <c r="I119" s="1">
        <v>0.9501</v>
      </c>
      <c r="J119" s="1">
        <v>1.0</v>
      </c>
      <c r="K119" s="1">
        <v>1.0</v>
      </c>
      <c r="L119" s="1">
        <v>1.0</v>
      </c>
      <c r="M119" s="1">
        <v>0.9546</v>
      </c>
    </row>
    <row r="120">
      <c r="A120" s="1" t="s">
        <v>2252</v>
      </c>
      <c r="B120" s="1" t="s">
        <v>180</v>
      </c>
      <c r="C120" s="1" t="s">
        <v>22</v>
      </c>
      <c r="D120" s="1">
        <v>3.0</v>
      </c>
      <c r="E120" s="1">
        <v>2.0</v>
      </c>
      <c r="F120" s="1">
        <v>2.0</v>
      </c>
      <c r="G120" s="1">
        <v>101.0</v>
      </c>
      <c r="H120" s="1">
        <v>16775.0</v>
      </c>
      <c r="I120" s="1">
        <v>1.0</v>
      </c>
      <c r="J120" s="1">
        <v>1.0</v>
      </c>
      <c r="K120" s="1">
        <v>1.0</v>
      </c>
      <c r="L120" s="1">
        <v>1.0</v>
      </c>
      <c r="M120" s="1">
        <v>1.0</v>
      </c>
    </row>
    <row r="121">
      <c r="A121" s="1" t="s">
        <v>2252</v>
      </c>
      <c r="B121" s="1" t="s">
        <v>1192</v>
      </c>
      <c r="C121" s="1" t="s">
        <v>22</v>
      </c>
      <c r="D121" s="1">
        <v>3.0</v>
      </c>
      <c r="E121" s="1">
        <v>1.0</v>
      </c>
      <c r="F121" s="1">
        <v>2.0</v>
      </c>
      <c r="G121" s="1">
        <v>95.0</v>
      </c>
      <c r="H121" s="1">
        <v>2920.0</v>
      </c>
      <c r="I121" s="1">
        <v>0.9524</v>
      </c>
      <c r="J121" s="1">
        <v>1.0</v>
      </c>
      <c r="K121" s="1">
        <v>1.0</v>
      </c>
      <c r="L121" s="1">
        <v>1.0</v>
      </c>
      <c r="M121" s="1">
        <v>0.9568</v>
      </c>
    </row>
    <row r="122">
      <c r="A122" s="1" t="s">
        <v>2252</v>
      </c>
      <c r="B122" s="1" t="s">
        <v>1192</v>
      </c>
      <c r="C122" s="1" t="s">
        <v>22</v>
      </c>
      <c r="D122" s="1">
        <v>3.0</v>
      </c>
      <c r="E122" s="1">
        <v>2.0</v>
      </c>
      <c r="F122" s="1">
        <v>2.0</v>
      </c>
      <c r="G122" s="1">
        <v>95.0</v>
      </c>
      <c r="H122" s="1">
        <v>2920.0</v>
      </c>
      <c r="I122" s="1">
        <v>1.0</v>
      </c>
      <c r="J122" s="1">
        <v>1.0</v>
      </c>
      <c r="K122" s="1">
        <v>1.0</v>
      </c>
      <c r="L122" s="1">
        <v>1.0</v>
      </c>
      <c r="M122" s="1">
        <v>1.0</v>
      </c>
    </row>
    <row r="123">
      <c r="A123" s="1" t="s">
        <v>2252</v>
      </c>
      <c r="B123" s="1" t="s">
        <v>180</v>
      </c>
      <c r="C123" s="1" t="s">
        <v>24</v>
      </c>
      <c r="D123" s="1">
        <v>4.0</v>
      </c>
      <c r="E123" s="1">
        <v>1.0</v>
      </c>
      <c r="F123" s="1">
        <v>2.0</v>
      </c>
      <c r="G123" s="1">
        <v>103.0</v>
      </c>
      <c r="H123" s="1">
        <v>11054.0</v>
      </c>
      <c r="I123" s="1">
        <v>0.9592</v>
      </c>
      <c r="J123" s="1">
        <v>1.0</v>
      </c>
      <c r="K123" s="1">
        <v>1.0</v>
      </c>
      <c r="L123" s="1">
        <v>1.0</v>
      </c>
      <c r="M123" s="1">
        <v>0.963</v>
      </c>
    </row>
    <row r="124">
      <c r="A124" s="1" t="s">
        <v>2252</v>
      </c>
      <c r="B124" s="1" t="s">
        <v>180</v>
      </c>
      <c r="C124" s="1" t="s">
        <v>24</v>
      </c>
      <c r="D124" s="1">
        <v>4.0</v>
      </c>
      <c r="E124" s="1">
        <v>2.0</v>
      </c>
      <c r="F124" s="1">
        <v>2.0</v>
      </c>
      <c r="G124" s="1">
        <v>103.0</v>
      </c>
      <c r="H124" s="1">
        <v>11054.0</v>
      </c>
      <c r="I124" s="1">
        <v>1.0</v>
      </c>
      <c r="J124" s="1">
        <v>1.0</v>
      </c>
      <c r="K124" s="1">
        <v>1.0</v>
      </c>
      <c r="L124" s="1">
        <v>1.0</v>
      </c>
      <c r="M124" s="1">
        <v>1.0</v>
      </c>
    </row>
    <row r="125">
      <c r="A125" s="1" t="s">
        <v>2252</v>
      </c>
      <c r="B125" s="1" t="s">
        <v>1192</v>
      </c>
      <c r="C125" s="1" t="s">
        <v>24</v>
      </c>
      <c r="D125" s="1">
        <v>4.0</v>
      </c>
      <c r="E125" s="1">
        <v>1.0</v>
      </c>
      <c r="F125" s="1">
        <v>2.0</v>
      </c>
      <c r="G125" s="1">
        <v>100.0</v>
      </c>
      <c r="H125" s="1">
        <v>1763.0</v>
      </c>
      <c r="I125" s="1">
        <v>0.9625</v>
      </c>
      <c r="J125" s="1">
        <v>1.0</v>
      </c>
      <c r="K125" s="1">
        <v>1.0</v>
      </c>
      <c r="L125" s="1">
        <v>1.0</v>
      </c>
      <c r="M125" s="1">
        <v>0.9668</v>
      </c>
    </row>
    <row r="126">
      <c r="A126" s="1" t="s">
        <v>2252</v>
      </c>
      <c r="B126" s="1" t="s">
        <v>1192</v>
      </c>
      <c r="C126" s="1" t="s">
        <v>24</v>
      </c>
      <c r="D126" s="1">
        <v>4.0</v>
      </c>
      <c r="E126" s="1">
        <v>2.0</v>
      </c>
      <c r="F126" s="1">
        <v>2.0</v>
      </c>
      <c r="G126" s="1">
        <v>100.0</v>
      </c>
      <c r="H126" s="1">
        <v>1763.0</v>
      </c>
      <c r="I126" s="1">
        <v>1.0</v>
      </c>
      <c r="J126" s="1">
        <v>1.0</v>
      </c>
      <c r="K126" s="1">
        <v>1.0</v>
      </c>
      <c r="L126" s="1">
        <v>1.0</v>
      </c>
      <c r="M126" s="1">
        <v>1.0</v>
      </c>
    </row>
    <row r="127">
      <c r="A127" s="1" t="s">
        <v>2252</v>
      </c>
      <c r="B127" s="1" t="s">
        <v>180</v>
      </c>
      <c r="C127" s="1" t="s">
        <v>26</v>
      </c>
      <c r="D127" s="1">
        <v>5.0</v>
      </c>
      <c r="E127" s="1">
        <v>1.0</v>
      </c>
      <c r="F127" s="1">
        <v>2.0</v>
      </c>
      <c r="G127" s="1">
        <v>97.0</v>
      </c>
      <c r="H127" s="1">
        <v>2703.0</v>
      </c>
      <c r="I127" s="1">
        <v>0.972</v>
      </c>
      <c r="J127" s="1">
        <v>1.0</v>
      </c>
      <c r="K127" s="1">
        <v>1.0</v>
      </c>
      <c r="L127" s="1">
        <v>1.0</v>
      </c>
      <c r="M127" s="1">
        <v>0.975</v>
      </c>
    </row>
    <row r="128">
      <c r="A128" s="1" t="s">
        <v>2252</v>
      </c>
      <c r="B128" s="1" t="s">
        <v>180</v>
      </c>
      <c r="C128" s="1" t="s">
        <v>26</v>
      </c>
      <c r="D128" s="1">
        <v>5.0</v>
      </c>
      <c r="E128" s="1">
        <v>2.0</v>
      </c>
      <c r="F128" s="1">
        <v>2.0</v>
      </c>
      <c r="G128" s="1">
        <v>97.0</v>
      </c>
      <c r="H128" s="1">
        <v>2703.0</v>
      </c>
      <c r="I128" s="1">
        <v>1.0</v>
      </c>
      <c r="J128" s="1">
        <v>1.0</v>
      </c>
      <c r="K128" s="1">
        <v>1.0</v>
      </c>
      <c r="L128" s="1">
        <v>1.0</v>
      </c>
      <c r="M128" s="1">
        <v>1.0</v>
      </c>
    </row>
    <row r="129">
      <c r="A129" s="1" t="s">
        <v>2252</v>
      </c>
      <c r="B129" s="1" t="s">
        <v>1192</v>
      </c>
      <c r="C129" s="1" t="s">
        <v>26</v>
      </c>
      <c r="D129" s="1">
        <v>5.0</v>
      </c>
      <c r="E129" s="1">
        <v>1.0</v>
      </c>
      <c r="F129" s="1">
        <v>2.0</v>
      </c>
      <c r="G129" s="1">
        <v>83.0</v>
      </c>
      <c r="H129" s="1">
        <v>463.0</v>
      </c>
      <c r="I129" s="1">
        <v>0.9669</v>
      </c>
      <c r="J129" s="1">
        <v>1.0</v>
      </c>
      <c r="K129" s="1">
        <v>1.0</v>
      </c>
      <c r="L129" s="1">
        <v>1.0</v>
      </c>
      <c r="M129" s="1">
        <v>0.9706</v>
      </c>
    </row>
    <row r="130">
      <c r="A130" s="1" t="s">
        <v>2252</v>
      </c>
      <c r="B130" s="1" t="s">
        <v>1192</v>
      </c>
      <c r="C130" s="1" t="s">
        <v>26</v>
      </c>
      <c r="D130" s="1">
        <v>5.0</v>
      </c>
      <c r="E130" s="1">
        <v>2.0</v>
      </c>
      <c r="F130" s="1">
        <v>2.0</v>
      </c>
      <c r="G130" s="1">
        <v>83.0</v>
      </c>
      <c r="H130" s="1">
        <v>463.0</v>
      </c>
      <c r="I130" s="1">
        <v>1.0</v>
      </c>
      <c r="J130" s="1">
        <v>1.0</v>
      </c>
      <c r="K130" s="1">
        <v>1.0</v>
      </c>
      <c r="L130" s="1">
        <v>1.0</v>
      </c>
      <c r="M130" s="1">
        <v>1.0</v>
      </c>
    </row>
    <row r="131">
      <c r="A131" s="1" t="s">
        <v>42</v>
      </c>
      <c r="B131" s="1" t="s">
        <v>180</v>
      </c>
      <c r="C131" s="1" t="s">
        <v>19</v>
      </c>
      <c r="D131" s="1">
        <v>1.0</v>
      </c>
      <c r="E131" s="1">
        <v>1.0</v>
      </c>
      <c r="F131" s="1">
        <v>2.0</v>
      </c>
      <c r="G131" s="1">
        <v>14.0</v>
      </c>
      <c r="H131" s="1">
        <v>8407.0</v>
      </c>
      <c r="I131" s="1">
        <v>0.938</v>
      </c>
      <c r="J131" s="1">
        <v>1.0</v>
      </c>
      <c r="K131" s="1">
        <v>1.0</v>
      </c>
      <c r="L131" s="1">
        <v>1.0</v>
      </c>
      <c r="M131" s="1">
        <v>0.938</v>
      </c>
    </row>
    <row r="132">
      <c r="A132" s="1" t="s">
        <v>42</v>
      </c>
      <c r="B132" s="1" t="s">
        <v>180</v>
      </c>
      <c r="C132" s="1" t="s">
        <v>19</v>
      </c>
      <c r="D132" s="1">
        <v>1.0</v>
      </c>
      <c r="E132" s="1">
        <v>2.0</v>
      </c>
      <c r="F132" s="1">
        <v>2.0</v>
      </c>
      <c r="G132" s="1">
        <v>14.0</v>
      </c>
      <c r="H132" s="1">
        <v>8407.0</v>
      </c>
      <c r="I132" s="1">
        <v>1.0</v>
      </c>
      <c r="J132" s="1">
        <v>1.0</v>
      </c>
      <c r="K132" s="1">
        <v>1.0</v>
      </c>
      <c r="L132" s="1">
        <v>1.0</v>
      </c>
      <c r="M132" s="1">
        <v>1.0</v>
      </c>
    </row>
    <row r="133">
      <c r="A133" s="1" t="s">
        <v>42</v>
      </c>
      <c r="B133" s="1" t="s">
        <v>1192</v>
      </c>
      <c r="C133" s="1" t="s">
        <v>19</v>
      </c>
      <c r="D133" s="1">
        <v>1.0</v>
      </c>
      <c r="E133" s="1">
        <v>1.0</v>
      </c>
      <c r="F133" s="1">
        <v>2.0</v>
      </c>
      <c r="G133" s="1">
        <v>13.0</v>
      </c>
      <c r="H133" s="1">
        <v>2225.0</v>
      </c>
      <c r="I133" s="1">
        <v>0.9364</v>
      </c>
      <c r="J133" s="1">
        <v>1.0</v>
      </c>
      <c r="K133" s="1">
        <v>1.0</v>
      </c>
      <c r="L133" s="1">
        <v>1.0</v>
      </c>
      <c r="M133" s="1">
        <v>0.9364</v>
      </c>
    </row>
    <row r="134">
      <c r="A134" s="1" t="s">
        <v>42</v>
      </c>
      <c r="B134" s="1" t="s">
        <v>1192</v>
      </c>
      <c r="C134" s="1" t="s">
        <v>19</v>
      </c>
      <c r="D134" s="1">
        <v>1.0</v>
      </c>
      <c r="E134" s="1">
        <v>2.0</v>
      </c>
      <c r="F134" s="1">
        <v>2.0</v>
      </c>
      <c r="G134" s="1">
        <v>13.0</v>
      </c>
      <c r="H134" s="1">
        <v>2225.0</v>
      </c>
      <c r="I134" s="1">
        <v>1.0</v>
      </c>
      <c r="J134" s="1">
        <v>1.0</v>
      </c>
      <c r="K134" s="1">
        <v>1.0</v>
      </c>
      <c r="L134" s="1">
        <v>1.0</v>
      </c>
      <c r="M134" s="1">
        <v>1.0</v>
      </c>
    </row>
    <row r="135">
      <c r="A135" s="1" t="s">
        <v>42</v>
      </c>
      <c r="B135" s="1" t="s">
        <v>180</v>
      </c>
      <c r="C135" s="1" t="s">
        <v>21</v>
      </c>
      <c r="D135" s="1">
        <v>2.0</v>
      </c>
      <c r="E135" s="1">
        <v>1.0</v>
      </c>
      <c r="F135" s="1">
        <v>2.0</v>
      </c>
      <c r="G135" s="1">
        <v>16.0</v>
      </c>
      <c r="H135" s="1">
        <v>11578.0</v>
      </c>
      <c r="I135" s="1">
        <v>0.946</v>
      </c>
      <c r="J135" s="1">
        <v>1.0</v>
      </c>
      <c r="K135" s="1">
        <v>1.0</v>
      </c>
      <c r="L135" s="1">
        <v>1.0</v>
      </c>
      <c r="M135" s="1">
        <v>0.946</v>
      </c>
    </row>
    <row r="136">
      <c r="A136" s="1" t="s">
        <v>42</v>
      </c>
      <c r="B136" s="1" t="s">
        <v>180</v>
      </c>
      <c r="C136" s="1" t="s">
        <v>21</v>
      </c>
      <c r="D136" s="1">
        <v>2.0</v>
      </c>
      <c r="E136" s="1">
        <v>2.0</v>
      </c>
      <c r="F136" s="1">
        <v>2.0</v>
      </c>
      <c r="G136" s="1">
        <v>16.0</v>
      </c>
      <c r="H136" s="1">
        <v>11578.0</v>
      </c>
      <c r="I136" s="1">
        <v>1.0</v>
      </c>
      <c r="J136" s="1">
        <v>1.0</v>
      </c>
      <c r="K136" s="1">
        <v>1.0</v>
      </c>
      <c r="L136" s="1">
        <v>1.0</v>
      </c>
      <c r="M136" s="1">
        <v>1.0</v>
      </c>
    </row>
    <row r="137">
      <c r="A137" s="1" t="s">
        <v>42</v>
      </c>
      <c r="B137" s="1" t="s">
        <v>1192</v>
      </c>
      <c r="C137" s="1" t="s">
        <v>21</v>
      </c>
      <c r="D137" s="1">
        <v>2.0</v>
      </c>
      <c r="E137" s="1">
        <v>1.0</v>
      </c>
      <c r="F137" s="1">
        <v>2.0</v>
      </c>
      <c r="G137" s="1">
        <v>13.0</v>
      </c>
      <c r="H137" s="1">
        <v>2132.0</v>
      </c>
      <c r="I137" s="1">
        <v>0.9464</v>
      </c>
      <c r="J137" s="1">
        <v>1.0</v>
      </c>
      <c r="K137" s="1">
        <v>1.0</v>
      </c>
      <c r="L137" s="1">
        <v>1.0</v>
      </c>
      <c r="M137" s="1">
        <v>0.9464</v>
      </c>
    </row>
    <row r="138">
      <c r="A138" s="1" t="s">
        <v>42</v>
      </c>
      <c r="B138" s="1" t="s">
        <v>1192</v>
      </c>
      <c r="C138" s="1" t="s">
        <v>21</v>
      </c>
      <c r="D138" s="1">
        <v>2.0</v>
      </c>
      <c r="E138" s="1">
        <v>2.0</v>
      </c>
      <c r="F138" s="1">
        <v>2.0</v>
      </c>
      <c r="G138" s="1">
        <v>13.0</v>
      </c>
      <c r="H138" s="1">
        <v>2132.0</v>
      </c>
      <c r="I138" s="1">
        <v>1.0</v>
      </c>
      <c r="J138" s="1">
        <v>1.0</v>
      </c>
      <c r="K138" s="1">
        <v>1.0</v>
      </c>
      <c r="L138" s="1">
        <v>1.0</v>
      </c>
      <c r="M138" s="1">
        <v>1.0</v>
      </c>
    </row>
    <row r="139">
      <c r="A139" s="1" t="s">
        <v>42</v>
      </c>
      <c r="B139" s="1" t="s">
        <v>180</v>
      </c>
      <c r="C139" s="1" t="s">
        <v>22</v>
      </c>
      <c r="D139" s="1">
        <v>3.0</v>
      </c>
      <c r="E139" s="1">
        <v>1.0</v>
      </c>
      <c r="F139" s="1">
        <v>2.0</v>
      </c>
      <c r="G139" s="1">
        <v>17.0</v>
      </c>
      <c r="H139" s="1">
        <v>12299.0</v>
      </c>
      <c r="I139" s="1">
        <v>0.9535</v>
      </c>
      <c r="J139" s="1">
        <v>1.0</v>
      </c>
      <c r="K139" s="1">
        <v>1.0</v>
      </c>
      <c r="L139" s="1">
        <v>1.0</v>
      </c>
      <c r="M139" s="1">
        <v>0.9535</v>
      </c>
    </row>
    <row r="140">
      <c r="A140" s="1" t="s">
        <v>42</v>
      </c>
      <c r="B140" s="1" t="s">
        <v>180</v>
      </c>
      <c r="C140" s="1" t="s">
        <v>22</v>
      </c>
      <c r="D140" s="1">
        <v>3.0</v>
      </c>
      <c r="E140" s="1">
        <v>2.0</v>
      </c>
      <c r="F140" s="1">
        <v>2.0</v>
      </c>
      <c r="G140" s="1">
        <v>17.0</v>
      </c>
      <c r="H140" s="1">
        <v>12299.0</v>
      </c>
      <c r="I140" s="1">
        <v>1.0</v>
      </c>
      <c r="J140" s="1">
        <v>1.0</v>
      </c>
      <c r="K140" s="1">
        <v>1.0</v>
      </c>
      <c r="L140" s="1">
        <v>1.0</v>
      </c>
      <c r="M140" s="1">
        <v>1.0</v>
      </c>
    </row>
    <row r="141">
      <c r="A141" s="1" t="s">
        <v>42</v>
      </c>
      <c r="B141" s="1" t="s">
        <v>1192</v>
      </c>
      <c r="C141" s="1" t="s">
        <v>22</v>
      </c>
      <c r="D141" s="1">
        <v>3.0</v>
      </c>
      <c r="E141" s="1">
        <v>1.0</v>
      </c>
      <c r="F141" s="1">
        <v>2.0</v>
      </c>
      <c r="G141" s="1">
        <v>12.0</v>
      </c>
      <c r="H141" s="1">
        <v>1766.0</v>
      </c>
      <c r="I141" s="1">
        <v>0.9627</v>
      </c>
      <c r="J141" s="1">
        <v>1.0</v>
      </c>
      <c r="K141" s="1">
        <v>1.0</v>
      </c>
      <c r="L141" s="1">
        <v>1.0</v>
      </c>
      <c r="M141" s="1">
        <v>0.9627</v>
      </c>
    </row>
    <row r="142">
      <c r="A142" s="1" t="s">
        <v>42</v>
      </c>
      <c r="B142" s="1" t="s">
        <v>1192</v>
      </c>
      <c r="C142" s="1" t="s">
        <v>22</v>
      </c>
      <c r="D142" s="1">
        <v>3.0</v>
      </c>
      <c r="E142" s="1">
        <v>2.0</v>
      </c>
      <c r="F142" s="1">
        <v>2.0</v>
      </c>
      <c r="G142" s="1">
        <v>12.0</v>
      </c>
      <c r="H142" s="1">
        <v>1766.0</v>
      </c>
      <c r="I142" s="1">
        <v>1.0</v>
      </c>
      <c r="J142" s="1">
        <v>1.0</v>
      </c>
      <c r="K142" s="1">
        <v>1.0</v>
      </c>
      <c r="L142" s="1">
        <v>1.0</v>
      </c>
      <c r="M142" s="1">
        <v>1.0</v>
      </c>
    </row>
    <row r="143">
      <c r="A143" s="1" t="s">
        <v>42</v>
      </c>
      <c r="B143" s="1" t="s">
        <v>180</v>
      </c>
      <c r="C143" s="1" t="s">
        <v>24</v>
      </c>
      <c r="D143" s="1">
        <v>4.0</v>
      </c>
      <c r="E143" s="1">
        <v>1.0</v>
      </c>
      <c r="F143" s="1">
        <v>2.0</v>
      </c>
      <c r="G143" s="1">
        <v>16.0</v>
      </c>
      <c r="H143" s="1">
        <v>8062.0</v>
      </c>
      <c r="I143" s="1">
        <v>0.9694</v>
      </c>
      <c r="J143" s="1">
        <v>1.0</v>
      </c>
      <c r="K143" s="1">
        <v>1.0</v>
      </c>
      <c r="L143" s="1">
        <v>1.0</v>
      </c>
      <c r="M143" s="1">
        <v>0.9694</v>
      </c>
    </row>
    <row r="144">
      <c r="A144" s="1" t="s">
        <v>42</v>
      </c>
      <c r="B144" s="1" t="s">
        <v>180</v>
      </c>
      <c r="C144" s="1" t="s">
        <v>24</v>
      </c>
      <c r="D144" s="1">
        <v>4.0</v>
      </c>
      <c r="E144" s="1">
        <v>2.0</v>
      </c>
      <c r="F144" s="1">
        <v>2.0</v>
      </c>
      <c r="G144" s="1">
        <v>16.0</v>
      </c>
      <c r="H144" s="1">
        <v>8062.0</v>
      </c>
      <c r="I144" s="1">
        <v>1.0</v>
      </c>
      <c r="J144" s="1">
        <v>1.0</v>
      </c>
      <c r="K144" s="1">
        <v>1.0</v>
      </c>
      <c r="L144" s="1">
        <v>1.0</v>
      </c>
      <c r="M144" s="1">
        <v>1.0</v>
      </c>
    </row>
    <row r="145">
      <c r="A145" s="1" t="s">
        <v>42</v>
      </c>
      <c r="B145" s="1" t="s">
        <v>1192</v>
      </c>
      <c r="C145" s="1" t="s">
        <v>24</v>
      </c>
      <c r="D145" s="1">
        <v>4.0</v>
      </c>
      <c r="E145" s="1">
        <v>1.0</v>
      </c>
      <c r="F145" s="1">
        <v>2.0</v>
      </c>
      <c r="G145" s="1">
        <v>12.0</v>
      </c>
      <c r="H145" s="1">
        <v>1232.0</v>
      </c>
      <c r="I145" s="1">
        <v>0.9792</v>
      </c>
      <c r="J145" s="1">
        <v>1.0</v>
      </c>
      <c r="K145" s="1">
        <v>1.0</v>
      </c>
      <c r="L145" s="1">
        <v>1.0</v>
      </c>
      <c r="M145" s="1">
        <v>0.9792</v>
      </c>
    </row>
    <row r="146">
      <c r="A146" s="1" t="s">
        <v>42</v>
      </c>
      <c r="B146" s="1" t="s">
        <v>1192</v>
      </c>
      <c r="C146" s="1" t="s">
        <v>24</v>
      </c>
      <c r="D146" s="1">
        <v>4.0</v>
      </c>
      <c r="E146" s="1">
        <v>2.0</v>
      </c>
      <c r="F146" s="1">
        <v>2.0</v>
      </c>
      <c r="G146" s="1">
        <v>12.0</v>
      </c>
      <c r="H146" s="1">
        <v>1232.0</v>
      </c>
      <c r="I146" s="1">
        <v>1.0</v>
      </c>
      <c r="J146" s="1">
        <v>1.0</v>
      </c>
      <c r="K146" s="1">
        <v>1.0</v>
      </c>
      <c r="L146" s="1">
        <v>1.0</v>
      </c>
      <c r="M146" s="1">
        <v>1.0</v>
      </c>
    </row>
    <row r="147">
      <c r="A147" s="1" t="s">
        <v>42</v>
      </c>
      <c r="B147" s="1" t="s">
        <v>180</v>
      </c>
      <c r="C147" s="1" t="s">
        <v>26</v>
      </c>
      <c r="D147" s="1">
        <v>5.0</v>
      </c>
      <c r="E147" s="1">
        <v>1.0</v>
      </c>
      <c r="F147" s="1">
        <v>2.0</v>
      </c>
      <c r="G147" s="1">
        <v>11.0</v>
      </c>
      <c r="H147" s="1">
        <v>1362.0</v>
      </c>
      <c r="I147" s="1">
        <v>0.9814</v>
      </c>
      <c r="J147" s="1">
        <v>1.0</v>
      </c>
      <c r="K147" s="1">
        <v>1.0</v>
      </c>
      <c r="L147" s="1">
        <v>1.0</v>
      </c>
      <c r="M147" s="1">
        <v>0.9814</v>
      </c>
    </row>
    <row r="148">
      <c r="A148" s="1" t="s">
        <v>42</v>
      </c>
      <c r="B148" s="1" t="s">
        <v>180</v>
      </c>
      <c r="C148" s="1" t="s">
        <v>26</v>
      </c>
      <c r="D148" s="1">
        <v>5.0</v>
      </c>
      <c r="E148" s="1">
        <v>2.0</v>
      </c>
      <c r="F148" s="1">
        <v>2.0</v>
      </c>
      <c r="G148" s="1">
        <v>11.0</v>
      </c>
      <c r="H148" s="1">
        <v>1362.0</v>
      </c>
      <c r="I148" s="1">
        <v>1.0</v>
      </c>
      <c r="J148" s="1">
        <v>1.0</v>
      </c>
      <c r="K148" s="1">
        <v>1.0</v>
      </c>
      <c r="L148" s="1">
        <v>1.0</v>
      </c>
      <c r="M148" s="1">
        <v>1.0</v>
      </c>
    </row>
    <row r="149">
      <c r="A149" s="1" t="s">
        <v>42</v>
      </c>
      <c r="B149" s="1" t="s">
        <v>1192</v>
      </c>
      <c r="C149" s="1" t="s">
        <v>26</v>
      </c>
      <c r="D149" s="1">
        <v>5.0</v>
      </c>
      <c r="E149" s="1">
        <v>1.0</v>
      </c>
      <c r="F149" s="1">
        <v>2.0</v>
      </c>
      <c r="G149" s="1">
        <v>8.0</v>
      </c>
      <c r="H149" s="1">
        <v>276.0</v>
      </c>
      <c r="I149" s="1">
        <v>0.9785</v>
      </c>
      <c r="J149" s="1">
        <v>1.0</v>
      </c>
      <c r="K149" s="1">
        <v>1.0</v>
      </c>
      <c r="L149" s="1">
        <v>1.0</v>
      </c>
      <c r="M149" s="1">
        <v>0.9785</v>
      </c>
    </row>
    <row r="150">
      <c r="A150" s="1" t="s">
        <v>42</v>
      </c>
      <c r="B150" s="1" t="s">
        <v>1192</v>
      </c>
      <c r="C150" s="1" t="s">
        <v>26</v>
      </c>
      <c r="D150" s="1">
        <v>5.0</v>
      </c>
      <c r="E150" s="1">
        <v>2.0</v>
      </c>
      <c r="F150" s="1">
        <v>2.0</v>
      </c>
      <c r="G150" s="1">
        <v>8.0</v>
      </c>
      <c r="H150" s="1">
        <v>276.0</v>
      </c>
      <c r="I150" s="1">
        <v>1.0</v>
      </c>
      <c r="J150" s="1">
        <v>1.0</v>
      </c>
      <c r="K150" s="1">
        <v>1.0</v>
      </c>
      <c r="L150" s="1">
        <v>1.0</v>
      </c>
      <c r="M150" s="1">
        <v>1.0</v>
      </c>
    </row>
    <row r="151">
      <c r="A151" s="1" t="s">
        <v>51</v>
      </c>
      <c r="B151" s="1" t="s">
        <v>180</v>
      </c>
      <c r="C151" s="1" t="s">
        <v>19</v>
      </c>
      <c r="D151" s="1">
        <v>1.0</v>
      </c>
      <c r="E151" s="1">
        <v>1.0</v>
      </c>
      <c r="F151" s="1">
        <v>2.0</v>
      </c>
      <c r="G151" s="1">
        <v>15.0</v>
      </c>
      <c r="H151" s="1">
        <v>7868.0</v>
      </c>
      <c r="I151" s="1">
        <v>0.9578</v>
      </c>
      <c r="J151" s="1">
        <v>1.0</v>
      </c>
      <c r="K151" s="1">
        <v>1.0</v>
      </c>
      <c r="L151" s="1">
        <v>1.0</v>
      </c>
      <c r="M151" s="1">
        <v>0.9579</v>
      </c>
    </row>
    <row r="152">
      <c r="A152" s="1" t="s">
        <v>51</v>
      </c>
      <c r="B152" s="1" t="s">
        <v>180</v>
      </c>
      <c r="C152" s="1" t="s">
        <v>19</v>
      </c>
      <c r="D152" s="1">
        <v>1.0</v>
      </c>
      <c r="E152" s="1">
        <v>2.0</v>
      </c>
      <c r="F152" s="1">
        <v>2.0</v>
      </c>
      <c r="G152" s="1">
        <v>15.0</v>
      </c>
      <c r="H152" s="1">
        <v>7868.0</v>
      </c>
      <c r="I152" s="1">
        <v>1.0</v>
      </c>
      <c r="J152" s="1">
        <v>1.0</v>
      </c>
      <c r="K152" s="1">
        <v>1.0</v>
      </c>
      <c r="L152" s="1">
        <v>1.0</v>
      </c>
      <c r="M152" s="1">
        <v>1.0</v>
      </c>
    </row>
    <row r="153">
      <c r="A153" s="1" t="s">
        <v>51</v>
      </c>
      <c r="B153" s="1" t="s">
        <v>1192</v>
      </c>
      <c r="C153" s="1" t="s">
        <v>19</v>
      </c>
      <c r="D153" s="1">
        <v>1.0</v>
      </c>
      <c r="E153" s="1">
        <v>1.0</v>
      </c>
      <c r="F153" s="1">
        <v>2.0</v>
      </c>
      <c r="G153" s="1">
        <v>19.0</v>
      </c>
      <c r="H153" s="1">
        <v>2184.0</v>
      </c>
      <c r="I153" s="1">
        <v>0.9585</v>
      </c>
      <c r="J153" s="1">
        <v>1.0</v>
      </c>
      <c r="K153" s="1">
        <v>1.0</v>
      </c>
      <c r="L153" s="1">
        <v>1.0</v>
      </c>
      <c r="M153" s="1">
        <v>0.9589</v>
      </c>
    </row>
    <row r="154">
      <c r="A154" s="1" t="s">
        <v>51</v>
      </c>
      <c r="B154" s="1" t="s">
        <v>1192</v>
      </c>
      <c r="C154" s="1" t="s">
        <v>19</v>
      </c>
      <c r="D154" s="1">
        <v>1.0</v>
      </c>
      <c r="E154" s="1">
        <v>2.0</v>
      </c>
      <c r="F154" s="1">
        <v>2.0</v>
      </c>
      <c r="G154" s="1">
        <v>19.0</v>
      </c>
      <c r="H154" s="1">
        <v>2184.0</v>
      </c>
      <c r="I154" s="1">
        <v>1.0</v>
      </c>
      <c r="J154" s="1">
        <v>1.0</v>
      </c>
      <c r="K154" s="1">
        <v>1.0</v>
      </c>
      <c r="L154" s="1">
        <v>1.0</v>
      </c>
      <c r="M154" s="1">
        <v>1.0</v>
      </c>
    </row>
    <row r="155">
      <c r="A155" s="1" t="s">
        <v>51</v>
      </c>
      <c r="B155" s="1" t="s">
        <v>180</v>
      </c>
      <c r="C155" s="1" t="s">
        <v>21</v>
      </c>
      <c r="D155" s="1">
        <v>2.0</v>
      </c>
      <c r="E155" s="1">
        <v>1.0</v>
      </c>
      <c r="F155" s="1">
        <v>2.0</v>
      </c>
      <c r="G155" s="1">
        <v>21.0</v>
      </c>
      <c r="H155" s="1">
        <v>11829.0</v>
      </c>
      <c r="I155" s="1">
        <v>0.9645</v>
      </c>
      <c r="J155" s="1">
        <v>1.0</v>
      </c>
      <c r="K155" s="1">
        <v>1.0</v>
      </c>
      <c r="L155" s="1">
        <v>1.0</v>
      </c>
      <c r="M155" s="1">
        <v>0.9645</v>
      </c>
    </row>
    <row r="156">
      <c r="A156" s="1" t="s">
        <v>51</v>
      </c>
      <c r="B156" s="1" t="s">
        <v>180</v>
      </c>
      <c r="C156" s="1" t="s">
        <v>21</v>
      </c>
      <c r="D156" s="1">
        <v>2.0</v>
      </c>
      <c r="E156" s="1">
        <v>2.0</v>
      </c>
      <c r="F156" s="1">
        <v>2.0</v>
      </c>
      <c r="G156" s="1">
        <v>21.0</v>
      </c>
      <c r="H156" s="1">
        <v>11829.0</v>
      </c>
      <c r="I156" s="1">
        <v>1.0</v>
      </c>
      <c r="J156" s="1">
        <v>1.0</v>
      </c>
      <c r="K156" s="1">
        <v>1.0</v>
      </c>
      <c r="L156" s="1">
        <v>1.0</v>
      </c>
      <c r="M156" s="1">
        <v>1.0</v>
      </c>
    </row>
    <row r="157">
      <c r="A157" s="1" t="s">
        <v>51</v>
      </c>
      <c r="B157" s="1" t="s">
        <v>1192</v>
      </c>
      <c r="C157" s="1" t="s">
        <v>21</v>
      </c>
      <c r="D157" s="1">
        <v>2.0</v>
      </c>
      <c r="E157" s="1">
        <v>1.0</v>
      </c>
      <c r="F157" s="1">
        <v>2.0</v>
      </c>
      <c r="G157" s="1">
        <v>17.0</v>
      </c>
      <c r="H157" s="1">
        <v>2291.0</v>
      </c>
      <c r="I157" s="1">
        <v>0.9625</v>
      </c>
      <c r="J157" s="1">
        <v>1.0</v>
      </c>
      <c r="K157" s="1">
        <v>1.0</v>
      </c>
      <c r="L157" s="1">
        <v>1.0</v>
      </c>
      <c r="M157" s="1">
        <v>0.9628</v>
      </c>
    </row>
    <row r="158">
      <c r="A158" s="1" t="s">
        <v>51</v>
      </c>
      <c r="B158" s="1" t="s">
        <v>1192</v>
      </c>
      <c r="C158" s="1" t="s">
        <v>21</v>
      </c>
      <c r="D158" s="1">
        <v>2.0</v>
      </c>
      <c r="E158" s="1">
        <v>2.0</v>
      </c>
      <c r="F158" s="1">
        <v>2.0</v>
      </c>
      <c r="G158" s="1">
        <v>17.0</v>
      </c>
      <c r="H158" s="1">
        <v>2291.0</v>
      </c>
      <c r="I158" s="1">
        <v>1.0</v>
      </c>
      <c r="J158" s="1">
        <v>1.0</v>
      </c>
      <c r="K158" s="1">
        <v>1.0</v>
      </c>
      <c r="L158" s="1">
        <v>1.0</v>
      </c>
      <c r="M158" s="1">
        <v>1.0</v>
      </c>
    </row>
    <row r="159">
      <c r="A159" s="1" t="s">
        <v>51</v>
      </c>
      <c r="B159" s="1" t="s">
        <v>180</v>
      </c>
      <c r="C159" s="1" t="s">
        <v>22</v>
      </c>
      <c r="D159" s="1">
        <v>3.0</v>
      </c>
      <c r="E159" s="1">
        <v>1.0</v>
      </c>
      <c r="F159" s="1">
        <v>2.0</v>
      </c>
      <c r="G159" s="1">
        <v>20.0</v>
      </c>
      <c r="H159" s="1">
        <v>13153.0</v>
      </c>
      <c r="I159" s="1">
        <v>0.9711</v>
      </c>
      <c r="J159" s="1">
        <v>1.0</v>
      </c>
      <c r="K159" s="1">
        <v>1.0</v>
      </c>
      <c r="L159" s="1">
        <v>1.0</v>
      </c>
      <c r="M159" s="1">
        <v>0.9714</v>
      </c>
    </row>
    <row r="160">
      <c r="A160" s="1" t="s">
        <v>51</v>
      </c>
      <c r="B160" s="1" t="s">
        <v>180</v>
      </c>
      <c r="C160" s="1" t="s">
        <v>22</v>
      </c>
      <c r="D160" s="1">
        <v>3.0</v>
      </c>
      <c r="E160" s="1">
        <v>2.0</v>
      </c>
      <c r="F160" s="1">
        <v>2.0</v>
      </c>
      <c r="G160" s="1">
        <v>20.0</v>
      </c>
      <c r="H160" s="1">
        <v>13153.0</v>
      </c>
      <c r="I160" s="1">
        <v>1.0</v>
      </c>
      <c r="J160" s="1">
        <v>1.0</v>
      </c>
      <c r="K160" s="1">
        <v>1.0</v>
      </c>
      <c r="L160" s="1">
        <v>1.0</v>
      </c>
      <c r="M160" s="1">
        <v>1.0</v>
      </c>
    </row>
    <row r="161">
      <c r="A161" s="1" t="s">
        <v>51</v>
      </c>
      <c r="B161" s="1" t="s">
        <v>1192</v>
      </c>
      <c r="C161" s="1" t="s">
        <v>22</v>
      </c>
      <c r="D161" s="1">
        <v>3.0</v>
      </c>
      <c r="E161" s="1">
        <v>1.0</v>
      </c>
      <c r="F161" s="1">
        <v>2.0</v>
      </c>
      <c r="G161" s="1">
        <v>19.0</v>
      </c>
      <c r="H161" s="1">
        <v>1938.0</v>
      </c>
      <c r="I161" s="1">
        <v>0.9695</v>
      </c>
      <c r="J161" s="1">
        <v>1.0</v>
      </c>
      <c r="K161" s="1">
        <v>1.0</v>
      </c>
      <c r="L161" s="1">
        <v>1.0</v>
      </c>
      <c r="M161" s="1">
        <v>0.9698</v>
      </c>
    </row>
    <row r="162">
      <c r="A162" s="1" t="s">
        <v>51</v>
      </c>
      <c r="B162" s="1" t="s">
        <v>1192</v>
      </c>
      <c r="C162" s="1" t="s">
        <v>22</v>
      </c>
      <c r="D162" s="1">
        <v>3.0</v>
      </c>
      <c r="E162" s="1">
        <v>2.0</v>
      </c>
      <c r="F162" s="1">
        <v>2.0</v>
      </c>
      <c r="G162" s="1">
        <v>19.0</v>
      </c>
      <c r="H162" s="1">
        <v>1938.0</v>
      </c>
      <c r="I162" s="1">
        <v>1.0</v>
      </c>
      <c r="J162" s="1">
        <v>1.0</v>
      </c>
      <c r="K162" s="1">
        <v>1.0</v>
      </c>
      <c r="L162" s="1">
        <v>1.0</v>
      </c>
      <c r="M162" s="1">
        <v>1.0</v>
      </c>
    </row>
    <row r="163">
      <c r="A163" s="1" t="s">
        <v>51</v>
      </c>
      <c r="B163" s="1" t="s">
        <v>180</v>
      </c>
      <c r="C163" s="1" t="s">
        <v>24</v>
      </c>
      <c r="D163" s="1">
        <v>4.0</v>
      </c>
      <c r="E163" s="1">
        <v>1.0</v>
      </c>
      <c r="F163" s="1">
        <v>2.0</v>
      </c>
      <c r="G163" s="1">
        <v>21.0</v>
      </c>
      <c r="H163" s="1">
        <v>9044.0</v>
      </c>
      <c r="I163" s="1">
        <v>0.9817</v>
      </c>
      <c r="J163" s="1">
        <v>1.0</v>
      </c>
      <c r="K163" s="1">
        <v>1.0</v>
      </c>
      <c r="L163" s="1">
        <v>1.0</v>
      </c>
      <c r="M163" s="1">
        <v>0.982</v>
      </c>
    </row>
    <row r="164">
      <c r="A164" s="1" t="s">
        <v>51</v>
      </c>
      <c r="B164" s="1" t="s">
        <v>180</v>
      </c>
      <c r="C164" s="1" t="s">
        <v>24</v>
      </c>
      <c r="D164" s="1">
        <v>4.0</v>
      </c>
      <c r="E164" s="1">
        <v>2.0</v>
      </c>
      <c r="F164" s="1">
        <v>2.0</v>
      </c>
      <c r="G164" s="1">
        <v>21.0</v>
      </c>
      <c r="H164" s="1">
        <v>9044.0</v>
      </c>
      <c r="I164" s="1">
        <v>1.0</v>
      </c>
      <c r="J164" s="1">
        <v>1.0</v>
      </c>
      <c r="K164" s="1">
        <v>1.0</v>
      </c>
      <c r="L164" s="1">
        <v>1.0</v>
      </c>
      <c r="M164" s="1">
        <v>1.0</v>
      </c>
    </row>
    <row r="165">
      <c r="A165" s="1" t="s">
        <v>51</v>
      </c>
      <c r="B165" s="1" t="s">
        <v>1192</v>
      </c>
      <c r="C165" s="1" t="s">
        <v>24</v>
      </c>
      <c r="D165" s="1">
        <v>4.0</v>
      </c>
      <c r="E165" s="1">
        <v>1.0</v>
      </c>
      <c r="F165" s="1">
        <v>2.0</v>
      </c>
      <c r="G165" s="1">
        <v>16.0</v>
      </c>
      <c r="H165" s="1">
        <v>1342.0</v>
      </c>
      <c r="I165" s="1">
        <v>0.9831</v>
      </c>
      <c r="J165" s="1">
        <v>1.0</v>
      </c>
      <c r="K165" s="1">
        <v>1.0</v>
      </c>
      <c r="L165" s="1">
        <v>1.0</v>
      </c>
      <c r="M165" s="1">
        <v>0.9828</v>
      </c>
    </row>
    <row r="166">
      <c r="A166" s="1" t="s">
        <v>51</v>
      </c>
      <c r="B166" s="1" t="s">
        <v>1192</v>
      </c>
      <c r="C166" s="1" t="s">
        <v>24</v>
      </c>
      <c r="D166" s="1">
        <v>4.0</v>
      </c>
      <c r="E166" s="1">
        <v>2.0</v>
      </c>
      <c r="F166" s="1">
        <v>2.0</v>
      </c>
      <c r="G166" s="1">
        <v>16.0</v>
      </c>
      <c r="H166" s="1">
        <v>1342.0</v>
      </c>
      <c r="I166" s="1">
        <v>1.0</v>
      </c>
      <c r="J166" s="1">
        <v>1.0</v>
      </c>
      <c r="K166" s="1">
        <v>1.0</v>
      </c>
      <c r="L166" s="1">
        <v>1.0</v>
      </c>
      <c r="M166" s="1">
        <v>1.0</v>
      </c>
    </row>
    <row r="167">
      <c r="A167" s="1" t="s">
        <v>51</v>
      </c>
      <c r="B167" s="1" t="s">
        <v>180</v>
      </c>
      <c r="C167" s="1" t="s">
        <v>26</v>
      </c>
      <c r="D167" s="1">
        <v>5.0</v>
      </c>
      <c r="E167" s="1">
        <v>1.0</v>
      </c>
      <c r="F167" s="1">
        <v>2.0</v>
      </c>
      <c r="G167" s="1">
        <v>15.0</v>
      </c>
      <c r="H167" s="1">
        <v>1593.0</v>
      </c>
      <c r="I167" s="1">
        <v>0.9857</v>
      </c>
      <c r="J167" s="1">
        <v>1.0</v>
      </c>
      <c r="K167" s="1">
        <v>1.0</v>
      </c>
      <c r="L167" s="1">
        <v>1.0</v>
      </c>
      <c r="M167" s="1">
        <v>0.9858</v>
      </c>
    </row>
    <row r="168">
      <c r="A168" s="1" t="s">
        <v>51</v>
      </c>
      <c r="B168" s="1" t="s">
        <v>180</v>
      </c>
      <c r="C168" s="1" t="s">
        <v>26</v>
      </c>
      <c r="D168" s="1">
        <v>5.0</v>
      </c>
      <c r="E168" s="1">
        <v>2.0</v>
      </c>
      <c r="F168" s="1">
        <v>2.0</v>
      </c>
      <c r="G168" s="1">
        <v>15.0</v>
      </c>
      <c r="H168" s="1">
        <v>1593.0</v>
      </c>
      <c r="I168" s="1">
        <v>1.0</v>
      </c>
      <c r="J168" s="1">
        <v>1.0</v>
      </c>
      <c r="K168" s="1">
        <v>1.0</v>
      </c>
      <c r="L168" s="1">
        <v>1.0</v>
      </c>
      <c r="M168" s="1">
        <v>1.0</v>
      </c>
    </row>
    <row r="169">
      <c r="A169" s="1" t="s">
        <v>51</v>
      </c>
      <c r="B169" s="1" t="s">
        <v>1192</v>
      </c>
      <c r="C169" s="1" t="s">
        <v>26</v>
      </c>
      <c r="D169" s="1">
        <v>5.0</v>
      </c>
      <c r="E169" s="1">
        <v>1.0</v>
      </c>
      <c r="F169" s="1">
        <v>2.0</v>
      </c>
      <c r="G169" s="1">
        <v>12.0</v>
      </c>
      <c r="H169" s="1">
        <v>312.0</v>
      </c>
      <c r="I169" s="1">
        <v>0.9928</v>
      </c>
      <c r="J169" s="1">
        <v>1.0</v>
      </c>
      <c r="K169" s="1">
        <v>1.0</v>
      </c>
      <c r="L169" s="1">
        <v>1.0</v>
      </c>
      <c r="M169" s="1">
        <v>0.9931</v>
      </c>
    </row>
    <row r="170">
      <c r="A170" s="1" t="s">
        <v>51</v>
      </c>
      <c r="B170" s="1" t="s">
        <v>1192</v>
      </c>
      <c r="C170" s="1" t="s">
        <v>26</v>
      </c>
      <c r="D170" s="1">
        <v>5.0</v>
      </c>
      <c r="E170" s="1">
        <v>2.0</v>
      </c>
      <c r="F170" s="1">
        <v>2.0</v>
      </c>
      <c r="G170" s="1">
        <v>12.0</v>
      </c>
      <c r="H170" s="1">
        <v>312.0</v>
      </c>
      <c r="I170" s="1">
        <v>1.0</v>
      </c>
      <c r="J170" s="1">
        <v>1.0</v>
      </c>
      <c r="K170" s="1">
        <v>1.0</v>
      </c>
      <c r="L170" s="1">
        <v>1.0</v>
      </c>
      <c r="M170" s="1">
        <v>1.0</v>
      </c>
    </row>
    <row r="171">
      <c r="A171" s="1" t="s">
        <v>9</v>
      </c>
      <c r="B171" s="1" t="s">
        <v>180</v>
      </c>
      <c r="C171" s="1" t="s">
        <v>19</v>
      </c>
      <c r="D171" s="1">
        <v>1.0</v>
      </c>
      <c r="E171" s="1">
        <v>1.0</v>
      </c>
      <c r="F171" s="1">
        <v>5.0</v>
      </c>
      <c r="G171" s="1">
        <v>6.0</v>
      </c>
      <c r="H171" s="1">
        <v>15991.0</v>
      </c>
      <c r="I171" s="1">
        <v>0.2216</v>
      </c>
      <c r="J171" s="1">
        <v>5.0E-4</v>
      </c>
      <c r="K171" s="1">
        <v>0.0</v>
      </c>
      <c r="L171" s="1">
        <v>0.3391</v>
      </c>
      <c r="M171" s="1">
        <v>0.2217</v>
      </c>
    </row>
    <row r="172">
      <c r="A172" s="1" t="s">
        <v>9</v>
      </c>
      <c r="B172" s="1" t="s">
        <v>180</v>
      </c>
      <c r="C172" s="1" t="s">
        <v>19</v>
      </c>
      <c r="D172" s="1">
        <v>1.0</v>
      </c>
      <c r="E172" s="1">
        <v>2.0</v>
      </c>
      <c r="F172" s="1">
        <v>5.0</v>
      </c>
      <c r="G172" s="1">
        <v>6.0</v>
      </c>
      <c r="H172" s="1">
        <v>15991.0</v>
      </c>
      <c r="I172" s="1">
        <v>0.4629</v>
      </c>
      <c r="J172" s="1">
        <v>0.4278</v>
      </c>
      <c r="K172" s="1">
        <v>0.0</v>
      </c>
      <c r="L172" s="1">
        <v>0.982</v>
      </c>
      <c r="M172" s="1">
        <v>0.4629</v>
      </c>
    </row>
    <row r="173">
      <c r="A173" s="1" t="s">
        <v>9</v>
      </c>
      <c r="B173" s="1" t="s">
        <v>180</v>
      </c>
      <c r="C173" s="1" t="s">
        <v>19</v>
      </c>
      <c r="D173" s="1">
        <v>1.0</v>
      </c>
      <c r="E173" s="1">
        <v>3.0</v>
      </c>
      <c r="F173" s="1">
        <v>5.0</v>
      </c>
      <c r="G173" s="1">
        <v>6.0</v>
      </c>
      <c r="H173" s="1">
        <v>15991.0</v>
      </c>
      <c r="I173" s="1">
        <v>0.706</v>
      </c>
      <c r="J173" s="1">
        <v>0.9433</v>
      </c>
      <c r="K173" s="1">
        <v>0.4697</v>
      </c>
      <c r="L173" s="1">
        <v>1.0</v>
      </c>
      <c r="M173" s="1">
        <v>0.7059</v>
      </c>
    </row>
    <row r="174">
      <c r="A174" s="1" t="s">
        <v>9</v>
      </c>
      <c r="B174" s="1" t="s">
        <v>180</v>
      </c>
      <c r="C174" s="1" t="s">
        <v>19</v>
      </c>
      <c r="D174" s="1">
        <v>1.0</v>
      </c>
      <c r="E174" s="1">
        <v>4.0</v>
      </c>
      <c r="F174" s="1">
        <v>5.0</v>
      </c>
      <c r="G174" s="1">
        <v>6.0</v>
      </c>
      <c r="H174" s="1">
        <v>15991.0</v>
      </c>
      <c r="I174" s="1">
        <v>0.9662</v>
      </c>
      <c r="J174" s="1">
        <v>1.0</v>
      </c>
      <c r="K174" s="1">
        <v>1.0</v>
      </c>
      <c r="L174" s="1">
        <v>1.0</v>
      </c>
      <c r="M174" s="1">
        <v>0.9661</v>
      </c>
    </row>
    <row r="175">
      <c r="A175" s="1" t="s">
        <v>9</v>
      </c>
      <c r="B175" s="1" t="s">
        <v>180</v>
      </c>
      <c r="C175" s="1" t="s">
        <v>19</v>
      </c>
      <c r="D175" s="1">
        <v>1.0</v>
      </c>
      <c r="E175" s="1">
        <v>5.0</v>
      </c>
      <c r="F175" s="1">
        <v>5.0</v>
      </c>
      <c r="G175" s="1">
        <v>3.0</v>
      </c>
      <c r="H175" s="1">
        <v>15956.0</v>
      </c>
      <c r="I175" s="1">
        <v>1.0</v>
      </c>
      <c r="J175" s="1">
        <v>1.0</v>
      </c>
      <c r="K175" s="1">
        <v>1.0</v>
      </c>
      <c r="L175" s="1">
        <v>1.0</v>
      </c>
      <c r="M175" s="1">
        <v>1.0</v>
      </c>
    </row>
    <row r="176">
      <c r="A176" s="1" t="s">
        <v>9</v>
      </c>
      <c r="B176" s="1" t="s">
        <v>1192</v>
      </c>
      <c r="C176" s="1" t="s">
        <v>19</v>
      </c>
      <c r="D176" s="1">
        <v>1.0</v>
      </c>
      <c r="E176" s="1">
        <v>1.0</v>
      </c>
      <c r="F176" s="1">
        <v>5.0</v>
      </c>
      <c r="G176" s="1">
        <v>5.0</v>
      </c>
      <c r="H176" s="1">
        <v>2998.0</v>
      </c>
      <c r="I176" s="1">
        <v>0.2342</v>
      </c>
      <c r="J176" s="1">
        <v>0.1015</v>
      </c>
      <c r="K176" s="1">
        <v>0.0</v>
      </c>
      <c r="L176" s="1">
        <v>0.3744</v>
      </c>
      <c r="M176" s="1">
        <v>0.2335</v>
      </c>
    </row>
    <row r="177">
      <c r="A177" s="1" t="s">
        <v>9</v>
      </c>
      <c r="B177" s="1" t="s">
        <v>1192</v>
      </c>
      <c r="C177" s="1" t="s">
        <v>19</v>
      </c>
      <c r="D177" s="1">
        <v>1.0</v>
      </c>
      <c r="E177" s="1">
        <v>2.0</v>
      </c>
      <c r="F177" s="1">
        <v>5.0</v>
      </c>
      <c r="G177" s="1">
        <v>5.0</v>
      </c>
      <c r="H177" s="1">
        <v>2998.0</v>
      </c>
      <c r="I177" s="1">
        <v>0.4728</v>
      </c>
      <c r="J177" s="1">
        <v>0.4707</v>
      </c>
      <c r="K177" s="1">
        <v>0.1217</v>
      </c>
      <c r="L177" s="1">
        <v>0.7806</v>
      </c>
      <c r="M177" s="1">
        <v>0.4719</v>
      </c>
    </row>
    <row r="178">
      <c r="A178" s="1" t="s">
        <v>9</v>
      </c>
      <c r="B178" s="1" t="s">
        <v>1192</v>
      </c>
      <c r="C178" s="1" t="s">
        <v>19</v>
      </c>
      <c r="D178" s="1">
        <v>1.0</v>
      </c>
      <c r="E178" s="1">
        <v>3.0</v>
      </c>
      <c r="F178" s="1">
        <v>5.0</v>
      </c>
      <c r="G178" s="1">
        <v>5.0</v>
      </c>
      <c r="H178" s="1">
        <v>2998.0</v>
      </c>
      <c r="I178" s="1">
        <v>0.7166</v>
      </c>
      <c r="J178" s="1">
        <v>0.827</v>
      </c>
      <c r="K178" s="1">
        <v>0.537</v>
      </c>
      <c r="L178" s="1">
        <v>1.0</v>
      </c>
      <c r="M178" s="1">
        <v>0.7154</v>
      </c>
    </row>
    <row r="179">
      <c r="A179" s="1" t="s">
        <v>9</v>
      </c>
      <c r="B179" s="1" t="s">
        <v>1192</v>
      </c>
      <c r="C179" s="1" t="s">
        <v>19</v>
      </c>
      <c r="D179" s="1">
        <v>1.0</v>
      </c>
      <c r="E179" s="1">
        <v>4.0</v>
      </c>
      <c r="F179" s="1">
        <v>5.0</v>
      </c>
      <c r="G179" s="1">
        <v>5.0</v>
      </c>
      <c r="H179" s="1">
        <v>2998.0</v>
      </c>
      <c r="I179" s="1">
        <v>0.9715</v>
      </c>
      <c r="J179" s="1">
        <v>1.0</v>
      </c>
      <c r="K179" s="1">
        <v>1.0</v>
      </c>
      <c r="L179" s="1">
        <v>1.0</v>
      </c>
      <c r="M179" s="1">
        <v>0.971</v>
      </c>
    </row>
    <row r="180">
      <c r="A180" s="1" t="s">
        <v>9</v>
      </c>
      <c r="B180" s="1" t="s">
        <v>1192</v>
      </c>
      <c r="C180" s="1" t="s">
        <v>19</v>
      </c>
      <c r="D180" s="1">
        <v>1.0</v>
      </c>
      <c r="E180" s="1">
        <v>5.0</v>
      </c>
      <c r="F180" s="1">
        <v>5.0</v>
      </c>
      <c r="G180" s="1">
        <v>3.0</v>
      </c>
      <c r="H180" s="1">
        <v>2991.0</v>
      </c>
      <c r="I180" s="1">
        <v>1.0</v>
      </c>
      <c r="J180" s="1">
        <v>1.0</v>
      </c>
      <c r="K180" s="1">
        <v>1.0</v>
      </c>
      <c r="L180" s="1">
        <v>1.0</v>
      </c>
      <c r="M180" s="1">
        <v>1.0</v>
      </c>
    </row>
    <row r="181">
      <c r="A181" s="1" t="s">
        <v>9</v>
      </c>
      <c r="B181" s="1" t="s">
        <v>180</v>
      </c>
      <c r="C181" s="1" t="s">
        <v>21</v>
      </c>
      <c r="D181" s="1">
        <v>2.0</v>
      </c>
      <c r="E181" s="1">
        <v>1.0</v>
      </c>
      <c r="F181" s="1">
        <v>5.0</v>
      </c>
      <c r="G181" s="1">
        <v>6.0</v>
      </c>
      <c r="H181" s="1">
        <v>19335.0</v>
      </c>
      <c r="I181" s="1">
        <v>0.2533</v>
      </c>
      <c r="J181" s="1">
        <v>0.0637</v>
      </c>
      <c r="K181" s="1">
        <v>0.0</v>
      </c>
      <c r="L181" s="1">
        <v>0.4104</v>
      </c>
      <c r="M181" s="1">
        <v>0.2541</v>
      </c>
    </row>
    <row r="182">
      <c r="A182" s="1" t="s">
        <v>9</v>
      </c>
      <c r="B182" s="1" t="s">
        <v>180</v>
      </c>
      <c r="C182" s="1" t="s">
        <v>21</v>
      </c>
      <c r="D182" s="1">
        <v>2.0</v>
      </c>
      <c r="E182" s="1">
        <v>2.0</v>
      </c>
      <c r="F182" s="1">
        <v>5.0</v>
      </c>
      <c r="G182" s="1">
        <v>6.0</v>
      </c>
      <c r="H182" s="1">
        <v>19335.0</v>
      </c>
      <c r="I182" s="1">
        <v>0.502</v>
      </c>
      <c r="J182" s="1">
        <v>0.5041</v>
      </c>
      <c r="K182" s="1">
        <v>0.0496</v>
      </c>
      <c r="L182" s="1">
        <v>0.9426</v>
      </c>
      <c r="M182" s="1">
        <v>0.5028</v>
      </c>
    </row>
    <row r="183">
      <c r="A183" s="1" t="s">
        <v>9</v>
      </c>
      <c r="B183" s="1" t="s">
        <v>180</v>
      </c>
      <c r="C183" s="1" t="s">
        <v>21</v>
      </c>
      <c r="D183" s="1">
        <v>2.0</v>
      </c>
      <c r="E183" s="1">
        <v>3.0</v>
      </c>
      <c r="F183" s="1">
        <v>5.0</v>
      </c>
      <c r="G183" s="1">
        <v>6.0</v>
      </c>
      <c r="H183" s="1">
        <v>19335.0</v>
      </c>
      <c r="I183" s="1">
        <v>0.7364</v>
      </c>
      <c r="J183" s="1">
        <v>0.9078</v>
      </c>
      <c r="K183" s="1">
        <v>0.5741</v>
      </c>
      <c r="L183" s="1">
        <v>1.0</v>
      </c>
      <c r="M183" s="1">
        <v>0.737</v>
      </c>
    </row>
    <row r="184">
      <c r="A184" s="1" t="s">
        <v>9</v>
      </c>
      <c r="B184" s="1" t="s">
        <v>180</v>
      </c>
      <c r="C184" s="1" t="s">
        <v>21</v>
      </c>
      <c r="D184" s="1">
        <v>2.0</v>
      </c>
      <c r="E184" s="1">
        <v>4.0</v>
      </c>
      <c r="F184" s="1">
        <v>5.0</v>
      </c>
      <c r="G184" s="1">
        <v>6.0</v>
      </c>
      <c r="H184" s="1">
        <v>19335.0</v>
      </c>
      <c r="I184" s="1">
        <v>0.9713</v>
      </c>
      <c r="J184" s="1">
        <v>1.0</v>
      </c>
      <c r="K184" s="1">
        <v>1.0</v>
      </c>
      <c r="L184" s="1">
        <v>1.0</v>
      </c>
      <c r="M184" s="1">
        <v>0.9714</v>
      </c>
    </row>
    <row r="185">
      <c r="A185" s="1" t="s">
        <v>9</v>
      </c>
      <c r="B185" s="1" t="s">
        <v>180</v>
      </c>
      <c r="C185" s="1" t="s">
        <v>21</v>
      </c>
      <c r="D185" s="1">
        <v>2.0</v>
      </c>
      <c r="E185" s="1">
        <v>5.0</v>
      </c>
      <c r="F185" s="1">
        <v>5.0</v>
      </c>
      <c r="G185" s="1">
        <v>3.0</v>
      </c>
      <c r="H185" s="1">
        <v>19304.0</v>
      </c>
      <c r="I185" s="1">
        <v>1.0</v>
      </c>
      <c r="J185" s="1">
        <v>1.0</v>
      </c>
      <c r="K185" s="1">
        <v>1.0</v>
      </c>
      <c r="L185" s="1">
        <v>1.0</v>
      </c>
      <c r="M185" s="1">
        <v>1.0</v>
      </c>
    </row>
    <row r="186">
      <c r="A186" s="1" t="s">
        <v>9</v>
      </c>
      <c r="B186" s="1" t="s">
        <v>1192</v>
      </c>
      <c r="C186" s="1" t="s">
        <v>21</v>
      </c>
      <c r="D186" s="1">
        <v>2.0</v>
      </c>
      <c r="E186" s="1">
        <v>1.0</v>
      </c>
      <c r="F186" s="1">
        <v>5.0</v>
      </c>
      <c r="G186" s="1">
        <v>6.0</v>
      </c>
      <c r="H186" s="1">
        <v>2681.0</v>
      </c>
      <c r="I186" s="1">
        <v>0.2623</v>
      </c>
      <c r="J186" s="1">
        <v>0.17</v>
      </c>
      <c r="K186" s="1">
        <v>0.0</v>
      </c>
      <c r="L186" s="1">
        <v>0.4188</v>
      </c>
      <c r="M186" s="1">
        <v>0.263</v>
      </c>
    </row>
    <row r="187">
      <c r="A187" s="1" t="s">
        <v>9</v>
      </c>
      <c r="B187" s="1" t="s">
        <v>1192</v>
      </c>
      <c r="C187" s="1" t="s">
        <v>21</v>
      </c>
      <c r="D187" s="1">
        <v>2.0</v>
      </c>
      <c r="E187" s="1">
        <v>2.0</v>
      </c>
      <c r="F187" s="1">
        <v>5.0</v>
      </c>
      <c r="G187" s="1">
        <v>6.0</v>
      </c>
      <c r="H187" s="1">
        <v>2681.0</v>
      </c>
      <c r="I187" s="1">
        <v>0.5086</v>
      </c>
      <c r="J187" s="1">
        <v>0.5199</v>
      </c>
      <c r="K187" s="1">
        <v>0.2347</v>
      </c>
      <c r="L187" s="1">
        <v>0.7877</v>
      </c>
      <c r="M187" s="1">
        <v>0.5089</v>
      </c>
    </row>
    <row r="188">
      <c r="A188" s="1" t="s">
        <v>9</v>
      </c>
      <c r="B188" s="1" t="s">
        <v>1192</v>
      </c>
      <c r="C188" s="1" t="s">
        <v>21</v>
      </c>
      <c r="D188" s="1">
        <v>2.0</v>
      </c>
      <c r="E188" s="1">
        <v>3.0</v>
      </c>
      <c r="F188" s="1">
        <v>5.0</v>
      </c>
      <c r="G188" s="1">
        <v>6.0</v>
      </c>
      <c r="H188" s="1">
        <v>2681.0</v>
      </c>
      <c r="I188" s="1">
        <v>0.7502</v>
      </c>
      <c r="J188" s="1">
        <v>0.8493</v>
      </c>
      <c r="K188" s="1">
        <v>0.6204</v>
      </c>
      <c r="L188" s="1">
        <v>1.0</v>
      </c>
      <c r="M188" s="1">
        <v>0.7504</v>
      </c>
    </row>
    <row r="189">
      <c r="A189" s="1" t="s">
        <v>9</v>
      </c>
      <c r="B189" s="1" t="s">
        <v>1192</v>
      </c>
      <c r="C189" s="1" t="s">
        <v>21</v>
      </c>
      <c r="D189" s="1">
        <v>2.0</v>
      </c>
      <c r="E189" s="1">
        <v>4.0</v>
      </c>
      <c r="F189" s="1">
        <v>5.0</v>
      </c>
      <c r="G189" s="1">
        <v>6.0</v>
      </c>
      <c r="H189" s="1">
        <v>2681.0</v>
      </c>
      <c r="I189" s="1">
        <v>0.9793</v>
      </c>
      <c r="J189" s="1">
        <v>1.0</v>
      </c>
      <c r="K189" s="1">
        <v>1.0</v>
      </c>
      <c r="L189" s="1">
        <v>1.0</v>
      </c>
      <c r="M189" s="1">
        <v>0.9792</v>
      </c>
    </row>
    <row r="190">
      <c r="A190" s="1" t="s">
        <v>9</v>
      </c>
      <c r="B190" s="1" t="s">
        <v>1192</v>
      </c>
      <c r="C190" s="1" t="s">
        <v>21</v>
      </c>
      <c r="D190" s="1">
        <v>2.0</v>
      </c>
      <c r="E190" s="1">
        <v>5.0</v>
      </c>
      <c r="F190" s="1">
        <v>5.0</v>
      </c>
      <c r="G190" s="1">
        <v>3.0</v>
      </c>
      <c r="H190" s="1">
        <v>2677.0</v>
      </c>
      <c r="I190" s="1">
        <v>1.0</v>
      </c>
      <c r="J190" s="1">
        <v>1.0</v>
      </c>
      <c r="K190" s="1">
        <v>1.0</v>
      </c>
      <c r="L190" s="1">
        <v>1.0</v>
      </c>
      <c r="M190" s="1">
        <v>1.0</v>
      </c>
    </row>
    <row r="191">
      <c r="A191" s="1" t="s">
        <v>9</v>
      </c>
      <c r="B191" s="1" t="s">
        <v>180</v>
      </c>
      <c r="C191" s="1" t="s">
        <v>22</v>
      </c>
      <c r="D191" s="1">
        <v>3.0</v>
      </c>
      <c r="E191" s="1">
        <v>1.0</v>
      </c>
      <c r="F191" s="1">
        <v>5.0</v>
      </c>
      <c r="G191" s="1">
        <v>6.0</v>
      </c>
      <c r="H191" s="1">
        <v>19472.0</v>
      </c>
      <c r="I191" s="1">
        <v>0.2561</v>
      </c>
      <c r="J191" s="1">
        <v>0.093</v>
      </c>
      <c r="K191" s="1">
        <v>0.0</v>
      </c>
      <c r="L191" s="1">
        <v>0.4233</v>
      </c>
      <c r="M191" s="1">
        <v>0.257</v>
      </c>
    </row>
    <row r="192">
      <c r="A192" s="1" t="s">
        <v>9</v>
      </c>
      <c r="B192" s="1" t="s">
        <v>180</v>
      </c>
      <c r="C192" s="1" t="s">
        <v>22</v>
      </c>
      <c r="D192" s="1">
        <v>3.0</v>
      </c>
      <c r="E192" s="1">
        <v>2.0</v>
      </c>
      <c r="F192" s="1">
        <v>5.0</v>
      </c>
      <c r="G192" s="1">
        <v>6.0</v>
      </c>
      <c r="H192" s="1">
        <v>19472.0</v>
      </c>
      <c r="I192" s="1">
        <v>0.508</v>
      </c>
      <c r="J192" s="1">
        <v>0.5332</v>
      </c>
      <c r="K192" s="1">
        <v>0.0379</v>
      </c>
      <c r="L192" s="1">
        <v>0.9207</v>
      </c>
      <c r="M192" s="1">
        <v>0.5092</v>
      </c>
    </row>
    <row r="193">
      <c r="A193" s="1" t="s">
        <v>9</v>
      </c>
      <c r="B193" s="1" t="s">
        <v>180</v>
      </c>
      <c r="C193" s="1" t="s">
        <v>22</v>
      </c>
      <c r="D193" s="1">
        <v>3.0</v>
      </c>
      <c r="E193" s="1">
        <v>3.0</v>
      </c>
      <c r="F193" s="1">
        <v>5.0</v>
      </c>
      <c r="G193" s="1">
        <v>6.0</v>
      </c>
      <c r="H193" s="1">
        <v>19472.0</v>
      </c>
      <c r="I193" s="1">
        <v>0.7442</v>
      </c>
      <c r="J193" s="1">
        <v>0.9134</v>
      </c>
      <c r="K193" s="1">
        <v>0.6042</v>
      </c>
      <c r="L193" s="1">
        <v>1.0</v>
      </c>
      <c r="M193" s="1">
        <v>0.7452</v>
      </c>
    </row>
    <row r="194">
      <c r="A194" s="1" t="s">
        <v>9</v>
      </c>
      <c r="B194" s="1" t="s">
        <v>180</v>
      </c>
      <c r="C194" s="1" t="s">
        <v>22</v>
      </c>
      <c r="D194" s="1">
        <v>3.0</v>
      </c>
      <c r="E194" s="1">
        <v>4.0</v>
      </c>
      <c r="F194" s="1">
        <v>5.0</v>
      </c>
      <c r="G194" s="1">
        <v>6.0</v>
      </c>
      <c r="H194" s="1">
        <v>19472.0</v>
      </c>
      <c r="I194" s="1">
        <v>0.9755</v>
      </c>
      <c r="J194" s="1">
        <v>1.0</v>
      </c>
      <c r="K194" s="1">
        <v>1.0</v>
      </c>
      <c r="L194" s="1">
        <v>1.0</v>
      </c>
      <c r="M194" s="1">
        <v>0.9757</v>
      </c>
    </row>
    <row r="195">
      <c r="A195" s="1" t="s">
        <v>9</v>
      </c>
      <c r="B195" s="1" t="s">
        <v>180</v>
      </c>
      <c r="C195" s="1" t="s">
        <v>22</v>
      </c>
      <c r="D195" s="1">
        <v>3.0</v>
      </c>
      <c r="E195" s="1">
        <v>5.0</v>
      </c>
      <c r="F195" s="1">
        <v>5.0</v>
      </c>
      <c r="G195" s="1">
        <v>3.0</v>
      </c>
      <c r="H195" s="1">
        <v>19452.0</v>
      </c>
      <c r="I195" s="1">
        <v>1.0</v>
      </c>
      <c r="J195" s="1">
        <v>1.0</v>
      </c>
      <c r="K195" s="1">
        <v>1.0</v>
      </c>
      <c r="L195" s="1">
        <v>1.0</v>
      </c>
      <c r="M195" s="1">
        <v>1.0</v>
      </c>
    </row>
    <row r="196">
      <c r="A196" s="1" t="s">
        <v>9</v>
      </c>
      <c r="B196" s="1" t="s">
        <v>1192</v>
      </c>
      <c r="C196" s="1" t="s">
        <v>22</v>
      </c>
      <c r="D196" s="1">
        <v>3.0</v>
      </c>
      <c r="E196" s="1">
        <v>1.0</v>
      </c>
      <c r="F196" s="1">
        <v>5.0</v>
      </c>
      <c r="G196" s="1">
        <v>6.0</v>
      </c>
      <c r="H196" s="1">
        <v>2142.0</v>
      </c>
      <c r="I196" s="1">
        <v>0.2882</v>
      </c>
      <c r="J196" s="1">
        <v>0.206</v>
      </c>
      <c r="K196" s="1">
        <v>0.0</v>
      </c>
      <c r="L196" s="1">
        <v>0.4683</v>
      </c>
      <c r="M196" s="1">
        <v>0.2892</v>
      </c>
    </row>
    <row r="197">
      <c r="A197" s="1" t="s">
        <v>9</v>
      </c>
      <c r="B197" s="1" t="s">
        <v>1192</v>
      </c>
      <c r="C197" s="1" t="s">
        <v>22</v>
      </c>
      <c r="D197" s="1">
        <v>3.0</v>
      </c>
      <c r="E197" s="1">
        <v>2.0</v>
      </c>
      <c r="F197" s="1">
        <v>5.0</v>
      </c>
      <c r="G197" s="1">
        <v>6.0</v>
      </c>
      <c r="H197" s="1">
        <v>2142.0</v>
      </c>
      <c r="I197" s="1">
        <v>0.5503</v>
      </c>
      <c r="J197" s="1">
        <v>0.582</v>
      </c>
      <c r="K197" s="1">
        <v>0.2782</v>
      </c>
      <c r="L197" s="1">
        <v>0.873</v>
      </c>
      <c r="M197" s="1">
        <v>0.5512</v>
      </c>
    </row>
    <row r="198">
      <c r="A198" s="1" t="s">
        <v>9</v>
      </c>
      <c r="B198" s="1" t="s">
        <v>1192</v>
      </c>
      <c r="C198" s="1" t="s">
        <v>22</v>
      </c>
      <c r="D198" s="1">
        <v>3.0</v>
      </c>
      <c r="E198" s="1">
        <v>3.0</v>
      </c>
      <c r="F198" s="1">
        <v>5.0</v>
      </c>
      <c r="G198" s="1">
        <v>6.0</v>
      </c>
      <c r="H198" s="1">
        <v>2142.0</v>
      </c>
      <c r="I198" s="1">
        <v>0.7738</v>
      </c>
      <c r="J198" s="1">
        <v>0.9015</v>
      </c>
      <c r="K198" s="1">
        <v>0.6609</v>
      </c>
      <c r="L198" s="1">
        <v>1.0</v>
      </c>
      <c r="M198" s="1">
        <v>0.7742</v>
      </c>
    </row>
    <row r="199">
      <c r="A199" s="1" t="s">
        <v>9</v>
      </c>
      <c r="B199" s="1" t="s">
        <v>1192</v>
      </c>
      <c r="C199" s="1" t="s">
        <v>22</v>
      </c>
      <c r="D199" s="1">
        <v>3.0</v>
      </c>
      <c r="E199" s="1">
        <v>4.0</v>
      </c>
      <c r="F199" s="1">
        <v>5.0</v>
      </c>
      <c r="G199" s="1">
        <v>6.0</v>
      </c>
      <c r="H199" s="1">
        <v>2142.0</v>
      </c>
      <c r="I199" s="1">
        <v>0.9803</v>
      </c>
      <c r="J199" s="1">
        <v>1.0</v>
      </c>
      <c r="K199" s="1">
        <v>1.0</v>
      </c>
      <c r="L199" s="1">
        <v>1.0</v>
      </c>
      <c r="M199" s="1">
        <v>0.9806</v>
      </c>
    </row>
    <row r="200">
      <c r="A200" s="1" t="s">
        <v>9</v>
      </c>
      <c r="B200" s="1" t="s">
        <v>1192</v>
      </c>
      <c r="C200" s="1" t="s">
        <v>22</v>
      </c>
      <c r="D200" s="1">
        <v>3.0</v>
      </c>
      <c r="E200" s="1">
        <v>5.0</v>
      </c>
      <c r="F200" s="1">
        <v>5.0</v>
      </c>
      <c r="G200" s="1">
        <v>3.0</v>
      </c>
      <c r="H200" s="1">
        <v>2137.0</v>
      </c>
      <c r="I200" s="1">
        <v>1.0</v>
      </c>
      <c r="J200" s="1">
        <v>1.0</v>
      </c>
      <c r="K200" s="1">
        <v>1.0</v>
      </c>
      <c r="L200" s="1">
        <v>1.0</v>
      </c>
      <c r="M200" s="1">
        <v>1.0</v>
      </c>
    </row>
    <row r="201">
      <c r="A201" s="1" t="s">
        <v>9</v>
      </c>
      <c r="B201" s="1" t="s">
        <v>180</v>
      </c>
      <c r="C201" s="1" t="s">
        <v>24</v>
      </c>
      <c r="D201" s="1">
        <v>4.0</v>
      </c>
      <c r="E201" s="1">
        <v>1.0</v>
      </c>
      <c r="F201" s="1">
        <v>5.0</v>
      </c>
      <c r="G201" s="1">
        <v>6.0</v>
      </c>
      <c r="H201" s="1">
        <v>10684.0</v>
      </c>
      <c r="I201" s="1">
        <v>0.3065</v>
      </c>
      <c r="J201" s="1">
        <v>0.1713</v>
      </c>
      <c r="K201" s="1">
        <v>0.0</v>
      </c>
      <c r="L201" s="1">
        <v>0.5572</v>
      </c>
      <c r="M201" s="1">
        <v>0.308</v>
      </c>
    </row>
    <row r="202">
      <c r="A202" s="1" t="s">
        <v>9</v>
      </c>
      <c r="B202" s="1" t="s">
        <v>180</v>
      </c>
      <c r="C202" s="1" t="s">
        <v>24</v>
      </c>
      <c r="D202" s="1">
        <v>4.0</v>
      </c>
      <c r="E202" s="1">
        <v>2.0</v>
      </c>
      <c r="F202" s="1">
        <v>5.0</v>
      </c>
      <c r="G202" s="1">
        <v>6.0</v>
      </c>
      <c r="H202" s="1">
        <v>10684.0</v>
      </c>
      <c r="I202" s="1">
        <v>0.5611</v>
      </c>
      <c r="J202" s="1">
        <v>0.652</v>
      </c>
      <c r="K202" s="1">
        <v>0.0323</v>
      </c>
      <c r="L202" s="1">
        <v>0.9995</v>
      </c>
      <c r="M202" s="1">
        <v>0.5629</v>
      </c>
    </row>
    <row r="203">
      <c r="A203" s="1" t="s">
        <v>9</v>
      </c>
      <c r="B203" s="1" t="s">
        <v>180</v>
      </c>
      <c r="C203" s="1" t="s">
        <v>24</v>
      </c>
      <c r="D203" s="1">
        <v>4.0</v>
      </c>
      <c r="E203" s="1">
        <v>3.0</v>
      </c>
      <c r="F203" s="1">
        <v>5.0</v>
      </c>
      <c r="G203" s="1">
        <v>6.0</v>
      </c>
      <c r="H203" s="1">
        <v>10684.0</v>
      </c>
      <c r="I203" s="1">
        <v>0.7744</v>
      </c>
      <c r="J203" s="1">
        <v>0.9887</v>
      </c>
      <c r="K203" s="1">
        <v>0.6776</v>
      </c>
      <c r="L203" s="1">
        <v>1.0</v>
      </c>
      <c r="M203" s="1">
        <v>0.7762</v>
      </c>
    </row>
    <row r="204">
      <c r="A204" s="1" t="s">
        <v>9</v>
      </c>
      <c r="B204" s="1" t="s">
        <v>180</v>
      </c>
      <c r="C204" s="1" t="s">
        <v>24</v>
      </c>
      <c r="D204" s="1">
        <v>4.0</v>
      </c>
      <c r="E204" s="1">
        <v>4.0</v>
      </c>
      <c r="F204" s="1">
        <v>5.0</v>
      </c>
      <c r="G204" s="1">
        <v>6.0</v>
      </c>
      <c r="H204" s="1">
        <v>10684.0</v>
      </c>
      <c r="I204" s="1">
        <v>0.9821</v>
      </c>
      <c r="J204" s="1">
        <v>1.0</v>
      </c>
      <c r="K204" s="1">
        <v>1.0</v>
      </c>
      <c r="L204" s="1">
        <v>1.0</v>
      </c>
      <c r="M204" s="1">
        <v>0.9824</v>
      </c>
    </row>
    <row r="205">
      <c r="A205" s="1" t="s">
        <v>9</v>
      </c>
      <c r="B205" s="1" t="s">
        <v>180</v>
      </c>
      <c r="C205" s="1" t="s">
        <v>24</v>
      </c>
      <c r="D205" s="1">
        <v>4.0</v>
      </c>
      <c r="E205" s="1">
        <v>5.0</v>
      </c>
      <c r="F205" s="1">
        <v>5.0</v>
      </c>
      <c r="G205" s="1">
        <v>3.0</v>
      </c>
      <c r="H205" s="1">
        <v>10668.0</v>
      </c>
      <c r="I205" s="1">
        <v>1.0</v>
      </c>
      <c r="J205" s="1">
        <v>1.0</v>
      </c>
      <c r="K205" s="1">
        <v>1.0</v>
      </c>
      <c r="L205" s="1">
        <v>1.0</v>
      </c>
      <c r="M205" s="1">
        <v>1.0</v>
      </c>
    </row>
    <row r="206">
      <c r="A206" s="1" t="s">
        <v>9</v>
      </c>
      <c r="B206" s="1" t="s">
        <v>1192</v>
      </c>
      <c r="C206" s="1" t="s">
        <v>24</v>
      </c>
      <c r="D206" s="1">
        <v>4.0</v>
      </c>
      <c r="E206" s="1">
        <v>1.0</v>
      </c>
      <c r="F206" s="1">
        <v>5.0</v>
      </c>
      <c r="G206" s="1">
        <v>6.0</v>
      </c>
      <c r="H206" s="1">
        <v>1361.0</v>
      </c>
      <c r="I206" s="1">
        <v>0.3977</v>
      </c>
      <c r="J206" s="1">
        <v>0.3527</v>
      </c>
      <c r="K206" s="1">
        <v>0.0</v>
      </c>
      <c r="L206" s="1">
        <v>0.6809</v>
      </c>
      <c r="M206" s="1">
        <v>0.3984</v>
      </c>
    </row>
    <row r="207">
      <c r="A207" s="1" t="s">
        <v>9</v>
      </c>
      <c r="B207" s="1" t="s">
        <v>1192</v>
      </c>
      <c r="C207" s="1" t="s">
        <v>24</v>
      </c>
      <c r="D207" s="1">
        <v>4.0</v>
      </c>
      <c r="E207" s="1">
        <v>2.0</v>
      </c>
      <c r="F207" s="1">
        <v>5.0</v>
      </c>
      <c r="G207" s="1">
        <v>6.0</v>
      </c>
      <c r="H207" s="1">
        <v>1361.0</v>
      </c>
      <c r="I207" s="1">
        <v>0.6742</v>
      </c>
      <c r="J207" s="1">
        <v>0.8136</v>
      </c>
      <c r="K207" s="1">
        <v>0.4308</v>
      </c>
      <c r="L207" s="1">
        <v>1.0</v>
      </c>
      <c r="M207" s="1">
        <v>0.6748</v>
      </c>
    </row>
    <row r="208">
      <c r="A208" s="1" t="s">
        <v>9</v>
      </c>
      <c r="B208" s="1" t="s">
        <v>1192</v>
      </c>
      <c r="C208" s="1" t="s">
        <v>24</v>
      </c>
      <c r="D208" s="1">
        <v>4.0</v>
      </c>
      <c r="E208" s="1">
        <v>3.0</v>
      </c>
      <c r="F208" s="1">
        <v>5.0</v>
      </c>
      <c r="G208" s="1">
        <v>6.0</v>
      </c>
      <c r="H208" s="1">
        <v>1361.0</v>
      </c>
      <c r="I208" s="1">
        <v>0.8429</v>
      </c>
      <c r="J208" s="1">
        <v>1.0</v>
      </c>
      <c r="K208" s="1">
        <v>0.8107</v>
      </c>
      <c r="L208" s="1">
        <v>1.0</v>
      </c>
      <c r="M208" s="1">
        <v>0.8432</v>
      </c>
    </row>
    <row r="209">
      <c r="A209" s="1" t="s">
        <v>9</v>
      </c>
      <c r="B209" s="1" t="s">
        <v>1192</v>
      </c>
      <c r="C209" s="1" t="s">
        <v>24</v>
      </c>
      <c r="D209" s="1">
        <v>4.0</v>
      </c>
      <c r="E209" s="1">
        <v>4.0</v>
      </c>
      <c r="F209" s="1">
        <v>5.0</v>
      </c>
      <c r="G209" s="1">
        <v>6.0</v>
      </c>
      <c r="H209" s="1">
        <v>1361.0</v>
      </c>
      <c r="I209" s="1">
        <v>0.9855</v>
      </c>
      <c r="J209" s="1">
        <v>1.0</v>
      </c>
      <c r="K209" s="1">
        <v>1.0</v>
      </c>
      <c r="L209" s="1">
        <v>1.0</v>
      </c>
      <c r="M209" s="1">
        <v>0.9854</v>
      </c>
    </row>
    <row r="210">
      <c r="A210" s="1" t="s">
        <v>9</v>
      </c>
      <c r="B210" s="1" t="s">
        <v>1192</v>
      </c>
      <c r="C210" s="1" t="s">
        <v>24</v>
      </c>
      <c r="D210" s="1">
        <v>4.0</v>
      </c>
      <c r="E210" s="1">
        <v>5.0</v>
      </c>
      <c r="F210" s="1">
        <v>5.0</v>
      </c>
      <c r="G210" s="1">
        <v>3.0</v>
      </c>
      <c r="H210" s="1">
        <v>1359.0</v>
      </c>
      <c r="I210" s="1">
        <v>1.0</v>
      </c>
      <c r="J210" s="1">
        <v>1.0</v>
      </c>
      <c r="K210" s="1">
        <v>1.0</v>
      </c>
      <c r="L210" s="1">
        <v>1.0</v>
      </c>
      <c r="M210" s="1">
        <v>1.0</v>
      </c>
    </row>
    <row r="211">
      <c r="A211" s="1" t="s">
        <v>9</v>
      </c>
      <c r="B211" s="1" t="s">
        <v>180</v>
      </c>
      <c r="C211" s="1" t="s">
        <v>26</v>
      </c>
      <c r="D211" s="1">
        <v>5.0</v>
      </c>
      <c r="E211" s="1">
        <v>1.0</v>
      </c>
      <c r="F211" s="1">
        <v>5.0</v>
      </c>
      <c r="G211" s="1">
        <v>3.0</v>
      </c>
      <c r="H211" s="1">
        <v>1733.0</v>
      </c>
      <c r="I211" s="1">
        <v>0.3471</v>
      </c>
      <c r="J211" s="1">
        <v>0.0089</v>
      </c>
      <c r="K211" s="1">
        <v>0.0</v>
      </c>
      <c r="L211" s="1">
        <v>0.7922</v>
      </c>
      <c r="M211" s="1">
        <v>0.3481</v>
      </c>
    </row>
    <row r="212">
      <c r="A212" s="1" t="s">
        <v>9</v>
      </c>
      <c r="B212" s="1" t="s">
        <v>180</v>
      </c>
      <c r="C212" s="1" t="s">
        <v>26</v>
      </c>
      <c r="D212" s="1">
        <v>5.0</v>
      </c>
      <c r="E212" s="1">
        <v>2.0</v>
      </c>
      <c r="F212" s="1">
        <v>5.0</v>
      </c>
      <c r="G212" s="1">
        <v>3.0</v>
      </c>
      <c r="H212" s="1">
        <v>1733.0</v>
      </c>
      <c r="I212" s="1">
        <v>0.5754</v>
      </c>
      <c r="J212" s="1">
        <v>0.8253</v>
      </c>
      <c r="K212" s="1">
        <v>0.0</v>
      </c>
      <c r="L212" s="1">
        <v>1.0</v>
      </c>
      <c r="M212" s="1">
        <v>0.5762</v>
      </c>
    </row>
    <row r="213">
      <c r="A213" s="1" t="s">
        <v>9</v>
      </c>
      <c r="B213" s="1" t="s">
        <v>180</v>
      </c>
      <c r="C213" s="1" t="s">
        <v>26</v>
      </c>
      <c r="D213" s="1">
        <v>5.0</v>
      </c>
      <c r="E213" s="1">
        <v>3.0</v>
      </c>
      <c r="F213" s="1">
        <v>5.0</v>
      </c>
      <c r="G213" s="1">
        <v>3.0</v>
      </c>
      <c r="H213" s="1">
        <v>1733.0</v>
      </c>
      <c r="I213" s="1">
        <v>0.7688</v>
      </c>
      <c r="J213" s="1">
        <v>1.0</v>
      </c>
      <c r="K213" s="1">
        <v>0.7052</v>
      </c>
      <c r="L213" s="1">
        <v>1.0</v>
      </c>
      <c r="M213" s="1">
        <v>0.7696</v>
      </c>
    </row>
    <row r="214">
      <c r="A214" s="1" t="s">
        <v>9</v>
      </c>
      <c r="B214" s="1" t="s">
        <v>180</v>
      </c>
      <c r="C214" s="1" t="s">
        <v>26</v>
      </c>
      <c r="D214" s="1">
        <v>5.0</v>
      </c>
      <c r="E214" s="1">
        <v>4.0</v>
      </c>
      <c r="F214" s="1">
        <v>5.0</v>
      </c>
      <c r="G214" s="1">
        <v>3.0</v>
      </c>
      <c r="H214" s="1">
        <v>1733.0</v>
      </c>
      <c r="I214" s="1">
        <v>0.9774</v>
      </c>
      <c r="J214" s="1">
        <v>1.0</v>
      </c>
      <c r="K214" s="1">
        <v>1.0</v>
      </c>
      <c r="L214" s="1">
        <v>1.0</v>
      </c>
      <c r="M214" s="1">
        <v>0.9776</v>
      </c>
    </row>
    <row r="215">
      <c r="A215" s="1" t="s">
        <v>9</v>
      </c>
      <c r="B215" s="1" t="s">
        <v>180</v>
      </c>
      <c r="C215" s="1" t="s">
        <v>26</v>
      </c>
      <c r="D215" s="1">
        <v>5.0</v>
      </c>
      <c r="E215" s="1">
        <v>5.0</v>
      </c>
      <c r="F215" s="1">
        <v>5.0</v>
      </c>
      <c r="G215" s="1">
        <v>3.0</v>
      </c>
      <c r="H215" s="1">
        <v>1733.0</v>
      </c>
      <c r="I215" s="1">
        <v>1.0</v>
      </c>
      <c r="J215" s="1">
        <v>1.0</v>
      </c>
      <c r="K215" s="1">
        <v>1.0</v>
      </c>
      <c r="L215" s="1">
        <v>1.0</v>
      </c>
      <c r="M215" s="1">
        <v>1.0</v>
      </c>
    </row>
    <row r="216">
      <c r="A216" s="1" t="s">
        <v>9</v>
      </c>
      <c r="B216" s="1" t="s">
        <v>1192</v>
      </c>
      <c r="C216" s="1" t="s">
        <v>26</v>
      </c>
      <c r="D216" s="1">
        <v>5.0</v>
      </c>
      <c r="E216" s="1">
        <v>1.0</v>
      </c>
      <c r="F216" s="1">
        <v>5.0</v>
      </c>
      <c r="G216" s="1">
        <v>3.0</v>
      </c>
      <c r="H216" s="1">
        <v>324.0</v>
      </c>
      <c r="I216" s="1">
        <v>0.4557</v>
      </c>
      <c r="J216" s="1">
        <v>0.4268</v>
      </c>
      <c r="K216" s="1">
        <v>0.0</v>
      </c>
      <c r="L216" s="1">
        <v>0.9924</v>
      </c>
      <c r="M216" s="1">
        <v>0.4562</v>
      </c>
    </row>
    <row r="217">
      <c r="A217" s="1" t="s">
        <v>9</v>
      </c>
      <c r="B217" s="1" t="s">
        <v>1192</v>
      </c>
      <c r="C217" s="1" t="s">
        <v>26</v>
      </c>
      <c r="D217" s="1">
        <v>5.0</v>
      </c>
      <c r="E217" s="1">
        <v>2.0</v>
      </c>
      <c r="F217" s="1">
        <v>5.0</v>
      </c>
      <c r="G217" s="1">
        <v>3.0</v>
      </c>
      <c r="H217" s="1">
        <v>324.0</v>
      </c>
      <c r="I217" s="1">
        <v>0.6846</v>
      </c>
      <c r="J217" s="1">
        <v>1.0</v>
      </c>
      <c r="K217" s="1">
        <v>0.0044</v>
      </c>
      <c r="L217" s="1">
        <v>1.0</v>
      </c>
      <c r="M217" s="1">
        <v>0.6849</v>
      </c>
    </row>
    <row r="218">
      <c r="A218" s="1" t="s">
        <v>9</v>
      </c>
      <c r="B218" s="1" t="s">
        <v>1192</v>
      </c>
      <c r="C218" s="1" t="s">
        <v>26</v>
      </c>
      <c r="D218" s="1">
        <v>5.0</v>
      </c>
      <c r="E218" s="1">
        <v>3.0</v>
      </c>
      <c r="F218" s="1">
        <v>5.0</v>
      </c>
      <c r="G218" s="1">
        <v>3.0</v>
      </c>
      <c r="H218" s="1">
        <v>324.0</v>
      </c>
      <c r="I218" s="1">
        <v>0.8429</v>
      </c>
      <c r="J218" s="1">
        <v>1.0</v>
      </c>
      <c r="K218" s="1">
        <v>0.9653</v>
      </c>
      <c r="L218" s="1">
        <v>1.0</v>
      </c>
      <c r="M218" s="1">
        <v>0.8434</v>
      </c>
    </row>
    <row r="219">
      <c r="A219" s="1" t="s">
        <v>9</v>
      </c>
      <c r="B219" s="1" t="s">
        <v>1192</v>
      </c>
      <c r="C219" s="1" t="s">
        <v>26</v>
      </c>
      <c r="D219" s="1">
        <v>5.0</v>
      </c>
      <c r="E219" s="1">
        <v>4.0</v>
      </c>
      <c r="F219" s="1">
        <v>5.0</v>
      </c>
      <c r="G219" s="1">
        <v>3.0</v>
      </c>
      <c r="H219" s="1">
        <v>324.0</v>
      </c>
      <c r="I219" s="1">
        <v>0.9917</v>
      </c>
      <c r="J219" s="1">
        <v>1.0</v>
      </c>
      <c r="K219" s="1">
        <v>1.0</v>
      </c>
      <c r="L219" s="1">
        <v>1.0</v>
      </c>
      <c r="M219" s="1">
        <v>0.9917</v>
      </c>
    </row>
    <row r="220">
      <c r="A220" s="1" t="s">
        <v>9</v>
      </c>
      <c r="B220" s="1" t="s">
        <v>1192</v>
      </c>
      <c r="C220" s="1" t="s">
        <v>26</v>
      </c>
      <c r="D220" s="1">
        <v>5.0</v>
      </c>
      <c r="E220" s="1">
        <v>5.0</v>
      </c>
      <c r="F220" s="1">
        <v>5.0</v>
      </c>
      <c r="G220" s="1">
        <v>3.0</v>
      </c>
      <c r="H220" s="1">
        <v>324.0</v>
      </c>
      <c r="I220" s="1">
        <v>1.0</v>
      </c>
      <c r="J220" s="1">
        <v>1.0</v>
      </c>
      <c r="K220" s="1">
        <v>1.0</v>
      </c>
      <c r="L220" s="1">
        <v>1.0</v>
      </c>
      <c r="M220" s="1">
        <v>1.0</v>
      </c>
    </row>
    <row r="221">
      <c r="A221" s="1" t="s">
        <v>401</v>
      </c>
      <c r="B221" s="1" t="s">
        <v>180</v>
      </c>
      <c r="C221" s="1" t="s">
        <v>19</v>
      </c>
      <c r="D221" s="1">
        <v>1.0</v>
      </c>
      <c r="E221" s="1">
        <v>1.0</v>
      </c>
      <c r="F221" s="1">
        <v>5.0</v>
      </c>
      <c r="G221" s="1">
        <v>2.0</v>
      </c>
      <c r="H221" s="1">
        <v>6827.0</v>
      </c>
      <c r="I221" s="1">
        <v>0.3034</v>
      </c>
      <c r="J221" s="1">
        <v>0.0283</v>
      </c>
      <c r="K221" s="1">
        <v>0.0</v>
      </c>
      <c r="L221" s="1">
        <v>0.5979</v>
      </c>
      <c r="M221" s="1">
        <v>0.3036</v>
      </c>
    </row>
    <row r="222">
      <c r="A222" s="1" t="s">
        <v>401</v>
      </c>
      <c r="B222" s="1" t="s">
        <v>180</v>
      </c>
      <c r="C222" s="1" t="s">
        <v>19</v>
      </c>
      <c r="D222" s="1">
        <v>1.0</v>
      </c>
      <c r="E222" s="1">
        <v>2.0</v>
      </c>
      <c r="F222" s="1">
        <v>5.0</v>
      </c>
      <c r="G222" s="1">
        <v>2.0</v>
      </c>
      <c r="H222" s="1">
        <v>6827.0</v>
      </c>
      <c r="I222" s="1">
        <v>0.6311</v>
      </c>
      <c r="J222" s="1">
        <v>0.8076</v>
      </c>
      <c r="K222" s="1">
        <v>0.2147</v>
      </c>
      <c r="L222" s="1">
        <v>1.0</v>
      </c>
      <c r="M222" s="1">
        <v>0.6311</v>
      </c>
    </row>
    <row r="223">
      <c r="A223" s="1" t="s">
        <v>401</v>
      </c>
      <c r="B223" s="1" t="s">
        <v>180</v>
      </c>
      <c r="C223" s="1" t="s">
        <v>19</v>
      </c>
      <c r="D223" s="1">
        <v>1.0</v>
      </c>
      <c r="E223" s="1">
        <v>3.0</v>
      </c>
      <c r="F223" s="1">
        <v>5.0</v>
      </c>
      <c r="G223" s="1">
        <v>2.0</v>
      </c>
      <c r="H223" s="1">
        <v>6827.0</v>
      </c>
      <c r="I223" s="1">
        <v>0.9625</v>
      </c>
      <c r="J223" s="1">
        <v>1.0</v>
      </c>
      <c r="K223" s="1">
        <v>1.0</v>
      </c>
      <c r="L223" s="1">
        <v>1.0</v>
      </c>
      <c r="M223" s="1">
        <v>0.9625</v>
      </c>
    </row>
    <row r="224">
      <c r="A224" s="1" t="s">
        <v>401</v>
      </c>
      <c r="B224" s="1" t="s">
        <v>180</v>
      </c>
      <c r="C224" s="1" t="s">
        <v>19</v>
      </c>
      <c r="D224" s="1">
        <v>1.0</v>
      </c>
      <c r="E224" s="1">
        <v>4.0</v>
      </c>
      <c r="F224" s="1">
        <v>5.0</v>
      </c>
      <c r="G224" s="1">
        <v>2.0</v>
      </c>
      <c r="H224" s="1">
        <v>6827.0</v>
      </c>
      <c r="I224" s="1">
        <v>0.9999</v>
      </c>
      <c r="J224" s="1">
        <v>1.0</v>
      </c>
      <c r="K224" s="1">
        <v>1.0</v>
      </c>
      <c r="L224" s="1">
        <v>1.0</v>
      </c>
      <c r="M224" s="1">
        <v>0.9999</v>
      </c>
    </row>
    <row r="225">
      <c r="A225" s="1" t="s">
        <v>401</v>
      </c>
      <c r="B225" s="1" t="s">
        <v>180</v>
      </c>
      <c r="C225" s="1" t="s">
        <v>19</v>
      </c>
      <c r="D225" s="1">
        <v>1.0</v>
      </c>
      <c r="E225" s="1">
        <v>5.0</v>
      </c>
      <c r="F225" s="1">
        <v>5.0</v>
      </c>
      <c r="G225" s="1">
        <v>1.0</v>
      </c>
      <c r="H225" s="1">
        <v>22.0</v>
      </c>
      <c r="I225" s="1">
        <v>1.0</v>
      </c>
      <c r="J225" s="1">
        <v>1.0</v>
      </c>
      <c r="K225" s="1">
        <v>1.0</v>
      </c>
      <c r="L225" s="1">
        <v>1.0</v>
      </c>
      <c r="M225" s="1">
        <v>1.0</v>
      </c>
    </row>
    <row r="226">
      <c r="A226" s="1" t="s">
        <v>401</v>
      </c>
      <c r="B226" s="1" t="s">
        <v>1192</v>
      </c>
      <c r="C226" s="1" t="s">
        <v>19</v>
      </c>
      <c r="D226" s="1">
        <v>1.0</v>
      </c>
      <c r="E226" s="1">
        <v>1.0</v>
      </c>
      <c r="F226" s="1">
        <v>5.0</v>
      </c>
      <c r="G226" s="1">
        <v>2.0</v>
      </c>
      <c r="H226" s="1">
        <v>1556.0</v>
      </c>
      <c r="I226" s="1">
        <v>0.2971</v>
      </c>
      <c r="J226" s="1">
        <v>0.1631</v>
      </c>
      <c r="K226" s="1">
        <v>0.0</v>
      </c>
      <c r="L226" s="1">
        <v>0.509</v>
      </c>
      <c r="M226" s="1">
        <v>0.2972</v>
      </c>
    </row>
    <row r="227">
      <c r="A227" s="1" t="s">
        <v>401</v>
      </c>
      <c r="B227" s="1" t="s">
        <v>1192</v>
      </c>
      <c r="C227" s="1" t="s">
        <v>19</v>
      </c>
      <c r="D227" s="1">
        <v>1.0</v>
      </c>
      <c r="E227" s="1">
        <v>2.0</v>
      </c>
      <c r="F227" s="1">
        <v>5.0</v>
      </c>
      <c r="G227" s="1">
        <v>2.0</v>
      </c>
      <c r="H227" s="1">
        <v>1556.0</v>
      </c>
      <c r="I227" s="1">
        <v>0.6235</v>
      </c>
      <c r="J227" s="1">
        <v>0.7081</v>
      </c>
      <c r="K227" s="1">
        <v>0.3417</v>
      </c>
      <c r="L227" s="1">
        <v>1.0</v>
      </c>
      <c r="M227" s="1">
        <v>0.6236</v>
      </c>
    </row>
    <row r="228">
      <c r="A228" s="1" t="s">
        <v>401</v>
      </c>
      <c r="B228" s="1" t="s">
        <v>1192</v>
      </c>
      <c r="C228" s="1" t="s">
        <v>19</v>
      </c>
      <c r="D228" s="1">
        <v>1.0</v>
      </c>
      <c r="E228" s="1">
        <v>3.0</v>
      </c>
      <c r="F228" s="1">
        <v>5.0</v>
      </c>
      <c r="G228" s="1">
        <v>2.0</v>
      </c>
      <c r="H228" s="1">
        <v>1556.0</v>
      </c>
      <c r="I228" s="1">
        <v>0.9586</v>
      </c>
      <c r="J228" s="1">
        <v>1.0</v>
      </c>
      <c r="K228" s="1">
        <v>1.0</v>
      </c>
      <c r="L228" s="1">
        <v>1.0</v>
      </c>
      <c r="M228" s="1">
        <v>0.9587</v>
      </c>
    </row>
    <row r="229">
      <c r="A229" s="1" t="s">
        <v>401</v>
      </c>
      <c r="B229" s="1" t="s">
        <v>1192</v>
      </c>
      <c r="C229" s="1" t="s">
        <v>19</v>
      </c>
      <c r="D229" s="1">
        <v>1.0</v>
      </c>
      <c r="E229" s="1">
        <v>4.0</v>
      </c>
      <c r="F229" s="1">
        <v>5.0</v>
      </c>
      <c r="G229" s="1">
        <v>2.0</v>
      </c>
      <c r="H229" s="1">
        <v>1556.0</v>
      </c>
      <c r="I229" s="1">
        <v>0.9998</v>
      </c>
      <c r="J229" s="1">
        <v>1.0</v>
      </c>
      <c r="K229" s="1">
        <v>1.0</v>
      </c>
      <c r="L229" s="1">
        <v>1.0</v>
      </c>
      <c r="M229" s="1">
        <v>0.9998</v>
      </c>
    </row>
    <row r="230">
      <c r="A230" s="1" t="s">
        <v>401</v>
      </c>
      <c r="B230" s="1" t="s">
        <v>1192</v>
      </c>
      <c r="C230" s="1" t="s">
        <v>19</v>
      </c>
      <c r="D230" s="1">
        <v>1.0</v>
      </c>
      <c r="E230" s="1">
        <v>5.0</v>
      </c>
      <c r="F230" s="1">
        <v>5.0</v>
      </c>
      <c r="G230" s="1">
        <v>1.0</v>
      </c>
      <c r="H230" s="1">
        <v>14.0</v>
      </c>
      <c r="I230" s="1">
        <v>1.0</v>
      </c>
      <c r="J230" s="1">
        <v>1.0</v>
      </c>
      <c r="K230" s="1">
        <v>1.0</v>
      </c>
      <c r="L230" s="1">
        <v>1.0</v>
      </c>
      <c r="M230" s="1">
        <v>1.0</v>
      </c>
    </row>
    <row r="231">
      <c r="A231" s="1" t="s">
        <v>401</v>
      </c>
      <c r="B231" s="1" t="s">
        <v>180</v>
      </c>
      <c r="C231" s="1" t="s">
        <v>21</v>
      </c>
      <c r="D231" s="1">
        <v>2.0</v>
      </c>
      <c r="E231" s="1">
        <v>1.0</v>
      </c>
      <c r="F231" s="1">
        <v>5.0</v>
      </c>
      <c r="G231" s="1">
        <v>2.0</v>
      </c>
      <c r="H231" s="1">
        <v>6966.0</v>
      </c>
      <c r="I231" s="1">
        <v>0.3151</v>
      </c>
      <c r="J231" s="1">
        <v>0.1468</v>
      </c>
      <c r="K231" s="1">
        <v>0.0</v>
      </c>
      <c r="L231" s="1">
        <v>0.5754</v>
      </c>
      <c r="M231" s="1">
        <v>0.3154</v>
      </c>
    </row>
    <row r="232">
      <c r="A232" s="1" t="s">
        <v>401</v>
      </c>
      <c r="B232" s="1" t="s">
        <v>180</v>
      </c>
      <c r="C232" s="1" t="s">
        <v>21</v>
      </c>
      <c r="D232" s="1">
        <v>2.0</v>
      </c>
      <c r="E232" s="1">
        <v>2.0</v>
      </c>
      <c r="F232" s="1">
        <v>5.0</v>
      </c>
      <c r="G232" s="1">
        <v>2.0</v>
      </c>
      <c r="H232" s="1">
        <v>6966.0</v>
      </c>
      <c r="I232" s="1">
        <v>0.63</v>
      </c>
      <c r="J232" s="1">
        <v>0.7427</v>
      </c>
      <c r="K232" s="1">
        <v>0.3071</v>
      </c>
      <c r="L232" s="1">
        <v>1.0</v>
      </c>
      <c r="M232" s="1">
        <v>0.6305</v>
      </c>
    </row>
    <row r="233">
      <c r="A233" s="1" t="s">
        <v>401</v>
      </c>
      <c r="B233" s="1" t="s">
        <v>180</v>
      </c>
      <c r="C233" s="1" t="s">
        <v>21</v>
      </c>
      <c r="D233" s="1">
        <v>2.0</v>
      </c>
      <c r="E233" s="1">
        <v>3.0</v>
      </c>
      <c r="F233" s="1">
        <v>5.0</v>
      </c>
      <c r="G233" s="1">
        <v>2.0</v>
      </c>
      <c r="H233" s="1">
        <v>6966.0</v>
      </c>
      <c r="I233" s="1">
        <v>0.9599</v>
      </c>
      <c r="J233" s="1">
        <v>1.0</v>
      </c>
      <c r="K233" s="1">
        <v>1.0</v>
      </c>
      <c r="L233" s="1">
        <v>1.0</v>
      </c>
      <c r="M233" s="1">
        <v>0.9601</v>
      </c>
    </row>
    <row r="234">
      <c r="A234" s="1" t="s">
        <v>401</v>
      </c>
      <c r="B234" s="1" t="s">
        <v>180</v>
      </c>
      <c r="C234" s="1" t="s">
        <v>21</v>
      </c>
      <c r="D234" s="1">
        <v>2.0</v>
      </c>
      <c r="E234" s="1">
        <v>4.0</v>
      </c>
      <c r="F234" s="1">
        <v>5.0</v>
      </c>
      <c r="G234" s="1">
        <v>2.0</v>
      </c>
      <c r="H234" s="1">
        <v>6966.0</v>
      </c>
      <c r="I234" s="1">
        <v>0.9998</v>
      </c>
      <c r="J234" s="1">
        <v>1.0</v>
      </c>
      <c r="K234" s="1">
        <v>1.0</v>
      </c>
      <c r="L234" s="1">
        <v>1.0</v>
      </c>
      <c r="M234" s="1">
        <v>0.9998</v>
      </c>
    </row>
    <row r="235">
      <c r="A235" s="1" t="s">
        <v>401</v>
      </c>
      <c r="B235" s="1" t="s">
        <v>180</v>
      </c>
      <c r="C235" s="1" t="s">
        <v>21</v>
      </c>
      <c r="D235" s="1">
        <v>2.0</v>
      </c>
      <c r="E235" s="1">
        <v>5.0</v>
      </c>
      <c r="F235" s="1">
        <v>5.0</v>
      </c>
      <c r="G235" s="1">
        <v>1.0</v>
      </c>
      <c r="H235" s="1">
        <v>29.0</v>
      </c>
      <c r="I235" s="1">
        <v>1.0</v>
      </c>
      <c r="J235" s="1">
        <v>1.0</v>
      </c>
      <c r="K235" s="1">
        <v>1.0</v>
      </c>
      <c r="L235" s="1">
        <v>1.0</v>
      </c>
      <c r="M235" s="1">
        <v>1.0</v>
      </c>
    </row>
    <row r="236">
      <c r="A236" s="1" t="s">
        <v>401</v>
      </c>
      <c r="B236" s="1" t="s">
        <v>1192</v>
      </c>
      <c r="C236" s="1" t="s">
        <v>21</v>
      </c>
      <c r="D236" s="1">
        <v>2.0</v>
      </c>
      <c r="E236" s="1">
        <v>1.0</v>
      </c>
      <c r="F236" s="1">
        <v>5.0</v>
      </c>
      <c r="G236" s="1">
        <v>2.0</v>
      </c>
      <c r="H236" s="1">
        <v>1123.0</v>
      </c>
      <c r="I236" s="1">
        <v>0.3399</v>
      </c>
      <c r="J236" s="1">
        <v>0.2635</v>
      </c>
      <c r="K236" s="1">
        <v>0.0</v>
      </c>
      <c r="L236" s="1">
        <v>0.5776</v>
      </c>
      <c r="M236" s="1">
        <v>0.3399</v>
      </c>
    </row>
    <row r="237">
      <c r="A237" s="1" t="s">
        <v>401</v>
      </c>
      <c r="B237" s="1" t="s">
        <v>1192</v>
      </c>
      <c r="C237" s="1" t="s">
        <v>21</v>
      </c>
      <c r="D237" s="1">
        <v>2.0</v>
      </c>
      <c r="E237" s="1">
        <v>2.0</v>
      </c>
      <c r="F237" s="1">
        <v>5.0</v>
      </c>
      <c r="G237" s="1">
        <v>2.0</v>
      </c>
      <c r="H237" s="1">
        <v>1123.0</v>
      </c>
      <c r="I237" s="1">
        <v>0.664</v>
      </c>
      <c r="J237" s="1">
        <v>0.7592</v>
      </c>
      <c r="K237" s="1">
        <v>0.4457</v>
      </c>
      <c r="L237" s="1">
        <v>1.0</v>
      </c>
      <c r="M237" s="1">
        <v>0.664</v>
      </c>
    </row>
    <row r="238">
      <c r="A238" s="1" t="s">
        <v>401</v>
      </c>
      <c r="B238" s="1" t="s">
        <v>1192</v>
      </c>
      <c r="C238" s="1" t="s">
        <v>21</v>
      </c>
      <c r="D238" s="1">
        <v>2.0</v>
      </c>
      <c r="E238" s="1">
        <v>3.0</v>
      </c>
      <c r="F238" s="1">
        <v>5.0</v>
      </c>
      <c r="G238" s="1">
        <v>2.0</v>
      </c>
      <c r="H238" s="1">
        <v>1123.0</v>
      </c>
      <c r="I238" s="1">
        <v>0.9704</v>
      </c>
      <c r="J238" s="1">
        <v>1.0</v>
      </c>
      <c r="K238" s="1">
        <v>1.0</v>
      </c>
      <c r="L238" s="1">
        <v>1.0</v>
      </c>
      <c r="M238" s="1">
        <v>0.9704</v>
      </c>
    </row>
    <row r="239">
      <c r="A239" s="1" t="s">
        <v>401</v>
      </c>
      <c r="B239" s="1" t="s">
        <v>1192</v>
      </c>
      <c r="C239" s="1" t="s">
        <v>21</v>
      </c>
      <c r="D239" s="1">
        <v>2.0</v>
      </c>
      <c r="E239" s="1">
        <v>4.0</v>
      </c>
      <c r="F239" s="1">
        <v>5.0</v>
      </c>
      <c r="G239" s="1">
        <v>2.0</v>
      </c>
      <c r="H239" s="1">
        <v>1123.0</v>
      </c>
      <c r="I239" s="1">
        <v>0.9997</v>
      </c>
      <c r="J239" s="1">
        <v>1.0</v>
      </c>
      <c r="K239" s="1">
        <v>1.0</v>
      </c>
      <c r="L239" s="1">
        <v>1.0</v>
      </c>
      <c r="M239" s="1">
        <v>0.9997</v>
      </c>
    </row>
    <row r="240">
      <c r="A240" s="1" t="s">
        <v>401</v>
      </c>
      <c r="B240" s="1" t="s">
        <v>1192</v>
      </c>
      <c r="C240" s="1" t="s">
        <v>21</v>
      </c>
      <c r="D240" s="1">
        <v>2.0</v>
      </c>
      <c r="E240" s="1">
        <v>5.0</v>
      </c>
      <c r="F240" s="1">
        <v>5.0</v>
      </c>
      <c r="G240" s="1">
        <v>1.0</v>
      </c>
      <c r="H240" s="1">
        <v>10.0</v>
      </c>
      <c r="I240" s="1">
        <v>1.0</v>
      </c>
      <c r="J240" s="1">
        <v>1.0</v>
      </c>
      <c r="K240" s="1">
        <v>1.0</v>
      </c>
      <c r="L240" s="1">
        <v>1.0</v>
      </c>
      <c r="M240" s="1">
        <v>1.0</v>
      </c>
    </row>
    <row r="241">
      <c r="A241" s="1" t="s">
        <v>401</v>
      </c>
      <c r="B241" s="1" t="s">
        <v>180</v>
      </c>
      <c r="C241" s="1" t="s">
        <v>22</v>
      </c>
      <c r="D241" s="1">
        <v>3.0</v>
      </c>
      <c r="E241" s="1">
        <v>1.0</v>
      </c>
      <c r="F241" s="1">
        <v>5.0</v>
      </c>
      <c r="G241" s="1">
        <v>2.0</v>
      </c>
      <c r="H241" s="1">
        <v>6885.0</v>
      </c>
      <c r="I241" s="1">
        <v>0.3117</v>
      </c>
      <c r="J241" s="1">
        <v>0.1776</v>
      </c>
      <c r="K241" s="1">
        <v>0.0</v>
      </c>
      <c r="L241" s="1">
        <v>0.5465</v>
      </c>
      <c r="M241" s="1">
        <v>0.3124</v>
      </c>
    </row>
    <row r="242">
      <c r="A242" s="1" t="s">
        <v>401</v>
      </c>
      <c r="B242" s="1" t="s">
        <v>180</v>
      </c>
      <c r="C242" s="1" t="s">
        <v>22</v>
      </c>
      <c r="D242" s="1">
        <v>3.0</v>
      </c>
      <c r="E242" s="1">
        <v>2.0</v>
      </c>
      <c r="F242" s="1">
        <v>5.0</v>
      </c>
      <c r="G242" s="1">
        <v>2.0</v>
      </c>
      <c r="H242" s="1">
        <v>6885.0</v>
      </c>
      <c r="I242" s="1">
        <v>0.6265</v>
      </c>
      <c r="J242" s="1">
        <v>0.7261</v>
      </c>
      <c r="K242" s="1">
        <v>0.3363</v>
      </c>
      <c r="L242" s="1">
        <v>1.0</v>
      </c>
      <c r="M242" s="1">
        <v>0.6275</v>
      </c>
    </row>
    <row r="243">
      <c r="A243" s="1" t="s">
        <v>401</v>
      </c>
      <c r="B243" s="1" t="s">
        <v>180</v>
      </c>
      <c r="C243" s="1" t="s">
        <v>22</v>
      </c>
      <c r="D243" s="1">
        <v>3.0</v>
      </c>
      <c r="E243" s="1">
        <v>3.0</v>
      </c>
      <c r="F243" s="1">
        <v>5.0</v>
      </c>
      <c r="G243" s="1">
        <v>2.0</v>
      </c>
      <c r="H243" s="1">
        <v>6885.0</v>
      </c>
      <c r="I243" s="1">
        <v>0.964</v>
      </c>
      <c r="J243" s="1">
        <v>1.0</v>
      </c>
      <c r="K243" s="1">
        <v>1.0</v>
      </c>
      <c r="L243" s="1">
        <v>1.0</v>
      </c>
      <c r="M243" s="1">
        <v>0.9642</v>
      </c>
    </row>
    <row r="244">
      <c r="A244" s="1" t="s">
        <v>401</v>
      </c>
      <c r="B244" s="1" t="s">
        <v>180</v>
      </c>
      <c r="C244" s="1" t="s">
        <v>22</v>
      </c>
      <c r="D244" s="1">
        <v>3.0</v>
      </c>
      <c r="E244" s="1">
        <v>4.0</v>
      </c>
      <c r="F244" s="1">
        <v>5.0</v>
      </c>
      <c r="G244" s="1">
        <v>2.0</v>
      </c>
      <c r="H244" s="1">
        <v>6885.0</v>
      </c>
      <c r="I244" s="1">
        <v>0.9997</v>
      </c>
      <c r="J244" s="1">
        <v>1.0</v>
      </c>
      <c r="K244" s="1">
        <v>1.0</v>
      </c>
      <c r="L244" s="1">
        <v>1.0</v>
      </c>
      <c r="M244" s="1">
        <v>0.9997</v>
      </c>
    </row>
    <row r="245">
      <c r="A245" s="1" t="s">
        <v>401</v>
      </c>
      <c r="B245" s="1" t="s">
        <v>180</v>
      </c>
      <c r="C245" s="1" t="s">
        <v>22</v>
      </c>
      <c r="D245" s="1">
        <v>3.0</v>
      </c>
      <c r="E245" s="1">
        <v>5.0</v>
      </c>
      <c r="F245" s="1">
        <v>5.0</v>
      </c>
      <c r="G245" s="1">
        <v>1.0</v>
      </c>
      <c r="H245" s="1">
        <v>20.0</v>
      </c>
      <c r="I245" s="1">
        <v>1.0</v>
      </c>
      <c r="J245" s="1">
        <v>1.0</v>
      </c>
      <c r="K245" s="1">
        <v>1.0</v>
      </c>
      <c r="L245" s="1">
        <v>1.0</v>
      </c>
      <c r="M245" s="1">
        <v>1.0</v>
      </c>
    </row>
    <row r="246">
      <c r="A246" s="1" t="s">
        <v>401</v>
      </c>
      <c r="B246" s="1" t="s">
        <v>1192</v>
      </c>
      <c r="C246" s="1" t="s">
        <v>22</v>
      </c>
      <c r="D246" s="1">
        <v>3.0</v>
      </c>
      <c r="E246" s="1">
        <v>1.0</v>
      </c>
      <c r="F246" s="1">
        <v>5.0</v>
      </c>
      <c r="G246" s="1">
        <v>2.0</v>
      </c>
      <c r="H246" s="1">
        <v>833.0</v>
      </c>
      <c r="I246" s="1">
        <v>0.3369</v>
      </c>
      <c r="J246" s="1">
        <v>0.2687</v>
      </c>
      <c r="K246" s="1">
        <v>0.0</v>
      </c>
      <c r="L246" s="1">
        <v>0.563</v>
      </c>
      <c r="M246" s="1">
        <v>0.3371</v>
      </c>
    </row>
    <row r="247">
      <c r="A247" s="1" t="s">
        <v>401</v>
      </c>
      <c r="B247" s="1" t="s">
        <v>1192</v>
      </c>
      <c r="C247" s="1" t="s">
        <v>22</v>
      </c>
      <c r="D247" s="1">
        <v>3.0</v>
      </c>
      <c r="E247" s="1">
        <v>2.0</v>
      </c>
      <c r="F247" s="1">
        <v>5.0</v>
      </c>
      <c r="G247" s="1">
        <v>2.0</v>
      </c>
      <c r="H247" s="1">
        <v>833.0</v>
      </c>
      <c r="I247" s="1">
        <v>0.6423</v>
      </c>
      <c r="J247" s="1">
        <v>0.7051</v>
      </c>
      <c r="K247" s="1">
        <v>0.4434</v>
      </c>
      <c r="L247" s="1">
        <v>0.9717</v>
      </c>
      <c r="M247" s="1">
        <v>0.6423</v>
      </c>
    </row>
    <row r="248">
      <c r="A248" s="1" t="s">
        <v>401</v>
      </c>
      <c r="B248" s="1" t="s">
        <v>1192</v>
      </c>
      <c r="C248" s="1" t="s">
        <v>22</v>
      </c>
      <c r="D248" s="1">
        <v>3.0</v>
      </c>
      <c r="E248" s="1">
        <v>3.0</v>
      </c>
      <c r="F248" s="1">
        <v>5.0</v>
      </c>
      <c r="G248" s="1">
        <v>2.0</v>
      </c>
      <c r="H248" s="1">
        <v>833.0</v>
      </c>
      <c r="I248" s="1">
        <v>0.9634</v>
      </c>
      <c r="J248" s="1">
        <v>1.0</v>
      </c>
      <c r="K248" s="1">
        <v>1.0</v>
      </c>
      <c r="L248" s="1">
        <v>1.0</v>
      </c>
      <c r="M248" s="1">
        <v>0.9635</v>
      </c>
    </row>
    <row r="249">
      <c r="A249" s="1" t="s">
        <v>401</v>
      </c>
      <c r="B249" s="1" t="s">
        <v>1192</v>
      </c>
      <c r="C249" s="1" t="s">
        <v>22</v>
      </c>
      <c r="D249" s="1">
        <v>3.0</v>
      </c>
      <c r="E249" s="1">
        <v>4.0</v>
      </c>
      <c r="F249" s="1">
        <v>5.0</v>
      </c>
      <c r="G249" s="1">
        <v>2.0</v>
      </c>
      <c r="H249" s="1">
        <v>833.0</v>
      </c>
      <c r="I249" s="1">
        <v>1.0</v>
      </c>
      <c r="J249" s="1">
        <v>1.0</v>
      </c>
      <c r="K249" s="1">
        <v>1.0</v>
      </c>
      <c r="L249" s="1">
        <v>1.0</v>
      </c>
      <c r="M249" s="1">
        <v>1.0</v>
      </c>
    </row>
    <row r="250">
      <c r="A250" s="1" t="s">
        <v>401</v>
      </c>
      <c r="B250" s="1" t="s">
        <v>1192</v>
      </c>
      <c r="C250" s="1" t="s">
        <v>22</v>
      </c>
      <c r="D250" s="1">
        <v>3.0</v>
      </c>
      <c r="E250" s="1">
        <v>5.0</v>
      </c>
      <c r="F250" s="1">
        <v>5.0</v>
      </c>
      <c r="G250" s="1">
        <v>1.0</v>
      </c>
      <c r="H250" s="1">
        <v>3.0</v>
      </c>
      <c r="I250" s="1">
        <v>1.0</v>
      </c>
      <c r="J250" s="1">
        <v>1.0</v>
      </c>
      <c r="K250" s="1">
        <v>1.0</v>
      </c>
      <c r="L250" s="1">
        <v>1.0</v>
      </c>
      <c r="M250" s="1">
        <v>1.0</v>
      </c>
    </row>
    <row r="251">
      <c r="A251" s="1" t="s">
        <v>401</v>
      </c>
      <c r="B251" s="1" t="s">
        <v>180</v>
      </c>
      <c r="C251" s="1" t="s">
        <v>24</v>
      </c>
      <c r="D251" s="1">
        <v>4.0</v>
      </c>
      <c r="E251" s="1">
        <v>1.0</v>
      </c>
      <c r="F251" s="1">
        <v>5.0</v>
      </c>
      <c r="G251" s="1">
        <v>2.0</v>
      </c>
      <c r="H251" s="1">
        <v>4064.0</v>
      </c>
      <c r="I251" s="1">
        <v>0.3128</v>
      </c>
      <c r="J251" s="1">
        <v>0.2345</v>
      </c>
      <c r="K251" s="1">
        <v>0.0</v>
      </c>
      <c r="L251" s="1">
        <v>0.5378</v>
      </c>
      <c r="M251" s="1">
        <v>0.3138</v>
      </c>
    </row>
    <row r="252">
      <c r="A252" s="1" t="s">
        <v>401</v>
      </c>
      <c r="B252" s="1" t="s">
        <v>180</v>
      </c>
      <c r="C252" s="1" t="s">
        <v>24</v>
      </c>
      <c r="D252" s="1">
        <v>4.0</v>
      </c>
      <c r="E252" s="1">
        <v>2.0</v>
      </c>
      <c r="F252" s="1">
        <v>5.0</v>
      </c>
      <c r="G252" s="1">
        <v>2.0</v>
      </c>
      <c r="H252" s="1">
        <v>4064.0</v>
      </c>
      <c r="I252" s="1">
        <v>0.6379</v>
      </c>
      <c r="J252" s="1">
        <v>0.739</v>
      </c>
      <c r="K252" s="1">
        <v>0.4154</v>
      </c>
      <c r="L252" s="1">
        <v>0.9858</v>
      </c>
      <c r="M252" s="1">
        <v>0.6398</v>
      </c>
    </row>
    <row r="253">
      <c r="A253" s="1" t="s">
        <v>401</v>
      </c>
      <c r="B253" s="1" t="s">
        <v>180</v>
      </c>
      <c r="C253" s="1" t="s">
        <v>24</v>
      </c>
      <c r="D253" s="1">
        <v>4.0</v>
      </c>
      <c r="E253" s="1">
        <v>3.0</v>
      </c>
      <c r="F253" s="1">
        <v>5.0</v>
      </c>
      <c r="G253" s="1">
        <v>2.0</v>
      </c>
      <c r="H253" s="1">
        <v>4064.0</v>
      </c>
      <c r="I253" s="1">
        <v>0.968</v>
      </c>
      <c r="J253" s="1">
        <v>1.0</v>
      </c>
      <c r="K253" s="1">
        <v>1.0</v>
      </c>
      <c r="L253" s="1">
        <v>1.0</v>
      </c>
      <c r="M253" s="1">
        <v>0.9684</v>
      </c>
    </row>
    <row r="254">
      <c r="A254" s="1" t="s">
        <v>401</v>
      </c>
      <c r="B254" s="1" t="s">
        <v>180</v>
      </c>
      <c r="C254" s="1" t="s">
        <v>24</v>
      </c>
      <c r="D254" s="1">
        <v>4.0</v>
      </c>
      <c r="E254" s="1">
        <v>4.0</v>
      </c>
      <c r="F254" s="1">
        <v>5.0</v>
      </c>
      <c r="G254" s="1">
        <v>2.0</v>
      </c>
      <c r="H254" s="1">
        <v>4064.0</v>
      </c>
      <c r="I254" s="1">
        <v>0.9999</v>
      </c>
      <c r="J254" s="1">
        <v>1.0</v>
      </c>
      <c r="K254" s="1">
        <v>1.0</v>
      </c>
      <c r="L254" s="1">
        <v>1.0</v>
      </c>
      <c r="M254" s="1">
        <v>0.9999</v>
      </c>
    </row>
    <row r="255">
      <c r="A255" s="1" t="s">
        <v>401</v>
      </c>
      <c r="B255" s="1" t="s">
        <v>180</v>
      </c>
      <c r="C255" s="1" t="s">
        <v>24</v>
      </c>
      <c r="D255" s="1">
        <v>4.0</v>
      </c>
      <c r="E255" s="1">
        <v>5.0</v>
      </c>
      <c r="F255" s="1">
        <v>5.0</v>
      </c>
      <c r="G255" s="1">
        <v>1.0</v>
      </c>
      <c r="H255" s="1">
        <v>14.0</v>
      </c>
      <c r="I255" s="1">
        <v>1.0</v>
      </c>
      <c r="J255" s="1">
        <v>1.0</v>
      </c>
      <c r="K255" s="1">
        <v>1.0</v>
      </c>
      <c r="L255" s="1">
        <v>1.0</v>
      </c>
      <c r="M255" s="1">
        <v>1.0</v>
      </c>
    </row>
    <row r="256">
      <c r="A256" s="1" t="s">
        <v>401</v>
      </c>
      <c r="B256" s="1" t="s">
        <v>1192</v>
      </c>
      <c r="C256" s="1" t="s">
        <v>24</v>
      </c>
      <c r="D256" s="1">
        <v>4.0</v>
      </c>
      <c r="E256" s="1">
        <v>1.0</v>
      </c>
      <c r="F256" s="1">
        <v>5.0</v>
      </c>
      <c r="G256" s="1">
        <v>2.0</v>
      </c>
      <c r="H256" s="1">
        <v>568.0</v>
      </c>
      <c r="I256" s="1">
        <v>0.353</v>
      </c>
      <c r="J256" s="1">
        <v>0.314</v>
      </c>
      <c r="K256" s="1">
        <v>0.0074</v>
      </c>
      <c r="L256" s="1">
        <v>0.5583</v>
      </c>
      <c r="M256" s="1">
        <v>0.3534</v>
      </c>
    </row>
    <row r="257">
      <c r="A257" s="1" t="s">
        <v>401</v>
      </c>
      <c r="B257" s="1" t="s">
        <v>1192</v>
      </c>
      <c r="C257" s="1" t="s">
        <v>24</v>
      </c>
      <c r="D257" s="1">
        <v>4.0</v>
      </c>
      <c r="E257" s="1">
        <v>2.0</v>
      </c>
      <c r="F257" s="1">
        <v>5.0</v>
      </c>
      <c r="G257" s="1">
        <v>2.0</v>
      </c>
      <c r="H257" s="1">
        <v>568.0</v>
      </c>
      <c r="I257" s="1">
        <v>0.6846</v>
      </c>
      <c r="J257" s="1">
        <v>0.7608</v>
      </c>
      <c r="K257" s="1">
        <v>0.5318</v>
      </c>
      <c r="L257" s="1">
        <v>0.974</v>
      </c>
      <c r="M257" s="1">
        <v>0.6851</v>
      </c>
    </row>
    <row r="258">
      <c r="A258" s="1" t="s">
        <v>401</v>
      </c>
      <c r="B258" s="1" t="s">
        <v>1192</v>
      </c>
      <c r="C258" s="1" t="s">
        <v>24</v>
      </c>
      <c r="D258" s="1">
        <v>4.0</v>
      </c>
      <c r="E258" s="1">
        <v>3.0</v>
      </c>
      <c r="F258" s="1">
        <v>5.0</v>
      </c>
      <c r="G258" s="1">
        <v>2.0</v>
      </c>
      <c r="H258" s="1">
        <v>568.0</v>
      </c>
      <c r="I258" s="1">
        <v>0.9787</v>
      </c>
      <c r="J258" s="1">
        <v>1.0</v>
      </c>
      <c r="K258" s="1">
        <v>1.0</v>
      </c>
      <c r="L258" s="1">
        <v>1.0</v>
      </c>
      <c r="M258" s="1">
        <v>0.9789</v>
      </c>
    </row>
    <row r="259">
      <c r="A259" s="1" t="s">
        <v>401</v>
      </c>
      <c r="B259" s="1" t="s">
        <v>1192</v>
      </c>
      <c r="C259" s="1" t="s">
        <v>24</v>
      </c>
      <c r="D259" s="1">
        <v>4.0</v>
      </c>
      <c r="E259" s="1">
        <v>4.0</v>
      </c>
      <c r="F259" s="1">
        <v>5.0</v>
      </c>
      <c r="G259" s="1">
        <v>2.0</v>
      </c>
      <c r="H259" s="1">
        <v>568.0</v>
      </c>
      <c r="I259" s="1">
        <v>1.0</v>
      </c>
      <c r="J259" s="1">
        <v>1.0</v>
      </c>
      <c r="K259" s="1">
        <v>1.0</v>
      </c>
      <c r="L259" s="1">
        <v>1.0</v>
      </c>
      <c r="M259" s="1">
        <v>1.0</v>
      </c>
    </row>
    <row r="260">
      <c r="A260" s="1" t="s">
        <v>401</v>
      </c>
      <c r="B260" s="1" t="s">
        <v>1192</v>
      </c>
      <c r="C260" s="1" t="s">
        <v>24</v>
      </c>
      <c r="D260" s="1">
        <v>4.0</v>
      </c>
      <c r="E260" s="1">
        <v>5.0</v>
      </c>
      <c r="F260" s="1">
        <v>5.0</v>
      </c>
      <c r="G260" s="1">
        <v>1.0</v>
      </c>
      <c r="H260" s="1">
        <v>4.0</v>
      </c>
      <c r="I260" s="1">
        <v>1.0</v>
      </c>
      <c r="J260" s="1">
        <v>1.0</v>
      </c>
      <c r="K260" s="1">
        <v>1.0</v>
      </c>
      <c r="L260" s="1">
        <v>1.0</v>
      </c>
      <c r="M260" s="1">
        <v>1.0</v>
      </c>
    </row>
    <row r="261">
      <c r="A261" s="1" t="s">
        <v>401</v>
      </c>
      <c r="B261" s="1" t="s">
        <v>180</v>
      </c>
      <c r="C261" s="1" t="s">
        <v>26</v>
      </c>
      <c r="D261" s="1">
        <v>5.0</v>
      </c>
      <c r="E261" s="1">
        <v>1.0</v>
      </c>
      <c r="F261" s="1">
        <v>5.0</v>
      </c>
      <c r="G261" s="1">
        <v>2.0</v>
      </c>
      <c r="H261" s="1">
        <v>642.0</v>
      </c>
      <c r="I261" s="1">
        <v>0.322</v>
      </c>
      <c r="J261" s="1">
        <v>0.0458</v>
      </c>
      <c r="K261" s="1">
        <v>0.0</v>
      </c>
      <c r="L261" s="1">
        <v>0.6442</v>
      </c>
      <c r="M261" s="1">
        <v>0.3226</v>
      </c>
    </row>
    <row r="262">
      <c r="A262" s="1" t="s">
        <v>401</v>
      </c>
      <c r="B262" s="1" t="s">
        <v>180</v>
      </c>
      <c r="C262" s="1" t="s">
        <v>26</v>
      </c>
      <c r="D262" s="1">
        <v>5.0</v>
      </c>
      <c r="E262" s="1">
        <v>2.0</v>
      </c>
      <c r="F262" s="1">
        <v>5.0</v>
      </c>
      <c r="G262" s="1">
        <v>2.0</v>
      </c>
      <c r="H262" s="1">
        <v>642.0</v>
      </c>
      <c r="I262" s="1">
        <v>0.6355</v>
      </c>
      <c r="J262" s="1">
        <v>0.8461</v>
      </c>
      <c r="K262" s="1">
        <v>0.0663</v>
      </c>
      <c r="L262" s="1">
        <v>1.0</v>
      </c>
      <c r="M262" s="1">
        <v>0.6368</v>
      </c>
    </row>
    <row r="263">
      <c r="A263" s="1" t="s">
        <v>401</v>
      </c>
      <c r="B263" s="1" t="s">
        <v>180</v>
      </c>
      <c r="C263" s="1" t="s">
        <v>26</v>
      </c>
      <c r="D263" s="1">
        <v>5.0</v>
      </c>
      <c r="E263" s="1">
        <v>3.0</v>
      </c>
      <c r="F263" s="1">
        <v>5.0</v>
      </c>
      <c r="G263" s="1">
        <v>2.0</v>
      </c>
      <c r="H263" s="1">
        <v>642.0</v>
      </c>
      <c r="I263" s="1">
        <v>0.9742</v>
      </c>
      <c r="J263" s="1">
        <v>1.0</v>
      </c>
      <c r="K263" s="1">
        <v>1.0</v>
      </c>
      <c r="L263" s="1">
        <v>1.0</v>
      </c>
      <c r="M263" s="1">
        <v>0.9744</v>
      </c>
    </row>
    <row r="264">
      <c r="A264" s="1" t="s">
        <v>401</v>
      </c>
      <c r="B264" s="1" t="s">
        <v>180</v>
      </c>
      <c r="C264" s="1" t="s">
        <v>26</v>
      </c>
      <c r="D264" s="1">
        <v>5.0</v>
      </c>
      <c r="E264" s="1">
        <v>4.0</v>
      </c>
      <c r="F264" s="1">
        <v>5.0</v>
      </c>
      <c r="G264" s="1">
        <v>2.0</v>
      </c>
      <c r="H264" s="1">
        <v>642.0</v>
      </c>
      <c r="I264" s="1">
        <v>1.0</v>
      </c>
      <c r="J264" s="1">
        <v>1.0</v>
      </c>
      <c r="K264" s="1">
        <v>1.0</v>
      </c>
      <c r="L264" s="1">
        <v>1.0</v>
      </c>
      <c r="M264" s="1">
        <v>1.0</v>
      </c>
    </row>
    <row r="265">
      <c r="A265" s="1" t="s">
        <v>401</v>
      </c>
      <c r="B265" s="1" t="s">
        <v>180</v>
      </c>
      <c r="C265" s="1" t="s">
        <v>26</v>
      </c>
      <c r="D265" s="1">
        <v>5.0</v>
      </c>
      <c r="E265" s="1">
        <v>5.0</v>
      </c>
      <c r="F265" s="1">
        <v>5.0</v>
      </c>
      <c r="G265" s="1">
        <v>1.0</v>
      </c>
      <c r="H265" s="1">
        <v>2.0</v>
      </c>
      <c r="I265" s="1">
        <v>1.0</v>
      </c>
      <c r="J265" s="1">
        <v>1.0</v>
      </c>
      <c r="K265" s="1">
        <v>1.0</v>
      </c>
      <c r="L265" s="1">
        <v>1.0</v>
      </c>
      <c r="M265" s="1">
        <v>1.0</v>
      </c>
    </row>
    <row r="266">
      <c r="A266" s="1" t="s">
        <v>401</v>
      </c>
      <c r="B266" s="1" t="s">
        <v>1192</v>
      </c>
      <c r="C266" s="1" t="s">
        <v>26</v>
      </c>
      <c r="D266" s="1">
        <v>5.0</v>
      </c>
      <c r="E266" s="1">
        <v>1.0</v>
      </c>
      <c r="F266" s="1">
        <v>4.0</v>
      </c>
      <c r="G266" s="1">
        <v>1.0</v>
      </c>
      <c r="H266" s="1">
        <v>126.0</v>
      </c>
      <c r="I266" s="1">
        <v>0.3757</v>
      </c>
      <c r="J266" s="1">
        <v>0.374</v>
      </c>
      <c r="K266" s="1">
        <v>0.0</v>
      </c>
      <c r="L266" s="1">
        <v>0.7086</v>
      </c>
      <c r="M266" s="1">
        <v>0.3764</v>
      </c>
    </row>
    <row r="267">
      <c r="A267" s="1" t="s">
        <v>401</v>
      </c>
      <c r="B267" s="1" t="s">
        <v>1192</v>
      </c>
      <c r="C267" s="1" t="s">
        <v>26</v>
      </c>
      <c r="D267" s="1">
        <v>5.0</v>
      </c>
      <c r="E267" s="1">
        <v>2.0</v>
      </c>
      <c r="F267" s="1">
        <v>4.0</v>
      </c>
      <c r="G267" s="1">
        <v>1.0</v>
      </c>
      <c r="H267" s="1">
        <v>126.0</v>
      </c>
      <c r="I267" s="1">
        <v>0.7098</v>
      </c>
      <c r="J267" s="1">
        <v>0.9205</v>
      </c>
      <c r="K267" s="1">
        <v>0.523</v>
      </c>
      <c r="L267" s="1">
        <v>1.0</v>
      </c>
      <c r="M267" s="1">
        <v>0.7107</v>
      </c>
    </row>
    <row r="268">
      <c r="A268" s="1" t="s">
        <v>401</v>
      </c>
      <c r="B268" s="1" t="s">
        <v>1192</v>
      </c>
      <c r="C268" s="1" t="s">
        <v>26</v>
      </c>
      <c r="D268" s="1">
        <v>5.0</v>
      </c>
      <c r="E268" s="1">
        <v>3.0</v>
      </c>
      <c r="F268" s="1">
        <v>4.0</v>
      </c>
      <c r="G268" s="1">
        <v>1.0</v>
      </c>
      <c r="H268" s="1">
        <v>126.0</v>
      </c>
      <c r="I268" s="1">
        <v>0.9849</v>
      </c>
      <c r="J268" s="1">
        <v>1.0</v>
      </c>
      <c r="K268" s="1">
        <v>1.0</v>
      </c>
      <c r="L268" s="1">
        <v>1.0</v>
      </c>
      <c r="M268" s="1">
        <v>0.9852</v>
      </c>
    </row>
    <row r="269">
      <c r="A269" s="1" t="s">
        <v>401</v>
      </c>
      <c r="B269" s="1" t="s">
        <v>1192</v>
      </c>
      <c r="C269" s="1" t="s">
        <v>26</v>
      </c>
      <c r="D269" s="1">
        <v>5.0</v>
      </c>
      <c r="E269" s="1">
        <v>4.0</v>
      </c>
      <c r="F269" s="1">
        <v>4.0</v>
      </c>
      <c r="G269" s="1">
        <v>1.0</v>
      </c>
      <c r="H269" s="1">
        <v>126.0</v>
      </c>
      <c r="I269" s="1">
        <v>1.0</v>
      </c>
      <c r="J269" s="1">
        <v>1.0</v>
      </c>
      <c r="K269" s="1">
        <v>1.0</v>
      </c>
      <c r="L269" s="1">
        <v>1.0</v>
      </c>
      <c r="M269" s="1">
        <v>1.0</v>
      </c>
    </row>
    <row r="270">
      <c r="A270" s="1" t="s">
        <v>20</v>
      </c>
      <c r="B270" s="1" t="s">
        <v>180</v>
      </c>
      <c r="C270" s="1" t="s">
        <v>19</v>
      </c>
      <c r="D270" s="1">
        <v>1.0</v>
      </c>
      <c r="E270" s="1">
        <v>1.0</v>
      </c>
      <c r="F270" s="1">
        <v>2.0</v>
      </c>
      <c r="G270" s="1">
        <v>2.0</v>
      </c>
      <c r="H270" s="1">
        <v>2.0</v>
      </c>
      <c r="I270" s="1">
        <v>1.0</v>
      </c>
      <c r="J270" s="1">
        <v>1.0</v>
      </c>
      <c r="K270" s="1">
        <v>1.0</v>
      </c>
      <c r="L270" s="1">
        <v>1.0</v>
      </c>
      <c r="M270" s="1">
        <v>1.0</v>
      </c>
    </row>
    <row r="271">
      <c r="A271" s="1" t="s">
        <v>20</v>
      </c>
      <c r="B271" s="1" t="s">
        <v>180</v>
      </c>
      <c r="C271" s="1" t="s">
        <v>19</v>
      </c>
      <c r="D271" s="1">
        <v>1.0</v>
      </c>
      <c r="E271" s="1">
        <v>2.0</v>
      </c>
      <c r="F271" s="1">
        <v>2.0</v>
      </c>
      <c r="G271" s="1">
        <v>2.0</v>
      </c>
      <c r="H271" s="1">
        <v>2.0</v>
      </c>
      <c r="I271" s="1">
        <v>1.0</v>
      </c>
      <c r="J271" s="1">
        <v>1.0</v>
      </c>
      <c r="K271" s="1">
        <v>1.0</v>
      </c>
      <c r="L271" s="1">
        <v>1.0</v>
      </c>
      <c r="M271" s="1">
        <v>1.0</v>
      </c>
    </row>
    <row r="272">
      <c r="A272" s="1" t="s">
        <v>20</v>
      </c>
      <c r="B272" s="1" t="s">
        <v>1192</v>
      </c>
      <c r="C272" s="1" t="s">
        <v>19</v>
      </c>
      <c r="D272" s="1">
        <v>1.0</v>
      </c>
      <c r="E272" s="1">
        <v>1.0</v>
      </c>
      <c r="F272" s="1">
        <v>2.0</v>
      </c>
      <c r="G272" s="1">
        <v>2.0</v>
      </c>
      <c r="H272" s="1">
        <v>8.0</v>
      </c>
      <c r="I272" s="1">
        <v>0.8047</v>
      </c>
      <c r="J272" s="1">
        <v>1.0</v>
      </c>
      <c r="K272" s="1">
        <v>0.9375</v>
      </c>
      <c r="L272" s="1">
        <v>1.0</v>
      </c>
      <c r="M272" s="1">
        <v>0.8047</v>
      </c>
    </row>
    <row r="273">
      <c r="A273" s="1" t="s">
        <v>20</v>
      </c>
      <c r="B273" s="1" t="s">
        <v>1192</v>
      </c>
      <c r="C273" s="1" t="s">
        <v>19</v>
      </c>
      <c r="D273" s="1">
        <v>1.0</v>
      </c>
      <c r="E273" s="1">
        <v>2.0</v>
      </c>
      <c r="F273" s="1">
        <v>2.0</v>
      </c>
      <c r="G273" s="1">
        <v>2.0</v>
      </c>
      <c r="H273" s="1">
        <v>8.0</v>
      </c>
      <c r="I273" s="1">
        <v>1.0</v>
      </c>
      <c r="J273" s="1">
        <v>1.0</v>
      </c>
      <c r="K273" s="1">
        <v>1.0</v>
      </c>
      <c r="L273" s="1">
        <v>1.0</v>
      </c>
      <c r="M273" s="1">
        <v>1.0</v>
      </c>
    </row>
    <row r="274">
      <c r="A274" s="1" t="s">
        <v>20</v>
      </c>
      <c r="B274" s="1" t="s">
        <v>180</v>
      </c>
      <c r="C274" s="1" t="s">
        <v>21</v>
      </c>
      <c r="D274" s="1">
        <v>2.0</v>
      </c>
      <c r="E274" s="1">
        <v>1.0</v>
      </c>
      <c r="F274" s="1">
        <v>2.0</v>
      </c>
      <c r="G274" s="1">
        <v>2.0</v>
      </c>
      <c r="H274" s="1">
        <v>3.0</v>
      </c>
      <c r="I274" s="1">
        <v>0.9815</v>
      </c>
      <c r="J274" s="1">
        <v>1.0</v>
      </c>
      <c r="K274" s="1">
        <v>0.9444</v>
      </c>
      <c r="L274" s="1">
        <v>1.0</v>
      </c>
      <c r="M274" s="1">
        <v>0.9815</v>
      </c>
    </row>
    <row r="275">
      <c r="A275" s="1" t="s">
        <v>20</v>
      </c>
      <c r="B275" s="1" t="s">
        <v>180</v>
      </c>
      <c r="C275" s="1" t="s">
        <v>21</v>
      </c>
      <c r="D275" s="1">
        <v>2.0</v>
      </c>
      <c r="E275" s="1">
        <v>2.0</v>
      </c>
      <c r="F275" s="1">
        <v>2.0</v>
      </c>
      <c r="G275" s="1">
        <v>2.0</v>
      </c>
      <c r="H275" s="1">
        <v>3.0</v>
      </c>
      <c r="I275" s="1">
        <v>1.0</v>
      </c>
      <c r="J275" s="1">
        <v>1.0</v>
      </c>
      <c r="K275" s="1">
        <v>1.0</v>
      </c>
      <c r="L275" s="1">
        <v>1.0</v>
      </c>
      <c r="M275" s="1">
        <v>1.0</v>
      </c>
    </row>
    <row r="276">
      <c r="A276" s="1" t="s">
        <v>20</v>
      </c>
      <c r="B276" s="1" t="s">
        <v>1192</v>
      </c>
      <c r="C276" s="1" t="s">
        <v>21</v>
      </c>
      <c r="D276" s="1">
        <v>2.0</v>
      </c>
      <c r="E276" s="1">
        <v>1.0</v>
      </c>
      <c r="F276" s="1">
        <v>2.0</v>
      </c>
      <c r="G276" s="1">
        <v>2.0</v>
      </c>
      <c r="H276" s="1">
        <v>4.0</v>
      </c>
      <c r="I276" s="1">
        <v>1.0</v>
      </c>
      <c r="J276" s="1">
        <v>1.0</v>
      </c>
      <c r="K276" s="1">
        <v>1.0</v>
      </c>
      <c r="L276" s="1">
        <v>1.0</v>
      </c>
      <c r="M276" s="1">
        <v>1.0</v>
      </c>
    </row>
    <row r="277">
      <c r="A277" s="1" t="s">
        <v>20</v>
      </c>
      <c r="B277" s="1" t="s">
        <v>1192</v>
      </c>
      <c r="C277" s="1" t="s">
        <v>21</v>
      </c>
      <c r="D277" s="1">
        <v>2.0</v>
      </c>
      <c r="E277" s="1">
        <v>2.0</v>
      </c>
      <c r="F277" s="1">
        <v>2.0</v>
      </c>
      <c r="G277" s="1">
        <v>2.0</v>
      </c>
      <c r="H277" s="1">
        <v>4.0</v>
      </c>
      <c r="I277" s="1">
        <v>1.0</v>
      </c>
      <c r="J277" s="1">
        <v>1.0</v>
      </c>
      <c r="K277" s="1">
        <v>1.0</v>
      </c>
      <c r="L277" s="1">
        <v>1.0</v>
      </c>
      <c r="M277" s="1">
        <v>1.0</v>
      </c>
    </row>
    <row r="278">
      <c r="A278" s="1" t="s">
        <v>20</v>
      </c>
      <c r="B278" s="1" t="s">
        <v>180</v>
      </c>
      <c r="C278" s="1" t="s">
        <v>22</v>
      </c>
      <c r="D278" s="1">
        <v>3.0</v>
      </c>
      <c r="E278" s="1">
        <v>1.0</v>
      </c>
      <c r="F278" s="1">
        <v>2.0</v>
      </c>
      <c r="G278" s="1">
        <v>2.0</v>
      </c>
      <c r="H278" s="1">
        <v>5.0</v>
      </c>
      <c r="I278" s="1">
        <v>0.9154</v>
      </c>
      <c r="J278" s="1">
        <v>0.9333</v>
      </c>
      <c r="K278" s="1">
        <v>0.9</v>
      </c>
      <c r="L278" s="1">
        <v>0.9452</v>
      </c>
      <c r="M278" s="1">
        <v>0.9154</v>
      </c>
    </row>
    <row r="279">
      <c r="A279" s="1" t="s">
        <v>20</v>
      </c>
      <c r="B279" s="1" t="s">
        <v>180</v>
      </c>
      <c r="C279" s="1" t="s">
        <v>22</v>
      </c>
      <c r="D279" s="1">
        <v>3.0</v>
      </c>
      <c r="E279" s="1">
        <v>2.0</v>
      </c>
      <c r="F279" s="1">
        <v>2.0</v>
      </c>
      <c r="G279" s="1">
        <v>2.0</v>
      </c>
      <c r="H279" s="1">
        <v>5.0</v>
      </c>
      <c r="I279" s="1">
        <v>1.0</v>
      </c>
      <c r="J279" s="1">
        <v>1.0</v>
      </c>
      <c r="K279" s="1">
        <v>1.0</v>
      </c>
      <c r="L279" s="1">
        <v>1.0</v>
      </c>
      <c r="M279" s="1">
        <v>1.0</v>
      </c>
    </row>
    <row r="280">
      <c r="A280" s="1" t="s">
        <v>20</v>
      </c>
      <c r="B280" s="1" t="s">
        <v>1192</v>
      </c>
      <c r="C280" s="1" t="s">
        <v>22</v>
      </c>
      <c r="D280" s="1">
        <v>3.0</v>
      </c>
      <c r="E280" s="1">
        <v>1.0</v>
      </c>
      <c r="F280" s="1">
        <v>2.0</v>
      </c>
      <c r="G280" s="1">
        <v>1.0</v>
      </c>
      <c r="H280" s="1">
        <v>1.0</v>
      </c>
      <c r="I280" s="1">
        <v>1.0</v>
      </c>
      <c r="J280" s="1">
        <v>1.0</v>
      </c>
      <c r="K280" s="1">
        <v>1.0</v>
      </c>
      <c r="L280" s="1">
        <v>1.0</v>
      </c>
      <c r="M280" s="1">
        <v>1.0</v>
      </c>
    </row>
    <row r="281">
      <c r="A281" s="1" t="s">
        <v>20</v>
      </c>
      <c r="B281" s="1" t="s">
        <v>1192</v>
      </c>
      <c r="C281" s="1" t="s">
        <v>22</v>
      </c>
      <c r="D281" s="1">
        <v>3.0</v>
      </c>
      <c r="E281" s="1">
        <v>2.0</v>
      </c>
      <c r="F281" s="1">
        <v>2.0</v>
      </c>
      <c r="G281" s="1">
        <v>1.0</v>
      </c>
      <c r="H281" s="1">
        <v>1.0</v>
      </c>
      <c r="I281" s="1">
        <v>1.0</v>
      </c>
      <c r="J281" s="1">
        <v>1.0</v>
      </c>
      <c r="K281" s="1">
        <v>1.0</v>
      </c>
      <c r="L281" s="1">
        <v>1.0</v>
      </c>
      <c r="M281" s="1">
        <v>1.0</v>
      </c>
    </row>
    <row r="282">
      <c r="A282" s="1" t="s">
        <v>20</v>
      </c>
      <c r="B282" s="1" t="s">
        <v>180</v>
      </c>
      <c r="C282" s="1" t="s">
        <v>24</v>
      </c>
      <c r="D282" s="1">
        <v>4.0</v>
      </c>
      <c r="E282" s="1">
        <v>1.0</v>
      </c>
      <c r="F282" s="1">
        <v>2.0</v>
      </c>
      <c r="G282" s="1">
        <v>2.0</v>
      </c>
      <c r="H282" s="1">
        <v>9.0</v>
      </c>
      <c r="I282" s="1">
        <v>0.9487</v>
      </c>
      <c r="J282" s="1">
        <v>1.0</v>
      </c>
      <c r="K282" s="1">
        <v>0.9882</v>
      </c>
      <c r="L282" s="1">
        <v>1.0</v>
      </c>
      <c r="M282" s="1">
        <v>0.9487</v>
      </c>
    </row>
    <row r="283">
      <c r="A283" s="1" t="s">
        <v>20</v>
      </c>
      <c r="B283" s="1" t="s">
        <v>180</v>
      </c>
      <c r="C283" s="1" t="s">
        <v>24</v>
      </c>
      <c r="D283" s="1">
        <v>4.0</v>
      </c>
      <c r="E283" s="1">
        <v>2.0</v>
      </c>
      <c r="F283" s="1">
        <v>2.0</v>
      </c>
      <c r="G283" s="1">
        <v>2.0</v>
      </c>
      <c r="H283" s="1">
        <v>9.0</v>
      </c>
      <c r="I283" s="1">
        <v>1.0</v>
      </c>
      <c r="J283" s="1">
        <v>1.0</v>
      </c>
      <c r="K283" s="1">
        <v>1.0</v>
      </c>
      <c r="L283" s="1">
        <v>1.0</v>
      </c>
      <c r="M283" s="1">
        <v>1.0</v>
      </c>
    </row>
    <row r="284">
      <c r="A284" s="1" t="s">
        <v>20</v>
      </c>
      <c r="B284" s="1" t="s">
        <v>1192</v>
      </c>
      <c r="C284" s="1" t="s">
        <v>24</v>
      </c>
      <c r="D284" s="1">
        <v>4.0</v>
      </c>
      <c r="E284" s="1">
        <v>1.0</v>
      </c>
      <c r="F284" s="1">
        <v>2.0</v>
      </c>
      <c r="G284" s="1">
        <v>1.0</v>
      </c>
      <c r="H284" s="1">
        <v>2.0</v>
      </c>
      <c r="I284" s="1">
        <v>0.965</v>
      </c>
      <c r="J284" s="1">
        <v>1.0</v>
      </c>
      <c r="K284" s="1">
        <v>0.93</v>
      </c>
      <c r="L284" s="1">
        <v>1.0</v>
      </c>
      <c r="M284" s="1">
        <v>0.965</v>
      </c>
    </row>
    <row r="285">
      <c r="A285" s="1" t="s">
        <v>20</v>
      </c>
      <c r="B285" s="1" t="s">
        <v>1192</v>
      </c>
      <c r="C285" s="1" t="s">
        <v>24</v>
      </c>
      <c r="D285" s="1">
        <v>4.0</v>
      </c>
      <c r="E285" s="1">
        <v>2.0</v>
      </c>
      <c r="F285" s="1">
        <v>2.0</v>
      </c>
      <c r="G285" s="1">
        <v>1.0</v>
      </c>
      <c r="H285" s="1">
        <v>2.0</v>
      </c>
      <c r="I285" s="1">
        <v>1.0</v>
      </c>
      <c r="J285" s="1">
        <v>1.0</v>
      </c>
      <c r="K285" s="1">
        <v>1.0</v>
      </c>
      <c r="L285" s="1">
        <v>1.0</v>
      </c>
      <c r="M285" s="1">
        <v>1.0</v>
      </c>
    </row>
    <row r="286">
      <c r="A286" s="1" t="s">
        <v>174</v>
      </c>
      <c r="B286" s="1" t="s">
        <v>180</v>
      </c>
      <c r="C286" s="1" t="s">
        <v>19</v>
      </c>
      <c r="D286" s="1">
        <v>1.0</v>
      </c>
      <c r="E286" s="1">
        <v>1.0</v>
      </c>
      <c r="F286" s="1">
        <v>5.0</v>
      </c>
      <c r="G286" s="1">
        <v>3.0</v>
      </c>
      <c r="H286" s="1">
        <v>14196.0</v>
      </c>
      <c r="I286" s="1">
        <v>0.2289</v>
      </c>
      <c r="J286" s="1">
        <v>0.0052</v>
      </c>
      <c r="K286" s="1">
        <v>0.0</v>
      </c>
      <c r="L286" s="1">
        <v>0.3591</v>
      </c>
      <c r="M286" s="1">
        <v>0.2289</v>
      </c>
    </row>
    <row r="287">
      <c r="A287" s="1" t="s">
        <v>174</v>
      </c>
      <c r="B287" s="1" t="s">
        <v>180</v>
      </c>
      <c r="C287" s="1" t="s">
        <v>19</v>
      </c>
      <c r="D287" s="1">
        <v>1.0</v>
      </c>
      <c r="E287" s="1">
        <v>2.0</v>
      </c>
      <c r="F287" s="1">
        <v>5.0</v>
      </c>
      <c r="G287" s="1">
        <v>3.0</v>
      </c>
      <c r="H287" s="1">
        <v>14196.0</v>
      </c>
      <c r="I287" s="1">
        <v>0.4741</v>
      </c>
      <c r="J287" s="1">
        <v>0.4492</v>
      </c>
      <c r="K287" s="1">
        <v>5.0E-4</v>
      </c>
      <c r="L287" s="1">
        <v>0.9799</v>
      </c>
      <c r="M287" s="1">
        <v>0.474</v>
      </c>
    </row>
    <row r="288">
      <c r="A288" s="1" t="s">
        <v>174</v>
      </c>
      <c r="B288" s="1" t="s">
        <v>180</v>
      </c>
      <c r="C288" s="1" t="s">
        <v>19</v>
      </c>
      <c r="D288" s="1">
        <v>1.0</v>
      </c>
      <c r="E288" s="1">
        <v>3.0</v>
      </c>
      <c r="F288" s="1">
        <v>5.0</v>
      </c>
      <c r="G288" s="1">
        <v>3.0</v>
      </c>
      <c r="H288" s="1">
        <v>14196.0</v>
      </c>
      <c r="I288" s="1">
        <v>0.7181</v>
      </c>
      <c r="J288" s="1">
        <v>0.9305</v>
      </c>
      <c r="K288" s="1">
        <v>0.5082</v>
      </c>
      <c r="L288" s="1">
        <v>1.0</v>
      </c>
      <c r="M288" s="1">
        <v>0.718</v>
      </c>
    </row>
    <row r="289">
      <c r="A289" s="1" t="s">
        <v>174</v>
      </c>
      <c r="B289" s="1" t="s">
        <v>180</v>
      </c>
      <c r="C289" s="1" t="s">
        <v>19</v>
      </c>
      <c r="D289" s="1">
        <v>1.0</v>
      </c>
      <c r="E289" s="1">
        <v>4.0</v>
      </c>
      <c r="F289" s="1">
        <v>5.0</v>
      </c>
      <c r="G289" s="1">
        <v>3.0</v>
      </c>
      <c r="H289" s="1">
        <v>14196.0</v>
      </c>
      <c r="I289" s="1">
        <v>0.973</v>
      </c>
      <c r="J289" s="1">
        <v>1.0</v>
      </c>
      <c r="K289" s="1">
        <v>1.0</v>
      </c>
      <c r="L289" s="1">
        <v>1.0</v>
      </c>
      <c r="M289" s="1">
        <v>0.9731</v>
      </c>
    </row>
    <row r="290">
      <c r="A290" s="1" t="s">
        <v>174</v>
      </c>
      <c r="B290" s="1" t="s">
        <v>180</v>
      </c>
      <c r="C290" s="1" t="s">
        <v>19</v>
      </c>
      <c r="D290" s="1">
        <v>1.0</v>
      </c>
      <c r="E290" s="1">
        <v>5.0</v>
      </c>
      <c r="F290" s="1">
        <v>5.0</v>
      </c>
      <c r="G290" s="1">
        <v>3.0</v>
      </c>
      <c r="H290" s="1">
        <v>14196.0</v>
      </c>
      <c r="I290" s="1">
        <v>1.0</v>
      </c>
      <c r="J290" s="1">
        <v>1.0</v>
      </c>
      <c r="K290" s="1">
        <v>1.0</v>
      </c>
      <c r="L290" s="1">
        <v>1.0</v>
      </c>
      <c r="M290" s="1">
        <v>1.0</v>
      </c>
    </row>
    <row r="291">
      <c r="A291" s="1" t="s">
        <v>174</v>
      </c>
      <c r="B291" s="1" t="s">
        <v>1192</v>
      </c>
      <c r="C291" s="1" t="s">
        <v>19</v>
      </c>
      <c r="D291" s="1">
        <v>1.0</v>
      </c>
      <c r="E291" s="1">
        <v>1.0</v>
      </c>
      <c r="F291" s="1">
        <v>5.0</v>
      </c>
      <c r="G291" s="1">
        <v>3.0</v>
      </c>
      <c r="H291" s="1">
        <v>3107.0</v>
      </c>
      <c r="I291" s="1">
        <v>0.2469</v>
      </c>
      <c r="J291" s="1">
        <v>0.1248</v>
      </c>
      <c r="K291" s="1">
        <v>0.0</v>
      </c>
      <c r="L291" s="1">
        <v>0.3979</v>
      </c>
      <c r="M291" s="1">
        <v>0.2464</v>
      </c>
    </row>
    <row r="292">
      <c r="A292" s="1" t="s">
        <v>174</v>
      </c>
      <c r="B292" s="1" t="s">
        <v>1192</v>
      </c>
      <c r="C292" s="1" t="s">
        <v>19</v>
      </c>
      <c r="D292" s="1">
        <v>1.0</v>
      </c>
      <c r="E292" s="1">
        <v>2.0</v>
      </c>
      <c r="F292" s="1">
        <v>5.0</v>
      </c>
      <c r="G292" s="1">
        <v>3.0</v>
      </c>
      <c r="H292" s="1">
        <v>3107.0</v>
      </c>
      <c r="I292" s="1">
        <v>0.4893</v>
      </c>
      <c r="J292" s="1">
        <v>0.4852</v>
      </c>
      <c r="K292" s="1">
        <v>0.1506</v>
      </c>
      <c r="L292" s="1">
        <v>0.8131</v>
      </c>
      <c r="M292" s="1">
        <v>0.4888</v>
      </c>
    </row>
    <row r="293">
      <c r="A293" s="1" t="s">
        <v>174</v>
      </c>
      <c r="B293" s="1" t="s">
        <v>1192</v>
      </c>
      <c r="C293" s="1" t="s">
        <v>19</v>
      </c>
      <c r="D293" s="1">
        <v>1.0</v>
      </c>
      <c r="E293" s="1">
        <v>3.0</v>
      </c>
      <c r="F293" s="1">
        <v>5.0</v>
      </c>
      <c r="G293" s="1">
        <v>3.0</v>
      </c>
      <c r="H293" s="1">
        <v>3107.0</v>
      </c>
      <c r="I293" s="1">
        <v>0.73</v>
      </c>
      <c r="J293" s="1">
        <v>0.8452</v>
      </c>
      <c r="K293" s="1">
        <v>0.5617</v>
      </c>
      <c r="L293" s="1">
        <v>1.0</v>
      </c>
      <c r="M293" s="1">
        <v>0.7298</v>
      </c>
    </row>
    <row r="294">
      <c r="A294" s="1" t="s">
        <v>174</v>
      </c>
      <c r="B294" s="1" t="s">
        <v>1192</v>
      </c>
      <c r="C294" s="1" t="s">
        <v>19</v>
      </c>
      <c r="D294" s="1">
        <v>1.0</v>
      </c>
      <c r="E294" s="1">
        <v>4.0</v>
      </c>
      <c r="F294" s="1">
        <v>5.0</v>
      </c>
      <c r="G294" s="1">
        <v>3.0</v>
      </c>
      <c r="H294" s="1">
        <v>3107.0</v>
      </c>
      <c r="I294" s="1">
        <v>0.9775</v>
      </c>
      <c r="J294" s="1">
        <v>1.0</v>
      </c>
      <c r="K294" s="1">
        <v>1.0</v>
      </c>
      <c r="L294" s="1">
        <v>1.0</v>
      </c>
      <c r="M294" s="1">
        <v>0.9775</v>
      </c>
    </row>
    <row r="295">
      <c r="A295" s="1" t="s">
        <v>174</v>
      </c>
      <c r="B295" s="1" t="s">
        <v>1192</v>
      </c>
      <c r="C295" s="1" t="s">
        <v>19</v>
      </c>
      <c r="D295" s="1">
        <v>1.0</v>
      </c>
      <c r="E295" s="1">
        <v>5.0</v>
      </c>
      <c r="F295" s="1">
        <v>5.0</v>
      </c>
      <c r="G295" s="1">
        <v>3.0</v>
      </c>
      <c r="H295" s="1">
        <v>3107.0</v>
      </c>
      <c r="I295" s="1">
        <v>1.0</v>
      </c>
      <c r="J295" s="1">
        <v>1.0</v>
      </c>
      <c r="K295" s="1">
        <v>1.0</v>
      </c>
      <c r="L295" s="1">
        <v>1.0</v>
      </c>
      <c r="M295" s="1">
        <v>1.0</v>
      </c>
    </row>
    <row r="296">
      <c r="A296" s="1" t="s">
        <v>174</v>
      </c>
      <c r="B296" s="1" t="s">
        <v>180</v>
      </c>
      <c r="C296" s="1" t="s">
        <v>21</v>
      </c>
      <c r="D296" s="1">
        <v>2.0</v>
      </c>
      <c r="E296" s="1">
        <v>1.0</v>
      </c>
      <c r="F296" s="1">
        <v>5.0</v>
      </c>
      <c r="G296" s="1">
        <v>3.0</v>
      </c>
      <c r="H296" s="1">
        <v>16217.0</v>
      </c>
      <c r="I296" s="1">
        <v>0.2532</v>
      </c>
      <c r="J296" s="1">
        <v>0.0945</v>
      </c>
      <c r="K296" s="1">
        <v>0.0</v>
      </c>
      <c r="L296" s="1">
        <v>0.4071</v>
      </c>
      <c r="M296" s="1">
        <v>0.2534</v>
      </c>
    </row>
    <row r="297">
      <c r="A297" s="1" t="s">
        <v>174</v>
      </c>
      <c r="B297" s="1" t="s">
        <v>180</v>
      </c>
      <c r="C297" s="1" t="s">
        <v>21</v>
      </c>
      <c r="D297" s="1">
        <v>2.0</v>
      </c>
      <c r="E297" s="1">
        <v>2.0</v>
      </c>
      <c r="F297" s="1">
        <v>5.0</v>
      </c>
      <c r="G297" s="1">
        <v>3.0</v>
      </c>
      <c r="H297" s="1">
        <v>16217.0</v>
      </c>
      <c r="I297" s="1">
        <v>0.4979</v>
      </c>
      <c r="J297" s="1">
        <v>0.4973</v>
      </c>
      <c r="K297" s="1">
        <v>0.0902</v>
      </c>
      <c r="L297" s="1">
        <v>0.8868</v>
      </c>
      <c r="M297" s="1">
        <v>0.4982</v>
      </c>
    </row>
    <row r="298">
      <c r="A298" s="1" t="s">
        <v>174</v>
      </c>
      <c r="B298" s="1" t="s">
        <v>180</v>
      </c>
      <c r="C298" s="1" t="s">
        <v>21</v>
      </c>
      <c r="D298" s="1">
        <v>2.0</v>
      </c>
      <c r="E298" s="1">
        <v>3.0</v>
      </c>
      <c r="F298" s="1">
        <v>5.0</v>
      </c>
      <c r="G298" s="1">
        <v>3.0</v>
      </c>
      <c r="H298" s="1">
        <v>16217.0</v>
      </c>
      <c r="I298" s="1">
        <v>0.7337</v>
      </c>
      <c r="J298" s="1">
        <v>0.8767</v>
      </c>
      <c r="K298" s="1">
        <v>0.5766</v>
      </c>
      <c r="L298" s="1">
        <v>1.0</v>
      </c>
      <c r="M298" s="1">
        <v>0.7342</v>
      </c>
    </row>
    <row r="299">
      <c r="A299" s="1" t="s">
        <v>174</v>
      </c>
      <c r="B299" s="1" t="s">
        <v>180</v>
      </c>
      <c r="C299" s="1" t="s">
        <v>21</v>
      </c>
      <c r="D299" s="1">
        <v>2.0</v>
      </c>
      <c r="E299" s="1">
        <v>4.0</v>
      </c>
      <c r="F299" s="1">
        <v>5.0</v>
      </c>
      <c r="G299" s="1">
        <v>3.0</v>
      </c>
      <c r="H299" s="1">
        <v>16217.0</v>
      </c>
      <c r="I299" s="1">
        <v>0.9746</v>
      </c>
      <c r="J299" s="1">
        <v>1.0</v>
      </c>
      <c r="K299" s="1">
        <v>1.0</v>
      </c>
      <c r="L299" s="1">
        <v>1.0</v>
      </c>
      <c r="M299" s="1">
        <v>0.9748</v>
      </c>
    </row>
    <row r="300">
      <c r="A300" s="1" t="s">
        <v>174</v>
      </c>
      <c r="B300" s="1" t="s">
        <v>180</v>
      </c>
      <c r="C300" s="1" t="s">
        <v>21</v>
      </c>
      <c r="D300" s="1">
        <v>2.0</v>
      </c>
      <c r="E300" s="1">
        <v>5.0</v>
      </c>
      <c r="F300" s="1">
        <v>5.0</v>
      </c>
      <c r="G300" s="1">
        <v>3.0</v>
      </c>
      <c r="H300" s="1">
        <v>16217.0</v>
      </c>
      <c r="I300" s="1">
        <v>1.0</v>
      </c>
      <c r="J300" s="1">
        <v>1.0</v>
      </c>
      <c r="K300" s="1">
        <v>1.0</v>
      </c>
      <c r="L300" s="1">
        <v>1.0</v>
      </c>
      <c r="M300" s="1">
        <v>1.0</v>
      </c>
    </row>
    <row r="301">
      <c r="A301" s="1" t="s">
        <v>174</v>
      </c>
      <c r="B301" s="1" t="s">
        <v>1192</v>
      </c>
      <c r="C301" s="1" t="s">
        <v>21</v>
      </c>
      <c r="D301" s="1">
        <v>2.0</v>
      </c>
      <c r="E301" s="1">
        <v>1.0</v>
      </c>
      <c r="F301" s="1">
        <v>5.0</v>
      </c>
      <c r="G301" s="1">
        <v>3.0</v>
      </c>
      <c r="H301" s="1">
        <v>2692.0</v>
      </c>
      <c r="I301" s="1">
        <v>0.2701</v>
      </c>
      <c r="J301" s="1">
        <v>0.1785</v>
      </c>
      <c r="K301" s="1">
        <v>0.0</v>
      </c>
      <c r="L301" s="1">
        <v>0.4313</v>
      </c>
      <c r="M301" s="1">
        <v>0.2684</v>
      </c>
    </row>
    <row r="302">
      <c r="A302" s="1" t="s">
        <v>174</v>
      </c>
      <c r="B302" s="1" t="s">
        <v>1192</v>
      </c>
      <c r="C302" s="1" t="s">
        <v>21</v>
      </c>
      <c r="D302" s="1">
        <v>2.0</v>
      </c>
      <c r="E302" s="1">
        <v>2.0</v>
      </c>
      <c r="F302" s="1">
        <v>5.0</v>
      </c>
      <c r="G302" s="1">
        <v>3.0</v>
      </c>
      <c r="H302" s="1">
        <v>2692.0</v>
      </c>
      <c r="I302" s="1">
        <v>0.5142</v>
      </c>
      <c r="J302" s="1">
        <v>0.5289</v>
      </c>
      <c r="K302" s="1">
        <v>0.2404</v>
      </c>
      <c r="L302" s="1">
        <v>0.7975</v>
      </c>
      <c r="M302" s="1">
        <v>0.5115</v>
      </c>
    </row>
    <row r="303">
      <c r="A303" s="1" t="s">
        <v>174</v>
      </c>
      <c r="B303" s="1" t="s">
        <v>1192</v>
      </c>
      <c r="C303" s="1" t="s">
        <v>21</v>
      </c>
      <c r="D303" s="1">
        <v>2.0</v>
      </c>
      <c r="E303" s="1">
        <v>3.0</v>
      </c>
      <c r="F303" s="1">
        <v>5.0</v>
      </c>
      <c r="G303" s="1">
        <v>3.0</v>
      </c>
      <c r="H303" s="1">
        <v>2692.0</v>
      </c>
      <c r="I303" s="1">
        <v>0.7545</v>
      </c>
      <c r="J303" s="1">
        <v>0.8529</v>
      </c>
      <c r="K303" s="1">
        <v>0.6258</v>
      </c>
      <c r="L303" s="1">
        <v>1.0</v>
      </c>
      <c r="M303" s="1">
        <v>0.7521</v>
      </c>
    </row>
    <row r="304">
      <c r="A304" s="1" t="s">
        <v>174</v>
      </c>
      <c r="B304" s="1" t="s">
        <v>1192</v>
      </c>
      <c r="C304" s="1" t="s">
        <v>21</v>
      </c>
      <c r="D304" s="1">
        <v>2.0</v>
      </c>
      <c r="E304" s="1">
        <v>4.0</v>
      </c>
      <c r="F304" s="1">
        <v>5.0</v>
      </c>
      <c r="G304" s="1">
        <v>3.0</v>
      </c>
      <c r="H304" s="1">
        <v>2692.0</v>
      </c>
      <c r="I304" s="1">
        <v>0.9825</v>
      </c>
      <c r="J304" s="1">
        <v>1.0</v>
      </c>
      <c r="K304" s="1">
        <v>1.0</v>
      </c>
      <c r="L304" s="1">
        <v>1.0</v>
      </c>
      <c r="M304" s="1">
        <v>0.9824</v>
      </c>
    </row>
    <row r="305">
      <c r="A305" s="1" t="s">
        <v>174</v>
      </c>
      <c r="B305" s="1" t="s">
        <v>1192</v>
      </c>
      <c r="C305" s="1" t="s">
        <v>21</v>
      </c>
      <c r="D305" s="1">
        <v>2.0</v>
      </c>
      <c r="E305" s="1">
        <v>5.0</v>
      </c>
      <c r="F305" s="1">
        <v>5.0</v>
      </c>
      <c r="G305" s="1">
        <v>3.0</v>
      </c>
      <c r="H305" s="1">
        <v>2692.0</v>
      </c>
      <c r="I305" s="1">
        <v>1.0</v>
      </c>
      <c r="J305" s="1">
        <v>1.0</v>
      </c>
      <c r="K305" s="1">
        <v>1.0</v>
      </c>
      <c r="L305" s="1">
        <v>1.0</v>
      </c>
      <c r="M305" s="1">
        <v>1.0</v>
      </c>
    </row>
    <row r="306">
      <c r="A306" s="1" t="s">
        <v>174</v>
      </c>
      <c r="B306" s="1" t="s">
        <v>180</v>
      </c>
      <c r="C306" s="1" t="s">
        <v>22</v>
      </c>
      <c r="D306" s="1">
        <v>3.0</v>
      </c>
      <c r="E306" s="1">
        <v>1.0</v>
      </c>
      <c r="F306" s="1">
        <v>5.0</v>
      </c>
      <c r="G306" s="1">
        <v>3.0</v>
      </c>
      <c r="H306" s="1">
        <v>16013.0</v>
      </c>
      <c r="I306" s="1">
        <v>0.2526</v>
      </c>
      <c r="J306" s="1">
        <v>0.131</v>
      </c>
      <c r="K306" s="1">
        <v>0.0</v>
      </c>
      <c r="L306" s="1">
        <v>0.3967</v>
      </c>
      <c r="M306" s="1">
        <v>0.2536</v>
      </c>
    </row>
    <row r="307">
      <c r="A307" s="1" t="s">
        <v>174</v>
      </c>
      <c r="B307" s="1" t="s">
        <v>180</v>
      </c>
      <c r="C307" s="1" t="s">
        <v>22</v>
      </c>
      <c r="D307" s="1">
        <v>3.0</v>
      </c>
      <c r="E307" s="1">
        <v>2.0</v>
      </c>
      <c r="F307" s="1">
        <v>5.0</v>
      </c>
      <c r="G307" s="1">
        <v>3.0</v>
      </c>
      <c r="H307" s="1">
        <v>16013.0</v>
      </c>
      <c r="I307" s="1">
        <v>0.4965</v>
      </c>
      <c r="J307" s="1">
        <v>0.5077</v>
      </c>
      <c r="K307" s="1">
        <v>0.1282</v>
      </c>
      <c r="L307" s="1">
        <v>0.8298</v>
      </c>
      <c r="M307" s="1">
        <v>0.4983</v>
      </c>
    </row>
    <row r="308">
      <c r="A308" s="1" t="s">
        <v>174</v>
      </c>
      <c r="B308" s="1" t="s">
        <v>180</v>
      </c>
      <c r="C308" s="1" t="s">
        <v>22</v>
      </c>
      <c r="D308" s="1">
        <v>3.0</v>
      </c>
      <c r="E308" s="1">
        <v>3.0</v>
      </c>
      <c r="F308" s="1">
        <v>5.0</v>
      </c>
      <c r="G308" s="1">
        <v>3.0</v>
      </c>
      <c r="H308" s="1">
        <v>16013.0</v>
      </c>
      <c r="I308" s="1">
        <v>0.732</v>
      </c>
      <c r="J308" s="1">
        <v>0.8474</v>
      </c>
      <c r="K308" s="1">
        <v>0.597</v>
      </c>
      <c r="L308" s="1">
        <v>1.0</v>
      </c>
      <c r="M308" s="1">
        <v>0.7338</v>
      </c>
    </row>
    <row r="309">
      <c r="A309" s="1" t="s">
        <v>174</v>
      </c>
      <c r="B309" s="1" t="s">
        <v>180</v>
      </c>
      <c r="C309" s="1" t="s">
        <v>22</v>
      </c>
      <c r="D309" s="1">
        <v>3.0</v>
      </c>
      <c r="E309" s="1">
        <v>4.0</v>
      </c>
      <c r="F309" s="1">
        <v>5.0</v>
      </c>
      <c r="G309" s="1">
        <v>3.0</v>
      </c>
      <c r="H309" s="1">
        <v>16013.0</v>
      </c>
      <c r="I309" s="1">
        <v>0.9766</v>
      </c>
      <c r="J309" s="1">
        <v>1.0</v>
      </c>
      <c r="K309" s="1">
        <v>1.0</v>
      </c>
      <c r="L309" s="1">
        <v>1.0</v>
      </c>
      <c r="M309" s="1">
        <v>0.977</v>
      </c>
    </row>
    <row r="310">
      <c r="A310" s="1" t="s">
        <v>174</v>
      </c>
      <c r="B310" s="1" t="s">
        <v>180</v>
      </c>
      <c r="C310" s="1" t="s">
        <v>22</v>
      </c>
      <c r="D310" s="1">
        <v>3.0</v>
      </c>
      <c r="E310" s="1">
        <v>5.0</v>
      </c>
      <c r="F310" s="1">
        <v>5.0</v>
      </c>
      <c r="G310" s="1">
        <v>3.0</v>
      </c>
      <c r="H310" s="1">
        <v>16013.0</v>
      </c>
      <c r="I310" s="1">
        <v>1.0</v>
      </c>
      <c r="J310" s="1">
        <v>1.0</v>
      </c>
      <c r="K310" s="1">
        <v>1.0</v>
      </c>
      <c r="L310" s="1">
        <v>1.0</v>
      </c>
      <c r="M310" s="1">
        <v>1.0</v>
      </c>
    </row>
    <row r="311">
      <c r="A311" s="1" t="s">
        <v>174</v>
      </c>
      <c r="B311" s="1" t="s">
        <v>1192</v>
      </c>
      <c r="C311" s="1" t="s">
        <v>22</v>
      </c>
      <c r="D311" s="1">
        <v>3.0</v>
      </c>
      <c r="E311" s="1">
        <v>1.0</v>
      </c>
      <c r="F311" s="1">
        <v>5.0</v>
      </c>
      <c r="G311" s="1">
        <v>3.0</v>
      </c>
      <c r="H311" s="1">
        <v>2133.0</v>
      </c>
      <c r="I311" s="1">
        <v>0.2714</v>
      </c>
      <c r="J311" s="1">
        <v>0.1939</v>
      </c>
      <c r="K311" s="1">
        <v>0.0</v>
      </c>
      <c r="L311" s="1">
        <v>0.4254</v>
      </c>
      <c r="M311" s="1">
        <v>0.2697</v>
      </c>
    </row>
    <row r="312">
      <c r="A312" s="1" t="s">
        <v>174</v>
      </c>
      <c r="B312" s="1" t="s">
        <v>1192</v>
      </c>
      <c r="C312" s="1" t="s">
        <v>22</v>
      </c>
      <c r="D312" s="1">
        <v>3.0</v>
      </c>
      <c r="E312" s="1">
        <v>2.0</v>
      </c>
      <c r="F312" s="1">
        <v>5.0</v>
      </c>
      <c r="G312" s="1">
        <v>3.0</v>
      </c>
      <c r="H312" s="1">
        <v>2133.0</v>
      </c>
      <c r="I312" s="1">
        <v>0.5182</v>
      </c>
      <c r="J312" s="1">
        <v>0.5367</v>
      </c>
      <c r="K312" s="1">
        <v>0.2774</v>
      </c>
      <c r="L312" s="1">
        <v>0.7808</v>
      </c>
      <c r="M312" s="1">
        <v>0.5158</v>
      </c>
    </row>
    <row r="313">
      <c r="A313" s="1" t="s">
        <v>174</v>
      </c>
      <c r="B313" s="1" t="s">
        <v>1192</v>
      </c>
      <c r="C313" s="1" t="s">
        <v>22</v>
      </c>
      <c r="D313" s="1">
        <v>3.0</v>
      </c>
      <c r="E313" s="1">
        <v>3.0</v>
      </c>
      <c r="F313" s="1">
        <v>5.0</v>
      </c>
      <c r="G313" s="1">
        <v>3.0</v>
      </c>
      <c r="H313" s="1">
        <v>2133.0</v>
      </c>
      <c r="I313" s="1">
        <v>0.7477</v>
      </c>
      <c r="J313" s="1">
        <v>0.8329</v>
      </c>
      <c r="K313" s="1">
        <v>0.6301</v>
      </c>
      <c r="L313" s="1">
        <v>1.0</v>
      </c>
      <c r="M313" s="1">
        <v>0.7463</v>
      </c>
    </row>
    <row r="314">
      <c r="A314" s="1" t="s">
        <v>174</v>
      </c>
      <c r="B314" s="1" t="s">
        <v>1192</v>
      </c>
      <c r="C314" s="1" t="s">
        <v>22</v>
      </c>
      <c r="D314" s="1">
        <v>3.0</v>
      </c>
      <c r="E314" s="1">
        <v>4.0</v>
      </c>
      <c r="F314" s="1">
        <v>5.0</v>
      </c>
      <c r="G314" s="1">
        <v>3.0</v>
      </c>
      <c r="H314" s="1">
        <v>2133.0</v>
      </c>
      <c r="I314" s="1">
        <v>0.9839</v>
      </c>
      <c r="J314" s="1">
        <v>1.0</v>
      </c>
      <c r="K314" s="1">
        <v>1.0</v>
      </c>
      <c r="L314" s="1">
        <v>1.0</v>
      </c>
      <c r="M314" s="1">
        <v>0.9838</v>
      </c>
    </row>
    <row r="315">
      <c r="A315" s="1" t="s">
        <v>174</v>
      </c>
      <c r="B315" s="1" t="s">
        <v>1192</v>
      </c>
      <c r="C315" s="1" t="s">
        <v>22</v>
      </c>
      <c r="D315" s="1">
        <v>3.0</v>
      </c>
      <c r="E315" s="1">
        <v>5.0</v>
      </c>
      <c r="F315" s="1">
        <v>5.0</v>
      </c>
      <c r="G315" s="1">
        <v>3.0</v>
      </c>
      <c r="H315" s="1">
        <v>2133.0</v>
      </c>
      <c r="I315" s="1">
        <v>1.0</v>
      </c>
      <c r="J315" s="1">
        <v>1.0</v>
      </c>
      <c r="K315" s="1">
        <v>1.0</v>
      </c>
      <c r="L315" s="1">
        <v>1.0</v>
      </c>
      <c r="M315" s="1">
        <v>1.0</v>
      </c>
    </row>
    <row r="316">
      <c r="A316" s="1" t="s">
        <v>174</v>
      </c>
      <c r="B316" s="1" t="s">
        <v>180</v>
      </c>
      <c r="C316" s="1" t="s">
        <v>24</v>
      </c>
      <c r="D316" s="1">
        <v>4.0</v>
      </c>
      <c r="E316" s="1">
        <v>1.0</v>
      </c>
      <c r="F316" s="1">
        <v>5.0</v>
      </c>
      <c r="G316" s="1">
        <v>3.0</v>
      </c>
      <c r="H316" s="1">
        <v>10907.0</v>
      </c>
      <c r="I316" s="1">
        <v>0.2429</v>
      </c>
      <c r="J316" s="1">
        <v>0.1291</v>
      </c>
      <c r="K316" s="1">
        <v>0.0</v>
      </c>
      <c r="L316" s="1">
        <v>0.3902</v>
      </c>
      <c r="M316" s="1">
        <v>0.2443</v>
      </c>
    </row>
    <row r="317">
      <c r="A317" s="1" t="s">
        <v>174</v>
      </c>
      <c r="B317" s="1" t="s">
        <v>180</v>
      </c>
      <c r="C317" s="1" t="s">
        <v>24</v>
      </c>
      <c r="D317" s="1">
        <v>4.0</v>
      </c>
      <c r="E317" s="1">
        <v>2.0</v>
      </c>
      <c r="F317" s="1">
        <v>5.0</v>
      </c>
      <c r="G317" s="1">
        <v>3.0</v>
      </c>
      <c r="H317" s="1">
        <v>10907.0</v>
      </c>
      <c r="I317" s="1">
        <v>0.4728</v>
      </c>
      <c r="J317" s="1">
        <v>0.505</v>
      </c>
      <c r="K317" s="1">
        <v>0.0191</v>
      </c>
      <c r="L317" s="1">
        <v>0.7718</v>
      </c>
      <c r="M317" s="1">
        <v>0.4761</v>
      </c>
    </row>
    <row r="318">
      <c r="A318" s="1" t="s">
        <v>174</v>
      </c>
      <c r="B318" s="1" t="s">
        <v>180</v>
      </c>
      <c r="C318" s="1" t="s">
        <v>24</v>
      </c>
      <c r="D318" s="1">
        <v>4.0</v>
      </c>
      <c r="E318" s="1">
        <v>3.0</v>
      </c>
      <c r="F318" s="1">
        <v>5.0</v>
      </c>
      <c r="G318" s="1">
        <v>3.0</v>
      </c>
      <c r="H318" s="1">
        <v>10907.0</v>
      </c>
      <c r="I318" s="1">
        <v>0.7121</v>
      </c>
      <c r="J318" s="1">
        <v>0.8226</v>
      </c>
      <c r="K318" s="1">
        <v>0.5867</v>
      </c>
      <c r="L318" s="1">
        <v>0.9995</v>
      </c>
      <c r="M318" s="1">
        <v>0.7159</v>
      </c>
    </row>
    <row r="319">
      <c r="A319" s="1" t="s">
        <v>174</v>
      </c>
      <c r="B319" s="1" t="s">
        <v>180</v>
      </c>
      <c r="C319" s="1" t="s">
        <v>24</v>
      </c>
      <c r="D319" s="1">
        <v>4.0</v>
      </c>
      <c r="E319" s="1">
        <v>4.0</v>
      </c>
      <c r="F319" s="1">
        <v>5.0</v>
      </c>
      <c r="G319" s="1">
        <v>3.0</v>
      </c>
      <c r="H319" s="1">
        <v>10907.0</v>
      </c>
      <c r="I319" s="1">
        <v>0.982</v>
      </c>
      <c r="J319" s="1">
        <v>1.0</v>
      </c>
      <c r="K319" s="1">
        <v>1.0</v>
      </c>
      <c r="L319" s="1">
        <v>1.0</v>
      </c>
      <c r="M319" s="1">
        <v>0.9826</v>
      </c>
    </row>
    <row r="320">
      <c r="A320" s="1" t="s">
        <v>174</v>
      </c>
      <c r="B320" s="1" t="s">
        <v>180</v>
      </c>
      <c r="C320" s="1" t="s">
        <v>24</v>
      </c>
      <c r="D320" s="1">
        <v>4.0</v>
      </c>
      <c r="E320" s="1">
        <v>5.0</v>
      </c>
      <c r="F320" s="1">
        <v>5.0</v>
      </c>
      <c r="G320" s="1">
        <v>3.0</v>
      </c>
      <c r="H320" s="1">
        <v>10907.0</v>
      </c>
      <c r="I320" s="1">
        <v>1.0</v>
      </c>
      <c r="J320" s="1">
        <v>1.0</v>
      </c>
      <c r="K320" s="1">
        <v>1.0</v>
      </c>
      <c r="L320" s="1">
        <v>1.0</v>
      </c>
      <c r="M320" s="1">
        <v>1.0</v>
      </c>
    </row>
    <row r="321">
      <c r="A321" s="1" t="s">
        <v>174</v>
      </c>
      <c r="B321" s="1" t="s">
        <v>1192</v>
      </c>
      <c r="C321" s="1" t="s">
        <v>24</v>
      </c>
      <c r="D321" s="1">
        <v>4.0</v>
      </c>
      <c r="E321" s="1">
        <v>1.0</v>
      </c>
      <c r="F321" s="1">
        <v>5.0</v>
      </c>
      <c r="G321" s="1">
        <v>3.0</v>
      </c>
      <c r="H321" s="1">
        <v>1397.0</v>
      </c>
      <c r="I321" s="1">
        <v>0.2898</v>
      </c>
      <c r="J321" s="1">
        <v>0.2427</v>
      </c>
      <c r="K321" s="1">
        <v>0.0</v>
      </c>
      <c r="L321" s="1">
        <v>0.441</v>
      </c>
      <c r="M321" s="1">
        <v>0.2889</v>
      </c>
    </row>
    <row r="322">
      <c r="A322" s="1" t="s">
        <v>174</v>
      </c>
      <c r="B322" s="1" t="s">
        <v>1192</v>
      </c>
      <c r="C322" s="1" t="s">
        <v>24</v>
      </c>
      <c r="D322" s="1">
        <v>4.0</v>
      </c>
      <c r="E322" s="1">
        <v>2.0</v>
      </c>
      <c r="F322" s="1">
        <v>5.0</v>
      </c>
      <c r="G322" s="1">
        <v>3.0</v>
      </c>
      <c r="H322" s="1">
        <v>1397.0</v>
      </c>
      <c r="I322" s="1">
        <v>0.5355</v>
      </c>
      <c r="J322" s="1">
        <v>0.5688</v>
      </c>
      <c r="K322" s="1">
        <v>0.3165</v>
      </c>
      <c r="L322" s="1">
        <v>0.7851</v>
      </c>
      <c r="M322" s="1">
        <v>0.5362</v>
      </c>
    </row>
    <row r="323">
      <c r="A323" s="1" t="s">
        <v>174</v>
      </c>
      <c r="B323" s="1" t="s">
        <v>1192</v>
      </c>
      <c r="C323" s="1" t="s">
        <v>24</v>
      </c>
      <c r="D323" s="1">
        <v>4.0</v>
      </c>
      <c r="E323" s="1">
        <v>3.0</v>
      </c>
      <c r="F323" s="1">
        <v>5.0</v>
      </c>
      <c r="G323" s="1">
        <v>3.0</v>
      </c>
      <c r="H323" s="1">
        <v>1397.0</v>
      </c>
      <c r="I323" s="1">
        <v>0.752</v>
      </c>
      <c r="J323" s="1">
        <v>0.828</v>
      </c>
      <c r="K323" s="1">
        <v>0.6576</v>
      </c>
      <c r="L323" s="1">
        <v>0.9799</v>
      </c>
      <c r="M323" s="1">
        <v>0.7532</v>
      </c>
    </row>
    <row r="324">
      <c r="A324" s="1" t="s">
        <v>174</v>
      </c>
      <c r="B324" s="1" t="s">
        <v>1192</v>
      </c>
      <c r="C324" s="1" t="s">
        <v>24</v>
      </c>
      <c r="D324" s="1">
        <v>4.0</v>
      </c>
      <c r="E324" s="1">
        <v>4.0</v>
      </c>
      <c r="F324" s="1">
        <v>5.0</v>
      </c>
      <c r="G324" s="1">
        <v>3.0</v>
      </c>
      <c r="H324" s="1">
        <v>1397.0</v>
      </c>
      <c r="I324" s="1">
        <v>0.9829</v>
      </c>
      <c r="J324" s="1">
        <v>1.0</v>
      </c>
      <c r="K324" s="1">
        <v>1.0</v>
      </c>
      <c r="L324" s="1">
        <v>1.0</v>
      </c>
      <c r="M324" s="1">
        <v>0.9833</v>
      </c>
    </row>
    <row r="325">
      <c r="A325" s="1" t="s">
        <v>174</v>
      </c>
      <c r="B325" s="1" t="s">
        <v>1192</v>
      </c>
      <c r="C325" s="1" t="s">
        <v>24</v>
      </c>
      <c r="D325" s="1">
        <v>4.0</v>
      </c>
      <c r="E325" s="1">
        <v>5.0</v>
      </c>
      <c r="F325" s="1">
        <v>5.0</v>
      </c>
      <c r="G325" s="1">
        <v>3.0</v>
      </c>
      <c r="H325" s="1">
        <v>1397.0</v>
      </c>
      <c r="I325" s="1">
        <v>1.0</v>
      </c>
      <c r="J325" s="1">
        <v>1.0</v>
      </c>
      <c r="K325" s="1">
        <v>1.0</v>
      </c>
      <c r="L325" s="1">
        <v>1.0</v>
      </c>
      <c r="M325" s="1">
        <v>1.0</v>
      </c>
    </row>
    <row r="326">
      <c r="A326" s="1" t="s">
        <v>174</v>
      </c>
      <c r="B326" s="1" t="s">
        <v>180</v>
      </c>
      <c r="C326" s="1" t="s">
        <v>26</v>
      </c>
      <c r="D326" s="1">
        <v>5.0</v>
      </c>
      <c r="E326" s="1">
        <v>1.0</v>
      </c>
      <c r="F326" s="1">
        <v>5.0</v>
      </c>
      <c r="G326" s="1">
        <v>3.0</v>
      </c>
      <c r="H326" s="1">
        <v>1561.0</v>
      </c>
      <c r="I326" s="1">
        <v>0.1957</v>
      </c>
      <c r="J326" s="1">
        <v>6.0E-4</v>
      </c>
      <c r="K326" s="1">
        <v>0.0</v>
      </c>
      <c r="L326" s="1">
        <v>0.3364</v>
      </c>
      <c r="M326" s="1">
        <v>0.1978</v>
      </c>
    </row>
    <row r="327">
      <c r="A327" s="1" t="s">
        <v>174</v>
      </c>
      <c r="B327" s="1" t="s">
        <v>180</v>
      </c>
      <c r="C327" s="1" t="s">
        <v>26</v>
      </c>
      <c r="D327" s="1">
        <v>5.0</v>
      </c>
      <c r="E327" s="1">
        <v>2.0</v>
      </c>
      <c r="F327" s="1">
        <v>5.0</v>
      </c>
      <c r="G327" s="1">
        <v>3.0</v>
      </c>
      <c r="H327" s="1">
        <v>1561.0</v>
      </c>
      <c r="I327" s="1">
        <v>0.4051</v>
      </c>
      <c r="J327" s="1">
        <v>0.4399</v>
      </c>
      <c r="K327" s="1">
        <v>0.0</v>
      </c>
      <c r="L327" s="1">
        <v>0.712</v>
      </c>
      <c r="M327" s="1">
        <v>0.4081</v>
      </c>
    </row>
    <row r="328">
      <c r="A328" s="1" t="s">
        <v>174</v>
      </c>
      <c r="B328" s="1" t="s">
        <v>180</v>
      </c>
      <c r="C328" s="1" t="s">
        <v>26</v>
      </c>
      <c r="D328" s="1">
        <v>5.0</v>
      </c>
      <c r="E328" s="1">
        <v>3.0</v>
      </c>
      <c r="F328" s="1">
        <v>5.0</v>
      </c>
      <c r="G328" s="1">
        <v>3.0</v>
      </c>
      <c r="H328" s="1">
        <v>1561.0</v>
      </c>
      <c r="I328" s="1">
        <v>0.6527</v>
      </c>
      <c r="J328" s="1">
        <v>0.7875</v>
      </c>
      <c r="K328" s="1">
        <v>0.4524</v>
      </c>
      <c r="L328" s="1">
        <v>0.9646</v>
      </c>
      <c r="M328" s="1">
        <v>0.6569</v>
      </c>
    </row>
    <row r="329">
      <c r="A329" s="1" t="s">
        <v>174</v>
      </c>
      <c r="B329" s="1" t="s">
        <v>180</v>
      </c>
      <c r="C329" s="1" t="s">
        <v>26</v>
      </c>
      <c r="D329" s="1">
        <v>5.0</v>
      </c>
      <c r="E329" s="1">
        <v>4.0</v>
      </c>
      <c r="F329" s="1">
        <v>5.0</v>
      </c>
      <c r="G329" s="1">
        <v>3.0</v>
      </c>
      <c r="H329" s="1">
        <v>1561.0</v>
      </c>
      <c r="I329" s="1">
        <v>0.9783</v>
      </c>
      <c r="J329" s="1">
        <v>1.0</v>
      </c>
      <c r="K329" s="1">
        <v>1.0</v>
      </c>
      <c r="L329" s="1">
        <v>1.0</v>
      </c>
      <c r="M329" s="1">
        <v>0.9791</v>
      </c>
    </row>
    <row r="330">
      <c r="A330" s="1" t="s">
        <v>174</v>
      </c>
      <c r="B330" s="1" t="s">
        <v>180</v>
      </c>
      <c r="C330" s="1" t="s">
        <v>26</v>
      </c>
      <c r="D330" s="1">
        <v>5.0</v>
      </c>
      <c r="E330" s="1">
        <v>5.0</v>
      </c>
      <c r="F330" s="1">
        <v>5.0</v>
      </c>
      <c r="G330" s="1">
        <v>3.0</v>
      </c>
      <c r="H330" s="1">
        <v>1561.0</v>
      </c>
      <c r="I330" s="1">
        <v>1.0</v>
      </c>
      <c r="J330" s="1">
        <v>1.0</v>
      </c>
      <c r="K330" s="1">
        <v>1.0</v>
      </c>
      <c r="L330" s="1">
        <v>1.0</v>
      </c>
      <c r="M330" s="1">
        <v>1.0</v>
      </c>
    </row>
    <row r="331">
      <c r="A331" s="1" t="s">
        <v>174</v>
      </c>
      <c r="B331" s="1" t="s">
        <v>1192</v>
      </c>
      <c r="C331" s="1" t="s">
        <v>26</v>
      </c>
      <c r="D331" s="1">
        <v>5.0</v>
      </c>
      <c r="E331" s="1">
        <v>1.0</v>
      </c>
      <c r="F331" s="1">
        <v>5.0</v>
      </c>
      <c r="G331" s="1">
        <v>3.0</v>
      </c>
      <c r="H331" s="1">
        <v>284.0</v>
      </c>
      <c r="I331" s="1">
        <v>0.2444</v>
      </c>
      <c r="J331" s="1">
        <v>0.178</v>
      </c>
      <c r="K331" s="1">
        <v>0.0</v>
      </c>
      <c r="L331" s="1">
        <v>0.4371</v>
      </c>
      <c r="M331" s="1">
        <v>0.2469</v>
      </c>
    </row>
    <row r="332">
      <c r="A332" s="1" t="s">
        <v>174</v>
      </c>
      <c r="B332" s="1" t="s">
        <v>1192</v>
      </c>
      <c r="C332" s="1" t="s">
        <v>26</v>
      </c>
      <c r="D332" s="1">
        <v>5.0</v>
      </c>
      <c r="E332" s="1">
        <v>2.0</v>
      </c>
      <c r="F332" s="1">
        <v>5.0</v>
      </c>
      <c r="G332" s="1">
        <v>3.0</v>
      </c>
      <c r="H332" s="1">
        <v>284.0</v>
      </c>
      <c r="I332" s="1">
        <v>0.4773</v>
      </c>
      <c r="J332" s="1">
        <v>0.5318</v>
      </c>
      <c r="K332" s="1">
        <v>0.0</v>
      </c>
      <c r="L332" s="1">
        <v>0.7597</v>
      </c>
      <c r="M332" s="1">
        <v>0.4802</v>
      </c>
    </row>
    <row r="333">
      <c r="A333" s="1" t="s">
        <v>174</v>
      </c>
      <c r="B333" s="1" t="s">
        <v>1192</v>
      </c>
      <c r="C333" s="1" t="s">
        <v>26</v>
      </c>
      <c r="D333" s="1">
        <v>5.0</v>
      </c>
      <c r="E333" s="1">
        <v>3.0</v>
      </c>
      <c r="F333" s="1">
        <v>5.0</v>
      </c>
      <c r="G333" s="1">
        <v>3.0</v>
      </c>
      <c r="H333" s="1">
        <v>284.0</v>
      </c>
      <c r="I333" s="1">
        <v>0.6985</v>
      </c>
      <c r="J333" s="1">
        <v>0.8207</v>
      </c>
      <c r="K333" s="1">
        <v>0.5782</v>
      </c>
      <c r="L333" s="1">
        <v>0.9616</v>
      </c>
      <c r="M333" s="1">
        <v>0.7016</v>
      </c>
    </row>
    <row r="334">
      <c r="A334" s="1" t="s">
        <v>174</v>
      </c>
      <c r="B334" s="1" t="s">
        <v>1192</v>
      </c>
      <c r="C334" s="1" t="s">
        <v>26</v>
      </c>
      <c r="D334" s="1">
        <v>5.0</v>
      </c>
      <c r="E334" s="1">
        <v>4.0</v>
      </c>
      <c r="F334" s="1">
        <v>5.0</v>
      </c>
      <c r="G334" s="1">
        <v>3.0</v>
      </c>
      <c r="H334" s="1">
        <v>284.0</v>
      </c>
      <c r="I334" s="1">
        <v>0.9819</v>
      </c>
      <c r="J334" s="1">
        <v>1.0</v>
      </c>
      <c r="K334" s="1">
        <v>1.0</v>
      </c>
      <c r="L334" s="1">
        <v>1.0</v>
      </c>
      <c r="M334" s="1">
        <v>0.9823</v>
      </c>
    </row>
    <row r="335">
      <c r="A335" s="1" t="s">
        <v>174</v>
      </c>
      <c r="B335" s="1" t="s">
        <v>1192</v>
      </c>
      <c r="C335" s="1" t="s">
        <v>26</v>
      </c>
      <c r="D335" s="1">
        <v>5.0</v>
      </c>
      <c r="E335" s="1">
        <v>5.0</v>
      </c>
      <c r="F335" s="1">
        <v>5.0</v>
      </c>
      <c r="G335" s="1">
        <v>3.0</v>
      </c>
      <c r="H335" s="1">
        <v>284.0</v>
      </c>
      <c r="I335" s="1">
        <v>1.0</v>
      </c>
      <c r="J335" s="1">
        <v>1.0</v>
      </c>
      <c r="K335" s="1">
        <v>1.0</v>
      </c>
      <c r="L335" s="1">
        <v>1.0</v>
      </c>
      <c r="M335" s="1">
        <v>1.0</v>
      </c>
    </row>
    <row r="336">
      <c r="A336" s="1" t="s">
        <v>73</v>
      </c>
      <c r="B336" s="1" t="s">
        <v>180</v>
      </c>
      <c r="C336" s="1" t="s">
        <v>19</v>
      </c>
      <c r="D336" s="1">
        <v>1.0</v>
      </c>
      <c r="E336" s="1">
        <v>1.0</v>
      </c>
      <c r="F336" s="1">
        <v>5.0</v>
      </c>
      <c r="G336" s="1">
        <v>1.0</v>
      </c>
      <c r="H336" s="1">
        <v>35.0</v>
      </c>
      <c r="I336" s="1">
        <v>0.3047</v>
      </c>
      <c r="J336" s="1">
        <v>0.0833</v>
      </c>
      <c r="K336" s="1">
        <v>0.0</v>
      </c>
      <c r="L336" s="1">
        <v>0.5125</v>
      </c>
      <c r="M336" s="1">
        <v>0.3043</v>
      </c>
    </row>
    <row r="337">
      <c r="A337" s="1" t="s">
        <v>73</v>
      </c>
      <c r="B337" s="1" t="s">
        <v>180</v>
      </c>
      <c r="C337" s="1" t="s">
        <v>19</v>
      </c>
      <c r="D337" s="1">
        <v>1.0</v>
      </c>
      <c r="E337" s="1">
        <v>2.0</v>
      </c>
      <c r="F337" s="1">
        <v>5.0</v>
      </c>
      <c r="G337" s="1">
        <v>1.0</v>
      </c>
      <c r="H337" s="1">
        <v>35.0</v>
      </c>
      <c r="I337" s="1">
        <v>0.5415</v>
      </c>
      <c r="J337" s="1">
        <v>0.5</v>
      </c>
      <c r="K337" s="1">
        <v>0.1579</v>
      </c>
      <c r="L337" s="1">
        <v>1.0</v>
      </c>
      <c r="M337" s="1">
        <v>0.5404</v>
      </c>
    </row>
    <row r="338">
      <c r="A338" s="1" t="s">
        <v>73</v>
      </c>
      <c r="B338" s="1" t="s">
        <v>180</v>
      </c>
      <c r="C338" s="1" t="s">
        <v>19</v>
      </c>
      <c r="D338" s="1">
        <v>1.0</v>
      </c>
      <c r="E338" s="1">
        <v>3.0</v>
      </c>
      <c r="F338" s="1">
        <v>5.0</v>
      </c>
      <c r="G338" s="1">
        <v>1.0</v>
      </c>
      <c r="H338" s="1">
        <v>35.0</v>
      </c>
      <c r="I338" s="1">
        <v>0.6757</v>
      </c>
      <c r="J338" s="1">
        <v>0.8</v>
      </c>
      <c r="K338" s="1">
        <v>0.4178</v>
      </c>
      <c r="L338" s="1">
        <v>1.0</v>
      </c>
      <c r="M338" s="1">
        <v>0.6747</v>
      </c>
    </row>
    <row r="339">
      <c r="A339" s="1" t="s">
        <v>73</v>
      </c>
      <c r="B339" s="1" t="s">
        <v>180</v>
      </c>
      <c r="C339" s="1" t="s">
        <v>19</v>
      </c>
      <c r="D339" s="1">
        <v>1.0</v>
      </c>
      <c r="E339" s="1">
        <v>4.0</v>
      </c>
      <c r="F339" s="1">
        <v>5.0</v>
      </c>
      <c r="G339" s="1">
        <v>1.0</v>
      </c>
      <c r="H339" s="1">
        <v>35.0</v>
      </c>
      <c r="I339" s="1">
        <v>0.9505</v>
      </c>
      <c r="J339" s="1">
        <v>1.0</v>
      </c>
      <c r="K339" s="1">
        <v>1.0</v>
      </c>
      <c r="L339" s="1">
        <v>1.0</v>
      </c>
      <c r="M339" s="1">
        <v>0.9504</v>
      </c>
    </row>
    <row r="340">
      <c r="A340" s="1" t="s">
        <v>73</v>
      </c>
      <c r="B340" s="1" t="s">
        <v>180</v>
      </c>
      <c r="C340" s="1" t="s">
        <v>19</v>
      </c>
      <c r="D340" s="1">
        <v>1.0</v>
      </c>
      <c r="E340" s="1">
        <v>5.0</v>
      </c>
      <c r="F340" s="1">
        <v>5.0</v>
      </c>
      <c r="G340" s="1">
        <v>1.0</v>
      </c>
      <c r="H340" s="1">
        <v>35.0</v>
      </c>
      <c r="I340" s="1">
        <v>1.0</v>
      </c>
      <c r="J340" s="1">
        <v>1.0</v>
      </c>
      <c r="K340" s="1">
        <v>1.0</v>
      </c>
      <c r="L340" s="1">
        <v>1.0</v>
      </c>
      <c r="M340" s="1">
        <v>1.0</v>
      </c>
    </row>
    <row r="341">
      <c r="A341" s="1" t="s">
        <v>73</v>
      </c>
      <c r="B341" s="1" t="s">
        <v>1192</v>
      </c>
      <c r="C341" s="1" t="s">
        <v>19</v>
      </c>
      <c r="D341" s="1">
        <v>1.0</v>
      </c>
      <c r="E341" s="1">
        <v>1.0</v>
      </c>
      <c r="F341" s="1">
        <v>5.0</v>
      </c>
      <c r="G341" s="1">
        <v>1.0</v>
      </c>
      <c r="H341" s="1">
        <v>20.0</v>
      </c>
      <c r="I341" s="1">
        <v>0.335</v>
      </c>
      <c r="J341" s="1">
        <v>0.2222</v>
      </c>
      <c r="K341" s="1">
        <v>0.0</v>
      </c>
      <c r="L341" s="1">
        <v>0.5714</v>
      </c>
      <c r="M341" s="1">
        <v>0.335</v>
      </c>
    </row>
    <row r="342">
      <c r="A342" s="1" t="s">
        <v>73</v>
      </c>
      <c r="B342" s="1" t="s">
        <v>1192</v>
      </c>
      <c r="C342" s="1" t="s">
        <v>19</v>
      </c>
      <c r="D342" s="1">
        <v>1.0</v>
      </c>
      <c r="E342" s="1">
        <v>2.0</v>
      </c>
      <c r="F342" s="1">
        <v>5.0</v>
      </c>
      <c r="G342" s="1">
        <v>1.0</v>
      </c>
      <c r="H342" s="1">
        <v>20.0</v>
      </c>
      <c r="I342" s="1">
        <v>0.5187</v>
      </c>
      <c r="J342" s="1">
        <v>0.4583</v>
      </c>
      <c r="K342" s="1">
        <v>0.1364</v>
      </c>
      <c r="L342" s="1">
        <v>1.0</v>
      </c>
      <c r="M342" s="1">
        <v>0.5187</v>
      </c>
    </row>
    <row r="343">
      <c r="A343" s="1" t="s">
        <v>73</v>
      </c>
      <c r="B343" s="1" t="s">
        <v>1192</v>
      </c>
      <c r="C343" s="1" t="s">
        <v>19</v>
      </c>
      <c r="D343" s="1">
        <v>1.0</v>
      </c>
      <c r="E343" s="1">
        <v>3.0</v>
      </c>
      <c r="F343" s="1">
        <v>5.0</v>
      </c>
      <c r="G343" s="1">
        <v>1.0</v>
      </c>
      <c r="H343" s="1">
        <v>20.0</v>
      </c>
      <c r="I343" s="1">
        <v>0.5839</v>
      </c>
      <c r="J343" s="1">
        <v>0.7083</v>
      </c>
      <c r="K343" s="1">
        <v>0.2083</v>
      </c>
      <c r="L343" s="1">
        <v>1.0</v>
      </c>
      <c r="M343" s="1">
        <v>0.5839</v>
      </c>
    </row>
    <row r="344">
      <c r="A344" s="1" t="s">
        <v>73</v>
      </c>
      <c r="B344" s="1" t="s">
        <v>1192</v>
      </c>
      <c r="C344" s="1" t="s">
        <v>19</v>
      </c>
      <c r="D344" s="1">
        <v>1.0</v>
      </c>
      <c r="E344" s="1">
        <v>4.0</v>
      </c>
      <c r="F344" s="1">
        <v>5.0</v>
      </c>
      <c r="G344" s="1">
        <v>1.0</v>
      </c>
      <c r="H344" s="1">
        <v>20.0</v>
      </c>
      <c r="I344" s="1">
        <v>1.0</v>
      </c>
      <c r="J344" s="1">
        <v>1.0</v>
      </c>
      <c r="K344" s="1">
        <v>1.0</v>
      </c>
      <c r="L344" s="1">
        <v>1.0</v>
      </c>
      <c r="M344" s="1">
        <v>1.0</v>
      </c>
    </row>
    <row r="345">
      <c r="A345" s="1" t="s">
        <v>73</v>
      </c>
      <c r="B345" s="1" t="s">
        <v>1192</v>
      </c>
      <c r="C345" s="1" t="s">
        <v>19</v>
      </c>
      <c r="D345" s="1">
        <v>1.0</v>
      </c>
      <c r="E345" s="1">
        <v>5.0</v>
      </c>
      <c r="F345" s="1">
        <v>5.0</v>
      </c>
      <c r="G345" s="1">
        <v>1.0</v>
      </c>
      <c r="H345" s="1">
        <v>20.0</v>
      </c>
      <c r="I345" s="1">
        <v>1.0</v>
      </c>
      <c r="J345" s="1">
        <v>1.0</v>
      </c>
      <c r="K345" s="1">
        <v>1.0</v>
      </c>
      <c r="L345" s="1">
        <v>1.0</v>
      </c>
      <c r="M345" s="1">
        <v>1.0</v>
      </c>
    </row>
    <row r="346">
      <c r="A346" s="1" t="s">
        <v>73</v>
      </c>
      <c r="B346" s="1" t="s">
        <v>180</v>
      </c>
      <c r="C346" s="1" t="s">
        <v>21</v>
      </c>
      <c r="D346" s="1">
        <v>2.0</v>
      </c>
      <c r="E346" s="1">
        <v>1.0</v>
      </c>
      <c r="F346" s="1">
        <v>5.0</v>
      </c>
      <c r="G346" s="1">
        <v>1.0</v>
      </c>
      <c r="H346" s="1">
        <v>31.0</v>
      </c>
      <c r="I346" s="1">
        <v>0.1896</v>
      </c>
      <c r="J346" s="1">
        <v>0.0955</v>
      </c>
      <c r="K346" s="1">
        <v>0.0</v>
      </c>
      <c r="L346" s="1">
        <v>0.3243</v>
      </c>
      <c r="M346" s="1">
        <v>0.1859</v>
      </c>
    </row>
    <row r="347">
      <c r="A347" s="1" t="s">
        <v>73</v>
      </c>
      <c r="B347" s="1" t="s">
        <v>180</v>
      </c>
      <c r="C347" s="1" t="s">
        <v>21</v>
      </c>
      <c r="D347" s="1">
        <v>2.0</v>
      </c>
      <c r="E347" s="1">
        <v>2.0</v>
      </c>
      <c r="F347" s="1">
        <v>5.0</v>
      </c>
      <c r="G347" s="1">
        <v>1.0</v>
      </c>
      <c r="H347" s="1">
        <v>31.0</v>
      </c>
      <c r="I347" s="1">
        <v>0.463</v>
      </c>
      <c r="J347" s="1">
        <v>0.4118</v>
      </c>
      <c r="K347" s="1">
        <v>0.2667</v>
      </c>
      <c r="L347" s="1">
        <v>0.7138</v>
      </c>
      <c r="M347" s="1">
        <v>0.4614</v>
      </c>
    </row>
    <row r="348">
      <c r="A348" s="1" t="s">
        <v>73</v>
      </c>
      <c r="B348" s="1" t="s">
        <v>180</v>
      </c>
      <c r="C348" s="1" t="s">
        <v>21</v>
      </c>
      <c r="D348" s="1">
        <v>2.0</v>
      </c>
      <c r="E348" s="1">
        <v>3.0</v>
      </c>
      <c r="F348" s="1">
        <v>5.0</v>
      </c>
      <c r="G348" s="1">
        <v>1.0</v>
      </c>
      <c r="H348" s="1">
        <v>31.0</v>
      </c>
      <c r="I348" s="1">
        <v>0.7057</v>
      </c>
      <c r="J348" s="1">
        <v>0.7664</v>
      </c>
      <c r="K348" s="1">
        <v>0.4595</v>
      </c>
      <c r="L348" s="1">
        <v>0.9609</v>
      </c>
      <c r="M348" s="1">
        <v>0.7029</v>
      </c>
    </row>
    <row r="349">
      <c r="A349" s="1" t="s">
        <v>73</v>
      </c>
      <c r="B349" s="1" t="s">
        <v>180</v>
      </c>
      <c r="C349" s="1" t="s">
        <v>21</v>
      </c>
      <c r="D349" s="1">
        <v>2.0</v>
      </c>
      <c r="E349" s="1">
        <v>4.0</v>
      </c>
      <c r="F349" s="1">
        <v>5.0</v>
      </c>
      <c r="G349" s="1">
        <v>1.0</v>
      </c>
      <c r="H349" s="1">
        <v>31.0</v>
      </c>
      <c r="I349" s="1">
        <v>0.9762</v>
      </c>
      <c r="J349" s="1">
        <v>1.0</v>
      </c>
      <c r="K349" s="1">
        <v>1.0</v>
      </c>
      <c r="L349" s="1">
        <v>1.0</v>
      </c>
      <c r="M349" s="1">
        <v>0.9762</v>
      </c>
    </row>
    <row r="350">
      <c r="A350" s="1" t="s">
        <v>73</v>
      </c>
      <c r="B350" s="1" t="s">
        <v>180</v>
      </c>
      <c r="C350" s="1" t="s">
        <v>21</v>
      </c>
      <c r="D350" s="1">
        <v>2.0</v>
      </c>
      <c r="E350" s="1">
        <v>5.0</v>
      </c>
      <c r="F350" s="1">
        <v>5.0</v>
      </c>
      <c r="G350" s="1">
        <v>1.0</v>
      </c>
      <c r="H350" s="1">
        <v>31.0</v>
      </c>
      <c r="I350" s="1">
        <v>1.0</v>
      </c>
      <c r="J350" s="1">
        <v>1.0</v>
      </c>
      <c r="K350" s="1">
        <v>1.0</v>
      </c>
      <c r="L350" s="1">
        <v>1.0</v>
      </c>
      <c r="M350" s="1">
        <v>1.0</v>
      </c>
    </row>
    <row r="351">
      <c r="A351" s="1" t="s">
        <v>73</v>
      </c>
      <c r="B351" s="1" t="s">
        <v>1192</v>
      </c>
      <c r="C351" s="1" t="s">
        <v>21</v>
      </c>
      <c r="D351" s="1">
        <v>2.0</v>
      </c>
      <c r="E351" s="1">
        <v>1.0</v>
      </c>
      <c r="F351" s="1">
        <v>5.0</v>
      </c>
      <c r="G351" s="1">
        <v>1.0</v>
      </c>
      <c r="H351" s="1">
        <v>10.0</v>
      </c>
      <c r="I351" s="1">
        <v>0.3253</v>
      </c>
      <c r="J351" s="1">
        <v>0.1489</v>
      </c>
      <c r="K351" s="1">
        <v>0.0449</v>
      </c>
      <c r="L351" s="1">
        <v>0.7273</v>
      </c>
      <c r="M351" s="1">
        <v>0.3273</v>
      </c>
    </row>
    <row r="352">
      <c r="A352" s="1" t="s">
        <v>73</v>
      </c>
      <c r="B352" s="1" t="s">
        <v>1192</v>
      </c>
      <c r="C352" s="1" t="s">
        <v>21</v>
      </c>
      <c r="D352" s="1">
        <v>2.0</v>
      </c>
      <c r="E352" s="1">
        <v>2.0</v>
      </c>
      <c r="F352" s="1">
        <v>5.0</v>
      </c>
      <c r="G352" s="1">
        <v>1.0</v>
      </c>
      <c r="H352" s="1">
        <v>10.0</v>
      </c>
      <c r="I352" s="1">
        <v>0.6573</v>
      </c>
      <c r="J352" s="1">
        <v>0.6899</v>
      </c>
      <c r="K352" s="1">
        <v>0.4944</v>
      </c>
      <c r="L352" s="1">
        <v>0.9394</v>
      </c>
      <c r="M352" s="1">
        <v>0.6581</v>
      </c>
    </row>
    <row r="353">
      <c r="A353" s="1" t="s">
        <v>73</v>
      </c>
      <c r="B353" s="1" t="s">
        <v>1192</v>
      </c>
      <c r="C353" s="1" t="s">
        <v>21</v>
      </c>
      <c r="D353" s="1">
        <v>2.0</v>
      </c>
      <c r="E353" s="1">
        <v>3.0</v>
      </c>
      <c r="F353" s="1">
        <v>5.0</v>
      </c>
      <c r="G353" s="1">
        <v>1.0</v>
      </c>
      <c r="H353" s="1">
        <v>10.0</v>
      </c>
      <c r="I353" s="1">
        <v>0.7787</v>
      </c>
      <c r="J353" s="1">
        <v>0.9091</v>
      </c>
      <c r="K353" s="1">
        <v>0.6418</v>
      </c>
      <c r="L353" s="1">
        <v>0.9394</v>
      </c>
      <c r="M353" s="1">
        <v>0.7789</v>
      </c>
    </row>
    <row r="354">
      <c r="A354" s="1" t="s">
        <v>73</v>
      </c>
      <c r="B354" s="1" t="s">
        <v>1192</v>
      </c>
      <c r="C354" s="1" t="s">
        <v>21</v>
      </c>
      <c r="D354" s="1">
        <v>2.0</v>
      </c>
      <c r="E354" s="1">
        <v>4.0</v>
      </c>
      <c r="F354" s="1">
        <v>5.0</v>
      </c>
      <c r="G354" s="1">
        <v>1.0</v>
      </c>
      <c r="H354" s="1">
        <v>10.0</v>
      </c>
      <c r="I354" s="1">
        <v>0.9735</v>
      </c>
      <c r="J354" s="1">
        <v>1.0</v>
      </c>
      <c r="K354" s="1">
        <v>0.9851</v>
      </c>
      <c r="L354" s="1">
        <v>1.0</v>
      </c>
      <c r="M354" s="1">
        <v>0.9736</v>
      </c>
    </row>
    <row r="355">
      <c r="A355" s="1" t="s">
        <v>73</v>
      </c>
      <c r="B355" s="1" t="s">
        <v>1192</v>
      </c>
      <c r="C355" s="1" t="s">
        <v>21</v>
      </c>
      <c r="D355" s="1">
        <v>2.0</v>
      </c>
      <c r="E355" s="1">
        <v>5.0</v>
      </c>
      <c r="F355" s="1">
        <v>5.0</v>
      </c>
      <c r="G355" s="1">
        <v>1.0</v>
      </c>
      <c r="H355" s="1">
        <v>10.0</v>
      </c>
      <c r="I355" s="1">
        <v>1.0</v>
      </c>
      <c r="J355" s="1">
        <v>1.0</v>
      </c>
      <c r="K355" s="1">
        <v>1.0</v>
      </c>
      <c r="L355" s="1">
        <v>1.0</v>
      </c>
      <c r="M355" s="1">
        <v>1.0</v>
      </c>
    </row>
    <row r="356">
      <c r="A356" s="1" t="s">
        <v>73</v>
      </c>
      <c r="B356" s="1" t="s">
        <v>180</v>
      </c>
      <c r="C356" s="1" t="s">
        <v>22</v>
      </c>
      <c r="D356" s="1">
        <v>3.0</v>
      </c>
      <c r="E356" s="1">
        <v>1.0</v>
      </c>
      <c r="F356" s="1">
        <v>5.0</v>
      </c>
      <c r="G356" s="1">
        <v>1.0</v>
      </c>
      <c r="H356" s="1">
        <v>41.0</v>
      </c>
      <c r="I356" s="1">
        <v>0.1936</v>
      </c>
      <c r="J356" s="1">
        <v>0.0354</v>
      </c>
      <c r="K356" s="1">
        <v>0.0</v>
      </c>
      <c r="L356" s="1">
        <v>0.3271</v>
      </c>
      <c r="M356" s="1">
        <v>0.1953</v>
      </c>
    </row>
    <row r="357">
      <c r="A357" s="1" t="s">
        <v>73</v>
      </c>
      <c r="B357" s="1" t="s">
        <v>180</v>
      </c>
      <c r="C357" s="1" t="s">
        <v>22</v>
      </c>
      <c r="D357" s="1">
        <v>3.0</v>
      </c>
      <c r="E357" s="1">
        <v>2.0</v>
      </c>
      <c r="F357" s="1">
        <v>5.0</v>
      </c>
      <c r="G357" s="1">
        <v>1.0</v>
      </c>
      <c r="H357" s="1">
        <v>41.0</v>
      </c>
      <c r="I357" s="1">
        <v>0.427</v>
      </c>
      <c r="J357" s="1">
        <v>0.4444</v>
      </c>
      <c r="K357" s="1">
        <v>0.0</v>
      </c>
      <c r="L357" s="1">
        <v>0.7518</v>
      </c>
      <c r="M357" s="1">
        <v>0.4278</v>
      </c>
    </row>
    <row r="358">
      <c r="A358" s="1" t="s">
        <v>73</v>
      </c>
      <c r="B358" s="1" t="s">
        <v>180</v>
      </c>
      <c r="C358" s="1" t="s">
        <v>22</v>
      </c>
      <c r="D358" s="1">
        <v>3.0</v>
      </c>
      <c r="E358" s="1">
        <v>3.0</v>
      </c>
      <c r="F358" s="1">
        <v>5.0</v>
      </c>
      <c r="G358" s="1">
        <v>1.0</v>
      </c>
      <c r="H358" s="1">
        <v>41.0</v>
      </c>
      <c r="I358" s="1">
        <v>0.6383</v>
      </c>
      <c r="J358" s="1">
        <v>0.7232</v>
      </c>
      <c r="K358" s="1">
        <v>0.3667</v>
      </c>
      <c r="L358" s="1">
        <v>1.0</v>
      </c>
      <c r="M358" s="1">
        <v>0.6418</v>
      </c>
    </row>
    <row r="359">
      <c r="A359" s="1" t="s">
        <v>73</v>
      </c>
      <c r="B359" s="1" t="s">
        <v>180</v>
      </c>
      <c r="C359" s="1" t="s">
        <v>22</v>
      </c>
      <c r="D359" s="1">
        <v>3.0</v>
      </c>
      <c r="E359" s="1">
        <v>4.0</v>
      </c>
      <c r="F359" s="1">
        <v>5.0</v>
      </c>
      <c r="G359" s="1">
        <v>1.0</v>
      </c>
      <c r="H359" s="1">
        <v>41.0</v>
      </c>
      <c r="I359" s="1">
        <v>0.9968</v>
      </c>
      <c r="J359" s="1">
        <v>1.0</v>
      </c>
      <c r="K359" s="1">
        <v>1.0</v>
      </c>
      <c r="L359" s="1">
        <v>1.0</v>
      </c>
      <c r="M359" s="1">
        <v>0.9968</v>
      </c>
    </row>
    <row r="360">
      <c r="A360" s="1" t="s">
        <v>73</v>
      </c>
      <c r="B360" s="1" t="s">
        <v>180</v>
      </c>
      <c r="C360" s="1" t="s">
        <v>22</v>
      </c>
      <c r="D360" s="1">
        <v>3.0</v>
      </c>
      <c r="E360" s="1">
        <v>5.0</v>
      </c>
      <c r="F360" s="1">
        <v>5.0</v>
      </c>
      <c r="G360" s="1">
        <v>1.0</v>
      </c>
      <c r="H360" s="1">
        <v>41.0</v>
      </c>
      <c r="I360" s="1">
        <v>1.0</v>
      </c>
      <c r="J360" s="1">
        <v>1.0</v>
      </c>
      <c r="K360" s="1">
        <v>1.0</v>
      </c>
      <c r="L360" s="1">
        <v>1.0</v>
      </c>
      <c r="M360" s="1">
        <v>1.0</v>
      </c>
    </row>
    <row r="361">
      <c r="A361" s="1" t="s">
        <v>73</v>
      </c>
      <c r="B361" s="1" t="s">
        <v>1192</v>
      </c>
      <c r="C361" s="1" t="s">
        <v>22</v>
      </c>
      <c r="D361" s="1">
        <v>3.0</v>
      </c>
      <c r="E361" s="1">
        <v>1.0</v>
      </c>
      <c r="F361" s="1">
        <v>5.0</v>
      </c>
      <c r="G361" s="1">
        <v>1.0</v>
      </c>
      <c r="H361" s="1">
        <v>11.0</v>
      </c>
      <c r="I361" s="1">
        <v>0.2773</v>
      </c>
      <c r="J361" s="1">
        <v>0.2067</v>
      </c>
      <c r="K361" s="1">
        <v>0.1164</v>
      </c>
      <c r="L361" s="1">
        <v>0.4777</v>
      </c>
      <c r="M361" s="1">
        <v>0.2775</v>
      </c>
    </row>
    <row r="362">
      <c r="A362" s="1" t="s">
        <v>73</v>
      </c>
      <c r="B362" s="1" t="s">
        <v>1192</v>
      </c>
      <c r="C362" s="1" t="s">
        <v>22</v>
      </c>
      <c r="D362" s="1">
        <v>3.0</v>
      </c>
      <c r="E362" s="1">
        <v>2.0</v>
      </c>
      <c r="F362" s="1">
        <v>5.0</v>
      </c>
      <c r="G362" s="1">
        <v>1.0</v>
      </c>
      <c r="H362" s="1">
        <v>11.0</v>
      </c>
      <c r="I362" s="1">
        <v>0.5083</v>
      </c>
      <c r="J362" s="1">
        <v>0.38</v>
      </c>
      <c r="K362" s="1">
        <v>0.2242</v>
      </c>
      <c r="L362" s="1">
        <v>0.8371</v>
      </c>
      <c r="M362" s="1">
        <v>0.5088</v>
      </c>
    </row>
    <row r="363">
      <c r="A363" s="1" t="s">
        <v>73</v>
      </c>
      <c r="B363" s="1" t="s">
        <v>1192</v>
      </c>
      <c r="C363" s="1" t="s">
        <v>22</v>
      </c>
      <c r="D363" s="1">
        <v>3.0</v>
      </c>
      <c r="E363" s="1">
        <v>3.0</v>
      </c>
      <c r="F363" s="1">
        <v>5.0</v>
      </c>
      <c r="G363" s="1">
        <v>1.0</v>
      </c>
      <c r="H363" s="1">
        <v>11.0</v>
      </c>
      <c r="I363" s="1">
        <v>0.7874</v>
      </c>
      <c r="J363" s="1">
        <v>0.7857</v>
      </c>
      <c r="K363" s="1">
        <v>0.6368</v>
      </c>
      <c r="L363" s="1">
        <v>0.9375</v>
      </c>
      <c r="M363" s="1">
        <v>0.7882</v>
      </c>
    </row>
    <row r="364">
      <c r="A364" s="1" t="s">
        <v>73</v>
      </c>
      <c r="B364" s="1" t="s">
        <v>1192</v>
      </c>
      <c r="C364" s="1" t="s">
        <v>22</v>
      </c>
      <c r="D364" s="1">
        <v>3.0</v>
      </c>
      <c r="E364" s="1">
        <v>4.0</v>
      </c>
      <c r="F364" s="1">
        <v>5.0</v>
      </c>
      <c r="G364" s="1">
        <v>1.0</v>
      </c>
      <c r="H364" s="1">
        <v>11.0</v>
      </c>
      <c r="I364" s="1">
        <v>0.9989</v>
      </c>
      <c r="J364" s="1">
        <v>1.0</v>
      </c>
      <c r="K364" s="1">
        <v>1.0</v>
      </c>
      <c r="L364" s="1">
        <v>1.0</v>
      </c>
      <c r="M364" s="1">
        <v>0.9989</v>
      </c>
    </row>
    <row r="365">
      <c r="A365" s="1" t="s">
        <v>73</v>
      </c>
      <c r="B365" s="1" t="s">
        <v>1192</v>
      </c>
      <c r="C365" s="1" t="s">
        <v>22</v>
      </c>
      <c r="D365" s="1">
        <v>3.0</v>
      </c>
      <c r="E365" s="1">
        <v>5.0</v>
      </c>
      <c r="F365" s="1">
        <v>5.0</v>
      </c>
      <c r="G365" s="1">
        <v>1.0</v>
      </c>
      <c r="H365" s="1">
        <v>11.0</v>
      </c>
      <c r="I365" s="1">
        <v>1.0</v>
      </c>
      <c r="J365" s="1">
        <v>1.0</v>
      </c>
      <c r="K365" s="1">
        <v>1.0</v>
      </c>
      <c r="L365" s="1">
        <v>1.0</v>
      </c>
      <c r="M365" s="1">
        <v>1.0</v>
      </c>
    </row>
    <row r="366">
      <c r="A366" s="1" t="s">
        <v>73</v>
      </c>
      <c r="B366" s="1" t="s">
        <v>180</v>
      </c>
      <c r="C366" s="1" t="s">
        <v>24</v>
      </c>
      <c r="D366" s="1">
        <v>4.0</v>
      </c>
      <c r="E366" s="1">
        <v>1.0</v>
      </c>
      <c r="F366" s="1">
        <v>5.0</v>
      </c>
      <c r="G366" s="1">
        <v>1.0</v>
      </c>
      <c r="H366" s="1">
        <v>19.0</v>
      </c>
      <c r="I366" s="1">
        <v>0.2807</v>
      </c>
      <c r="J366" s="1">
        <v>0.1557</v>
      </c>
      <c r="K366" s="1">
        <v>0.0</v>
      </c>
      <c r="L366" s="1">
        <v>0.5</v>
      </c>
      <c r="M366" s="1">
        <v>0.2813</v>
      </c>
    </row>
    <row r="367">
      <c r="A367" s="1" t="s">
        <v>73</v>
      </c>
      <c r="B367" s="1" t="s">
        <v>180</v>
      </c>
      <c r="C367" s="1" t="s">
        <v>24</v>
      </c>
      <c r="D367" s="1">
        <v>4.0</v>
      </c>
      <c r="E367" s="1">
        <v>2.0</v>
      </c>
      <c r="F367" s="1">
        <v>5.0</v>
      </c>
      <c r="G367" s="1">
        <v>1.0</v>
      </c>
      <c r="H367" s="1">
        <v>19.0</v>
      </c>
      <c r="I367" s="1">
        <v>0.5416</v>
      </c>
      <c r="J367" s="1">
        <v>0.5</v>
      </c>
      <c r="K367" s="1">
        <v>0.3259</v>
      </c>
      <c r="L367" s="1">
        <v>0.8563</v>
      </c>
      <c r="M367" s="1">
        <v>0.5416</v>
      </c>
    </row>
    <row r="368">
      <c r="A368" s="1" t="s">
        <v>73</v>
      </c>
      <c r="B368" s="1" t="s">
        <v>180</v>
      </c>
      <c r="C368" s="1" t="s">
        <v>24</v>
      </c>
      <c r="D368" s="1">
        <v>4.0</v>
      </c>
      <c r="E368" s="1">
        <v>3.0</v>
      </c>
      <c r="F368" s="1">
        <v>5.0</v>
      </c>
      <c r="G368" s="1">
        <v>1.0</v>
      </c>
      <c r="H368" s="1">
        <v>19.0</v>
      </c>
      <c r="I368" s="1">
        <v>0.7348</v>
      </c>
      <c r="J368" s="1">
        <v>0.8563</v>
      </c>
      <c r="K368" s="1">
        <v>0.5568</v>
      </c>
      <c r="L368" s="1">
        <v>0.9928</v>
      </c>
      <c r="M368" s="1">
        <v>0.7352</v>
      </c>
    </row>
    <row r="369">
      <c r="A369" s="1" t="s">
        <v>73</v>
      </c>
      <c r="B369" s="1" t="s">
        <v>180</v>
      </c>
      <c r="C369" s="1" t="s">
        <v>24</v>
      </c>
      <c r="D369" s="1">
        <v>4.0</v>
      </c>
      <c r="E369" s="1">
        <v>4.0</v>
      </c>
      <c r="F369" s="1">
        <v>5.0</v>
      </c>
      <c r="G369" s="1">
        <v>1.0</v>
      </c>
      <c r="H369" s="1">
        <v>19.0</v>
      </c>
      <c r="I369" s="1">
        <v>0.988</v>
      </c>
      <c r="J369" s="1">
        <v>1.0</v>
      </c>
      <c r="K369" s="1">
        <v>1.0</v>
      </c>
      <c r="L369" s="1">
        <v>1.0</v>
      </c>
      <c r="M369" s="1">
        <v>0.9877</v>
      </c>
    </row>
    <row r="370">
      <c r="A370" s="1" t="s">
        <v>73</v>
      </c>
      <c r="B370" s="1" t="s">
        <v>180</v>
      </c>
      <c r="C370" s="1" t="s">
        <v>24</v>
      </c>
      <c r="D370" s="1">
        <v>4.0</v>
      </c>
      <c r="E370" s="1">
        <v>5.0</v>
      </c>
      <c r="F370" s="1">
        <v>5.0</v>
      </c>
      <c r="G370" s="1">
        <v>1.0</v>
      </c>
      <c r="H370" s="1">
        <v>19.0</v>
      </c>
      <c r="I370" s="1">
        <v>1.0</v>
      </c>
      <c r="J370" s="1">
        <v>1.0</v>
      </c>
      <c r="K370" s="1">
        <v>1.0</v>
      </c>
      <c r="L370" s="1">
        <v>1.0</v>
      </c>
      <c r="M370" s="1">
        <v>1.0</v>
      </c>
    </row>
    <row r="371">
      <c r="A371" s="1" t="s">
        <v>73</v>
      </c>
      <c r="B371" s="1" t="s">
        <v>1192</v>
      </c>
      <c r="C371" s="1" t="s">
        <v>24</v>
      </c>
      <c r="D371" s="1">
        <v>4.0</v>
      </c>
      <c r="E371" s="1">
        <v>1.0</v>
      </c>
      <c r="F371" s="1">
        <v>5.0</v>
      </c>
      <c r="G371" s="1">
        <v>1.0</v>
      </c>
      <c r="H371" s="1">
        <v>5.0</v>
      </c>
      <c r="I371" s="1">
        <v>0.0229</v>
      </c>
      <c r="J371" s="1">
        <v>0.0</v>
      </c>
      <c r="K371" s="1">
        <v>0.0</v>
      </c>
      <c r="L371" s="1">
        <v>0.0</v>
      </c>
      <c r="M371" s="1">
        <v>0.0231</v>
      </c>
    </row>
    <row r="372">
      <c r="A372" s="1" t="s">
        <v>73</v>
      </c>
      <c r="B372" s="1" t="s">
        <v>1192</v>
      </c>
      <c r="C372" s="1" t="s">
        <v>24</v>
      </c>
      <c r="D372" s="1">
        <v>4.0</v>
      </c>
      <c r="E372" s="1">
        <v>2.0</v>
      </c>
      <c r="F372" s="1">
        <v>5.0</v>
      </c>
      <c r="G372" s="1">
        <v>1.0</v>
      </c>
      <c r="H372" s="1">
        <v>5.0</v>
      </c>
      <c r="I372" s="1">
        <v>0.2823</v>
      </c>
      <c r="J372" s="1">
        <v>0.2195</v>
      </c>
      <c r="K372" s="1">
        <v>0.0503</v>
      </c>
      <c r="L372" s="1">
        <v>0.3871</v>
      </c>
      <c r="M372" s="1">
        <v>0.2814</v>
      </c>
    </row>
    <row r="373">
      <c r="A373" s="1" t="s">
        <v>73</v>
      </c>
      <c r="B373" s="1" t="s">
        <v>1192</v>
      </c>
      <c r="C373" s="1" t="s">
        <v>24</v>
      </c>
      <c r="D373" s="1">
        <v>4.0</v>
      </c>
      <c r="E373" s="1">
        <v>3.0</v>
      </c>
      <c r="F373" s="1">
        <v>5.0</v>
      </c>
      <c r="G373" s="1">
        <v>1.0</v>
      </c>
      <c r="H373" s="1">
        <v>5.0</v>
      </c>
      <c r="I373" s="1">
        <v>0.547</v>
      </c>
      <c r="J373" s="1">
        <v>0.5461</v>
      </c>
      <c r="K373" s="1">
        <v>0.4972</v>
      </c>
      <c r="L373" s="1">
        <v>0.5968</v>
      </c>
      <c r="M373" s="1">
        <v>0.5463</v>
      </c>
    </row>
    <row r="374">
      <c r="A374" s="1" t="s">
        <v>73</v>
      </c>
      <c r="B374" s="1" t="s">
        <v>1192</v>
      </c>
      <c r="C374" s="1" t="s">
        <v>24</v>
      </c>
      <c r="D374" s="1">
        <v>4.0</v>
      </c>
      <c r="E374" s="1">
        <v>4.0</v>
      </c>
      <c r="F374" s="1">
        <v>5.0</v>
      </c>
      <c r="G374" s="1">
        <v>1.0</v>
      </c>
      <c r="H374" s="1">
        <v>5.0</v>
      </c>
      <c r="I374" s="1">
        <v>0.9966</v>
      </c>
      <c r="J374" s="1">
        <v>1.0</v>
      </c>
      <c r="K374" s="1">
        <v>0.9923</v>
      </c>
      <c r="L374" s="1">
        <v>1.0</v>
      </c>
      <c r="M374" s="1">
        <v>0.9966</v>
      </c>
    </row>
    <row r="375">
      <c r="A375" s="1" t="s">
        <v>73</v>
      </c>
      <c r="B375" s="1" t="s">
        <v>1192</v>
      </c>
      <c r="C375" s="1" t="s">
        <v>24</v>
      </c>
      <c r="D375" s="1">
        <v>4.0</v>
      </c>
      <c r="E375" s="1">
        <v>5.0</v>
      </c>
      <c r="F375" s="1">
        <v>5.0</v>
      </c>
      <c r="G375" s="1">
        <v>1.0</v>
      </c>
      <c r="H375" s="1">
        <v>5.0</v>
      </c>
      <c r="I375" s="1">
        <v>1.0</v>
      </c>
      <c r="J375" s="1">
        <v>1.0</v>
      </c>
      <c r="K375" s="1">
        <v>1.0</v>
      </c>
      <c r="L375" s="1">
        <v>1.0</v>
      </c>
      <c r="M375" s="1">
        <v>1.0</v>
      </c>
    </row>
    <row r="376">
      <c r="A376" s="1" t="s">
        <v>73</v>
      </c>
      <c r="B376" s="1" t="s">
        <v>180</v>
      </c>
      <c r="C376" s="1" t="s">
        <v>26</v>
      </c>
      <c r="D376" s="1">
        <v>5.0</v>
      </c>
      <c r="E376" s="1">
        <v>1.0</v>
      </c>
      <c r="F376" s="1">
        <v>5.0</v>
      </c>
      <c r="G376" s="1">
        <v>1.0</v>
      </c>
      <c r="H376" s="1">
        <v>1.0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</row>
    <row r="377">
      <c r="A377" s="1" t="s">
        <v>73</v>
      </c>
      <c r="B377" s="1" t="s">
        <v>180</v>
      </c>
      <c r="C377" s="1" t="s">
        <v>26</v>
      </c>
      <c r="D377" s="1">
        <v>5.0</v>
      </c>
      <c r="E377" s="1">
        <v>2.0</v>
      </c>
      <c r="F377" s="1">
        <v>5.0</v>
      </c>
      <c r="G377" s="1">
        <v>1.0</v>
      </c>
      <c r="H377" s="1">
        <v>1.0</v>
      </c>
      <c r="I377" s="1">
        <v>0.0</v>
      </c>
      <c r="J377" s="1">
        <v>0.0</v>
      </c>
      <c r="K377" s="1">
        <v>0.0</v>
      </c>
      <c r="L377" s="1">
        <v>0.0</v>
      </c>
      <c r="M377" s="1">
        <v>0.0</v>
      </c>
    </row>
    <row r="378">
      <c r="A378" s="1" t="s">
        <v>73</v>
      </c>
      <c r="B378" s="1" t="s">
        <v>180</v>
      </c>
      <c r="C378" s="1" t="s">
        <v>26</v>
      </c>
      <c r="D378" s="1">
        <v>5.0</v>
      </c>
      <c r="E378" s="1">
        <v>3.0</v>
      </c>
      <c r="F378" s="1">
        <v>5.0</v>
      </c>
      <c r="G378" s="1">
        <v>1.0</v>
      </c>
      <c r="H378" s="1">
        <v>1.0</v>
      </c>
      <c r="I378" s="1">
        <v>0.0355</v>
      </c>
      <c r="J378" s="1">
        <v>0.0355</v>
      </c>
      <c r="K378" s="1">
        <v>0.0355</v>
      </c>
      <c r="L378" s="1">
        <v>0.0355</v>
      </c>
      <c r="M378" s="1">
        <v>0.0327</v>
      </c>
    </row>
    <row r="379">
      <c r="A379" s="1" t="s">
        <v>73</v>
      </c>
      <c r="B379" s="1" t="s">
        <v>180</v>
      </c>
      <c r="C379" s="1" t="s">
        <v>26</v>
      </c>
      <c r="D379" s="1">
        <v>5.0</v>
      </c>
      <c r="E379" s="1">
        <v>4.0</v>
      </c>
      <c r="F379" s="1">
        <v>5.0</v>
      </c>
      <c r="G379" s="1">
        <v>1.0</v>
      </c>
      <c r="H379" s="1">
        <v>1.0</v>
      </c>
      <c r="I379" s="1">
        <v>0.9787</v>
      </c>
      <c r="J379" s="1">
        <v>0.9787</v>
      </c>
      <c r="K379" s="1">
        <v>0.9787</v>
      </c>
      <c r="L379" s="1">
        <v>0.9787</v>
      </c>
      <c r="M379" s="1">
        <v>0.9804</v>
      </c>
    </row>
    <row r="380">
      <c r="A380" s="1" t="s">
        <v>73</v>
      </c>
      <c r="B380" s="1" t="s">
        <v>180</v>
      </c>
      <c r="C380" s="1" t="s">
        <v>26</v>
      </c>
      <c r="D380" s="1">
        <v>5.0</v>
      </c>
      <c r="E380" s="1">
        <v>5.0</v>
      </c>
      <c r="F380" s="1">
        <v>5.0</v>
      </c>
      <c r="G380" s="1">
        <v>1.0</v>
      </c>
      <c r="H380" s="1">
        <v>1.0</v>
      </c>
      <c r="I380" s="1">
        <v>1.0</v>
      </c>
      <c r="J380" s="1">
        <v>1.0</v>
      </c>
      <c r="K380" s="1">
        <v>1.0</v>
      </c>
      <c r="L380" s="1">
        <v>1.0</v>
      </c>
      <c r="M380" s="1">
        <v>1.0</v>
      </c>
    </row>
    <row r="381">
      <c r="A381" s="1" t="s">
        <v>47</v>
      </c>
      <c r="B381" s="1" t="s">
        <v>180</v>
      </c>
      <c r="C381" s="1" t="s">
        <v>19</v>
      </c>
      <c r="D381" s="1">
        <v>1.0</v>
      </c>
      <c r="E381" s="1">
        <v>1.0</v>
      </c>
      <c r="F381" s="1">
        <v>3.0</v>
      </c>
      <c r="G381" s="1">
        <v>5.0</v>
      </c>
      <c r="H381" s="1">
        <v>6938.0</v>
      </c>
      <c r="I381" s="1">
        <v>0.4278</v>
      </c>
      <c r="J381" s="1">
        <v>0.322</v>
      </c>
      <c r="K381" s="1">
        <v>0.0</v>
      </c>
      <c r="L381" s="1">
        <v>0.9872</v>
      </c>
      <c r="M381" s="1">
        <v>0.4277</v>
      </c>
    </row>
    <row r="382">
      <c r="A382" s="1" t="s">
        <v>47</v>
      </c>
      <c r="B382" s="1" t="s">
        <v>180</v>
      </c>
      <c r="C382" s="1" t="s">
        <v>19</v>
      </c>
      <c r="D382" s="1">
        <v>1.0</v>
      </c>
      <c r="E382" s="1">
        <v>2.0</v>
      </c>
      <c r="F382" s="1">
        <v>3.0</v>
      </c>
      <c r="G382" s="1">
        <v>5.0</v>
      </c>
      <c r="H382" s="1">
        <v>6938.0</v>
      </c>
      <c r="I382" s="1">
        <v>0.9294</v>
      </c>
      <c r="J382" s="1">
        <v>1.0</v>
      </c>
      <c r="K382" s="1">
        <v>1.0</v>
      </c>
      <c r="L382" s="1">
        <v>1.0</v>
      </c>
      <c r="M382" s="1">
        <v>0.9293</v>
      </c>
    </row>
    <row r="383">
      <c r="A383" s="1" t="s">
        <v>47</v>
      </c>
      <c r="B383" s="1" t="s">
        <v>180</v>
      </c>
      <c r="C383" s="1" t="s">
        <v>19</v>
      </c>
      <c r="D383" s="1">
        <v>1.0</v>
      </c>
      <c r="E383" s="1">
        <v>3.0</v>
      </c>
      <c r="F383" s="1">
        <v>3.0</v>
      </c>
      <c r="G383" s="1">
        <v>2.0</v>
      </c>
      <c r="H383" s="1">
        <v>6930.0</v>
      </c>
      <c r="I383" s="1">
        <v>1.0</v>
      </c>
      <c r="J383" s="1">
        <v>1.0</v>
      </c>
      <c r="K383" s="1">
        <v>1.0</v>
      </c>
      <c r="L383" s="1">
        <v>1.0</v>
      </c>
      <c r="M383" s="1">
        <v>1.0</v>
      </c>
    </row>
    <row r="384">
      <c r="A384" s="1" t="s">
        <v>47</v>
      </c>
      <c r="B384" s="1" t="s">
        <v>1192</v>
      </c>
      <c r="C384" s="1" t="s">
        <v>19</v>
      </c>
      <c r="D384" s="1">
        <v>1.0</v>
      </c>
      <c r="E384" s="1">
        <v>1.0</v>
      </c>
      <c r="F384" s="1">
        <v>3.0</v>
      </c>
      <c r="G384" s="1">
        <v>4.0</v>
      </c>
      <c r="H384" s="1">
        <v>1841.0</v>
      </c>
      <c r="I384" s="1">
        <v>0.4224</v>
      </c>
      <c r="J384" s="1">
        <v>0.3633</v>
      </c>
      <c r="K384" s="1">
        <v>0.0</v>
      </c>
      <c r="L384" s="1">
        <v>0.8224</v>
      </c>
      <c r="M384" s="1">
        <v>0.4239</v>
      </c>
    </row>
    <row r="385">
      <c r="A385" s="1" t="s">
        <v>47</v>
      </c>
      <c r="B385" s="1" t="s">
        <v>1192</v>
      </c>
      <c r="C385" s="1" t="s">
        <v>19</v>
      </c>
      <c r="D385" s="1">
        <v>1.0</v>
      </c>
      <c r="E385" s="1">
        <v>2.0</v>
      </c>
      <c r="F385" s="1">
        <v>3.0</v>
      </c>
      <c r="G385" s="1">
        <v>4.0</v>
      </c>
      <c r="H385" s="1">
        <v>1841.0</v>
      </c>
      <c r="I385" s="1">
        <v>0.9322</v>
      </c>
      <c r="J385" s="1">
        <v>1.0</v>
      </c>
      <c r="K385" s="1">
        <v>1.0</v>
      </c>
      <c r="L385" s="1">
        <v>1.0</v>
      </c>
      <c r="M385" s="1">
        <v>0.9324</v>
      </c>
    </row>
    <row r="386">
      <c r="A386" s="1" t="s">
        <v>47</v>
      </c>
      <c r="B386" s="1" t="s">
        <v>1192</v>
      </c>
      <c r="C386" s="1" t="s">
        <v>19</v>
      </c>
      <c r="D386" s="1">
        <v>1.0</v>
      </c>
      <c r="E386" s="1">
        <v>3.0</v>
      </c>
      <c r="F386" s="1">
        <v>3.0</v>
      </c>
      <c r="G386" s="1">
        <v>2.0</v>
      </c>
      <c r="H386" s="1">
        <v>1836.0</v>
      </c>
      <c r="I386" s="1">
        <v>1.0</v>
      </c>
      <c r="J386" s="1">
        <v>1.0</v>
      </c>
      <c r="K386" s="1">
        <v>1.0</v>
      </c>
      <c r="L386" s="1">
        <v>1.0</v>
      </c>
      <c r="M386" s="1">
        <v>1.0</v>
      </c>
    </row>
    <row r="387">
      <c r="A387" s="1" t="s">
        <v>47</v>
      </c>
      <c r="B387" s="1" t="s">
        <v>180</v>
      </c>
      <c r="C387" s="1" t="s">
        <v>21</v>
      </c>
      <c r="D387" s="1">
        <v>2.0</v>
      </c>
      <c r="E387" s="1">
        <v>1.0</v>
      </c>
      <c r="F387" s="1">
        <v>3.0</v>
      </c>
      <c r="G387" s="1">
        <v>5.0</v>
      </c>
      <c r="H387" s="1">
        <v>8456.0</v>
      </c>
      <c r="I387" s="1">
        <v>0.4513</v>
      </c>
      <c r="J387" s="1">
        <v>0.4125</v>
      </c>
      <c r="K387" s="1">
        <v>0.0</v>
      </c>
      <c r="L387" s="1">
        <v>0.9117</v>
      </c>
      <c r="M387" s="1">
        <v>0.4522</v>
      </c>
    </row>
    <row r="388">
      <c r="A388" s="1" t="s">
        <v>47</v>
      </c>
      <c r="B388" s="1" t="s">
        <v>180</v>
      </c>
      <c r="C388" s="1" t="s">
        <v>21</v>
      </c>
      <c r="D388" s="1">
        <v>2.0</v>
      </c>
      <c r="E388" s="1">
        <v>2.0</v>
      </c>
      <c r="F388" s="1">
        <v>3.0</v>
      </c>
      <c r="G388" s="1">
        <v>5.0</v>
      </c>
      <c r="H388" s="1">
        <v>8456.0</v>
      </c>
      <c r="I388" s="1">
        <v>0.9397</v>
      </c>
      <c r="J388" s="1">
        <v>1.0</v>
      </c>
      <c r="K388" s="1">
        <v>1.0</v>
      </c>
      <c r="L388" s="1">
        <v>1.0</v>
      </c>
      <c r="M388" s="1">
        <v>0.9399</v>
      </c>
    </row>
    <row r="389">
      <c r="A389" s="1" t="s">
        <v>47</v>
      </c>
      <c r="B389" s="1" t="s">
        <v>180</v>
      </c>
      <c r="C389" s="1" t="s">
        <v>21</v>
      </c>
      <c r="D389" s="1">
        <v>2.0</v>
      </c>
      <c r="E389" s="1">
        <v>3.0</v>
      </c>
      <c r="F389" s="1">
        <v>3.0</v>
      </c>
      <c r="G389" s="1">
        <v>2.0</v>
      </c>
      <c r="H389" s="1">
        <v>8448.0</v>
      </c>
      <c r="I389" s="1">
        <v>1.0</v>
      </c>
      <c r="J389" s="1">
        <v>1.0</v>
      </c>
      <c r="K389" s="1">
        <v>1.0</v>
      </c>
      <c r="L389" s="1">
        <v>1.0</v>
      </c>
      <c r="M389" s="1">
        <v>1.0</v>
      </c>
    </row>
    <row r="390">
      <c r="A390" s="1" t="s">
        <v>47</v>
      </c>
      <c r="B390" s="1" t="s">
        <v>1192</v>
      </c>
      <c r="C390" s="1" t="s">
        <v>21</v>
      </c>
      <c r="D390" s="1">
        <v>2.0</v>
      </c>
      <c r="E390" s="1">
        <v>1.0</v>
      </c>
      <c r="F390" s="1">
        <v>3.0</v>
      </c>
      <c r="G390" s="1">
        <v>5.0</v>
      </c>
      <c r="H390" s="1">
        <v>1447.0</v>
      </c>
      <c r="I390" s="1">
        <v>0.4493</v>
      </c>
      <c r="J390" s="1">
        <v>0.4391</v>
      </c>
      <c r="K390" s="1">
        <v>0.0073</v>
      </c>
      <c r="L390" s="1">
        <v>0.7803</v>
      </c>
      <c r="M390" s="1">
        <v>0.4484</v>
      </c>
    </row>
    <row r="391">
      <c r="A391" s="1" t="s">
        <v>47</v>
      </c>
      <c r="B391" s="1" t="s">
        <v>1192</v>
      </c>
      <c r="C391" s="1" t="s">
        <v>21</v>
      </c>
      <c r="D391" s="1">
        <v>2.0</v>
      </c>
      <c r="E391" s="1">
        <v>2.0</v>
      </c>
      <c r="F391" s="1">
        <v>3.0</v>
      </c>
      <c r="G391" s="1">
        <v>5.0</v>
      </c>
      <c r="H391" s="1">
        <v>1447.0</v>
      </c>
      <c r="I391" s="1">
        <v>0.9431</v>
      </c>
      <c r="J391" s="1">
        <v>1.0</v>
      </c>
      <c r="K391" s="1">
        <v>1.0</v>
      </c>
      <c r="L391" s="1">
        <v>1.0</v>
      </c>
      <c r="M391" s="1">
        <v>0.9431</v>
      </c>
    </row>
    <row r="392">
      <c r="A392" s="1" t="s">
        <v>47</v>
      </c>
      <c r="B392" s="1" t="s">
        <v>1192</v>
      </c>
      <c r="C392" s="1" t="s">
        <v>21</v>
      </c>
      <c r="D392" s="1">
        <v>2.0</v>
      </c>
      <c r="E392" s="1">
        <v>3.0</v>
      </c>
      <c r="F392" s="1">
        <v>3.0</v>
      </c>
      <c r="G392" s="1">
        <v>2.0</v>
      </c>
      <c r="H392" s="1">
        <v>1443.0</v>
      </c>
      <c r="I392" s="1">
        <v>1.0</v>
      </c>
      <c r="J392" s="1">
        <v>1.0</v>
      </c>
      <c r="K392" s="1">
        <v>1.0</v>
      </c>
      <c r="L392" s="1">
        <v>1.0</v>
      </c>
      <c r="M392" s="1">
        <v>1.0</v>
      </c>
    </row>
    <row r="393">
      <c r="A393" s="1" t="s">
        <v>47</v>
      </c>
      <c r="B393" s="1" t="s">
        <v>180</v>
      </c>
      <c r="C393" s="1" t="s">
        <v>22</v>
      </c>
      <c r="D393" s="1">
        <v>3.0</v>
      </c>
      <c r="E393" s="1">
        <v>1.0</v>
      </c>
      <c r="F393" s="1">
        <v>3.0</v>
      </c>
      <c r="G393" s="1">
        <v>4.0</v>
      </c>
      <c r="H393" s="1">
        <v>8235.0</v>
      </c>
      <c r="I393" s="1">
        <v>0.4554</v>
      </c>
      <c r="J393" s="1">
        <v>0.4354</v>
      </c>
      <c r="K393" s="1">
        <v>0.0018</v>
      </c>
      <c r="L393" s="1">
        <v>0.8337</v>
      </c>
      <c r="M393" s="1">
        <v>0.4564</v>
      </c>
    </row>
    <row r="394">
      <c r="A394" s="1" t="s">
        <v>47</v>
      </c>
      <c r="B394" s="1" t="s">
        <v>180</v>
      </c>
      <c r="C394" s="1" t="s">
        <v>22</v>
      </c>
      <c r="D394" s="1">
        <v>3.0</v>
      </c>
      <c r="E394" s="1">
        <v>2.0</v>
      </c>
      <c r="F394" s="1">
        <v>3.0</v>
      </c>
      <c r="G394" s="1">
        <v>4.0</v>
      </c>
      <c r="H394" s="1">
        <v>8235.0</v>
      </c>
      <c r="I394" s="1">
        <v>0.9386</v>
      </c>
      <c r="J394" s="1">
        <v>1.0</v>
      </c>
      <c r="K394" s="1">
        <v>0.9993</v>
      </c>
      <c r="L394" s="1">
        <v>1.0</v>
      </c>
      <c r="M394" s="1">
        <v>0.939</v>
      </c>
    </row>
    <row r="395">
      <c r="A395" s="1" t="s">
        <v>47</v>
      </c>
      <c r="B395" s="1" t="s">
        <v>180</v>
      </c>
      <c r="C395" s="1" t="s">
        <v>22</v>
      </c>
      <c r="D395" s="1">
        <v>3.0</v>
      </c>
      <c r="E395" s="1">
        <v>3.0</v>
      </c>
      <c r="F395" s="1">
        <v>3.0</v>
      </c>
      <c r="G395" s="1">
        <v>2.0</v>
      </c>
      <c r="H395" s="1">
        <v>8227.0</v>
      </c>
      <c r="I395" s="1">
        <v>1.0</v>
      </c>
      <c r="J395" s="1">
        <v>1.0</v>
      </c>
      <c r="K395" s="1">
        <v>1.0</v>
      </c>
      <c r="L395" s="1">
        <v>1.0</v>
      </c>
      <c r="M395" s="1">
        <v>1.0</v>
      </c>
    </row>
    <row r="396">
      <c r="A396" s="1" t="s">
        <v>47</v>
      </c>
      <c r="B396" s="1" t="s">
        <v>1192</v>
      </c>
      <c r="C396" s="1" t="s">
        <v>22</v>
      </c>
      <c r="D396" s="1">
        <v>3.0</v>
      </c>
      <c r="E396" s="1">
        <v>1.0</v>
      </c>
      <c r="F396" s="1">
        <v>3.0</v>
      </c>
      <c r="G396" s="1">
        <v>5.0</v>
      </c>
      <c r="H396" s="1">
        <v>1098.0</v>
      </c>
      <c r="I396" s="1">
        <v>0.4626</v>
      </c>
      <c r="J396" s="1">
        <v>0.4532</v>
      </c>
      <c r="K396" s="1">
        <v>0.1108</v>
      </c>
      <c r="L396" s="1">
        <v>0.7629</v>
      </c>
      <c r="M396" s="1">
        <v>0.4626</v>
      </c>
    </row>
    <row r="397">
      <c r="A397" s="1" t="s">
        <v>47</v>
      </c>
      <c r="B397" s="1" t="s">
        <v>1192</v>
      </c>
      <c r="C397" s="1" t="s">
        <v>22</v>
      </c>
      <c r="D397" s="1">
        <v>3.0</v>
      </c>
      <c r="E397" s="1">
        <v>2.0</v>
      </c>
      <c r="F397" s="1">
        <v>3.0</v>
      </c>
      <c r="G397" s="1">
        <v>5.0</v>
      </c>
      <c r="H397" s="1">
        <v>1098.0</v>
      </c>
      <c r="I397" s="1">
        <v>0.9401</v>
      </c>
      <c r="J397" s="1">
        <v>1.0</v>
      </c>
      <c r="K397" s="1">
        <v>0.9921</v>
      </c>
      <c r="L397" s="1">
        <v>1.0</v>
      </c>
      <c r="M397" s="1">
        <v>0.9401</v>
      </c>
    </row>
    <row r="398">
      <c r="A398" s="1" t="s">
        <v>47</v>
      </c>
      <c r="B398" s="1" t="s">
        <v>1192</v>
      </c>
      <c r="C398" s="1" t="s">
        <v>22</v>
      </c>
      <c r="D398" s="1">
        <v>3.0</v>
      </c>
      <c r="E398" s="1">
        <v>3.0</v>
      </c>
      <c r="F398" s="1">
        <v>3.0</v>
      </c>
      <c r="G398" s="1">
        <v>2.0</v>
      </c>
      <c r="H398" s="1">
        <v>1096.0</v>
      </c>
      <c r="I398" s="1">
        <v>1.0</v>
      </c>
      <c r="J398" s="1">
        <v>1.0</v>
      </c>
      <c r="K398" s="1">
        <v>1.0</v>
      </c>
      <c r="L398" s="1">
        <v>1.0</v>
      </c>
      <c r="M398" s="1">
        <v>1.0</v>
      </c>
    </row>
    <row r="399">
      <c r="A399" s="1" t="s">
        <v>47</v>
      </c>
      <c r="B399" s="1" t="s">
        <v>180</v>
      </c>
      <c r="C399" s="1" t="s">
        <v>24</v>
      </c>
      <c r="D399" s="1">
        <v>4.0</v>
      </c>
      <c r="E399" s="1">
        <v>1.0</v>
      </c>
      <c r="F399" s="1">
        <v>3.0</v>
      </c>
      <c r="G399" s="1">
        <v>5.0</v>
      </c>
      <c r="H399" s="1">
        <v>4903.0</v>
      </c>
      <c r="I399" s="1">
        <v>0.4607</v>
      </c>
      <c r="J399" s="1">
        <v>0.4676</v>
      </c>
      <c r="K399" s="1">
        <v>0.0662</v>
      </c>
      <c r="L399" s="1">
        <v>0.7509</v>
      </c>
      <c r="M399" s="1">
        <v>0.464</v>
      </c>
    </row>
    <row r="400">
      <c r="A400" s="1" t="s">
        <v>47</v>
      </c>
      <c r="B400" s="1" t="s">
        <v>180</v>
      </c>
      <c r="C400" s="1" t="s">
        <v>24</v>
      </c>
      <c r="D400" s="1">
        <v>4.0</v>
      </c>
      <c r="E400" s="1">
        <v>2.0</v>
      </c>
      <c r="F400" s="1">
        <v>3.0</v>
      </c>
      <c r="G400" s="1">
        <v>5.0</v>
      </c>
      <c r="H400" s="1">
        <v>4903.0</v>
      </c>
      <c r="I400" s="1">
        <v>0.9457</v>
      </c>
      <c r="J400" s="1">
        <v>1.0</v>
      </c>
      <c r="K400" s="1">
        <v>0.9894</v>
      </c>
      <c r="L400" s="1">
        <v>1.0</v>
      </c>
      <c r="M400" s="1">
        <v>0.9466</v>
      </c>
    </row>
    <row r="401">
      <c r="A401" s="1" t="s">
        <v>47</v>
      </c>
      <c r="B401" s="1" t="s">
        <v>180</v>
      </c>
      <c r="C401" s="1" t="s">
        <v>24</v>
      </c>
      <c r="D401" s="1">
        <v>4.0</v>
      </c>
      <c r="E401" s="1">
        <v>3.0</v>
      </c>
      <c r="F401" s="1">
        <v>3.0</v>
      </c>
      <c r="G401" s="1">
        <v>2.0</v>
      </c>
      <c r="H401" s="1">
        <v>4887.0</v>
      </c>
      <c r="I401" s="1">
        <v>1.0</v>
      </c>
      <c r="J401" s="1">
        <v>1.0</v>
      </c>
      <c r="K401" s="1">
        <v>1.0</v>
      </c>
      <c r="L401" s="1">
        <v>1.0</v>
      </c>
      <c r="M401" s="1">
        <v>1.0</v>
      </c>
    </row>
    <row r="402">
      <c r="A402" s="1" t="s">
        <v>47</v>
      </c>
      <c r="B402" s="1" t="s">
        <v>1192</v>
      </c>
      <c r="C402" s="1" t="s">
        <v>24</v>
      </c>
      <c r="D402" s="1">
        <v>4.0</v>
      </c>
      <c r="E402" s="1">
        <v>1.0</v>
      </c>
      <c r="F402" s="1">
        <v>3.0</v>
      </c>
      <c r="G402" s="1">
        <v>4.0</v>
      </c>
      <c r="H402" s="1">
        <v>711.0</v>
      </c>
      <c r="I402" s="1">
        <v>0.486</v>
      </c>
      <c r="J402" s="1">
        <v>0.5036</v>
      </c>
      <c r="K402" s="1">
        <v>0.1909</v>
      </c>
      <c r="L402" s="1">
        <v>0.7518</v>
      </c>
      <c r="M402" s="1">
        <v>0.4874</v>
      </c>
    </row>
    <row r="403">
      <c r="A403" s="1" t="s">
        <v>47</v>
      </c>
      <c r="B403" s="1" t="s">
        <v>1192</v>
      </c>
      <c r="C403" s="1" t="s">
        <v>24</v>
      </c>
      <c r="D403" s="1">
        <v>4.0</v>
      </c>
      <c r="E403" s="1">
        <v>2.0</v>
      </c>
      <c r="F403" s="1">
        <v>3.0</v>
      </c>
      <c r="G403" s="1">
        <v>4.0</v>
      </c>
      <c r="H403" s="1">
        <v>711.0</v>
      </c>
      <c r="I403" s="1">
        <v>0.9502</v>
      </c>
      <c r="J403" s="1">
        <v>1.0</v>
      </c>
      <c r="K403" s="1">
        <v>0.9881</v>
      </c>
      <c r="L403" s="1">
        <v>1.0</v>
      </c>
      <c r="M403" s="1">
        <v>0.9509</v>
      </c>
    </row>
    <row r="404">
      <c r="A404" s="1" t="s">
        <v>47</v>
      </c>
      <c r="B404" s="1" t="s">
        <v>1192</v>
      </c>
      <c r="C404" s="1" t="s">
        <v>24</v>
      </c>
      <c r="D404" s="1">
        <v>4.0</v>
      </c>
      <c r="E404" s="1">
        <v>3.0</v>
      </c>
      <c r="F404" s="1">
        <v>3.0</v>
      </c>
      <c r="G404" s="1">
        <v>2.0</v>
      </c>
      <c r="H404" s="1">
        <v>708.0</v>
      </c>
      <c r="I404" s="1">
        <v>1.0</v>
      </c>
      <c r="J404" s="1">
        <v>1.0</v>
      </c>
      <c r="K404" s="1">
        <v>1.0</v>
      </c>
      <c r="L404" s="1">
        <v>1.0</v>
      </c>
      <c r="M404" s="1">
        <v>1.0</v>
      </c>
    </row>
    <row r="405">
      <c r="A405" s="1" t="s">
        <v>47</v>
      </c>
      <c r="B405" s="1" t="s">
        <v>180</v>
      </c>
      <c r="C405" s="1" t="s">
        <v>26</v>
      </c>
      <c r="D405" s="1">
        <v>5.0</v>
      </c>
      <c r="E405" s="1">
        <v>1.0</v>
      </c>
      <c r="F405" s="1">
        <v>3.0</v>
      </c>
      <c r="G405" s="1">
        <v>3.0</v>
      </c>
      <c r="H405" s="1">
        <v>717.0</v>
      </c>
      <c r="I405" s="1">
        <v>0.4335</v>
      </c>
      <c r="J405" s="1">
        <v>0.4683</v>
      </c>
      <c r="K405" s="1">
        <v>0.0</v>
      </c>
      <c r="L405" s="1">
        <v>0.7011</v>
      </c>
      <c r="M405" s="1">
        <v>0.4367</v>
      </c>
    </row>
    <row r="406">
      <c r="A406" s="1" t="s">
        <v>47</v>
      </c>
      <c r="B406" s="1" t="s">
        <v>180</v>
      </c>
      <c r="C406" s="1" t="s">
        <v>26</v>
      </c>
      <c r="D406" s="1">
        <v>5.0</v>
      </c>
      <c r="E406" s="1">
        <v>2.0</v>
      </c>
      <c r="F406" s="1">
        <v>3.0</v>
      </c>
      <c r="G406" s="1">
        <v>3.0</v>
      </c>
      <c r="H406" s="1">
        <v>717.0</v>
      </c>
      <c r="I406" s="1">
        <v>0.9332</v>
      </c>
      <c r="J406" s="1">
        <v>1.0</v>
      </c>
      <c r="K406" s="1">
        <v>0.9769</v>
      </c>
      <c r="L406" s="1">
        <v>1.0</v>
      </c>
      <c r="M406" s="1">
        <v>0.9348</v>
      </c>
    </row>
    <row r="407">
      <c r="A407" s="1" t="s">
        <v>47</v>
      </c>
      <c r="B407" s="1" t="s">
        <v>180</v>
      </c>
      <c r="C407" s="1" t="s">
        <v>26</v>
      </c>
      <c r="D407" s="1">
        <v>5.0</v>
      </c>
      <c r="E407" s="1">
        <v>3.0</v>
      </c>
      <c r="F407" s="1">
        <v>3.0</v>
      </c>
      <c r="G407" s="1">
        <v>2.0</v>
      </c>
      <c r="H407" s="1">
        <v>714.0</v>
      </c>
      <c r="I407" s="1">
        <v>1.0</v>
      </c>
      <c r="J407" s="1">
        <v>1.0</v>
      </c>
      <c r="K407" s="1">
        <v>1.0</v>
      </c>
      <c r="L407" s="1">
        <v>1.0</v>
      </c>
      <c r="M407" s="1">
        <v>1.0</v>
      </c>
    </row>
    <row r="408">
      <c r="A408" s="1" t="s">
        <v>47</v>
      </c>
      <c r="B408" s="1" t="s">
        <v>1192</v>
      </c>
      <c r="C408" s="1" t="s">
        <v>26</v>
      </c>
      <c r="D408" s="1">
        <v>5.0</v>
      </c>
      <c r="E408" s="1">
        <v>1.0</v>
      </c>
      <c r="F408" s="1">
        <v>3.0</v>
      </c>
      <c r="G408" s="1">
        <v>2.0</v>
      </c>
      <c r="H408" s="1">
        <v>141.0</v>
      </c>
      <c r="I408" s="1">
        <v>0.4181</v>
      </c>
      <c r="J408" s="1">
        <v>0.4284</v>
      </c>
      <c r="K408" s="1">
        <v>0.011</v>
      </c>
      <c r="L408" s="1">
        <v>0.689</v>
      </c>
      <c r="M408" s="1">
        <v>0.4199</v>
      </c>
    </row>
    <row r="409">
      <c r="A409" s="1" t="s">
        <v>47</v>
      </c>
      <c r="B409" s="1" t="s">
        <v>1192</v>
      </c>
      <c r="C409" s="1" t="s">
        <v>26</v>
      </c>
      <c r="D409" s="1">
        <v>5.0</v>
      </c>
      <c r="E409" s="1">
        <v>2.0</v>
      </c>
      <c r="F409" s="1">
        <v>3.0</v>
      </c>
      <c r="G409" s="1">
        <v>2.0</v>
      </c>
      <c r="H409" s="1">
        <v>141.0</v>
      </c>
      <c r="I409" s="1">
        <v>0.94</v>
      </c>
      <c r="J409" s="1">
        <v>1.0</v>
      </c>
      <c r="K409" s="1">
        <v>0.9832</v>
      </c>
      <c r="L409" s="1">
        <v>1.0</v>
      </c>
      <c r="M409" s="1">
        <v>0.9415</v>
      </c>
    </row>
    <row r="410">
      <c r="A410" s="1" t="s">
        <v>47</v>
      </c>
      <c r="B410" s="1" t="s">
        <v>1192</v>
      </c>
      <c r="C410" s="1" t="s">
        <v>26</v>
      </c>
      <c r="D410" s="1">
        <v>5.0</v>
      </c>
      <c r="E410" s="1">
        <v>3.0</v>
      </c>
      <c r="F410" s="1">
        <v>3.0</v>
      </c>
      <c r="G410" s="1">
        <v>2.0</v>
      </c>
      <c r="H410" s="1">
        <v>141.0</v>
      </c>
      <c r="I410" s="1">
        <v>1.0</v>
      </c>
      <c r="J410" s="1">
        <v>1.0</v>
      </c>
      <c r="K410" s="1">
        <v>1.0</v>
      </c>
      <c r="L410" s="1">
        <v>1.0</v>
      </c>
      <c r="M410" s="1">
        <v>1.0</v>
      </c>
    </row>
    <row r="411">
      <c r="A411" s="1" t="s">
        <v>151</v>
      </c>
      <c r="B411" s="1" t="s">
        <v>180</v>
      </c>
      <c r="C411" s="1" t="s">
        <v>19</v>
      </c>
      <c r="D411" s="1">
        <v>1.0</v>
      </c>
      <c r="E411" s="1">
        <v>1.0</v>
      </c>
      <c r="F411" s="1">
        <v>8.0</v>
      </c>
      <c r="G411" s="1">
        <v>1.0</v>
      </c>
      <c r="H411" s="1">
        <v>60.0</v>
      </c>
      <c r="I411" s="1">
        <v>0.1551</v>
      </c>
      <c r="J411" s="1">
        <v>0.0</v>
      </c>
      <c r="K411" s="1">
        <v>0.0</v>
      </c>
      <c r="L411" s="1">
        <v>0.06</v>
      </c>
      <c r="M411" s="1">
        <v>0.1545</v>
      </c>
    </row>
    <row r="412">
      <c r="A412" s="1" t="s">
        <v>151</v>
      </c>
      <c r="B412" s="1" t="s">
        <v>180</v>
      </c>
      <c r="C412" s="1" t="s">
        <v>19</v>
      </c>
      <c r="D412" s="1">
        <v>1.0</v>
      </c>
      <c r="E412" s="1">
        <v>2.0</v>
      </c>
      <c r="F412" s="1">
        <v>8.0</v>
      </c>
      <c r="G412" s="1">
        <v>1.0</v>
      </c>
      <c r="H412" s="1">
        <v>60.0</v>
      </c>
      <c r="I412" s="1">
        <v>0.4021</v>
      </c>
      <c r="J412" s="1">
        <v>0.2222</v>
      </c>
      <c r="K412" s="1">
        <v>0.0</v>
      </c>
      <c r="L412" s="1">
        <v>1.0</v>
      </c>
      <c r="M412" s="1">
        <v>0.3949</v>
      </c>
    </row>
    <row r="413">
      <c r="A413" s="1" t="s">
        <v>151</v>
      </c>
      <c r="B413" s="1" t="s">
        <v>180</v>
      </c>
      <c r="C413" s="1" t="s">
        <v>19</v>
      </c>
      <c r="D413" s="1">
        <v>1.0</v>
      </c>
      <c r="E413" s="1">
        <v>3.0</v>
      </c>
      <c r="F413" s="1">
        <v>8.0</v>
      </c>
      <c r="G413" s="1">
        <v>1.0</v>
      </c>
      <c r="H413" s="1">
        <v>60.0</v>
      </c>
      <c r="I413" s="1">
        <v>0.5217</v>
      </c>
      <c r="J413" s="1">
        <v>0.5625</v>
      </c>
      <c r="K413" s="1">
        <v>0.0345</v>
      </c>
      <c r="L413" s="1">
        <v>1.0</v>
      </c>
      <c r="M413" s="1">
        <v>0.5124</v>
      </c>
    </row>
    <row r="414">
      <c r="A414" s="1" t="s">
        <v>151</v>
      </c>
      <c r="B414" s="1" t="s">
        <v>180</v>
      </c>
      <c r="C414" s="1" t="s">
        <v>19</v>
      </c>
      <c r="D414" s="1">
        <v>1.0</v>
      </c>
      <c r="E414" s="1">
        <v>4.0</v>
      </c>
      <c r="F414" s="1">
        <v>8.0</v>
      </c>
      <c r="G414" s="1">
        <v>1.0</v>
      </c>
      <c r="H414" s="1">
        <v>60.0</v>
      </c>
      <c r="I414" s="1">
        <v>0.6234</v>
      </c>
      <c r="J414" s="1">
        <v>0.8462</v>
      </c>
      <c r="K414" s="1">
        <v>0.25</v>
      </c>
      <c r="L414" s="1">
        <v>1.0</v>
      </c>
      <c r="M414" s="1">
        <v>0.6164</v>
      </c>
    </row>
    <row r="415">
      <c r="A415" s="1" t="s">
        <v>151</v>
      </c>
      <c r="B415" s="1" t="s">
        <v>180</v>
      </c>
      <c r="C415" s="1" t="s">
        <v>19</v>
      </c>
      <c r="D415" s="1">
        <v>1.0</v>
      </c>
      <c r="E415" s="1">
        <v>5.0</v>
      </c>
      <c r="F415" s="1">
        <v>8.0</v>
      </c>
      <c r="G415" s="1">
        <v>1.0</v>
      </c>
      <c r="H415" s="1">
        <v>60.0</v>
      </c>
      <c r="I415" s="1">
        <v>0.7105</v>
      </c>
      <c r="J415" s="1">
        <v>0.8889</v>
      </c>
      <c r="K415" s="1">
        <v>0.6</v>
      </c>
      <c r="L415" s="1">
        <v>1.0</v>
      </c>
      <c r="M415" s="1">
        <v>0.7076</v>
      </c>
    </row>
    <row r="416">
      <c r="A416" s="1" t="s">
        <v>151</v>
      </c>
      <c r="B416" s="1" t="s">
        <v>180</v>
      </c>
      <c r="C416" s="1" t="s">
        <v>19</v>
      </c>
      <c r="D416" s="1">
        <v>1.0</v>
      </c>
      <c r="E416" s="1">
        <v>6.0</v>
      </c>
      <c r="F416" s="1">
        <v>8.0</v>
      </c>
      <c r="G416" s="1">
        <v>1.0</v>
      </c>
      <c r="H416" s="1">
        <v>60.0</v>
      </c>
      <c r="I416" s="1">
        <v>0.823</v>
      </c>
      <c r="J416" s="1">
        <v>1.0</v>
      </c>
      <c r="K416" s="1">
        <v>0.7931</v>
      </c>
      <c r="L416" s="1">
        <v>1.0</v>
      </c>
      <c r="M416" s="1">
        <v>0.8229</v>
      </c>
    </row>
    <row r="417">
      <c r="A417" s="1" t="s">
        <v>151</v>
      </c>
      <c r="B417" s="1" t="s">
        <v>180</v>
      </c>
      <c r="C417" s="1" t="s">
        <v>19</v>
      </c>
      <c r="D417" s="1">
        <v>1.0</v>
      </c>
      <c r="E417" s="1">
        <v>7.0</v>
      </c>
      <c r="F417" s="1">
        <v>8.0</v>
      </c>
      <c r="G417" s="1">
        <v>1.0</v>
      </c>
      <c r="H417" s="1">
        <v>60.0</v>
      </c>
      <c r="I417" s="1">
        <v>0.9797</v>
      </c>
      <c r="J417" s="1">
        <v>1.0</v>
      </c>
      <c r="K417" s="1">
        <v>1.0</v>
      </c>
      <c r="L417" s="1">
        <v>1.0</v>
      </c>
      <c r="M417" s="1">
        <v>0.9795</v>
      </c>
    </row>
    <row r="418">
      <c r="A418" s="1" t="s">
        <v>151</v>
      </c>
      <c r="B418" s="1" t="s">
        <v>180</v>
      </c>
      <c r="C418" s="1" t="s">
        <v>19</v>
      </c>
      <c r="D418" s="1">
        <v>1.0</v>
      </c>
      <c r="E418" s="1">
        <v>8.0</v>
      </c>
      <c r="F418" s="1">
        <v>8.0</v>
      </c>
      <c r="G418" s="1">
        <v>1.0</v>
      </c>
      <c r="H418" s="1">
        <v>60.0</v>
      </c>
      <c r="I418" s="1">
        <v>1.0</v>
      </c>
      <c r="J418" s="1">
        <v>1.0</v>
      </c>
      <c r="K418" s="1">
        <v>1.0</v>
      </c>
      <c r="L418" s="1">
        <v>1.0</v>
      </c>
      <c r="M418" s="1">
        <v>1.0</v>
      </c>
    </row>
    <row r="419">
      <c r="A419" s="1" t="s">
        <v>151</v>
      </c>
      <c r="B419" s="1" t="s">
        <v>1192</v>
      </c>
      <c r="C419" s="1" t="s">
        <v>19</v>
      </c>
      <c r="D419" s="1">
        <v>1.0</v>
      </c>
      <c r="E419" s="1">
        <v>1.0</v>
      </c>
      <c r="F419" s="1">
        <v>8.0</v>
      </c>
      <c r="G419" s="1">
        <v>1.0</v>
      </c>
      <c r="H419" s="1">
        <v>37.0</v>
      </c>
      <c r="I419" s="1">
        <v>0.2827</v>
      </c>
      <c r="J419" s="1">
        <v>0.0192</v>
      </c>
      <c r="K419" s="1">
        <v>0.0</v>
      </c>
      <c r="L419" s="1">
        <v>0.4857</v>
      </c>
      <c r="M419" s="1">
        <v>0.2802</v>
      </c>
    </row>
    <row r="420">
      <c r="A420" s="1" t="s">
        <v>151</v>
      </c>
      <c r="B420" s="1" t="s">
        <v>1192</v>
      </c>
      <c r="C420" s="1" t="s">
        <v>19</v>
      </c>
      <c r="D420" s="1">
        <v>1.0</v>
      </c>
      <c r="E420" s="1">
        <v>2.0</v>
      </c>
      <c r="F420" s="1">
        <v>8.0</v>
      </c>
      <c r="G420" s="1">
        <v>1.0</v>
      </c>
      <c r="H420" s="1">
        <v>37.0</v>
      </c>
      <c r="I420" s="1">
        <v>0.4383</v>
      </c>
      <c r="J420" s="1">
        <v>0.3654</v>
      </c>
      <c r="K420" s="1">
        <v>0.0065</v>
      </c>
      <c r="L420" s="1">
        <v>1.0</v>
      </c>
      <c r="M420" s="1">
        <v>0.4455</v>
      </c>
    </row>
    <row r="421">
      <c r="A421" s="1" t="s">
        <v>151</v>
      </c>
      <c r="B421" s="1" t="s">
        <v>1192</v>
      </c>
      <c r="C421" s="1" t="s">
        <v>19</v>
      </c>
      <c r="D421" s="1">
        <v>1.0</v>
      </c>
      <c r="E421" s="1">
        <v>3.0</v>
      </c>
      <c r="F421" s="1">
        <v>8.0</v>
      </c>
      <c r="G421" s="1">
        <v>1.0</v>
      </c>
      <c r="H421" s="1">
        <v>37.0</v>
      </c>
      <c r="I421" s="1">
        <v>0.5384</v>
      </c>
      <c r="J421" s="1">
        <v>0.5333</v>
      </c>
      <c r="K421" s="1">
        <v>0.12</v>
      </c>
      <c r="L421" s="1">
        <v>1.0</v>
      </c>
      <c r="M421" s="1">
        <v>0.5425</v>
      </c>
    </row>
    <row r="422">
      <c r="A422" s="1" t="s">
        <v>151</v>
      </c>
      <c r="B422" s="1" t="s">
        <v>1192</v>
      </c>
      <c r="C422" s="1" t="s">
        <v>19</v>
      </c>
      <c r="D422" s="1">
        <v>1.0</v>
      </c>
      <c r="E422" s="1">
        <v>4.0</v>
      </c>
      <c r="F422" s="1">
        <v>8.0</v>
      </c>
      <c r="G422" s="1">
        <v>1.0</v>
      </c>
      <c r="H422" s="1">
        <v>37.0</v>
      </c>
      <c r="I422" s="1">
        <v>0.637</v>
      </c>
      <c r="J422" s="1">
        <v>0.7288</v>
      </c>
      <c r="K422" s="1">
        <v>0.4231</v>
      </c>
      <c r="L422" s="1">
        <v>1.0</v>
      </c>
      <c r="M422" s="1">
        <v>0.644</v>
      </c>
    </row>
    <row r="423">
      <c r="A423" s="1" t="s">
        <v>151</v>
      </c>
      <c r="B423" s="1" t="s">
        <v>1192</v>
      </c>
      <c r="C423" s="1" t="s">
        <v>19</v>
      </c>
      <c r="D423" s="1">
        <v>1.0</v>
      </c>
      <c r="E423" s="1">
        <v>5.0</v>
      </c>
      <c r="F423" s="1">
        <v>8.0</v>
      </c>
      <c r="G423" s="1">
        <v>1.0</v>
      </c>
      <c r="H423" s="1">
        <v>37.0</v>
      </c>
      <c r="I423" s="1">
        <v>0.7118</v>
      </c>
      <c r="J423" s="1">
        <v>0.8667</v>
      </c>
      <c r="K423" s="1">
        <v>0.56</v>
      </c>
      <c r="L423" s="1">
        <v>1.0</v>
      </c>
      <c r="M423" s="1">
        <v>0.7133</v>
      </c>
    </row>
    <row r="424">
      <c r="A424" s="1" t="s">
        <v>151</v>
      </c>
      <c r="B424" s="1" t="s">
        <v>1192</v>
      </c>
      <c r="C424" s="1" t="s">
        <v>19</v>
      </c>
      <c r="D424" s="1">
        <v>1.0</v>
      </c>
      <c r="E424" s="1">
        <v>6.0</v>
      </c>
      <c r="F424" s="1">
        <v>8.0</v>
      </c>
      <c r="G424" s="1">
        <v>1.0</v>
      </c>
      <c r="H424" s="1">
        <v>37.0</v>
      </c>
      <c r="I424" s="1">
        <v>0.8581</v>
      </c>
      <c r="J424" s="1">
        <v>1.0</v>
      </c>
      <c r="K424" s="1">
        <v>0.8824</v>
      </c>
      <c r="L424" s="1">
        <v>1.0</v>
      </c>
      <c r="M424" s="1">
        <v>0.8552</v>
      </c>
    </row>
    <row r="425">
      <c r="A425" s="1" t="s">
        <v>151</v>
      </c>
      <c r="B425" s="1" t="s">
        <v>1192</v>
      </c>
      <c r="C425" s="1" t="s">
        <v>19</v>
      </c>
      <c r="D425" s="1">
        <v>1.0</v>
      </c>
      <c r="E425" s="1">
        <v>7.0</v>
      </c>
      <c r="F425" s="1">
        <v>8.0</v>
      </c>
      <c r="G425" s="1">
        <v>1.0</v>
      </c>
      <c r="H425" s="1">
        <v>37.0</v>
      </c>
      <c r="I425" s="1">
        <v>0.9972</v>
      </c>
      <c r="J425" s="1">
        <v>1.0</v>
      </c>
      <c r="K425" s="1">
        <v>1.0</v>
      </c>
      <c r="L425" s="1">
        <v>1.0</v>
      </c>
      <c r="M425" s="1">
        <v>0.9976</v>
      </c>
    </row>
    <row r="426">
      <c r="A426" s="1" t="s">
        <v>151</v>
      </c>
      <c r="B426" s="1" t="s">
        <v>1192</v>
      </c>
      <c r="C426" s="1" t="s">
        <v>19</v>
      </c>
      <c r="D426" s="1">
        <v>1.0</v>
      </c>
      <c r="E426" s="1">
        <v>8.0</v>
      </c>
      <c r="F426" s="1">
        <v>8.0</v>
      </c>
      <c r="G426" s="1">
        <v>1.0</v>
      </c>
      <c r="H426" s="1">
        <v>37.0</v>
      </c>
      <c r="I426" s="1">
        <v>1.0</v>
      </c>
      <c r="J426" s="1">
        <v>1.0</v>
      </c>
      <c r="K426" s="1">
        <v>1.0</v>
      </c>
      <c r="L426" s="1">
        <v>1.0</v>
      </c>
      <c r="M426" s="1">
        <v>1.0</v>
      </c>
    </row>
    <row r="427">
      <c r="A427" s="1" t="s">
        <v>151</v>
      </c>
      <c r="B427" s="1" t="s">
        <v>180</v>
      </c>
      <c r="C427" s="1" t="s">
        <v>21</v>
      </c>
      <c r="D427" s="1">
        <v>2.0</v>
      </c>
      <c r="E427" s="1">
        <v>1.0</v>
      </c>
      <c r="F427" s="1">
        <v>8.0</v>
      </c>
      <c r="G427" s="1">
        <v>1.0</v>
      </c>
      <c r="H427" s="1">
        <v>65.0</v>
      </c>
      <c r="I427" s="1">
        <v>0.2484</v>
      </c>
      <c r="J427" s="1">
        <v>0.0</v>
      </c>
      <c r="K427" s="1">
        <v>0.0</v>
      </c>
      <c r="L427" s="1">
        <v>0.4534</v>
      </c>
      <c r="M427" s="1">
        <v>0.2396</v>
      </c>
    </row>
    <row r="428">
      <c r="A428" s="1" t="s">
        <v>151</v>
      </c>
      <c r="B428" s="1" t="s">
        <v>180</v>
      </c>
      <c r="C428" s="1" t="s">
        <v>21</v>
      </c>
      <c r="D428" s="1">
        <v>2.0</v>
      </c>
      <c r="E428" s="1">
        <v>2.0</v>
      </c>
      <c r="F428" s="1">
        <v>8.0</v>
      </c>
      <c r="G428" s="1">
        <v>1.0</v>
      </c>
      <c r="H428" s="1">
        <v>65.0</v>
      </c>
      <c r="I428" s="1">
        <v>0.3676</v>
      </c>
      <c r="J428" s="1">
        <v>0.0723</v>
      </c>
      <c r="K428" s="1">
        <v>0.0</v>
      </c>
      <c r="L428" s="1">
        <v>0.9333</v>
      </c>
      <c r="M428" s="1">
        <v>0.3609</v>
      </c>
    </row>
    <row r="429">
      <c r="A429" s="1" t="s">
        <v>151</v>
      </c>
      <c r="B429" s="1" t="s">
        <v>180</v>
      </c>
      <c r="C429" s="1" t="s">
        <v>21</v>
      </c>
      <c r="D429" s="1">
        <v>2.0</v>
      </c>
      <c r="E429" s="1">
        <v>3.0</v>
      </c>
      <c r="F429" s="1">
        <v>8.0</v>
      </c>
      <c r="G429" s="1">
        <v>1.0</v>
      </c>
      <c r="H429" s="1">
        <v>65.0</v>
      </c>
      <c r="I429" s="1">
        <v>0.4481</v>
      </c>
      <c r="J429" s="1">
        <v>0.2857</v>
      </c>
      <c r="K429" s="1">
        <v>0.0</v>
      </c>
      <c r="L429" s="1">
        <v>1.0</v>
      </c>
      <c r="M429" s="1">
        <v>0.4376</v>
      </c>
    </row>
    <row r="430">
      <c r="A430" s="1" t="s">
        <v>151</v>
      </c>
      <c r="B430" s="1" t="s">
        <v>180</v>
      </c>
      <c r="C430" s="1" t="s">
        <v>21</v>
      </c>
      <c r="D430" s="1">
        <v>2.0</v>
      </c>
      <c r="E430" s="1">
        <v>4.0</v>
      </c>
      <c r="F430" s="1">
        <v>8.0</v>
      </c>
      <c r="G430" s="1">
        <v>1.0</v>
      </c>
      <c r="H430" s="1">
        <v>65.0</v>
      </c>
      <c r="I430" s="1">
        <v>0.541</v>
      </c>
      <c r="J430" s="1">
        <v>0.6818</v>
      </c>
      <c r="K430" s="1">
        <v>0.0</v>
      </c>
      <c r="L430" s="1">
        <v>1.0</v>
      </c>
      <c r="M430" s="1">
        <v>0.5344</v>
      </c>
    </row>
    <row r="431">
      <c r="A431" s="1" t="s">
        <v>151</v>
      </c>
      <c r="B431" s="1" t="s">
        <v>180</v>
      </c>
      <c r="C431" s="1" t="s">
        <v>21</v>
      </c>
      <c r="D431" s="1">
        <v>2.0</v>
      </c>
      <c r="E431" s="1">
        <v>5.0</v>
      </c>
      <c r="F431" s="1">
        <v>8.0</v>
      </c>
      <c r="G431" s="1">
        <v>1.0</v>
      </c>
      <c r="H431" s="1">
        <v>65.0</v>
      </c>
      <c r="I431" s="1">
        <v>0.6828</v>
      </c>
      <c r="J431" s="1">
        <v>0.9381</v>
      </c>
      <c r="K431" s="1">
        <v>0.4308</v>
      </c>
      <c r="L431" s="1">
        <v>1.0</v>
      </c>
      <c r="M431" s="1">
        <v>0.6711</v>
      </c>
    </row>
    <row r="432">
      <c r="A432" s="1" t="s">
        <v>151</v>
      </c>
      <c r="B432" s="1" t="s">
        <v>180</v>
      </c>
      <c r="C432" s="1" t="s">
        <v>21</v>
      </c>
      <c r="D432" s="1">
        <v>2.0</v>
      </c>
      <c r="E432" s="1">
        <v>6.0</v>
      </c>
      <c r="F432" s="1">
        <v>8.0</v>
      </c>
      <c r="G432" s="1">
        <v>1.0</v>
      </c>
      <c r="H432" s="1">
        <v>65.0</v>
      </c>
      <c r="I432" s="1">
        <v>0.829</v>
      </c>
      <c r="J432" s="1">
        <v>1.0</v>
      </c>
      <c r="K432" s="1">
        <v>0.8163</v>
      </c>
      <c r="L432" s="1">
        <v>1.0</v>
      </c>
      <c r="M432" s="1">
        <v>0.8232</v>
      </c>
    </row>
    <row r="433">
      <c r="A433" s="1" t="s">
        <v>151</v>
      </c>
      <c r="B433" s="1" t="s">
        <v>180</v>
      </c>
      <c r="C433" s="1" t="s">
        <v>21</v>
      </c>
      <c r="D433" s="1">
        <v>2.0</v>
      </c>
      <c r="E433" s="1">
        <v>7.0</v>
      </c>
      <c r="F433" s="1">
        <v>8.0</v>
      </c>
      <c r="G433" s="1">
        <v>1.0</v>
      </c>
      <c r="H433" s="1">
        <v>65.0</v>
      </c>
      <c r="I433" s="1">
        <v>0.9964</v>
      </c>
      <c r="J433" s="1">
        <v>1.0</v>
      </c>
      <c r="K433" s="1">
        <v>1.0</v>
      </c>
      <c r="L433" s="1">
        <v>1.0</v>
      </c>
      <c r="M433" s="1">
        <v>0.9969</v>
      </c>
    </row>
    <row r="434">
      <c r="A434" s="1" t="s">
        <v>151</v>
      </c>
      <c r="B434" s="1" t="s">
        <v>180</v>
      </c>
      <c r="C434" s="1" t="s">
        <v>21</v>
      </c>
      <c r="D434" s="1">
        <v>2.0</v>
      </c>
      <c r="E434" s="1">
        <v>8.0</v>
      </c>
      <c r="F434" s="1">
        <v>8.0</v>
      </c>
      <c r="G434" s="1">
        <v>1.0</v>
      </c>
      <c r="H434" s="1">
        <v>65.0</v>
      </c>
      <c r="I434" s="1">
        <v>1.0</v>
      </c>
      <c r="J434" s="1">
        <v>1.0</v>
      </c>
      <c r="K434" s="1">
        <v>1.0</v>
      </c>
      <c r="L434" s="1">
        <v>1.0</v>
      </c>
      <c r="M434" s="1">
        <v>1.0</v>
      </c>
    </row>
    <row r="435">
      <c r="A435" s="1" t="s">
        <v>151</v>
      </c>
      <c r="B435" s="1" t="s">
        <v>1192</v>
      </c>
      <c r="C435" s="1" t="s">
        <v>21</v>
      </c>
      <c r="D435" s="1">
        <v>2.0</v>
      </c>
      <c r="E435" s="1">
        <v>1.0</v>
      </c>
      <c r="F435" s="1">
        <v>8.0</v>
      </c>
      <c r="G435" s="1">
        <v>1.0</v>
      </c>
      <c r="H435" s="1">
        <v>20.0</v>
      </c>
      <c r="I435" s="1">
        <v>0.3791</v>
      </c>
      <c r="J435" s="1">
        <v>0.1429</v>
      </c>
      <c r="K435" s="1">
        <v>0.0</v>
      </c>
      <c r="L435" s="1">
        <v>1.0</v>
      </c>
      <c r="M435" s="1">
        <v>0.383</v>
      </c>
    </row>
    <row r="436">
      <c r="A436" s="1" t="s">
        <v>151</v>
      </c>
      <c r="B436" s="1" t="s">
        <v>1192</v>
      </c>
      <c r="C436" s="1" t="s">
        <v>21</v>
      </c>
      <c r="D436" s="1">
        <v>2.0</v>
      </c>
      <c r="E436" s="1">
        <v>2.0</v>
      </c>
      <c r="F436" s="1">
        <v>8.0</v>
      </c>
      <c r="G436" s="1">
        <v>1.0</v>
      </c>
      <c r="H436" s="1">
        <v>20.0</v>
      </c>
      <c r="I436" s="1">
        <v>0.5213</v>
      </c>
      <c r="J436" s="1">
        <v>0.4552</v>
      </c>
      <c r="K436" s="1">
        <v>0.1532</v>
      </c>
      <c r="L436" s="1">
        <v>1.0</v>
      </c>
      <c r="M436" s="1">
        <v>0.5381</v>
      </c>
    </row>
    <row r="437">
      <c r="A437" s="1" t="s">
        <v>151</v>
      </c>
      <c r="B437" s="1" t="s">
        <v>1192</v>
      </c>
      <c r="C437" s="1" t="s">
        <v>21</v>
      </c>
      <c r="D437" s="1">
        <v>2.0</v>
      </c>
      <c r="E437" s="1">
        <v>3.0</v>
      </c>
      <c r="F437" s="1">
        <v>8.0</v>
      </c>
      <c r="G437" s="1">
        <v>1.0</v>
      </c>
      <c r="H437" s="1">
        <v>20.0</v>
      </c>
      <c r="I437" s="1">
        <v>0.5876</v>
      </c>
      <c r="J437" s="1">
        <v>0.7619</v>
      </c>
      <c r="K437" s="1">
        <v>0.1974</v>
      </c>
      <c r="L437" s="1">
        <v>1.0</v>
      </c>
      <c r="M437" s="1">
        <v>0.6005</v>
      </c>
    </row>
    <row r="438">
      <c r="A438" s="1" t="s">
        <v>151</v>
      </c>
      <c r="B438" s="1" t="s">
        <v>1192</v>
      </c>
      <c r="C438" s="1" t="s">
        <v>21</v>
      </c>
      <c r="D438" s="1">
        <v>2.0</v>
      </c>
      <c r="E438" s="1">
        <v>4.0</v>
      </c>
      <c r="F438" s="1">
        <v>8.0</v>
      </c>
      <c r="G438" s="1">
        <v>1.0</v>
      </c>
      <c r="H438" s="1">
        <v>20.0</v>
      </c>
      <c r="I438" s="1">
        <v>0.6498</v>
      </c>
      <c r="J438" s="1">
        <v>0.8552</v>
      </c>
      <c r="K438" s="1">
        <v>0.2121</v>
      </c>
      <c r="L438" s="1">
        <v>1.0</v>
      </c>
      <c r="M438" s="1">
        <v>0.6601</v>
      </c>
    </row>
    <row r="439">
      <c r="A439" s="1" t="s">
        <v>151</v>
      </c>
      <c r="B439" s="1" t="s">
        <v>1192</v>
      </c>
      <c r="C439" s="1" t="s">
        <v>21</v>
      </c>
      <c r="D439" s="1">
        <v>2.0</v>
      </c>
      <c r="E439" s="1">
        <v>5.0</v>
      </c>
      <c r="F439" s="1">
        <v>8.0</v>
      </c>
      <c r="G439" s="1">
        <v>1.0</v>
      </c>
      <c r="H439" s="1">
        <v>20.0</v>
      </c>
      <c r="I439" s="1">
        <v>0.7868</v>
      </c>
      <c r="J439" s="1">
        <v>1.0</v>
      </c>
      <c r="K439" s="1">
        <v>0.6667</v>
      </c>
      <c r="L439" s="1">
        <v>1.0</v>
      </c>
      <c r="M439" s="1">
        <v>0.7923</v>
      </c>
    </row>
    <row r="440">
      <c r="A440" s="1" t="s">
        <v>151</v>
      </c>
      <c r="B440" s="1" t="s">
        <v>1192</v>
      </c>
      <c r="C440" s="1" t="s">
        <v>21</v>
      </c>
      <c r="D440" s="1">
        <v>2.0</v>
      </c>
      <c r="E440" s="1">
        <v>6.0</v>
      </c>
      <c r="F440" s="1">
        <v>8.0</v>
      </c>
      <c r="G440" s="1">
        <v>1.0</v>
      </c>
      <c r="H440" s="1">
        <v>20.0</v>
      </c>
      <c r="I440" s="1">
        <v>0.9223</v>
      </c>
      <c r="J440" s="1">
        <v>1.0</v>
      </c>
      <c r="K440" s="1">
        <v>0.9524</v>
      </c>
      <c r="L440" s="1">
        <v>1.0</v>
      </c>
      <c r="M440" s="1">
        <v>0.9299</v>
      </c>
    </row>
    <row r="441">
      <c r="A441" s="1" t="s">
        <v>151</v>
      </c>
      <c r="B441" s="1" t="s">
        <v>1192</v>
      </c>
      <c r="C441" s="1" t="s">
        <v>21</v>
      </c>
      <c r="D441" s="1">
        <v>2.0</v>
      </c>
      <c r="E441" s="1">
        <v>7.0</v>
      </c>
      <c r="F441" s="1">
        <v>8.0</v>
      </c>
      <c r="G441" s="1">
        <v>1.0</v>
      </c>
      <c r="H441" s="1">
        <v>20.0</v>
      </c>
      <c r="I441" s="1">
        <v>1.0</v>
      </c>
      <c r="J441" s="1">
        <v>1.0</v>
      </c>
      <c r="K441" s="1">
        <v>1.0</v>
      </c>
      <c r="L441" s="1">
        <v>1.0</v>
      </c>
      <c r="M441" s="1">
        <v>1.0</v>
      </c>
    </row>
    <row r="442">
      <c r="A442" s="1" t="s">
        <v>151</v>
      </c>
      <c r="B442" s="1" t="s">
        <v>1192</v>
      </c>
      <c r="C442" s="1" t="s">
        <v>21</v>
      </c>
      <c r="D442" s="1">
        <v>2.0</v>
      </c>
      <c r="E442" s="1">
        <v>8.0</v>
      </c>
      <c r="F442" s="1">
        <v>8.0</v>
      </c>
      <c r="G442" s="1">
        <v>1.0</v>
      </c>
      <c r="H442" s="1">
        <v>20.0</v>
      </c>
      <c r="I442" s="1">
        <v>1.0</v>
      </c>
      <c r="J442" s="1">
        <v>1.0</v>
      </c>
      <c r="K442" s="1">
        <v>1.0</v>
      </c>
      <c r="L442" s="1">
        <v>1.0</v>
      </c>
      <c r="M442" s="1">
        <v>1.0</v>
      </c>
    </row>
    <row r="443">
      <c r="A443" s="1" t="s">
        <v>151</v>
      </c>
      <c r="B443" s="1" t="s">
        <v>180</v>
      </c>
      <c r="C443" s="1" t="s">
        <v>22</v>
      </c>
      <c r="D443" s="1">
        <v>3.0</v>
      </c>
      <c r="E443" s="1">
        <v>1.0</v>
      </c>
      <c r="F443" s="1">
        <v>8.0</v>
      </c>
      <c r="G443" s="1">
        <v>1.0</v>
      </c>
      <c r="H443" s="1">
        <v>39.0</v>
      </c>
      <c r="I443" s="1">
        <v>0.1839</v>
      </c>
      <c r="J443" s="1">
        <v>0.0</v>
      </c>
      <c r="K443" s="1">
        <v>0.0</v>
      </c>
      <c r="L443" s="1">
        <v>0.1614</v>
      </c>
      <c r="M443" s="1">
        <v>0.1851</v>
      </c>
    </row>
    <row r="444">
      <c r="A444" s="1" t="s">
        <v>151</v>
      </c>
      <c r="B444" s="1" t="s">
        <v>180</v>
      </c>
      <c r="C444" s="1" t="s">
        <v>22</v>
      </c>
      <c r="D444" s="1">
        <v>3.0</v>
      </c>
      <c r="E444" s="1">
        <v>2.0</v>
      </c>
      <c r="F444" s="1">
        <v>8.0</v>
      </c>
      <c r="G444" s="1">
        <v>1.0</v>
      </c>
      <c r="H444" s="1">
        <v>39.0</v>
      </c>
      <c r="I444" s="1">
        <v>0.2724</v>
      </c>
      <c r="J444" s="1">
        <v>0.0532</v>
      </c>
      <c r="K444" s="1">
        <v>0.0</v>
      </c>
      <c r="L444" s="1">
        <v>0.4293</v>
      </c>
      <c r="M444" s="1">
        <v>0.2684</v>
      </c>
    </row>
    <row r="445">
      <c r="A445" s="1" t="s">
        <v>151</v>
      </c>
      <c r="B445" s="1" t="s">
        <v>180</v>
      </c>
      <c r="C445" s="1" t="s">
        <v>22</v>
      </c>
      <c r="D445" s="1">
        <v>3.0</v>
      </c>
      <c r="E445" s="1">
        <v>3.0</v>
      </c>
      <c r="F445" s="1">
        <v>8.0</v>
      </c>
      <c r="G445" s="1">
        <v>1.0</v>
      </c>
      <c r="H445" s="1">
        <v>39.0</v>
      </c>
      <c r="I445" s="1">
        <v>0.4102</v>
      </c>
      <c r="J445" s="1">
        <v>0.3333</v>
      </c>
      <c r="K445" s="1">
        <v>0.0</v>
      </c>
      <c r="L445" s="1">
        <v>0.6735</v>
      </c>
      <c r="M445" s="1">
        <v>0.3982</v>
      </c>
    </row>
    <row r="446">
      <c r="A446" s="1" t="s">
        <v>151</v>
      </c>
      <c r="B446" s="1" t="s">
        <v>180</v>
      </c>
      <c r="C446" s="1" t="s">
        <v>22</v>
      </c>
      <c r="D446" s="1">
        <v>3.0</v>
      </c>
      <c r="E446" s="1">
        <v>4.0</v>
      </c>
      <c r="F446" s="1">
        <v>8.0</v>
      </c>
      <c r="G446" s="1">
        <v>1.0</v>
      </c>
      <c r="H446" s="1">
        <v>39.0</v>
      </c>
      <c r="I446" s="1">
        <v>0.5229</v>
      </c>
      <c r="J446" s="1">
        <v>0.5429</v>
      </c>
      <c r="K446" s="1">
        <v>0.0</v>
      </c>
      <c r="L446" s="1">
        <v>1.0</v>
      </c>
      <c r="M446" s="1">
        <v>0.5093</v>
      </c>
    </row>
    <row r="447">
      <c r="A447" s="1" t="s">
        <v>151</v>
      </c>
      <c r="B447" s="1" t="s">
        <v>180</v>
      </c>
      <c r="C447" s="1" t="s">
        <v>22</v>
      </c>
      <c r="D447" s="1">
        <v>3.0</v>
      </c>
      <c r="E447" s="1">
        <v>5.0</v>
      </c>
      <c r="F447" s="1">
        <v>8.0</v>
      </c>
      <c r="G447" s="1">
        <v>1.0</v>
      </c>
      <c r="H447" s="1">
        <v>39.0</v>
      </c>
      <c r="I447" s="1">
        <v>0.5875</v>
      </c>
      <c r="J447" s="1">
        <v>0.6505</v>
      </c>
      <c r="K447" s="1">
        <v>0.3115</v>
      </c>
      <c r="L447" s="1">
        <v>1.0</v>
      </c>
      <c r="M447" s="1">
        <v>0.5734</v>
      </c>
    </row>
    <row r="448">
      <c r="A448" s="1" t="s">
        <v>151</v>
      </c>
      <c r="B448" s="1" t="s">
        <v>180</v>
      </c>
      <c r="C448" s="1" t="s">
        <v>22</v>
      </c>
      <c r="D448" s="1">
        <v>3.0</v>
      </c>
      <c r="E448" s="1">
        <v>6.0</v>
      </c>
      <c r="F448" s="1">
        <v>8.0</v>
      </c>
      <c r="G448" s="1">
        <v>1.0</v>
      </c>
      <c r="H448" s="1">
        <v>39.0</v>
      </c>
      <c r="I448" s="1">
        <v>0.757</v>
      </c>
      <c r="J448" s="1">
        <v>0.8689</v>
      </c>
      <c r="K448" s="1">
        <v>0.6667</v>
      </c>
      <c r="L448" s="1">
        <v>1.0</v>
      </c>
      <c r="M448" s="1">
        <v>0.7525</v>
      </c>
    </row>
    <row r="449">
      <c r="A449" s="1" t="s">
        <v>151</v>
      </c>
      <c r="B449" s="1" t="s">
        <v>180</v>
      </c>
      <c r="C449" s="1" t="s">
        <v>22</v>
      </c>
      <c r="D449" s="1">
        <v>3.0</v>
      </c>
      <c r="E449" s="1">
        <v>7.0</v>
      </c>
      <c r="F449" s="1">
        <v>8.0</v>
      </c>
      <c r="G449" s="1">
        <v>1.0</v>
      </c>
      <c r="H449" s="1">
        <v>39.0</v>
      </c>
      <c r="I449" s="1">
        <v>0.9936</v>
      </c>
      <c r="J449" s="1">
        <v>1.0</v>
      </c>
      <c r="K449" s="1">
        <v>1.0</v>
      </c>
      <c r="L449" s="1">
        <v>1.0</v>
      </c>
      <c r="M449" s="1">
        <v>0.9944</v>
      </c>
    </row>
    <row r="450">
      <c r="A450" s="1" t="s">
        <v>151</v>
      </c>
      <c r="B450" s="1" t="s">
        <v>180</v>
      </c>
      <c r="C450" s="1" t="s">
        <v>22</v>
      </c>
      <c r="D450" s="1">
        <v>3.0</v>
      </c>
      <c r="E450" s="1">
        <v>8.0</v>
      </c>
      <c r="F450" s="1">
        <v>8.0</v>
      </c>
      <c r="G450" s="1">
        <v>1.0</v>
      </c>
      <c r="H450" s="1">
        <v>39.0</v>
      </c>
      <c r="I450" s="1">
        <v>1.0</v>
      </c>
      <c r="J450" s="1">
        <v>1.0</v>
      </c>
      <c r="K450" s="1">
        <v>1.0</v>
      </c>
      <c r="L450" s="1">
        <v>1.0</v>
      </c>
      <c r="M450" s="1">
        <v>1.0</v>
      </c>
    </row>
    <row r="451">
      <c r="A451" s="1" t="s">
        <v>151</v>
      </c>
      <c r="B451" s="1" t="s">
        <v>1192</v>
      </c>
      <c r="C451" s="1" t="s">
        <v>22</v>
      </c>
      <c r="D451" s="1">
        <v>3.0</v>
      </c>
      <c r="E451" s="1">
        <v>1.0</v>
      </c>
      <c r="F451" s="1">
        <v>8.0</v>
      </c>
      <c r="G451" s="1">
        <v>1.0</v>
      </c>
      <c r="H451" s="1">
        <v>12.0</v>
      </c>
      <c r="I451" s="1">
        <v>0.0479</v>
      </c>
      <c r="J451" s="1">
        <v>0.0</v>
      </c>
      <c r="K451" s="1">
        <v>0.0</v>
      </c>
      <c r="L451" s="1">
        <v>0.0472</v>
      </c>
      <c r="M451" s="1">
        <v>0.0616</v>
      </c>
    </row>
    <row r="452">
      <c r="A452" s="1" t="s">
        <v>151</v>
      </c>
      <c r="B452" s="1" t="s">
        <v>1192</v>
      </c>
      <c r="C452" s="1" t="s">
        <v>22</v>
      </c>
      <c r="D452" s="1">
        <v>3.0</v>
      </c>
      <c r="E452" s="1">
        <v>2.0</v>
      </c>
      <c r="F452" s="1">
        <v>8.0</v>
      </c>
      <c r="G452" s="1">
        <v>1.0</v>
      </c>
      <c r="H452" s="1">
        <v>12.0</v>
      </c>
      <c r="I452" s="1">
        <v>0.1216</v>
      </c>
      <c r="J452" s="1">
        <v>0.0</v>
      </c>
      <c r="K452" s="1">
        <v>0.0</v>
      </c>
      <c r="L452" s="1">
        <v>0.186</v>
      </c>
      <c r="M452" s="1">
        <v>0.1264</v>
      </c>
    </row>
    <row r="453">
      <c r="A453" s="1" t="s">
        <v>151</v>
      </c>
      <c r="B453" s="1" t="s">
        <v>1192</v>
      </c>
      <c r="C453" s="1" t="s">
        <v>22</v>
      </c>
      <c r="D453" s="1">
        <v>3.0</v>
      </c>
      <c r="E453" s="1">
        <v>3.0</v>
      </c>
      <c r="F453" s="1">
        <v>8.0</v>
      </c>
      <c r="G453" s="1">
        <v>1.0</v>
      </c>
      <c r="H453" s="1">
        <v>12.0</v>
      </c>
      <c r="I453" s="1">
        <v>0.1999</v>
      </c>
      <c r="J453" s="1">
        <v>0.0</v>
      </c>
      <c r="K453" s="1">
        <v>0.0</v>
      </c>
      <c r="L453" s="1">
        <v>0.4196</v>
      </c>
      <c r="M453" s="1">
        <v>0.2002</v>
      </c>
    </row>
    <row r="454">
      <c r="A454" s="1" t="s">
        <v>151</v>
      </c>
      <c r="B454" s="1" t="s">
        <v>1192</v>
      </c>
      <c r="C454" s="1" t="s">
        <v>22</v>
      </c>
      <c r="D454" s="1">
        <v>3.0</v>
      </c>
      <c r="E454" s="1">
        <v>4.0</v>
      </c>
      <c r="F454" s="1">
        <v>8.0</v>
      </c>
      <c r="G454" s="1">
        <v>1.0</v>
      </c>
      <c r="H454" s="1">
        <v>12.0</v>
      </c>
      <c r="I454" s="1">
        <v>0.4282</v>
      </c>
      <c r="J454" s="1">
        <v>0.4921</v>
      </c>
      <c r="K454" s="1">
        <v>0.0</v>
      </c>
      <c r="L454" s="1">
        <v>0.9804</v>
      </c>
      <c r="M454" s="1">
        <v>0.4211</v>
      </c>
    </row>
    <row r="455">
      <c r="A455" s="1" t="s">
        <v>151</v>
      </c>
      <c r="B455" s="1" t="s">
        <v>1192</v>
      </c>
      <c r="C455" s="1" t="s">
        <v>22</v>
      </c>
      <c r="D455" s="1">
        <v>3.0</v>
      </c>
      <c r="E455" s="1">
        <v>5.0</v>
      </c>
      <c r="F455" s="1">
        <v>8.0</v>
      </c>
      <c r="G455" s="1">
        <v>1.0</v>
      </c>
      <c r="H455" s="1">
        <v>12.0</v>
      </c>
      <c r="I455" s="1">
        <v>0.4808</v>
      </c>
      <c r="J455" s="1">
        <v>0.5664</v>
      </c>
      <c r="K455" s="1">
        <v>0.0</v>
      </c>
      <c r="L455" s="1">
        <v>0.9902</v>
      </c>
      <c r="M455" s="1">
        <v>0.4633</v>
      </c>
    </row>
    <row r="456">
      <c r="A456" s="1" t="s">
        <v>151</v>
      </c>
      <c r="B456" s="1" t="s">
        <v>1192</v>
      </c>
      <c r="C456" s="1" t="s">
        <v>22</v>
      </c>
      <c r="D456" s="1">
        <v>3.0</v>
      </c>
      <c r="E456" s="1">
        <v>6.0</v>
      </c>
      <c r="F456" s="1">
        <v>8.0</v>
      </c>
      <c r="G456" s="1">
        <v>1.0</v>
      </c>
      <c r="H456" s="1">
        <v>12.0</v>
      </c>
      <c r="I456" s="1">
        <v>0.7067</v>
      </c>
      <c r="J456" s="1">
        <v>0.987</v>
      </c>
      <c r="K456" s="1">
        <v>0.5079</v>
      </c>
      <c r="L456" s="1">
        <v>1.0</v>
      </c>
      <c r="M456" s="1">
        <v>0.6966</v>
      </c>
    </row>
    <row r="457">
      <c r="A457" s="1" t="s">
        <v>151</v>
      </c>
      <c r="B457" s="1" t="s">
        <v>1192</v>
      </c>
      <c r="C457" s="1" t="s">
        <v>22</v>
      </c>
      <c r="D457" s="1">
        <v>3.0</v>
      </c>
      <c r="E457" s="1">
        <v>7.0</v>
      </c>
      <c r="F457" s="1">
        <v>8.0</v>
      </c>
      <c r="G457" s="1">
        <v>1.0</v>
      </c>
      <c r="H457" s="1">
        <v>12.0</v>
      </c>
      <c r="I457" s="1">
        <v>0.9985</v>
      </c>
      <c r="J457" s="1">
        <v>1.0</v>
      </c>
      <c r="K457" s="1">
        <v>1.0</v>
      </c>
      <c r="L457" s="1">
        <v>1.0</v>
      </c>
      <c r="M457" s="1">
        <v>0.9985</v>
      </c>
    </row>
    <row r="458">
      <c r="A458" s="1" t="s">
        <v>151</v>
      </c>
      <c r="B458" s="1" t="s">
        <v>1192</v>
      </c>
      <c r="C458" s="1" t="s">
        <v>22</v>
      </c>
      <c r="D458" s="1">
        <v>3.0</v>
      </c>
      <c r="E458" s="1">
        <v>8.0</v>
      </c>
      <c r="F458" s="1">
        <v>8.0</v>
      </c>
      <c r="G458" s="1">
        <v>1.0</v>
      </c>
      <c r="H458" s="1">
        <v>12.0</v>
      </c>
      <c r="I458" s="1">
        <v>1.0</v>
      </c>
      <c r="J458" s="1">
        <v>1.0</v>
      </c>
      <c r="K458" s="1">
        <v>1.0</v>
      </c>
      <c r="L458" s="1">
        <v>1.0</v>
      </c>
      <c r="M458" s="1">
        <v>1.0</v>
      </c>
    </row>
    <row r="459">
      <c r="A459" s="1" t="s">
        <v>151</v>
      </c>
      <c r="B459" s="1" t="s">
        <v>180</v>
      </c>
      <c r="C459" s="1" t="s">
        <v>24</v>
      </c>
      <c r="D459" s="1">
        <v>4.0</v>
      </c>
      <c r="E459" s="1">
        <v>1.0</v>
      </c>
      <c r="F459" s="1">
        <v>8.0</v>
      </c>
      <c r="G459" s="1">
        <v>1.0</v>
      </c>
      <c r="H459" s="1">
        <v>19.0</v>
      </c>
      <c r="I459" s="1">
        <v>0.0921</v>
      </c>
      <c r="J459" s="1">
        <v>0.0</v>
      </c>
      <c r="K459" s="1">
        <v>0.0</v>
      </c>
      <c r="L459" s="1">
        <v>0.1165</v>
      </c>
      <c r="M459" s="1">
        <v>0.1034</v>
      </c>
    </row>
    <row r="460">
      <c r="A460" s="1" t="s">
        <v>151</v>
      </c>
      <c r="B460" s="1" t="s">
        <v>180</v>
      </c>
      <c r="C460" s="1" t="s">
        <v>24</v>
      </c>
      <c r="D460" s="1">
        <v>4.0</v>
      </c>
      <c r="E460" s="1">
        <v>2.0</v>
      </c>
      <c r="F460" s="1">
        <v>8.0</v>
      </c>
      <c r="G460" s="1">
        <v>1.0</v>
      </c>
      <c r="H460" s="1">
        <v>19.0</v>
      </c>
      <c r="I460" s="1">
        <v>0.1859</v>
      </c>
      <c r="J460" s="1">
        <v>0.0</v>
      </c>
      <c r="K460" s="1">
        <v>0.0</v>
      </c>
      <c r="L460" s="1">
        <v>0.3068</v>
      </c>
      <c r="M460" s="1">
        <v>0.1989</v>
      </c>
    </row>
    <row r="461">
      <c r="A461" s="1" t="s">
        <v>151</v>
      </c>
      <c r="B461" s="1" t="s">
        <v>180</v>
      </c>
      <c r="C461" s="1" t="s">
        <v>24</v>
      </c>
      <c r="D461" s="1">
        <v>4.0</v>
      </c>
      <c r="E461" s="1">
        <v>3.0</v>
      </c>
      <c r="F461" s="1">
        <v>8.0</v>
      </c>
      <c r="G461" s="1">
        <v>1.0</v>
      </c>
      <c r="H461" s="1">
        <v>19.0</v>
      </c>
      <c r="I461" s="1">
        <v>0.2865</v>
      </c>
      <c r="J461" s="1">
        <v>0.0482</v>
      </c>
      <c r="K461" s="1">
        <v>0.0</v>
      </c>
      <c r="L461" s="1">
        <v>0.5272</v>
      </c>
      <c r="M461" s="1">
        <v>0.2975</v>
      </c>
    </row>
    <row r="462">
      <c r="A462" s="1" t="s">
        <v>151</v>
      </c>
      <c r="B462" s="1" t="s">
        <v>180</v>
      </c>
      <c r="C462" s="1" t="s">
        <v>24</v>
      </c>
      <c r="D462" s="1">
        <v>4.0</v>
      </c>
      <c r="E462" s="1">
        <v>4.0</v>
      </c>
      <c r="F462" s="1">
        <v>8.0</v>
      </c>
      <c r="G462" s="1">
        <v>1.0</v>
      </c>
      <c r="H462" s="1">
        <v>19.0</v>
      </c>
      <c r="I462" s="1">
        <v>0.4594</v>
      </c>
      <c r="J462" s="1">
        <v>0.4905</v>
      </c>
      <c r="K462" s="1">
        <v>0.0</v>
      </c>
      <c r="L462" s="1">
        <v>1.0</v>
      </c>
      <c r="M462" s="1">
        <v>0.4611</v>
      </c>
    </row>
    <row r="463">
      <c r="A463" s="1" t="s">
        <v>151</v>
      </c>
      <c r="B463" s="1" t="s">
        <v>180</v>
      </c>
      <c r="C463" s="1" t="s">
        <v>24</v>
      </c>
      <c r="D463" s="1">
        <v>4.0</v>
      </c>
      <c r="E463" s="1">
        <v>5.0</v>
      </c>
      <c r="F463" s="1">
        <v>8.0</v>
      </c>
      <c r="G463" s="1">
        <v>1.0</v>
      </c>
      <c r="H463" s="1">
        <v>19.0</v>
      </c>
      <c r="I463" s="1">
        <v>0.589</v>
      </c>
      <c r="J463" s="1">
        <v>0.7411</v>
      </c>
      <c r="K463" s="1">
        <v>0.0</v>
      </c>
      <c r="L463" s="1">
        <v>1.0</v>
      </c>
      <c r="M463" s="1">
        <v>0.5813</v>
      </c>
    </row>
    <row r="464">
      <c r="A464" s="1" t="s">
        <v>151</v>
      </c>
      <c r="B464" s="1" t="s">
        <v>180</v>
      </c>
      <c r="C464" s="1" t="s">
        <v>24</v>
      </c>
      <c r="D464" s="1">
        <v>4.0</v>
      </c>
      <c r="E464" s="1">
        <v>6.0</v>
      </c>
      <c r="F464" s="1">
        <v>8.0</v>
      </c>
      <c r="G464" s="1">
        <v>1.0</v>
      </c>
      <c r="H464" s="1">
        <v>19.0</v>
      </c>
      <c r="I464" s="1">
        <v>0.8531</v>
      </c>
      <c r="J464" s="1">
        <v>1.0</v>
      </c>
      <c r="K464" s="1">
        <v>0.8676</v>
      </c>
      <c r="L464" s="1">
        <v>1.0</v>
      </c>
      <c r="M464" s="1">
        <v>0.8515</v>
      </c>
    </row>
    <row r="465">
      <c r="A465" s="1" t="s">
        <v>151</v>
      </c>
      <c r="B465" s="1" t="s">
        <v>180</v>
      </c>
      <c r="C465" s="1" t="s">
        <v>24</v>
      </c>
      <c r="D465" s="1">
        <v>4.0</v>
      </c>
      <c r="E465" s="1">
        <v>7.0</v>
      </c>
      <c r="F465" s="1">
        <v>8.0</v>
      </c>
      <c r="G465" s="1">
        <v>1.0</v>
      </c>
      <c r="H465" s="1">
        <v>19.0</v>
      </c>
      <c r="I465" s="1">
        <v>0.9998</v>
      </c>
      <c r="J465" s="1">
        <v>1.0</v>
      </c>
      <c r="K465" s="1">
        <v>1.0</v>
      </c>
      <c r="L465" s="1">
        <v>1.0</v>
      </c>
      <c r="M465" s="1">
        <v>0.9998</v>
      </c>
    </row>
    <row r="466">
      <c r="A466" s="1" t="s">
        <v>151</v>
      </c>
      <c r="B466" s="1" t="s">
        <v>180</v>
      </c>
      <c r="C466" s="1" t="s">
        <v>24</v>
      </c>
      <c r="D466" s="1">
        <v>4.0</v>
      </c>
      <c r="E466" s="1">
        <v>8.0</v>
      </c>
      <c r="F466" s="1">
        <v>8.0</v>
      </c>
      <c r="G466" s="1">
        <v>1.0</v>
      </c>
      <c r="H466" s="1">
        <v>19.0</v>
      </c>
      <c r="I466" s="1">
        <v>1.0</v>
      </c>
      <c r="J466" s="1">
        <v>1.0</v>
      </c>
      <c r="K466" s="1">
        <v>1.0</v>
      </c>
      <c r="L466" s="1">
        <v>1.0</v>
      </c>
      <c r="M466" s="1">
        <v>1.0</v>
      </c>
    </row>
    <row r="467">
      <c r="A467" s="1" t="s">
        <v>151</v>
      </c>
      <c r="B467" s="1" t="s">
        <v>1192</v>
      </c>
      <c r="C467" s="1" t="s">
        <v>24</v>
      </c>
      <c r="D467" s="1">
        <v>4.0</v>
      </c>
      <c r="E467" s="1">
        <v>1.0</v>
      </c>
      <c r="F467" s="1">
        <v>8.0</v>
      </c>
      <c r="G467" s="1">
        <v>1.0</v>
      </c>
      <c r="H467" s="1">
        <v>15.0</v>
      </c>
      <c r="I467" s="1">
        <v>0.129</v>
      </c>
      <c r="J467" s="1">
        <v>0.0</v>
      </c>
      <c r="K467" s="1">
        <v>0.0</v>
      </c>
      <c r="L467" s="1">
        <v>0.168</v>
      </c>
      <c r="M467" s="1">
        <v>0.1351</v>
      </c>
    </row>
    <row r="468">
      <c r="A468" s="1" t="s">
        <v>151</v>
      </c>
      <c r="B468" s="1" t="s">
        <v>1192</v>
      </c>
      <c r="C468" s="1" t="s">
        <v>24</v>
      </c>
      <c r="D468" s="1">
        <v>4.0</v>
      </c>
      <c r="E468" s="1">
        <v>2.0</v>
      </c>
      <c r="F468" s="1">
        <v>8.0</v>
      </c>
      <c r="G468" s="1">
        <v>1.0</v>
      </c>
      <c r="H468" s="1">
        <v>15.0</v>
      </c>
      <c r="I468" s="1">
        <v>0.2731</v>
      </c>
      <c r="J468" s="1">
        <v>0.0763</v>
      </c>
      <c r="K468" s="1">
        <v>0.0</v>
      </c>
      <c r="L468" s="1">
        <v>0.5786</v>
      </c>
      <c r="M468" s="1">
        <v>0.2602</v>
      </c>
    </row>
    <row r="469">
      <c r="A469" s="1" t="s">
        <v>151</v>
      </c>
      <c r="B469" s="1" t="s">
        <v>1192</v>
      </c>
      <c r="C469" s="1" t="s">
        <v>24</v>
      </c>
      <c r="D469" s="1">
        <v>4.0</v>
      </c>
      <c r="E469" s="1">
        <v>3.0</v>
      </c>
      <c r="F469" s="1">
        <v>8.0</v>
      </c>
      <c r="G469" s="1">
        <v>1.0</v>
      </c>
      <c r="H469" s="1">
        <v>15.0</v>
      </c>
      <c r="I469" s="1">
        <v>0.4149</v>
      </c>
      <c r="J469" s="1">
        <v>0.4531</v>
      </c>
      <c r="K469" s="1">
        <v>0.0</v>
      </c>
      <c r="L469" s="1">
        <v>0.7352</v>
      </c>
      <c r="M469" s="1">
        <v>0.3678</v>
      </c>
    </row>
    <row r="470">
      <c r="A470" s="1" t="s">
        <v>151</v>
      </c>
      <c r="B470" s="1" t="s">
        <v>1192</v>
      </c>
      <c r="C470" s="1" t="s">
        <v>24</v>
      </c>
      <c r="D470" s="1">
        <v>4.0</v>
      </c>
      <c r="E470" s="1">
        <v>4.0</v>
      </c>
      <c r="F470" s="1">
        <v>8.0</v>
      </c>
      <c r="G470" s="1">
        <v>1.0</v>
      </c>
      <c r="H470" s="1">
        <v>15.0</v>
      </c>
      <c r="I470" s="1">
        <v>0.5996</v>
      </c>
      <c r="J470" s="1">
        <v>0.7484</v>
      </c>
      <c r="K470" s="1">
        <v>0.3053</v>
      </c>
      <c r="L470" s="1">
        <v>0.8183</v>
      </c>
      <c r="M470" s="1">
        <v>0.5426</v>
      </c>
    </row>
    <row r="471">
      <c r="A471" s="1" t="s">
        <v>151</v>
      </c>
      <c r="B471" s="1" t="s">
        <v>1192</v>
      </c>
      <c r="C471" s="1" t="s">
        <v>24</v>
      </c>
      <c r="D471" s="1">
        <v>4.0</v>
      </c>
      <c r="E471" s="1">
        <v>5.0</v>
      </c>
      <c r="F471" s="1">
        <v>8.0</v>
      </c>
      <c r="G471" s="1">
        <v>1.0</v>
      </c>
      <c r="H471" s="1">
        <v>15.0</v>
      </c>
      <c r="I471" s="1">
        <v>0.7966</v>
      </c>
      <c r="J471" s="1">
        <v>0.918</v>
      </c>
      <c r="K471" s="1">
        <v>0.7156</v>
      </c>
      <c r="L471" s="1">
        <v>1.0</v>
      </c>
      <c r="M471" s="1">
        <v>0.7716</v>
      </c>
    </row>
    <row r="472">
      <c r="A472" s="1" t="s">
        <v>151</v>
      </c>
      <c r="B472" s="1" t="s">
        <v>1192</v>
      </c>
      <c r="C472" s="1" t="s">
        <v>24</v>
      </c>
      <c r="D472" s="1">
        <v>4.0</v>
      </c>
      <c r="E472" s="1">
        <v>6.0</v>
      </c>
      <c r="F472" s="1">
        <v>8.0</v>
      </c>
      <c r="G472" s="1">
        <v>1.0</v>
      </c>
      <c r="H472" s="1">
        <v>15.0</v>
      </c>
      <c r="I472" s="1">
        <v>0.9476</v>
      </c>
      <c r="J472" s="1">
        <v>0.9858</v>
      </c>
      <c r="K472" s="1">
        <v>0.9076</v>
      </c>
      <c r="L472" s="1">
        <v>1.0</v>
      </c>
      <c r="M472" s="1">
        <v>0.9181</v>
      </c>
    </row>
    <row r="473">
      <c r="A473" s="1" t="s">
        <v>151</v>
      </c>
      <c r="B473" s="1" t="s">
        <v>1192</v>
      </c>
      <c r="C473" s="1" t="s">
        <v>24</v>
      </c>
      <c r="D473" s="1">
        <v>4.0</v>
      </c>
      <c r="E473" s="1">
        <v>7.0</v>
      </c>
      <c r="F473" s="1">
        <v>8.0</v>
      </c>
      <c r="G473" s="1">
        <v>1.0</v>
      </c>
      <c r="H473" s="1">
        <v>15.0</v>
      </c>
      <c r="I473" s="1">
        <v>0.9996</v>
      </c>
      <c r="J473" s="1">
        <v>1.0</v>
      </c>
      <c r="K473" s="1">
        <v>1.0</v>
      </c>
      <c r="L473" s="1">
        <v>1.0</v>
      </c>
      <c r="M473" s="1">
        <v>0.9995</v>
      </c>
    </row>
    <row r="474">
      <c r="A474" s="1" t="s">
        <v>151</v>
      </c>
      <c r="B474" s="1" t="s">
        <v>1192</v>
      </c>
      <c r="C474" s="1" t="s">
        <v>24</v>
      </c>
      <c r="D474" s="1">
        <v>4.0</v>
      </c>
      <c r="E474" s="1">
        <v>8.0</v>
      </c>
      <c r="F474" s="1">
        <v>8.0</v>
      </c>
      <c r="G474" s="1">
        <v>1.0</v>
      </c>
      <c r="H474" s="1">
        <v>15.0</v>
      </c>
      <c r="I474" s="1">
        <v>1.0</v>
      </c>
      <c r="J474" s="1">
        <v>1.0</v>
      </c>
      <c r="K474" s="1">
        <v>1.0</v>
      </c>
      <c r="L474" s="1">
        <v>1.0</v>
      </c>
      <c r="M474" s="1">
        <v>1.0</v>
      </c>
    </row>
    <row r="475">
      <c r="A475" s="1" t="s">
        <v>151</v>
      </c>
      <c r="B475" s="1" t="s">
        <v>180</v>
      </c>
      <c r="C475" s="1" t="s">
        <v>26</v>
      </c>
      <c r="D475" s="1">
        <v>5.0</v>
      </c>
      <c r="E475" s="1">
        <v>1.0</v>
      </c>
      <c r="F475" s="1">
        <v>8.0</v>
      </c>
      <c r="G475" s="1">
        <v>1.0</v>
      </c>
      <c r="H475" s="1">
        <v>1.0</v>
      </c>
      <c r="I475" s="1">
        <v>0.0</v>
      </c>
      <c r="J475" s="1">
        <v>0.0</v>
      </c>
      <c r="K475" s="1">
        <v>0.0</v>
      </c>
      <c r="L475" s="1">
        <v>0.0</v>
      </c>
      <c r="M475" s="1">
        <v>0.0</v>
      </c>
    </row>
    <row r="476">
      <c r="A476" s="1" t="s">
        <v>151</v>
      </c>
      <c r="B476" s="1" t="s">
        <v>180</v>
      </c>
      <c r="C476" s="1" t="s">
        <v>26</v>
      </c>
      <c r="D476" s="1">
        <v>5.0</v>
      </c>
      <c r="E476" s="1">
        <v>2.0</v>
      </c>
      <c r="F476" s="1">
        <v>8.0</v>
      </c>
      <c r="G476" s="1">
        <v>1.0</v>
      </c>
      <c r="H476" s="1">
        <v>1.0</v>
      </c>
      <c r="I476" s="1">
        <v>1.0</v>
      </c>
      <c r="J476" s="1">
        <v>1.0</v>
      </c>
      <c r="K476" s="1">
        <v>1.0</v>
      </c>
      <c r="L476" s="1">
        <v>1.0</v>
      </c>
      <c r="M476" s="1">
        <v>1.0</v>
      </c>
    </row>
    <row r="477">
      <c r="A477" s="1" t="s">
        <v>151</v>
      </c>
      <c r="B477" s="1" t="s">
        <v>180</v>
      </c>
      <c r="C477" s="1" t="s">
        <v>26</v>
      </c>
      <c r="D477" s="1">
        <v>5.0</v>
      </c>
      <c r="E477" s="1">
        <v>3.0</v>
      </c>
      <c r="F477" s="1">
        <v>8.0</v>
      </c>
      <c r="G477" s="1">
        <v>1.0</v>
      </c>
      <c r="H477" s="1">
        <v>1.0</v>
      </c>
      <c r="I477" s="1">
        <v>1.0</v>
      </c>
      <c r="J477" s="1">
        <v>1.0</v>
      </c>
      <c r="K477" s="1">
        <v>1.0</v>
      </c>
      <c r="L477" s="1">
        <v>1.0</v>
      </c>
      <c r="M477" s="1">
        <v>1.0</v>
      </c>
    </row>
    <row r="478">
      <c r="A478" s="1" t="s">
        <v>151</v>
      </c>
      <c r="B478" s="1" t="s">
        <v>180</v>
      </c>
      <c r="C478" s="1" t="s">
        <v>26</v>
      </c>
      <c r="D478" s="1">
        <v>5.0</v>
      </c>
      <c r="E478" s="1">
        <v>4.0</v>
      </c>
      <c r="F478" s="1">
        <v>8.0</v>
      </c>
      <c r="G478" s="1">
        <v>1.0</v>
      </c>
      <c r="H478" s="1">
        <v>1.0</v>
      </c>
      <c r="I478" s="1">
        <v>1.0</v>
      </c>
      <c r="J478" s="1">
        <v>1.0</v>
      </c>
      <c r="K478" s="1">
        <v>1.0</v>
      </c>
      <c r="L478" s="1">
        <v>1.0</v>
      </c>
      <c r="M478" s="1">
        <v>1.0</v>
      </c>
    </row>
    <row r="479">
      <c r="A479" s="1" t="s">
        <v>151</v>
      </c>
      <c r="B479" s="1" t="s">
        <v>180</v>
      </c>
      <c r="C479" s="1" t="s">
        <v>26</v>
      </c>
      <c r="D479" s="1">
        <v>5.0</v>
      </c>
      <c r="E479" s="1">
        <v>5.0</v>
      </c>
      <c r="F479" s="1">
        <v>8.0</v>
      </c>
      <c r="G479" s="1">
        <v>1.0</v>
      </c>
      <c r="H479" s="1">
        <v>1.0</v>
      </c>
      <c r="I479" s="1">
        <v>1.0</v>
      </c>
      <c r="J479" s="1">
        <v>1.0</v>
      </c>
      <c r="K479" s="1">
        <v>1.0</v>
      </c>
      <c r="L479" s="1">
        <v>1.0</v>
      </c>
      <c r="M479" s="1">
        <v>1.0</v>
      </c>
    </row>
    <row r="480">
      <c r="A480" s="1" t="s">
        <v>151</v>
      </c>
      <c r="B480" s="1" t="s">
        <v>180</v>
      </c>
      <c r="C480" s="1" t="s">
        <v>26</v>
      </c>
      <c r="D480" s="1">
        <v>5.0</v>
      </c>
      <c r="E480" s="1">
        <v>6.0</v>
      </c>
      <c r="F480" s="1">
        <v>8.0</v>
      </c>
      <c r="G480" s="1">
        <v>1.0</v>
      </c>
      <c r="H480" s="1">
        <v>1.0</v>
      </c>
      <c r="I480" s="1">
        <v>1.0</v>
      </c>
      <c r="J480" s="1">
        <v>1.0</v>
      </c>
      <c r="K480" s="1">
        <v>1.0</v>
      </c>
      <c r="L480" s="1">
        <v>1.0</v>
      </c>
      <c r="M480" s="1">
        <v>1.0</v>
      </c>
    </row>
    <row r="481">
      <c r="A481" s="1" t="s">
        <v>151</v>
      </c>
      <c r="B481" s="1" t="s">
        <v>180</v>
      </c>
      <c r="C481" s="1" t="s">
        <v>26</v>
      </c>
      <c r="D481" s="1">
        <v>5.0</v>
      </c>
      <c r="E481" s="1">
        <v>7.0</v>
      </c>
      <c r="F481" s="1">
        <v>8.0</v>
      </c>
      <c r="G481" s="1">
        <v>1.0</v>
      </c>
      <c r="H481" s="1">
        <v>1.0</v>
      </c>
      <c r="I481" s="1">
        <v>1.0</v>
      </c>
      <c r="J481" s="1">
        <v>1.0</v>
      </c>
      <c r="K481" s="1">
        <v>1.0</v>
      </c>
      <c r="L481" s="1">
        <v>1.0</v>
      </c>
      <c r="M481" s="1">
        <v>1.0</v>
      </c>
    </row>
    <row r="482">
      <c r="A482" s="1" t="s">
        <v>151</v>
      </c>
      <c r="B482" s="1" t="s">
        <v>180</v>
      </c>
      <c r="C482" s="1" t="s">
        <v>26</v>
      </c>
      <c r="D482" s="1">
        <v>5.0</v>
      </c>
      <c r="E482" s="1">
        <v>8.0</v>
      </c>
      <c r="F482" s="1">
        <v>8.0</v>
      </c>
      <c r="G482" s="1">
        <v>1.0</v>
      </c>
      <c r="H482" s="1">
        <v>1.0</v>
      </c>
      <c r="I482" s="1">
        <v>1.0</v>
      </c>
      <c r="J482" s="1">
        <v>1.0</v>
      </c>
      <c r="K482" s="1">
        <v>1.0</v>
      </c>
      <c r="L482" s="1">
        <v>1.0</v>
      </c>
      <c r="M482" s="1">
        <v>1.0</v>
      </c>
    </row>
    <row r="483">
      <c r="A483" s="1" t="s">
        <v>63</v>
      </c>
      <c r="B483" s="1" t="s">
        <v>180</v>
      </c>
      <c r="C483" s="1" t="s">
        <v>19</v>
      </c>
      <c r="D483" s="1">
        <v>1.0</v>
      </c>
      <c r="E483" s="1">
        <v>1.0</v>
      </c>
      <c r="F483" s="1">
        <v>2.0</v>
      </c>
      <c r="G483" s="1">
        <v>12.0</v>
      </c>
      <c r="H483" s="1">
        <v>15191.0</v>
      </c>
      <c r="I483" s="1">
        <v>0.8861</v>
      </c>
      <c r="J483" s="1">
        <v>1.0</v>
      </c>
      <c r="K483" s="1">
        <v>1.0</v>
      </c>
      <c r="L483" s="1">
        <v>1.0</v>
      </c>
      <c r="M483" s="1">
        <v>0.8861</v>
      </c>
    </row>
    <row r="484">
      <c r="A484" s="1" t="s">
        <v>63</v>
      </c>
      <c r="B484" s="1" t="s">
        <v>180</v>
      </c>
      <c r="C484" s="1" t="s">
        <v>19</v>
      </c>
      <c r="D484" s="1">
        <v>1.0</v>
      </c>
      <c r="E484" s="1">
        <v>2.0</v>
      </c>
      <c r="F484" s="1">
        <v>2.0</v>
      </c>
      <c r="G484" s="1">
        <v>12.0</v>
      </c>
      <c r="H484" s="1">
        <v>15191.0</v>
      </c>
      <c r="I484" s="1">
        <v>1.0</v>
      </c>
      <c r="J484" s="1">
        <v>1.0</v>
      </c>
      <c r="K484" s="1">
        <v>1.0</v>
      </c>
      <c r="L484" s="1">
        <v>1.0</v>
      </c>
      <c r="M484" s="1">
        <v>1.0</v>
      </c>
    </row>
    <row r="485">
      <c r="A485" s="1" t="s">
        <v>63</v>
      </c>
      <c r="B485" s="1" t="s">
        <v>1192</v>
      </c>
      <c r="C485" s="1" t="s">
        <v>19</v>
      </c>
      <c r="D485" s="1">
        <v>1.0</v>
      </c>
      <c r="E485" s="1">
        <v>1.0</v>
      </c>
      <c r="F485" s="1">
        <v>2.0</v>
      </c>
      <c r="G485" s="1">
        <v>11.0</v>
      </c>
      <c r="H485" s="1">
        <v>3078.0</v>
      </c>
      <c r="I485" s="1">
        <v>0.876</v>
      </c>
      <c r="J485" s="1">
        <v>1.0</v>
      </c>
      <c r="K485" s="1">
        <v>1.0</v>
      </c>
      <c r="L485" s="1">
        <v>1.0</v>
      </c>
      <c r="M485" s="1">
        <v>0.876</v>
      </c>
    </row>
    <row r="486">
      <c r="A486" s="1" t="s">
        <v>63</v>
      </c>
      <c r="B486" s="1" t="s">
        <v>1192</v>
      </c>
      <c r="C486" s="1" t="s">
        <v>19</v>
      </c>
      <c r="D486" s="1">
        <v>1.0</v>
      </c>
      <c r="E486" s="1">
        <v>2.0</v>
      </c>
      <c r="F486" s="1">
        <v>2.0</v>
      </c>
      <c r="G486" s="1">
        <v>11.0</v>
      </c>
      <c r="H486" s="1">
        <v>3078.0</v>
      </c>
      <c r="I486" s="1">
        <v>1.0</v>
      </c>
      <c r="J486" s="1">
        <v>1.0</v>
      </c>
      <c r="K486" s="1">
        <v>1.0</v>
      </c>
      <c r="L486" s="1">
        <v>1.0</v>
      </c>
      <c r="M486" s="1">
        <v>1.0</v>
      </c>
    </row>
    <row r="487">
      <c r="A487" s="1" t="s">
        <v>63</v>
      </c>
      <c r="B487" s="1" t="s">
        <v>180</v>
      </c>
      <c r="C487" s="1" t="s">
        <v>21</v>
      </c>
      <c r="D487" s="1">
        <v>2.0</v>
      </c>
      <c r="E487" s="1">
        <v>1.0</v>
      </c>
      <c r="F487" s="1">
        <v>2.0</v>
      </c>
      <c r="G487" s="1">
        <v>12.0</v>
      </c>
      <c r="H487" s="1">
        <v>16698.0</v>
      </c>
      <c r="I487" s="1">
        <v>0.8835</v>
      </c>
      <c r="J487" s="1">
        <v>1.0</v>
      </c>
      <c r="K487" s="1">
        <v>0.9893</v>
      </c>
      <c r="L487" s="1">
        <v>1.0</v>
      </c>
      <c r="M487" s="1">
        <v>0.8835</v>
      </c>
    </row>
    <row r="488">
      <c r="A488" s="1" t="s">
        <v>63</v>
      </c>
      <c r="B488" s="1" t="s">
        <v>180</v>
      </c>
      <c r="C488" s="1" t="s">
        <v>21</v>
      </c>
      <c r="D488" s="1">
        <v>2.0</v>
      </c>
      <c r="E488" s="1">
        <v>2.0</v>
      </c>
      <c r="F488" s="1">
        <v>2.0</v>
      </c>
      <c r="G488" s="1">
        <v>12.0</v>
      </c>
      <c r="H488" s="1">
        <v>16698.0</v>
      </c>
      <c r="I488" s="1">
        <v>1.0</v>
      </c>
      <c r="J488" s="1">
        <v>1.0</v>
      </c>
      <c r="K488" s="1">
        <v>1.0</v>
      </c>
      <c r="L488" s="1">
        <v>1.0</v>
      </c>
      <c r="M488" s="1">
        <v>1.0</v>
      </c>
    </row>
    <row r="489">
      <c r="A489" s="1" t="s">
        <v>63</v>
      </c>
      <c r="B489" s="1" t="s">
        <v>1192</v>
      </c>
      <c r="C489" s="1" t="s">
        <v>21</v>
      </c>
      <c r="D489" s="1">
        <v>2.0</v>
      </c>
      <c r="E489" s="1">
        <v>1.0</v>
      </c>
      <c r="F489" s="1">
        <v>2.0</v>
      </c>
      <c r="G489" s="1">
        <v>10.0</v>
      </c>
      <c r="H489" s="1">
        <v>2613.0</v>
      </c>
      <c r="I489" s="1">
        <v>0.881</v>
      </c>
      <c r="J489" s="1">
        <v>1.0</v>
      </c>
      <c r="K489" s="1">
        <v>0.9841</v>
      </c>
      <c r="L489" s="1">
        <v>1.0</v>
      </c>
      <c r="M489" s="1">
        <v>0.881</v>
      </c>
    </row>
    <row r="490">
      <c r="A490" s="1" t="s">
        <v>63</v>
      </c>
      <c r="B490" s="1" t="s">
        <v>1192</v>
      </c>
      <c r="C490" s="1" t="s">
        <v>21</v>
      </c>
      <c r="D490" s="1">
        <v>2.0</v>
      </c>
      <c r="E490" s="1">
        <v>2.0</v>
      </c>
      <c r="F490" s="1">
        <v>2.0</v>
      </c>
      <c r="G490" s="1">
        <v>10.0</v>
      </c>
      <c r="H490" s="1">
        <v>2613.0</v>
      </c>
      <c r="I490" s="1">
        <v>1.0</v>
      </c>
      <c r="J490" s="1">
        <v>1.0</v>
      </c>
      <c r="K490" s="1">
        <v>1.0</v>
      </c>
      <c r="L490" s="1">
        <v>1.0</v>
      </c>
      <c r="M490" s="1">
        <v>1.0</v>
      </c>
    </row>
    <row r="491">
      <c r="A491" s="1" t="s">
        <v>63</v>
      </c>
      <c r="B491" s="1" t="s">
        <v>180</v>
      </c>
      <c r="C491" s="1" t="s">
        <v>22</v>
      </c>
      <c r="D491" s="1">
        <v>3.0</v>
      </c>
      <c r="E491" s="1">
        <v>1.0</v>
      </c>
      <c r="F491" s="1">
        <v>2.0</v>
      </c>
      <c r="G491" s="1">
        <v>12.0</v>
      </c>
      <c r="H491" s="1">
        <v>16253.0</v>
      </c>
      <c r="I491" s="1">
        <v>0.889</v>
      </c>
      <c r="J491" s="1">
        <v>1.0</v>
      </c>
      <c r="K491" s="1">
        <v>0.9607</v>
      </c>
      <c r="L491" s="1">
        <v>1.0</v>
      </c>
      <c r="M491" s="1">
        <v>0.889</v>
      </c>
    </row>
    <row r="492">
      <c r="A492" s="1" t="s">
        <v>63</v>
      </c>
      <c r="B492" s="1" t="s">
        <v>180</v>
      </c>
      <c r="C492" s="1" t="s">
        <v>22</v>
      </c>
      <c r="D492" s="1">
        <v>3.0</v>
      </c>
      <c r="E492" s="1">
        <v>2.0</v>
      </c>
      <c r="F492" s="1">
        <v>2.0</v>
      </c>
      <c r="G492" s="1">
        <v>12.0</v>
      </c>
      <c r="H492" s="1">
        <v>16253.0</v>
      </c>
      <c r="I492" s="1">
        <v>1.0</v>
      </c>
      <c r="J492" s="1">
        <v>1.0</v>
      </c>
      <c r="K492" s="1">
        <v>1.0</v>
      </c>
      <c r="L492" s="1">
        <v>1.0</v>
      </c>
      <c r="M492" s="1">
        <v>1.0</v>
      </c>
    </row>
    <row r="493">
      <c r="A493" s="1" t="s">
        <v>63</v>
      </c>
      <c r="B493" s="1" t="s">
        <v>1192</v>
      </c>
      <c r="C493" s="1" t="s">
        <v>22</v>
      </c>
      <c r="D493" s="1">
        <v>3.0</v>
      </c>
      <c r="E493" s="1">
        <v>1.0</v>
      </c>
      <c r="F493" s="1">
        <v>2.0</v>
      </c>
      <c r="G493" s="1">
        <v>10.0</v>
      </c>
      <c r="H493" s="1">
        <v>2037.0</v>
      </c>
      <c r="I493" s="1">
        <v>0.8944</v>
      </c>
      <c r="J493" s="1">
        <v>1.0</v>
      </c>
      <c r="K493" s="1">
        <v>0.9701</v>
      </c>
      <c r="L493" s="1">
        <v>1.0</v>
      </c>
      <c r="M493" s="1">
        <v>0.8943</v>
      </c>
    </row>
    <row r="494">
      <c r="A494" s="1" t="s">
        <v>63</v>
      </c>
      <c r="B494" s="1" t="s">
        <v>1192</v>
      </c>
      <c r="C494" s="1" t="s">
        <v>22</v>
      </c>
      <c r="D494" s="1">
        <v>3.0</v>
      </c>
      <c r="E494" s="1">
        <v>2.0</v>
      </c>
      <c r="F494" s="1">
        <v>2.0</v>
      </c>
      <c r="G494" s="1">
        <v>10.0</v>
      </c>
      <c r="H494" s="1">
        <v>2037.0</v>
      </c>
      <c r="I494" s="1">
        <v>1.0</v>
      </c>
      <c r="J494" s="1">
        <v>1.0</v>
      </c>
      <c r="K494" s="1">
        <v>1.0</v>
      </c>
      <c r="L494" s="1">
        <v>1.0</v>
      </c>
      <c r="M494" s="1">
        <v>1.0</v>
      </c>
    </row>
    <row r="495">
      <c r="A495" s="1" t="s">
        <v>63</v>
      </c>
      <c r="B495" s="1" t="s">
        <v>180</v>
      </c>
      <c r="C495" s="1" t="s">
        <v>24</v>
      </c>
      <c r="D495" s="1">
        <v>4.0</v>
      </c>
      <c r="E495" s="1">
        <v>1.0</v>
      </c>
      <c r="F495" s="1">
        <v>2.0</v>
      </c>
      <c r="G495" s="1">
        <v>12.0</v>
      </c>
      <c r="H495" s="1">
        <v>9658.0</v>
      </c>
      <c r="I495" s="1">
        <v>0.902</v>
      </c>
      <c r="J495" s="1">
        <v>1.0</v>
      </c>
      <c r="K495" s="1">
        <v>0.947</v>
      </c>
      <c r="L495" s="1">
        <v>1.0</v>
      </c>
      <c r="M495" s="1">
        <v>0.902</v>
      </c>
    </row>
    <row r="496">
      <c r="A496" s="1" t="s">
        <v>63</v>
      </c>
      <c r="B496" s="1" t="s">
        <v>180</v>
      </c>
      <c r="C496" s="1" t="s">
        <v>24</v>
      </c>
      <c r="D496" s="1">
        <v>4.0</v>
      </c>
      <c r="E496" s="1">
        <v>2.0</v>
      </c>
      <c r="F496" s="1">
        <v>2.0</v>
      </c>
      <c r="G496" s="1">
        <v>12.0</v>
      </c>
      <c r="H496" s="1">
        <v>9658.0</v>
      </c>
      <c r="I496" s="1">
        <v>1.0</v>
      </c>
      <c r="J496" s="1">
        <v>1.0</v>
      </c>
      <c r="K496" s="1">
        <v>1.0</v>
      </c>
      <c r="L496" s="1">
        <v>1.0</v>
      </c>
      <c r="M496" s="1">
        <v>1.0</v>
      </c>
    </row>
    <row r="497">
      <c r="A497" s="1" t="s">
        <v>63</v>
      </c>
      <c r="B497" s="1" t="s">
        <v>1192</v>
      </c>
      <c r="C497" s="1" t="s">
        <v>24</v>
      </c>
      <c r="D497" s="1">
        <v>4.0</v>
      </c>
      <c r="E497" s="1">
        <v>1.0</v>
      </c>
      <c r="F497" s="1">
        <v>2.0</v>
      </c>
      <c r="G497" s="1">
        <v>10.0</v>
      </c>
      <c r="H497" s="1">
        <v>1364.0</v>
      </c>
      <c r="I497" s="1">
        <v>0.9017</v>
      </c>
      <c r="J497" s="1">
        <v>1.0</v>
      </c>
      <c r="K497" s="1">
        <v>0.9395</v>
      </c>
      <c r="L497" s="1">
        <v>1.0</v>
      </c>
      <c r="M497" s="1">
        <v>0.9017</v>
      </c>
    </row>
    <row r="498">
      <c r="A498" s="1" t="s">
        <v>63</v>
      </c>
      <c r="B498" s="1" t="s">
        <v>1192</v>
      </c>
      <c r="C498" s="1" t="s">
        <v>24</v>
      </c>
      <c r="D498" s="1">
        <v>4.0</v>
      </c>
      <c r="E498" s="1">
        <v>2.0</v>
      </c>
      <c r="F498" s="1">
        <v>2.0</v>
      </c>
      <c r="G498" s="1">
        <v>10.0</v>
      </c>
      <c r="H498" s="1">
        <v>1364.0</v>
      </c>
      <c r="I498" s="1">
        <v>1.0</v>
      </c>
      <c r="J498" s="1">
        <v>1.0</v>
      </c>
      <c r="K498" s="1">
        <v>1.0</v>
      </c>
      <c r="L498" s="1">
        <v>1.0</v>
      </c>
      <c r="M498" s="1">
        <v>1.0</v>
      </c>
    </row>
    <row r="499">
      <c r="A499" s="1" t="s">
        <v>63</v>
      </c>
      <c r="B499" s="1" t="s">
        <v>180</v>
      </c>
      <c r="C499" s="1" t="s">
        <v>26</v>
      </c>
      <c r="D499" s="1">
        <v>5.0</v>
      </c>
      <c r="E499" s="1">
        <v>1.0</v>
      </c>
      <c r="F499" s="1">
        <v>2.0</v>
      </c>
      <c r="G499" s="1">
        <v>10.0</v>
      </c>
      <c r="H499" s="1">
        <v>1599.0</v>
      </c>
      <c r="I499" s="1">
        <v>0.9026</v>
      </c>
      <c r="J499" s="1">
        <v>0.9995</v>
      </c>
      <c r="K499" s="1">
        <v>0.903</v>
      </c>
      <c r="L499" s="1">
        <v>1.0</v>
      </c>
      <c r="M499" s="1">
        <v>0.9026</v>
      </c>
    </row>
    <row r="500">
      <c r="A500" s="1" t="s">
        <v>63</v>
      </c>
      <c r="B500" s="1" t="s">
        <v>180</v>
      </c>
      <c r="C500" s="1" t="s">
        <v>26</v>
      </c>
      <c r="D500" s="1">
        <v>5.0</v>
      </c>
      <c r="E500" s="1">
        <v>2.0</v>
      </c>
      <c r="F500" s="1">
        <v>2.0</v>
      </c>
      <c r="G500" s="1">
        <v>10.0</v>
      </c>
      <c r="H500" s="1">
        <v>1599.0</v>
      </c>
      <c r="I500" s="1">
        <v>1.0</v>
      </c>
      <c r="J500" s="1">
        <v>1.0</v>
      </c>
      <c r="K500" s="1">
        <v>1.0</v>
      </c>
      <c r="L500" s="1">
        <v>1.0</v>
      </c>
      <c r="M500" s="1">
        <v>1.0</v>
      </c>
    </row>
    <row r="501">
      <c r="A501" s="1" t="s">
        <v>63</v>
      </c>
      <c r="B501" s="1" t="s">
        <v>1192</v>
      </c>
      <c r="C501" s="1" t="s">
        <v>26</v>
      </c>
      <c r="D501" s="1">
        <v>5.0</v>
      </c>
      <c r="E501" s="1">
        <v>1.0</v>
      </c>
      <c r="F501" s="1">
        <v>2.0</v>
      </c>
      <c r="G501" s="1">
        <v>9.0</v>
      </c>
      <c r="H501" s="1">
        <v>302.0</v>
      </c>
      <c r="I501" s="1">
        <v>0.9048</v>
      </c>
      <c r="J501" s="1">
        <v>1.0</v>
      </c>
      <c r="K501" s="1">
        <v>0.8974</v>
      </c>
      <c r="L501" s="1">
        <v>1.0</v>
      </c>
      <c r="M501" s="1">
        <v>0.9048</v>
      </c>
    </row>
    <row r="502">
      <c r="A502" s="1" t="s">
        <v>63</v>
      </c>
      <c r="B502" s="1" t="s">
        <v>1192</v>
      </c>
      <c r="C502" s="1" t="s">
        <v>26</v>
      </c>
      <c r="D502" s="1">
        <v>5.0</v>
      </c>
      <c r="E502" s="1">
        <v>2.0</v>
      </c>
      <c r="F502" s="1">
        <v>2.0</v>
      </c>
      <c r="G502" s="1">
        <v>9.0</v>
      </c>
      <c r="H502" s="1">
        <v>302.0</v>
      </c>
      <c r="I502" s="1">
        <v>1.0</v>
      </c>
      <c r="J502" s="1">
        <v>1.0</v>
      </c>
      <c r="K502" s="1">
        <v>1.0</v>
      </c>
      <c r="L502" s="1">
        <v>1.0</v>
      </c>
      <c r="M502" s="1">
        <v>1.0</v>
      </c>
    </row>
    <row r="503">
      <c r="A503" s="1" t="s">
        <v>63</v>
      </c>
      <c r="B503" s="1" t="s">
        <v>1192</v>
      </c>
      <c r="C503" s="1" t="s">
        <v>26</v>
      </c>
      <c r="D503" s="1">
        <v>5.0</v>
      </c>
      <c r="E503" s="1">
        <v>1.0</v>
      </c>
      <c r="F503" s="1">
        <v>2.0</v>
      </c>
      <c r="G503" s="1">
        <v>9.0</v>
      </c>
      <c r="H503" s="1">
        <v>365.0</v>
      </c>
      <c r="I503" s="1">
        <v>0.9047</v>
      </c>
      <c r="J503" s="1">
        <v>0.9984</v>
      </c>
      <c r="K503" s="1">
        <v>0.8956</v>
      </c>
      <c r="L503" s="1">
        <v>1.0</v>
      </c>
      <c r="M503" s="1">
        <v>0.9047</v>
      </c>
    </row>
    <row r="504">
      <c r="A504" s="1" t="s">
        <v>63</v>
      </c>
      <c r="B504" s="1" t="s">
        <v>1192</v>
      </c>
      <c r="C504" s="1" t="s">
        <v>26</v>
      </c>
      <c r="D504" s="1">
        <v>5.0</v>
      </c>
      <c r="E504" s="1">
        <v>2.0</v>
      </c>
      <c r="F504" s="1">
        <v>2.0</v>
      </c>
      <c r="G504" s="1">
        <v>9.0</v>
      </c>
      <c r="H504" s="1">
        <v>365.0</v>
      </c>
      <c r="I504" s="1">
        <v>1.0</v>
      </c>
      <c r="J504" s="1">
        <v>1.0</v>
      </c>
      <c r="K504" s="1">
        <v>1.0</v>
      </c>
      <c r="L504" s="1">
        <v>1.0</v>
      </c>
      <c r="M504" s="1">
        <v>1.0</v>
      </c>
    </row>
  </sheetData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60" t="s">
        <v>2236</v>
      </c>
      <c r="B1" s="660" t="s">
        <v>2177</v>
      </c>
      <c r="C1" s="660" t="s">
        <v>2199</v>
      </c>
      <c r="D1" s="660" t="s">
        <v>2200</v>
      </c>
      <c r="E1" s="660" t="s">
        <v>2271</v>
      </c>
      <c r="F1" s="660" t="s">
        <v>2272</v>
      </c>
      <c r="G1" s="660" t="s">
        <v>2237</v>
      </c>
      <c r="H1" s="660" t="s">
        <v>2273</v>
      </c>
      <c r="I1" s="660" t="s">
        <v>2274</v>
      </c>
      <c r="J1" s="660" t="s">
        <v>2275</v>
      </c>
      <c r="K1" s="660" t="s">
        <v>2276</v>
      </c>
      <c r="L1" s="660" t="s">
        <v>2277</v>
      </c>
      <c r="M1" s="660" t="s">
        <v>2278</v>
      </c>
      <c r="N1" s="662"/>
      <c r="O1" s="662"/>
      <c r="P1" s="662"/>
      <c r="Q1" s="662"/>
      <c r="R1" s="662"/>
      <c r="S1" s="662"/>
      <c r="T1" s="662"/>
      <c r="U1" s="662"/>
      <c r="V1" s="662"/>
      <c r="W1" s="662"/>
      <c r="X1" s="662"/>
      <c r="Y1" s="662"/>
      <c r="Z1" s="662"/>
    </row>
    <row r="2">
      <c r="A2" s="1" t="s">
        <v>7</v>
      </c>
      <c r="B2" s="1" t="s">
        <v>180</v>
      </c>
      <c r="C2" s="1" t="s">
        <v>19</v>
      </c>
      <c r="D2" s="1">
        <v>1.0</v>
      </c>
      <c r="E2" s="1">
        <v>1.0</v>
      </c>
      <c r="F2" s="1">
        <v>4.0</v>
      </c>
      <c r="G2" s="1">
        <v>2.0</v>
      </c>
      <c r="H2" s="1">
        <v>3314.0</v>
      </c>
      <c r="I2" s="1">
        <v>0.3575</v>
      </c>
      <c r="J2" s="1">
        <v>0.0</v>
      </c>
      <c r="K2" s="1">
        <v>0.0</v>
      </c>
      <c r="L2" s="1">
        <v>1.0</v>
      </c>
      <c r="M2" s="1"/>
    </row>
    <row r="3">
      <c r="A3" s="1" t="s">
        <v>7</v>
      </c>
      <c r="B3" s="1" t="s">
        <v>180</v>
      </c>
      <c r="C3" s="1" t="s">
        <v>19</v>
      </c>
      <c r="D3" s="1">
        <v>1.0</v>
      </c>
      <c r="E3" s="1">
        <v>2.0</v>
      </c>
      <c r="F3" s="1">
        <v>4.0</v>
      </c>
      <c r="G3" s="1">
        <v>2.0</v>
      </c>
      <c r="H3" s="1">
        <v>3314.0</v>
      </c>
      <c r="I3" s="1">
        <v>0.6643</v>
      </c>
      <c r="J3" s="1">
        <v>1.0</v>
      </c>
      <c r="K3" s="1">
        <v>0.0</v>
      </c>
      <c r="L3" s="1">
        <v>1.0</v>
      </c>
      <c r="M3" s="1"/>
    </row>
    <row r="4">
      <c r="A4" s="1" t="s">
        <v>7</v>
      </c>
      <c r="B4" s="1" t="s">
        <v>180</v>
      </c>
      <c r="C4" s="1" t="s">
        <v>19</v>
      </c>
      <c r="D4" s="1">
        <v>1.0</v>
      </c>
      <c r="E4" s="1">
        <v>3.0</v>
      </c>
      <c r="F4" s="1">
        <v>4.0</v>
      </c>
      <c r="G4" s="1">
        <v>2.0</v>
      </c>
      <c r="H4" s="1">
        <v>3314.0</v>
      </c>
      <c r="I4" s="1">
        <v>0.9811</v>
      </c>
      <c r="J4" s="1">
        <v>1.0</v>
      </c>
      <c r="K4" s="1">
        <v>1.0</v>
      </c>
      <c r="L4" s="1">
        <v>1.0</v>
      </c>
      <c r="M4" s="1"/>
    </row>
    <row r="5">
      <c r="A5" s="1" t="s">
        <v>7</v>
      </c>
      <c r="B5" s="1" t="s">
        <v>180</v>
      </c>
      <c r="C5" s="1" t="s">
        <v>19</v>
      </c>
      <c r="D5" s="1">
        <v>1.0</v>
      </c>
      <c r="E5" s="1">
        <v>4.0</v>
      </c>
      <c r="F5" s="1">
        <v>4.0</v>
      </c>
      <c r="G5" s="1">
        <v>2.0</v>
      </c>
      <c r="H5" s="1">
        <v>3314.0</v>
      </c>
      <c r="I5" s="1">
        <v>0.9977</v>
      </c>
      <c r="J5" s="1">
        <v>1.0</v>
      </c>
      <c r="K5" s="1">
        <v>1.0</v>
      </c>
      <c r="L5" s="1">
        <v>1.0</v>
      </c>
      <c r="M5" s="1"/>
    </row>
    <row r="6">
      <c r="A6" s="1" t="s">
        <v>7</v>
      </c>
      <c r="B6" s="1" t="s">
        <v>1192</v>
      </c>
      <c r="C6" s="1" t="s">
        <v>19</v>
      </c>
      <c r="D6" s="1">
        <v>1.0</v>
      </c>
      <c r="E6" s="1">
        <v>1.0</v>
      </c>
      <c r="F6" s="1">
        <v>4.0</v>
      </c>
      <c r="G6" s="1">
        <v>2.0</v>
      </c>
      <c r="H6" s="1">
        <v>875.0</v>
      </c>
      <c r="I6" s="1">
        <v>0.348</v>
      </c>
      <c r="J6" s="1">
        <v>0.0</v>
      </c>
      <c r="K6" s="1">
        <v>0.0</v>
      </c>
      <c r="L6" s="1">
        <v>1.0</v>
      </c>
      <c r="M6" s="1"/>
    </row>
    <row r="7">
      <c r="A7" s="1" t="s">
        <v>7</v>
      </c>
      <c r="B7" s="1" t="s">
        <v>1192</v>
      </c>
      <c r="C7" s="1" t="s">
        <v>19</v>
      </c>
      <c r="D7" s="1">
        <v>1.0</v>
      </c>
      <c r="E7" s="1">
        <v>2.0</v>
      </c>
      <c r="F7" s="1">
        <v>4.0</v>
      </c>
      <c r="G7" s="1">
        <v>2.0</v>
      </c>
      <c r="H7" s="1">
        <v>875.0</v>
      </c>
      <c r="I7" s="1">
        <v>0.655</v>
      </c>
      <c r="J7" s="1">
        <v>1.0</v>
      </c>
      <c r="K7" s="1">
        <v>4.0E-4</v>
      </c>
      <c r="L7" s="1">
        <v>1.0</v>
      </c>
      <c r="M7" s="1"/>
    </row>
    <row r="8">
      <c r="A8" s="1" t="s">
        <v>7</v>
      </c>
      <c r="B8" s="1" t="s">
        <v>1192</v>
      </c>
      <c r="C8" s="1" t="s">
        <v>19</v>
      </c>
      <c r="D8" s="1">
        <v>1.0</v>
      </c>
      <c r="E8" s="1">
        <v>3.0</v>
      </c>
      <c r="F8" s="1">
        <v>4.0</v>
      </c>
      <c r="G8" s="1">
        <v>2.0</v>
      </c>
      <c r="H8" s="1">
        <v>875.0</v>
      </c>
      <c r="I8" s="1">
        <v>0.9774</v>
      </c>
      <c r="J8" s="1">
        <v>1.0</v>
      </c>
      <c r="K8" s="1">
        <v>1.0</v>
      </c>
      <c r="L8" s="1">
        <v>1.0</v>
      </c>
      <c r="M8" s="1"/>
    </row>
    <row r="9">
      <c r="A9" s="1" t="s">
        <v>7</v>
      </c>
      <c r="B9" s="1" t="s">
        <v>1192</v>
      </c>
      <c r="C9" s="1" t="s">
        <v>19</v>
      </c>
      <c r="D9" s="1">
        <v>1.0</v>
      </c>
      <c r="E9" s="1">
        <v>4.0</v>
      </c>
      <c r="F9" s="1">
        <v>4.0</v>
      </c>
      <c r="G9" s="1">
        <v>2.0</v>
      </c>
      <c r="H9" s="1">
        <v>875.0</v>
      </c>
      <c r="I9" s="1">
        <v>0.999</v>
      </c>
      <c r="J9" s="1">
        <v>1.0</v>
      </c>
      <c r="K9" s="1">
        <v>1.0</v>
      </c>
      <c r="L9" s="1">
        <v>1.0</v>
      </c>
      <c r="M9" s="1"/>
    </row>
    <row r="10">
      <c r="A10" s="1" t="s">
        <v>7</v>
      </c>
      <c r="B10" s="1" t="s">
        <v>180</v>
      </c>
      <c r="C10" s="1" t="s">
        <v>21</v>
      </c>
      <c r="D10" s="1">
        <v>2.0</v>
      </c>
      <c r="E10" s="1">
        <v>1.0</v>
      </c>
      <c r="F10" s="1">
        <v>8.0</v>
      </c>
      <c r="G10" s="1">
        <v>5.0</v>
      </c>
      <c r="H10" s="1">
        <v>4594.0</v>
      </c>
      <c r="I10" s="1">
        <v>0.3731</v>
      </c>
      <c r="J10" s="1">
        <v>0.0013</v>
      </c>
      <c r="K10" s="1">
        <v>0.0</v>
      </c>
      <c r="L10" s="1">
        <v>1.0</v>
      </c>
      <c r="M10" s="1"/>
    </row>
    <row r="11">
      <c r="A11" s="1" t="s">
        <v>7</v>
      </c>
      <c r="B11" s="1" t="s">
        <v>180</v>
      </c>
      <c r="C11" s="1" t="s">
        <v>21</v>
      </c>
      <c r="D11" s="1">
        <v>2.0</v>
      </c>
      <c r="E11" s="1">
        <v>2.0</v>
      </c>
      <c r="F11" s="1">
        <v>8.0</v>
      </c>
      <c r="G11" s="1">
        <v>5.0</v>
      </c>
      <c r="H11" s="1">
        <v>4594.0</v>
      </c>
      <c r="I11" s="1">
        <v>0.6719</v>
      </c>
      <c r="J11" s="1">
        <v>1.0</v>
      </c>
      <c r="K11" s="1">
        <v>0.0296</v>
      </c>
      <c r="L11" s="1">
        <v>1.0</v>
      </c>
      <c r="M11" s="1"/>
    </row>
    <row r="12">
      <c r="A12" s="1" t="s">
        <v>7</v>
      </c>
      <c r="B12" s="1" t="s">
        <v>180</v>
      </c>
      <c r="C12" s="1" t="s">
        <v>21</v>
      </c>
      <c r="D12" s="1">
        <v>2.0</v>
      </c>
      <c r="E12" s="1">
        <v>3.0</v>
      </c>
      <c r="F12" s="1">
        <v>8.0</v>
      </c>
      <c r="G12" s="1">
        <v>5.0</v>
      </c>
      <c r="H12" s="1">
        <v>4594.0</v>
      </c>
      <c r="I12" s="1">
        <v>0.9812</v>
      </c>
      <c r="J12" s="1">
        <v>1.0</v>
      </c>
      <c r="K12" s="1">
        <v>1.0</v>
      </c>
      <c r="L12" s="1">
        <v>1.0</v>
      </c>
      <c r="M12" s="1"/>
    </row>
    <row r="13">
      <c r="A13" s="1" t="s">
        <v>7</v>
      </c>
      <c r="B13" s="1" t="s">
        <v>180</v>
      </c>
      <c r="C13" s="1" t="s">
        <v>21</v>
      </c>
      <c r="D13" s="1">
        <v>2.0</v>
      </c>
      <c r="E13" s="1">
        <v>4.0</v>
      </c>
      <c r="F13" s="1">
        <v>8.0</v>
      </c>
      <c r="G13" s="1">
        <v>5.0</v>
      </c>
      <c r="H13" s="1">
        <v>4594.0</v>
      </c>
      <c r="I13" s="1">
        <v>0.9978</v>
      </c>
      <c r="J13" s="1">
        <v>1.0</v>
      </c>
      <c r="K13" s="1">
        <v>1.0</v>
      </c>
      <c r="L13" s="1">
        <v>1.0</v>
      </c>
      <c r="M13" s="1"/>
    </row>
    <row r="14">
      <c r="A14" s="1" t="s">
        <v>7</v>
      </c>
      <c r="B14" s="1" t="s">
        <v>180</v>
      </c>
      <c r="C14" s="1" t="s">
        <v>21</v>
      </c>
      <c r="D14" s="1">
        <v>2.0</v>
      </c>
      <c r="E14" s="1">
        <v>5.0</v>
      </c>
      <c r="F14" s="1">
        <v>8.0</v>
      </c>
      <c r="G14" s="1">
        <v>3.0</v>
      </c>
      <c r="H14" s="1">
        <v>3.0</v>
      </c>
      <c r="I14" s="1">
        <v>0.6667</v>
      </c>
      <c r="J14" s="1">
        <v>1.0</v>
      </c>
      <c r="K14" s="1">
        <v>0.0</v>
      </c>
      <c r="L14" s="1">
        <v>1.0</v>
      </c>
      <c r="M14" s="1"/>
    </row>
    <row r="15">
      <c r="A15" s="1" t="s">
        <v>7</v>
      </c>
      <c r="B15" s="1" t="s">
        <v>180</v>
      </c>
      <c r="C15" s="1" t="s">
        <v>21</v>
      </c>
      <c r="D15" s="1">
        <v>2.0</v>
      </c>
      <c r="E15" s="1">
        <v>6.0</v>
      </c>
      <c r="F15" s="1">
        <v>8.0</v>
      </c>
      <c r="G15" s="1">
        <v>3.0</v>
      </c>
      <c r="H15" s="1">
        <v>3.0</v>
      </c>
      <c r="I15" s="1">
        <v>1.0</v>
      </c>
      <c r="J15" s="1">
        <v>1.0</v>
      </c>
      <c r="K15" s="1">
        <v>1.0</v>
      </c>
      <c r="L15" s="1">
        <v>1.0</v>
      </c>
      <c r="M15" s="1"/>
    </row>
    <row r="16">
      <c r="A16" s="1" t="s">
        <v>7</v>
      </c>
      <c r="B16" s="1" t="s">
        <v>180</v>
      </c>
      <c r="C16" s="1" t="s">
        <v>21</v>
      </c>
      <c r="D16" s="1">
        <v>2.0</v>
      </c>
      <c r="E16" s="1">
        <v>7.0</v>
      </c>
      <c r="F16" s="1">
        <v>8.0</v>
      </c>
      <c r="G16" s="1">
        <v>3.0</v>
      </c>
      <c r="H16" s="1">
        <v>3.0</v>
      </c>
      <c r="I16" s="1">
        <v>1.0</v>
      </c>
      <c r="J16" s="1">
        <v>1.0</v>
      </c>
      <c r="K16" s="1">
        <v>1.0</v>
      </c>
      <c r="L16" s="1">
        <v>1.0</v>
      </c>
      <c r="M16" s="1"/>
    </row>
    <row r="17">
      <c r="A17" s="1" t="s">
        <v>7</v>
      </c>
      <c r="B17" s="1" t="s">
        <v>180</v>
      </c>
      <c r="C17" s="1" t="s">
        <v>21</v>
      </c>
      <c r="D17" s="1">
        <v>2.0</v>
      </c>
      <c r="E17" s="1">
        <v>8.0</v>
      </c>
      <c r="F17" s="1">
        <v>8.0</v>
      </c>
      <c r="G17" s="1">
        <v>3.0</v>
      </c>
      <c r="H17" s="1">
        <v>3.0</v>
      </c>
      <c r="I17" s="1">
        <v>1.0</v>
      </c>
      <c r="J17" s="1">
        <v>1.0</v>
      </c>
      <c r="K17" s="1">
        <v>1.0</v>
      </c>
      <c r="L17" s="1">
        <v>1.0</v>
      </c>
      <c r="M17" s="1"/>
    </row>
    <row r="18">
      <c r="A18" s="1" t="s">
        <v>7</v>
      </c>
      <c r="B18" s="1" t="s">
        <v>1192</v>
      </c>
      <c r="C18" s="1" t="s">
        <v>21</v>
      </c>
      <c r="D18" s="1">
        <v>2.0</v>
      </c>
      <c r="E18" s="1">
        <v>1.0</v>
      </c>
      <c r="F18" s="1">
        <v>4.0</v>
      </c>
      <c r="G18" s="1">
        <v>2.0</v>
      </c>
      <c r="H18" s="1">
        <v>996.0</v>
      </c>
      <c r="I18" s="1">
        <v>0.3647</v>
      </c>
      <c r="J18" s="1">
        <v>0.003</v>
      </c>
      <c r="K18" s="1">
        <v>0.0</v>
      </c>
      <c r="L18" s="1">
        <v>1.0</v>
      </c>
      <c r="M18" s="1"/>
    </row>
    <row r="19">
      <c r="A19" s="1" t="s">
        <v>7</v>
      </c>
      <c r="B19" s="1" t="s">
        <v>1192</v>
      </c>
      <c r="C19" s="1" t="s">
        <v>21</v>
      </c>
      <c r="D19" s="1">
        <v>2.0</v>
      </c>
      <c r="E19" s="1">
        <v>2.0</v>
      </c>
      <c r="F19" s="1">
        <v>4.0</v>
      </c>
      <c r="G19" s="1">
        <v>2.0</v>
      </c>
      <c r="H19" s="1">
        <v>996.0</v>
      </c>
      <c r="I19" s="1">
        <v>0.6661</v>
      </c>
      <c r="J19" s="1">
        <v>1.0</v>
      </c>
      <c r="K19" s="1">
        <v>0.0383</v>
      </c>
      <c r="L19" s="1">
        <v>1.0</v>
      </c>
      <c r="M19" s="1"/>
    </row>
    <row r="20">
      <c r="A20" s="1" t="s">
        <v>7</v>
      </c>
      <c r="B20" s="1" t="s">
        <v>1192</v>
      </c>
      <c r="C20" s="1" t="s">
        <v>21</v>
      </c>
      <c r="D20" s="1">
        <v>2.0</v>
      </c>
      <c r="E20" s="1">
        <v>3.0</v>
      </c>
      <c r="F20" s="1">
        <v>4.0</v>
      </c>
      <c r="G20" s="1">
        <v>2.0</v>
      </c>
      <c r="H20" s="1">
        <v>996.0</v>
      </c>
      <c r="I20" s="1">
        <v>0.9791</v>
      </c>
      <c r="J20" s="1">
        <v>1.0</v>
      </c>
      <c r="K20" s="1">
        <v>1.0</v>
      </c>
      <c r="L20" s="1">
        <v>1.0</v>
      </c>
      <c r="M20" s="1"/>
    </row>
    <row r="21">
      <c r="A21" s="1" t="s">
        <v>7</v>
      </c>
      <c r="B21" s="1" t="s">
        <v>1192</v>
      </c>
      <c r="C21" s="1" t="s">
        <v>21</v>
      </c>
      <c r="D21" s="1">
        <v>2.0</v>
      </c>
      <c r="E21" s="1">
        <v>4.0</v>
      </c>
      <c r="F21" s="1">
        <v>4.0</v>
      </c>
      <c r="G21" s="1">
        <v>2.0</v>
      </c>
      <c r="H21" s="1">
        <v>996.0</v>
      </c>
      <c r="I21" s="1">
        <v>1.0</v>
      </c>
      <c r="J21" s="1">
        <v>1.0</v>
      </c>
      <c r="K21" s="1">
        <v>1.0</v>
      </c>
      <c r="L21" s="1">
        <v>1.0</v>
      </c>
      <c r="M21" s="1"/>
    </row>
    <row r="22">
      <c r="A22" s="1" t="s">
        <v>7</v>
      </c>
      <c r="B22" s="1" t="s">
        <v>180</v>
      </c>
      <c r="C22" s="1" t="s">
        <v>22</v>
      </c>
      <c r="D22" s="1">
        <v>3.0</v>
      </c>
      <c r="E22" s="1">
        <v>1.0</v>
      </c>
      <c r="F22" s="1">
        <v>8.0</v>
      </c>
      <c r="G22" s="1">
        <v>8.0</v>
      </c>
      <c r="H22" s="1">
        <v>5215.0</v>
      </c>
      <c r="I22" s="1">
        <v>0.3769</v>
      </c>
      <c r="J22" s="1">
        <v>0.0333</v>
      </c>
      <c r="K22" s="1">
        <v>0.0</v>
      </c>
      <c r="L22" s="1">
        <v>0.9998</v>
      </c>
      <c r="M22" s="1"/>
    </row>
    <row r="23">
      <c r="A23" s="1" t="s">
        <v>7</v>
      </c>
      <c r="B23" s="1" t="s">
        <v>180</v>
      </c>
      <c r="C23" s="1" t="s">
        <v>22</v>
      </c>
      <c r="D23" s="1">
        <v>3.0</v>
      </c>
      <c r="E23" s="1">
        <v>2.0</v>
      </c>
      <c r="F23" s="1">
        <v>8.0</v>
      </c>
      <c r="G23" s="1">
        <v>8.0</v>
      </c>
      <c r="H23" s="1">
        <v>5215.0</v>
      </c>
      <c r="I23" s="1">
        <v>0.6687</v>
      </c>
      <c r="J23" s="1">
        <v>0.9991</v>
      </c>
      <c r="K23" s="1">
        <v>0.1068</v>
      </c>
      <c r="L23" s="1">
        <v>1.0</v>
      </c>
      <c r="M23" s="1"/>
    </row>
    <row r="24">
      <c r="A24" s="1" t="s">
        <v>7</v>
      </c>
      <c r="B24" s="1" t="s">
        <v>180</v>
      </c>
      <c r="C24" s="1" t="s">
        <v>22</v>
      </c>
      <c r="D24" s="1">
        <v>3.0</v>
      </c>
      <c r="E24" s="1">
        <v>3.0</v>
      </c>
      <c r="F24" s="1">
        <v>8.0</v>
      </c>
      <c r="G24" s="1">
        <v>8.0</v>
      </c>
      <c r="H24" s="1">
        <v>5215.0</v>
      </c>
      <c r="I24" s="1">
        <v>0.9802</v>
      </c>
      <c r="J24" s="1">
        <v>1.0</v>
      </c>
      <c r="K24" s="1">
        <v>1.0</v>
      </c>
      <c r="L24" s="1">
        <v>1.0</v>
      </c>
      <c r="M24" s="1"/>
    </row>
    <row r="25">
      <c r="A25" s="1" t="s">
        <v>7</v>
      </c>
      <c r="B25" s="1" t="s">
        <v>180</v>
      </c>
      <c r="C25" s="1" t="s">
        <v>22</v>
      </c>
      <c r="D25" s="1">
        <v>3.0</v>
      </c>
      <c r="E25" s="1">
        <v>4.0</v>
      </c>
      <c r="F25" s="1">
        <v>8.0</v>
      </c>
      <c r="G25" s="1">
        <v>8.0</v>
      </c>
      <c r="H25" s="1">
        <v>5215.0</v>
      </c>
      <c r="I25" s="1">
        <v>0.9982</v>
      </c>
      <c r="J25" s="1">
        <v>1.0</v>
      </c>
      <c r="K25" s="1">
        <v>1.0</v>
      </c>
      <c r="L25" s="1">
        <v>1.0</v>
      </c>
      <c r="M25" s="1"/>
    </row>
    <row r="26">
      <c r="A26" s="1" t="s">
        <v>7</v>
      </c>
      <c r="B26" s="1" t="s">
        <v>180</v>
      </c>
      <c r="C26" s="1" t="s">
        <v>22</v>
      </c>
      <c r="D26" s="1">
        <v>3.0</v>
      </c>
      <c r="E26" s="1">
        <v>5.0</v>
      </c>
      <c r="F26" s="1">
        <v>8.0</v>
      </c>
      <c r="G26" s="1">
        <v>6.0</v>
      </c>
      <c r="H26" s="1">
        <v>6.0</v>
      </c>
      <c r="I26" s="1">
        <v>0.7399</v>
      </c>
      <c r="J26" s="1">
        <v>0.9998</v>
      </c>
      <c r="K26" s="1">
        <v>0.4545</v>
      </c>
      <c r="L26" s="1">
        <v>1.0</v>
      </c>
      <c r="M26" s="1"/>
    </row>
    <row r="27">
      <c r="A27" s="1" t="s">
        <v>7</v>
      </c>
      <c r="B27" s="1" t="s">
        <v>180</v>
      </c>
      <c r="C27" s="1" t="s">
        <v>22</v>
      </c>
      <c r="D27" s="1">
        <v>3.0</v>
      </c>
      <c r="E27" s="1">
        <v>6.0</v>
      </c>
      <c r="F27" s="1">
        <v>8.0</v>
      </c>
      <c r="G27" s="1">
        <v>6.0</v>
      </c>
      <c r="H27" s="1">
        <v>6.0</v>
      </c>
      <c r="I27" s="1">
        <v>0.9037</v>
      </c>
      <c r="J27" s="1">
        <v>1.0</v>
      </c>
      <c r="K27" s="1">
        <v>0.9677</v>
      </c>
      <c r="L27" s="1">
        <v>1.0</v>
      </c>
      <c r="M27" s="1"/>
    </row>
    <row r="28">
      <c r="A28" s="1" t="s">
        <v>7</v>
      </c>
      <c r="B28" s="1" t="s">
        <v>180</v>
      </c>
      <c r="C28" s="1" t="s">
        <v>22</v>
      </c>
      <c r="D28" s="1">
        <v>3.0</v>
      </c>
      <c r="E28" s="1">
        <v>7.0</v>
      </c>
      <c r="F28" s="1">
        <v>8.0</v>
      </c>
      <c r="G28" s="1">
        <v>6.0</v>
      </c>
      <c r="H28" s="1">
        <v>6.0</v>
      </c>
      <c r="I28" s="1">
        <v>0.9946</v>
      </c>
      <c r="J28" s="1">
        <v>1.0</v>
      </c>
      <c r="K28" s="1">
        <v>0.9998</v>
      </c>
      <c r="L28" s="1">
        <v>1.0</v>
      </c>
      <c r="M28" s="1"/>
    </row>
    <row r="29">
      <c r="A29" s="1" t="s">
        <v>7</v>
      </c>
      <c r="B29" s="1" t="s">
        <v>180</v>
      </c>
      <c r="C29" s="1" t="s">
        <v>22</v>
      </c>
      <c r="D29" s="1">
        <v>3.0</v>
      </c>
      <c r="E29" s="1">
        <v>8.0</v>
      </c>
      <c r="F29" s="1">
        <v>8.0</v>
      </c>
      <c r="G29" s="1">
        <v>6.0</v>
      </c>
      <c r="H29" s="1">
        <v>6.0</v>
      </c>
      <c r="I29" s="1">
        <v>1.0</v>
      </c>
      <c r="J29" s="1">
        <v>1.0</v>
      </c>
      <c r="K29" s="1">
        <v>1.0</v>
      </c>
      <c r="L29" s="1">
        <v>1.0</v>
      </c>
      <c r="M29" s="1"/>
    </row>
    <row r="30">
      <c r="A30" s="1" t="s">
        <v>7</v>
      </c>
      <c r="B30" s="1" t="s">
        <v>1192</v>
      </c>
      <c r="C30" s="1" t="s">
        <v>22</v>
      </c>
      <c r="D30" s="1">
        <v>3.0</v>
      </c>
      <c r="E30" s="1">
        <v>1.0</v>
      </c>
      <c r="F30" s="1">
        <v>4.0</v>
      </c>
      <c r="G30" s="1">
        <v>2.0</v>
      </c>
      <c r="H30" s="1">
        <v>950.0</v>
      </c>
      <c r="I30" s="1">
        <v>0.3563</v>
      </c>
      <c r="J30" s="1">
        <v>0.0356</v>
      </c>
      <c r="K30" s="1">
        <v>0.0</v>
      </c>
      <c r="L30" s="1">
        <v>0.9941</v>
      </c>
      <c r="M30" s="1"/>
    </row>
    <row r="31">
      <c r="A31" s="1" t="s">
        <v>7</v>
      </c>
      <c r="B31" s="1" t="s">
        <v>1192</v>
      </c>
      <c r="C31" s="1" t="s">
        <v>22</v>
      </c>
      <c r="D31" s="1">
        <v>3.0</v>
      </c>
      <c r="E31" s="1">
        <v>2.0</v>
      </c>
      <c r="F31" s="1">
        <v>4.0</v>
      </c>
      <c r="G31" s="1">
        <v>2.0</v>
      </c>
      <c r="H31" s="1">
        <v>950.0</v>
      </c>
      <c r="I31" s="1">
        <v>0.66</v>
      </c>
      <c r="J31" s="1">
        <v>0.9999</v>
      </c>
      <c r="K31" s="1">
        <v>0.1663</v>
      </c>
      <c r="L31" s="1">
        <v>1.0</v>
      </c>
      <c r="M31" s="1"/>
    </row>
    <row r="32">
      <c r="A32" s="1" t="s">
        <v>7</v>
      </c>
      <c r="B32" s="1" t="s">
        <v>1192</v>
      </c>
      <c r="C32" s="1" t="s">
        <v>22</v>
      </c>
      <c r="D32" s="1">
        <v>3.0</v>
      </c>
      <c r="E32" s="1">
        <v>3.0</v>
      </c>
      <c r="F32" s="1">
        <v>4.0</v>
      </c>
      <c r="G32" s="1">
        <v>2.0</v>
      </c>
      <c r="H32" s="1">
        <v>950.0</v>
      </c>
      <c r="I32" s="1">
        <v>0.9751</v>
      </c>
      <c r="J32" s="1">
        <v>1.0</v>
      </c>
      <c r="K32" s="1">
        <v>1.0</v>
      </c>
      <c r="L32" s="1">
        <v>1.0</v>
      </c>
      <c r="M32" s="1"/>
    </row>
    <row r="33">
      <c r="A33" s="1" t="s">
        <v>7</v>
      </c>
      <c r="B33" s="1" t="s">
        <v>1192</v>
      </c>
      <c r="C33" s="1" t="s">
        <v>22</v>
      </c>
      <c r="D33" s="1">
        <v>3.0</v>
      </c>
      <c r="E33" s="1">
        <v>4.0</v>
      </c>
      <c r="F33" s="1">
        <v>4.0</v>
      </c>
      <c r="G33" s="1">
        <v>2.0</v>
      </c>
      <c r="H33" s="1">
        <v>950.0</v>
      </c>
      <c r="I33" s="1">
        <v>0.9979</v>
      </c>
      <c r="J33" s="1">
        <v>1.0</v>
      </c>
      <c r="K33" s="1">
        <v>1.0</v>
      </c>
      <c r="L33" s="1">
        <v>1.0</v>
      </c>
      <c r="M33" s="1"/>
    </row>
    <row r="34">
      <c r="A34" s="1" t="s">
        <v>7</v>
      </c>
      <c r="B34" s="1" t="s">
        <v>180</v>
      </c>
      <c r="C34" s="1" t="s">
        <v>24</v>
      </c>
      <c r="D34" s="1">
        <v>4.0</v>
      </c>
      <c r="E34" s="1">
        <v>1.0</v>
      </c>
      <c r="F34" s="1">
        <v>8.0</v>
      </c>
      <c r="G34" s="1">
        <v>14.0</v>
      </c>
      <c r="H34" s="1">
        <v>4064.0</v>
      </c>
      <c r="I34" s="1">
        <v>0.3539</v>
      </c>
      <c r="J34" s="1">
        <v>0.07</v>
      </c>
      <c r="K34" s="1">
        <v>0.0</v>
      </c>
      <c r="L34" s="1">
        <v>0.9263</v>
      </c>
      <c r="M34" s="1"/>
    </row>
    <row r="35">
      <c r="A35" s="1" t="s">
        <v>7</v>
      </c>
      <c r="B35" s="1" t="s">
        <v>180</v>
      </c>
      <c r="C35" s="1" t="s">
        <v>24</v>
      </c>
      <c r="D35" s="1">
        <v>4.0</v>
      </c>
      <c r="E35" s="1">
        <v>2.0</v>
      </c>
      <c r="F35" s="1">
        <v>8.0</v>
      </c>
      <c r="G35" s="1">
        <v>14.0</v>
      </c>
      <c r="H35" s="1">
        <v>4064.0</v>
      </c>
      <c r="I35" s="1">
        <v>0.643</v>
      </c>
      <c r="J35" s="1">
        <v>0.9401</v>
      </c>
      <c r="K35" s="1">
        <v>0.1334</v>
      </c>
      <c r="L35" s="1">
        <v>1.0</v>
      </c>
      <c r="M35" s="1"/>
    </row>
    <row r="36">
      <c r="A36" s="1" t="s">
        <v>7</v>
      </c>
      <c r="B36" s="1" t="s">
        <v>180</v>
      </c>
      <c r="C36" s="1" t="s">
        <v>24</v>
      </c>
      <c r="D36" s="1">
        <v>4.0</v>
      </c>
      <c r="E36" s="1">
        <v>3.0</v>
      </c>
      <c r="F36" s="1">
        <v>8.0</v>
      </c>
      <c r="G36" s="1">
        <v>14.0</v>
      </c>
      <c r="H36" s="1">
        <v>4064.0</v>
      </c>
      <c r="I36" s="1">
        <v>0.9766</v>
      </c>
      <c r="J36" s="1">
        <v>1.0</v>
      </c>
      <c r="K36" s="1">
        <v>1.0</v>
      </c>
      <c r="L36" s="1">
        <v>1.0</v>
      </c>
      <c r="M36" s="1"/>
    </row>
    <row r="37">
      <c r="A37" s="1" t="s">
        <v>7</v>
      </c>
      <c r="B37" s="1" t="s">
        <v>180</v>
      </c>
      <c r="C37" s="1" t="s">
        <v>24</v>
      </c>
      <c r="D37" s="1">
        <v>4.0</v>
      </c>
      <c r="E37" s="1">
        <v>4.0</v>
      </c>
      <c r="F37" s="1">
        <v>8.0</v>
      </c>
      <c r="G37" s="1">
        <v>14.0</v>
      </c>
      <c r="H37" s="1">
        <v>4064.0</v>
      </c>
      <c r="I37" s="1">
        <v>0.9975</v>
      </c>
      <c r="J37" s="1">
        <v>1.0</v>
      </c>
      <c r="K37" s="1">
        <v>1.0</v>
      </c>
      <c r="L37" s="1">
        <v>1.0</v>
      </c>
      <c r="M37" s="1"/>
    </row>
    <row r="38">
      <c r="A38" s="1" t="s">
        <v>7</v>
      </c>
      <c r="B38" s="1" t="s">
        <v>180</v>
      </c>
      <c r="C38" s="1" t="s">
        <v>24</v>
      </c>
      <c r="D38" s="1">
        <v>4.0</v>
      </c>
      <c r="E38" s="1">
        <v>5.0</v>
      </c>
      <c r="F38" s="1">
        <v>8.0</v>
      </c>
      <c r="G38" s="1">
        <v>12.0</v>
      </c>
      <c r="H38" s="1">
        <v>16.0</v>
      </c>
      <c r="I38" s="1">
        <v>0.7342</v>
      </c>
      <c r="J38" s="1">
        <v>1.0</v>
      </c>
      <c r="K38" s="1">
        <v>0.5642</v>
      </c>
      <c r="L38" s="1">
        <v>1.0</v>
      </c>
      <c r="M38" s="1"/>
    </row>
    <row r="39">
      <c r="A39" s="1" t="s">
        <v>7</v>
      </c>
      <c r="B39" s="1" t="s">
        <v>180</v>
      </c>
      <c r="C39" s="1" t="s">
        <v>24</v>
      </c>
      <c r="D39" s="1">
        <v>4.0</v>
      </c>
      <c r="E39" s="1">
        <v>6.0</v>
      </c>
      <c r="F39" s="1">
        <v>8.0</v>
      </c>
      <c r="G39" s="1">
        <v>12.0</v>
      </c>
      <c r="H39" s="1">
        <v>16.0</v>
      </c>
      <c r="I39" s="1">
        <v>0.7463</v>
      </c>
      <c r="J39" s="1">
        <v>1.0</v>
      </c>
      <c r="K39" s="1">
        <v>0.5642</v>
      </c>
      <c r="L39" s="1">
        <v>1.0</v>
      </c>
      <c r="M39" s="1"/>
    </row>
    <row r="40">
      <c r="A40" s="1" t="s">
        <v>7</v>
      </c>
      <c r="B40" s="1" t="s">
        <v>180</v>
      </c>
      <c r="C40" s="1" t="s">
        <v>24</v>
      </c>
      <c r="D40" s="1">
        <v>4.0</v>
      </c>
      <c r="E40" s="1">
        <v>7.0</v>
      </c>
      <c r="F40" s="1">
        <v>8.0</v>
      </c>
      <c r="G40" s="1">
        <v>12.0</v>
      </c>
      <c r="H40" s="1">
        <v>16.0</v>
      </c>
      <c r="I40" s="1">
        <v>1.0</v>
      </c>
      <c r="J40" s="1">
        <v>1.0</v>
      </c>
      <c r="K40" s="1">
        <v>1.0</v>
      </c>
      <c r="L40" s="1">
        <v>1.0</v>
      </c>
      <c r="M40" s="1"/>
    </row>
    <row r="41">
      <c r="A41" s="1" t="s">
        <v>7</v>
      </c>
      <c r="B41" s="1" t="s">
        <v>180</v>
      </c>
      <c r="C41" s="1" t="s">
        <v>24</v>
      </c>
      <c r="D41" s="1">
        <v>4.0</v>
      </c>
      <c r="E41" s="1">
        <v>8.0</v>
      </c>
      <c r="F41" s="1">
        <v>8.0</v>
      </c>
      <c r="G41" s="1">
        <v>12.0</v>
      </c>
      <c r="H41" s="1">
        <v>16.0</v>
      </c>
      <c r="I41" s="1">
        <v>1.0</v>
      </c>
      <c r="J41" s="1">
        <v>1.0</v>
      </c>
      <c r="K41" s="1">
        <v>1.0</v>
      </c>
      <c r="L41" s="1">
        <v>1.0</v>
      </c>
      <c r="M41" s="1"/>
    </row>
    <row r="42">
      <c r="A42" s="1" t="s">
        <v>7</v>
      </c>
      <c r="B42" s="1" t="s">
        <v>1192</v>
      </c>
      <c r="C42" s="1" t="s">
        <v>24</v>
      </c>
      <c r="D42" s="1">
        <v>4.0</v>
      </c>
      <c r="E42" s="1">
        <v>1.0</v>
      </c>
      <c r="F42" s="1">
        <v>8.0</v>
      </c>
      <c r="G42" s="1">
        <v>3.0</v>
      </c>
      <c r="H42" s="1">
        <v>736.0</v>
      </c>
      <c r="I42" s="1">
        <v>0.3503</v>
      </c>
      <c r="J42" s="1">
        <v>0.1633</v>
      </c>
      <c r="K42" s="1">
        <v>0.0</v>
      </c>
      <c r="L42" s="1">
        <v>0.7077</v>
      </c>
      <c r="M42" s="1"/>
    </row>
    <row r="43">
      <c r="A43" s="1" t="s">
        <v>7</v>
      </c>
      <c r="B43" s="1" t="s">
        <v>1192</v>
      </c>
      <c r="C43" s="1" t="s">
        <v>24</v>
      </c>
      <c r="D43" s="1">
        <v>4.0</v>
      </c>
      <c r="E43" s="1">
        <v>2.0</v>
      </c>
      <c r="F43" s="1">
        <v>8.0</v>
      </c>
      <c r="G43" s="1">
        <v>3.0</v>
      </c>
      <c r="H43" s="1">
        <v>736.0</v>
      </c>
      <c r="I43" s="1">
        <v>0.6692</v>
      </c>
      <c r="J43" s="1">
        <v>0.8753</v>
      </c>
      <c r="K43" s="1">
        <v>0.3432</v>
      </c>
      <c r="L43" s="1">
        <v>1.0</v>
      </c>
      <c r="M43" s="1"/>
    </row>
    <row r="44">
      <c r="A44" s="1" t="s">
        <v>7</v>
      </c>
      <c r="B44" s="1" t="s">
        <v>1192</v>
      </c>
      <c r="C44" s="1" t="s">
        <v>24</v>
      </c>
      <c r="D44" s="1">
        <v>4.0</v>
      </c>
      <c r="E44" s="1">
        <v>3.0</v>
      </c>
      <c r="F44" s="1">
        <v>8.0</v>
      </c>
      <c r="G44" s="1">
        <v>3.0</v>
      </c>
      <c r="H44" s="1">
        <v>736.0</v>
      </c>
      <c r="I44" s="1">
        <v>0.9785</v>
      </c>
      <c r="J44" s="1">
        <v>1.0</v>
      </c>
      <c r="K44" s="1">
        <v>1.0</v>
      </c>
      <c r="L44" s="1">
        <v>1.0</v>
      </c>
      <c r="M44" s="1"/>
    </row>
    <row r="45">
      <c r="A45" s="1" t="s">
        <v>7</v>
      </c>
      <c r="B45" s="1" t="s">
        <v>1192</v>
      </c>
      <c r="C45" s="1" t="s">
        <v>24</v>
      </c>
      <c r="D45" s="1">
        <v>4.0</v>
      </c>
      <c r="E45" s="1">
        <v>4.0</v>
      </c>
      <c r="F45" s="1">
        <v>8.0</v>
      </c>
      <c r="G45" s="1">
        <v>3.0</v>
      </c>
      <c r="H45" s="1">
        <v>736.0</v>
      </c>
      <c r="I45" s="1">
        <v>0.9976</v>
      </c>
      <c r="J45" s="1">
        <v>1.0</v>
      </c>
      <c r="K45" s="1">
        <v>1.0</v>
      </c>
      <c r="L45" s="1">
        <v>1.0</v>
      </c>
      <c r="M45" s="1"/>
    </row>
    <row r="46">
      <c r="A46" s="1" t="s">
        <v>7</v>
      </c>
      <c r="B46" s="1" t="s">
        <v>1192</v>
      </c>
      <c r="C46" s="1" t="s">
        <v>24</v>
      </c>
      <c r="D46" s="1">
        <v>4.0</v>
      </c>
      <c r="E46" s="1">
        <v>5.0</v>
      </c>
      <c r="F46" s="1">
        <v>8.0</v>
      </c>
      <c r="G46" s="1">
        <v>1.0</v>
      </c>
      <c r="H46" s="1">
        <v>1.0</v>
      </c>
      <c r="I46" s="1">
        <v>0.7757</v>
      </c>
      <c r="J46" s="1">
        <v>0.7757</v>
      </c>
      <c r="K46" s="1">
        <v>0.7757</v>
      </c>
      <c r="L46" s="1">
        <v>0.7757</v>
      </c>
      <c r="M46" s="1"/>
    </row>
    <row r="47">
      <c r="A47" s="1" t="s">
        <v>7</v>
      </c>
      <c r="B47" s="1" t="s">
        <v>1192</v>
      </c>
      <c r="C47" s="1" t="s">
        <v>24</v>
      </c>
      <c r="D47" s="1">
        <v>4.0</v>
      </c>
      <c r="E47" s="1">
        <v>6.0</v>
      </c>
      <c r="F47" s="1">
        <v>8.0</v>
      </c>
      <c r="G47" s="1">
        <v>1.0</v>
      </c>
      <c r="H47" s="1">
        <v>1.0</v>
      </c>
      <c r="I47" s="1">
        <v>0.8902</v>
      </c>
      <c r="J47" s="1">
        <v>0.8902</v>
      </c>
      <c r="K47" s="1">
        <v>0.8902</v>
      </c>
      <c r="L47" s="1">
        <v>0.8902</v>
      </c>
      <c r="M47" s="1"/>
    </row>
    <row r="48">
      <c r="A48" s="1" t="s">
        <v>7</v>
      </c>
      <c r="B48" s="1" t="s">
        <v>1192</v>
      </c>
      <c r="C48" s="1" t="s">
        <v>24</v>
      </c>
      <c r="D48" s="1">
        <v>4.0</v>
      </c>
      <c r="E48" s="1">
        <v>7.0</v>
      </c>
      <c r="F48" s="1">
        <v>8.0</v>
      </c>
      <c r="G48" s="1">
        <v>1.0</v>
      </c>
      <c r="H48" s="1">
        <v>1.0</v>
      </c>
      <c r="I48" s="1">
        <v>0.8902</v>
      </c>
      <c r="J48" s="1">
        <v>0.8902</v>
      </c>
      <c r="K48" s="1">
        <v>0.8902</v>
      </c>
      <c r="L48" s="1">
        <v>0.8902</v>
      </c>
      <c r="M48" s="1"/>
    </row>
    <row r="49">
      <c r="A49" s="1" t="s">
        <v>7</v>
      </c>
      <c r="B49" s="1" t="s">
        <v>1192</v>
      </c>
      <c r="C49" s="1" t="s">
        <v>24</v>
      </c>
      <c r="D49" s="1">
        <v>4.0</v>
      </c>
      <c r="E49" s="1">
        <v>8.0</v>
      </c>
      <c r="F49" s="1">
        <v>8.0</v>
      </c>
      <c r="G49" s="1">
        <v>1.0</v>
      </c>
      <c r="H49" s="1">
        <v>1.0</v>
      </c>
      <c r="I49" s="1">
        <v>1.0</v>
      </c>
      <c r="J49" s="1">
        <v>1.0</v>
      </c>
      <c r="K49" s="1">
        <v>1.0</v>
      </c>
      <c r="L49" s="1">
        <v>1.0</v>
      </c>
      <c r="M49" s="1"/>
    </row>
    <row r="50">
      <c r="A50" s="1" t="s">
        <v>7</v>
      </c>
      <c r="B50" s="1" t="s">
        <v>180</v>
      </c>
      <c r="C50" s="1" t="s">
        <v>26</v>
      </c>
      <c r="D50" s="1">
        <v>5.0</v>
      </c>
      <c r="E50" s="1">
        <v>1.0</v>
      </c>
      <c r="F50" s="1">
        <v>8.0</v>
      </c>
      <c r="G50" s="1">
        <v>3.0</v>
      </c>
      <c r="H50" s="1">
        <v>827.0</v>
      </c>
      <c r="I50" s="1">
        <v>0.2924</v>
      </c>
      <c r="J50" s="1">
        <v>0.0036</v>
      </c>
      <c r="K50" s="1">
        <v>0.0</v>
      </c>
      <c r="L50" s="1">
        <v>0.5541</v>
      </c>
      <c r="M50" s="1"/>
    </row>
    <row r="51">
      <c r="A51" s="1" t="s">
        <v>7</v>
      </c>
      <c r="B51" s="1" t="s">
        <v>180</v>
      </c>
      <c r="C51" s="1" t="s">
        <v>26</v>
      </c>
      <c r="D51" s="1">
        <v>5.0</v>
      </c>
      <c r="E51" s="1">
        <v>2.0</v>
      </c>
      <c r="F51" s="1">
        <v>8.0</v>
      </c>
      <c r="G51" s="1">
        <v>3.0</v>
      </c>
      <c r="H51" s="1">
        <v>827.0</v>
      </c>
      <c r="I51" s="1">
        <v>0.585</v>
      </c>
      <c r="J51" s="1">
        <v>0.7339</v>
      </c>
      <c r="K51" s="1">
        <v>0.0053</v>
      </c>
      <c r="L51" s="1">
        <v>1.0</v>
      </c>
      <c r="M51" s="1"/>
    </row>
    <row r="52">
      <c r="A52" s="1" t="s">
        <v>7</v>
      </c>
      <c r="B52" s="1" t="s">
        <v>180</v>
      </c>
      <c r="C52" s="1" t="s">
        <v>26</v>
      </c>
      <c r="D52" s="1">
        <v>5.0</v>
      </c>
      <c r="E52" s="1">
        <v>3.0</v>
      </c>
      <c r="F52" s="1">
        <v>8.0</v>
      </c>
      <c r="G52" s="1">
        <v>3.0</v>
      </c>
      <c r="H52" s="1">
        <v>827.0</v>
      </c>
      <c r="I52" s="1">
        <v>0.9813</v>
      </c>
      <c r="J52" s="1">
        <v>1.0</v>
      </c>
      <c r="K52" s="1">
        <v>1.0</v>
      </c>
      <c r="L52" s="1">
        <v>1.0</v>
      </c>
      <c r="M52" s="1"/>
    </row>
    <row r="53">
      <c r="A53" s="1" t="s">
        <v>7</v>
      </c>
      <c r="B53" s="1" t="s">
        <v>180</v>
      </c>
      <c r="C53" s="1" t="s">
        <v>26</v>
      </c>
      <c r="D53" s="1">
        <v>5.0</v>
      </c>
      <c r="E53" s="1">
        <v>4.0</v>
      </c>
      <c r="F53" s="1">
        <v>8.0</v>
      </c>
      <c r="G53" s="1">
        <v>3.0</v>
      </c>
      <c r="H53" s="1">
        <v>827.0</v>
      </c>
      <c r="I53" s="1">
        <v>0.9999</v>
      </c>
      <c r="J53" s="1">
        <v>1.0</v>
      </c>
      <c r="K53" s="1">
        <v>1.0</v>
      </c>
      <c r="L53" s="1">
        <v>1.0</v>
      </c>
      <c r="M53" s="1"/>
    </row>
    <row r="54">
      <c r="A54" s="1" t="s">
        <v>7</v>
      </c>
      <c r="B54" s="1" t="s">
        <v>180</v>
      </c>
      <c r="C54" s="1" t="s">
        <v>26</v>
      </c>
      <c r="D54" s="1">
        <v>5.0</v>
      </c>
      <c r="E54" s="1">
        <v>5.0</v>
      </c>
      <c r="F54" s="1">
        <v>8.0</v>
      </c>
      <c r="G54" s="1">
        <v>1.0</v>
      </c>
      <c r="H54" s="1">
        <v>1.0</v>
      </c>
      <c r="I54" s="1">
        <v>1.0</v>
      </c>
      <c r="J54" s="1">
        <v>1.0</v>
      </c>
      <c r="K54" s="1">
        <v>1.0</v>
      </c>
      <c r="L54" s="1">
        <v>1.0</v>
      </c>
      <c r="M54" s="1"/>
    </row>
    <row r="55">
      <c r="A55" s="1" t="s">
        <v>7</v>
      </c>
      <c r="B55" s="1" t="s">
        <v>180</v>
      </c>
      <c r="C55" s="1" t="s">
        <v>26</v>
      </c>
      <c r="D55" s="1">
        <v>5.0</v>
      </c>
      <c r="E55" s="1">
        <v>6.0</v>
      </c>
      <c r="F55" s="1">
        <v>8.0</v>
      </c>
      <c r="G55" s="1">
        <v>1.0</v>
      </c>
      <c r="H55" s="1">
        <v>1.0</v>
      </c>
      <c r="I55" s="1">
        <v>1.0</v>
      </c>
      <c r="J55" s="1">
        <v>1.0</v>
      </c>
      <c r="K55" s="1">
        <v>1.0</v>
      </c>
      <c r="L55" s="1">
        <v>1.0</v>
      </c>
      <c r="M55" s="1"/>
    </row>
    <row r="56">
      <c r="A56" s="1" t="s">
        <v>7</v>
      </c>
      <c r="B56" s="1" t="s">
        <v>180</v>
      </c>
      <c r="C56" s="1" t="s">
        <v>26</v>
      </c>
      <c r="D56" s="1">
        <v>5.0</v>
      </c>
      <c r="E56" s="1">
        <v>7.0</v>
      </c>
      <c r="F56" s="1">
        <v>8.0</v>
      </c>
      <c r="G56" s="1">
        <v>1.0</v>
      </c>
      <c r="H56" s="1">
        <v>1.0</v>
      </c>
      <c r="I56" s="1">
        <v>1.0</v>
      </c>
      <c r="J56" s="1">
        <v>1.0</v>
      </c>
      <c r="K56" s="1">
        <v>1.0</v>
      </c>
      <c r="L56" s="1">
        <v>1.0</v>
      </c>
      <c r="M56" s="1"/>
    </row>
    <row r="57">
      <c r="A57" s="1" t="s">
        <v>7</v>
      </c>
      <c r="B57" s="1" t="s">
        <v>180</v>
      </c>
      <c r="C57" s="1" t="s">
        <v>26</v>
      </c>
      <c r="D57" s="1">
        <v>5.0</v>
      </c>
      <c r="E57" s="1">
        <v>8.0</v>
      </c>
      <c r="F57" s="1">
        <v>8.0</v>
      </c>
      <c r="G57" s="1">
        <v>1.0</v>
      </c>
      <c r="H57" s="1">
        <v>1.0</v>
      </c>
      <c r="I57" s="1">
        <v>1.0</v>
      </c>
      <c r="J57" s="1">
        <v>1.0</v>
      </c>
      <c r="K57" s="1">
        <v>1.0</v>
      </c>
      <c r="L57" s="1">
        <v>1.0</v>
      </c>
      <c r="M57" s="1"/>
    </row>
    <row r="58">
      <c r="A58" s="1" t="s">
        <v>7</v>
      </c>
      <c r="B58" s="1" t="s">
        <v>1192</v>
      </c>
      <c r="C58" s="1" t="s">
        <v>26</v>
      </c>
      <c r="D58" s="1">
        <v>5.0</v>
      </c>
      <c r="E58" s="1">
        <v>1.0</v>
      </c>
      <c r="F58" s="1">
        <v>4.0</v>
      </c>
      <c r="G58" s="1">
        <v>2.0</v>
      </c>
      <c r="H58" s="1">
        <v>210.0</v>
      </c>
      <c r="I58" s="1">
        <v>0.2918</v>
      </c>
      <c r="J58" s="1">
        <v>0.0444</v>
      </c>
      <c r="K58" s="1">
        <v>0.0</v>
      </c>
      <c r="L58" s="1">
        <v>0.5519</v>
      </c>
      <c r="M58" s="1"/>
    </row>
    <row r="59">
      <c r="A59" s="1" t="s">
        <v>7</v>
      </c>
      <c r="B59" s="1" t="s">
        <v>1192</v>
      </c>
      <c r="C59" s="1" t="s">
        <v>26</v>
      </c>
      <c r="D59" s="1">
        <v>5.0</v>
      </c>
      <c r="E59" s="1">
        <v>2.0</v>
      </c>
      <c r="F59" s="1">
        <v>4.0</v>
      </c>
      <c r="G59" s="1">
        <v>2.0</v>
      </c>
      <c r="H59" s="1">
        <v>210.0</v>
      </c>
      <c r="I59" s="1">
        <v>0.592</v>
      </c>
      <c r="J59" s="1">
        <v>0.7126</v>
      </c>
      <c r="K59" s="1">
        <v>0.0778</v>
      </c>
      <c r="L59" s="1">
        <v>1.0</v>
      </c>
      <c r="M59" s="1"/>
    </row>
    <row r="60">
      <c r="A60" s="1" t="s">
        <v>7</v>
      </c>
      <c r="B60" s="1" t="s">
        <v>1192</v>
      </c>
      <c r="C60" s="1" t="s">
        <v>26</v>
      </c>
      <c r="D60" s="1">
        <v>5.0</v>
      </c>
      <c r="E60" s="1">
        <v>3.0</v>
      </c>
      <c r="F60" s="1">
        <v>4.0</v>
      </c>
      <c r="G60" s="1">
        <v>2.0</v>
      </c>
      <c r="H60" s="1">
        <v>210.0</v>
      </c>
      <c r="I60" s="1">
        <v>0.9733</v>
      </c>
      <c r="J60" s="1">
        <v>1.0</v>
      </c>
      <c r="K60" s="1">
        <v>1.0</v>
      </c>
      <c r="L60" s="1">
        <v>1.0</v>
      </c>
      <c r="M60" s="1"/>
    </row>
    <row r="61">
      <c r="A61" s="1" t="s">
        <v>7</v>
      </c>
      <c r="B61" s="1" t="s">
        <v>1192</v>
      </c>
      <c r="C61" s="1" t="s">
        <v>26</v>
      </c>
      <c r="D61" s="1">
        <v>5.0</v>
      </c>
      <c r="E61" s="1">
        <v>4.0</v>
      </c>
      <c r="F61" s="1">
        <v>4.0</v>
      </c>
      <c r="G61" s="1">
        <v>2.0</v>
      </c>
      <c r="H61" s="1">
        <v>210.0</v>
      </c>
      <c r="I61" s="1">
        <v>1.0</v>
      </c>
      <c r="J61" s="1">
        <v>1.0</v>
      </c>
      <c r="K61" s="1">
        <v>1.0</v>
      </c>
      <c r="L61" s="1">
        <v>1.0</v>
      </c>
      <c r="M61" s="1"/>
    </row>
    <row r="62">
      <c r="A62" s="1" t="s">
        <v>7</v>
      </c>
      <c r="B62" s="1" t="s">
        <v>1192</v>
      </c>
      <c r="C62" s="1" t="s">
        <v>24</v>
      </c>
      <c r="D62" s="6">
        <v>4.0</v>
      </c>
      <c r="E62" s="6">
        <v>5.0</v>
      </c>
      <c r="F62" s="6">
        <v>8.0</v>
      </c>
      <c r="G62" s="6">
        <v>56.0</v>
      </c>
      <c r="H62" s="6">
        <v>10825.0</v>
      </c>
      <c r="I62" s="6">
        <v>0.6925</v>
      </c>
      <c r="J62" s="6">
        <v>0.8476</v>
      </c>
      <c r="K62" s="6">
        <v>0.465</v>
      </c>
      <c r="L62" s="6">
        <v>1.0</v>
      </c>
      <c r="M62" s="1" t="s">
        <v>394</v>
      </c>
    </row>
    <row r="63">
      <c r="A63" s="1" t="s">
        <v>7</v>
      </c>
      <c r="B63" s="1" t="s">
        <v>1192</v>
      </c>
      <c r="C63" s="1" t="s">
        <v>24</v>
      </c>
      <c r="D63" s="6">
        <v>4.0</v>
      </c>
      <c r="E63" s="6">
        <v>6.0</v>
      </c>
      <c r="F63" s="6">
        <v>8.0</v>
      </c>
      <c r="G63" s="6">
        <v>56.0</v>
      </c>
      <c r="H63" s="6">
        <v>10825.0</v>
      </c>
      <c r="I63" s="6">
        <v>0.8274</v>
      </c>
      <c r="J63" s="6">
        <v>1.0</v>
      </c>
      <c r="K63" s="6">
        <v>0.7808</v>
      </c>
      <c r="L63" s="6">
        <v>1.0</v>
      </c>
      <c r="M63" s="1" t="s">
        <v>394</v>
      </c>
    </row>
    <row r="64">
      <c r="A64" s="1" t="s">
        <v>7</v>
      </c>
      <c r="B64" s="1" t="s">
        <v>1192</v>
      </c>
      <c r="C64" s="1" t="s">
        <v>24</v>
      </c>
      <c r="D64" s="6">
        <v>4.0</v>
      </c>
      <c r="E64" s="6">
        <v>7.0</v>
      </c>
      <c r="F64" s="6">
        <v>8.0</v>
      </c>
      <c r="G64" s="6">
        <v>56.0</v>
      </c>
      <c r="H64" s="6">
        <v>10825.0</v>
      </c>
      <c r="I64" s="6">
        <v>0.9757</v>
      </c>
      <c r="J64" s="6">
        <v>1.0</v>
      </c>
      <c r="K64" s="6">
        <v>1.0</v>
      </c>
      <c r="L64" s="6">
        <v>1.0</v>
      </c>
      <c r="M64" s="1" t="s">
        <v>394</v>
      </c>
    </row>
    <row r="65">
      <c r="A65" s="1" t="s">
        <v>7</v>
      </c>
      <c r="B65" s="1" t="s">
        <v>1192</v>
      </c>
      <c r="C65" s="1" t="s">
        <v>24</v>
      </c>
      <c r="D65" s="6">
        <v>4.0</v>
      </c>
      <c r="E65" s="6">
        <v>8.0</v>
      </c>
      <c r="F65" s="6">
        <v>8.0</v>
      </c>
      <c r="G65" s="6">
        <v>56.0</v>
      </c>
      <c r="H65" s="6">
        <v>10825.0</v>
      </c>
      <c r="I65" s="6">
        <v>0.9967</v>
      </c>
      <c r="J65" s="6">
        <v>1.0</v>
      </c>
      <c r="K65" s="6">
        <v>1.0</v>
      </c>
      <c r="L65" s="6">
        <v>1.0</v>
      </c>
      <c r="M65" s="1" t="s">
        <v>394</v>
      </c>
    </row>
    <row r="66">
      <c r="A66" s="1" t="s">
        <v>7</v>
      </c>
      <c r="B66" s="1" t="s">
        <v>180</v>
      </c>
      <c r="C66" s="1" t="s">
        <v>26</v>
      </c>
      <c r="D66" s="6">
        <v>5.0</v>
      </c>
      <c r="E66" s="6">
        <v>1.0</v>
      </c>
      <c r="F66" s="6">
        <v>8.0</v>
      </c>
      <c r="G66" s="6">
        <v>56.0</v>
      </c>
      <c r="H66" s="6">
        <v>3777.0</v>
      </c>
      <c r="I66" s="6">
        <v>0.1653</v>
      </c>
      <c r="J66" s="6">
        <v>1.0E-4</v>
      </c>
      <c r="K66" s="6">
        <v>0.0</v>
      </c>
      <c r="L66" s="6">
        <v>0.2029</v>
      </c>
      <c r="M66" s="1" t="s">
        <v>394</v>
      </c>
    </row>
    <row r="67">
      <c r="A67" s="1" t="s">
        <v>7</v>
      </c>
      <c r="B67" s="1" t="s">
        <v>180</v>
      </c>
      <c r="C67" s="1" t="s">
        <v>26</v>
      </c>
      <c r="D67" s="6">
        <v>5.0</v>
      </c>
      <c r="E67" s="6">
        <v>2.0</v>
      </c>
      <c r="F67" s="6">
        <v>8.0</v>
      </c>
      <c r="G67" s="6">
        <v>56.0</v>
      </c>
      <c r="H67" s="6">
        <v>3777.0</v>
      </c>
      <c r="I67" s="6">
        <v>0.4495</v>
      </c>
      <c r="J67" s="6">
        <v>0.3511</v>
      </c>
      <c r="K67" s="6">
        <v>0.0011</v>
      </c>
      <c r="L67" s="6">
        <v>0.9595</v>
      </c>
      <c r="M67" s="1" t="s">
        <v>394</v>
      </c>
    </row>
    <row r="68">
      <c r="A68" s="1" t="s">
        <v>7</v>
      </c>
      <c r="B68" s="1" t="s">
        <v>180</v>
      </c>
      <c r="C68" s="1" t="s">
        <v>26</v>
      </c>
      <c r="D68" s="6">
        <v>5.0</v>
      </c>
      <c r="E68" s="6">
        <v>3.0</v>
      </c>
      <c r="F68" s="6">
        <v>8.0</v>
      </c>
      <c r="G68" s="6">
        <v>56.0</v>
      </c>
      <c r="H68" s="6">
        <v>3777.0</v>
      </c>
      <c r="I68" s="6">
        <v>0.6032</v>
      </c>
      <c r="J68" s="6">
        <v>0.6901</v>
      </c>
      <c r="K68" s="6">
        <v>0.2278</v>
      </c>
      <c r="L68" s="6">
        <v>1.0</v>
      </c>
      <c r="M68" s="1" t="s">
        <v>394</v>
      </c>
    </row>
    <row r="69">
      <c r="A69" s="1" t="s">
        <v>7</v>
      </c>
      <c r="B69" s="1" t="s">
        <v>180</v>
      </c>
      <c r="C69" s="1" t="s">
        <v>26</v>
      </c>
      <c r="D69" s="6">
        <v>5.0</v>
      </c>
      <c r="E69" s="6">
        <v>4.0</v>
      </c>
      <c r="F69" s="6">
        <v>8.0</v>
      </c>
      <c r="G69" s="6">
        <v>56.0</v>
      </c>
      <c r="H69" s="6">
        <v>3777.0</v>
      </c>
      <c r="I69" s="6">
        <v>0.7068</v>
      </c>
      <c r="J69" s="6">
        <v>0.9239</v>
      </c>
      <c r="K69" s="6">
        <v>0.4714</v>
      </c>
      <c r="L69" s="6">
        <v>1.0</v>
      </c>
      <c r="M69" s="1" t="s">
        <v>394</v>
      </c>
    </row>
    <row r="70">
      <c r="A70" s="1" t="s">
        <v>7</v>
      </c>
      <c r="B70" s="1" t="s">
        <v>180</v>
      </c>
      <c r="C70" s="1" t="s">
        <v>26</v>
      </c>
      <c r="D70" s="6">
        <v>5.0</v>
      </c>
      <c r="E70" s="6">
        <v>5.0</v>
      </c>
      <c r="F70" s="6">
        <v>8.0</v>
      </c>
      <c r="G70" s="6">
        <v>56.0</v>
      </c>
      <c r="H70" s="6">
        <v>3777.0</v>
      </c>
      <c r="I70" s="6">
        <v>0.7801</v>
      </c>
      <c r="J70" s="6">
        <v>0.9992</v>
      </c>
      <c r="K70" s="6">
        <v>0.6486</v>
      </c>
      <c r="L70" s="6">
        <v>1.0</v>
      </c>
      <c r="M70" s="1" t="s">
        <v>394</v>
      </c>
    </row>
    <row r="71">
      <c r="A71" s="1" t="s">
        <v>7</v>
      </c>
      <c r="B71" s="1" t="s">
        <v>180</v>
      </c>
      <c r="C71" s="1" t="s">
        <v>26</v>
      </c>
      <c r="D71" s="6">
        <v>5.0</v>
      </c>
      <c r="E71" s="6">
        <v>6.0</v>
      </c>
      <c r="F71" s="6">
        <v>8.0</v>
      </c>
      <c r="G71" s="6">
        <v>56.0</v>
      </c>
      <c r="H71" s="6">
        <v>3777.0</v>
      </c>
      <c r="I71" s="6">
        <v>0.8659</v>
      </c>
      <c r="J71" s="6">
        <v>1.0</v>
      </c>
      <c r="K71" s="6">
        <v>0.8484</v>
      </c>
      <c r="L71" s="6">
        <v>1.0</v>
      </c>
      <c r="M71" s="1" t="s">
        <v>394</v>
      </c>
    </row>
    <row r="72">
      <c r="A72" s="1" t="s">
        <v>7</v>
      </c>
      <c r="B72" s="1" t="s">
        <v>180</v>
      </c>
      <c r="C72" s="1" t="s">
        <v>26</v>
      </c>
      <c r="D72" s="6">
        <v>5.0</v>
      </c>
      <c r="E72" s="6">
        <v>7.0</v>
      </c>
      <c r="F72" s="6">
        <v>8.0</v>
      </c>
      <c r="G72" s="6">
        <v>56.0</v>
      </c>
      <c r="H72" s="6">
        <v>3777.0</v>
      </c>
      <c r="I72" s="6">
        <v>0.9767</v>
      </c>
      <c r="J72" s="6">
        <v>1.0</v>
      </c>
      <c r="K72" s="6">
        <v>1.0</v>
      </c>
      <c r="L72" s="6">
        <v>1.0</v>
      </c>
      <c r="M72" s="1" t="s">
        <v>394</v>
      </c>
    </row>
    <row r="73">
      <c r="A73" s="1" t="s">
        <v>7</v>
      </c>
      <c r="B73" s="1" t="s">
        <v>180</v>
      </c>
      <c r="C73" s="1" t="s">
        <v>26</v>
      </c>
      <c r="D73" s="6">
        <v>5.0</v>
      </c>
      <c r="E73" s="6">
        <v>8.0</v>
      </c>
      <c r="F73" s="6">
        <v>8.0</v>
      </c>
      <c r="G73" s="6">
        <v>56.0</v>
      </c>
      <c r="H73" s="6">
        <v>3777.0</v>
      </c>
      <c r="I73" s="6">
        <v>0.9984</v>
      </c>
      <c r="J73" s="6">
        <v>1.0</v>
      </c>
      <c r="K73" s="6">
        <v>1.0</v>
      </c>
      <c r="L73" s="6">
        <v>1.0</v>
      </c>
      <c r="M73" s="1" t="s">
        <v>394</v>
      </c>
    </row>
    <row r="74">
      <c r="A74" s="1" t="s">
        <v>7</v>
      </c>
      <c r="B74" s="1" t="s">
        <v>1192</v>
      </c>
      <c r="C74" s="1" t="s">
        <v>26</v>
      </c>
      <c r="D74" s="6">
        <v>5.0</v>
      </c>
      <c r="E74" s="6">
        <v>1.0</v>
      </c>
      <c r="F74" s="6">
        <v>8.0</v>
      </c>
      <c r="G74" s="6">
        <v>56.0</v>
      </c>
      <c r="H74" s="6">
        <v>2030.0</v>
      </c>
      <c r="I74" s="6">
        <v>0.1459</v>
      </c>
      <c r="J74" s="6">
        <v>0.0</v>
      </c>
      <c r="K74" s="6">
        <v>0.0</v>
      </c>
      <c r="L74" s="6">
        <v>0.1591</v>
      </c>
      <c r="M74" s="1" t="s">
        <v>394</v>
      </c>
    </row>
    <row r="75">
      <c r="A75" s="1" t="s">
        <v>7</v>
      </c>
      <c r="B75" s="1" t="s">
        <v>1192</v>
      </c>
      <c r="C75" s="1" t="s">
        <v>26</v>
      </c>
      <c r="D75" s="6">
        <v>5.0</v>
      </c>
      <c r="E75" s="6">
        <v>2.0</v>
      </c>
      <c r="F75" s="6">
        <v>8.0</v>
      </c>
      <c r="G75" s="6">
        <v>56.0</v>
      </c>
      <c r="H75" s="6">
        <v>2030.0</v>
      </c>
      <c r="I75" s="6">
        <v>0.3664</v>
      </c>
      <c r="J75" s="6">
        <v>0.2442</v>
      </c>
      <c r="K75" s="6">
        <v>0.0</v>
      </c>
      <c r="L75" s="6">
        <v>0.7031</v>
      </c>
      <c r="M75" s="1" t="s">
        <v>394</v>
      </c>
    </row>
    <row r="76">
      <c r="A76" s="1" t="s">
        <v>7</v>
      </c>
      <c r="B76" s="1" t="s">
        <v>1192</v>
      </c>
      <c r="C76" s="1" t="s">
        <v>26</v>
      </c>
      <c r="D76" s="6">
        <v>5.0</v>
      </c>
      <c r="E76" s="6">
        <v>3.0</v>
      </c>
      <c r="F76" s="6">
        <v>8.0</v>
      </c>
      <c r="G76" s="6">
        <v>56.0</v>
      </c>
      <c r="H76" s="6">
        <v>2030.0</v>
      </c>
      <c r="I76" s="6">
        <v>0.5268</v>
      </c>
      <c r="J76" s="6">
        <v>0.5464</v>
      </c>
      <c r="K76" s="6">
        <v>0.0292</v>
      </c>
      <c r="L76" s="6">
        <v>0.9963</v>
      </c>
      <c r="M76" s="1" t="s">
        <v>394</v>
      </c>
    </row>
    <row r="77">
      <c r="A77" s="1" t="s">
        <v>7</v>
      </c>
      <c r="B77" s="1" t="s">
        <v>1192</v>
      </c>
      <c r="C77" s="1" t="s">
        <v>26</v>
      </c>
      <c r="D77" s="6">
        <v>5.0</v>
      </c>
      <c r="E77" s="6">
        <v>4.0</v>
      </c>
      <c r="F77" s="6">
        <v>8.0</v>
      </c>
      <c r="G77" s="6">
        <v>56.0</v>
      </c>
      <c r="H77" s="6">
        <v>2030.0</v>
      </c>
      <c r="I77" s="6">
        <v>0.661</v>
      </c>
      <c r="J77" s="6">
        <v>0.8047</v>
      </c>
      <c r="K77" s="6">
        <v>0.3869</v>
      </c>
      <c r="L77" s="6">
        <v>1.0</v>
      </c>
      <c r="M77" s="1" t="s">
        <v>394</v>
      </c>
    </row>
    <row r="78">
      <c r="A78" s="1" t="s">
        <v>7</v>
      </c>
      <c r="B78" s="1" t="s">
        <v>1192</v>
      </c>
      <c r="C78" s="1" t="s">
        <v>26</v>
      </c>
      <c r="D78" s="6">
        <v>5.0</v>
      </c>
      <c r="E78" s="6">
        <v>5.0</v>
      </c>
      <c r="F78" s="6">
        <v>8.0</v>
      </c>
      <c r="G78" s="6">
        <v>56.0</v>
      </c>
      <c r="H78" s="6">
        <v>2030.0</v>
      </c>
      <c r="I78" s="6">
        <v>0.7588</v>
      </c>
      <c r="J78" s="6">
        <v>0.9717</v>
      </c>
      <c r="K78" s="6">
        <v>0.6158</v>
      </c>
      <c r="L78" s="6">
        <v>1.0</v>
      </c>
      <c r="M78" s="1" t="s">
        <v>394</v>
      </c>
    </row>
    <row r="79">
      <c r="A79" s="1" t="s">
        <v>7</v>
      </c>
      <c r="B79" s="1" t="s">
        <v>1192</v>
      </c>
      <c r="C79" s="1" t="s">
        <v>26</v>
      </c>
      <c r="D79" s="6">
        <v>5.0</v>
      </c>
      <c r="E79" s="6">
        <v>6.0</v>
      </c>
      <c r="F79" s="6">
        <v>8.0</v>
      </c>
      <c r="G79" s="6">
        <v>56.0</v>
      </c>
      <c r="H79" s="6">
        <v>2030.0</v>
      </c>
      <c r="I79" s="6">
        <v>0.8607</v>
      </c>
      <c r="J79" s="6">
        <v>1.0</v>
      </c>
      <c r="K79" s="6">
        <v>0.8476</v>
      </c>
      <c r="L79" s="6">
        <v>1.0</v>
      </c>
      <c r="M79" s="1" t="s">
        <v>394</v>
      </c>
    </row>
    <row r="80">
      <c r="A80" s="1" t="s">
        <v>7</v>
      </c>
      <c r="B80" s="1" t="s">
        <v>1192</v>
      </c>
      <c r="C80" s="1" t="s">
        <v>26</v>
      </c>
      <c r="D80" s="6">
        <v>5.0</v>
      </c>
      <c r="E80" s="6">
        <v>7.0</v>
      </c>
      <c r="F80" s="6">
        <v>8.0</v>
      </c>
      <c r="G80" s="6">
        <v>56.0</v>
      </c>
      <c r="H80" s="6">
        <v>2030.0</v>
      </c>
      <c r="I80" s="6">
        <v>0.977</v>
      </c>
      <c r="J80" s="6">
        <v>1.0</v>
      </c>
      <c r="K80" s="6">
        <v>1.0</v>
      </c>
      <c r="L80" s="6">
        <v>1.0</v>
      </c>
      <c r="M80" s="1" t="s">
        <v>394</v>
      </c>
    </row>
    <row r="81">
      <c r="A81" s="1" t="s">
        <v>7</v>
      </c>
      <c r="B81" s="1" t="s">
        <v>1192</v>
      </c>
      <c r="C81" s="1" t="s">
        <v>26</v>
      </c>
      <c r="D81" s="6">
        <v>5.0</v>
      </c>
      <c r="E81" s="6">
        <v>8.0</v>
      </c>
      <c r="F81" s="6">
        <v>8.0</v>
      </c>
      <c r="G81" s="6">
        <v>56.0</v>
      </c>
      <c r="H81" s="6">
        <v>2030.0</v>
      </c>
      <c r="I81" s="6">
        <v>0.9978</v>
      </c>
      <c r="J81" s="6">
        <v>1.0</v>
      </c>
      <c r="K81" s="6">
        <v>1.0</v>
      </c>
      <c r="L81" s="6">
        <v>1.0</v>
      </c>
      <c r="M81" s="1" t="s">
        <v>394</v>
      </c>
    </row>
  </sheetData>
  <drawing r:id="rId2"/>
  <legacyDrawing r:id="rId3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8" width="21.0"/>
  </cols>
  <sheetData>
    <row r="1">
      <c r="A1" s="672" t="s">
        <v>2199</v>
      </c>
      <c r="B1" s="672" t="s">
        <v>2177</v>
      </c>
      <c r="C1" s="672" t="s">
        <v>2279</v>
      </c>
      <c r="D1" s="672" t="s">
        <v>2280</v>
      </c>
      <c r="E1" s="672" t="s">
        <v>2281</v>
      </c>
      <c r="F1" s="672" t="s">
        <v>2282</v>
      </c>
      <c r="G1" s="672" t="s">
        <v>2283</v>
      </c>
      <c r="H1" s="672" t="s">
        <v>2284</v>
      </c>
      <c r="I1" s="662"/>
      <c r="J1" s="662"/>
      <c r="K1" s="662"/>
      <c r="L1" s="662"/>
      <c r="M1" s="662"/>
      <c r="N1" s="662"/>
      <c r="O1" s="662"/>
      <c r="P1" s="662"/>
      <c r="Q1" s="662"/>
      <c r="R1" s="662"/>
      <c r="S1" s="662"/>
      <c r="T1" s="662"/>
      <c r="U1" s="662"/>
      <c r="V1" s="662"/>
      <c r="W1" s="662"/>
      <c r="X1" s="662"/>
      <c r="Y1" s="662"/>
      <c r="Z1" s="662"/>
    </row>
    <row r="2">
      <c r="A2" s="597" t="s">
        <v>19</v>
      </c>
      <c r="B2" s="597" t="s">
        <v>180</v>
      </c>
      <c r="C2" s="673">
        <v>12271.2083</v>
      </c>
      <c r="D2" s="673">
        <v>164.34</v>
      </c>
      <c r="E2" s="673">
        <v>446.26</v>
      </c>
      <c r="F2" s="673">
        <v>1213.66</v>
      </c>
      <c r="G2" s="673">
        <v>4707.35</v>
      </c>
      <c r="H2" s="673">
        <v>25313.97</v>
      </c>
    </row>
    <row r="3">
      <c r="A3" s="597" t="s">
        <v>19</v>
      </c>
      <c r="B3" s="597" t="s">
        <v>1192</v>
      </c>
      <c r="C3" s="673">
        <v>85423.3508</v>
      </c>
      <c r="D3" s="673">
        <v>1868.86</v>
      </c>
      <c r="E3" s="673">
        <v>5781.81</v>
      </c>
      <c r="F3" s="673">
        <v>31038.12</v>
      </c>
      <c r="G3" s="673">
        <v>104322.06</v>
      </c>
      <c r="H3" s="673">
        <v>241240.16</v>
      </c>
    </row>
    <row r="4">
      <c r="A4" s="597" t="s">
        <v>21</v>
      </c>
      <c r="B4" s="597" t="s">
        <v>180</v>
      </c>
      <c r="C4" s="673">
        <v>41672.2436</v>
      </c>
      <c r="D4" s="673">
        <v>2228.01</v>
      </c>
      <c r="E4" s="673">
        <v>3411.17</v>
      </c>
      <c r="F4" s="673">
        <v>8034.76</v>
      </c>
      <c r="G4" s="673">
        <v>28638.75</v>
      </c>
      <c r="H4" s="673">
        <v>127235.97</v>
      </c>
    </row>
    <row r="5">
      <c r="A5" s="597" t="s">
        <v>21</v>
      </c>
      <c r="B5" s="597" t="s">
        <v>1192</v>
      </c>
      <c r="C5" s="673">
        <v>152217.3906</v>
      </c>
      <c r="D5" s="673">
        <v>8380.93</v>
      </c>
      <c r="E5" s="673">
        <v>16537.73</v>
      </c>
      <c r="F5" s="673">
        <v>79388.73</v>
      </c>
      <c r="G5" s="673">
        <v>214095.86</v>
      </c>
      <c r="H5" s="673">
        <v>392058.21</v>
      </c>
    </row>
    <row r="6">
      <c r="A6" s="597" t="s">
        <v>22</v>
      </c>
      <c r="B6" s="597" t="s">
        <v>180</v>
      </c>
      <c r="C6" s="673">
        <v>78429.8486</v>
      </c>
      <c r="D6" s="673">
        <v>5565.95</v>
      </c>
      <c r="E6" s="673">
        <v>9375.07</v>
      </c>
      <c r="F6" s="673">
        <v>22089.82</v>
      </c>
      <c r="G6" s="673">
        <v>82147.05</v>
      </c>
      <c r="H6" s="673">
        <v>229701.7</v>
      </c>
    </row>
    <row r="7">
      <c r="A7" s="597" t="s">
        <v>22</v>
      </c>
      <c r="B7" s="597" t="s">
        <v>1192</v>
      </c>
      <c r="C7" s="673">
        <v>201567.0253</v>
      </c>
      <c r="D7" s="673">
        <v>16972.11</v>
      </c>
      <c r="E7" s="673">
        <v>31688.47</v>
      </c>
      <c r="F7" s="673">
        <v>115219.07</v>
      </c>
      <c r="G7" s="673">
        <v>291463.44</v>
      </c>
      <c r="H7" s="673">
        <v>517971.27</v>
      </c>
    </row>
    <row r="8">
      <c r="A8" s="597" t="s">
        <v>24</v>
      </c>
      <c r="B8" s="597" t="s">
        <v>180</v>
      </c>
      <c r="C8" s="673">
        <v>174251.2449</v>
      </c>
      <c r="D8" s="673">
        <v>14052.59</v>
      </c>
      <c r="E8" s="673">
        <v>24792.47</v>
      </c>
      <c r="F8" s="673">
        <v>77653.77</v>
      </c>
      <c r="G8" s="673">
        <v>205251.8</v>
      </c>
      <c r="H8" s="673">
        <v>484209.64</v>
      </c>
    </row>
    <row r="9">
      <c r="A9" s="597" t="s">
        <v>24</v>
      </c>
      <c r="B9" s="597" t="s">
        <v>1192</v>
      </c>
      <c r="C9" s="673">
        <v>347869.4213</v>
      </c>
      <c r="D9" s="673">
        <v>39942.83</v>
      </c>
      <c r="E9" s="673">
        <v>91486.46</v>
      </c>
      <c r="F9" s="673">
        <v>225007.58</v>
      </c>
      <c r="G9" s="673">
        <v>451648.45</v>
      </c>
      <c r="H9" s="673">
        <v>846918.16</v>
      </c>
    </row>
    <row r="10">
      <c r="A10" s="597" t="s">
        <v>26</v>
      </c>
      <c r="B10" s="597" t="s">
        <v>180</v>
      </c>
      <c r="C10" s="673">
        <v>349047.865</v>
      </c>
      <c r="D10" s="673">
        <v>51205.99</v>
      </c>
      <c r="E10" s="673">
        <v>79956.95</v>
      </c>
      <c r="F10" s="673">
        <v>162419.55</v>
      </c>
      <c r="G10" s="673">
        <v>338391.53</v>
      </c>
      <c r="H10" s="673">
        <v>1089826.39</v>
      </c>
    </row>
    <row r="11">
      <c r="A11" s="597" t="s">
        <v>26</v>
      </c>
      <c r="B11" s="597" t="s">
        <v>1192</v>
      </c>
      <c r="C11" s="673">
        <v>534698.9455</v>
      </c>
      <c r="D11" s="673">
        <v>89242.75</v>
      </c>
      <c r="E11" s="673">
        <v>156210.17</v>
      </c>
      <c r="F11" s="673">
        <v>296612.41</v>
      </c>
      <c r="G11" s="673">
        <v>631394.25</v>
      </c>
      <c r="H11" s="673">
        <v>1529452.2</v>
      </c>
    </row>
  </sheetData>
  <autoFilter ref="$A$1:$H$11">
    <sortState ref="A1:H11">
      <sortCondition ref="B1:B11"/>
    </sortState>
  </autoFil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60" t="s">
        <v>2199</v>
      </c>
      <c r="B1" s="660" t="s">
        <v>2177</v>
      </c>
      <c r="C1" s="660" t="s">
        <v>2200</v>
      </c>
      <c r="D1" s="660" t="s">
        <v>2285</v>
      </c>
      <c r="E1" s="660" t="s">
        <v>2193</v>
      </c>
      <c r="F1" s="660" t="s">
        <v>2286</v>
      </c>
      <c r="G1" s="660" t="s">
        <v>2287</v>
      </c>
      <c r="H1" s="660" t="s">
        <v>2288</v>
      </c>
      <c r="I1" s="660" t="s">
        <v>2289</v>
      </c>
      <c r="J1" s="660" t="s">
        <v>2290</v>
      </c>
      <c r="K1" s="660" t="s">
        <v>2291</v>
      </c>
      <c r="L1" s="660" t="s">
        <v>2292</v>
      </c>
      <c r="M1" s="660" t="s">
        <v>2293</v>
      </c>
      <c r="N1" s="660" t="s">
        <v>2294</v>
      </c>
      <c r="O1" s="662"/>
      <c r="P1" s="662"/>
      <c r="Q1" s="662"/>
      <c r="R1" s="662"/>
      <c r="S1" s="662"/>
      <c r="T1" s="662"/>
      <c r="U1" s="662"/>
      <c r="V1" s="662"/>
      <c r="W1" s="662"/>
      <c r="X1" s="662"/>
      <c r="Y1" s="662"/>
      <c r="Z1" s="662"/>
    </row>
    <row r="2">
      <c r="A2" s="1" t="s">
        <v>19</v>
      </c>
      <c r="B2" s="1" t="s">
        <v>180</v>
      </c>
      <c r="C2" s="1">
        <v>1.0</v>
      </c>
      <c r="D2" s="1">
        <v>61449.0</v>
      </c>
      <c r="E2" s="1">
        <v>129688.0</v>
      </c>
      <c r="F2" s="1">
        <v>9.3177</v>
      </c>
      <c r="G2" s="1">
        <v>4.9701</v>
      </c>
      <c r="H2" s="1">
        <v>0.5334</v>
      </c>
      <c r="I2" s="1">
        <v>2.0</v>
      </c>
      <c r="J2" s="1">
        <v>3.0</v>
      </c>
      <c r="K2" s="1">
        <v>5.0</v>
      </c>
      <c r="L2" s="1">
        <v>8.0</v>
      </c>
      <c r="M2" s="1">
        <v>3.0325</v>
      </c>
      <c r="N2" s="1">
        <v>0.7817</v>
      </c>
    </row>
    <row r="3">
      <c r="A3" s="1" t="s">
        <v>19</v>
      </c>
      <c r="B3" s="1" t="s">
        <v>1192</v>
      </c>
      <c r="C3" s="1">
        <v>1.0</v>
      </c>
      <c r="D3" s="1">
        <v>4733.0</v>
      </c>
      <c r="E3" s="1">
        <v>25109.0</v>
      </c>
      <c r="F3" s="1">
        <v>18.1897</v>
      </c>
      <c r="G3" s="1">
        <v>5.5379</v>
      </c>
      <c r="H3" s="1">
        <v>0.3045</v>
      </c>
      <c r="I3" s="1">
        <v>1.0</v>
      </c>
      <c r="J3" s="1">
        <v>2.0</v>
      </c>
      <c r="K3" s="1">
        <v>5.0</v>
      </c>
      <c r="L3" s="1">
        <v>9.0</v>
      </c>
      <c r="M3" s="1">
        <v>2.3146</v>
      </c>
      <c r="N3" s="1">
        <v>0.6186</v>
      </c>
    </row>
    <row r="4">
      <c r="A4" s="1" t="s">
        <v>21</v>
      </c>
      <c r="B4" s="1" t="s">
        <v>180</v>
      </c>
      <c r="C4" s="1">
        <v>2.0</v>
      </c>
      <c r="D4" s="1">
        <v>40977.0</v>
      </c>
      <c r="E4" s="1">
        <v>105367.0</v>
      </c>
      <c r="F4" s="1">
        <v>20.6827</v>
      </c>
      <c r="G4" s="1">
        <v>13.0435</v>
      </c>
      <c r="H4" s="1">
        <v>0.6306</v>
      </c>
      <c r="I4" s="1">
        <v>4.0</v>
      </c>
      <c r="J4" s="1">
        <v>8.0</v>
      </c>
      <c r="K4" s="1">
        <v>13.0</v>
      </c>
      <c r="L4" s="1">
        <v>18.0</v>
      </c>
      <c r="M4" s="1">
        <v>4.9727</v>
      </c>
      <c r="N4" s="1">
        <v>0.8425</v>
      </c>
    </row>
    <row r="5">
      <c r="A5" s="1" t="s">
        <v>21</v>
      </c>
      <c r="B5" s="1" t="s">
        <v>1192</v>
      </c>
      <c r="C5" s="1">
        <v>2.0</v>
      </c>
      <c r="D5" s="1">
        <v>4076.0</v>
      </c>
      <c r="E5" s="1">
        <v>16473.0</v>
      </c>
      <c r="F5" s="1">
        <v>31.9192</v>
      </c>
      <c r="G5" s="1">
        <v>13.5878</v>
      </c>
      <c r="H5" s="1">
        <v>0.4257</v>
      </c>
      <c r="I5" s="1">
        <v>3.0</v>
      </c>
      <c r="J5" s="1">
        <v>7.0</v>
      </c>
      <c r="K5" s="1">
        <v>12.0</v>
      </c>
      <c r="L5" s="1">
        <v>19.0</v>
      </c>
      <c r="M5" s="1">
        <v>3.6317</v>
      </c>
      <c r="N5" s="1">
        <v>0.7522</v>
      </c>
    </row>
    <row r="6">
      <c r="A6" s="1" t="s">
        <v>22</v>
      </c>
      <c r="B6" s="1" t="s">
        <v>180</v>
      </c>
      <c r="C6" s="1">
        <v>3.0</v>
      </c>
      <c r="D6" s="1">
        <v>31545.0</v>
      </c>
      <c r="E6" s="1">
        <v>90326.0</v>
      </c>
      <c r="F6" s="1">
        <v>34.7383</v>
      </c>
      <c r="G6" s="1">
        <v>24.842</v>
      </c>
      <c r="H6" s="1">
        <v>0.7151</v>
      </c>
      <c r="I6" s="1">
        <v>7.0</v>
      </c>
      <c r="J6" s="1">
        <v>13.0</v>
      </c>
      <c r="K6" s="1">
        <v>22.0</v>
      </c>
      <c r="L6" s="1">
        <v>32.0</v>
      </c>
      <c r="M6" s="1">
        <v>6.6535</v>
      </c>
      <c r="N6" s="1">
        <v>0.8735</v>
      </c>
    </row>
    <row r="7">
      <c r="A7" s="1" t="s">
        <v>22</v>
      </c>
      <c r="B7" s="1" t="s">
        <v>1192</v>
      </c>
      <c r="C7" s="1">
        <v>3.0</v>
      </c>
      <c r="D7" s="1">
        <v>3150.0</v>
      </c>
      <c r="E7" s="1">
        <v>12519.0</v>
      </c>
      <c r="F7" s="1">
        <v>45.78</v>
      </c>
      <c r="G7" s="1">
        <v>26.3333</v>
      </c>
      <c r="H7" s="1">
        <v>0.5752</v>
      </c>
      <c r="I7" s="1">
        <v>6.0</v>
      </c>
      <c r="J7" s="1">
        <v>11.0</v>
      </c>
      <c r="K7" s="1">
        <v>22.0</v>
      </c>
      <c r="L7" s="1">
        <v>35.0</v>
      </c>
      <c r="M7" s="1">
        <v>5.2318</v>
      </c>
      <c r="N7" s="1">
        <v>0.8265</v>
      </c>
    </row>
    <row r="8">
      <c r="A8" s="1" t="s">
        <v>24</v>
      </c>
      <c r="B8" s="1" t="s">
        <v>180</v>
      </c>
      <c r="C8" s="1">
        <v>4.0</v>
      </c>
      <c r="D8" s="1">
        <v>16246.0</v>
      </c>
      <c r="E8" s="1">
        <v>53979.0</v>
      </c>
      <c r="F8" s="1">
        <v>69.1848</v>
      </c>
      <c r="G8" s="1">
        <v>51.5654</v>
      </c>
      <c r="H8" s="1">
        <v>0.7453</v>
      </c>
      <c r="I8" s="1">
        <v>10.0</v>
      </c>
      <c r="J8" s="1">
        <v>20.0</v>
      </c>
      <c r="K8" s="1">
        <v>39.0</v>
      </c>
      <c r="L8" s="1">
        <v>58.0</v>
      </c>
      <c r="M8" s="1">
        <v>7.7644</v>
      </c>
      <c r="N8" s="1">
        <v>0.8822</v>
      </c>
    </row>
    <row r="9">
      <c r="A9" s="1" t="s">
        <v>24</v>
      </c>
      <c r="B9" s="1" t="s">
        <v>1192</v>
      </c>
      <c r="C9" s="1">
        <v>4.0</v>
      </c>
      <c r="D9" s="1">
        <v>1883.0</v>
      </c>
      <c r="E9" s="1">
        <v>8765.0</v>
      </c>
      <c r="F9" s="1">
        <v>82.7317</v>
      </c>
      <c r="G9" s="1">
        <v>53.8266</v>
      </c>
      <c r="H9" s="1">
        <v>0.6506</v>
      </c>
      <c r="I9" s="1">
        <v>9.0</v>
      </c>
      <c r="J9" s="1">
        <v>18.0</v>
      </c>
      <c r="K9" s="1">
        <v>39.0</v>
      </c>
      <c r="L9" s="1">
        <v>63.0</v>
      </c>
      <c r="M9" s="1">
        <v>6.3233</v>
      </c>
      <c r="N9" s="1">
        <v>0.8507</v>
      </c>
    </row>
    <row r="10">
      <c r="A10" s="1" t="s">
        <v>26</v>
      </c>
      <c r="B10" s="1" t="s">
        <v>180</v>
      </c>
      <c r="C10" s="1">
        <v>5.0</v>
      </c>
      <c r="D10" s="1">
        <v>2838.0</v>
      </c>
      <c r="E10" s="1">
        <v>7481.0</v>
      </c>
      <c r="F10" s="1">
        <v>166.8444</v>
      </c>
      <c r="G10" s="1">
        <v>125.2468</v>
      </c>
      <c r="H10" s="1">
        <v>0.7507</v>
      </c>
      <c r="I10" s="1">
        <v>20.0</v>
      </c>
      <c r="J10" s="1">
        <v>36.0</v>
      </c>
      <c r="K10" s="1">
        <v>64.0</v>
      </c>
      <c r="L10" s="1">
        <v>109.0</v>
      </c>
      <c r="M10" s="1">
        <v>8.1526</v>
      </c>
      <c r="N10" s="1">
        <v>0.8818</v>
      </c>
    </row>
    <row r="11">
      <c r="A11" s="1" t="s">
        <v>26</v>
      </c>
      <c r="B11" s="1" t="s">
        <v>1192</v>
      </c>
      <c r="C11" s="1">
        <v>5.0</v>
      </c>
      <c r="D11" s="1">
        <v>479.0</v>
      </c>
      <c r="E11" s="1">
        <v>1533.0</v>
      </c>
      <c r="F11" s="1">
        <v>174.9648</v>
      </c>
      <c r="G11" s="1">
        <v>123.075</v>
      </c>
      <c r="H11" s="1">
        <v>0.7034</v>
      </c>
      <c r="I11" s="1">
        <v>16.0</v>
      </c>
      <c r="J11" s="1">
        <v>32.0</v>
      </c>
      <c r="K11" s="1">
        <v>64.0</v>
      </c>
      <c r="L11" s="1">
        <v>115.0</v>
      </c>
      <c r="M11" s="1">
        <v>6.77</v>
      </c>
      <c r="N11" s="1">
        <v>0.8563</v>
      </c>
    </row>
  </sheetData>
  <drawing r:id="rId2"/>
  <legacyDrawing r:id="rId3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393" t="s">
        <v>2199</v>
      </c>
      <c r="B1" s="393" t="s">
        <v>2177</v>
      </c>
      <c r="C1" s="393" t="s">
        <v>2296</v>
      </c>
      <c r="D1" s="393" t="s">
        <v>2297</v>
      </c>
      <c r="E1" s="393" t="s">
        <v>2298</v>
      </c>
      <c r="F1" s="393" t="s">
        <v>2299</v>
      </c>
      <c r="G1" s="393" t="s">
        <v>2181</v>
      </c>
      <c r="H1" s="393" t="s">
        <v>2300</v>
      </c>
      <c r="I1" s="393" t="s">
        <v>2301</v>
      </c>
      <c r="J1" s="393" t="s">
        <v>2302</v>
      </c>
      <c r="K1" s="393" t="s">
        <v>2303</v>
      </c>
      <c r="L1" s="393" t="s">
        <v>2304</v>
      </c>
      <c r="M1" s="393" t="s">
        <v>2305</v>
      </c>
      <c r="N1" s="393" t="s">
        <v>2306</v>
      </c>
      <c r="O1" s="393" t="s">
        <v>2307</v>
      </c>
      <c r="P1" s="393" t="s">
        <v>2308</v>
      </c>
      <c r="Q1" s="393" t="s">
        <v>2309</v>
      </c>
      <c r="R1" s="393" t="s">
        <v>2310</v>
      </c>
      <c r="S1" s="393" t="s">
        <v>2194</v>
      </c>
      <c r="T1" s="393" t="s">
        <v>2195</v>
      </c>
      <c r="U1" s="393" t="s">
        <v>2196</v>
      </c>
      <c r="V1" s="393" t="s">
        <v>2197</v>
      </c>
      <c r="W1" s="1" t="s">
        <v>2193</v>
      </c>
    </row>
    <row r="2">
      <c r="A2" s="1" t="s">
        <v>19</v>
      </c>
      <c r="B2" s="1" t="s">
        <v>180</v>
      </c>
      <c r="C2" s="1" t="s">
        <v>1205</v>
      </c>
      <c r="D2" s="1">
        <v>95.9288</v>
      </c>
      <c r="E2" s="1">
        <v>93.4486</v>
      </c>
      <c r="F2" s="1">
        <v>2.4802</v>
      </c>
      <c r="G2" s="1">
        <v>26871.0</v>
      </c>
      <c r="H2" s="1">
        <v>170.5198</v>
      </c>
      <c r="I2" s="1">
        <v>166.111</v>
      </c>
      <c r="J2" s="1">
        <v>4.4088</v>
      </c>
      <c r="K2" s="1">
        <v>0.0</v>
      </c>
      <c r="L2" s="1">
        <v>14.708</v>
      </c>
      <c r="M2" s="1">
        <v>68.773</v>
      </c>
      <c r="N2" s="1">
        <v>263.1038</v>
      </c>
      <c r="O2" s="1">
        <v>0.0</v>
      </c>
      <c r="P2" s="1">
        <v>0.0</v>
      </c>
      <c r="Q2" s="1">
        <v>55.4011</v>
      </c>
      <c r="R2" s="1">
        <v>307.9137</v>
      </c>
      <c r="S2" s="1">
        <v>-0.0318</v>
      </c>
      <c r="T2" s="1">
        <v>0.0098</v>
      </c>
      <c r="U2" s="1">
        <v>26.7723</v>
      </c>
      <c r="V2" s="1">
        <v>69.2931</v>
      </c>
      <c r="W2" s="1">
        <v>119413.0</v>
      </c>
    </row>
    <row r="3">
      <c r="A3" s="1" t="s">
        <v>19</v>
      </c>
      <c r="B3" s="1" t="s">
        <v>180</v>
      </c>
      <c r="C3" s="1" t="s">
        <v>52</v>
      </c>
      <c r="D3" s="1">
        <v>1.5059</v>
      </c>
      <c r="E3" s="1">
        <v>1.3402</v>
      </c>
      <c r="F3" s="1">
        <v>0.1657</v>
      </c>
      <c r="G3" s="1">
        <v>12131.0</v>
      </c>
      <c r="H3" s="1">
        <v>5.9292</v>
      </c>
      <c r="I3" s="1">
        <v>5.2768</v>
      </c>
      <c r="J3" s="1">
        <v>0.6524</v>
      </c>
      <c r="K3" s="1">
        <v>0.0</v>
      </c>
      <c r="L3" s="1">
        <v>0.0</v>
      </c>
      <c r="M3" s="1">
        <v>0.5234</v>
      </c>
      <c r="N3" s="1">
        <v>4.5429</v>
      </c>
      <c r="O3" s="1">
        <v>0.0</v>
      </c>
      <c r="P3" s="1">
        <v>0.0</v>
      </c>
      <c r="Q3" s="1">
        <v>0.1372</v>
      </c>
      <c r="R3" s="1">
        <v>3.8097</v>
      </c>
      <c r="S3" s="1">
        <v>0.0</v>
      </c>
      <c r="T3" s="1">
        <v>0.0</v>
      </c>
      <c r="U3" s="1">
        <v>0.0</v>
      </c>
      <c r="V3" s="1">
        <v>1.0647</v>
      </c>
      <c r="W3" s="1">
        <v>119413.0</v>
      </c>
    </row>
    <row r="4">
      <c r="A4" s="1" t="s">
        <v>19</v>
      </c>
      <c r="B4" s="1" t="s">
        <v>180</v>
      </c>
      <c r="C4" s="1" t="s">
        <v>53</v>
      </c>
      <c r="D4" s="1">
        <v>0.8536</v>
      </c>
      <c r="E4" s="1">
        <v>0.9245</v>
      </c>
      <c r="F4" s="1">
        <v>-0.0708</v>
      </c>
      <c r="G4" s="1">
        <v>9841.0</v>
      </c>
      <c r="H4" s="1">
        <v>4.1433</v>
      </c>
      <c r="I4" s="1">
        <v>4.487</v>
      </c>
      <c r="J4" s="1">
        <v>-0.3438</v>
      </c>
      <c r="K4" s="1">
        <v>0.0</v>
      </c>
      <c r="L4" s="1">
        <v>0.0</v>
      </c>
      <c r="M4" s="1">
        <v>0.0559</v>
      </c>
      <c r="N4" s="1">
        <v>2.4683</v>
      </c>
      <c r="O4" s="1">
        <v>0.0</v>
      </c>
      <c r="P4" s="1">
        <v>0.0</v>
      </c>
      <c r="Q4" s="1">
        <v>0.1383</v>
      </c>
      <c r="R4" s="1">
        <v>2.8707</v>
      </c>
      <c r="S4" s="1">
        <v>0.0</v>
      </c>
      <c r="T4" s="1">
        <v>0.0</v>
      </c>
      <c r="U4" s="1">
        <v>0.0</v>
      </c>
      <c r="V4" s="1">
        <v>0.6532</v>
      </c>
      <c r="W4" s="1">
        <v>119413.0</v>
      </c>
    </row>
    <row r="5">
      <c r="A5" s="1" t="s">
        <v>19</v>
      </c>
      <c r="B5" s="1" t="s">
        <v>180</v>
      </c>
      <c r="C5" s="1" t="s">
        <v>54</v>
      </c>
      <c r="D5" s="1">
        <v>0.3623</v>
      </c>
      <c r="E5" s="1">
        <v>0.4831</v>
      </c>
      <c r="F5" s="1">
        <v>-0.1209</v>
      </c>
      <c r="G5" s="1">
        <v>6564.0</v>
      </c>
      <c r="H5" s="1">
        <v>2.6362</v>
      </c>
      <c r="I5" s="1">
        <v>3.5157</v>
      </c>
      <c r="J5" s="1">
        <v>-0.8795</v>
      </c>
      <c r="K5" s="1">
        <v>0.0</v>
      </c>
      <c r="L5" s="1">
        <v>0.0</v>
      </c>
      <c r="M5" s="1">
        <v>0.0</v>
      </c>
      <c r="N5" s="1">
        <v>1.0148</v>
      </c>
      <c r="O5" s="1">
        <v>0.0</v>
      </c>
      <c r="P5" s="1">
        <v>0.0</v>
      </c>
      <c r="Q5" s="1">
        <v>0.0</v>
      </c>
      <c r="R5" s="1">
        <v>1.5891</v>
      </c>
      <c r="S5" s="1">
        <v>0.0</v>
      </c>
      <c r="T5" s="1">
        <v>0.0</v>
      </c>
      <c r="U5" s="1">
        <v>0.0</v>
      </c>
      <c r="V5" s="1">
        <v>0.0</v>
      </c>
      <c r="W5" s="1">
        <v>119413.0</v>
      </c>
    </row>
    <row r="6">
      <c r="A6" s="1" t="s">
        <v>19</v>
      </c>
      <c r="B6" s="1" t="s">
        <v>180</v>
      </c>
      <c r="C6" s="1" t="s">
        <v>47</v>
      </c>
      <c r="D6" s="1">
        <v>1.9431</v>
      </c>
      <c r="E6" s="1">
        <v>1.6194</v>
      </c>
      <c r="F6" s="1">
        <v>0.3237</v>
      </c>
      <c r="G6" s="1">
        <v>16481.0</v>
      </c>
      <c r="H6" s="1">
        <v>5.6315</v>
      </c>
      <c r="I6" s="1">
        <v>4.6934</v>
      </c>
      <c r="J6" s="1">
        <v>0.938</v>
      </c>
      <c r="K6" s="1">
        <v>0.0</v>
      </c>
      <c r="L6" s="1">
        <v>0.0</v>
      </c>
      <c r="M6" s="1">
        <v>1.596</v>
      </c>
      <c r="N6" s="1">
        <v>6.7119</v>
      </c>
      <c r="O6" s="1">
        <v>0.0</v>
      </c>
      <c r="P6" s="1">
        <v>0.0</v>
      </c>
      <c r="Q6" s="1">
        <v>1.0</v>
      </c>
      <c r="R6" s="1">
        <v>3.993</v>
      </c>
      <c r="S6" s="1">
        <v>-0.1056</v>
      </c>
      <c r="T6" s="1">
        <v>0.0</v>
      </c>
      <c r="U6" s="1">
        <v>0.493</v>
      </c>
      <c r="V6" s="1">
        <v>2.2668</v>
      </c>
      <c r="W6" s="1">
        <v>119413.0</v>
      </c>
    </row>
    <row r="7">
      <c r="A7" s="1" t="s">
        <v>19</v>
      </c>
      <c r="B7" s="1" t="s">
        <v>180</v>
      </c>
      <c r="C7" s="1" t="s">
        <v>48</v>
      </c>
      <c r="D7" s="1">
        <v>1.8404</v>
      </c>
      <c r="E7" s="1">
        <v>1.3401</v>
      </c>
      <c r="F7" s="1">
        <v>0.5003</v>
      </c>
      <c r="G7" s="1">
        <v>20402.0</v>
      </c>
      <c r="H7" s="1">
        <v>4.3088</v>
      </c>
      <c r="I7" s="1">
        <v>3.1375</v>
      </c>
      <c r="J7" s="1">
        <v>1.1714</v>
      </c>
      <c r="K7" s="1">
        <v>0.0</v>
      </c>
      <c r="L7" s="1">
        <v>0.0341</v>
      </c>
      <c r="M7" s="1">
        <v>2.0</v>
      </c>
      <c r="N7" s="1">
        <v>5.2782</v>
      </c>
      <c r="O7" s="1">
        <v>0.0</v>
      </c>
      <c r="P7" s="1">
        <v>0.0</v>
      </c>
      <c r="Q7" s="1">
        <v>0.6191</v>
      </c>
      <c r="R7" s="1">
        <v>3.8141</v>
      </c>
      <c r="S7" s="1">
        <v>0.0</v>
      </c>
      <c r="T7" s="1">
        <v>0.0</v>
      </c>
      <c r="U7" s="1">
        <v>1.1361</v>
      </c>
      <c r="V7" s="1">
        <v>2.2297</v>
      </c>
      <c r="W7" s="1">
        <v>119413.0</v>
      </c>
    </row>
    <row r="8">
      <c r="A8" s="1" t="s">
        <v>19</v>
      </c>
      <c r="B8" s="1" t="s">
        <v>180</v>
      </c>
      <c r="C8" s="1" t="s">
        <v>50</v>
      </c>
      <c r="D8" s="1">
        <v>0.7406</v>
      </c>
      <c r="E8" s="1">
        <v>0.6744</v>
      </c>
      <c r="F8" s="1">
        <v>0.0662</v>
      </c>
      <c r="G8" s="1">
        <v>13030.0</v>
      </c>
      <c r="H8" s="1">
        <v>2.7148</v>
      </c>
      <c r="I8" s="1">
        <v>2.4721</v>
      </c>
      <c r="J8" s="1">
        <v>0.2427</v>
      </c>
      <c r="K8" s="1">
        <v>0.0</v>
      </c>
      <c r="L8" s="1">
        <v>0.0</v>
      </c>
      <c r="M8" s="1">
        <v>0.812</v>
      </c>
      <c r="N8" s="1">
        <v>2.1335</v>
      </c>
      <c r="O8" s="1">
        <v>0.0</v>
      </c>
      <c r="P8" s="1">
        <v>0.0</v>
      </c>
      <c r="Q8" s="1">
        <v>0.0931</v>
      </c>
      <c r="R8" s="1">
        <v>2.2571</v>
      </c>
      <c r="S8" s="1">
        <v>0.0</v>
      </c>
      <c r="T8" s="1">
        <v>0.0</v>
      </c>
      <c r="U8" s="1">
        <v>0.0</v>
      </c>
      <c r="V8" s="1">
        <v>1.1969</v>
      </c>
      <c r="W8" s="1">
        <v>119413.0</v>
      </c>
    </row>
    <row r="9">
      <c r="A9" s="1" t="s">
        <v>19</v>
      </c>
      <c r="B9" s="1" t="s">
        <v>180</v>
      </c>
      <c r="C9" s="1" t="s">
        <v>1209</v>
      </c>
      <c r="D9" s="1">
        <v>0.7584</v>
      </c>
      <c r="E9" s="1">
        <v>0.2095</v>
      </c>
      <c r="F9" s="1">
        <v>0.5489</v>
      </c>
      <c r="G9" s="1">
        <v>1203.0</v>
      </c>
      <c r="H9" s="1">
        <v>30.1122</v>
      </c>
      <c r="I9" s="1">
        <v>8.3167</v>
      </c>
      <c r="J9" s="1">
        <v>21.7955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119413.0</v>
      </c>
    </row>
    <row r="10">
      <c r="A10" s="1" t="s">
        <v>19</v>
      </c>
      <c r="B10" s="1" t="s">
        <v>180</v>
      </c>
      <c r="C10" s="1" t="s">
        <v>1210</v>
      </c>
      <c r="D10" s="1">
        <v>3.4715</v>
      </c>
      <c r="E10" s="1">
        <v>0.8639</v>
      </c>
      <c r="F10" s="1">
        <v>2.6075</v>
      </c>
      <c r="G10" s="1">
        <v>6670.0</v>
      </c>
      <c r="H10" s="1">
        <v>24.8598</v>
      </c>
      <c r="I10" s="1">
        <v>6.1868</v>
      </c>
      <c r="J10" s="1">
        <v>18.673</v>
      </c>
      <c r="K10" s="1">
        <v>0.0</v>
      </c>
      <c r="L10" s="1">
        <v>0.0</v>
      </c>
      <c r="M10" s="1">
        <v>0.0</v>
      </c>
      <c r="N10" s="1">
        <v>14.3461</v>
      </c>
      <c r="O10" s="1">
        <v>0.0</v>
      </c>
      <c r="P10" s="1">
        <v>0.0</v>
      </c>
      <c r="Q10" s="1">
        <v>0.0</v>
      </c>
      <c r="R10" s="1">
        <v>2.1995</v>
      </c>
      <c r="S10" s="1">
        <v>0.0</v>
      </c>
      <c r="T10" s="1">
        <v>0.0</v>
      </c>
      <c r="U10" s="1">
        <v>0.0</v>
      </c>
      <c r="V10" s="1">
        <v>8.8312</v>
      </c>
      <c r="W10" s="1">
        <v>119413.0</v>
      </c>
    </row>
    <row r="11">
      <c r="A11" s="1" t="s">
        <v>19</v>
      </c>
      <c r="B11" s="1" t="s">
        <v>180</v>
      </c>
      <c r="C11" s="1" t="s">
        <v>1211</v>
      </c>
      <c r="D11" s="1">
        <v>5.2975</v>
      </c>
      <c r="E11" s="1">
        <v>1.4183</v>
      </c>
      <c r="F11" s="1">
        <v>3.8792</v>
      </c>
      <c r="G11" s="1">
        <v>9772.0</v>
      </c>
      <c r="H11" s="1">
        <v>25.8939</v>
      </c>
      <c r="I11" s="1">
        <v>6.9326</v>
      </c>
      <c r="J11" s="1">
        <v>18.9613</v>
      </c>
      <c r="K11" s="1">
        <v>0.0</v>
      </c>
      <c r="L11" s="1">
        <v>0.0</v>
      </c>
      <c r="M11" s="1">
        <v>0.4935</v>
      </c>
      <c r="N11" s="1">
        <v>16.9009</v>
      </c>
      <c r="O11" s="1">
        <v>0.0</v>
      </c>
      <c r="P11" s="1">
        <v>0.0</v>
      </c>
      <c r="Q11" s="1">
        <v>0.0</v>
      </c>
      <c r="R11" s="1">
        <v>4.9898</v>
      </c>
      <c r="S11" s="1">
        <v>0.0</v>
      </c>
      <c r="T11" s="1">
        <v>0.0</v>
      </c>
      <c r="U11" s="1">
        <v>0.2179</v>
      </c>
      <c r="V11" s="1">
        <v>10.702</v>
      </c>
      <c r="W11" s="1">
        <v>119413.0</v>
      </c>
    </row>
    <row r="12">
      <c r="A12" s="1" t="s">
        <v>19</v>
      </c>
      <c r="B12" s="1" t="s">
        <v>180</v>
      </c>
      <c r="C12" s="1" t="s">
        <v>55</v>
      </c>
      <c r="D12" s="1">
        <v>161.2283</v>
      </c>
      <c r="E12" s="1">
        <v>0.0013</v>
      </c>
      <c r="F12" s="1">
        <v>161.227</v>
      </c>
      <c r="G12" s="1">
        <v>23510.0</v>
      </c>
      <c r="H12" s="1">
        <v>327.5657</v>
      </c>
      <c r="I12" s="1">
        <v>0.0027</v>
      </c>
      <c r="J12" s="1">
        <v>327.563</v>
      </c>
      <c r="K12" s="1">
        <v>0.0</v>
      </c>
      <c r="L12" s="1">
        <v>7.9089</v>
      </c>
      <c r="M12" s="1">
        <v>103.3779</v>
      </c>
      <c r="N12" s="1">
        <v>505.0648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7.9049</v>
      </c>
      <c r="U12" s="1">
        <v>103.2856</v>
      </c>
      <c r="V12" s="1">
        <v>504.8385</v>
      </c>
      <c r="W12" s="1">
        <v>119413.0</v>
      </c>
    </row>
    <row r="13">
      <c r="A13" s="1" t="s">
        <v>19</v>
      </c>
      <c r="B13" s="1" t="s">
        <v>180</v>
      </c>
      <c r="C13" s="1" t="s">
        <v>46</v>
      </c>
      <c r="D13" s="1">
        <v>130.8434</v>
      </c>
      <c r="E13" s="1">
        <v>0.0</v>
      </c>
      <c r="F13" s="1">
        <v>130.8434</v>
      </c>
      <c r="G13" s="1">
        <v>17511.0</v>
      </c>
      <c r="H13" s="1">
        <v>356.9033</v>
      </c>
      <c r="I13" s="1">
        <v>0.0</v>
      </c>
      <c r="J13" s="1">
        <v>356.9033</v>
      </c>
      <c r="K13" s="1">
        <v>0.0</v>
      </c>
      <c r="L13" s="1">
        <v>0.0</v>
      </c>
      <c r="M13" s="1">
        <v>47.9809</v>
      </c>
      <c r="N13" s="1">
        <v>358.0449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47.9809</v>
      </c>
      <c r="V13" s="1">
        <v>358.0449</v>
      </c>
      <c r="W13" s="1">
        <v>119413.0</v>
      </c>
    </row>
    <row r="14">
      <c r="A14" s="1" t="s">
        <v>19</v>
      </c>
      <c r="B14" s="1" t="s">
        <v>180</v>
      </c>
      <c r="C14" s="1" t="s">
        <v>1213</v>
      </c>
      <c r="D14" s="1">
        <v>1.3977</v>
      </c>
      <c r="E14" s="1">
        <v>0.0</v>
      </c>
      <c r="F14" s="1">
        <v>1.3977</v>
      </c>
      <c r="G14" s="1">
        <v>4296.0</v>
      </c>
      <c r="H14" s="1">
        <v>15.54</v>
      </c>
      <c r="I14" s="1">
        <v>0.0</v>
      </c>
      <c r="J14" s="1">
        <v>15.54</v>
      </c>
      <c r="K14" s="1">
        <v>0.0</v>
      </c>
      <c r="L14" s="1">
        <v>0.0</v>
      </c>
      <c r="M14" s="1">
        <v>0.0</v>
      </c>
      <c r="N14" s="1">
        <v>2.9501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2.9501</v>
      </c>
      <c r="W14" s="1">
        <v>119413.0</v>
      </c>
    </row>
    <row r="15">
      <c r="A15" s="1" t="s">
        <v>19</v>
      </c>
      <c r="B15" s="1" t="s">
        <v>1192</v>
      </c>
      <c r="C15" s="1" t="s">
        <v>1205</v>
      </c>
      <c r="D15" s="1">
        <v>573.0458</v>
      </c>
      <c r="E15" s="1">
        <v>577.2713</v>
      </c>
      <c r="F15" s="1">
        <v>-4.2255</v>
      </c>
      <c r="G15" s="1">
        <v>3053.0</v>
      </c>
      <c r="H15" s="1">
        <v>597.0713</v>
      </c>
      <c r="I15" s="1">
        <v>601.474</v>
      </c>
      <c r="J15" s="1">
        <v>-4.4026</v>
      </c>
      <c r="K15" s="1">
        <v>68.2867</v>
      </c>
      <c r="L15" s="1">
        <v>320.4834</v>
      </c>
      <c r="M15" s="1">
        <v>834.98</v>
      </c>
      <c r="N15" s="1">
        <v>1403.0004</v>
      </c>
      <c r="O15" s="1">
        <v>68.3398</v>
      </c>
      <c r="P15" s="1">
        <v>343.7004</v>
      </c>
      <c r="Q15" s="1">
        <v>866.53</v>
      </c>
      <c r="R15" s="1">
        <v>1433.4672</v>
      </c>
      <c r="S15" s="1">
        <v>-68.6765</v>
      </c>
      <c r="T15" s="1">
        <v>6.9468</v>
      </c>
      <c r="U15" s="1">
        <v>57.187</v>
      </c>
      <c r="V15" s="1">
        <v>163.7201</v>
      </c>
      <c r="W15" s="1">
        <v>24521.0</v>
      </c>
    </row>
    <row r="16">
      <c r="A16" s="1" t="s">
        <v>19</v>
      </c>
      <c r="B16" s="1" t="s">
        <v>1192</v>
      </c>
      <c r="C16" s="1" t="s">
        <v>52</v>
      </c>
      <c r="D16" s="1">
        <v>8.3122</v>
      </c>
      <c r="E16" s="1">
        <v>8.0097</v>
      </c>
      <c r="F16" s="1">
        <v>0.3024</v>
      </c>
      <c r="G16" s="1">
        <v>2410.0</v>
      </c>
      <c r="H16" s="1">
        <v>10.9714</v>
      </c>
      <c r="I16" s="1">
        <v>10.5722</v>
      </c>
      <c r="J16" s="1">
        <v>0.3992</v>
      </c>
      <c r="K16" s="1">
        <v>0.5883</v>
      </c>
      <c r="L16" s="1">
        <v>5.3976</v>
      </c>
      <c r="M16" s="1">
        <v>13.9273</v>
      </c>
      <c r="N16" s="1">
        <v>21.6952</v>
      </c>
      <c r="O16" s="1">
        <v>0.0847</v>
      </c>
      <c r="P16" s="1">
        <v>4.6643</v>
      </c>
      <c r="Q16" s="1">
        <v>13.6513</v>
      </c>
      <c r="R16" s="1">
        <v>21.3217</v>
      </c>
      <c r="S16" s="1">
        <v>-1.0</v>
      </c>
      <c r="T16" s="1">
        <v>0.0</v>
      </c>
      <c r="U16" s="1">
        <v>1.323</v>
      </c>
      <c r="V16" s="1">
        <v>3.4386</v>
      </c>
      <c r="W16" s="1">
        <v>24521.0</v>
      </c>
    </row>
    <row r="17">
      <c r="A17" s="1" t="s">
        <v>19</v>
      </c>
      <c r="B17" s="1" t="s">
        <v>1192</v>
      </c>
      <c r="C17" s="1" t="s">
        <v>53</v>
      </c>
      <c r="D17" s="1">
        <v>4.9233</v>
      </c>
      <c r="E17" s="1">
        <v>5.1808</v>
      </c>
      <c r="F17" s="1">
        <v>-0.2575</v>
      </c>
      <c r="G17" s="1">
        <v>2223.0</v>
      </c>
      <c r="H17" s="1">
        <v>7.045</v>
      </c>
      <c r="I17" s="1">
        <v>7.4134</v>
      </c>
      <c r="J17" s="1">
        <v>-0.3684</v>
      </c>
      <c r="K17" s="1">
        <v>0.0186</v>
      </c>
      <c r="L17" s="1">
        <v>2.6567</v>
      </c>
      <c r="M17" s="1">
        <v>7.9891</v>
      </c>
      <c r="N17" s="1">
        <v>13.727</v>
      </c>
      <c r="O17" s="1">
        <v>0.0249</v>
      </c>
      <c r="P17" s="1">
        <v>3.0344</v>
      </c>
      <c r="Q17" s="1">
        <v>8.2196</v>
      </c>
      <c r="R17" s="1">
        <v>14.0693</v>
      </c>
      <c r="S17" s="1">
        <v>-1.0</v>
      </c>
      <c r="T17" s="1">
        <v>0.0</v>
      </c>
      <c r="U17" s="1">
        <v>0.8275</v>
      </c>
      <c r="V17" s="1">
        <v>2.0</v>
      </c>
      <c r="W17" s="1">
        <v>24521.0</v>
      </c>
    </row>
    <row r="18">
      <c r="A18" s="1" t="s">
        <v>19</v>
      </c>
      <c r="B18" s="1" t="s">
        <v>1192</v>
      </c>
      <c r="C18" s="1" t="s">
        <v>54</v>
      </c>
      <c r="D18" s="1">
        <v>2.5134</v>
      </c>
      <c r="E18" s="1">
        <v>2.6507</v>
      </c>
      <c r="F18" s="1">
        <v>-0.1374</v>
      </c>
      <c r="G18" s="1">
        <v>1976.0</v>
      </c>
      <c r="H18" s="1">
        <v>4.0461</v>
      </c>
      <c r="I18" s="1">
        <v>4.2672</v>
      </c>
      <c r="J18" s="1">
        <v>-0.2212</v>
      </c>
      <c r="K18" s="1">
        <v>0.0</v>
      </c>
      <c r="L18" s="1">
        <v>1.0952</v>
      </c>
      <c r="M18" s="1">
        <v>3.6974</v>
      </c>
      <c r="N18" s="1">
        <v>7.2477</v>
      </c>
      <c r="O18" s="1">
        <v>0.0</v>
      </c>
      <c r="P18" s="1">
        <v>1.3821</v>
      </c>
      <c r="Q18" s="1">
        <v>3.948</v>
      </c>
      <c r="R18" s="1">
        <v>7.2769</v>
      </c>
      <c r="S18" s="1">
        <v>-0.1866</v>
      </c>
      <c r="T18" s="1">
        <v>0.0</v>
      </c>
      <c r="U18" s="1">
        <v>0.0126</v>
      </c>
      <c r="V18" s="1">
        <v>1.0</v>
      </c>
      <c r="W18" s="1">
        <v>24521.0</v>
      </c>
    </row>
    <row r="19">
      <c r="A19" s="1" t="s">
        <v>19</v>
      </c>
      <c r="B19" s="1" t="s">
        <v>1192</v>
      </c>
      <c r="C19" s="1" t="s">
        <v>47</v>
      </c>
      <c r="D19" s="1">
        <v>9.1569</v>
      </c>
      <c r="E19" s="1">
        <v>9.0632</v>
      </c>
      <c r="F19" s="1">
        <v>0.0937</v>
      </c>
      <c r="G19" s="1">
        <v>2848.0</v>
      </c>
      <c r="H19" s="1">
        <v>10.2275</v>
      </c>
      <c r="I19" s="1">
        <v>10.1229</v>
      </c>
      <c r="J19" s="1">
        <v>0.1046</v>
      </c>
      <c r="K19" s="1">
        <v>2.0505</v>
      </c>
      <c r="L19" s="1">
        <v>7.1789</v>
      </c>
      <c r="M19" s="1">
        <v>14.8454</v>
      </c>
      <c r="N19" s="1">
        <v>20.9782</v>
      </c>
      <c r="O19" s="1">
        <v>1.0</v>
      </c>
      <c r="P19" s="1">
        <v>6.4036</v>
      </c>
      <c r="Q19" s="1">
        <v>15.054</v>
      </c>
      <c r="R19" s="1">
        <v>22.5617</v>
      </c>
      <c r="S19" s="1">
        <v>-1.591</v>
      </c>
      <c r="T19" s="1">
        <v>0.0</v>
      </c>
      <c r="U19" s="1">
        <v>1.9007</v>
      </c>
      <c r="V19" s="1">
        <v>4.287</v>
      </c>
      <c r="W19" s="1">
        <v>24521.0</v>
      </c>
    </row>
    <row r="20">
      <c r="A20" s="1" t="s">
        <v>19</v>
      </c>
      <c r="B20" s="1" t="s">
        <v>1192</v>
      </c>
      <c r="C20" s="1" t="s">
        <v>48</v>
      </c>
      <c r="D20" s="1">
        <v>7.4291</v>
      </c>
      <c r="E20" s="1">
        <v>7.5693</v>
      </c>
      <c r="F20" s="1">
        <v>-0.1402</v>
      </c>
      <c r="G20" s="1">
        <v>2764.0</v>
      </c>
      <c r="H20" s="1">
        <v>8.5499</v>
      </c>
      <c r="I20" s="1">
        <v>8.7113</v>
      </c>
      <c r="J20" s="1">
        <v>-0.1614</v>
      </c>
      <c r="K20" s="1">
        <v>1.5942</v>
      </c>
      <c r="L20" s="1">
        <v>5.595</v>
      </c>
      <c r="M20" s="1">
        <v>11.7932</v>
      </c>
      <c r="N20" s="1">
        <v>17.8654</v>
      </c>
      <c r="O20" s="1">
        <v>1.0038</v>
      </c>
      <c r="P20" s="1">
        <v>4.9954</v>
      </c>
      <c r="Q20" s="1">
        <v>12.1217</v>
      </c>
      <c r="R20" s="1">
        <v>18.9027</v>
      </c>
      <c r="S20" s="1">
        <v>-1.2716</v>
      </c>
      <c r="T20" s="1">
        <v>0.0</v>
      </c>
      <c r="U20" s="1">
        <v>1.4818</v>
      </c>
      <c r="V20" s="1">
        <v>3.2991</v>
      </c>
      <c r="W20" s="1">
        <v>24521.0</v>
      </c>
    </row>
    <row r="21">
      <c r="A21" s="1" t="s">
        <v>19</v>
      </c>
      <c r="B21" s="1" t="s">
        <v>1192</v>
      </c>
      <c r="C21" s="1" t="s">
        <v>50</v>
      </c>
      <c r="D21" s="1">
        <v>3.3244</v>
      </c>
      <c r="E21" s="1">
        <v>3.6938</v>
      </c>
      <c r="F21" s="1">
        <v>-0.3694</v>
      </c>
      <c r="G21" s="1">
        <v>2428.0</v>
      </c>
      <c r="H21" s="1">
        <v>4.3554</v>
      </c>
      <c r="I21" s="1">
        <v>4.8394</v>
      </c>
      <c r="J21" s="1">
        <v>-0.4839</v>
      </c>
      <c r="K21" s="1">
        <v>0.671</v>
      </c>
      <c r="L21" s="1">
        <v>2.1729</v>
      </c>
      <c r="M21" s="1">
        <v>5.0162</v>
      </c>
      <c r="N21" s="1">
        <v>8.4072</v>
      </c>
      <c r="O21" s="1">
        <v>0.0241</v>
      </c>
      <c r="P21" s="1">
        <v>2.194</v>
      </c>
      <c r="Q21" s="1">
        <v>5.5337</v>
      </c>
      <c r="R21" s="1">
        <v>9.6109</v>
      </c>
      <c r="S21" s="1">
        <v>-1.0</v>
      </c>
      <c r="T21" s="1">
        <v>0.0</v>
      </c>
      <c r="U21" s="1">
        <v>0.5125</v>
      </c>
      <c r="V21" s="1">
        <v>1.7606</v>
      </c>
      <c r="W21" s="1">
        <v>24521.0</v>
      </c>
    </row>
    <row r="22">
      <c r="A22" s="1" t="s">
        <v>19</v>
      </c>
      <c r="B22" s="1" t="s">
        <v>1192</v>
      </c>
      <c r="C22" s="1" t="s">
        <v>1209</v>
      </c>
      <c r="D22" s="1">
        <v>5.2436</v>
      </c>
      <c r="E22" s="1">
        <v>5.1235</v>
      </c>
      <c r="F22" s="1">
        <v>0.1201</v>
      </c>
      <c r="G22" s="1">
        <v>569.0</v>
      </c>
      <c r="H22" s="1">
        <v>29.3146</v>
      </c>
      <c r="I22" s="1">
        <v>28.6432</v>
      </c>
      <c r="J22" s="1">
        <v>0.6714</v>
      </c>
      <c r="K22" s="1">
        <v>0.0</v>
      </c>
      <c r="L22" s="1">
        <v>0.0</v>
      </c>
      <c r="M22" s="1">
        <v>0.0</v>
      </c>
      <c r="N22" s="1">
        <v>30.0</v>
      </c>
      <c r="O22" s="1">
        <v>0.0</v>
      </c>
      <c r="P22" s="1">
        <v>0.0</v>
      </c>
      <c r="Q22" s="1">
        <v>0.2572</v>
      </c>
      <c r="R22" s="1">
        <v>15.02</v>
      </c>
      <c r="S22" s="1">
        <v>0.0</v>
      </c>
      <c r="T22" s="1">
        <v>0.0</v>
      </c>
      <c r="U22" s="1">
        <v>0.0</v>
      </c>
      <c r="V22" s="1">
        <v>13.7854</v>
      </c>
      <c r="W22" s="1">
        <v>24521.0</v>
      </c>
    </row>
    <row r="23">
      <c r="A23" s="1" t="s">
        <v>19</v>
      </c>
      <c r="B23" s="1" t="s">
        <v>1192</v>
      </c>
      <c r="C23" s="1" t="s">
        <v>1210</v>
      </c>
      <c r="D23" s="1">
        <v>17.2351</v>
      </c>
      <c r="E23" s="1">
        <v>8.1962</v>
      </c>
      <c r="F23" s="1">
        <v>9.039</v>
      </c>
      <c r="G23" s="1">
        <v>1568.0</v>
      </c>
      <c r="H23" s="1">
        <v>34.9649</v>
      </c>
      <c r="I23" s="1">
        <v>16.6276</v>
      </c>
      <c r="J23" s="1">
        <v>18.3374</v>
      </c>
      <c r="K23" s="1">
        <v>0.0</v>
      </c>
      <c r="L23" s="1">
        <v>5.0935</v>
      </c>
      <c r="M23" s="1">
        <v>16.5313</v>
      </c>
      <c r="N23" s="1">
        <v>60.0557</v>
      </c>
      <c r="O23" s="1">
        <v>0.0</v>
      </c>
      <c r="P23" s="1">
        <v>0.6015</v>
      </c>
      <c r="Q23" s="1">
        <v>7.9958</v>
      </c>
      <c r="R23" s="1">
        <v>21.8562</v>
      </c>
      <c r="S23" s="1">
        <v>0.0</v>
      </c>
      <c r="T23" s="1">
        <v>0.2245</v>
      </c>
      <c r="U23" s="1">
        <v>12.5961</v>
      </c>
      <c r="V23" s="1">
        <v>46.1665</v>
      </c>
      <c r="W23" s="1">
        <v>24521.0</v>
      </c>
    </row>
    <row r="24">
      <c r="A24" s="1" t="s">
        <v>19</v>
      </c>
      <c r="B24" s="1" t="s">
        <v>1192</v>
      </c>
      <c r="C24" s="1" t="s">
        <v>1211</v>
      </c>
      <c r="D24" s="1">
        <v>26.2748</v>
      </c>
      <c r="E24" s="1">
        <v>11.3816</v>
      </c>
      <c r="F24" s="1">
        <v>14.8931</v>
      </c>
      <c r="G24" s="1">
        <v>2135.0</v>
      </c>
      <c r="H24" s="1">
        <v>39.1475</v>
      </c>
      <c r="I24" s="1">
        <v>16.9578</v>
      </c>
      <c r="J24" s="1">
        <v>22.1897</v>
      </c>
      <c r="K24" s="1">
        <v>0.0702</v>
      </c>
      <c r="L24" s="1">
        <v>10.527</v>
      </c>
      <c r="M24" s="1">
        <v>35.1416</v>
      </c>
      <c r="N24" s="1">
        <v>80.4782</v>
      </c>
      <c r="O24" s="1">
        <v>0.0</v>
      </c>
      <c r="P24" s="1">
        <v>4.2787</v>
      </c>
      <c r="Q24" s="1">
        <v>13.0231</v>
      </c>
      <c r="R24" s="1">
        <v>29.6505</v>
      </c>
      <c r="S24" s="1">
        <v>0.0</v>
      </c>
      <c r="T24" s="1">
        <v>6.2497</v>
      </c>
      <c r="U24" s="1">
        <v>19.6327</v>
      </c>
      <c r="V24" s="1">
        <v>57.7493</v>
      </c>
      <c r="W24" s="1">
        <v>24521.0</v>
      </c>
    </row>
    <row r="25">
      <c r="A25" s="1" t="s">
        <v>19</v>
      </c>
      <c r="B25" s="1" t="s">
        <v>1192</v>
      </c>
      <c r="C25" s="1" t="s">
        <v>55</v>
      </c>
      <c r="D25" s="1">
        <v>796.0786</v>
      </c>
      <c r="E25" s="1">
        <v>0.0</v>
      </c>
      <c r="F25" s="1">
        <v>796.0786</v>
      </c>
      <c r="G25" s="1">
        <v>3031.0</v>
      </c>
      <c r="H25" s="1">
        <v>835.4754</v>
      </c>
      <c r="I25" s="1">
        <v>0.0</v>
      </c>
      <c r="J25" s="1">
        <v>835.4754</v>
      </c>
      <c r="K25" s="1">
        <v>146.7201</v>
      </c>
      <c r="L25" s="1">
        <v>572.6248</v>
      </c>
      <c r="M25" s="1">
        <v>1298.2241</v>
      </c>
      <c r="N25" s="1">
        <v>1942.2785</v>
      </c>
      <c r="O25" s="1">
        <v>0.0</v>
      </c>
      <c r="P25" s="1">
        <v>0.0</v>
      </c>
      <c r="Q25" s="1">
        <v>0.0</v>
      </c>
      <c r="R25" s="1">
        <v>0.0</v>
      </c>
      <c r="S25" s="1">
        <v>146.7201</v>
      </c>
      <c r="T25" s="1">
        <v>572.6248</v>
      </c>
      <c r="U25" s="1">
        <v>1298.2241</v>
      </c>
      <c r="V25" s="1">
        <v>1942.2785</v>
      </c>
      <c r="W25" s="1">
        <v>24521.0</v>
      </c>
    </row>
    <row r="26">
      <c r="A26" s="1" t="s">
        <v>19</v>
      </c>
      <c r="B26" s="1" t="s">
        <v>1192</v>
      </c>
      <c r="C26" s="1" t="s">
        <v>46</v>
      </c>
      <c r="D26" s="1">
        <v>690.7988</v>
      </c>
      <c r="E26" s="1">
        <v>0.0</v>
      </c>
      <c r="F26" s="1">
        <v>690.7988</v>
      </c>
      <c r="G26" s="1">
        <v>3004.0</v>
      </c>
      <c r="H26" s="1">
        <v>731.5017</v>
      </c>
      <c r="I26" s="1">
        <v>0.0</v>
      </c>
      <c r="J26" s="1">
        <v>731.5017</v>
      </c>
      <c r="K26" s="1">
        <v>74.8826</v>
      </c>
      <c r="L26" s="1">
        <v>396.5384</v>
      </c>
      <c r="M26" s="1">
        <v>1111.5236</v>
      </c>
      <c r="N26" s="1">
        <v>1849.6154</v>
      </c>
      <c r="O26" s="1">
        <v>0.0</v>
      </c>
      <c r="P26" s="1">
        <v>0.0</v>
      </c>
      <c r="Q26" s="1">
        <v>0.0</v>
      </c>
      <c r="R26" s="1">
        <v>0.0</v>
      </c>
      <c r="S26" s="1">
        <v>74.8826</v>
      </c>
      <c r="T26" s="1">
        <v>396.5384</v>
      </c>
      <c r="U26" s="1">
        <v>1111.5236</v>
      </c>
      <c r="V26" s="1">
        <v>1849.6154</v>
      </c>
      <c r="W26" s="1">
        <v>24521.0</v>
      </c>
    </row>
    <row r="27">
      <c r="A27" s="1" t="s">
        <v>19</v>
      </c>
      <c r="B27" s="1" t="s">
        <v>1192</v>
      </c>
      <c r="C27" s="1" t="s">
        <v>1213</v>
      </c>
      <c r="D27" s="1">
        <v>8.0541</v>
      </c>
      <c r="E27" s="1">
        <v>0.0</v>
      </c>
      <c r="F27" s="1">
        <v>8.0541</v>
      </c>
      <c r="G27" s="1">
        <v>1547.0</v>
      </c>
      <c r="H27" s="1">
        <v>16.5611</v>
      </c>
      <c r="I27" s="1">
        <v>0.0</v>
      </c>
      <c r="J27" s="1">
        <v>16.5611</v>
      </c>
      <c r="K27" s="1">
        <v>0.0</v>
      </c>
      <c r="L27" s="1">
        <v>3.8012</v>
      </c>
      <c r="M27" s="1">
        <v>18.4463</v>
      </c>
      <c r="N27" s="1">
        <v>20.0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3.8012</v>
      </c>
      <c r="U27" s="1">
        <v>18.4463</v>
      </c>
      <c r="V27" s="1">
        <v>20.0</v>
      </c>
      <c r="W27" s="1">
        <v>24521.0</v>
      </c>
    </row>
    <row r="28">
      <c r="A28" s="1" t="s">
        <v>21</v>
      </c>
      <c r="B28" s="1" t="s">
        <v>180</v>
      </c>
      <c r="C28" s="1" t="s">
        <v>1205</v>
      </c>
      <c r="D28" s="1">
        <v>315.5922</v>
      </c>
      <c r="E28" s="1">
        <v>304.011</v>
      </c>
      <c r="F28" s="1">
        <v>11.5812</v>
      </c>
      <c r="G28" s="1">
        <v>25267.0</v>
      </c>
      <c r="H28" s="1">
        <v>318.5649</v>
      </c>
      <c r="I28" s="1">
        <v>306.8746</v>
      </c>
      <c r="J28" s="1">
        <v>11.6903</v>
      </c>
      <c r="K28" s="1">
        <v>40.0</v>
      </c>
      <c r="L28" s="1">
        <v>101.0354</v>
      </c>
      <c r="M28" s="1">
        <v>331.9181</v>
      </c>
      <c r="N28" s="1">
        <v>1021.3108</v>
      </c>
      <c r="O28" s="1">
        <v>0.0</v>
      </c>
      <c r="P28" s="1">
        <v>84.1588</v>
      </c>
      <c r="Q28" s="1">
        <v>343.1662</v>
      </c>
      <c r="R28" s="1">
        <v>1009.8502</v>
      </c>
      <c r="S28" s="1">
        <v>-48.6204</v>
      </c>
      <c r="T28" s="1">
        <v>27.9827</v>
      </c>
      <c r="U28" s="1">
        <v>70.2417</v>
      </c>
      <c r="V28" s="1">
        <v>168.0628</v>
      </c>
      <c r="W28" s="1">
        <v>103629.0</v>
      </c>
    </row>
    <row r="29">
      <c r="A29" s="1" t="s">
        <v>21</v>
      </c>
      <c r="B29" s="1" t="s">
        <v>180</v>
      </c>
      <c r="C29" s="1" t="s">
        <v>52</v>
      </c>
      <c r="D29" s="1">
        <v>4.831</v>
      </c>
      <c r="E29" s="1">
        <v>4.2912</v>
      </c>
      <c r="F29" s="1">
        <v>0.5398</v>
      </c>
      <c r="G29" s="1">
        <v>14214.0</v>
      </c>
      <c r="H29" s="1">
        <v>8.6686</v>
      </c>
      <c r="I29" s="1">
        <v>7.6999</v>
      </c>
      <c r="J29" s="1">
        <v>0.9686</v>
      </c>
      <c r="K29" s="1">
        <v>0.0</v>
      </c>
      <c r="L29" s="1">
        <v>0.915</v>
      </c>
      <c r="M29" s="1">
        <v>5.6994</v>
      </c>
      <c r="N29" s="1">
        <v>17.5443</v>
      </c>
      <c r="O29" s="1">
        <v>0.0</v>
      </c>
      <c r="P29" s="1">
        <v>0.6493</v>
      </c>
      <c r="Q29" s="1">
        <v>4.3331</v>
      </c>
      <c r="R29" s="1">
        <v>15.6579</v>
      </c>
      <c r="S29" s="1">
        <v>-0.1302</v>
      </c>
      <c r="T29" s="1">
        <v>0.0</v>
      </c>
      <c r="U29" s="1">
        <v>1.0502</v>
      </c>
      <c r="V29" s="1">
        <v>3.8077</v>
      </c>
      <c r="W29" s="1">
        <v>103629.0</v>
      </c>
    </row>
    <row r="30">
      <c r="A30" s="1" t="s">
        <v>21</v>
      </c>
      <c r="B30" s="1" t="s">
        <v>180</v>
      </c>
      <c r="C30" s="1" t="s">
        <v>53</v>
      </c>
      <c r="D30" s="1">
        <v>3.0153</v>
      </c>
      <c r="E30" s="1">
        <v>3.1601</v>
      </c>
      <c r="F30" s="1">
        <v>-0.1448</v>
      </c>
      <c r="G30" s="1">
        <v>11755.0</v>
      </c>
      <c r="H30" s="1">
        <v>6.5424</v>
      </c>
      <c r="I30" s="1">
        <v>6.8565</v>
      </c>
      <c r="J30" s="1">
        <v>-0.3141</v>
      </c>
      <c r="K30" s="1">
        <v>0.0</v>
      </c>
      <c r="L30" s="1">
        <v>0.1014</v>
      </c>
      <c r="M30" s="1">
        <v>3.2163</v>
      </c>
      <c r="N30" s="1">
        <v>11.0245</v>
      </c>
      <c r="O30" s="1">
        <v>0.0</v>
      </c>
      <c r="P30" s="1">
        <v>0.5761</v>
      </c>
      <c r="Q30" s="1">
        <v>3.5679</v>
      </c>
      <c r="R30" s="1">
        <v>10.8079</v>
      </c>
      <c r="S30" s="1">
        <v>-0.8722</v>
      </c>
      <c r="T30" s="1">
        <v>0.0</v>
      </c>
      <c r="U30" s="1">
        <v>0.157</v>
      </c>
      <c r="V30" s="1">
        <v>1.9787</v>
      </c>
      <c r="W30" s="1">
        <v>103629.0</v>
      </c>
    </row>
    <row r="31">
      <c r="A31" s="1" t="s">
        <v>21</v>
      </c>
      <c r="B31" s="1" t="s">
        <v>180</v>
      </c>
      <c r="C31" s="1" t="s">
        <v>54</v>
      </c>
      <c r="D31" s="1">
        <v>1.3569</v>
      </c>
      <c r="E31" s="1">
        <v>1.806</v>
      </c>
      <c r="F31" s="1">
        <v>-0.4491</v>
      </c>
      <c r="G31" s="1">
        <v>8276.0</v>
      </c>
      <c r="H31" s="1">
        <v>4.1816</v>
      </c>
      <c r="I31" s="1">
        <v>5.5657</v>
      </c>
      <c r="J31" s="1">
        <v>-1.3841</v>
      </c>
      <c r="K31" s="1">
        <v>0.0</v>
      </c>
      <c r="L31" s="1">
        <v>0.0</v>
      </c>
      <c r="M31" s="1">
        <v>1.109</v>
      </c>
      <c r="N31" s="1">
        <v>5.022</v>
      </c>
      <c r="O31" s="1">
        <v>0.0</v>
      </c>
      <c r="P31" s="1">
        <v>0.287</v>
      </c>
      <c r="Q31" s="1">
        <v>2.5462</v>
      </c>
      <c r="R31" s="1">
        <v>5.8036</v>
      </c>
      <c r="S31" s="1">
        <v>-1.0</v>
      </c>
      <c r="T31" s="1">
        <v>0.0</v>
      </c>
      <c r="U31" s="1">
        <v>0.0</v>
      </c>
      <c r="V31" s="1">
        <v>1.0</v>
      </c>
      <c r="W31" s="1">
        <v>103629.0</v>
      </c>
    </row>
    <row r="32">
      <c r="A32" s="1" t="s">
        <v>21</v>
      </c>
      <c r="B32" s="1" t="s">
        <v>180</v>
      </c>
      <c r="C32" s="1" t="s">
        <v>47</v>
      </c>
      <c r="D32" s="1">
        <v>5.0118</v>
      </c>
      <c r="E32" s="1">
        <v>4.5695</v>
      </c>
      <c r="F32" s="1">
        <v>0.4423</v>
      </c>
      <c r="G32" s="1">
        <v>16814.0</v>
      </c>
      <c r="H32" s="1">
        <v>7.6024</v>
      </c>
      <c r="I32" s="1">
        <v>6.9315</v>
      </c>
      <c r="J32" s="1">
        <v>0.6709</v>
      </c>
      <c r="K32" s="1">
        <v>0.0</v>
      </c>
      <c r="L32" s="1">
        <v>2.1558</v>
      </c>
      <c r="M32" s="1">
        <v>6.4264</v>
      </c>
      <c r="N32" s="1">
        <v>16.6148</v>
      </c>
      <c r="O32" s="1">
        <v>0.8756</v>
      </c>
      <c r="P32" s="1">
        <v>1.0</v>
      </c>
      <c r="Q32" s="1">
        <v>3.9675</v>
      </c>
      <c r="R32" s="1">
        <v>15.7741</v>
      </c>
      <c r="S32" s="1">
        <v>-1.0</v>
      </c>
      <c r="T32" s="1">
        <v>-0.0455</v>
      </c>
      <c r="U32" s="1">
        <v>2.1273</v>
      </c>
      <c r="V32" s="1">
        <v>4.8575</v>
      </c>
      <c r="W32" s="1">
        <v>103629.0</v>
      </c>
    </row>
    <row r="33">
      <c r="A33" s="1" t="s">
        <v>21</v>
      </c>
      <c r="B33" s="1" t="s">
        <v>180</v>
      </c>
      <c r="C33" s="1" t="s">
        <v>48</v>
      </c>
      <c r="D33" s="1">
        <v>5.3067</v>
      </c>
      <c r="E33" s="1">
        <v>3.9553</v>
      </c>
      <c r="F33" s="1">
        <v>1.3514</v>
      </c>
      <c r="G33" s="1">
        <v>20377.0</v>
      </c>
      <c r="H33" s="1">
        <v>6.6421</v>
      </c>
      <c r="I33" s="1">
        <v>4.9506</v>
      </c>
      <c r="J33" s="1">
        <v>1.6915</v>
      </c>
      <c r="K33" s="1">
        <v>1.5565</v>
      </c>
      <c r="L33" s="1">
        <v>2.1142</v>
      </c>
      <c r="M33" s="1">
        <v>6.856</v>
      </c>
      <c r="N33" s="1">
        <v>15.721</v>
      </c>
      <c r="O33" s="1">
        <v>0.0</v>
      </c>
      <c r="P33" s="1">
        <v>0.496</v>
      </c>
      <c r="Q33" s="1">
        <v>4.0473</v>
      </c>
      <c r="R33" s="1">
        <v>14.411</v>
      </c>
      <c r="S33" s="1">
        <v>-0.0879</v>
      </c>
      <c r="T33" s="1">
        <v>1.4367</v>
      </c>
      <c r="U33" s="1">
        <v>2.6008</v>
      </c>
      <c r="V33" s="1">
        <v>5.8915</v>
      </c>
      <c r="W33" s="1">
        <v>103629.0</v>
      </c>
    </row>
    <row r="34">
      <c r="A34" s="1" t="s">
        <v>21</v>
      </c>
      <c r="B34" s="1" t="s">
        <v>180</v>
      </c>
      <c r="C34" s="1" t="s">
        <v>50</v>
      </c>
      <c r="D34" s="1">
        <v>2.6697</v>
      </c>
      <c r="E34" s="1">
        <v>2.218</v>
      </c>
      <c r="F34" s="1">
        <v>0.4517</v>
      </c>
      <c r="G34" s="1">
        <v>15816.0</v>
      </c>
      <c r="H34" s="1">
        <v>4.3051</v>
      </c>
      <c r="I34" s="1">
        <v>3.5768</v>
      </c>
      <c r="J34" s="1">
        <v>0.7284</v>
      </c>
      <c r="K34" s="1">
        <v>0.0</v>
      </c>
      <c r="L34" s="1">
        <v>1.7633</v>
      </c>
      <c r="M34" s="1">
        <v>3.0726</v>
      </c>
      <c r="N34" s="1">
        <v>7.8489</v>
      </c>
      <c r="O34" s="1">
        <v>0.0</v>
      </c>
      <c r="P34" s="1">
        <v>0.0764</v>
      </c>
      <c r="Q34" s="1">
        <v>2.7352</v>
      </c>
      <c r="R34" s="1">
        <v>7.3221</v>
      </c>
      <c r="S34" s="1">
        <v>-0.1584</v>
      </c>
      <c r="T34" s="1">
        <v>0.0</v>
      </c>
      <c r="U34" s="1">
        <v>2.0</v>
      </c>
      <c r="V34" s="1">
        <v>3.0</v>
      </c>
      <c r="W34" s="1">
        <v>103629.0</v>
      </c>
    </row>
    <row r="35">
      <c r="A35" s="1" t="s">
        <v>21</v>
      </c>
      <c r="B35" s="1" t="s">
        <v>180</v>
      </c>
      <c r="C35" s="1" t="s">
        <v>1209</v>
      </c>
      <c r="D35" s="1">
        <v>1.8059</v>
      </c>
      <c r="E35" s="1">
        <v>0.7227</v>
      </c>
      <c r="F35" s="1">
        <v>1.0832</v>
      </c>
      <c r="G35" s="1">
        <v>1771.0</v>
      </c>
      <c r="H35" s="1">
        <v>26.0079</v>
      </c>
      <c r="I35" s="1">
        <v>10.4082</v>
      </c>
      <c r="J35" s="1">
        <v>15.5997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103629.0</v>
      </c>
    </row>
    <row r="36">
      <c r="A36" s="1" t="s">
        <v>21</v>
      </c>
      <c r="B36" s="1" t="s">
        <v>180</v>
      </c>
      <c r="C36" s="1" t="s">
        <v>1210</v>
      </c>
      <c r="D36" s="1">
        <v>8.9986</v>
      </c>
      <c r="E36" s="1">
        <v>3.2567</v>
      </c>
      <c r="F36" s="1">
        <v>5.7419</v>
      </c>
      <c r="G36" s="1">
        <v>8406.0</v>
      </c>
      <c r="H36" s="1">
        <v>27.3031</v>
      </c>
      <c r="I36" s="1">
        <v>9.8813</v>
      </c>
      <c r="J36" s="1">
        <v>17.4218</v>
      </c>
      <c r="K36" s="1">
        <v>0.0</v>
      </c>
      <c r="L36" s="1">
        <v>0.0</v>
      </c>
      <c r="M36" s="1">
        <v>13.9792</v>
      </c>
      <c r="N36" s="1">
        <v>25.7927</v>
      </c>
      <c r="O36" s="1">
        <v>0.0</v>
      </c>
      <c r="P36" s="1">
        <v>0.0</v>
      </c>
      <c r="Q36" s="1">
        <v>4.5416</v>
      </c>
      <c r="R36" s="1">
        <v>11.1438</v>
      </c>
      <c r="S36" s="1">
        <v>0.0</v>
      </c>
      <c r="T36" s="1">
        <v>0.0</v>
      </c>
      <c r="U36" s="1">
        <v>5.8788</v>
      </c>
      <c r="V36" s="1">
        <v>15.9414</v>
      </c>
      <c r="W36" s="1">
        <v>103629.0</v>
      </c>
    </row>
    <row r="37">
      <c r="A37" s="1" t="s">
        <v>21</v>
      </c>
      <c r="B37" s="1" t="s">
        <v>180</v>
      </c>
      <c r="C37" s="1" t="s">
        <v>1211</v>
      </c>
      <c r="D37" s="1">
        <v>15.9455</v>
      </c>
      <c r="E37" s="1">
        <v>5.7811</v>
      </c>
      <c r="F37" s="1">
        <v>10.1644</v>
      </c>
      <c r="G37" s="1">
        <v>10319.0</v>
      </c>
      <c r="H37" s="1">
        <v>39.4118</v>
      </c>
      <c r="I37" s="1">
        <v>14.289</v>
      </c>
      <c r="J37" s="1">
        <v>25.1228</v>
      </c>
      <c r="K37" s="1">
        <v>0.0</v>
      </c>
      <c r="L37" s="1">
        <v>0.0329</v>
      </c>
      <c r="M37" s="1">
        <v>19.135</v>
      </c>
      <c r="N37" s="1">
        <v>53.8262</v>
      </c>
      <c r="O37" s="1">
        <v>0.0</v>
      </c>
      <c r="P37" s="1">
        <v>0.0</v>
      </c>
      <c r="Q37" s="1">
        <v>7.562</v>
      </c>
      <c r="R37" s="1">
        <v>19.2719</v>
      </c>
      <c r="S37" s="1">
        <v>0.0</v>
      </c>
      <c r="T37" s="1">
        <v>0.0071</v>
      </c>
      <c r="U37" s="1">
        <v>10.0122</v>
      </c>
      <c r="V37" s="1">
        <v>33.105</v>
      </c>
      <c r="W37" s="1">
        <v>103629.0</v>
      </c>
    </row>
    <row r="38">
      <c r="A38" s="1" t="s">
        <v>21</v>
      </c>
      <c r="B38" s="1" t="s">
        <v>180</v>
      </c>
      <c r="C38" s="1" t="s">
        <v>55</v>
      </c>
      <c r="D38" s="1">
        <v>456.4789</v>
      </c>
      <c r="E38" s="1">
        <v>0.0069</v>
      </c>
      <c r="F38" s="1">
        <v>456.472</v>
      </c>
      <c r="G38" s="1">
        <v>24446.0</v>
      </c>
      <c r="H38" s="1">
        <v>476.2535</v>
      </c>
      <c r="I38" s="1">
        <v>0.0072</v>
      </c>
      <c r="J38" s="1">
        <v>476.2464</v>
      </c>
      <c r="K38" s="1">
        <v>19.6985</v>
      </c>
      <c r="L38" s="1">
        <v>144.3321</v>
      </c>
      <c r="M38" s="1">
        <v>483.6062</v>
      </c>
      <c r="N38" s="1">
        <v>1561.5654</v>
      </c>
      <c r="O38" s="1">
        <v>0.0</v>
      </c>
      <c r="P38" s="1">
        <v>0.0</v>
      </c>
      <c r="Q38" s="1">
        <v>0.0</v>
      </c>
      <c r="R38" s="1">
        <v>0.0</v>
      </c>
      <c r="S38" s="1">
        <v>18.5911</v>
      </c>
      <c r="T38" s="1">
        <v>144.3233</v>
      </c>
      <c r="U38" s="1">
        <v>483.61</v>
      </c>
      <c r="V38" s="1">
        <v>1561.5654</v>
      </c>
      <c r="W38" s="1">
        <v>103629.0</v>
      </c>
    </row>
    <row r="39">
      <c r="A39" s="1" t="s">
        <v>21</v>
      </c>
      <c r="B39" s="1" t="s">
        <v>180</v>
      </c>
      <c r="C39" s="1" t="s">
        <v>46</v>
      </c>
      <c r="D39" s="1">
        <v>523.3996</v>
      </c>
      <c r="E39" s="1">
        <v>0.0</v>
      </c>
      <c r="F39" s="1">
        <v>523.3996</v>
      </c>
      <c r="G39" s="1">
        <v>15103.0</v>
      </c>
      <c r="H39" s="1">
        <v>883.8845</v>
      </c>
      <c r="I39" s="1">
        <v>0.0</v>
      </c>
      <c r="J39" s="1">
        <v>883.8845</v>
      </c>
      <c r="K39" s="1">
        <v>0.0</v>
      </c>
      <c r="L39" s="1">
        <v>73.3795</v>
      </c>
      <c r="M39" s="1">
        <v>489.8045</v>
      </c>
      <c r="N39" s="1">
        <v>1963.6681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73.3795</v>
      </c>
      <c r="U39" s="1">
        <v>489.8045</v>
      </c>
      <c r="V39" s="1">
        <v>1963.6681</v>
      </c>
      <c r="W39" s="1">
        <v>103629.0</v>
      </c>
    </row>
    <row r="40">
      <c r="A40" s="1" t="s">
        <v>21</v>
      </c>
      <c r="B40" s="1" t="s">
        <v>180</v>
      </c>
      <c r="C40" s="1" t="s">
        <v>1213</v>
      </c>
      <c r="D40" s="1">
        <v>4.1856</v>
      </c>
      <c r="E40" s="1">
        <v>0.0</v>
      </c>
      <c r="F40" s="1">
        <v>4.1856</v>
      </c>
      <c r="G40" s="1">
        <v>6492.0</v>
      </c>
      <c r="H40" s="1">
        <v>16.4441</v>
      </c>
      <c r="I40" s="1">
        <v>0.0</v>
      </c>
      <c r="J40" s="1">
        <v>16.4441</v>
      </c>
      <c r="K40" s="1">
        <v>0.0</v>
      </c>
      <c r="L40" s="1">
        <v>0.0</v>
      </c>
      <c r="M40" s="1">
        <v>5.2294</v>
      </c>
      <c r="N40" s="1">
        <v>19.9965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5.2294</v>
      </c>
      <c r="V40" s="1">
        <v>19.9965</v>
      </c>
      <c r="W40" s="1">
        <v>103629.0</v>
      </c>
    </row>
    <row r="41">
      <c r="A41" s="1" t="s">
        <v>21</v>
      </c>
      <c r="B41" s="1" t="s">
        <v>1192</v>
      </c>
      <c r="C41" s="1" t="s">
        <v>1205</v>
      </c>
      <c r="D41" s="1">
        <v>1206.6947</v>
      </c>
      <c r="E41" s="1">
        <v>1218.1075</v>
      </c>
      <c r="F41" s="1">
        <v>-11.4128</v>
      </c>
      <c r="G41" s="1">
        <v>1891.0</v>
      </c>
      <c r="H41" s="1">
        <v>1210.5235</v>
      </c>
      <c r="I41" s="1">
        <v>1221.9725</v>
      </c>
      <c r="J41" s="1">
        <v>-11.449</v>
      </c>
      <c r="K41" s="1">
        <v>181.5411</v>
      </c>
      <c r="L41" s="1">
        <v>792.3585</v>
      </c>
      <c r="M41" s="1">
        <v>1757.6001</v>
      </c>
      <c r="N41" s="1">
        <v>2748.3386</v>
      </c>
      <c r="O41" s="1">
        <v>201.5294</v>
      </c>
      <c r="P41" s="1">
        <v>819.3957</v>
      </c>
      <c r="Q41" s="1">
        <v>1781.2666</v>
      </c>
      <c r="R41" s="1">
        <v>2709.7125</v>
      </c>
      <c r="S41" s="1">
        <v>-72.1426</v>
      </c>
      <c r="T41" s="1">
        <v>9.1258</v>
      </c>
      <c r="U41" s="1">
        <v>88.9202</v>
      </c>
      <c r="V41" s="1">
        <v>228.5502</v>
      </c>
      <c r="W41" s="1">
        <v>15970.0</v>
      </c>
    </row>
    <row r="42">
      <c r="A42" s="1" t="s">
        <v>21</v>
      </c>
      <c r="B42" s="1" t="s">
        <v>1192</v>
      </c>
      <c r="C42" s="1" t="s">
        <v>52</v>
      </c>
      <c r="D42" s="1">
        <v>14.1687</v>
      </c>
      <c r="E42" s="1">
        <v>13.787</v>
      </c>
      <c r="F42" s="1">
        <v>0.3817</v>
      </c>
      <c r="G42" s="1">
        <v>1789.0</v>
      </c>
      <c r="H42" s="1">
        <v>15.024</v>
      </c>
      <c r="I42" s="1">
        <v>14.6193</v>
      </c>
      <c r="J42" s="1">
        <v>0.4047</v>
      </c>
      <c r="K42" s="1">
        <v>3.368</v>
      </c>
      <c r="L42" s="1">
        <v>11.6862</v>
      </c>
      <c r="M42" s="1">
        <v>23.176</v>
      </c>
      <c r="N42" s="1">
        <v>31.745</v>
      </c>
      <c r="O42" s="1">
        <v>2.0715</v>
      </c>
      <c r="P42" s="1">
        <v>11.1071</v>
      </c>
      <c r="Q42" s="1">
        <v>22.5274</v>
      </c>
      <c r="R42" s="1">
        <v>31.9268</v>
      </c>
      <c r="S42" s="1">
        <v>-1.0</v>
      </c>
      <c r="T42" s="1">
        <v>0.5969</v>
      </c>
      <c r="U42" s="1">
        <v>2.1241</v>
      </c>
      <c r="V42" s="1">
        <v>4.0791</v>
      </c>
      <c r="W42" s="1">
        <v>15970.0</v>
      </c>
    </row>
    <row r="43">
      <c r="A43" s="1" t="s">
        <v>21</v>
      </c>
      <c r="B43" s="1" t="s">
        <v>1192</v>
      </c>
      <c r="C43" s="1" t="s">
        <v>53</v>
      </c>
      <c r="D43" s="1">
        <v>9.3168</v>
      </c>
      <c r="E43" s="1">
        <v>9.757</v>
      </c>
      <c r="F43" s="1">
        <v>-0.4402</v>
      </c>
      <c r="G43" s="1">
        <v>1613.0</v>
      </c>
      <c r="H43" s="1">
        <v>10.9572</v>
      </c>
      <c r="I43" s="1">
        <v>11.4749</v>
      </c>
      <c r="J43" s="1">
        <v>-0.5177</v>
      </c>
      <c r="K43" s="1">
        <v>1.1243</v>
      </c>
      <c r="L43" s="1">
        <v>6.9513</v>
      </c>
      <c r="M43" s="1">
        <v>15.4452</v>
      </c>
      <c r="N43" s="1">
        <v>22.2416</v>
      </c>
      <c r="O43" s="1">
        <v>1.2685</v>
      </c>
      <c r="P43" s="1">
        <v>7.228</v>
      </c>
      <c r="Q43" s="1">
        <v>16.0641</v>
      </c>
      <c r="R43" s="1">
        <v>23.415</v>
      </c>
      <c r="S43" s="1">
        <v>-1.2227</v>
      </c>
      <c r="T43" s="1">
        <v>0.0</v>
      </c>
      <c r="U43" s="1">
        <v>1.0</v>
      </c>
      <c r="V43" s="1">
        <v>2.9734</v>
      </c>
      <c r="W43" s="1">
        <v>15970.0</v>
      </c>
    </row>
    <row r="44">
      <c r="A44" s="1" t="s">
        <v>21</v>
      </c>
      <c r="B44" s="1" t="s">
        <v>1192</v>
      </c>
      <c r="C44" s="1" t="s">
        <v>54</v>
      </c>
      <c r="D44" s="1">
        <v>5.1761</v>
      </c>
      <c r="E44" s="1">
        <v>5.582</v>
      </c>
      <c r="F44" s="1">
        <v>-0.4059</v>
      </c>
      <c r="G44" s="1">
        <v>1415.0</v>
      </c>
      <c r="H44" s="1">
        <v>6.9392</v>
      </c>
      <c r="I44" s="1">
        <v>7.4834</v>
      </c>
      <c r="J44" s="1">
        <v>-0.5442</v>
      </c>
      <c r="K44" s="1">
        <v>0.4536</v>
      </c>
      <c r="L44" s="1">
        <v>3.4846</v>
      </c>
      <c r="M44" s="1">
        <v>8.7535</v>
      </c>
      <c r="N44" s="1">
        <v>13.0336</v>
      </c>
      <c r="O44" s="1">
        <v>0.5421</v>
      </c>
      <c r="P44" s="1">
        <v>3.6655</v>
      </c>
      <c r="Q44" s="1">
        <v>9.1665</v>
      </c>
      <c r="R44" s="1">
        <v>13.6175</v>
      </c>
      <c r="S44" s="1">
        <v>-1.0</v>
      </c>
      <c r="T44" s="1">
        <v>0.0</v>
      </c>
      <c r="U44" s="1">
        <v>0.5623</v>
      </c>
      <c r="V44" s="1">
        <v>1.9335</v>
      </c>
      <c r="W44" s="1">
        <v>15970.0</v>
      </c>
    </row>
    <row r="45">
      <c r="A45" s="1" t="s">
        <v>21</v>
      </c>
      <c r="B45" s="1" t="s">
        <v>1192</v>
      </c>
      <c r="C45" s="1" t="s">
        <v>47</v>
      </c>
      <c r="D45" s="1">
        <v>13.242</v>
      </c>
      <c r="E45" s="1">
        <v>15.0722</v>
      </c>
      <c r="F45" s="1">
        <v>-1.8303</v>
      </c>
      <c r="G45" s="1">
        <v>1848.0</v>
      </c>
      <c r="H45" s="1">
        <v>13.5931</v>
      </c>
      <c r="I45" s="1">
        <v>15.4719</v>
      </c>
      <c r="J45" s="1">
        <v>-1.8788</v>
      </c>
      <c r="K45" s="1">
        <v>4.4222</v>
      </c>
      <c r="L45" s="1">
        <v>11.8711</v>
      </c>
      <c r="M45" s="1">
        <v>20.6927</v>
      </c>
      <c r="N45" s="1">
        <v>26.5883</v>
      </c>
      <c r="O45" s="1">
        <v>2.6214</v>
      </c>
      <c r="P45" s="1">
        <v>12.3975</v>
      </c>
      <c r="Q45" s="1">
        <v>25.1158</v>
      </c>
      <c r="R45" s="1">
        <v>33.2638</v>
      </c>
      <c r="S45" s="1">
        <v>-4.496</v>
      </c>
      <c r="T45" s="1">
        <v>-0.9181</v>
      </c>
      <c r="U45" s="1">
        <v>1.9042</v>
      </c>
      <c r="V45" s="1">
        <v>4.6696</v>
      </c>
      <c r="W45" s="1">
        <v>15970.0</v>
      </c>
    </row>
    <row r="46">
      <c r="A46" s="1" t="s">
        <v>21</v>
      </c>
      <c r="B46" s="1" t="s">
        <v>1192</v>
      </c>
      <c r="C46" s="1" t="s">
        <v>48</v>
      </c>
      <c r="D46" s="1">
        <v>12.6906</v>
      </c>
      <c r="E46" s="1">
        <v>13.6004</v>
      </c>
      <c r="F46" s="1">
        <v>-0.9099</v>
      </c>
      <c r="G46" s="1">
        <v>1839.0</v>
      </c>
      <c r="H46" s="1">
        <v>13.0908</v>
      </c>
      <c r="I46" s="1">
        <v>14.0294</v>
      </c>
      <c r="J46" s="1">
        <v>-0.9386</v>
      </c>
      <c r="K46" s="1">
        <v>4.63</v>
      </c>
      <c r="L46" s="1">
        <v>11.3345</v>
      </c>
      <c r="M46" s="1">
        <v>19.9771</v>
      </c>
      <c r="N46" s="1">
        <v>25.2102</v>
      </c>
      <c r="O46" s="1">
        <v>2.5196</v>
      </c>
      <c r="P46" s="1">
        <v>10.7839</v>
      </c>
      <c r="Q46" s="1">
        <v>21.8288</v>
      </c>
      <c r="R46" s="1">
        <v>30.2565</v>
      </c>
      <c r="S46" s="1">
        <v>-2.9373</v>
      </c>
      <c r="T46" s="1">
        <v>-0.1315</v>
      </c>
      <c r="U46" s="1">
        <v>2.2415</v>
      </c>
      <c r="V46" s="1">
        <v>5.0817</v>
      </c>
      <c r="W46" s="1">
        <v>15970.0</v>
      </c>
    </row>
    <row r="47">
      <c r="A47" s="1" t="s">
        <v>21</v>
      </c>
      <c r="B47" s="1" t="s">
        <v>1192</v>
      </c>
      <c r="C47" s="1" t="s">
        <v>50</v>
      </c>
      <c r="D47" s="1">
        <v>7.0733</v>
      </c>
      <c r="E47" s="1">
        <v>7.9589</v>
      </c>
      <c r="F47" s="1">
        <v>-0.8856</v>
      </c>
      <c r="G47" s="1">
        <v>1700.0</v>
      </c>
      <c r="H47" s="1">
        <v>7.8929</v>
      </c>
      <c r="I47" s="1">
        <v>8.8812</v>
      </c>
      <c r="J47" s="1">
        <v>-0.9882</v>
      </c>
      <c r="K47" s="1">
        <v>1.4243</v>
      </c>
      <c r="L47" s="1">
        <v>5.2508</v>
      </c>
      <c r="M47" s="1">
        <v>11.2343</v>
      </c>
      <c r="N47" s="1">
        <v>16.6023</v>
      </c>
      <c r="O47" s="1">
        <v>1.0</v>
      </c>
      <c r="P47" s="1">
        <v>5.2869</v>
      </c>
      <c r="Q47" s="1">
        <v>12.3277</v>
      </c>
      <c r="R47" s="1">
        <v>19.8918</v>
      </c>
      <c r="S47" s="1">
        <v>-1.9227</v>
      </c>
      <c r="T47" s="1">
        <v>0.0</v>
      </c>
      <c r="U47" s="1">
        <v>1.0</v>
      </c>
      <c r="V47" s="1">
        <v>2.7128</v>
      </c>
      <c r="W47" s="1">
        <v>15970.0</v>
      </c>
    </row>
    <row r="48">
      <c r="A48" s="1" t="s">
        <v>21</v>
      </c>
      <c r="B48" s="1" t="s">
        <v>1192</v>
      </c>
      <c r="C48" s="1" t="s">
        <v>1209</v>
      </c>
      <c r="D48" s="1">
        <v>9.0353</v>
      </c>
      <c r="E48" s="1">
        <v>13.3553</v>
      </c>
      <c r="F48" s="1">
        <v>-4.32</v>
      </c>
      <c r="G48" s="1">
        <v>578.0</v>
      </c>
      <c r="H48" s="1">
        <v>29.654</v>
      </c>
      <c r="I48" s="1">
        <v>43.8322</v>
      </c>
      <c r="J48" s="1">
        <v>-14.1782</v>
      </c>
      <c r="K48" s="1">
        <v>0.0</v>
      </c>
      <c r="L48" s="1">
        <v>0.0</v>
      </c>
      <c r="M48" s="1">
        <v>11.0912</v>
      </c>
      <c r="N48" s="1">
        <v>30.384</v>
      </c>
      <c r="O48" s="1">
        <v>0.0</v>
      </c>
      <c r="P48" s="1">
        <v>0.0</v>
      </c>
      <c r="Q48" s="1">
        <v>14.5476</v>
      </c>
      <c r="R48" s="1">
        <v>41.676</v>
      </c>
      <c r="S48" s="1">
        <v>0.0</v>
      </c>
      <c r="T48" s="1">
        <v>0.0</v>
      </c>
      <c r="U48" s="1">
        <v>0.0</v>
      </c>
      <c r="V48" s="1">
        <v>11.7793</v>
      </c>
      <c r="W48" s="1">
        <v>15970.0</v>
      </c>
    </row>
    <row r="49">
      <c r="A49" s="1" t="s">
        <v>21</v>
      </c>
      <c r="B49" s="1" t="s">
        <v>1192</v>
      </c>
      <c r="C49" s="1" t="s">
        <v>1210</v>
      </c>
      <c r="D49" s="1">
        <v>29.1012</v>
      </c>
      <c r="E49" s="1">
        <v>21.3179</v>
      </c>
      <c r="F49" s="1">
        <v>7.7833</v>
      </c>
      <c r="G49" s="1">
        <v>1422.0</v>
      </c>
      <c r="H49" s="1">
        <v>38.8221</v>
      </c>
      <c r="I49" s="1">
        <v>28.4388</v>
      </c>
      <c r="J49" s="1">
        <v>10.3833</v>
      </c>
      <c r="K49" s="1">
        <v>4.8323</v>
      </c>
      <c r="L49" s="1">
        <v>15.3861</v>
      </c>
      <c r="M49" s="1">
        <v>39.0938</v>
      </c>
      <c r="N49" s="1">
        <v>79.987</v>
      </c>
      <c r="O49" s="1">
        <v>1.6931</v>
      </c>
      <c r="P49" s="1">
        <v>9.7036</v>
      </c>
      <c r="Q49" s="1">
        <v>23.4664</v>
      </c>
      <c r="R49" s="1">
        <v>58.72</v>
      </c>
      <c r="S49" s="1">
        <v>0.0</v>
      </c>
      <c r="T49" s="1">
        <v>4.9848</v>
      </c>
      <c r="U49" s="1">
        <v>15.0601</v>
      </c>
      <c r="V49" s="1">
        <v>43.5824</v>
      </c>
      <c r="W49" s="1">
        <v>15970.0</v>
      </c>
    </row>
    <row r="50">
      <c r="A50" s="1" t="s">
        <v>21</v>
      </c>
      <c r="B50" s="1" t="s">
        <v>1192</v>
      </c>
      <c r="C50" s="1" t="s">
        <v>1211</v>
      </c>
      <c r="D50" s="1">
        <v>51.4101</v>
      </c>
      <c r="E50" s="1">
        <v>30.699</v>
      </c>
      <c r="F50" s="1">
        <v>20.7111</v>
      </c>
      <c r="G50" s="1">
        <v>1661.0</v>
      </c>
      <c r="H50" s="1">
        <v>58.7146</v>
      </c>
      <c r="I50" s="1">
        <v>35.0608</v>
      </c>
      <c r="J50" s="1">
        <v>23.6538</v>
      </c>
      <c r="K50" s="1">
        <v>10.2502</v>
      </c>
      <c r="L50" s="1">
        <v>33.6479</v>
      </c>
      <c r="M50" s="1">
        <v>81.2511</v>
      </c>
      <c r="N50" s="1">
        <v>128.4692</v>
      </c>
      <c r="O50" s="1">
        <v>6.6503</v>
      </c>
      <c r="P50" s="1">
        <v>16.9043</v>
      </c>
      <c r="Q50" s="1">
        <v>41.0897</v>
      </c>
      <c r="R50" s="1">
        <v>78.3773</v>
      </c>
      <c r="S50" s="1">
        <v>2.0602</v>
      </c>
      <c r="T50" s="1">
        <v>11.9208</v>
      </c>
      <c r="U50" s="1">
        <v>33.8584</v>
      </c>
      <c r="V50" s="1">
        <v>67.9271</v>
      </c>
      <c r="W50" s="1">
        <v>15970.0</v>
      </c>
    </row>
    <row r="51">
      <c r="A51" s="1" t="s">
        <v>21</v>
      </c>
      <c r="B51" s="1" t="s">
        <v>1192</v>
      </c>
      <c r="C51" s="1" t="s">
        <v>55</v>
      </c>
      <c r="D51" s="1">
        <v>1272.9958</v>
      </c>
      <c r="E51" s="1">
        <v>0.0</v>
      </c>
      <c r="F51" s="1">
        <v>1272.9958</v>
      </c>
      <c r="G51" s="1">
        <v>1888.0</v>
      </c>
      <c r="H51" s="1">
        <v>1279.0641</v>
      </c>
      <c r="I51" s="1">
        <v>0.0</v>
      </c>
      <c r="J51" s="1">
        <v>1279.0641</v>
      </c>
      <c r="K51" s="1">
        <v>312.9046</v>
      </c>
      <c r="L51" s="1">
        <v>1003.8721</v>
      </c>
      <c r="M51" s="1">
        <v>2080.0737</v>
      </c>
      <c r="N51" s="1">
        <v>2895.7802</v>
      </c>
      <c r="O51" s="1">
        <v>0.0</v>
      </c>
      <c r="P51" s="1">
        <v>0.0</v>
      </c>
      <c r="Q51" s="1">
        <v>0.0</v>
      </c>
      <c r="R51" s="1">
        <v>0.0</v>
      </c>
      <c r="S51" s="1">
        <v>312.9046</v>
      </c>
      <c r="T51" s="1">
        <v>1003.8721</v>
      </c>
      <c r="U51" s="1">
        <v>2080.0737</v>
      </c>
      <c r="V51" s="1">
        <v>2895.7802</v>
      </c>
      <c r="W51" s="1">
        <v>15970.0</v>
      </c>
    </row>
    <row r="52">
      <c r="A52" s="1" t="s">
        <v>21</v>
      </c>
      <c r="B52" s="1" t="s">
        <v>1192</v>
      </c>
      <c r="C52" s="1" t="s">
        <v>46</v>
      </c>
      <c r="D52" s="1">
        <v>1469.6436</v>
      </c>
      <c r="E52" s="1">
        <v>0.0</v>
      </c>
      <c r="F52" s="1">
        <v>1469.6436</v>
      </c>
      <c r="G52" s="1">
        <v>1838.0</v>
      </c>
      <c r="H52" s="1">
        <v>1516.8194</v>
      </c>
      <c r="I52" s="1">
        <v>0.0</v>
      </c>
      <c r="J52" s="1">
        <v>1516.8194</v>
      </c>
      <c r="K52" s="1">
        <v>274.0238</v>
      </c>
      <c r="L52" s="1">
        <v>1169.4156</v>
      </c>
      <c r="M52" s="1">
        <v>2486.603</v>
      </c>
      <c r="N52" s="1">
        <v>3255.5513</v>
      </c>
      <c r="O52" s="1">
        <v>0.0</v>
      </c>
      <c r="P52" s="1">
        <v>0.0</v>
      </c>
      <c r="Q52" s="1">
        <v>0.0</v>
      </c>
      <c r="R52" s="1">
        <v>0.0</v>
      </c>
      <c r="S52" s="1">
        <v>274.0238</v>
      </c>
      <c r="T52" s="1">
        <v>1169.4156</v>
      </c>
      <c r="U52" s="1">
        <v>2486.603</v>
      </c>
      <c r="V52" s="1">
        <v>3255.5513</v>
      </c>
      <c r="W52" s="1">
        <v>15970.0</v>
      </c>
    </row>
    <row r="53">
      <c r="A53" s="1" t="s">
        <v>21</v>
      </c>
      <c r="B53" s="1" t="s">
        <v>1192</v>
      </c>
      <c r="C53" s="1" t="s">
        <v>1213</v>
      </c>
      <c r="D53" s="1">
        <v>12.359</v>
      </c>
      <c r="E53" s="1">
        <v>0.0</v>
      </c>
      <c r="F53" s="1">
        <v>12.359</v>
      </c>
      <c r="G53" s="1">
        <v>1295.0</v>
      </c>
      <c r="H53" s="1">
        <v>18.1042</v>
      </c>
      <c r="I53" s="1">
        <v>0.0</v>
      </c>
      <c r="J53" s="1">
        <v>18.1042</v>
      </c>
      <c r="K53" s="1">
        <v>0.0</v>
      </c>
      <c r="L53" s="1">
        <v>10.0</v>
      </c>
      <c r="M53" s="1">
        <v>20.0</v>
      </c>
      <c r="N53" s="1">
        <v>20.0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10.0</v>
      </c>
      <c r="U53" s="1">
        <v>20.0</v>
      </c>
      <c r="V53" s="1">
        <v>20.0</v>
      </c>
      <c r="W53" s="1">
        <v>15970.0</v>
      </c>
    </row>
    <row r="54">
      <c r="A54" s="1" t="s">
        <v>22</v>
      </c>
      <c r="B54" s="1" t="s">
        <v>180</v>
      </c>
      <c r="C54" s="1" t="s">
        <v>1205</v>
      </c>
      <c r="D54" s="1">
        <v>635.7502</v>
      </c>
      <c r="E54" s="1">
        <v>609.0237</v>
      </c>
      <c r="F54" s="1">
        <v>26.7266</v>
      </c>
      <c r="G54" s="1">
        <v>19815.0</v>
      </c>
      <c r="H54" s="1">
        <v>637.5149</v>
      </c>
      <c r="I54" s="1">
        <v>610.7141</v>
      </c>
      <c r="J54" s="1">
        <v>26.8008</v>
      </c>
      <c r="K54" s="1">
        <v>109.5959</v>
      </c>
      <c r="L54" s="1">
        <v>246.4932</v>
      </c>
      <c r="M54" s="1">
        <v>825.9377</v>
      </c>
      <c r="N54" s="1">
        <v>1879.9527</v>
      </c>
      <c r="O54" s="1">
        <v>29.5034</v>
      </c>
      <c r="P54" s="1">
        <v>266.7248</v>
      </c>
      <c r="Q54" s="1">
        <v>765.5448</v>
      </c>
      <c r="R54" s="1">
        <v>1828.2631</v>
      </c>
      <c r="S54" s="1">
        <v>-94.901</v>
      </c>
      <c r="T54" s="1">
        <v>30.4447</v>
      </c>
      <c r="U54" s="1">
        <v>121.4588</v>
      </c>
      <c r="V54" s="1">
        <v>285.3247</v>
      </c>
      <c r="W54" s="1">
        <v>97611.0</v>
      </c>
    </row>
    <row r="55">
      <c r="A55" s="1" t="s">
        <v>22</v>
      </c>
      <c r="B55" s="1" t="s">
        <v>180</v>
      </c>
      <c r="C55" s="1" t="s">
        <v>52</v>
      </c>
      <c r="D55" s="1">
        <v>8.4559</v>
      </c>
      <c r="E55" s="1">
        <v>7.9343</v>
      </c>
      <c r="F55" s="1">
        <v>0.5216</v>
      </c>
      <c r="G55" s="1">
        <v>15395.0</v>
      </c>
      <c r="H55" s="1">
        <v>10.9139</v>
      </c>
      <c r="I55" s="1">
        <v>10.2406</v>
      </c>
      <c r="J55" s="1">
        <v>0.6733</v>
      </c>
      <c r="K55" s="1">
        <v>0.8738</v>
      </c>
      <c r="L55" s="1">
        <v>4.0571</v>
      </c>
      <c r="M55" s="1">
        <v>11.8543</v>
      </c>
      <c r="N55" s="1">
        <v>25.2188</v>
      </c>
      <c r="O55" s="1">
        <v>1.0416</v>
      </c>
      <c r="P55" s="1">
        <v>2.9889</v>
      </c>
      <c r="Q55" s="1">
        <v>10.4981</v>
      </c>
      <c r="R55" s="1">
        <v>23.9033</v>
      </c>
      <c r="S55" s="1">
        <v>-1.7945</v>
      </c>
      <c r="T55" s="1">
        <v>-9.0E-4</v>
      </c>
      <c r="U55" s="1">
        <v>2.1457</v>
      </c>
      <c r="V55" s="1">
        <v>5.123</v>
      </c>
      <c r="W55" s="1">
        <v>97611.0</v>
      </c>
    </row>
    <row r="56">
      <c r="A56" s="1" t="s">
        <v>22</v>
      </c>
      <c r="B56" s="1" t="s">
        <v>180</v>
      </c>
      <c r="C56" s="1" t="s">
        <v>53</v>
      </c>
      <c r="D56" s="1">
        <v>6.2934</v>
      </c>
      <c r="E56" s="1">
        <v>6.5039</v>
      </c>
      <c r="F56" s="1">
        <v>-0.2105</v>
      </c>
      <c r="G56" s="1">
        <v>13794.0</v>
      </c>
      <c r="H56" s="1">
        <v>9.0655</v>
      </c>
      <c r="I56" s="1">
        <v>9.3687</v>
      </c>
      <c r="J56" s="1">
        <v>-0.3032</v>
      </c>
      <c r="K56" s="1">
        <v>0.0375</v>
      </c>
      <c r="L56" s="1">
        <v>2.5035</v>
      </c>
      <c r="M56" s="1">
        <v>8.8399</v>
      </c>
      <c r="N56" s="1">
        <v>19.2986</v>
      </c>
      <c r="O56" s="1">
        <v>1.0</v>
      </c>
      <c r="P56" s="1">
        <v>2.6903</v>
      </c>
      <c r="Q56" s="1">
        <v>8.2926</v>
      </c>
      <c r="R56" s="1">
        <v>18.7448</v>
      </c>
      <c r="S56" s="1">
        <v>-1.8236</v>
      </c>
      <c r="T56" s="1">
        <v>-0.2799</v>
      </c>
      <c r="U56" s="1">
        <v>1.161</v>
      </c>
      <c r="V56" s="1">
        <v>3.7476</v>
      </c>
      <c r="W56" s="1">
        <v>97611.0</v>
      </c>
    </row>
    <row r="57">
      <c r="A57" s="1" t="s">
        <v>22</v>
      </c>
      <c r="B57" s="1" t="s">
        <v>180</v>
      </c>
      <c r="C57" s="1" t="s">
        <v>54</v>
      </c>
      <c r="D57" s="1">
        <v>2.6589</v>
      </c>
      <c r="E57" s="1">
        <v>3.7976</v>
      </c>
      <c r="F57" s="1">
        <v>-1.1387</v>
      </c>
      <c r="G57" s="1">
        <v>10469.0</v>
      </c>
      <c r="H57" s="1">
        <v>5.0466</v>
      </c>
      <c r="I57" s="1">
        <v>7.2078</v>
      </c>
      <c r="J57" s="1">
        <v>-2.1611</v>
      </c>
      <c r="K57" s="1">
        <v>0.0</v>
      </c>
      <c r="L57" s="1">
        <v>0.6992</v>
      </c>
      <c r="M57" s="1">
        <v>3.5507</v>
      </c>
      <c r="N57" s="1">
        <v>8.7348</v>
      </c>
      <c r="O57" s="1">
        <v>1.0</v>
      </c>
      <c r="P57" s="1">
        <v>2.0079</v>
      </c>
      <c r="Q57" s="1">
        <v>5.2122</v>
      </c>
      <c r="R57" s="1">
        <v>9.6504</v>
      </c>
      <c r="S57" s="1">
        <v>-2.1015</v>
      </c>
      <c r="T57" s="1">
        <v>-1.0</v>
      </c>
      <c r="U57" s="1">
        <v>0.0</v>
      </c>
      <c r="V57" s="1">
        <v>1.1444</v>
      </c>
      <c r="W57" s="1">
        <v>97611.0</v>
      </c>
    </row>
    <row r="58">
      <c r="A58" s="1" t="s">
        <v>22</v>
      </c>
      <c r="B58" s="1" t="s">
        <v>180</v>
      </c>
      <c r="C58" s="1" t="s">
        <v>47</v>
      </c>
      <c r="D58" s="1">
        <v>8.1433</v>
      </c>
      <c r="E58" s="1">
        <v>7.2115</v>
      </c>
      <c r="F58" s="1">
        <v>0.9318</v>
      </c>
      <c r="G58" s="1">
        <v>19165.0</v>
      </c>
      <c r="H58" s="1">
        <v>8.4428</v>
      </c>
      <c r="I58" s="1">
        <v>7.4768</v>
      </c>
      <c r="J58" s="1">
        <v>0.9661</v>
      </c>
      <c r="K58" s="1">
        <v>2.0062</v>
      </c>
      <c r="L58" s="1">
        <v>4.5432</v>
      </c>
      <c r="M58" s="1">
        <v>11.3079</v>
      </c>
      <c r="N58" s="1">
        <v>21.4115</v>
      </c>
      <c r="O58" s="1">
        <v>1.0</v>
      </c>
      <c r="P58" s="1">
        <v>2.0651</v>
      </c>
      <c r="Q58" s="1">
        <v>8.3611</v>
      </c>
      <c r="R58" s="1">
        <v>22.9611</v>
      </c>
      <c r="S58" s="1">
        <v>-0.9</v>
      </c>
      <c r="T58" s="1">
        <v>0.9935</v>
      </c>
      <c r="U58" s="1">
        <v>3.4706</v>
      </c>
      <c r="V58" s="1">
        <v>6.7551</v>
      </c>
      <c r="W58" s="1">
        <v>97611.0</v>
      </c>
    </row>
    <row r="59">
      <c r="A59" s="1" t="s">
        <v>22</v>
      </c>
      <c r="B59" s="1" t="s">
        <v>180</v>
      </c>
      <c r="C59" s="1" t="s">
        <v>48</v>
      </c>
      <c r="D59" s="1">
        <v>8.8537</v>
      </c>
      <c r="E59" s="1">
        <v>6.5809</v>
      </c>
      <c r="F59" s="1">
        <v>2.2728</v>
      </c>
      <c r="G59" s="1">
        <v>18990.0</v>
      </c>
      <c r="H59" s="1">
        <v>9.264</v>
      </c>
      <c r="I59" s="1">
        <v>6.8859</v>
      </c>
      <c r="J59" s="1">
        <v>2.3781</v>
      </c>
      <c r="K59" s="1">
        <v>2.0895</v>
      </c>
      <c r="L59" s="1">
        <v>5.5483</v>
      </c>
      <c r="M59" s="1">
        <v>12.4174</v>
      </c>
      <c r="N59" s="1">
        <v>22.5683</v>
      </c>
      <c r="O59" s="1">
        <v>0.0</v>
      </c>
      <c r="P59" s="1">
        <v>1.2677</v>
      </c>
      <c r="Q59" s="1">
        <v>8.3507</v>
      </c>
      <c r="R59" s="1">
        <v>22.3278</v>
      </c>
      <c r="S59" s="1">
        <v>-0.0337</v>
      </c>
      <c r="T59" s="1">
        <v>2.0</v>
      </c>
      <c r="U59" s="1">
        <v>4.8714</v>
      </c>
      <c r="V59" s="1">
        <v>9.2626</v>
      </c>
      <c r="W59" s="1">
        <v>97611.0</v>
      </c>
    </row>
    <row r="60">
      <c r="A60" s="1" t="s">
        <v>22</v>
      </c>
      <c r="B60" s="1" t="s">
        <v>180</v>
      </c>
      <c r="C60" s="1" t="s">
        <v>50</v>
      </c>
      <c r="D60" s="1">
        <v>5.3435</v>
      </c>
      <c r="E60" s="1">
        <v>4.0793</v>
      </c>
      <c r="F60" s="1">
        <v>1.2642</v>
      </c>
      <c r="G60" s="1">
        <v>17408.0</v>
      </c>
      <c r="H60" s="1">
        <v>6.0993</v>
      </c>
      <c r="I60" s="1">
        <v>4.6563</v>
      </c>
      <c r="J60" s="1">
        <v>1.443</v>
      </c>
      <c r="K60" s="1">
        <v>2.0</v>
      </c>
      <c r="L60" s="1">
        <v>3.0134</v>
      </c>
      <c r="M60" s="1">
        <v>7.0052</v>
      </c>
      <c r="N60" s="1">
        <v>14.3244</v>
      </c>
      <c r="O60" s="1">
        <v>0.0</v>
      </c>
      <c r="P60" s="1">
        <v>0.8017</v>
      </c>
      <c r="Q60" s="1">
        <v>5.1379</v>
      </c>
      <c r="R60" s="1">
        <v>13.5627</v>
      </c>
      <c r="S60" s="1">
        <v>-0.1889</v>
      </c>
      <c r="T60" s="1">
        <v>1.5281</v>
      </c>
      <c r="U60" s="1">
        <v>2.862</v>
      </c>
      <c r="V60" s="1">
        <v>5.2152</v>
      </c>
      <c r="W60" s="1">
        <v>97611.0</v>
      </c>
    </row>
    <row r="61">
      <c r="A61" s="1" t="s">
        <v>22</v>
      </c>
      <c r="B61" s="1" t="s">
        <v>180</v>
      </c>
      <c r="C61" s="1" t="s">
        <v>1209</v>
      </c>
      <c r="D61" s="1">
        <v>3.7229</v>
      </c>
      <c r="E61" s="1">
        <v>1.8485</v>
      </c>
      <c r="F61" s="1">
        <v>1.8744</v>
      </c>
      <c r="G61" s="1">
        <v>3335.0</v>
      </c>
      <c r="H61" s="1">
        <v>22.1814</v>
      </c>
      <c r="I61" s="1">
        <v>11.0135</v>
      </c>
      <c r="J61" s="1">
        <v>11.1679</v>
      </c>
      <c r="K61" s="1">
        <v>0.0</v>
      </c>
      <c r="L61" s="1">
        <v>0.0</v>
      </c>
      <c r="M61" s="1">
        <v>0.0</v>
      </c>
      <c r="N61" s="1">
        <v>10.4637</v>
      </c>
      <c r="O61" s="1">
        <v>0.0</v>
      </c>
      <c r="P61" s="1">
        <v>0.0</v>
      </c>
      <c r="Q61" s="1">
        <v>0.0</v>
      </c>
      <c r="R61" s="1">
        <v>7.0562</v>
      </c>
      <c r="S61" s="1">
        <v>0.0</v>
      </c>
      <c r="T61" s="1">
        <v>0.0</v>
      </c>
      <c r="U61" s="1">
        <v>0.0</v>
      </c>
      <c r="V61" s="1">
        <v>5.7068</v>
      </c>
      <c r="W61" s="1">
        <v>97611.0</v>
      </c>
    </row>
    <row r="62">
      <c r="A62" s="1" t="s">
        <v>22</v>
      </c>
      <c r="B62" s="1" t="s">
        <v>180</v>
      </c>
      <c r="C62" s="1" t="s">
        <v>1210</v>
      </c>
      <c r="D62" s="1">
        <v>16.153</v>
      </c>
      <c r="E62" s="1">
        <v>7.1798</v>
      </c>
      <c r="F62" s="1">
        <v>8.9732</v>
      </c>
      <c r="G62" s="1">
        <v>10290.0</v>
      </c>
      <c r="H62" s="1">
        <v>31.1914</v>
      </c>
      <c r="I62" s="1">
        <v>13.8641</v>
      </c>
      <c r="J62" s="1">
        <v>17.3273</v>
      </c>
      <c r="K62" s="1">
        <v>0.0</v>
      </c>
      <c r="L62" s="1">
        <v>7.1943</v>
      </c>
      <c r="M62" s="1">
        <v>22.6818</v>
      </c>
      <c r="N62" s="1">
        <v>40.2697</v>
      </c>
      <c r="O62" s="1">
        <v>0.0</v>
      </c>
      <c r="P62" s="1">
        <v>1.4176</v>
      </c>
      <c r="Q62" s="1">
        <v>10.9256</v>
      </c>
      <c r="R62" s="1">
        <v>20.1833</v>
      </c>
      <c r="S62" s="1">
        <v>0.0</v>
      </c>
      <c r="T62" s="1">
        <v>1.0451</v>
      </c>
      <c r="U62" s="1">
        <v>11.2297</v>
      </c>
      <c r="V62" s="1">
        <v>24.0019</v>
      </c>
      <c r="W62" s="1">
        <v>97611.0</v>
      </c>
    </row>
    <row r="63">
      <c r="A63" s="1" t="s">
        <v>22</v>
      </c>
      <c r="B63" s="1" t="s">
        <v>180</v>
      </c>
      <c r="C63" s="1" t="s">
        <v>1211</v>
      </c>
      <c r="D63" s="1">
        <v>30.4454</v>
      </c>
      <c r="E63" s="1">
        <v>12.6677</v>
      </c>
      <c r="F63" s="1">
        <v>17.7777</v>
      </c>
      <c r="G63" s="1">
        <v>11807.0</v>
      </c>
      <c r="H63" s="1">
        <v>51.2366</v>
      </c>
      <c r="I63" s="1">
        <v>21.3185</v>
      </c>
      <c r="J63" s="1">
        <v>29.9181</v>
      </c>
      <c r="K63" s="1">
        <v>0.0</v>
      </c>
      <c r="L63" s="1">
        <v>10.8304</v>
      </c>
      <c r="M63" s="1">
        <v>42.6446</v>
      </c>
      <c r="N63" s="1">
        <v>98.8321</v>
      </c>
      <c r="O63" s="1">
        <v>0.0</v>
      </c>
      <c r="P63" s="1">
        <v>4.8955</v>
      </c>
      <c r="Q63" s="1">
        <v>18.3601</v>
      </c>
      <c r="R63" s="1">
        <v>38.4382</v>
      </c>
      <c r="S63" s="1">
        <v>0.0</v>
      </c>
      <c r="T63" s="1">
        <v>4.9084</v>
      </c>
      <c r="U63" s="1">
        <v>22.253</v>
      </c>
      <c r="V63" s="1">
        <v>60.9189</v>
      </c>
      <c r="W63" s="1">
        <v>97611.0</v>
      </c>
    </row>
    <row r="64">
      <c r="A64" s="1" t="s">
        <v>22</v>
      </c>
      <c r="B64" s="1" t="s">
        <v>180</v>
      </c>
      <c r="C64" s="1" t="s">
        <v>55</v>
      </c>
      <c r="D64" s="1">
        <v>811.0154</v>
      </c>
      <c r="E64" s="1">
        <v>0.0092</v>
      </c>
      <c r="F64" s="1">
        <v>811.0062</v>
      </c>
      <c r="G64" s="1">
        <v>19607.0</v>
      </c>
      <c r="H64" s="1">
        <v>821.894</v>
      </c>
      <c r="I64" s="1">
        <v>0.0093</v>
      </c>
      <c r="J64" s="1">
        <v>821.8847</v>
      </c>
      <c r="K64" s="1">
        <v>115.7875</v>
      </c>
      <c r="L64" s="1">
        <v>368.7855</v>
      </c>
      <c r="M64" s="1">
        <v>1058.9255</v>
      </c>
      <c r="N64" s="1">
        <v>2396.5886</v>
      </c>
      <c r="O64" s="1">
        <v>0.0</v>
      </c>
      <c r="P64" s="1">
        <v>0.0</v>
      </c>
      <c r="Q64" s="1">
        <v>0.0</v>
      </c>
      <c r="R64" s="1">
        <v>0.0</v>
      </c>
      <c r="S64" s="1">
        <v>119.7439</v>
      </c>
      <c r="T64" s="1">
        <v>360.5741</v>
      </c>
      <c r="U64" s="1">
        <v>1038.3202</v>
      </c>
      <c r="V64" s="1">
        <v>2352.921</v>
      </c>
      <c r="W64" s="1">
        <v>97611.0</v>
      </c>
    </row>
    <row r="65">
      <c r="A65" s="1" t="s">
        <v>22</v>
      </c>
      <c r="B65" s="1" t="s">
        <v>180</v>
      </c>
      <c r="C65" s="1" t="s">
        <v>46</v>
      </c>
      <c r="D65" s="1">
        <v>1115.06</v>
      </c>
      <c r="E65" s="1">
        <v>0.0</v>
      </c>
      <c r="F65" s="1">
        <v>1115.06</v>
      </c>
      <c r="G65" s="1">
        <v>16866.0</v>
      </c>
      <c r="H65" s="1">
        <v>1313.6632</v>
      </c>
      <c r="I65" s="1">
        <v>0.0</v>
      </c>
      <c r="J65" s="1">
        <v>1313.6632</v>
      </c>
      <c r="K65" s="1">
        <v>59.2902</v>
      </c>
      <c r="L65" s="1">
        <v>389.9194</v>
      </c>
      <c r="M65" s="1">
        <v>1449.033</v>
      </c>
      <c r="N65" s="1">
        <v>3350.3477</v>
      </c>
      <c r="O65" s="1">
        <v>0.0</v>
      </c>
      <c r="P65" s="1">
        <v>0.0</v>
      </c>
      <c r="Q65" s="1">
        <v>0.0</v>
      </c>
      <c r="R65" s="1">
        <v>0.0</v>
      </c>
      <c r="S65" s="1">
        <v>59.2902</v>
      </c>
      <c r="T65" s="1">
        <v>389.9194</v>
      </c>
      <c r="U65" s="1">
        <v>1449.033</v>
      </c>
      <c r="V65" s="1">
        <v>3350.3477</v>
      </c>
      <c r="W65" s="1">
        <v>97611.0</v>
      </c>
    </row>
    <row r="66">
      <c r="A66" s="1" t="s">
        <v>22</v>
      </c>
      <c r="B66" s="1" t="s">
        <v>180</v>
      </c>
      <c r="C66" s="1" t="s">
        <v>1213</v>
      </c>
      <c r="D66" s="1">
        <v>7.2806</v>
      </c>
      <c r="E66" s="1">
        <v>0.0</v>
      </c>
      <c r="F66" s="1">
        <v>7.2806</v>
      </c>
      <c r="G66" s="1">
        <v>7783.0</v>
      </c>
      <c r="H66" s="1">
        <v>18.5873</v>
      </c>
      <c r="I66" s="1">
        <v>0.0</v>
      </c>
      <c r="J66" s="1">
        <v>18.5873</v>
      </c>
      <c r="K66" s="1">
        <v>0.0</v>
      </c>
      <c r="L66" s="1">
        <v>0.0</v>
      </c>
      <c r="M66" s="1">
        <v>10.0</v>
      </c>
      <c r="N66" s="1">
        <v>20.0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10.0</v>
      </c>
      <c r="V66" s="1">
        <v>20.0</v>
      </c>
      <c r="W66" s="1">
        <v>97611.0</v>
      </c>
    </row>
    <row r="67">
      <c r="A67" s="1" t="s">
        <v>22</v>
      </c>
      <c r="B67" s="1" t="s">
        <v>1192</v>
      </c>
      <c r="C67" s="1" t="s">
        <v>1205</v>
      </c>
      <c r="D67" s="1">
        <v>2018.9311</v>
      </c>
      <c r="E67" s="1">
        <v>2076.5757</v>
      </c>
      <c r="F67" s="1">
        <v>-57.6446</v>
      </c>
      <c r="G67" s="1">
        <v>1538.0</v>
      </c>
      <c r="H67" s="1">
        <v>2020.2438</v>
      </c>
      <c r="I67" s="1">
        <v>2077.9259</v>
      </c>
      <c r="J67" s="1">
        <v>-57.6821</v>
      </c>
      <c r="K67" s="1">
        <v>340.7339</v>
      </c>
      <c r="L67" s="1">
        <v>1234.0902</v>
      </c>
      <c r="M67" s="1">
        <v>2680.0196</v>
      </c>
      <c r="N67" s="1">
        <v>4465.2588</v>
      </c>
      <c r="O67" s="1">
        <v>361.3675</v>
      </c>
      <c r="P67" s="1">
        <v>1263.4626</v>
      </c>
      <c r="Q67" s="1">
        <v>2651.7598</v>
      </c>
      <c r="R67" s="1">
        <v>4543.2698</v>
      </c>
      <c r="S67" s="1">
        <v>-102.0141</v>
      </c>
      <c r="T67" s="1">
        <v>4.2556</v>
      </c>
      <c r="U67" s="1">
        <v>111.3532</v>
      </c>
      <c r="V67" s="1">
        <v>289.0198</v>
      </c>
      <c r="W67" s="1">
        <v>12540.0</v>
      </c>
    </row>
    <row r="68">
      <c r="A68" s="1" t="s">
        <v>22</v>
      </c>
      <c r="B68" s="1" t="s">
        <v>1192</v>
      </c>
      <c r="C68" s="1" t="s">
        <v>52</v>
      </c>
      <c r="D68" s="1">
        <v>17.5686</v>
      </c>
      <c r="E68" s="1">
        <v>18.271</v>
      </c>
      <c r="F68" s="1">
        <v>-0.7024</v>
      </c>
      <c r="G68" s="1">
        <v>1502.0</v>
      </c>
      <c r="H68" s="1">
        <v>18.0013</v>
      </c>
      <c r="I68" s="1">
        <v>18.721</v>
      </c>
      <c r="J68" s="1">
        <v>-0.7197</v>
      </c>
      <c r="K68" s="1">
        <v>4.779</v>
      </c>
      <c r="L68" s="1">
        <v>13.9679</v>
      </c>
      <c r="M68" s="1">
        <v>28.352</v>
      </c>
      <c r="N68" s="1">
        <v>38.803</v>
      </c>
      <c r="O68" s="1">
        <v>3.7542</v>
      </c>
      <c r="P68" s="1">
        <v>13.5802</v>
      </c>
      <c r="Q68" s="1">
        <v>29.2259</v>
      </c>
      <c r="R68" s="1">
        <v>41.1928</v>
      </c>
      <c r="S68" s="1">
        <v>-2.226</v>
      </c>
      <c r="T68" s="1">
        <v>0.0268</v>
      </c>
      <c r="U68" s="1">
        <v>2.1948</v>
      </c>
      <c r="V68" s="1">
        <v>4.984</v>
      </c>
      <c r="W68" s="1">
        <v>12540.0</v>
      </c>
    </row>
    <row r="69">
      <c r="A69" s="1" t="s">
        <v>22</v>
      </c>
      <c r="B69" s="1" t="s">
        <v>1192</v>
      </c>
      <c r="C69" s="1" t="s">
        <v>53</v>
      </c>
      <c r="D69" s="1">
        <v>13.0962</v>
      </c>
      <c r="E69" s="1">
        <v>14.4795</v>
      </c>
      <c r="F69" s="1">
        <v>-1.3834</v>
      </c>
      <c r="G69" s="1">
        <v>1462.0</v>
      </c>
      <c r="H69" s="1">
        <v>13.7859</v>
      </c>
      <c r="I69" s="1">
        <v>15.2421</v>
      </c>
      <c r="J69" s="1">
        <v>-1.4562</v>
      </c>
      <c r="K69" s="1">
        <v>2.7212</v>
      </c>
      <c r="L69" s="1">
        <v>10.1596</v>
      </c>
      <c r="M69" s="1">
        <v>20.9688</v>
      </c>
      <c r="N69" s="1">
        <v>30.1134</v>
      </c>
      <c r="O69" s="1">
        <v>2.6805</v>
      </c>
      <c r="P69" s="1">
        <v>10.321</v>
      </c>
      <c r="Q69" s="1">
        <v>22.2978</v>
      </c>
      <c r="R69" s="1">
        <v>33.0615</v>
      </c>
      <c r="S69" s="1">
        <v>-2.3876</v>
      </c>
      <c r="T69" s="1">
        <v>-0.013</v>
      </c>
      <c r="U69" s="1">
        <v>1.2073</v>
      </c>
      <c r="V69" s="1">
        <v>3.2213</v>
      </c>
      <c r="W69" s="1">
        <v>12540.0</v>
      </c>
    </row>
    <row r="70">
      <c r="A70" s="1" t="s">
        <v>22</v>
      </c>
      <c r="B70" s="1" t="s">
        <v>1192</v>
      </c>
      <c r="C70" s="1" t="s">
        <v>54</v>
      </c>
      <c r="D70" s="1">
        <v>6.7752</v>
      </c>
      <c r="E70" s="1">
        <v>8.2619</v>
      </c>
      <c r="F70" s="1">
        <v>-1.4867</v>
      </c>
      <c r="G70" s="1">
        <v>1297.0</v>
      </c>
      <c r="H70" s="1">
        <v>8.0393</v>
      </c>
      <c r="I70" s="1">
        <v>9.8034</v>
      </c>
      <c r="J70" s="1">
        <v>-1.7641</v>
      </c>
      <c r="K70" s="1">
        <v>1.2443</v>
      </c>
      <c r="L70" s="1">
        <v>4.9862</v>
      </c>
      <c r="M70" s="1">
        <v>11.185</v>
      </c>
      <c r="N70" s="1">
        <v>15.9941</v>
      </c>
      <c r="O70" s="1">
        <v>1.557</v>
      </c>
      <c r="P70" s="1">
        <v>5.7324</v>
      </c>
      <c r="Q70" s="1">
        <v>12.6667</v>
      </c>
      <c r="R70" s="1">
        <v>18.3904</v>
      </c>
      <c r="S70" s="1">
        <v>-2.009</v>
      </c>
      <c r="T70" s="1">
        <v>0.0</v>
      </c>
      <c r="U70" s="1">
        <v>0.5564</v>
      </c>
      <c r="V70" s="1">
        <v>1.9958</v>
      </c>
      <c r="W70" s="1">
        <v>12540.0</v>
      </c>
    </row>
    <row r="71">
      <c r="A71" s="1" t="s">
        <v>22</v>
      </c>
      <c r="B71" s="1" t="s">
        <v>1192</v>
      </c>
      <c r="C71" s="1" t="s">
        <v>47</v>
      </c>
      <c r="D71" s="1">
        <v>15.8207</v>
      </c>
      <c r="E71" s="1">
        <v>19.3288</v>
      </c>
      <c r="F71" s="1">
        <v>-3.5081</v>
      </c>
      <c r="G71" s="1">
        <v>1532.0</v>
      </c>
      <c r="H71" s="1">
        <v>15.893</v>
      </c>
      <c r="I71" s="1">
        <v>19.4171</v>
      </c>
      <c r="J71" s="1">
        <v>-3.5242</v>
      </c>
      <c r="K71" s="1">
        <v>6.1688</v>
      </c>
      <c r="L71" s="1">
        <v>13.8641</v>
      </c>
      <c r="M71" s="1">
        <v>23.7851</v>
      </c>
      <c r="N71" s="1">
        <v>31.3675</v>
      </c>
      <c r="O71" s="1">
        <v>4.2234</v>
      </c>
      <c r="P71" s="1">
        <v>15.1076</v>
      </c>
      <c r="Q71" s="1">
        <v>30.296</v>
      </c>
      <c r="R71" s="1">
        <v>42.1245</v>
      </c>
      <c r="S71" s="1">
        <v>-7.1747</v>
      </c>
      <c r="T71" s="1">
        <v>-2.0298</v>
      </c>
      <c r="U71" s="1">
        <v>2.1463</v>
      </c>
      <c r="V71" s="1">
        <v>5.5959</v>
      </c>
      <c r="W71" s="1">
        <v>12540.0</v>
      </c>
    </row>
    <row r="72">
      <c r="A72" s="1" t="s">
        <v>22</v>
      </c>
      <c r="B72" s="1" t="s">
        <v>1192</v>
      </c>
      <c r="C72" s="1" t="s">
        <v>48</v>
      </c>
      <c r="D72" s="1">
        <v>15.8519</v>
      </c>
      <c r="E72" s="1">
        <v>17.9883</v>
      </c>
      <c r="F72" s="1">
        <v>-2.1365</v>
      </c>
      <c r="G72" s="1">
        <v>1525.0</v>
      </c>
      <c r="H72" s="1">
        <v>15.9974</v>
      </c>
      <c r="I72" s="1">
        <v>18.1534</v>
      </c>
      <c r="J72" s="1">
        <v>-2.1561</v>
      </c>
      <c r="K72" s="1">
        <v>6.5959</v>
      </c>
      <c r="L72" s="1">
        <v>13.6113</v>
      </c>
      <c r="M72" s="1">
        <v>23.9262</v>
      </c>
      <c r="N72" s="1">
        <v>30.7619</v>
      </c>
      <c r="O72" s="1">
        <v>4.0133</v>
      </c>
      <c r="P72" s="1">
        <v>14.0523</v>
      </c>
      <c r="Q72" s="1">
        <v>28.8692</v>
      </c>
      <c r="R72" s="1">
        <v>38.8582</v>
      </c>
      <c r="S72" s="1">
        <v>-4.9507</v>
      </c>
      <c r="T72" s="1">
        <v>-0.9161</v>
      </c>
      <c r="U72" s="1">
        <v>2.8177</v>
      </c>
      <c r="V72" s="1">
        <v>6.2634</v>
      </c>
      <c r="W72" s="1">
        <v>12540.0</v>
      </c>
    </row>
    <row r="73">
      <c r="A73" s="1" t="s">
        <v>22</v>
      </c>
      <c r="B73" s="1" t="s">
        <v>1192</v>
      </c>
      <c r="C73" s="1" t="s">
        <v>50</v>
      </c>
      <c r="D73" s="1">
        <v>10.321</v>
      </c>
      <c r="E73" s="1">
        <v>11.9526</v>
      </c>
      <c r="F73" s="1">
        <v>-1.6316</v>
      </c>
      <c r="G73" s="1">
        <v>1476.0</v>
      </c>
      <c r="H73" s="1">
        <v>10.7615</v>
      </c>
      <c r="I73" s="1">
        <v>12.4627</v>
      </c>
      <c r="J73" s="1">
        <v>-1.7012</v>
      </c>
      <c r="K73" s="1">
        <v>2.652</v>
      </c>
      <c r="L73" s="1">
        <v>8.2055</v>
      </c>
      <c r="M73" s="1">
        <v>16.2621</v>
      </c>
      <c r="N73" s="1">
        <v>22.855</v>
      </c>
      <c r="O73" s="1">
        <v>1.6585</v>
      </c>
      <c r="P73" s="1">
        <v>8.18</v>
      </c>
      <c r="Q73" s="1">
        <v>18.7469</v>
      </c>
      <c r="R73" s="1">
        <v>28.2133</v>
      </c>
      <c r="S73" s="1">
        <v>-3.2975</v>
      </c>
      <c r="T73" s="1">
        <v>-0.1964</v>
      </c>
      <c r="U73" s="1">
        <v>1.1294</v>
      </c>
      <c r="V73" s="1">
        <v>4.0</v>
      </c>
      <c r="W73" s="1">
        <v>12540.0</v>
      </c>
    </row>
    <row r="74">
      <c r="A74" s="1" t="s">
        <v>22</v>
      </c>
      <c r="B74" s="1" t="s">
        <v>1192</v>
      </c>
      <c r="C74" s="1" t="s">
        <v>1209</v>
      </c>
      <c r="D74" s="1">
        <v>15.4581</v>
      </c>
      <c r="E74" s="1">
        <v>20.8272</v>
      </c>
      <c r="F74" s="1">
        <v>-5.3691</v>
      </c>
      <c r="G74" s="1">
        <v>698.0</v>
      </c>
      <c r="H74" s="1">
        <v>34.0831</v>
      </c>
      <c r="I74" s="1">
        <v>45.9212</v>
      </c>
      <c r="J74" s="1">
        <v>-11.8381</v>
      </c>
      <c r="K74" s="1">
        <v>0.0</v>
      </c>
      <c r="L74" s="1">
        <v>0.0</v>
      </c>
      <c r="M74" s="1">
        <v>22.1318</v>
      </c>
      <c r="N74" s="1">
        <v>42.3773</v>
      </c>
      <c r="O74" s="1">
        <v>0.0</v>
      </c>
      <c r="P74" s="1">
        <v>3.437</v>
      </c>
      <c r="Q74" s="1">
        <v>22.3737</v>
      </c>
      <c r="R74" s="1">
        <v>57.4083</v>
      </c>
      <c r="S74" s="1">
        <v>-0.3913</v>
      </c>
      <c r="T74" s="1">
        <v>0.0</v>
      </c>
      <c r="U74" s="1">
        <v>2.3149</v>
      </c>
      <c r="V74" s="1">
        <v>14.0855</v>
      </c>
      <c r="W74" s="1">
        <v>12540.0</v>
      </c>
    </row>
    <row r="75">
      <c r="A75" s="1" t="s">
        <v>22</v>
      </c>
      <c r="B75" s="1" t="s">
        <v>1192</v>
      </c>
      <c r="C75" s="1" t="s">
        <v>1210</v>
      </c>
      <c r="D75" s="1">
        <v>39.4607</v>
      </c>
      <c r="E75" s="1">
        <v>32.4152</v>
      </c>
      <c r="F75" s="1">
        <v>7.0455</v>
      </c>
      <c r="G75" s="1">
        <v>1307.0</v>
      </c>
      <c r="H75" s="1">
        <v>46.4652</v>
      </c>
      <c r="I75" s="1">
        <v>38.1691</v>
      </c>
      <c r="J75" s="1">
        <v>8.2961</v>
      </c>
      <c r="K75" s="1">
        <v>12.9239</v>
      </c>
      <c r="L75" s="1">
        <v>25.0072</v>
      </c>
      <c r="M75" s="1">
        <v>58.1946</v>
      </c>
      <c r="N75" s="1">
        <v>103.501</v>
      </c>
      <c r="O75" s="1">
        <v>7.488</v>
      </c>
      <c r="P75" s="1">
        <v>16.6343</v>
      </c>
      <c r="Q75" s="1">
        <v>38.4519</v>
      </c>
      <c r="R75" s="1">
        <v>78.6656</v>
      </c>
      <c r="S75" s="1">
        <v>0.0</v>
      </c>
      <c r="T75" s="1">
        <v>6.3672</v>
      </c>
      <c r="U75" s="1">
        <v>18.6396</v>
      </c>
      <c r="V75" s="1">
        <v>49.2254</v>
      </c>
      <c r="W75" s="1">
        <v>12540.0</v>
      </c>
    </row>
    <row r="76">
      <c r="A76" s="1" t="s">
        <v>22</v>
      </c>
      <c r="B76" s="1" t="s">
        <v>1192</v>
      </c>
      <c r="C76" s="1" t="s">
        <v>1211</v>
      </c>
      <c r="D76" s="1">
        <v>68.655</v>
      </c>
      <c r="E76" s="1">
        <v>45.1702</v>
      </c>
      <c r="F76" s="1">
        <v>23.4847</v>
      </c>
      <c r="G76" s="1">
        <v>1430.0</v>
      </c>
      <c r="H76" s="1">
        <v>73.8881</v>
      </c>
      <c r="I76" s="1">
        <v>48.6133</v>
      </c>
      <c r="J76" s="1">
        <v>25.2748</v>
      </c>
      <c r="K76" s="1">
        <v>20.324</v>
      </c>
      <c r="L76" s="1">
        <v>52.4113</v>
      </c>
      <c r="M76" s="1">
        <v>104.7273</v>
      </c>
      <c r="N76" s="1">
        <v>157.897</v>
      </c>
      <c r="O76" s="1">
        <v>11.3061</v>
      </c>
      <c r="P76" s="1">
        <v>28.7763</v>
      </c>
      <c r="Q76" s="1">
        <v>59.0692</v>
      </c>
      <c r="R76" s="1">
        <v>104.1792</v>
      </c>
      <c r="S76" s="1">
        <v>3.8439</v>
      </c>
      <c r="T76" s="1">
        <v>16.6949</v>
      </c>
      <c r="U76" s="1">
        <v>41.01</v>
      </c>
      <c r="V76" s="1">
        <v>78.4678</v>
      </c>
      <c r="W76" s="1">
        <v>12540.0</v>
      </c>
    </row>
    <row r="77">
      <c r="A77" s="1" t="s">
        <v>22</v>
      </c>
      <c r="B77" s="1" t="s">
        <v>1192</v>
      </c>
      <c r="C77" s="1" t="s">
        <v>55</v>
      </c>
      <c r="D77" s="1">
        <v>1668.885</v>
      </c>
      <c r="E77" s="1">
        <v>6.0E-4</v>
      </c>
      <c r="F77" s="1">
        <v>1668.8843</v>
      </c>
      <c r="G77" s="1">
        <v>1536.0</v>
      </c>
      <c r="H77" s="1">
        <v>1672.1445</v>
      </c>
      <c r="I77" s="1">
        <v>7.0E-4</v>
      </c>
      <c r="J77" s="1">
        <v>1672.1439</v>
      </c>
      <c r="K77" s="1">
        <v>486.7671</v>
      </c>
      <c r="L77" s="1">
        <v>1238.5639</v>
      </c>
      <c r="M77" s="1">
        <v>2677.759</v>
      </c>
      <c r="N77" s="1">
        <v>3746.9271</v>
      </c>
      <c r="O77" s="1">
        <v>0.0</v>
      </c>
      <c r="P77" s="1">
        <v>0.0</v>
      </c>
      <c r="Q77" s="1">
        <v>0.0</v>
      </c>
      <c r="R77" s="1">
        <v>0.0</v>
      </c>
      <c r="S77" s="1">
        <v>486.7671</v>
      </c>
      <c r="T77" s="1">
        <v>1238.5639</v>
      </c>
      <c r="U77" s="1">
        <v>2677.759</v>
      </c>
      <c r="V77" s="1">
        <v>3746.9271</v>
      </c>
      <c r="W77" s="1">
        <v>12540.0</v>
      </c>
    </row>
    <row r="78">
      <c r="A78" s="1" t="s">
        <v>22</v>
      </c>
      <c r="B78" s="1" t="s">
        <v>1192</v>
      </c>
      <c r="C78" s="1" t="s">
        <v>46</v>
      </c>
      <c r="D78" s="1">
        <v>2217.0474</v>
      </c>
      <c r="E78" s="1">
        <v>0.0</v>
      </c>
      <c r="F78" s="1">
        <v>2217.0474</v>
      </c>
      <c r="G78" s="1">
        <v>1501.0</v>
      </c>
      <c r="H78" s="1">
        <v>2273.1752</v>
      </c>
      <c r="I78" s="1">
        <v>0.0</v>
      </c>
      <c r="J78" s="1">
        <v>2273.1752</v>
      </c>
      <c r="K78" s="1">
        <v>513.8499</v>
      </c>
      <c r="L78" s="1">
        <v>1680.3669</v>
      </c>
      <c r="M78" s="1">
        <v>3361.4942</v>
      </c>
      <c r="N78" s="1">
        <v>4933.4552</v>
      </c>
      <c r="O78" s="1">
        <v>0.0</v>
      </c>
      <c r="P78" s="1">
        <v>0.0</v>
      </c>
      <c r="Q78" s="1">
        <v>0.0</v>
      </c>
      <c r="R78" s="1">
        <v>0.0</v>
      </c>
      <c r="S78" s="1">
        <v>513.8499</v>
      </c>
      <c r="T78" s="1">
        <v>1680.3669</v>
      </c>
      <c r="U78" s="1">
        <v>3361.4942</v>
      </c>
      <c r="V78" s="1">
        <v>4933.4552</v>
      </c>
      <c r="W78" s="1">
        <v>12540.0</v>
      </c>
    </row>
    <row r="79">
      <c r="A79" s="1" t="s">
        <v>22</v>
      </c>
      <c r="B79" s="1" t="s">
        <v>1192</v>
      </c>
      <c r="C79" s="1" t="s">
        <v>1213</v>
      </c>
      <c r="D79" s="1">
        <v>16.7316</v>
      </c>
      <c r="E79" s="1">
        <v>0.0</v>
      </c>
      <c r="F79" s="1">
        <v>16.7316</v>
      </c>
      <c r="G79" s="1">
        <v>1090.0</v>
      </c>
      <c r="H79" s="1">
        <v>23.6239</v>
      </c>
      <c r="I79" s="1">
        <v>0.0</v>
      </c>
      <c r="J79" s="1">
        <v>23.6239</v>
      </c>
      <c r="K79" s="1">
        <v>0.5462</v>
      </c>
      <c r="L79" s="1">
        <v>10.1814</v>
      </c>
      <c r="M79" s="1">
        <v>20.0</v>
      </c>
      <c r="N79" s="1">
        <v>40.0</v>
      </c>
      <c r="O79" s="1">
        <v>0.0</v>
      </c>
      <c r="P79" s="1">
        <v>0.0</v>
      </c>
      <c r="Q79" s="1">
        <v>0.0</v>
      </c>
      <c r="R79" s="1">
        <v>0.0</v>
      </c>
      <c r="S79" s="1">
        <v>0.5462</v>
      </c>
      <c r="T79" s="1">
        <v>10.1814</v>
      </c>
      <c r="U79" s="1">
        <v>20.0</v>
      </c>
      <c r="V79" s="1">
        <v>40.0</v>
      </c>
      <c r="W79" s="1">
        <v>12540.0</v>
      </c>
    </row>
    <row r="80">
      <c r="A80" s="1" t="s">
        <v>24</v>
      </c>
      <c r="B80" s="1" t="s">
        <v>180</v>
      </c>
      <c r="C80" s="1" t="s">
        <v>1205</v>
      </c>
      <c r="D80" s="1">
        <v>1342.5077</v>
      </c>
      <c r="E80" s="1">
        <v>1304.7733</v>
      </c>
      <c r="F80" s="1">
        <v>37.7344</v>
      </c>
      <c r="G80" s="1">
        <v>10448.0</v>
      </c>
      <c r="H80" s="1">
        <v>1343.2787</v>
      </c>
      <c r="I80" s="1">
        <v>1305.5226</v>
      </c>
      <c r="J80" s="1">
        <v>37.7561</v>
      </c>
      <c r="K80" s="1">
        <v>295.9749</v>
      </c>
      <c r="L80" s="1">
        <v>757.7237</v>
      </c>
      <c r="M80" s="1">
        <v>1686.7195</v>
      </c>
      <c r="N80" s="1">
        <v>3384.2146</v>
      </c>
      <c r="O80" s="1">
        <v>294.4158</v>
      </c>
      <c r="P80" s="1">
        <v>688.897</v>
      </c>
      <c r="Q80" s="1">
        <v>1640.7592</v>
      </c>
      <c r="R80" s="1">
        <v>3341.8135</v>
      </c>
      <c r="S80" s="1">
        <v>-124.6631</v>
      </c>
      <c r="T80" s="1">
        <v>-7.1017</v>
      </c>
      <c r="U80" s="1">
        <v>171.3218</v>
      </c>
      <c r="V80" s="1">
        <v>489.2044</v>
      </c>
      <c r="W80" s="1">
        <v>60115.0</v>
      </c>
    </row>
    <row r="81">
      <c r="A81" s="1" t="s">
        <v>24</v>
      </c>
      <c r="B81" s="1" t="s">
        <v>180</v>
      </c>
      <c r="C81" s="1" t="s">
        <v>52</v>
      </c>
      <c r="D81" s="1">
        <v>15.002</v>
      </c>
      <c r="E81" s="1">
        <v>14.3078</v>
      </c>
      <c r="F81" s="1">
        <v>0.6942</v>
      </c>
      <c r="G81" s="1">
        <v>10353.0</v>
      </c>
      <c r="H81" s="1">
        <v>15.1484</v>
      </c>
      <c r="I81" s="1">
        <v>14.4474</v>
      </c>
      <c r="J81" s="1">
        <v>0.701</v>
      </c>
      <c r="K81" s="1">
        <v>4.005</v>
      </c>
      <c r="L81" s="1">
        <v>9.6814</v>
      </c>
      <c r="M81" s="1">
        <v>20.1856</v>
      </c>
      <c r="N81" s="1">
        <v>36.8823</v>
      </c>
      <c r="O81" s="1">
        <v>2.735</v>
      </c>
      <c r="P81" s="1">
        <v>8.498</v>
      </c>
      <c r="Q81" s="1">
        <v>20.7489</v>
      </c>
      <c r="R81" s="1">
        <v>36.7776</v>
      </c>
      <c r="S81" s="1">
        <v>-2.5558</v>
      </c>
      <c r="T81" s="1">
        <v>0.0723</v>
      </c>
      <c r="U81" s="1">
        <v>2.7925</v>
      </c>
      <c r="V81" s="1">
        <v>6.7945</v>
      </c>
      <c r="W81" s="1">
        <v>60115.0</v>
      </c>
    </row>
    <row r="82">
      <c r="A82" s="1" t="s">
        <v>24</v>
      </c>
      <c r="B82" s="1" t="s">
        <v>180</v>
      </c>
      <c r="C82" s="1" t="s">
        <v>53</v>
      </c>
      <c r="D82" s="1">
        <v>12.8195</v>
      </c>
      <c r="E82" s="1">
        <v>12.9462</v>
      </c>
      <c r="F82" s="1">
        <v>-0.1267</v>
      </c>
      <c r="G82" s="1">
        <v>9976.0</v>
      </c>
      <c r="H82" s="1">
        <v>13.4337</v>
      </c>
      <c r="I82" s="1">
        <v>13.5666</v>
      </c>
      <c r="J82" s="1">
        <v>-0.1328</v>
      </c>
      <c r="K82" s="1">
        <v>2.935</v>
      </c>
      <c r="L82" s="1">
        <v>8.0376</v>
      </c>
      <c r="M82" s="1">
        <v>16.908</v>
      </c>
      <c r="N82" s="1">
        <v>32.8323</v>
      </c>
      <c r="O82" s="1">
        <v>2.3805</v>
      </c>
      <c r="P82" s="1">
        <v>6.9455</v>
      </c>
      <c r="Q82" s="1">
        <v>17.8105</v>
      </c>
      <c r="R82" s="1">
        <v>32.1221</v>
      </c>
      <c r="S82" s="1">
        <v>-2.6725</v>
      </c>
      <c r="T82" s="1">
        <v>-0.2865</v>
      </c>
      <c r="U82" s="1">
        <v>2.3642</v>
      </c>
      <c r="V82" s="1">
        <v>6.2169</v>
      </c>
      <c r="W82" s="1">
        <v>60115.0</v>
      </c>
    </row>
    <row r="83">
      <c r="A83" s="1" t="s">
        <v>24</v>
      </c>
      <c r="B83" s="1" t="s">
        <v>180</v>
      </c>
      <c r="C83" s="1" t="s">
        <v>54</v>
      </c>
      <c r="D83" s="1">
        <v>5.4973</v>
      </c>
      <c r="E83" s="1">
        <v>7.1501</v>
      </c>
      <c r="F83" s="1">
        <v>-1.6528</v>
      </c>
      <c r="G83" s="1">
        <v>8194.0</v>
      </c>
      <c r="H83" s="1">
        <v>7.0135</v>
      </c>
      <c r="I83" s="1">
        <v>9.1222</v>
      </c>
      <c r="J83" s="1">
        <v>-2.1086</v>
      </c>
      <c r="K83" s="1">
        <v>0.8487</v>
      </c>
      <c r="L83" s="1">
        <v>3.0327</v>
      </c>
      <c r="M83" s="1">
        <v>7.1802</v>
      </c>
      <c r="N83" s="1">
        <v>14.5479</v>
      </c>
      <c r="O83" s="1">
        <v>2.0</v>
      </c>
      <c r="P83" s="1">
        <v>4.866</v>
      </c>
      <c r="Q83" s="1">
        <v>9.4398</v>
      </c>
      <c r="R83" s="1">
        <v>15.7071</v>
      </c>
      <c r="S83" s="1">
        <v>-3.9038</v>
      </c>
      <c r="T83" s="1">
        <v>-1.5859</v>
      </c>
      <c r="U83" s="1">
        <v>0.0</v>
      </c>
      <c r="V83" s="1">
        <v>1.9399</v>
      </c>
      <c r="W83" s="1">
        <v>60115.0</v>
      </c>
    </row>
    <row r="84">
      <c r="A84" s="1" t="s">
        <v>24</v>
      </c>
      <c r="B84" s="1" t="s">
        <v>180</v>
      </c>
      <c r="C84" s="1" t="s">
        <v>47</v>
      </c>
      <c r="D84" s="1">
        <v>13.623</v>
      </c>
      <c r="E84" s="1">
        <v>12.6431</v>
      </c>
      <c r="F84" s="1">
        <v>0.9799</v>
      </c>
      <c r="G84" s="1">
        <v>10371.0</v>
      </c>
      <c r="H84" s="1">
        <v>13.732</v>
      </c>
      <c r="I84" s="1">
        <v>12.7443</v>
      </c>
      <c r="J84" s="1">
        <v>0.9878</v>
      </c>
      <c r="K84" s="1">
        <v>4.842</v>
      </c>
      <c r="L84" s="1">
        <v>9.647</v>
      </c>
      <c r="M84" s="1">
        <v>18.4346</v>
      </c>
      <c r="N84" s="1">
        <v>30.7139</v>
      </c>
      <c r="O84" s="1">
        <v>1.7302</v>
      </c>
      <c r="P84" s="1">
        <v>6.1996</v>
      </c>
      <c r="Q84" s="1">
        <v>17.9824</v>
      </c>
      <c r="R84" s="1">
        <v>34.105</v>
      </c>
      <c r="S84" s="1">
        <v>-2.7462</v>
      </c>
      <c r="T84" s="1">
        <v>1.8525</v>
      </c>
      <c r="U84" s="1">
        <v>4.818</v>
      </c>
      <c r="V84" s="1">
        <v>9.0706</v>
      </c>
      <c r="W84" s="1">
        <v>60115.0</v>
      </c>
    </row>
    <row r="85">
      <c r="A85" s="1" t="s">
        <v>24</v>
      </c>
      <c r="B85" s="1" t="s">
        <v>180</v>
      </c>
      <c r="C85" s="1" t="s">
        <v>48</v>
      </c>
      <c r="D85" s="1">
        <v>14.856</v>
      </c>
      <c r="E85" s="1">
        <v>12.155</v>
      </c>
      <c r="F85" s="1">
        <v>2.7011</v>
      </c>
      <c r="G85" s="1">
        <v>10360.0</v>
      </c>
      <c r="H85" s="1">
        <v>14.9908</v>
      </c>
      <c r="I85" s="1">
        <v>12.2653</v>
      </c>
      <c r="J85" s="1">
        <v>2.7256</v>
      </c>
      <c r="K85" s="1">
        <v>6.2358</v>
      </c>
      <c r="L85" s="1">
        <v>11.6158</v>
      </c>
      <c r="M85" s="1">
        <v>21.0789</v>
      </c>
      <c r="N85" s="1">
        <v>31.2651</v>
      </c>
      <c r="O85" s="1">
        <v>1.0</v>
      </c>
      <c r="P85" s="1">
        <v>5.6245</v>
      </c>
      <c r="Q85" s="1">
        <v>18.9558</v>
      </c>
      <c r="R85" s="1">
        <v>32.7025</v>
      </c>
      <c r="S85" s="1">
        <v>-1.4843</v>
      </c>
      <c r="T85" s="1">
        <v>3.4425</v>
      </c>
      <c r="U85" s="1">
        <v>7.1992</v>
      </c>
      <c r="V85" s="1">
        <v>11.9726</v>
      </c>
      <c r="W85" s="1">
        <v>60115.0</v>
      </c>
    </row>
    <row r="86">
      <c r="A86" s="1" t="s">
        <v>24</v>
      </c>
      <c r="B86" s="1" t="s">
        <v>180</v>
      </c>
      <c r="C86" s="1" t="s">
        <v>50</v>
      </c>
      <c r="D86" s="1">
        <v>10.0079</v>
      </c>
      <c r="E86" s="1">
        <v>8.0755</v>
      </c>
      <c r="F86" s="1">
        <v>1.9325</v>
      </c>
      <c r="G86" s="1">
        <v>10295.0</v>
      </c>
      <c r="H86" s="1">
        <v>10.1625</v>
      </c>
      <c r="I86" s="1">
        <v>8.2002</v>
      </c>
      <c r="J86" s="1">
        <v>1.9623</v>
      </c>
      <c r="K86" s="1">
        <v>3.121</v>
      </c>
      <c r="L86" s="1">
        <v>6.7885</v>
      </c>
      <c r="M86" s="1">
        <v>13.2042</v>
      </c>
      <c r="N86" s="1">
        <v>23.3405</v>
      </c>
      <c r="O86" s="1">
        <v>0.1858</v>
      </c>
      <c r="P86" s="1">
        <v>3.5082</v>
      </c>
      <c r="Q86" s="1">
        <v>12.2016</v>
      </c>
      <c r="R86" s="1">
        <v>22.3569</v>
      </c>
      <c r="S86" s="1">
        <v>-1.3111</v>
      </c>
      <c r="T86" s="1">
        <v>1.85</v>
      </c>
      <c r="U86" s="1">
        <v>4.1679</v>
      </c>
      <c r="V86" s="1">
        <v>7.9483</v>
      </c>
      <c r="W86" s="1">
        <v>60115.0</v>
      </c>
    </row>
    <row r="87">
      <c r="A87" s="1" t="s">
        <v>24</v>
      </c>
      <c r="B87" s="1" t="s">
        <v>180</v>
      </c>
      <c r="C87" s="1" t="s">
        <v>1209</v>
      </c>
      <c r="D87" s="1">
        <v>8.2944</v>
      </c>
      <c r="E87" s="1">
        <v>5.0498</v>
      </c>
      <c r="F87" s="1">
        <v>3.2446</v>
      </c>
      <c r="G87" s="1">
        <v>3606.0</v>
      </c>
      <c r="H87" s="1">
        <v>24.046</v>
      </c>
      <c r="I87" s="1">
        <v>14.6398</v>
      </c>
      <c r="J87" s="1">
        <v>9.4063</v>
      </c>
      <c r="K87" s="1">
        <v>0.0</v>
      </c>
      <c r="L87" s="1">
        <v>0.0</v>
      </c>
      <c r="M87" s="1">
        <v>10.0</v>
      </c>
      <c r="N87" s="1">
        <v>27.5809</v>
      </c>
      <c r="O87" s="1">
        <v>0.0</v>
      </c>
      <c r="P87" s="1">
        <v>0.0</v>
      </c>
      <c r="Q87" s="1">
        <v>6.5847</v>
      </c>
      <c r="R87" s="1">
        <v>16.8809</v>
      </c>
      <c r="S87" s="1">
        <v>0.0</v>
      </c>
      <c r="T87" s="1">
        <v>0.0</v>
      </c>
      <c r="U87" s="1">
        <v>2.487</v>
      </c>
      <c r="V87" s="1">
        <v>11.3915</v>
      </c>
      <c r="W87" s="1">
        <v>60115.0</v>
      </c>
    </row>
    <row r="88">
      <c r="A88" s="1" t="s">
        <v>24</v>
      </c>
      <c r="B88" s="1" t="s">
        <v>180</v>
      </c>
      <c r="C88" s="1" t="s">
        <v>1210</v>
      </c>
      <c r="D88" s="1">
        <v>31.4717</v>
      </c>
      <c r="E88" s="1">
        <v>17.3615</v>
      </c>
      <c r="F88" s="1">
        <v>14.1102</v>
      </c>
      <c r="G88" s="1">
        <v>8061.0</v>
      </c>
      <c r="H88" s="1">
        <v>40.8144</v>
      </c>
      <c r="I88" s="1">
        <v>22.5154</v>
      </c>
      <c r="J88" s="1">
        <v>18.299</v>
      </c>
      <c r="K88" s="1">
        <v>7.2475</v>
      </c>
      <c r="L88" s="1">
        <v>18.954</v>
      </c>
      <c r="M88" s="1">
        <v>36.5597</v>
      </c>
      <c r="N88" s="1">
        <v>83.9078</v>
      </c>
      <c r="O88" s="1">
        <v>1.5665</v>
      </c>
      <c r="P88" s="1">
        <v>11.6035</v>
      </c>
      <c r="Q88" s="1">
        <v>23.0891</v>
      </c>
      <c r="R88" s="1">
        <v>42.9331</v>
      </c>
      <c r="S88" s="1">
        <v>0.1996</v>
      </c>
      <c r="T88" s="1">
        <v>6.2665</v>
      </c>
      <c r="U88" s="1">
        <v>16.0813</v>
      </c>
      <c r="V88" s="1">
        <v>40.3377</v>
      </c>
      <c r="W88" s="1">
        <v>60115.0</v>
      </c>
    </row>
    <row r="89">
      <c r="A89" s="1" t="s">
        <v>24</v>
      </c>
      <c r="B89" s="1" t="s">
        <v>180</v>
      </c>
      <c r="C89" s="1" t="s">
        <v>1211</v>
      </c>
      <c r="D89" s="1">
        <v>54.8312</v>
      </c>
      <c r="E89" s="1">
        <v>27.1414</v>
      </c>
      <c r="F89" s="1">
        <v>27.6898</v>
      </c>
      <c r="G89" s="1">
        <v>8681.0</v>
      </c>
      <c r="H89" s="1">
        <v>66.0298</v>
      </c>
      <c r="I89" s="1">
        <v>32.6847</v>
      </c>
      <c r="J89" s="1">
        <v>33.3451</v>
      </c>
      <c r="K89" s="1">
        <v>10.0</v>
      </c>
      <c r="L89" s="1">
        <v>33.5083</v>
      </c>
      <c r="M89" s="1">
        <v>85.3538</v>
      </c>
      <c r="N89" s="1">
        <v>146.1816</v>
      </c>
      <c r="O89" s="1">
        <v>6.3437</v>
      </c>
      <c r="P89" s="1">
        <v>18.4609</v>
      </c>
      <c r="Q89" s="1">
        <v>40.4909</v>
      </c>
      <c r="R89" s="1">
        <v>68.044</v>
      </c>
      <c r="S89" s="1">
        <v>2.1466</v>
      </c>
      <c r="T89" s="1">
        <v>13.7383</v>
      </c>
      <c r="U89" s="1">
        <v>41.1475</v>
      </c>
      <c r="V89" s="1">
        <v>82.0387</v>
      </c>
      <c r="W89" s="1">
        <v>60115.0</v>
      </c>
    </row>
    <row r="90">
      <c r="A90" s="1" t="s">
        <v>24</v>
      </c>
      <c r="B90" s="1" t="s">
        <v>180</v>
      </c>
      <c r="C90" s="1" t="s">
        <v>55</v>
      </c>
      <c r="D90" s="1">
        <v>1543.5533</v>
      </c>
      <c r="E90" s="1">
        <v>0.0209</v>
      </c>
      <c r="F90" s="1">
        <v>1543.5324</v>
      </c>
      <c r="G90" s="1">
        <v>10426.0</v>
      </c>
      <c r="H90" s="1">
        <v>1547.6986</v>
      </c>
      <c r="I90" s="1">
        <v>0.0209</v>
      </c>
      <c r="J90" s="1">
        <v>1547.6777</v>
      </c>
      <c r="K90" s="1">
        <v>374.1522</v>
      </c>
      <c r="L90" s="1">
        <v>924.1703</v>
      </c>
      <c r="M90" s="1">
        <v>2014.2241</v>
      </c>
      <c r="N90" s="1">
        <v>4033.2167</v>
      </c>
      <c r="O90" s="1">
        <v>0.0</v>
      </c>
      <c r="P90" s="1">
        <v>0.0</v>
      </c>
      <c r="Q90" s="1">
        <v>0.0</v>
      </c>
      <c r="R90" s="1">
        <v>0.0</v>
      </c>
      <c r="S90" s="1">
        <v>376.9071</v>
      </c>
      <c r="T90" s="1">
        <v>937.2795</v>
      </c>
      <c r="U90" s="1">
        <v>1999.4701</v>
      </c>
      <c r="V90" s="1">
        <v>4006.7946</v>
      </c>
      <c r="W90" s="1">
        <v>60115.0</v>
      </c>
    </row>
    <row r="91">
      <c r="A91" s="1" t="s">
        <v>24</v>
      </c>
      <c r="B91" s="1" t="s">
        <v>180</v>
      </c>
      <c r="C91" s="1" t="s">
        <v>46</v>
      </c>
      <c r="D91" s="1">
        <v>2490.1789</v>
      </c>
      <c r="E91" s="1">
        <v>0.0</v>
      </c>
      <c r="F91" s="1">
        <v>2490.1789</v>
      </c>
      <c r="G91" s="1">
        <v>10229.0</v>
      </c>
      <c r="H91" s="1">
        <v>2544.9536</v>
      </c>
      <c r="I91" s="1">
        <v>0.0</v>
      </c>
      <c r="J91" s="1">
        <v>2544.9536</v>
      </c>
      <c r="K91" s="1">
        <v>442.9103</v>
      </c>
      <c r="L91" s="1">
        <v>1414.5132</v>
      </c>
      <c r="M91" s="1">
        <v>3386.5369</v>
      </c>
      <c r="N91" s="1">
        <v>5609.736</v>
      </c>
      <c r="O91" s="1">
        <v>0.0</v>
      </c>
      <c r="P91" s="1">
        <v>0.0</v>
      </c>
      <c r="Q91" s="1">
        <v>0.0</v>
      </c>
      <c r="R91" s="1">
        <v>0.0</v>
      </c>
      <c r="S91" s="1">
        <v>442.9103</v>
      </c>
      <c r="T91" s="1">
        <v>1414.5132</v>
      </c>
      <c r="U91" s="1">
        <v>3386.5369</v>
      </c>
      <c r="V91" s="1">
        <v>5609.736</v>
      </c>
      <c r="W91" s="1">
        <v>60115.0</v>
      </c>
    </row>
    <row r="92">
      <c r="A92" s="1" t="s">
        <v>24</v>
      </c>
      <c r="B92" s="1" t="s">
        <v>180</v>
      </c>
      <c r="C92" s="1" t="s">
        <v>1213</v>
      </c>
      <c r="D92" s="1">
        <v>15.4171</v>
      </c>
      <c r="E92" s="1">
        <v>0.0</v>
      </c>
      <c r="F92" s="1">
        <v>15.4171</v>
      </c>
      <c r="G92" s="1">
        <v>6023.0</v>
      </c>
      <c r="H92" s="1">
        <v>26.7591</v>
      </c>
      <c r="I92" s="1">
        <v>0.0</v>
      </c>
      <c r="J92" s="1">
        <v>26.7591</v>
      </c>
      <c r="K92" s="1">
        <v>0.0</v>
      </c>
      <c r="L92" s="1">
        <v>10.0</v>
      </c>
      <c r="M92" s="1">
        <v>19.4384</v>
      </c>
      <c r="N92" s="1">
        <v>45.3146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10.0</v>
      </c>
      <c r="U92" s="1">
        <v>19.4384</v>
      </c>
      <c r="V92" s="1">
        <v>45.3146</v>
      </c>
      <c r="W92" s="1">
        <v>60115.0</v>
      </c>
    </row>
    <row r="93">
      <c r="A93" s="1" t="s">
        <v>24</v>
      </c>
      <c r="B93" s="1" t="s">
        <v>1192</v>
      </c>
      <c r="C93" s="1" t="s">
        <v>1205</v>
      </c>
      <c r="D93" s="1">
        <v>3327.3379</v>
      </c>
      <c r="E93" s="1">
        <v>3332.0069</v>
      </c>
      <c r="F93" s="1">
        <v>-4.669</v>
      </c>
      <c r="G93" s="1">
        <v>1156.0</v>
      </c>
      <c r="H93" s="1">
        <v>3327.3379</v>
      </c>
      <c r="I93" s="1">
        <v>3332.0069</v>
      </c>
      <c r="J93" s="1">
        <v>-4.669</v>
      </c>
      <c r="K93" s="1">
        <v>1036.2662</v>
      </c>
      <c r="L93" s="1">
        <v>2285.2242</v>
      </c>
      <c r="M93" s="1">
        <v>4079.1259</v>
      </c>
      <c r="N93" s="1">
        <v>6816.4836</v>
      </c>
      <c r="O93" s="1">
        <v>1057.1429</v>
      </c>
      <c r="P93" s="1">
        <v>2339.3849</v>
      </c>
      <c r="Q93" s="1">
        <v>4078.9614</v>
      </c>
      <c r="R93" s="1">
        <v>6837.2727</v>
      </c>
      <c r="S93" s="1">
        <v>-132.3511</v>
      </c>
      <c r="T93" s="1">
        <v>-18.6681</v>
      </c>
      <c r="U93" s="1">
        <v>111.2813</v>
      </c>
      <c r="V93" s="1">
        <v>340.3735</v>
      </c>
      <c r="W93" s="1">
        <v>10052.0</v>
      </c>
    </row>
    <row r="94">
      <c r="A94" s="1" t="s">
        <v>24</v>
      </c>
      <c r="B94" s="1" t="s">
        <v>1192</v>
      </c>
      <c r="C94" s="1" t="s">
        <v>52</v>
      </c>
      <c r="D94" s="1">
        <v>25.6194</v>
      </c>
      <c r="E94" s="1">
        <v>26.3036</v>
      </c>
      <c r="F94" s="1">
        <v>-0.6843</v>
      </c>
      <c r="G94" s="1">
        <v>1151.0</v>
      </c>
      <c r="H94" s="1">
        <v>25.7307</v>
      </c>
      <c r="I94" s="1">
        <v>26.4179</v>
      </c>
      <c r="J94" s="1">
        <v>-0.6872</v>
      </c>
      <c r="K94" s="1">
        <v>10.044</v>
      </c>
      <c r="L94" s="1">
        <v>20.7051</v>
      </c>
      <c r="M94" s="1">
        <v>34.9317</v>
      </c>
      <c r="N94" s="1">
        <v>51.2542</v>
      </c>
      <c r="O94" s="1">
        <v>10.1786</v>
      </c>
      <c r="P94" s="1">
        <v>22.3203</v>
      </c>
      <c r="Q94" s="1">
        <v>38.0116</v>
      </c>
      <c r="R94" s="1">
        <v>52.9118</v>
      </c>
      <c r="S94" s="1">
        <v>-4.1008</v>
      </c>
      <c r="T94" s="1">
        <v>-1.0897</v>
      </c>
      <c r="U94" s="1">
        <v>1.7358</v>
      </c>
      <c r="V94" s="1">
        <v>5.0</v>
      </c>
      <c r="W94" s="1">
        <v>10052.0</v>
      </c>
    </row>
    <row r="95">
      <c r="A95" s="1" t="s">
        <v>24</v>
      </c>
      <c r="B95" s="1" t="s">
        <v>1192</v>
      </c>
      <c r="C95" s="1" t="s">
        <v>53</v>
      </c>
      <c r="D95" s="1">
        <v>22.4542</v>
      </c>
      <c r="E95" s="1">
        <v>23.3304</v>
      </c>
      <c r="F95" s="1">
        <v>-0.8763</v>
      </c>
      <c r="G95" s="1">
        <v>1146.0</v>
      </c>
      <c r="H95" s="1">
        <v>22.6501</v>
      </c>
      <c r="I95" s="1">
        <v>23.534</v>
      </c>
      <c r="J95" s="1">
        <v>-0.8839</v>
      </c>
      <c r="K95" s="1">
        <v>8.6219</v>
      </c>
      <c r="L95" s="1">
        <v>18.1533</v>
      </c>
      <c r="M95" s="1">
        <v>30.3509</v>
      </c>
      <c r="N95" s="1">
        <v>44.6241</v>
      </c>
      <c r="O95" s="1">
        <v>8.5244</v>
      </c>
      <c r="P95" s="1">
        <v>19.4713</v>
      </c>
      <c r="Q95" s="1">
        <v>32.7823</v>
      </c>
      <c r="R95" s="1">
        <v>47.3192</v>
      </c>
      <c r="S95" s="1">
        <v>-4.0049</v>
      </c>
      <c r="T95" s="1">
        <v>-0.9782</v>
      </c>
      <c r="U95" s="1">
        <v>1.1341</v>
      </c>
      <c r="V95" s="1">
        <v>4.1328</v>
      </c>
      <c r="W95" s="1">
        <v>10052.0</v>
      </c>
    </row>
    <row r="96">
      <c r="A96" s="1" t="s">
        <v>24</v>
      </c>
      <c r="B96" s="1" t="s">
        <v>1192</v>
      </c>
      <c r="C96" s="1" t="s">
        <v>54</v>
      </c>
      <c r="D96" s="1">
        <v>11.5882</v>
      </c>
      <c r="E96" s="1">
        <v>13.199</v>
      </c>
      <c r="F96" s="1">
        <v>-1.6107</v>
      </c>
      <c r="G96" s="1">
        <v>1106.0</v>
      </c>
      <c r="H96" s="1">
        <v>12.1121</v>
      </c>
      <c r="I96" s="1">
        <v>13.7957</v>
      </c>
      <c r="J96" s="1">
        <v>-1.6835</v>
      </c>
      <c r="K96" s="1">
        <v>3.7833</v>
      </c>
      <c r="L96" s="1">
        <v>8.5473</v>
      </c>
      <c r="M96" s="1">
        <v>14.8353</v>
      </c>
      <c r="N96" s="1">
        <v>22.1958</v>
      </c>
      <c r="O96" s="1">
        <v>5.1359</v>
      </c>
      <c r="P96" s="1">
        <v>10.6131</v>
      </c>
      <c r="Q96" s="1">
        <v>17.8884</v>
      </c>
      <c r="R96" s="1">
        <v>25.4014</v>
      </c>
      <c r="S96" s="1">
        <v>-4.0985</v>
      </c>
      <c r="T96" s="1">
        <v>-1.3223</v>
      </c>
      <c r="U96" s="1">
        <v>0.0281</v>
      </c>
      <c r="V96" s="1">
        <v>1.9411</v>
      </c>
      <c r="W96" s="1">
        <v>10052.0</v>
      </c>
    </row>
    <row r="97">
      <c r="A97" s="1" t="s">
        <v>24</v>
      </c>
      <c r="B97" s="1" t="s">
        <v>1192</v>
      </c>
      <c r="C97" s="1" t="s">
        <v>47</v>
      </c>
      <c r="D97" s="1">
        <v>21.4403</v>
      </c>
      <c r="E97" s="1">
        <v>27.0692</v>
      </c>
      <c r="F97" s="1">
        <v>-5.6289</v>
      </c>
      <c r="G97" s="1">
        <v>1152.0</v>
      </c>
      <c r="H97" s="1">
        <v>21.5148</v>
      </c>
      <c r="I97" s="1">
        <v>27.1632</v>
      </c>
      <c r="J97" s="1">
        <v>-5.6484</v>
      </c>
      <c r="K97" s="1">
        <v>11.0561</v>
      </c>
      <c r="L97" s="1">
        <v>19.4287</v>
      </c>
      <c r="M97" s="1">
        <v>30.0796</v>
      </c>
      <c r="N97" s="1">
        <v>40.0667</v>
      </c>
      <c r="O97" s="1">
        <v>10.0037</v>
      </c>
      <c r="P97" s="1">
        <v>22.9869</v>
      </c>
      <c r="Q97" s="1">
        <v>38.7579</v>
      </c>
      <c r="R97" s="1">
        <v>53.8861</v>
      </c>
      <c r="S97" s="1">
        <v>-9.6071</v>
      </c>
      <c r="T97" s="1">
        <v>-4.2728</v>
      </c>
      <c r="U97" s="1">
        <v>0.8828</v>
      </c>
      <c r="V97" s="1">
        <v>5.7768</v>
      </c>
      <c r="W97" s="1">
        <v>10052.0</v>
      </c>
    </row>
    <row r="98">
      <c r="A98" s="1" t="s">
        <v>24</v>
      </c>
      <c r="B98" s="1" t="s">
        <v>1192</v>
      </c>
      <c r="C98" s="1" t="s">
        <v>48</v>
      </c>
      <c r="D98" s="1">
        <v>21.7388</v>
      </c>
      <c r="E98" s="1">
        <v>25.9576</v>
      </c>
      <c r="F98" s="1">
        <v>-4.2189</v>
      </c>
      <c r="G98" s="1">
        <v>1150.0</v>
      </c>
      <c r="H98" s="1">
        <v>21.8522</v>
      </c>
      <c r="I98" s="1">
        <v>26.093</v>
      </c>
      <c r="J98" s="1">
        <v>-4.2409</v>
      </c>
      <c r="K98" s="1">
        <v>10.8972</v>
      </c>
      <c r="L98" s="1">
        <v>21.0911</v>
      </c>
      <c r="M98" s="1">
        <v>30.4061</v>
      </c>
      <c r="N98" s="1">
        <v>38.8173</v>
      </c>
      <c r="O98" s="1">
        <v>9.3695</v>
      </c>
      <c r="P98" s="1">
        <v>22.9095</v>
      </c>
      <c r="Q98" s="1">
        <v>36.2581</v>
      </c>
      <c r="R98" s="1">
        <v>50.7663</v>
      </c>
      <c r="S98" s="1">
        <v>-7.6084</v>
      </c>
      <c r="T98" s="1">
        <v>-3.0594</v>
      </c>
      <c r="U98" s="1">
        <v>1.8365</v>
      </c>
      <c r="V98" s="1">
        <v>7.4833</v>
      </c>
      <c r="W98" s="1">
        <v>10052.0</v>
      </c>
    </row>
    <row r="99">
      <c r="A99" s="1" t="s">
        <v>24</v>
      </c>
      <c r="B99" s="1" t="s">
        <v>1192</v>
      </c>
      <c r="C99" s="1" t="s">
        <v>50</v>
      </c>
      <c r="D99" s="1">
        <v>16.0052</v>
      </c>
      <c r="E99" s="1">
        <v>18.5848</v>
      </c>
      <c r="F99" s="1">
        <v>-2.5796</v>
      </c>
      <c r="G99" s="1">
        <v>1143.0</v>
      </c>
      <c r="H99" s="1">
        <v>16.1872</v>
      </c>
      <c r="I99" s="1">
        <v>18.7962</v>
      </c>
      <c r="J99" s="1">
        <v>-2.6089</v>
      </c>
      <c r="K99" s="1">
        <v>6.8954</v>
      </c>
      <c r="L99" s="1">
        <v>13.8563</v>
      </c>
      <c r="M99" s="1">
        <v>23.1568</v>
      </c>
      <c r="N99" s="1">
        <v>31.6514</v>
      </c>
      <c r="O99" s="1">
        <v>5.5143</v>
      </c>
      <c r="P99" s="1">
        <v>15.1711</v>
      </c>
      <c r="Q99" s="1">
        <v>26.379</v>
      </c>
      <c r="R99" s="1">
        <v>39.4338</v>
      </c>
      <c r="S99" s="1">
        <v>-5.0102</v>
      </c>
      <c r="T99" s="1">
        <v>-1.7218</v>
      </c>
      <c r="U99" s="1">
        <v>1.1668</v>
      </c>
      <c r="V99" s="1">
        <v>5.0439</v>
      </c>
      <c r="W99" s="1">
        <v>10052.0</v>
      </c>
    </row>
    <row r="100">
      <c r="A100" s="1" t="s">
        <v>24</v>
      </c>
      <c r="B100" s="1" t="s">
        <v>1192</v>
      </c>
      <c r="C100" s="1" t="s">
        <v>1209</v>
      </c>
      <c r="D100" s="1">
        <v>21.3884</v>
      </c>
      <c r="E100" s="1">
        <v>29.6116</v>
      </c>
      <c r="F100" s="1">
        <v>-8.2232</v>
      </c>
      <c r="G100" s="1">
        <v>732.0</v>
      </c>
      <c r="H100" s="1">
        <v>33.7773</v>
      </c>
      <c r="I100" s="1">
        <v>46.7637</v>
      </c>
      <c r="J100" s="1">
        <v>-12.9863</v>
      </c>
      <c r="K100" s="1">
        <v>0.0</v>
      </c>
      <c r="L100" s="1">
        <v>10.0</v>
      </c>
      <c r="M100" s="1">
        <v>34.42</v>
      </c>
      <c r="N100" s="1">
        <v>62.2663</v>
      </c>
      <c r="O100" s="1">
        <v>0.0</v>
      </c>
      <c r="P100" s="1">
        <v>11.5122</v>
      </c>
      <c r="Q100" s="1">
        <v>32.1964</v>
      </c>
      <c r="R100" s="1">
        <v>70.7142</v>
      </c>
      <c r="S100" s="1">
        <v>-2.2168</v>
      </c>
      <c r="T100" s="1">
        <v>0.0</v>
      </c>
      <c r="U100" s="1">
        <v>5.8827</v>
      </c>
      <c r="V100" s="1">
        <v>17.9252</v>
      </c>
      <c r="W100" s="1">
        <v>10052.0</v>
      </c>
    </row>
    <row r="101">
      <c r="A101" s="1" t="s">
        <v>24</v>
      </c>
      <c r="B101" s="1" t="s">
        <v>1192</v>
      </c>
      <c r="C101" s="1" t="s">
        <v>1210</v>
      </c>
      <c r="D101" s="1">
        <v>60.5277</v>
      </c>
      <c r="E101" s="1">
        <v>50.8633</v>
      </c>
      <c r="F101" s="1">
        <v>9.6644</v>
      </c>
      <c r="G101" s="1">
        <v>1074.0</v>
      </c>
      <c r="H101" s="1">
        <v>65.149</v>
      </c>
      <c r="I101" s="1">
        <v>54.7467</v>
      </c>
      <c r="J101" s="1">
        <v>10.4022</v>
      </c>
      <c r="K101" s="1">
        <v>22.149</v>
      </c>
      <c r="L101" s="1">
        <v>42.2995</v>
      </c>
      <c r="M101" s="1">
        <v>94.0469</v>
      </c>
      <c r="N101" s="1">
        <v>137.2451</v>
      </c>
      <c r="O101" s="1">
        <v>13.5143</v>
      </c>
      <c r="P101" s="1">
        <v>31.1259</v>
      </c>
      <c r="Q101" s="1">
        <v>64.9412</v>
      </c>
      <c r="R101" s="1">
        <v>112.9714</v>
      </c>
      <c r="S101" s="1">
        <v>0.4603</v>
      </c>
      <c r="T101" s="1">
        <v>9.5514</v>
      </c>
      <c r="U101" s="1">
        <v>27.0432</v>
      </c>
      <c r="V101" s="1">
        <v>59.5429</v>
      </c>
      <c r="W101" s="1">
        <v>10052.0</v>
      </c>
    </row>
    <row r="102">
      <c r="A102" s="1" t="s">
        <v>24</v>
      </c>
      <c r="B102" s="1" t="s">
        <v>1192</v>
      </c>
      <c r="C102" s="1" t="s">
        <v>1211</v>
      </c>
      <c r="D102" s="1">
        <v>95.1471</v>
      </c>
      <c r="E102" s="1">
        <v>66.8036</v>
      </c>
      <c r="F102" s="1">
        <v>28.3434</v>
      </c>
      <c r="G102" s="1">
        <v>1125.0</v>
      </c>
      <c r="H102" s="1">
        <v>97.7689</v>
      </c>
      <c r="I102" s="1">
        <v>68.6444</v>
      </c>
      <c r="J102" s="1">
        <v>29.1244</v>
      </c>
      <c r="K102" s="1">
        <v>40.8477</v>
      </c>
      <c r="L102" s="1">
        <v>85.3098</v>
      </c>
      <c r="M102" s="1">
        <v>143.7652</v>
      </c>
      <c r="N102" s="1">
        <v>184.2355</v>
      </c>
      <c r="O102" s="1">
        <v>23.3361</v>
      </c>
      <c r="P102" s="1">
        <v>49.59</v>
      </c>
      <c r="Q102" s="1">
        <v>86.9914</v>
      </c>
      <c r="R102" s="1">
        <v>136.0285</v>
      </c>
      <c r="S102" s="1">
        <v>8.0714</v>
      </c>
      <c r="T102" s="1">
        <v>26.142</v>
      </c>
      <c r="U102" s="1">
        <v>56.543</v>
      </c>
      <c r="V102" s="1">
        <v>86.6915</v>
      </c>
      <c r="W102" s="1">
        <v>10052.0</v>
      </c>
    </row>
    <row r="103">
      <c r="A103" s="1" t="s">
        <v>24</v>
      </c>
      <c r="B103" s="1" t="s">
        <v>1192</v>
      </c>
      <c r="C103" s="1" t="s">
        <v>55</v>
      </c>
      <c r="D103" s="1">
        <v>2582.7491</v>
      </c>
      <c r="E103" s="1">
        <v>0.0</v>
      </c>
      <c r="F103" s="1">
        <v>2582.7491</v>
      </c>
      <c r="G103" s="1">
        <v>1155.0</v>
      </c>
      <c r="H103" s="1">
        <v>2584.9853</v>
      </c>
      <c r="I103" s="1">
        <v>0.0</v>
      </c>
      <c r="J103" s="1">
        <v>2584.9853</v>
      </c>
      <c r="K103" s="1">
        <v>963.7755</v>
      </c>
      <c r="L103" s="1">
        <v>2049.7913</v>
      </c>
      <c r="M103" s="1">
        <v>3684.3577</v>
      </c>
      <c r="N103" s="1">
        <v>5435.0645</v>
      </c>
      <c r="O103" s="1">
        <v>0.0</v>
      </c>
      <c r="P103" s="1">
        <v>0.0</v>
      </c>
      <c r="Q103" s="1">
        <v>0.0</v>
      </c>
      <c r="R103" s="1">
        <v>0.0</v>
      </c>
      <c r="S103" s="1">
        <v>963.7755</v>
      </c>
      <c r="T103" s="1">
        <v>2049.7913</v>
      </c>
      <c r="U103" s="1">
        <v>3684.3577</v>
      </c>
      <c r="V103" s="1">
        <v>5435.0645</v>
      </c>
      <c r="W103" s="1">
        <v>10052.0</v>
      </c>
    </row>
    <row r="104">
      <c r="A104" s="1" t="s">
        <v>24</v>
      </c>
      <c r="B104" s="1" t="s">
        <v>1192</v>
      </c>
      <c r="C104" s="1" t="s">
        <v>46</v>
      </c>
      <c r="D104" s="1">
        <v>3719.4559</v>
      </c>
      <c r="E104" s="1">
        <v>0.0</v>
      </c>
      <c r="F104" s="1">
        <v>3719.4559</v>
      </c>
      <c r="G104" s="1">
        <v>1149.0</v>
      </c>
      <c r="H104" s="1">
        <v>3742.1158</v>
      </c>
      <c r="I104" s="1">
        <v>0.0</v>
      </c>
      <c r="J104" s="1">
        <v>3742.1158</v>
      </c>
      <c r="K104" s="1">
        <v>1477.3248</v>
      </c>
      <c r="L104" s="1">
        <v>3152.2164</v>
      </c>
      <c r="M104" s="1">
        <v>4414.4132</v>
      </c>
      <c r="N104" s="1">
        <v>7560.6968</v>
      </c>
      <c r="O104" s="1">
        <v>0.0</v>
      </c>
      <c r="P104" s="1">
        <v>0.0</v>
      </c>
      <c r="Q104" s="1">
        <v>0.0</v>
      </c>
      <c r="R104" s="1">
        <v>0.0</v>
      </c>
      <c r="S104" s="1">
        <v>1477.3248</v>
      </c>
      <c r="T104" s="1">
        <v>3152.2164</v>
      </c>
      <c r="U104" s="1">
        <v>4414.4132</v>
      </c>
      <c r="V104" s="1">
        <v>7560.6968</v>
      </c>
      <c r="W104" s="1">
        <v>10052.0</v>
      </c>
    </row>
    <row r="105">
      <c r="A105" s="1" t="s">
        <v>24</v>
      </c>
      <c r="B105" s="1" t="s">
        <v>1192</v>
      </c>
      <c r="C105" s="1" t="s">
        <v>1213</v>
      </c>
      <c r="D105" s="1">
        <v>26.1721</v>
      </c>
      <c r="E105" s="1">
        <v>0.0</v>
      </c>
      <c r="F105" s="1">
        <v>26.1721</v>
      </c>
      <c r="G105" s="1">
        <v>905.0</v>
      </c>
      <c r="H105" s="1">
        <v>33.4309</v>
      </c>
      <c r="I105" s="1">
        <v>0.0</v>
      </c>
      <c r="J105" s="1">
        <v>33.4309</v>
      </c>
      <c r="K105" s="1">
        <v>10.0</v>
      </c>
      <c r="L105" s="1">
        <v>19.6392</v>
      </c>
      <c r="M105" s="1">
        <v>40.0</v>
      </c>
      <c r="N105" s="1">
        <v>60.0</v>
      </c>
      <c r="O105" s="1">
        <v>0.0</v>
      </c>
      <c r="P105" s="1">
        <v>0.0</v>
      </c>
      <c r="Q105" s="1">
        <v>0.0</v>
      </c>
      <c r="R105" s="1">
        <v>0.0</v>
      </c>
      <c r="S105" s="1">
        <v>10.0</v>
      </c>
      <c r="T105" s="1">
        <v>19.6392</v>
      </c>
      <c r="U105" s="1">
        <v>40.0</v>
      </c>
      <c r="V105" s="1">
        <v>60.0</v>
      </c>
      <c r="W105" s="1">
        <v>10052.0</v>
      </c>
    </row>
    <row r="106">
      <c r="A106" s="1" t="s">
        <v>26</v>
      </c>
      <c r="B106" s="1" t="s">
        <v>180</v>
      </c>
      <c r="C106" s="1" t="s">
        <v>1205</v>
      </c>
      <c r="D106" s="1">
        <v>2267.2461</v>
      </c>
      <c r="E106" s="1">
        <v>2147.0588</v>
      </c>
      <c r="F106" s="1">
        <v>120.1872</v>
      </c>
      <c r="G106" s="1">
        <v>1207.0</v>
      </c>
      <c r="H106" s="1">
        <v>2267.2461</v>
      </c>
      <c r="I106" s="1">
        <v>2147.0588</v>
      </c>
      <c r="J106" s="1">
        <v>120.1872</v>
      </c>
      <c r="K106" s="1">
        <v>738.8751</v>
      </c>
      <c r="L106" s="1">
        <v>1222.7452</v>
      </c>
      <c r="M106" s="1">
        <v>2265.3313</v>
      </c>
      <c r="N106" s="1">
        <v>6277.9239</v>
      </c>
      <c r="O106" s="1">
        <v>674.2982</v>
      </c>
      <c r="P106" s="1">
        <v>1202.523</v>
      </c>
      <c r="Q106" s="1">
        <v>2121.8077</v>
      </c>
      <c r="R106" s="1">
        <v>5598.3077</v>
      </c>
      <c r="S106" s="1">
        <v>-129.315</v>
      </c>
      <c r="T106" s="1">
        <v>-35.8237</v>
      </c>
      <c r="U106" s="1">
        <v>232.2165</v>
      </c>
      <c r="V106" s="1">
        <v>647.0088</v>
      </c>
      <c r="W106" s="1">
        <v>6294.0</v>
      </c>
    </row>
    <row r="107">
      <c r="A107" s="1" t="s">
        <v>26</v>
      </c>
      <c r="B107" s="1" t="s">
        <v>180</v>
      </c>
      <c r="C107" s="1" t="s">
        <v>52</v>
      </c>
      <c r="D107" s="1">
        <v>30.6363</v>
      </c>
      <c r="E107" s="1">
        <v>22.9064</v>
      </c>
      <c r="F107" s="1">
        <v>7.7299</v>
      </c>
      <c r="G107" s="1">
        <v>1207.0</v>
      </c>
      <c r="H107" s="1">
        <v>30.6363</v>
      </c>
      <c r="I107" s="1">
        <v>22.9064</v>
      </c>
      <c r="J107" s="1">
        <v>7.7299</v>
      </c>
      <c r="K107" s="1">
        <v>8.9437</v>
      </c>
      <c r="L107" s="1">
        <v>14.7429</v>
      </c>
      <c r="M107" s="1">
        <v>24.1655</v>
      </c>
      <c r="N107" s="1">
        <v>58.875</v>
      </c>
      <c r="O107" s="1">
        <v>7.319</v>
      </c>
      <c r="P107" s="1">
        <v>15.0772</v>
      </c>
      <c r="Q107" s="1">
        <v>25.4679</v>
      </c>
      <c r="R107" s="1">
        <v>56.2079</v>
      </c>
      <c r="S107" s="1">
        <v>-3.2208</v>
      </c>
      <c r="T107" s="1">
        <v>-0.3337</v>
      </c>
      <c r="U107" s="1">
        <v>4.6942</v>
      </c>
      <c r="V107" s="1">
        <v>11.365</v>
      </c>
      <c r="W107" s="1">
        <v>6294.0</v>
      </c>
    </row>
    <row r="108">
      <c r="A108" s="1" t="s">
        <v>26</v>
      </c>
      <c r="B108" s="1" t="s">
        <v>180</v>
      </c>
      <c r="C108" s="1" t="s">
        <v>53</v>
      </c>
      <c r="D108" s="1">
        <v>29.2187</v>
      </c>
      <c r="E108" s="1">
        <v>25.6537</v>
      </c>
      <c r="F108" s="1">
        <v>3.565</v>
      </c>
      <c r="G108" s="1">
        <v>1207.0</v>
      </c>
      <c r="H108" s="1">
        <v>29.2187</v>
      </c>
      <c r="I108" s="1">
        <v>25.6537</v>
      </c>
      <c r="J108" s="1">
        <v>3.565</v>
      </c>
      <c r="K108" s="1">
        <v>7.6249</v>
      </c>
      <c r="L108" s="1">
        <v>12.9836</v>
      </c>
      <c r="M108" s="1">
        <v>22.624</v>
      </c>
      <c r="N108" s="1">
        <v>58.3227</v>
      </c>
      <c r="O108" s="1">
        <v>6.1423</v>
      </c>
      <c r="P108" s="1">
        <v>13.0461</v>
      </c>
      <c r="Q108" s="1">
        <v>23.267</v>
      </c>
      <c r="R108" s="1">
        <v>55.072</v>
      </c>
      <c r="S108" s="1">
        <v>-3.0</v>
      </c>
      <c r="T108" s="1">
        <v>-0.1481</v>
      </c>
      <c r="U108" s="1">
        <v>4.6085</v>
      </c>
      <c r="V108" s="1">
        <v>10.8972</v>
      </c>
      <c r="W108" s="1">
        <v>6294.0</v>
      </c>
    </row>
    <row r="109">
      <c r="A109" s="1" t="s">
        <v>26</v>
      </c>
      <c r="B109" s="1" t="s">
        <v>180</v>
      </c>
      <c r="C109" s="1" t="s">
        <v>54</v>
      </c>
      <c r="D109" s="1">
        <v>17.8368</v>
      </c>
      <c r="E109" s="1">
        <v>19.6313</v>
      </c>
      <c r="F109" s="1">
        <v>-1.7945</v>
      </c>
      <c r="G109" s="1">
        <v>1198.0</v>
      </c>
      <c r="H109" s="1">
        <v>17.9708</v>
      </c>
      <c r="I109" s="1">
        <v>19.7788</v>
      </c>
      <c r="J109" s="1">
        <v>-1.808</v>
      </c>
      <c r="K109" s="1">
        <v>3.0</v>
      </c>
      <c r="L109" s="1">
        <v>4.8903</v>
      </c>
      <c r="M109" s="1">
        <v>9.7335</v>
      </c>
      <c r="N109" s="1">
        <v>29.47</v>
      </c>
      <c r="O109" s="1">
        <v>4.6025</v>
      </c>
      <c r="P109" s="1">
        <v>7.6481</v>
      </c>
      <c r="Q109" s="1">
        <v>12.4671</v>
      </c>
      <c r="R109" s="1">
        <v>28.3979</v>
      </c>
      <c r="S109" s="1">
        <v>-4.0</v>
      </c>
      <c r="T109" s="1">
        <v>-2.6151</v>
      </c>
      <c r="U109" s="1">
        <v>0.1321</v>
      </c>
      <c r="V109" s="1">
        <v>3.2197</v>
      </c>
      <c r="W109" s="1">
        <v>6294.0</v>
      </c>
    </row>
    <row r="110">
      <c r="A110" s="1" t="s">
        <v>26</v>
      </c>
      <c r="B110" s="1" t="s">
        <v>180</v>
      </c>
      <c r="C110" s="1" t="s">
        <v>47</v>
      </c>
      <c r="D110" s="1">
        <v>19.7755</v>
      </c>
      <c r="E110" s="1">
        <v>18.6495</v>
      </c>
      <c r="F110" s="1">
        <v>1.1259</v>
      </c>
      <c r="G110" s="1">
        <v>1200.0</v>
      </c>
      <c r="H110" s="1">
        <v>19.8908</v>
      </c>
      <c r="I110" s="1">
        <v>18.7583</v>
      </c>
      <c r="J110" s="1">
        <v>1.1325</v>
      </c>
      <c r="K110" s="1">
        <v>9.2814</v>
      </c>
      <c r="L110" s="1">
        <v>14.8923</v>
      </c>
      <c r="M110" s="1">
        <v>22.4946</v>
      </c>
      <c r="N110" s="1">
        <v>45.9226</v>
      </c>
      <c r="O110" s="1">
        <v>4.4803</v>
      </c>
      <c r="P110" s="1">
        <v>12.2607</v>
      </c>
      <c r="Q110" s="1">
        <v>22.8895</v>
      </c>
      <c r="R110" s="1">
        <v>41.7745</v>
      </c>
      <c r="S110" s="1">
        <v>-4.2579</v>
      </c>
      <c r="T110" s="1">
        <v>1.1038</v>
      </c>
      <c r="U110" s="1">
        <v>6.3523</v>
      </c>
      <c r="V110" s="1">
        <v>11.2221</v>
      </c>
      <c r="W110" s="1">
        <v>6294.0</v>
      </c>
    </row>
    <row r="111">
      <c r="A111" s="1" t="s">
        <v>26</v>
      </c>
      <c r="B111" s="1" t="s">
        <v>180</v>
      </c>
      <c r="C111" s="1" t="s">
        <v>48</v>
      </c>
      <c r="D111" s="1">
        <v>21.71</v>
      </c>
      <c r="E111" s="1">
        <v>18.7688</v>
      </c>
      <c r="F111" s="1">
        <v>2.9412</v>
      </c>
      <c r="G111" s="1">
        <v>1200.0</v>
      </c>
      <c r="H111" s="1">
        <v>21.8367</v>
      </c>
      <c r="I111" s="1">
        <v>18.8783</v>
      </c>
      <c r="J111" s="1">
        <v>2.9583</v>
      </c>
      <c r="K111" s="1">
        <v>11.201</v>
      </c>
      <c r="L111" s="1">
        <v>17.2356</v>
      </c>
      <c r="M111" s="1">
        <v>24.7453</v>
      </c>
      <c r="N111" s="1">
        <v>46.824</v>
      </c>
      <c r="O111" s="1">
        <v>3.9527</v>
      </c>
      <c r="P111" s="1">
        <v>12.8367</v>
      </c>
      <c r="Q111" s="1">
        <v>24.3662</v>
      </c>
      <c r="R111" s="1">
        <v>42.6738</v>
      </c>
      <c r="S111" s="1">
        <v>-3.2451</v>
      </c>
      <c r="T111" s="1">
        <v>2.8831</v>
      </c>
      <c r="U111" s="1">
        <v>9.2991</v>
      </c>
      <c r="V111" s="1">
        <v>14.5721</v>
      </c>
      <c r="W111" s="1">
        <v>6294.0</v>
      </c>
    </row>
    <row r="112">
      <c r="A112" s="1" t="s">
        <v>26</v>
      </c>
      <c r="B112" s="1" t="s">
        <v>180</v>
      </c>
      <c r="C112" s="1" t="s">
        <v>50</v>
      </c>
      <c r="D112" s="1">
        <v>16.6686</v>
      </c>
      <c r="E112" s="1">
        <v>13.6843</v>
      </c>
      <c r="F112" s="1">
        <v>2.9843</v>
      </c>
      <c r="G112" s="1">
        <v>1199.0</v>
      </c>
      <c r="H112" s="1">
        <v>16.7798</v>
      </c>
      <c r="I112" s="1">
        <v>13.7756</v>
      </c>
      <c r="J112" s="1">
        <v>3.0042</v>
      </c>
      <c r="K112" s="1">
        <v>6.4556</v>
      </c>
      <c r="L112" s="1">
        <v>10.6119</v>
      </c>
      <c r="M112" s="1">
        <v>16.846</v>
      </c>
      <c r="N112" s="1">
        <v>42.4236</v>
      </c>
      <c r="O112" s="1">
        <v>2.1199</v>
      </c>
      <c r="P112" s="1">
        <v>8.5528</v>
      </c>
      <c r="Q112" s="1">
        <v>15.6239</v>
      </c>
      <c r="R112" s="1">
        <v>31.0923</v>
      </c>
      <c r="S112" s="1">
        <v>-2.6329</v>
      </c>
      <c r="T112" s="1">
        <v>1.721</v>
      </c>
      <c r="U112" s="1">
        <v>6.2366</v>
      </c>
      <c r="V112" s="1">
        <v>10.5958</v>
      </c>
      <c r="W112" s="1">
        <v>6294.0</v>
      </c>
    </row>
    <row r="113">
      <c r="A113" s="1" t="s">
        <v>26</v>
      </c>
      <c r="B113" s="1" t="s">
        <v>180</v>
      </c>
      <c r="C113" s="1" t="s">
        <v>1209</v>
      </c>
      <c r="D113" s="1">
        <v>14.0099</v>
      </c>
      <c r="E113" s="1">
        <v>10.6678</v>
      </c>
      <c r="F113" s="1">
        <v>3.3422</v>
      </c>
      <c r="G113" s="1">
        <v>555.0</v>
      </c>
      <c r="H113" s="1">
        <v>30.4685</v>
      </c>
      <c r="I113" s="1">
        <v>23.2</v>
      </c>
      <c r="J113" s="1">
        <v>7.2685</v>
      </c>
      <c r="K113" s="1">
        <v>0.0</v>
      </c>
      <c r="L113" s="1">
        <v>0.2126</v>
      </c>
      <c r="M113" s="1">
        <v>21.6722</v>
      </c>
      <c r="N113" s="1">
        <v>48.0201</v>
      </c>
      <c r="O113" s="1">
        <v>0.0</v>
      </c>
      <c r="P113" s="1">
        <v>0.0141</v>
      </c>
      <c r="Q113" s="1">
        <v>14.5135</v>
      </c>
      <c r="R113" s="1">
        <v>34.4377</v>
      </c>
      <c r="S113" s="1">
        <v>0.0</v>
      </c>
      <c r="T113" s="1">
        <v>0.0</v>
      </c>
      <c r="U113" s="1">
        <v>3.5992</v>
      </c>
      <c r="V113" s="1">
        <v>12.2845</v>
      </c>
      <c r="W113" s="1">
        <v>6294.0</v>
      </c>
    </row>
    <row r="114">
      <c r="A114" s="1" t="s">
        <v>26</v>
      </c>
      <c r="B114" s="1" t="s">
        <v>180</v>
      </c>
      <c r="C114" s="1" t="s">
        <v>1210</v>
      </c>
      <c r="D114" s="1">
        <v>44.1715</v>
      </c>
      <c r="E114" s="1">
        <v>29.8583</v>
      </c>
      <c r="F114" s="1">
        <v>14.3132</v>
      </c>
      <c r="G114" s="1">
        <v>1059.0</v>
      </c>
      <c r="H114" s="1">
        <v>50.3447</v>
      </c>
      <c r="I114" s="1">
        <v>34.0312</v>
      </c>
      <c r="J114" s="1">
        <v>16.3135</v>
      </c>
      <c r="K114" s="1">
        <v>15.0</v>
      </c>
      <c r="L114" s="1">
        <v>27.9602</v>
      </c>
      <c r="M114" s="1">
        <v>46.5556</v>
      </c>
      <c r="N114" s="1">
        <v>114.9202</v>
      </c>
      <c r="O114" s="1">
        <v>10.812</v>
      </c>
      <c r="P114" s="1">
        <v>20.8326</v>
      </c>
      <c r="Q114" s="1">
        <v>36.3759</v>
      </c>
      <c r="R114" s="1">
        <v>70.8758</v>
      </c>
      <c r="S114" s="1">
        <v>0.6976</v>
      </c>
      <c r="T114" s="1">
        <v>6.5684</v>
      </c>
      <c r="U114" s="1">
        <v>16.8869</v>
      </c>
      <c r="V114" s="1">
        <v>42.2068</v>
      </c>
      <c r="W114" s="1">
        <v>6294.0</v>
      </c>
    </row>
    <row r="115">
      <c r="A115" s="1" t="s">
        <v>26</v>
      </c>
      <c r="B115" s="1" t="s">
        <v>180</v>
      </c>
      <c r="C115" s="1" t="s">
        <v>1211</v>
      </c>
      <c r="D115" s="1">
        <v>67.3115</v>
      </c>
      <c r="E115" s="1">
        <v>41.3405</v>
      </c>
      <c r="F115" s="1">
        <v>25.971</v>
      </c>
      <c r="G115" s="1">
        <v>1133.0</v>
      </c>
      <c r="H115" s="1">
        <v>71.7079</v>
      </c>
      <c r="I115" s="1">
        <v>44.0406</v>
      </c>
      <c r="J115" s="1">
        <v>27.6673</v>
      </c>
      <c r="K115" s="1">
        <v>30.2347</v>
      </c>
      <c r="L115" s="1">
        <v>51.9167</v>
      </c>
      <c r="M115" s="1">
        <v>83.3559</v>
      </c>
      <c r="N115" s="1">
        <v>160.8353</v>
      </c>
      <c r="O115" s="1">
        <v>17.2634</v>
      </c>
      <c r="P115" s="1">
        <v>33.014</v>
      </c>
      <c r="Q115" s="1">
        <v>55.2354</v>
      </c>
      <c r="R115" s="1">
        <v>88.1616</v>
      </c>
      <c r="S115" s="1">
        <v>5.5913</v>
      </c>
      <c r="T115" s="1">
        <v>16.7767</v>
      </c>
      <c r="U115" s="1">
        <v>34.3125</v>
      </c>
      <c r="V115" s="1">
        <v>67.8166</v>
      </c>
      <c r="W115" s="1">
        <v>6294.0</v>
      </c>
    </row>
    <row r="116">
      <c r="A116" s="1" t="s">
        <v>26</v>
      </c>
      <c r="B116" s="1" t="s">
        <v>180</v>
      </c>
      <c r="C116" s="1" t="s">
        <v>55</v>
      </c>
      <c r="D116" s="1">
        <v>2621.3546</v>
      </c>
      <c r="E116" s="1">
        <v>0.0671</v>
      </c>
      <c r="F116" s="1">
        <v>2621.2875</v>
      </c>
      <c r="G116" s="1">
        <v>1199.0</v>
      </c>
      <c r="H116" s="1">
        <v>2638.8449</v>
      </c>
      <c r="I116" s="1">
        <v>0.0676</v>
      </c>
      <c r="J116" s="1">
        <v>2638.7773</v>
      </c>
      <c r="K116" s="1">
        <v>877.6531</v>
      </c>
      <c r="L116" s="1">
        <v>1474.8127</v>
      </c>
      <c r="M116" s="1">
        <v>2714.0027</v>
      </c>
      <c r="N116" s="1">
        <v>7419.8887</v>
      </c>
      <c r="O116" s="1">
        <v>0.0</v>
      </c>
      <c r="P116" s="1">
        <v>0.0</v>
      </c>
      <c r="Q116" s="1">
        <v>0.0</v>
      </c>
      <c r="R116" s="1">
        <v>0.0</v>
      </c>
      <c r="S116" s="1">
        <v>877.6531</v>
      </c>
      <c r="T116" s="1">
        <v>1474.8127</v>
      </c>
      <c r="U116" s="1">
        <v>2714.0027</v>
      </c>
      <c r="V116" s="1">
        <v>7419.8887</v>
      </c>
      <c r="W116" s="1">
        <v>6294.0</v>
      </c>
    </row>
    <row r="117">
      <c r="A117" s="1" t="s">
        <v>26</v>
      </c>
      <c r="B117" s="1" t="s">
        <v>180</v>
      </c>
      <c r="C117" s="1" t="s">
        <v>46</v>
      </c>
      <c r="D117" s="1">
        <v>4568.7042</v>
      </c>
      <c r="E117" s="1">
        <v>0.0</v>
      </c>
      <c r="F117" s="1">
        <v>4568.7042</v>
      </c>
      <c r="G117" s="1">
        <v>1187.0</v>
      </c>
      <c r="H117" s="1">
        <v>4645.6832</v>
      </c>
      <c r="I117" s="1">
        <v>0.0</v>
      </c>
      <c r="J117" s="1">
        <v>4645.6832</v>
      </c>
      <c r="K117" s="1">
        <v>1476.0306</v>
      </c>
      <c r="L117" s="1">
        <v>2918.9243</v>
      </c>
      <c r="M117" s="1">
        <v>4601.513</v>
      </c>
      <c r="N117" s="1">
        <v>8910.4714</v>
      </c>
      <c r="O117" s="1">
        <v>0.0</v>
      </c>
      <c r="P117" s="1">
        <v>0.0</v>
      </c>
      <c r="Q117" s="1">
        <v>0.0</v>
      </c>
      <c r="R117" s="1">
        <v>0.0</v>
      </c>
      <c r="S117" s="1">
        <v>1476.0306</v>
      </c>
      <c r="T117" s="1">
        <v>2918.9243</v>
      </c>
      <c r="U117" s="1">
        <v>4601.513</v>
      </c>
      <c r="V117" s="1">
        <v>8910.4714</v>
      </c>
      <c r="W117" s="1">
        <v>6294.0</v>
      </c>
    </row>
    <row r="118">
      <c r="A118" s="1" t="s">
        <v>26</v>
      </c>
      <c r="B118" s="1" t="s">
        <v>180</v>
      </c>
      <c r="C118" s="1" t="s">
        <v>1213</v>
      </c>
      <c r="D118" s="1">
        <v>20.9114</v>
      </c>
      <c r="E118" s="1">
        <v>0.0</v>
      </c>
      <c r="F118" s="1">
        <v>20.9114</v>
      </c>
      <c r="G118" s="1">
        <v>723.0</v>
      </c>
      <c r="H118" s="1">
        <v>34.9101</v>
      </c>
      <c r="I118" s="1">
        <v>0.0</v>
      </c>
      <c r="J118" s="1">
        <v>34.9101</v>
      </c>
      <c r="K118" s="1">
        <v>0.0</v>
      </c>
      <c r="L118" s="1">
        <v>10.0</v>
      </c>
      <c r="M118" s="1">
        <v>30.0</v>
      </c>
      <c r="N118" s="1">
        <v>60.0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10.0</v>
      </c>
      <c r="U118" s="1">
        <v>30.0</v>
      </c>
      <c r="V118" s="1">
        <v>60.0</v>
      </c>
      <c r="W118" s="1">
        <v>6294.0</v>
      </c>
    </row>
    <row r="119">
      <c r="A119" s="1" t="s">
        <v>26</v>
      </c>
      <c r="B119" s="1" t="s">
        <v>1192</v>
      </c>
      <c r="C119" s="1" t="s">
        <v>1205</v>
      </c>
      <c r="D119" s="1">
        <v>4251.3921</v>
      </c>
      <c r="E119" s="1">
        <v>4276.4851</v>
      </c>
      <c r="F119" s="1">
        <v>-25.0931</v>
      </c>
      <c r="G119" s="1">
        <v>202.0</v>
      </c>
      <c r="H119" s="1">
        <v>4251.3921</v>
      </c>
      <c r="I119" s="1">
        <v>4276.4851</v>
      </c>
      <c r="J119" s="1">
        <v>-25.0931</v>
      </c>
      <c r="K119" s="1">
        <v>1595.0238</v>
      </c>
      <c r="L119" s="1">
        <v>2657.5903</v>
      </c>
      <c r="M119" s="1">
        <v>4975.25</v>
      </c>
      <c r="N119" s="1">
        <v>9855.9</v>
      </c>
      <c r="O119" s="1">
        <v>1685.7143</v>
      </c>
      <c r="P119" s="1">
        <v>2692.5</v>
      </c>
      <c r="Q119" s="1">
        <v>5117.1875</v>
      </c>
      <c r="R119" s="1">
        <v>9795.0</v>
      </c>
      <c r="S119" s="1">
        <v>-151.2143</v>
      </c>
      <c r="T119" s="1">
        <v>-51.1167</v>
      </c>
      <c r="U119" s="1">
        <v>73.7619</v>
      </c>
      <c r="V119" s="1">
        <v>333.6</v>
      </c>
      <c r="W119" s="1">
        <v>1451.0</v>
      </c>
    </row>
    <row r="120">
      <c r="A120" s="1" t="s">
        <v>26</v>
      </c>
      <c r="B120" s="1" t="s">
        <v>1192</v>
      </c>
      <c r="C120" s="1" t="s">
        <v>52</v>
      </c>
      <c r="D120" s="1">
        <v>36.6287</v>
      </c>
      <c r="E120" s="1">
        <v>32.9604</v>
      </c>
      <c r="F120" s="1">
        <v>3.6683</v>
      </c>
      <c r="G120" s="1">
        <v>202.0</v>
      </c>
      <c r="H120" s="1">
        <v>36.6287</v>
      </c>
      <c r="I120" s="1">
        <v>32.9604</v>
      </c>
      <c r="J120" s="1">
        <v>3.6683</v>
      </c>
      <c r="K120" s="1">
        <v>13.7778</v>
      </c>
      <c r="L120" s="1">
        <v>22.2333</v>
      </c>
      <c r="M120" s="1">
        <v>37.3333</v>
      </c>
      <c r="N120" s="1">
        <v>77.45</v>
      </c>
      <c r="O120" s="1">
        <v>16.4762</v>
      </c>
      <c r="P120" s="1">
        <v>25.8333</v>
      </c>
      <c r="Q120" s="1">
        <v>43.0</v>
      </c>
      <c r="R120" s="1">
        <v>69.8</v>
      </c>
      <c r="S120" s="1">
        <v>-5.0</v>
      </c>
      <c r="T120" s="1">
        <v>-2.6111</v>
      </c>
      <c r="U120" s="1">
        <v>0.625</v>
      </c>
      <c r="V120" s="1">
        <v>8.0</v>
      </c>
      <c r="W120" s="1">
        <v>1451.0</v>
      </c>
    </row>
    <row r="121">
      <c r="A121" s="1" t="s">
        <v>26</v>
      </c>
      <c r="B121" s="1" t="s">
        <v>1192</v>
      </c>
      <c r="C121" s="1" t="s">
        <v>53</v>
      </c>
      <c r="D121" s="1">
        <v>35.0347</v>
      </c>
      <c r="E121" s="1">
        <v>30.9455</v>
      </c>
      <c r="F121" s="1">
        <v>4.0891</v>
      </c>
      <c r="G121" s="1">
        <v>202.0</v>
      </c>
      <c r="H121" s="1">
        <v>35.0347</v>
      </c>
      <c r="I121" s="1">
        <v>30.9455</v>
      </c>
      <c r="J121" s="1">
        <v>4.0891</v>
      </c>
      <c r="K121" s="1">
        <v>12.4688</v>
      </c>
      <c r="L121" s="1">
        <v>21.1889</v>
      </c>
      <c r="M121" s="1">
        <v>35.0</v>
      </c>
      <c r="N121" s="1">
        <v>74.05</v>
      </c>
      <c r="O121" s="1">
        <v>14.7857</v>
      </c>
      <c r="P121" s="1">
        <v>23.1111</v>
      </c>
      <c r="Q121" s="1">
        <v>38.0238</v>
      </c>
      <c r="R121" s="1">
        <v>67.7</v>
      </c>
      <c r="S121" s="1">
        <v>-4.7857</v>
      </c>
      <c r="T121" s="1">
        <v>-2.3333</v>
      </c>
      <c r="U121" s="1">
        <v>1.0</v>
      </c>
      <c r="V121" s="1">
        <v>9.75</v>
      </c>
      <c r="W121" s="1">
        <v>1451.0</v>
      </c>
    </row>
    <row r="122">
      <c r="A122" s="1" t="s">
        <v>26</v>
      </c>
      <c r="B122" s="1" t="s">
        <v>1192</v>
      </c>
      <c r="C122" s="1" t="s">
        <v>54</v>
      </c>
      <c r="D122" s="1">
        <v>20.9406</v>
      </c>
      <c r="E122" s="1">
        <v>17.9901</v>
      </c>
      <c r="F122" s="1">
        <v>2.9505</v>
      </c>
      <c r="G122" s="1">
        <v>199.0</v>
      </c>
      <c r="H122" s="1">
        <v>21.2563</v>
      </c>
      <c r="I122" s="1">
        <v>18.2613</v>
      </c>
      <c r="J122" s="1">
        <v>2.995</v>
      </c>
      <c r="K122" s="1">
        <v>5.0</v>
      </c>
      <c r="L122" s="1">
        <v>9.3333</v>
      </c>
      <c r="M122" s="1">
        <v>17.5313</v>
      </c>
      <c r="N122" s="1">
        <v>39.85</v>
      </c>
      <c r="O122" s="1">
        <v>8.0938</v>
      </c>
      <c r="P122" s="1">
        <v>13.0</v>
      </c>
      <c r="Q122" s="1">
        <v>21.3125</v>
      </c>
      <c r="R122" s="1">
        <v>39.25</v>
      </c>
      <c r="S122" s="1">
        <v>-5.0</v>
      </c>
      <c r="T122" s="1">
        <v>-3.25</v>
      </c>
      <c r="U122" s="1">
        <v>0.0</v>
      </c>
      <c r="V122" s="1">
        <v>2.45</v>
      </c>
      <c r="W122" s="1">
        <v>1451.0</v>
      </c>
    </row>
    <row r="123">
      <c r="A123" s="1" t="s">
        <v>26</v>
      </c>
      <c r="B123" s="1" t="s">
        <v>1192</v>
      </c>
      <c r="C123" s="1" t="s">
        <v>47</v>
      </c>
      <c r="D123" s="1">
        <v>25.896</v>
      </c>
      <c r="E123" s="1">
        <v>33.5347</v>
      </c>
      <c r="F123" s="1">
        <v>-7.6386</v>
      </c>
      <c r="G123" s="1">
        <v>202.0</v>
      </c>
      <c r="H123" s="1">
        <v>25.896</v>
      </c>
      <c r="I123" s="1">
        <v>33.5347</v>
      </c>
      <c r="J123" s="1">
        <v>-7.6386</v>
      </c>
      <c r="K123" s="1">
        <v>14.0</v>
      </c>
      <c r="L123" s="1">
        <v>21.8333</v>
      </c>
      <c r="M123" s="1">
        <v>31.3333</v>
      </c>
      <c r="N123" s="1">
        <v>50.9</v>
      </c>
      <c r="O123" s="1">
        <v>17.4762</v>
      </c>
      <c r="P123" s="1">
        <v>27.3889</v>
      </c>
      <c r="Q123" s="1">
        <v>43.3125</v>
      </c>
      <c r="R123" s="1">
        <v>68.9</v>
      </c>
      <c r="S123" s="1">
        <v>-9.6429</v>
      </c>
      <c r="T123" s="1">
        <v>-6.0</v>
      </c>
      <c r="U123" s="1">
        <v>-1.3333</v>
      </c>
      <c r="V123" s="1">
        <v>5.4</v>
      </c>
      <c r="W123" s="1">
        <v>1451.0</v>
      </c>
    </row>
    <row r="124">
      <c r="A124" s="1" t="s">
        <v>26</v>
      </c>
      <c r="B124" s="1" t="s">
        <v>1192</v>
      </c>
      <c r="C124" s="1" t="s">
        <v>48</v>
      </c>
      <c r="D124" s="1">
        <v>27.1584</v>
      </c>
      <c r="E124" s="1">
        <v>33.5248</v>
      </c>
      <c r="F124" s="1">
        <v>-6.3663</v>
      </c>
      <c r="G124" s="1">
        <v>202.0</v>
      </c>
      <c r="H124" s="1">
        <v>27.1584</v>
      </c>
      <c r="I124" s="1">
        <v>33.5248</v>
      </c>
      <c r="J124" s="1">
        <v>-6.3663</v>
      </c>
      <c r="K124" s="1">
        <v>16.1563</v>
      </c>
      <c r="L124" s="1">
        <v>23.1389</v>
      </c>
      <c r="M124" s="1">
        <v>34.2222</v>
      </c>
      <c r="N124" s="1">
        <v>50.45</v>
      </c>
      <c r="O124" s="1">
        <v>17.6667</v>
      </c>
      <c r="P124" s="1">
        <v>27.5</v>
      </c>
      <c r="Q124" s="1">
        <v>43.6429</v>
      </c>
      <c r="R124" s="1">
        <v>65.45</v>
      </c>
      <c r="S124" s="1">
        <v>-8.3125</v>
      </c>
      <c r="T124" s="1">
        <v>-4.6667</v>
      </c>
      <c r="U124" s="1">
        <v>-1.0</v>
      </c>
      <c r="V124" s="1">
        <v>6.9</v>
      </c>
      <c r="W124" s="1">
        <v>1451.0</v>
      </c>
    </row>
    <row r="125">
      <c r="A125" s="1" t="s">
        <v>26</v>
      </c>
      <c r="B125" s="1" t="s">
        <v>1192</v>
      </c>
      <c r="C125" s="1" t="s">
        <v>50</v>
      </c>
      <c r="D125" s="1">
        <v>22.3614</v>
      </c>
      <c r="E125" s="1">
        <v>26.3465</v>
      </c>
      <c r="F125" s="1">
        <v>-3.9851</v>
      </c>
      <c r="G125" s="1">
        <v>202.0</v>
      </c>
      <c r="H125" s="1">
        <v>22.3614</v>
      </c>
      <c r="I125" s="1">
        <v>26.3465</v>
      </c>
      <c r="J125" s="1">
        <v>-3.9851</v>
      </c>
      <c r="K125" s="1">
        <v>10.1429</v>
      </c>
      <c r="L125" s="1">
        <v>16.5</v>
      </c>
      <c r="M125" s="1">
        <v>27.6667</v>
      </c>
      <c r="N125" s="1">
        <v>51.2</v>
      </c>
      <c r="O125" s="1">
        <v>11.7857</v>
      </c>
      <c r="P125" s="1">
        <v>18.6278</v>
      </c>
      <c r="Q125" s="1">
        <v>34.8571</v>
      </c>
      <c r="R125" s="1">
        <v>62.35</v>
      </c>
      <c r="S125" s="1">
        <v>-6.0</v>
      </c>
      <c r="T125" s="1">
        <v>-3.0</v>
      </c>
      <c r="U125" s="1">
        <v>0.0833</v>
      </c>
      <c r="V125" s="1">
        <v>5.45</v>
      </c>
      <c r="W125" s="1">
        <v>1451.0</v>
      </c>
    </row>
    <row r="126">
      <c r="A126" s="1" t="s">
        <v>26</v>
      </c>
      <c r="B126" s="1" t="s">
        <v>1192</v>
      </c>
      <c r="C126" s="1" t="s">
        <v>1209</v>
      </c>
      <c r="D126" s="1">
        <v>27.6485</v>
      </c>
      <c r="E126" s="1">
        <v>36.5</v>
      </c>
      <c r="F126" s="1">
        <v>-8.8515</v>
      </c>
      <c r="G126" s="1">
        <v>139.0</v>
      </c>
      <c r="H126" s="1">
        <v>40.1799</v>
      </c>
      <c r="I126" s="1">
        <v>53.0432</v>
      </c>
      <c r="J126" s="1">
        <v>-12.8633</v>
      </c>
      <c r="K126" s="1">
        <v>0.0</v>
      </c>
      <c r="L126" s="1">
        <v>16.9444</v>
      </c>
      <c r="M126" s="1">
        <v>45.0</v>
      </c>
      <c r="N126" s="1">
        <v>79.75</v>
      </c>
      <c r="O126" s="1">
        <v>0.375</v>
      </c>
      <c r="P126" s="1">
        <v>19.5944</v>
      </c>
      <c r="Q126" s="1">
        <v>46.75</v>
      </c>
      <c r="R126" s="1">
        <v>74.4</v>
      </c>
      <c r="S126" s="1">
        <v>-4.5313</v>
      </c>
      <c r="T126" s="1">
        <v>0.0</v>
      </c>
      <c r="U126" s="1">
        <v>4.9333</v>
      </c>
      <c r="V126" s="1">
        <v>18.0</v>
      </c>
      <c r="W126" s="1">
        <v>1451.0</v>
      </c>
    </row>
    <row r="127">
      <c r="A127" s="1" t="s">
        <v>26</v>
      </c>
      <c r="B127" s="1" t="s">
        <v>1192</v>
      </c>
      <c r="C127" s="1" t="s">
        <v>1210</v>
      </c>
      <c r="D127" s="1">
        <v>71.3119</v>
      </c>
      <c r="E127" s="1">
        <v>63.5644</v>
      </c>
      <c r="F127" s="1">
        <v>7.7475</v>
      </c>
      <c r="G127" s="1">
        <v>194.0</v>
      </c>
      <c r="H127" s="1">
        <v>74.2526</v>
      </c>
      <c r="I127" s="1">
        <v>66.1856</v>
      </c>
      <c r="J127" s="1">
        <v>8.067</v>
      </c>
      <c r="K127" s="1">
        <v>30.0</v>
      </c>
      <c r="L127" s="1">
        <v>49.2</v>
      </c>
      <c r="M127" s="1">
        <v>105.0</v>
      </c>
      <c r="N127" s="1">
        <v>162.0</v>
      </c>
      <c r="O127" s="1">
        <v>22.1429</v>
      </c>
      <c r="P127" s="1">
        <v>39.6636</v>
      </c>
      <c r="Q127" s="1">
        <v>79.4375</v>
      </c>
      <c r="R127" s="1">
        <v>129.3</v>
      </c>
      <c r="S127" s="1">
        <v>-0.6429</v>
      </c>
      <c r="T127" s="1">
        <v>9.1667</v>
      </c>
      <c r="U127" s="1">
        <v>25.8889</v>
      </c>
      <c r="V127" s="1">
        <v>50.55</v>
      </c>
      <c r="W127" s="1">
        <v>1451.0</v>
      </c>
    </row>
    <row r="128">
      <c r="A128" s="1" t="s">
        <v>26</v>
      </c>
      <c r="B128" s="1" t="s">
        <v>1192</v>
      </c>
      <c r="C128" s="1" t="s">
        <v>1211</v>
      </c>
      <c r="D128" s="1">
        <v>96.7822</v>
      </c>
      <c r="E128" s="1">
        <v>77.7673</v>
      </c>
      <c r="F128" s="1">
        <v>19.0149</v>
      </c>
      <c r="G128" s="1">
        <v>200.0</v>
      </c>
      <c r="H128" s="1">
        <v>97.75</v>
      </c>
      <c r="I128" s="1">
        <v>78.545</v>
      </c>
      <c r="J128" s="1">
        <v>19.205</v>
      </c>
      <c r="K128" s="1">
        <v>51.1111</v>
      </c>
      <c r="L128" s="1">
        <v>80.8333</v>
      </c>
      <c r="M128" s="1">
        <v>130.0</v>
      </c>
      <c r="N128" s="1">
        <v>185.0</v>
      </c>
      <c r="O128" s="1">
        <v>35.2</v>
      </c>
      <c r="P128" s="1">
        <v>57.5</v>
      </c>
      <c r="Q128" s="1">
        <v>95.5833</v>
      </c>
      <c r="R128" s="1">
        <v>154.15</v>
      </c>
      <c r="S128" s="1">
        <v>6.619</v>
      </c>
      <c r="T128" s="1">
        <v>19.75</v>
      </c>
      <c r="U128" s="1">
        <v>38.7333</v>
      </c>
      <c r="V128" s="1">
        <v>72.25</v>
      </c>
      <c r="W128" s="1">
        <v>1451.0</v>
      </c>
    </row>
    <row r="129">
      <c r="A129" s="1" t="s">
        <v>26</v>
      </c>
      <c r="B129" s="1" t="s">
        <v>1192</v>
      </c>
      <c r="C129" s="1" t="s">
        <v>55</v>
      </c>
      <c r="D129" s="1">
        <v>3558.1535</v>
      </c>
      <c r="E129" s="1">
        <v>0.0</v>
      </c>
      <c r="F129" s="1">
        <v>3558.1535</v>
      </c>
      <c r="G129" s="1">
        <v>202.0</v>
      </c>
      <c r="H129" s="1">
        <v>3558.1535</v>
      </c>
      <c r="I129" s="1">
        <v>0.0</v>
      </c>
      <c r="J129" s="1">
        <v>3558.1535</v>
      </c>
      <c r="K129" s="1">
        <v>1513.6905</v>
      </c>
      <c r="L129" s="1">
        <v>2443.7879</v>
      </c>
      <c r="M129" s="1">
        <v>4350.7143</v>
      </c>
      <c r="N129" s="1">
        <v>8735.0</v>
      </c>
      <c r="O129" s="1">
        <v>0.0</v>
      </c>
      <c r="P129" s="1">
        <v>0.0</v>
      </c>
      <c r="Q129" s="1">
        <v>0.0</v>
      </c>
      <c r="R129" s="1">
        <v>0.0</v>
      </c>
      <c r="S129" s="1">
        <v>1513.6905</v>
      </c>
      <c r="T129" s="1">
        <v>2443.7879</v>
      </c>
      <c r="U129" s="1">
        <v>4350.7143</v>
      </c>
      <c r="V129" s="1">
        <v>8735.0</v>
      </c>
      <c r="W129" s="1">
        <v>1451.0</v>
      </c>
    </row>
    <row r="130">
      <c r="A130" s="1" t="s">
        <v>26</v>
      </c>
      <c r="B130" s="1" t="s">
        <v>1192</v>
      </c>
      <c r="C130" s="1" t="s">
        <v>46</v>
      </c>
      <c r="D130" s="1">
        <v>6013.4802</v>
      </c>
      <c r="E130" s="1">
        <v>0.0</v>
      </c>
      <c r="F130" s="1">
        <v>6013.4802</v>
      </c>
      <c r="G130" s="1">
        <v>200.0</v>
      </c>
      <c r="H130" s="1">
        <v>6073.615</v>
      </c>
      <c r="I130" s="1">
        <v>0.0</v>
      </c>
      <c r="J130" s="1">
        <v>6073.615</v>
      </c>
      <c r="K130" s="1">
        <v>2698.1875</v>
      </c>
      <c r="L130" s="1">
        <v>4012.1667</v>
      </c>
      <c r="M130" s="1">
        <v>6762.0</v>
      </c>
      <c r="N130" s="1">
        <v>12748.7</v>
      </c>
      <c r="O130" s="1">
        <v>0.0</v>
      </c>
      <c r="P130" s="1">
        <v>0.0</v>
      </c>
      <c r="Q130" s="1">
        <v>0.0</v>
      </c>
      <c r="R130" s="1">
        <v>0.0</v>
      </c>
      <c r="S130" s="1">
        <v>2698.1875</v>
      </c>
      <c r="T130" s="1">
        <v>4012.1667</v>
      </c>
      <c r="U130" s="1">
        <v>6762.0</v>
      </c>
      <c r="V130" s="1">
        <v>12748.7</v>
      </c>
      <c r="W130" s="1">
        <v>1451.0</v>
      </c>
    </row>
    <row r="131">
      <c r="A131" s="1" t="s">
        <v>26</v>
      </c>
      <c r="B131" s="1" t="s">
        <v>1192</v>
      </c>
      <c r="C131" s="1" t="s">
        <v>1213</v>
      </c>
      <c r="D131" s="1">
        <v>25.8416</v>
      </c>
      <c r="E131" s="1">
        <v>0.0</v>
      </c>
      <c r="F131" s="1">
        <v>25.8416</v>
      </c>
      <c r="G131" s="1">
        <v>136.0</v>
      </c>
      <c r="H131" s="1">
        <v>38.3824</v>
      </c>
      <c r="I131" s="1">
        <v>0.0</v>
      </c>
      <c r="J131" s="1">
        <v>38.3824</v>
      </c>
      <c r="K131" s="1">
        <v>0.0</v>
      </c>
      <c r="L131" s="1">
        <v>28.0</v>
      </c>
      <c r="M131" s="1">
        <v>40.0</v>
      </c>
      <c r="N131" s="1">
        <v>60.0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28.0</v>
      </c>
      <c r="U131" s="1">
        <v>40.0</v>
      </c>
      <c r="V131" s="1">
        <v>60.0</v>
      </c>
      <c r="W131" s="1">
        <v>1451.0</v>
      </c>
    </row>
  </sheetData>
  <drawing r:id="rId2"/>
  <legacy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393" t="s">
        <v>2199</v>
      </c>
      <c r="B1" s="393" t="s">
        <v>2177</v>
      </c>
      <c r="C1" s="393" t="s">
        <v>2296</v>
      </c>
      <c r="D1" s="393" t="s">
        <v>2311</v>
      </c>
      <c r="E1" s="393" t="s">
        <v>2312</v>
      </c>
      <c r="F1" s="393" t="s">
        <v>2313</v>
      </c>
      <c r="G1" s="393" t="s">
        <v>2181</v>
      </c>
      <c r="H1" s="393" t="s">
        <v>2314</v>
      </c>
      <c r="I1" s="393" t="s">
        <v>2315</v>
      </c>
      <c r="J1" s="393" t="s">
        <v>2316</v>
      </c>
      <c r="K1" s="1" t="s">
        <v>2317</v>
      </c>
    </row>
    <row r="2">
      <c r="A2" s="1" t="s">
        <v>19</v>
      </c>
      <c r="B2" s="1" t="s">
        <v>180</v>
      </c>
      <c r="C2" s="1" t="s">
        <v>1205</v>
      </c>
      <c r="D2" s="1">
        <v>1.0</v>
      </c>
      <c r="E2" s="1">
        <v>371202.2211</v>
      </c>
      <c r="F2" s="1">
        <v>306600.0</v>
      </c>
      <c r="G2" s="1">
        <v>26871.0</v>
      </c>
      <c r="H2" s="1">
        <v>13.8142</v>
      </c>
      <c r="I2" s="1">
        <v>11.4101</v>
      </c>
      <c r="J2" s="1">
        <v>2.4042</v>
      </c>
      <c r="K2" s="1">
        <v>7552.0</v>
      </c>
    </row>
    <row r="3">
      <c r="A3" s="1" t="s">
        <v>19</v>
      </c>
      <c r="B3" s="1" t="s">
        <v>180</v>
      </c>
      <c r="C3" s="1" t="s">
        <v>1205</v>
      </c>
      <c r="D3" s="1">
        <v>2.0</v>
      </c>
      <c r="E3" s="1">
        <v>250113.8742</v>
      </c>
      <c r="F3" s="1">
        <v>268900.0</v>
      </c>
      <c r="G3" s="1">
        <v>26871.0</v>
      </c>
      <c r="H3" s="1">
        <v>9.3079</v>
      </c>
      <c r="I3" s="1">
        <v>10.0071</v>
      </c>
      <c r="J3" s="1">
        <v>-0.6991</v>
      </c>
      <c r="K3" s="1">
        <v>7017.0</v>
      </c>
    </row>
    <row r="4">
      <c r="A4" s="1" t="s">
        <v>19</v>
      </c>
      <c r="B4" s="1" t="s">
        <v>180</v>
      </c>
      <c r="C4" s="1" t="s">
        <v>1205</v>
      </c>
      <c r="D4" s="1">
        <v>3.0</v>
      </c>
      <c r="E4" s="1">
        <v>226129.4259</v>
      </c>
      <c r="F4" s="1">
        <v>227200.0</v>
      </c>
      <c r="G4" s="1">
        <v>26871.0</v>
      </c>
      <c r="H4" s="1">
        <v>8.4154</v>
      </c>
      <c r="I4" s="1">
        <v>8.4552</v>
      </c>
      <c r="J4" s="1">
        <v>-0.0398</v>
      </c>
      <c r="K4" s="1">
        <v>6713.0</v>
      </c>
    </row>
    <row r="5">
      <c r="A5" s="1" t="s">
        <v>19</v>
      </c>
      <c r="B5" s="1" t="s">
        <v>180</v>
      </c>
      <c r="C5" s="1" t="s">
        <v>1205</v>
      </c>
      <c r="D5" s="1">
        <v>4.0</v>
      </c>
      <c r="E5" s="1">
        <v>203575.0328</v>
      </c>
      <c r="F5" s="1">
        <v>212700.0</v>
      </c>
      <c r="G5" s="1">
        <v>26871.0</v>
      </c>
      <c r="H5" s="1">
        <v>7.576</v>
      </c>
      <c r="I5" s="1">
        <v>7.9156</v>
      </c>
      <c r="J5" s="1">
        <v>-0.3396</v>
      </c>
      <c r="K5" s="1">
        <v>6140.0</v>
      </c>
    </row>
    <row r="6">
      <c r="A6" s="1" t="s">
        <v>19</v>
      </c>
      <c r="B6" s="1" t="s">
        <v>180</v>
      </c>
      <c r="C6" s="1" t="s">
        <v>1205</v>
      </c>
      <c r="D6" s="1">
        <v>5.0</v>
      </c>
      <c r="E6" s="1">
        <v>285118.8297</v>
      </c>
      <c r="F6" s="1">
        <v>242450.0</v>
      </c>
      <c r="G6" s="1">
        <v>26871.0</v>
      </c>
      <c r="H6" s="1">
        <v>10.6107</v>
      </c>
      <c r="I6" s="1">
        <v>9.0227</v>
      </c>
      <c r="J6" s="1">
        <v>1.5879</v>
      </c>
      <c r="K6" s="1">
        <v>6059.0</v>
      </c>
    </row>
    <row r="7">
      <c r="A7" s="1" t="s">
        <v>19</v>
      </c>
      <c r="B7" s="1" t="s">
        <v>180</v>
      </c>
      <c r="C7" s="1" t="s">
        <v>1205</v>
      </c>
      <c r="D7" s="1">
        <v>6.0</v>
      </c>
      <c r="E7" s="1">
        <v>212112.4048</v>
      </c>
      <c r="F7" s="1">
        <v>226350.0</v>
      </c>
      <c r="G7" s="1">
        <v>26871.0</v>
      </c>
      <c r="H7" s="1">
        <v>7.8937</v>
      </c>
      <c r="I7" s="1">
        <v>8.4236</v>
      </c>
      <c r="J7" s="1">
        <v>-0.5298</v>
      </c>
      <c r="K7" s="1">
        <v>5911.0</v>
      </c>
    </row>
    <row r="8">
      <c r="A8" s="1" t="s">
        <v>19</v>
      </c>
      <c r="B8" s="1" t="s">
        <v>180</v>
      </c>
      <c r="C8" s="1" t="s">
        <v>1205</v>
      </c>
      <c r="D8" s="1">
        <v>7.0</v>
      </c>
      <c r="E8" s="1">
        <v>197417.0</v>
      </c>
      <c r="F8" s="1">
        <v>217650.0</v>
      </c>
      <c r="G8" s="1">
        <v>26871.0</v>
      </c>
      <c r="H8" s="1">
        <v>7.3468</v>
      </c>
      <c r="I8" s="1">
        <v>8.0998</v>
      </c>
      <c r="J8" s="1">
        <v>-0.753</v>
      </c>
      <c r="K8" s="1">
        <v>5939.0</v>
      </c>
    </row>
    <row r="9">
      <c r="A9" s="1" t="s">
        <v>19</v>
      </c>
      <c r="B9" s="1" t="s">
        <v>180</v>
      </c>
      <c r="C9" s="1" t="s">
        <v>1205</v>
      </c>
      <c r="D9" s="1">
        <v>8.0</v>
      </c>
      <c r="E9" s="1">
        <v>305410.9564</v>
      </c>
      <c r="F9" s="1">
        <v>252550.0</v>
      </c>
      <c r="G9" s="1">
        <v>26871.0</v>
      </c>
      <c r="H9" s="1">
        <v>11.3658</v>
      </c>
      <c r="I9" s="1">
        <v>9.3986</v>
      </c>
      <c r="J9" s="1">
        <v>1.9672</v>
      </c>
      <c r="K9" s="1">
        <v>5656.0</v>
      </c>
    </row>
    <row r="10">
      <c r="A10" s="1" t="s">
        <v>19</v>
      </c>
      <c r="B10" s="1" t="s">
        <v>180</v>
      </c>
      <c r="C10" s="1" t="s">
        <v>1205</v>
      </c>
      <c r="D10" s="1">
        <v>9.0</v>
      </c>
      <c r="E10" s="1">
        <v>214347.9545</v>
      </c>
      <c r="F10" s="1">
        <v>214200.0</v>
      </c>
      <c r="G10" s="1">
        <v>26871.0</v>
      </c>
      <c r="H10" s="1">
        <v>7.9769</v>
      </c>
      <c r="I10" s="1">
        <v>7.9714</v>
      </c>
      <c r="J10" s="1">
        <v>0.0055</v>
      </c>
      <c r="K10" s="1">
        <v>5623.0</v>
      </c>
    </row>
    <row r="11">
      <c r="A11" s="1" t="s">
        <v>19</v>
      </c>
      <c r="B11" s="1" t="s">
        <v>180</v>
      </c>
      <c r="C11" s="1" t="s">
        <v>1205</v>
      </c>
      <c r="D11" s="1">
        <v>10.0</v>
      </c>
      <c r="E11" s="1">
        <v>178865.5904</v>
      </c>
      <c r="F11" s="1">
        <v>190550.0</v>
      </c>
      <c r="G11" s="1">
        <v>26871.0</v>
      </c>
      <c r="H11" s="1">
        <v>6.6565</v>
      </c>
      <c r="I11" s="1">
        <v>7.0913</v>
      </c>
      <c r="J11" s="1">
        <v>-0.4348</v>
      </c>
      <c r="K11" s="1">
        <v>5512.0</v>
      </c>
    </row>
    <row r="12">
      <c r="A12" s="1" t="s">
        <v>19</v>
      </c>
      <c r="B12" s="1" t="s">
        <v>180</v>
      </c>
      <c r="C12" s="1" t="s">
        <v>1205</v>
      </c>
      <c r="D12" s="1">
        <v>11.0</v>
      </c>
      <c r="E12" s="1">
        <v>172406.0411</v>
      </c>
      <c r="F12" s="1">
        <v>183550.0</v>
      </c>
      <c r="G12" s="1">
        <v>26871.0</v>
      </c>
      <c r="H12" s="1">
        <v>6.4161</v>
      </c>
      <c r="I12" s="1">
        <v>6.8308</v>
      </c>
      <c r="J12" s="1">
        <v>-0.4147</v>
      </c>
      <c r="K12" s="1">
        <v>5521.0</v>
      </c>
    </row>
    <row r="13">
      <c r="A13" s="1" t="s">
        <v>19</v>
      </c>
      <c r="B13" s="1" t="s">
        <v>180</v>
      </c>
      <c r="C13" s="1" t="s">
        <v>1205</v>
      </c>
      <c r="D13" s="1">
        <v>12.0</v>
      </c>
      <c r="E13" s="1">
        <v>237046.1905</v>
      </c>
      <c r="F13" s="1">
        <v>207450.0</v>
      </c>
      <c r="G13" s="1">
        <v>26871.0</v>
      </c>
      <c r="H13" s="1">
        <v>8.8216</v>
      </c>
      <c r="I13" s="1">
        <v>7.7202</v>
      </c>
      <c r="J13" s="1">
        <v>1.1014</v>
      </c>
      <c r="K13" s="1">
        <v>5487.0</v>
      </c>
    </row>
    <row r="14">
      <c r="A14" s="1" t="s">
        <v>19</v>
      </c>
      <c r="B14" s="1" t="s">
        <v>180</v>
      </c>
      <c r="C14" s="1" t="s">
        <v>1205</v>
      </c>
      <c r="D14" s="1">
        <v>13.0</v>
      </c>
      <c r="E14" s="1">
        <v>184190.8333</v>
      </c>
      <c r="F14" s="1">
        <v>185350.0</v>
      </c>
      <c r="G14" s="1">
        <v>26871.0</v>
      </c>
      <c r="H14" s="1">
        <v>6.8546</v>
      </c>
      <c r="I14" s="1">
        <v>6.8978</v>
      </c>
      <c r="J14" s="1">
        <v>-0.0431</v>
      </c>
      <c r="K14" s="1">
        <v>5485.0</v>
      </c>
    </row>
    <row r="15">
      <c r="A15" s="1" t="s">
        <v>19</v>
      </c>
      <c r="B15" s="1" t="s">
        <v>180</v>
      </c>
      <c r="C15" s="1" t="s">
        <v>1205</v>
      </c>
      <c r="D15" s="1">
        <v>14.0</v>
      </c>
      <c r="E15" s="1">
        <v>169973.5714</v>
      </c>
      <c r="F15" s="1">
        <v>183050.0</v>
      </c>
      <c r="G15" s="1">
        <v>26871.0</v>
      </c>
      <c r="H15" s="1">
        <v>6.3255</v>
      </c>
      <c r="I15" s="1">
        <v>6.8122</v>
      </c>
      <c r="J15" s="1">
        <v>-0.4866</v>
      </c>
      <c r="K15" s="1">
        <v>5424.0</v>
      </c>
    </row>
    <row r="16">
      <c r="A16" s="1" t="s">
        <v>19</v>
      </c>
      <c r="B16" s="1" t="s">
        <v>180</v>
      </c>
      <c r="C16" s="1" t="s">
        <v>1205</v>
      </c>
      <c r="D16" s="1">
        <v>15.0</v>
      </c>
      <c r="E16" s="1">
        <v>282797.4724</v>
      </c>
      <c r="F16" s="1">
        <v>235200.0</v>
      </c>
      <c r="G16" s="1">
        <v>26871.0</v>
      </c>
      <c r="H16" s="1">
        <v>10.5243</v>
      </c>
      <c r="I16" s="1">
        <v>8.7529</v>
      </c>
      <c r="J16" s="1">
        <v>1.7713</v>
      </c>
      <c r="K16" s="1">
        <v>5222.0</v>
      </c>
    </row>
    <row r="17">
      <c r="A17" s="1" t="s">
        <v>19</v>
      </c>
      <c r="B17" s="1" t="s">
        <v>180</v>
      </c>
      <c r="C17" s="1" t="s">
        <v>1205</v>
      </c>
      <c r="D17" s="1">
        <v>16.0</v>
      </c>
      <c r="E17" s="1">
        <v>200477.6768</v>
      </c>
      <c r="F17" s="1">
        <v>210350.0</v>
      </c>
      <c r="G17" s="1">
        <v>26871.0</v>
      </c>
      <c r="H17" s="1">
        <v>7.4607</v>
      </c>
      <c r="I17" s="1">
        <v>7.8281</v>
      </c>
      <c r="J17" s="1">
        <v>-0.3674</v>
      </c>
      <c r="K17" s="1">
        <v>5471.0</v>
      </c>
    </row>
    <row r="18">
      <c r="A18" s="1" t="s">
        <v>19</v>
      </c>
      <c r="B18" s="1" t="s">
        <v>180</v>
      </c>
      <c r="C18" s="1" t="s">
        <v>1205</v>
      </c>
      <c r="D18" s="1">
        <v>17.0</v>
      </c>
      <c r="E18" s="1">
        <v>173725.9167</v>
      </c>
      <c r="F18" s="1">
        <v>187670.0</v>
      </c>
      <c r="G18" s="1">
        <v>26871.0</v>
      </c>
      <c r="H18" s="1">
        <v>6.4652</v>
      </c>
      <c r="I18" s="1">
        <v>6.9841</v>
      </c>
      <c r="J18" s="1">
        <v>-0.5189</v>
      </c>
      <c r="K18" s="1">
        <v>5149.0</v>
      </c>
    </row>
    <row r="19">
      <c r="A19" s="1" t="s">
        <v>19</v>
      </c>
      <c r="B19" s="1" t="s">
        <v>180</v>
      </c>
      <c r="C19" s="1" t="s">
        <v>1205</v>
      </c>
      <c r="D19" s="1">
        <v>18.0</v>
      </c>
      <c r="E19" s="1">
        <v>153656.3788</v>
      </c>
      <c r="F19" s="1">
        <v>168550.0</v>
      </c>
      <c r="G19" s="1">
        <v>26871.0</v>
      </c>
      <c r="H19" s="1">
        <v>5.7183</v>
      </c>
      <c r="I19" s="1">
        <v>6.2726</v>
      </c>
      <c r="J19" s="1">
        <v>-0.5543</v>
      </c>
      <c r="K19" s="1">
        <v>5210.0</v>
      </c>
    </row>
    <row r="20">
      <c r="A20" s="1" t="s">
        <v>19</v>
      </c>
      <c r="B20" s="1" t="s">
        <v>180</v>
      </c>
      <c r="C20" s="1" t="s">
        <v>1205</v>
      </c>
      <c r="D20" s="1">
        <v>19.0</v>
      </c>
      <c r="E20" s="1">
        <v>219763.2727</v>
      </c>
      <c r="F20" s="1">
        <v>182550.0</v>
      </c>
      <c r="G20" s="1">
        <v>26871.0</v>
      </c>
      <c r="H20" s="1">
        <v>8.1785</v>
      </c>
      <c r="I20" s="1">
        <v>6.7936</v>
      </c>
      <c r="J20" s="1">
        <v>1.3849</v>
      </c>
      <c r="K20" s="1">
        <v>4774.0</v>
      </c>
    </row>
    <row r="21">
      <c r="A21" s="1" t="s">
        <v>19</v>
      </c>
      <c r="B21" s="1" t="s">
        <v>180</v>
      </c>
      <c r="C21" s="1" t="s">
        <v>1205</v>
      </c>
      <c r="D21" s="1">
        <v>20.0</v>
      </c>
      <c r="E21" s="1">
        <v>174700.7143</v>
      </c>
      <c r="F21" s="1">
        <v>177200.0</v>
      </c>
      <c r="G21" s="1">
        <v>26871.0</v>
      </c>
      <c r="H21" s="1">
        <v>6.5015</v>
      </c>
      <c r="I21" s="1">
        <v>6.5945</v>
      </c>
      <c r="J21" s="1">
        <v>-0.093</v>
      </c>
      <c r="K21" s="1">
        <v>4799.0</v>
      </c>
    </row>
    <row r="22">
      <c r="A22" s="1" t="s">
        <v>19</v>
      </c>
      <c r="B22" s="1" t="s">
        <v>180</v>
      </c>
      <c r="C22" s="1" t="s">
        <v>1205</v>
      </c>
      <c r="D22" s="1">
        <v>21.0</v>
      </c>
      <c r="E22" s="1">
        <v>169007.0</v>
      </c>
      <c r="F22" s="1">
        <v>183500.0</v>
      </c>
      <c r="G22" s="1">
        <v>26871.0</v>
      </c>
      <c r="H22" s="1">
        <v>6.2896</v>
      </c>
      <c r="I22" s="1">
        <v>6.8289</v>
      </c>
      <c r="J22" s="1">
        <v>-0.5394</v>
      </c>
      <c r="K22" s="1">
        <v>4749.0</v>
      </c>
    </row>
    <row r="23">
      <c r="A23" s="1" t="s">
        <v>19</v>
      </c>
      <c r="B23" s="1" t="s">
        <v>180</v>
      </c>
      <c r="C23" s="1" t="s">
        <v>52</v>
      </c>
      <c r="D23" s="1">
        <v>1.0</v>
      </c>
      <c r="E23" s="1">
        <v>5431.0</v>
      </c>
      <c r="F23" s="1">
        <v>3806.0</v>
      </c>
      <c r="G23" s="1">
        <v>12131.0</v>
      </c>
      <c r="H23" s="1">
        <v>0.4477</v>
      </c>
      <c r="I23" s="1">
        <v>0.3137</v>
      </c>
      <c r="J23" s="1">
        <v>0.134</v>
      </c>
      <c r="K23" s="1">
        <v>7552.0</v>
      </c>
    </row>
    <row r="24">
      <c r="A24" s="1" t="s">
        <v>19</v>
      </c>
      <c r="B24" s="1" t="s">
        <v>180</v>
      </c>
      <c r="C24" s="1" t="s">
        <v>52</v>
      </c>
      <c r="D24" s="1">
        <v>2.0</v>
      </c>
      <c r="E24" s="1">
        <v>4536.0</v>
      </c>
      <c r="F24" s="1">
        <v>3561.0</v>
      </c>
      <c r="G24" s="1">
        <v>12131.0</v>
      </c>
      <c r="H24" s="1">
        <v>0.3739</v>
      </c>
      <c r="I24" s="1">
        <v>0.2935</v>
      </c>
      <c r="J24" s="1">
        <v>0.0804</v>
      </c>
      <c r="K24" s="1">
        <v>7017.0</v>
      </c>
    </row>
    <row r="25">
      <c r="A25" s="1" t="s">
        <v>19</v>
      </c>
      <c r="B25" s="1" t="s">
        <v>180</v>
      </c>
      <c r="C25" s="1" t="s">
        <v>52</v>
      </c>
      <c r="D25" s="1">
        <v>3.0</v>
      </c>
      <c r="E25" s="1">
        <v>4434.0</v>
      </c>
      <c r="F25" s="1">
        <v>3368.0</v>
      </c>
      <c r="G25" s="1">
        <v>12131.0</v>
      </c>
      <c r="H25" s="1">
        <v>0.3655</v>
      </c>
      <c r="I25" s="1">
        <v>0.2776</v>
      </c>
      <c r="J25" s="1">
        <v>0.0879</v>
      </c>
      <c r="K25" s="1">
        <v>6713.0</v>
      </c>
    </row>
    <row r="26">
      <c r="A26" s="1" t="s">
        <v>19</v>
      </c>
      <c r="B26" s="1" t="s">
        <v>180</v>
      </c>
      <c r="C26" s="1" t="s">
        <v>52</v>
      </c>
      <c r="D26" s="1">
        <v>4.0</v>
      </c>
      <c r="E26" s="1">
        <v>3565.0</v>
      </c>
      <c r="F26" s="1">
        <v>3187.0</v>
      </c>
      <c r="G26" s="1">
        <v>12131.0</v>
      </c>
      <c r="H26" s="1">
        <v>0.2939</v>
      </c>
      <c r="I26" s="1">
        <v>0.2627</v>
      </c>
      <c r="J26" s="1">
        <v>0.0312</v>
      </c>
      <c r="K26" s="1">
        <v>6140.0</v>
      </c>
    </row>
    <row r="27">
      <c r="A27" s="1" t="s">
        <v>19</v>
      </c>
      <c r="B27" s="1" t="s">
        <v>180</v>
      </c>
      <c r="C27" s="1" t="s">
        <v>52</v>
      </c>
      <c r="D27" s="1">
        <v>5.0</v>
      </c>
      <c r="E27" s="1">
        <v>3899.0</v>
      </c>
      <c r="F27" s="1">
        <v>3227.0</v>
      </c>
      <c r="G27" s="1">
        <v>12131.0</v>
      </c>
      <c r="H27" s="1">
        <v>0.3214</v>
      </c>
      <c r="I27" s="1">
        <v>0.266</v>
      </c>
      <c r="J27" s="1">
        <v>0.0554</v>
      </c>
      <c r="K27" s="1">
        <v>6059.0</v>
      </c>
    </row>
    <row r="28">
      <c r="A28" s="1" t="s">
        <v>19</v>
      </c>
      <c r="B28" s="1" t="s">
        <v>180</v>
      </c>
      <c r="C28" s="1" t="s">
        <v>52</v>
      </c>
      <c r="D28" s="1">
        <v>6.0</v>
      </c>
      <c r="E28" s="1">
        <v>2468.0</v>
      </c>
      <c r="F28" s="1">
        <v>3005.0</v>
      </c>
      <c r="G28" s="1">
        <v>12131.0</v>
      </c>
      <c r="H28" s="1">
        <v>0.2034</v>
      </c>
      <c r="I28" s="1">
        <v>0.2477</v>
      </c>
      <c r="J28" s="1">
        <v>-0.0443</v>
      </c>
      <c r="K28" s="1">
        <v>5911.0</v>
      </c>
    </row>
    <row r="29">
      <c r="A29" s="1" t="s">
        <v>19</v>
      </c>
      <c r="B29" s="1" t="s">
        <v>180</v>
      </c>
      <c r="C29" s="1" t="s">
        <v>52</v>
      </c>
      <c r="D29" s="1">
        <v>7.0</v>
      </c>
      <c r="E29" s="1">
        <v>2265.0</v>
      </c>
      <c r="F29" s="1">
        <v>2734.0</v>
      </c>
      <c r="G29" s="1">
        <v>12131.0</v>
      </c>
      <c r="H29" s="1">
        <v>0.1867</v>
      </c>
      <c r="I29" s="1">
        <v>0.2254</v>
      </c>
      <c r="J29" s="1">
        <v>-0.0387</v>
      </c>
      <c r="K29" s="1">
        <v>5939.0</v>
      </c>
    </row>
    <row r="30">
      <c r="A30" s="1" t="s">
        <v>19</v>
      </c>
      <c r="B30" s="1" t="s">
        <v>180</v>
      </c>
      <c r="C30" s="1" t="s">
        <v>52</v>
      </c>
      <c r="D30" s="1">
        <v>8.0</v>
      </c>
      <c r="E30" s="1">
        <v>4442.0</v>
      </c>
      <c r="F30" s="1">
        <v>3393.0</v>
      </c>
      <c r="G30" s="1">
        <v>12131.0</v>
      </c>
      <c r="H30" s="1">
        <v>0.3662</v>
      </c>
      <c r="I30" s="1">
        <v>0.2797</v>
      </c>
      <c r="J30" s="1">
        <v>0.0865</v>
      </c>
      <c r="K30" s="1">
        <v>5656.0</v>
      </c>
    </row>
    <row r="31">
      <c r="A31" s="1" t="s">
        <v>19</v>
      </c>
      <c r="B31" s="1" t="s">
        <v>180</v>
      </c>
      <c r="C31" s="1" t="s">
        <v>52</v>
      </c>
      <c r="D31" s="1">
        <v>9.0</v>
      </c>
      <c r="E31" s="1">
        <v>3995.0</v>
      </c>
      <c r="F31" s="1">
        <v>3273.0</v>
      </c>
      <c r="G31" s="1">
        <v>12131.0</v>
      </c>
      <c r="H31" s="1">
        <v>0.3293</v>
      </c>
      <c r="I31" s="1">
        <v>0.2698</v>
      </c>
      <c r="J31" s="1">
        <v>0.0595</v>
      </c>
      <c r="K31" s="1">
        <v>5623.0</v>
      </c>
    </row>
    <row r="32">
      <c r="A32" s="1" t="s">
        <v>19</v>
      </c>
      <c r="B32" s="1" t="s">
        <v>180</v>
      </c>
      <c r="C32" s="1" t="s">
        <v>52</v>
      </c>
      <c r="D32" s="1">
        <v>10.0</v>
      </c>
      <c r="E32" s="1">
        <v>3825.0</v>
      </c>
      <c r="F32" s="1">
        <v>3152.0</v>
      </c>
      <c r="G32" s="1">
        <v>12131.0</v>
      </c>
      <c r="H32" s="1">
        <v>0.3153</v>
      </c>
      <c r="I32" s="1">
        <v>0.2598</v>
      </c>
      <c r="J32" s="1">
        <v>0.0555</v>
      </c>
      <c r="K32" s="1">
        <v>5512.0</v>
      </c>
    </row>
    <row r="33">
      <c r="A33" s="1" t="s">
        <v>19</v>
      </c>
      <c r="B33" s="1" t="s">
        <v>180</v>
      </c>
      <c r="C33" s="1" t="s">
        <v>52</v>
      </c>
      <c r="D33" s="1">
        <v>11.0</v>
      </c>
      <c r="E33" s="1">
        <v>3289.0</v>
      </c>
      <c r="F33" s="1">
        <v>2962.0</v>
      </c>
      <c r="G33" s="1">
        <v>12131.0</v>
      </c>
      <c r="H33" s="1">
        <v>0.2711</v>
      </c>
      <c r="I33" s="1">
        <v>0.2442</v>
      </c>
      <c r="J33" s="1">
        <v>0.027</v>
      </c>
      <c r="K33" s="1">
        <v>5521.0</v>
      </c>
    </row>
    <row r="34">
      <c r="A34" s="1" t="s">
        <v>19</v>
      </c>
      <c r="B34" s="1" t="s">
        <v>180</v>
      </c>
      <c r="C34" s="1" t="s">
        <v>52</v>
      </c>
      <c r="D34" s="1">
        <v>12.0</v>
      </c>
      <c r="E34" s="1">
        <v>3328.0</v>
      </c>
      <c r="F34" s="1">
        <v>2944.0</v>
      </c>
      <c r="G34" s="1">
        <v>12131.0</v>
      </c>
      <c r="H34" s="1">
        <v>0.2743</v>
      </c>
      <c r="I34" s="1">
        <v>0.2427</v>
      </c>
      <c r="J34" s="1">
        <v>0.0317</v>
      </c>
      <c r="K34" s="1">
        <v>5487.0</v>
      </c>
    </row>
    <row r="35">
      <c r="A35" s="1" t="s">
        <v>19</v>
      </c>
      <c r="B35" s="1" t="s">
        <v>180</v>
      </c>
      <c r="C35" s="1" t="s">
        <v>52</v>
      </c>
      <c r="D35" s="1">
        <v>13.0</v>
      </c>
      <c r="E35" s="1">
        <v>2284.0</v>
      </c>
      <c r="F35" s="1">
        <v>2707.0</v>
      </c>
      <c r="G35" s="1">
        <v>12131.0</v>
      </c>
      <c r="H35" s="1">
        <v>0.1883</v>
      </c>
      <c r="I35" s="1">
        <v>0.2231</v>
      </c>
      <c r="J35" s="1">
        <v>-0.0349</v>
      </c>
      <c r="K35" s="1">
        <v>5485.0</v>
      </c>
    </row>
    <row r="36">
      <c r="A36" s="1" t="s">
        <v>19</v>
      </c>
      <c r="B36" s="1" t="s">
        <v>180</v>
      </c>
      <c r="C36" s="1" t="s">
        <v>52</v>
      </c>
      <c r="D36" s="1">
        <v>14.0</v>
      </c>
      <c r="E36" s="1">
        <v>2020.0</v>
      </c>
      <c r="F36" s="1">
        <v>2598.0</v>
      </c>
      <c r="G36" s="1">
        <v>12131.0</v>
      </c>
      <c r="H36" s="1">
        <v>0.1665</v>
      </c>
      <c r="I36" s="1">
        <v>0.2142</v>
      </c>
      <c r="J36" s="1">
        <v>-0.0476</v>
      </c>
      <c r="K36" s="1">
        <v>5424.0</v>
      </c>
    </row>
    <row r="37">
      <c r="A37" s="1" t="s">
        <v>19</v>
      </c>
      <c r="B37" s="1" t="s">
        <v>180</v>
      </c>
      <c r="C37" s="1" t="s">
        <v>52</v>
      </c>
      <c r="D37" s="1">
        <v>15.0</v>
      </c>
      <c r="E37" s="1">
        <v>4108.0</v>
      </c>
      <c r="F37" s="1">
        <v>3078.0</v>
      </c>
      <c r="G37" s="1">
        <v>12131.0</v>
      </c>
      <c r="H37" s="1">
        <v>0.3386</v>
      </c>
      <c r="I37" s="1">
        <v>0.2537</v>
      </c>
      <c r="J37" s="1">
        <v>0.0849</v>
      </c>
      <c r="K37" s="1">
        <v>5222.0</v>
      </c>
    </row>
    <row r="38">
      <c r="A38" s="1" t="s">
        <v>19</v>
      </c>
      <c r="B38" s="1" t="s">
        <v>180</v>
      </c>
      <c r="C38" s="1" t="s">
        <v>52</v>
      </c>
      <c r="D38" s="1">
        <v>16.0</v>
      </c>
      <c r="E38" s="1">
        <v>3981.0</v>
      </c>
      <c r="F38" s="1">
        <v>3195.0</v>
      </c>
      <c r="G38" s="1">
        <v>12131.0</v>
      </c>
      <c r="H38" s="1">
        <v>0.3282</v>
      </c>
      <c r="I38" s="1">
        <v>0.2634</v>
      </c>
      <c r="J38" s="1">
        <v>0.0648</v>
      </c>
      <c r="K38" s="1">
        <v>5471.0</v>
      </c>
    </row>
    <row r="39">
      <c r="A39" s="1" t="s">
        <v>19</v>
      </c>
      <c r="B39" s="1" t="s">
        <v>180</v>
      </c>
      <c r="C39" s="1" t="s">
        <v>52</v>
      </c>
      <c r="D39" s="1">
        <v>17.0</v>
      </c>
      <c r="E39" s="1">
        <v>3733.0</v>
      </c>
      <c r="F39" s="1">
        <v>3105.0</v>
      </c>
      <c r="G39" s="1">
        <v>12131.0</v>
      </c>
      <c r="H39" s="1">
        <v>0.3077</v>
      </c>
      <c r="I39" s="1">
        <v>0.256</v>
      </c>
      <c r="J39" s="1">
        <v>0.0518</v>
      </c>
      <c r="K39" s="1">
        <v>5149.0</v>
      </c>
    </row>
    <row r="40">
      <c r="A40" s="1" t="s">
        <v>19</v>
      </c>
      <c r="B40" s="1" t="s">
        <v>180</v>
      </c>
      <c r="C40" s="1" t="s">
        <v>52</v>
      </c>
      <c r="D40" s="1">
        <v>18.0</v>
      </c>
      <c r="E40" s="1">
        <v>3077.0</v>
      </c>
      <c r="F40" s="1">
        <v>2722.0</v>
      </c>
      <c r="G40" s="1">
        <v>12131.0</v>
      </c>
      <c r="H40" s="1">
        <v>0.2536</v>
      </c>
      <c r="I40" s="1">
        <v>0.2244</v>
      </c>
      <c r="J40" s="1">
        <v>0.0293</v>
      </c>
      <c r="K40" s="1">
        <v>5210.0</v>
      </c>
    </row>
    <row r="41">
      <c r="A41" s="1" t="s">
        <v>19</v>
      </c>
      <c r="B41" s="1" t="s">
        <v>180</v>
      </c>
      <c r="C41" s="1" t="s">
        <v>52</v>
      </c>
      <c r="D41" s="1">
        <v>19.0</v>
      </c>
      <c r="E41" s="1">
        <v>3015.0</v>
      </c>
      <c r="F41" s="1">
        <v>2859.0</v>
      </c>
      <c r="G41" s="1">
        <v>12131.0</v>
      </c>
      <c r="H41" s="1">
        <v>0.2485</v>
      </c>
      <c r="I41" s="1">
        <v>0.2357</v>
      </c>
      <c r="J41" s="1">
        <v>0.0129</v>
      </c>
      <c r="K41" s="1">
        <v>4774.0</v>
      </c>
    </row>
    <row r="42">
      <c r="A42" s="1" t="s">
        <v>19</v>
      </c>
      <c r="B42" s="1" t="s">
        <v>180</v>
      </c>
      <c r="C42" s="1" t="s">
        <v>52</v>
      </c>
      <c r="D42" s="1">
        <v>20.0</v>
      </c>
      <c r="E42" s="1">
        <v>2223.0</v>
      </c>
      <c r="F42" s="1">
        <v>2538.0</v>
      </c>
      <c r="G42" s="1">
        <v>12131.0</v>
      </c>
      <c r="H42" s="1">
        <v>0.1832</v>
      </c>
      <c r="I42" s="1">
        <v>0.2092</v>
      </c>
      <c r="J42" s="1">
        <v>-0.026</v>
      </c>
      <c r="K42" s="1">
        <v>4799.0</v>
      </c>
    </row>
    <row r="43">
      <c r="A43" s="1" t="s">
        <v>19</v>
      </c>
      <c r="B43" s="1" t="s">
        <v>180</v>
      </c>
      <c r="C43" s="1" t="s">
        <v>52</v>
      </c>
      <c r="D43" s="1">
        <v>21.0</v>
      </c>
      <c r="E43" s="1">
        <v>2009.0</v>
      </c>
      <c r="F43" s="1">
        <v>2599.0</v>
      </c>
      <c r="G43" s="1">
        <v>12131.0</v>
      </c>
      <c r="H43" s="1">
        <v>0.1656</v>
      </c>
      <c r="I43" s="1">
        <v>0.2142</v>
      </c>
      <c r="J43" s="1">
        <v>-0.0486</v>
      </c>
      <c r="K43" s="1">
        <v>4749.0</v>
      </c>
    </row>
    <row r="44">
      <c r="A44" s="1" t="s">
        <v>19</v>
      </c>
      <c r="B44" s="1" t="s">
        <v>180</v>
      </c>
      <c r="C44" s="1" t="s">
        <v>53</v>
      </c>
      <c r="D44" s="1">
        <v>1.0</v>
      </c>
      <c r="E44" s="1">
        <v>3013.0</v>
      </c>
      <c r="F44" s="1">
        <v>2799.0</v>
      </c>
      <c r="G44" s="1">
        <v>9841.0</v>
      </c>
      <c r="H44" s="1">
        <v>0.3062</v>
      </c>
      <c r="I44" s="1">
        <v>0.2844</v>
      </c>
      <c r="J44" s="1">
        <v>0.0217</v>
      </c>
      <c r="K44" s="1">
        <v>7552.0</v>
      </c>
    </row>
    <row r="45">
      <c r="A45" s="1" t="s">
        <v>19</v>
      </c>
      <c r="B45" s="1" t="s">
        <v>180</v>
      </c>
      <c r="C45" s="1" t="s">
        <v>53</v>
      </c>
      <c r="D45" s="1">
        <v>2.0</v>
      </c>
      <c r="E45" s="1">
        <v>2254.0</v>
      </c>
      <c r="F45" s="1">
        <v>2474.0</v>
      </c>
      <c r="G45" s="1">
        <v>9841.0</v>
      </c>
      <c r="H45" s="1">
        <v>0.229</v>
      </c>
      <c r="I45" s="1">
        <v>0.2514</v>
      </c>
      <c r="J45" s="1">
        <v>-0.0224</v>
      </c>
      <c r="K45" s="1">
        <v>7017.0</v>
      </c>
    </row>
    <row r="46">
      <c r="A46" s="1" t="s">
        <v>19</v>
      </c>
      <c r="B46" s="1" t="s">
        <v>180</v>
      </c>
      <c r="C46" s="1" t="s">
        <v>53</v>
      </c>
      <c r="D46" s="1">
        <v>3.0</v>
      </c>
      <c r="E46" s="1">
        <v>2339.0</v>
      </c>
      <c r="F46" s="1">
        <v>2549.0</v>
      </c>
      <c r="G46" s="1">
        <v>9841.0</v>
      </c>
      <c r="H46" s="1">
        <v>0.2377</v>
      </c>
      <c r="I46" s="1">
        <v>0.259</v>
      </c>
      <c r="J46" s="1">
        <v>-0.0213</v>
      </c>
      <c r="K46" s="1">
        <v>6713.0</v>
      </c>
    </row>
    <row r="47">
      <c r="A47" s="1" t="s">
        <v>19</v>
      </c>
      <c r="B47" s="1" t="s">
        <v>180</v>
      </c>
      <c r="C47" s="1" t="s">
        <v>53</v>
      </c>
      <c r="D47" s="1">
        <v>4.0</v>
      </c>
      <c r="E47" s="1">
        <v>2009.0</v>
      </c>
      <c r="F47" s="1">
        <v>2256.0</v>
      </c>
      <c r="G47" s="1">
        <v>9841.0</v>
      </c>
      <c r="H47" s="1">
        <v>0.2041</v>
      </c>
      <c r="I47" s="1">
        <v>0.2292</v>
      </c>
      <c r="J47" s="1">
        <v>-0.0251</v>
      </c>
      <c r="K47" s="1">
        <v>6140.0</v>
      </c>
    </row>
    <row r="48">
      <c r="A48" s="1" t="s">
        <v>19</v>
      </c>
      <c r="B48" s="1" t="s">
        <v>180</v>
      </c>
      <c r="C48" s="1" t="s">
        <v>53</v>
      </c>
      <c r="D48" s="1">
        <v>5.0</v>
      </c>
      <c r="E48" s="1">
        <v>2315.0</v>
      </c>
      <c r="F48" s="1">
        <v>2302.0</v>
      </c>
      <c r="G48" s="1">
        <v>9841.0</v>
      </c>
      <c r="H48" s="1">
        <v>0.2352</v>
      </c>
      <c r="I48" s="1">
        <v>0.2339</v>
      </c>
      <c r="J48" s="1">
        <v>0.0013</v>
      </c>
      <c r="K48" s="1">
        <v>6059.0</v>
      </c>
    </row>
    <row r="49">
      <c r="A49" s="1" t="s">
        <v>19</v>
      </c>
      <c r="B49" s="1" t="s">
        <v>180</v>
      </c>
      <c r="C49" s="1" t="s">
        <v>53</v>
      </c>
      <c r="D49" s="1">
        <v>6.0</v>
      </c>
      <c r="E49" s="1">
        <v>1749.0</v>
      </c>
      <c r="F49" s="1">
        <v>2186.0</v>
      </c>
      <c r="G49" s="1">
        <v>9841.0</v>
      </c>
      <c r="H49" s="1">
        <v>0.1777</v>
      </c>
      <c r="I49" s="1">
        <v>0.2221</v>
      </c>
      <c r="J49" s="1">
        <v>-0.0444</v>
      </c>
      <c r="K49" s="1">
        <v>5911.0</v>
      </c>
    </row>
    <row r="50">
      <c r="A50" s="1" t="s">
        <v>19</v>
      </c>
      <c r="B50" s="1" t="s">
        <v>180</v>
      </c>
      <c r="C50" s="1" t="s">
        <v>53</v>
      </c>
      <c r="D50" s="1">
        <v>7.0</v>
      </c>
      <c r="E50" s="1">
        <v>1548.0</v>
      </c>
      <c r="F50" s="1">
        <v>2093.0</v>
      </c>
      <c r="G50" s="1">
        <v>9841.0</v>
      </c>
      <c r="H50" s="1">
        <v>0.1573</v>
      </c>
      <c r="I50" s="1">
        <v>0.2127</v>
      </c>
      <c r="J50" s="1">
        <v>-0.0554</v>
      </c>
      <c r="K50" s="1">
        <v>5939.0</v>
      </c>
    </row>
    <row r="51">
      <c r="A51" s="1" t="s">
        <v>19</v>
      </c>
      <c r="B51" s="1" t="s">
        <v>180</v>
      </c>
      <c r="C51" s="1" t="s">
        <v>53</v>
      </c>
      <c r="D51" s="1">
        <v>8.0</v>
      </c>
      <c r="E51" s="1">
        <v>2415.0</v>
      </c>
      <c r="F51" s="1">
        <v>2343.0</v>
      </c>
      <c r="G51" s="1">
        <v>9841.0</v>
      </c>
      <c r="H51" s="1">
        <v>0.2454</v>
      </c>
      <c r="I51" s="1">
        <v>0.2381</v>
      </c>
      <c r="J51" s="1">
        <v>0.0073</v>
      </c>
      <c r="K51" s="1">
        <v>5656.0</v>
      </c>
    </row>
    <row r="52">
      <c r="A52" s="1" t="s">
        <v>19</v>
      </c>
      <c r="B52" s="1" t="s">
        <v>180</v>
      </c>
      <c r="C52" s="1" t="s">
        <v>53</v>
      </c>
      <c r="D52" s="1">
        <v>9.0</v>
      </c>
      <c r="E52" s="1">
        <v>2009.0</v>
      </c>
      <c r="F52" s="1">
        <v>2230.0</v>
      </c>
      <c r="G52" s="1">
        <v>9841.0</v>
      </c>
      <c r="H52" s="1">
        <v>0.2041</v>
      </c>
      <c r="I52" s="1">
        <v>0.2266</v>
      </c>
      <c r="J52" s="1">
        <v>-0.0225</v>
      </c>
      <c r="K52" s="1">
        <v>5623.0</v>
      </c>
    </row>
    <row r="53">
      <c r="A53" s="1" t="s">
        <v>19</v>
      </c>
      <c r="B53" s="1" t="s">
        <v>180</v>
      </c>
      <c r="C53" s="1" t="s">
        <v>53</v>
      </c>
      <c r="D53" s="1">
        <v>10.0</v>
      </c>
      <c r="E53" s="1">
        <v>1952.0</v>
      </c>
      <c r="F53" s="1">
        <v>2057.0</v>
      </c>
      <c r="G53" s="1">
        <v>9841.0</v>
      </c>
      <c r="H53" s="1">
        <v>0.1984</v>
      </c>
      <c r="I53" s="1">
        <v>0.209</v>
      </c>
      <c r="J53" s="1">
        <v>-0.0107</v>
      </c>
      <c r="K53" s="1">
        <v>5512.0</v>
      </c>
    </row>
    <row r="54">
      <c r="A54" s="1" t="s">
        <v>19</v>
      </c>
      <c r="B54" s="1" t="s">
        <v>180</v>
      </c>
      <c r="C54" s="1" t="s">
        <v>53</v>
      </c>
      <c r="D54" s="1">
        <v>11.0</v>
      </c>
      <c r="E54" s="1">
        <v>1916.0</v>
      </c>
      <c r="F54" s="1">
        <v>1897.0</v>
      </c>
      <c r="G54" s="1">
        <v>9841.0</v>
      </c>
      <c r="H54" s="1">
        <v>0.1947</v>
      </c>
      <c r="I54" s="1">
        <v>0.1928</v>
      </c>
      <c r="J54" s="1">
        <v>0.0019</v>
      </c>
      <c r="K54" s="1">
        <v>5521.0</v>
      </c>
    </row>
    <row r="55">
      <c r="A55" s="1" t="s">
        <v>19</v>
      </c>
      <c r="B55" s="1" t="s">
        <v>180</v>
      </c>
      <c r="C55" s="1" t="s">
        <v>53</v>
      </c>
      <c r="D55" s="1">
        <v>12.0</v>
      </c>
      <c r="E55" s="1">
        <v>1979.0</v>
      </c>
      <c r="F55" s="1">
        <v>1990.0</v>
      </c>
      <c r="G55" s="1">
        <v>9841.0</v>
      </c>
      <c r="H55" s="1">
        <v>0.2011</v>
      </c>
      <c r="I55" s="1">
        <v>0.2022</v>
      </c>
      <c r="J55" s="1">
        <v>-0.0011</v>
      </c>
      <c r="K55" s="1">
        <v>5487.0</v>
      </c>
    </row>
    <row r="56">
      <c r="A56" s="1" t="s">
        <v>19</v>
      </c>
      <c r="B56" s="1" t="s">
        <v>180</v>
      </c>
      <c r="C56" s="1" t="s">
        <v>53</v>
      </c>
      <c r="D56" s="1">
        <v>13.0</v>
      </c>
      <c r="E56" s="1">
        <v>1484.0</v>
      </c>
      <c r="F56" s="1">
        <v>1886.0</v>
      </c>
      <c r="G56" s="1">
        <v>9841.0</v>
      </c>
      <c r="H56" s="1">
        <v>0.1508</v>
      </c>
      <c r="I56" s="1">
        <v>0.1916</v>
      </c>
      <c r="J56" s="1">
        <v>-0.0408</v>
      </c>
      <c r="K56" s="1">
        <v>5485.0</v>
      </c>
    </row>
    <row r="57">
      <c r="A57" s="1" t="s">
        <v>19</v>
      </c>
      <c r="B57" s="1" t="s">
        <v>180</v>
      </c>
      <c r="C57" s="1" t="s">
        <v>53</v>
      </c>
      <c r="D57" s="1">
        <v>14.0</v>
      </c>
      <c r="E57" s="1">
        <v>1353.0</v>
      </c>
      <c r="F57" s="1">
        <v>1818.0</v>
      </c>
      <c r="G57" s="1">
        <v>9841.0</v>
      </c>
      <c r="H57" s="1">
        <v>0.1375</v>
      </c>
      <c r="I57" s="1">
        <v>0.1847</v>
      </c>
      <c r="J57" s="1">
        <v>-0.0473</v>
      </c>
      <c r="K57" s="1">
        <v>5424.0</v>
      </c>
    </row>
    <row r="58">
      <c r="A58" s="1" t="s">
        <v>19</v>
      </c>
      <c r="B58" s="1" t="s">
        <v>180</v>
      </c>
      <c r="C58" s="1" t="s">
        <v>53</v>
      </c>
      <c r="D58" s="1">
        <v>15.0</v>
      </c>
      <c r="E58" s="1">
        <v>2249.0</v>
      </c>
      <c r="F58" s="1">
        <v>2052.0</v>
      </c>
      <c r="G58" s="1">
        <v>9841.0</v>
      </c>
      <c r="H58" s="1">
        <v>0.2285</v>
      </c>
      <c r="I58" s="1">
        <v>0.2085</v>
      </c>
      <c r="J58" s="1">
        <v>0.02</v>
      </c>
      <c r="K58" s="1">
        <v>5222.0</v>
      </c>
    </row>
    <row r="59">
      <c r="A59" s="1" t="s">
        <v>19</v>
      </c>
      <c r="B59" s="1" t="s">
        <v>180</v>
      </c>
      <c r="C59" s="1" t="s">
        <v>53</v>
      </c>
      <c r="D59" s="1">
        <v>16.0</v>
      </c>
      <c r="E59" s="1">
        <v>1813.0</v>
      </c>
      <c r="F59" s="1">
        <v>2030.0</v>
      </c>
      <c r="G59" s="1">
        <v>9841.0</v>
      </c>
      <c r="H59" s="1">
        <v>0.1842</v>
      </c>
      <c r="I59" s="1">
        <v>0.2063</v>
      </c>
      <c r="J59" s="1">
        <v>-0.0221</v>
      </c>
      <c r="K59" s="1">
        <v>5471.0</v>
      </c>
    </row>
    <row r="60">
      <c r="A60" s="1" t="s">
        <v>19</v>
      </c>
      <c r="B60" s="1" t="s">
        <v>180</v>
      </c>
      <c r="C60" s="1" t="s">
        <v>53</v>
      </c>
      <c r="D60" s="1">
        <v>17.0</v>
      </c>
      <c r="E60" s="1">
        <v>1887.0</v>
      </c>
      <c r="F60" s="1">
        <v>1833.0</v>
      </c>
      <c r="G60" s="1">
        <v>9841.0</v>
      </c>
      <c r="H60" s="1">
        <v>0.1917</v>
      </c>
      <c r="I60" s="1">
        <v>0.1863</v>
      </c>
      <c r="J60" s="1">
        <v>0.0055</v>
      </c>
      <c r="K60" s="1">
        <v>5149.0</v>
      </c>
    </row>
    <row r="61">
      <c r="A61" s="1" t="s">
        <v>19</v>
      </c>
      <c r="B61" s="1" t="s">
        <v>180</v>
      </c>
      <c r="C61" s="1" t="s">
        <v>53</v>
      </c>
      <c r="D61" s="1">
        <v>18.0</v>
      </c>
      <c r="E61" s="1">
        <v>1706.0</v>
      </c>
      <c r="F61" s="1">
        <v>1851.0</v>
      </c>
      <c r="G61" s="1">
        <v>9841.0</v>
      </c>
      <c r="H61" s="1">
        <v>0.1734</v>
      </c>
      <c r="I61" s="1">
        <v>0.1881</v>
      </c>
      <c r="J61" s="1">
        <v>-0.0147</v>
      </c>
      <c r="K61" s="1">
        <v>5210.0</v>
      </c>
    </row>
    <row r="62">
      <c r="A62" s="1" t="s">
        <v>19</v>
      </c>
      <c r="B62" s="1" t="s">
        <v>180</v>
      </c>
      <c r="C62" s="1" t="s">
        <v>53</v>
      </c>
      <c r="D62" s="1">
        <v>19.0</v>
      </c>
      <c r="E62" s="1">
        <v>2019.0</v>
      </c>
      <c r="F62" s="1">
        <v>1971.0</v>
      </c>
      <c r="G62" s="1">
        <v>9841.0</v>
      </c>
      <c r="H62" s="1">
        <v>0.2052</v>
      </c>
      <c r="I62" s="1">
        <v>0.2003</v>
      </c>
      <c r="J62" s="1">
        <v>0.0049</v>
      </c>
      <c r="K62" s="1">
        <v>4774.0</v>
      </c>
    </row>
    <row r="63">
      <c r="A63" s="1" t="s">
        <v>19</v>
      </c>
      <c r="B63" s="1" t="s">
        <v>180</v>
      </c>
      <c r="C63" s="1" t="s">
        <v>53</v>
      </c>
      <c r="D63" s="1">
        <v>20.0</v>
      </c>
      <c r="E63" s="1">
        <v>1396.0</v>
      </c>
      <c r="F63" s="1">
        <v>1723.0</v>
      </c>
      <c r="G63" s="1">
        <v>9841.0</v>
      </c>
      <c r="H63" s="1">
        <v>0.1419</v>
      </c>
      <c r="I63" s="1">
        <v>0.1751</v>
      </c>
      <c r="J63" s="1">
        <v>-0.0332</v>
      </c>
      <c r="K63" s="1">
        <v>4799.0</v>
      </c>
    </row>
    <row r="64">
      <c r="A64" s="1" t="s">
        <v>19</v>
      </c>
      <c r="B64" s="1" t="s">
        <v>180</v>
      </c>
      <c r="C64" s="1" t="s">
        <v>53</v>
      </c>
      <c r="D64" s="1">
        <v>21.0</v>
      </c>
      <c r="E64" s="1">
        <v>1369.0</v>
      </c>
      <c r="F64" s="1">
        <v>1817.0</v>
      </c>
      <c r="G64" s="1">
        <v>9841.0</v>
      </c>
      <c r="H64" s="1">
        <v>0.1391</v>
      </c>
      <c r="I64" s="1">
        <v>0.1846</v>
      </c>
      <c r="J64" s="1">
        <v>-0.0455</v>
      </c>
      <c r="K64" s="1">
        <v>4749.0</v>
      </c>
    </row>
    <row r="65">
      <c r="A65" s="1" t="s">
        <v>19</v>
      </c>
      <c r="B65" s="1" t="s">
        <v>180</v>
      </c>
      <c r="C65" s="1" t="s">
        <v>54</v>
      </c>
      <c r="D65" s="1">
        <v>1.0</v>
      </c>
      <c r="E65" s="1">
        <v>1890.0</v>
      </c>
      <c r="F65" s="1">
        <v>1641.0</v>
      </c>
      <c r="G65" s="1">
        <v>6564.0</v>
      </c>
      <c r="H65" s="1">
        <v>0.2879</v>
      </c>
      <c r="I65" s="1">
        <v>0.25</v>
      </c>
      <c r="J65" s="1">
        <v>0.0379</v>
      </c>
      <c r="K65" s="1">
        <v>7552.0</v>
      </c>
    </row>
    <row r="66">
      <c r="A66" s="1" t="s">
        <v>19</v>
      </c>
      <c r="B66" s="1" t="s">
        <v>180</v>
      </c>
      <c r="C66" s="1" t="s">
        <v>54</v>
      </c>
      <c r="D66" s="1">
        <v>2.0</v>
      </c>
      <c r="E66" s="1">
        <v>967.0</v>
      </c>
      <c r="F66" s="1">
        <v>1395.0</v>
      </c>
      <c r="G66" s="1">
        <v>6564.0</v>
      </c>
      <c r="H66" s="1">
        <v>0.1473</v>
      </c>
      <c r="I66" s="1">
        <v>0.2125</v>
      </c>
      <c r="J66" s="1">
        <v>-0.0652</v>
      </c>
      <c r="K66" s="1">
        <v>7017.0</v>
      </c>
    </row>
    <row r="67">
      <c r="A67" s="1" t="s">
        <v>19</v>
      </c>
      <c r="B67" s="1" t="s">
        <v>180</v>
      </c>
      <c r="C67" s="1" t="s">
        <v>54</v>
      </c>
      <c r="D67" s="1">
        <v>3.0</v>
      </c>
      <c r="E67" s="1">
        <v>867.0</v>
      </c>
      <c r="F67" s="1">
        <v>1182.0</v>
      </c>
      <c r="G67" s="1">
        <v>6564.0</v>
      </c>
      <c r="H67" s="1">
        <v>0.1321</v>
      </c>
      <c r="I67" s="1">
        <v>0.1801</v>
      </c>
      <c r="J67" s="1">
        <v>-0.048</v>
      </c>
      <c r="K67" s="1">
        <v>6713.0</v>
      </c>
    </row>
    <row r="68">
      <c r="A68" s="1" t="s">
        <v>19</v>
      </c>
      <c r="B68" s="1" t="s">
        <v>180</v>
      </c>
      <c r="C68" s="1" t="s">
        <v>54</v>
      </c>
      <c r="D68" s="1">
        <v>4.0</v>
      </c>
      <c r="E68" s="1">
        <v>821.0</v>
      </c>
      <c r="F68" s="1">
        <v>1216.0</v>
      </c>
      <c r="G68" s="1">
        <v>6564.0</v>
      </c>
      <c r="H68" s="1">
        <v>0.1251</v>
      </c>
      <c r="I68" s="1">
        <v>0.1853</v>
      </c>
      <c r="J68" s="1">
        <v>-0.0602</v>
      </c>
      <c r="K68" s="1">
        <v>6140.0</v>
      </c>
    </row>
    <row r="69">
      <c r="A69" s="1" t="s">
        <v>19</v>
      </c>
      <c r="B69" s="1" t="s">
        <v>180</v>
      </c>
      <c r="C69" s="1" t="s">
        <v>54</v>
      </c>
      <c r="D69" s="1">
        <v>5.0</v>
      </c>
      <c r="E69" s="1">
        <v>864.0</v>
      </c>
      <c r="F69" s="1">
        <v>1208.0</v>
      </c>
      <c r="G69" s="1">
        <v>6564.0</v>
      </c>
      <c r="H69" s="1">
        <v>0.1316</v>
      </c>
      <c r="I69" s="1">
        <v>0.184</v>
      </c>
      <c r="J69" s="1">
        <v>-0.0524</v>
      </c>
      <c r="K69" s="1">
        <v>6059.0</v>
      </c>
    </row>
    <row r="70">
      <c r="A70" s="1" t="s">
        <v>19</v>
      </c>
      <c r="B70" s="1" t="s">
        <v>180</v>
      </c>
      <c r="C70" s="1" t="s">
        <v>54</v>
      </c>
      <c r="D70" s="1">
        <v>6.0</v>
      </c>
      <c r="E70" s="1">
        <v>522.0</v>
      </c>
      <c r="F70" s="1">
        <v>1057.0</v>
      </c>
      <c r="G70" s="1">
        <v>6564.0</v>
      </c>
      <c r="H70" s="1">
        <v>0.0795</v>
      </c>
      <c r="I70" s="1">
        <v>0.161</v>
      </c>
      <c r="J70" s="1">
        <v>-0.0815</v>
      </c>
      <c r="K70" s="1">
        <v>5911.0</v>
      </c>
    </row>
    <row r="71">
      <c r="A71" s="1" t="s">
        <v>19</v>
      </c>
      <c r="B71" s="1" t="s">
        <v>180</v>
      </c>
      <c r="C71" s="1" t="s">
        <v>54</v>
      </c>
      <c r="D71" s="1">
        <v>7.0</v>
      </c>
      <c r="E71" s="1">
        <v>495.0</v>
      </c>
      <c r="F71" s="1">
        <v>995.0</v>
      </c>
      <c r="G71" s="1">
        <v>6564.0</v>
      </c>
      <c r="H71" s="1">
        <v>0.0754</v>
      </c>
      <c r="I71" s="1">
        <v>0.1516</v>
      </c>
      <c r="J71" s="1">
        <v>-0.0762</v>
      </c>
      <c r="K71" s="1">
        <v>5939.0</v>
      </c>
    </row>
    <row r="72">
      <c r="A72" s="1" t="s">
        <v>19</v>
      </c>
      <c r="B72" s="1" t="s">
        <v>180</v>
      </c>
      <c r="C72" s="1" t="s">
        <v>54</v>
      </c>
      <c r="D72" s="1">
        <v>8.0</v>
      </c>
      <c r="E72" s="1">
        <v>1720.0</v>
      </c>
      <c r="F72" s="1">
        <v>1528.0</v>
      </c>
      <c r="G72" s="1">
        <v>6564.0</v>
      </c>
      <c r="H72" s="1">
        <v>0.262</v>
      </c>
      <c r="I72" s="1">
        <v>0.2328</v>
      </c>
      <c r="J72" s="1">
        <v>0.0293</v>
      </c>
      <c r="K72" s="1">
        <v>5656.0</v>
      </c>
    </row>
    <row r="73">
      <c r="A73" s="1" t="s">
        <v>19</v>
      </c>
      <c r="B73" s="1" t="s">
        <v>180</v>
      </c>
      <c r="C73" s="1" t="s">
        <v>54</v>
      </c>
      <c r="D73" s="1">
        <v>9.0</v>
      </c>
      <c r="E73" s="1">
        <v>906.0</v>
      </c>
      <c r="F73" s="1">
        <v>1250.0</v>
      </c>
      <c r="G73" s="1">
        <v>6564.0</v>
      </c>
      <c r="H73" s="1">
        <v>0.138</v>
      </c>
      <c r="I73" s="1">
        <v>0.1904</v>
      </c>
      <c r="J73" s="1">
        <v>-0.0524</v>
      </c>
      <c r="K73" s="1">
        <v>5623.0</v>
      </c>
    </row>
    <row r="74">
      <c r="A74" s="1" t="s">
        <v>19</v>
      </c>
      <c r="B74" s="1" t="s">
        <v>180</v>
      </c>
      <c r="C74" s="1" t="s">
        <v>54</v>
      </c>
      <c r="D74" s="1">
        <v>10.0</v>
      </c>
      <c r="E74" s="1">
        <v>683.0</v>
      </c>
      <c r="F74" s="1">
        <v>1069.0</v>
      </c>
      <c r="G74" s="1">
        <v>6564.0</v>
      </c>
      <c r="H74" s="1">
        <v>0.1041</v>
      </c>
      <c r="I74" s="1">
        <v>0.1629</v>
      </c>
      <c r="J74" s="1">
        <v>-0.0588</v>
      </c>
      <c r="K74" s="1">
        <v>5512.0</v>
      </c>
    </row>
    <row r="75">
      <c r="A75" s="1" t="s">
        <v>19</v>
      </c>
      <c r="B75" s="1" t="s">
        <v>180</v>
      </c>
      <c r="C75" s="1" t="s">
        <v>54</v>
      </c>
      <c r="D75" s="1">
        <v>11.0</v>
      </c>
      <c r="E75" s="1">
        <v>703.0</v>
      </c>
      <c r="F75" s="1">
        <v>1006.0</v>
      </c>
      <c r="G75" s="1">
        <v>6564.0</v>
      </c>
      <c r="H75" s="1">
        <v>0.1071</v>
      </c>
      <c r="I75" s="1">
        <v>0.1533</v>
      </c>
      <c r="J75" s="1">
        <v>-0.0462</v>
      </c>
      <c r="K75" s="1">
        <v>5521.0</v>
      </c>
    </row>
    <row r="76">
      <c r="A76" s="1" t="s">
        <v>19</v>
      </c>
      <c r="B76" s="1" t="s">
        <v>180</v>
      </c>
      <c r="C76" s="1" t="s">
        <v>54</v>
      </c>
      <c r="D76" s="1">
        <v>12.0</v>
      </c>
      <c r="E76" s="1">
        <v>690.0</v>
      </c>
      <c r="F76" s="1">
        <v>1014.0</v>
      </c>
      <c r="G76" s="1">
        <v>6564.0</v>
      </c>
      <c r="H76" s="1">
        <v>0.1051</v>
      </c>
      <c r="I76" s="1">
        <v>0.1545</v>
      </c>
      <c r="J76" s="1">
        <v>-0.0494</v>
      </c>
      <c r="K76" s="1">
        <v>5487.0</v>
      </c>
    </row>
    <row r="77">
      <c r="A77" s="1" t="s">
        <v>19</v>
      </c>
      <c r="B77" s="1" t="s">
        <v>180</v>
      </c>
      <c r="C77" s="1" t="s">
        <v>54</v>
      </c>
      <c r="D77" s="1">
        <v>13.0</v>
      </c>
      <c r="E77" s="1">
        <v>494.0</v>
      </c>
      <c r="F77" s="1">
        <v>921.0</v>
      </c>
      <c r="G77" s="1">
        <v>6564.0</v>
      </c>
      <c r="H77" s="1">
        <v>0.0753</v>
      </c>
      <c r="I77" s="1">
        <v>0.1403</v>
      </c>
      <c r="J77" s="1">
        <v>-0.0651</v>
      </c>
      <c r="K77" s="1">
        <v>5485.0</v>
      </c>
    </row>
    <row r="78">
      <c r="A78" s="1" t="s">
        <v>19</v>
      </c>
      <c r="B78" s="1" t="s">
        <v>180</v>
      </c>
      <c r="C78" s="1" t="s">
        <v>54</v>
      </c>
      <c r="D78" s="1">
        <v>14.0</v>
      </c>
      <c r="E78" s="1">
        <v>396.0</v>
      </c>
      <c r="F78" s="1">
        <v>834.0</v>
      </c>
      <c r="G78" s="1">
        <v>6564.0</v>
      </c>
      <c r="H78" s="1">
        <v>0.0603</v>
      </c>
      <c r="I78" s="1">
        <v>0.1271</v>
      </c>
      <c r="J78" s="1">
        <v>-0.0667</v>
      </c>
      <c r="K78" s="1">
        <v>5424.0</v>
      </c>
    </row>
    <row r="79">
      <c r="A79" s="1" t="s">
        <v>19</v>
      </c>
      <c r="B79" s="1" t="s">
        <v>180</v>
      </c>
      <c r="C79" s="1" t="s">
        <v>54</v>
      </c>
      <c r="D79" s="1">
        <v>15.0</v>
      </c>
      <c r="E79" s="1">
        <v>1618.0</v>
      </c>
      <c r="F79" s="1">
        <v>1235.0</v>
      </c>
      <c r="G79" s="1">
        <v>6564.0</v>
      </c>
      <c r="H79" s="1">
        <v>0.2465</v>
      </c>
      <c r="I79" s="1">
        <v>0.1881</v>
      </c>
      <c r="J79" s="1">
        <v>0.0583</v>
      </c>
      <c r="K79" s="1">
        <v>5222.0</v>
      </c>
    </row>
    <row r="80">
      <c r="A80" s="1" t="s">
        <v>19</v>
      </c>
      <c r="B80" s="1" t="s">
        <v>180</v>
      </c>
      <c r="C80" s="1" t="s">
        <v>54</v>
      </c>
      <c r="D80" s="1">
        <v>16.0</v>
      </c>
      <c r="E80" s="1">
        <v>809.0</v>
      </c>
      <c r="F80" s="1">
        <v>1122.0</v>
      </c>
      <c r="G80" s="1">
        <v>6564.0</v>
      </c>
      <c r="H80" s="1">
        <v>0.1232</v>
      </c>
      <c r="I80" s="1">
        <v>0.1709</v>
      </c>
      <c r="J80" s="1">
        <v>-0.0477</v>
      </c>
      <c r="K80" s="1">
        <v>5471.0</v>
      </c>
    </row>
    <row r="81">
      <c r="A81" s="1" t="s">
        <v>19</v>
      </c>
      <c r="B81" s="1" t="s">
        <v>180</v>
      </c>
      <c r="C81" s="1" t="s">
        <v>54</v>
      </c>
      <c r="D81" s="1">
        <v>17.0</v>
      </c>
      <c r="E81" s="1">
        <v>658.0</v>
      </c>
      <c r="F81" s="1">
        <v>929.0</v>
      </c>
      <c r="G81" s="1">
        <v>6564.0</v>
      </c>
      <c r="H81" s="1">
        <v>0.1002</v>
      </c>
      <c r="I81" s="1">
        <v>0.1415</v>
      </c>
      <c r="J81" s="1">
        <v>-0.0413</v>
      </c>
      <c r="K81" s="1">
        <v>5149.0</v>
      </c>
    </row>
    <row r="82">
      <c r="A82" s="1" t="s">
        <v>19</v>
      </c>
      <c r="B82" s="1" t="s">
        <v>180</v>
      </c>
      <c r="C82" s="1" t="s">
        <v>54</v>
      </c>
      <c r="D82" s="1">
        <v>18.0</v>
      </c>
      <c r="E82" s="1">
        <v>625.0</v>
      </c>
      <c r="F82" s="1">
        <v>963.0</v>
      </c>
      <c r="G82" s="1">
        <v>6564.0</v>
      </c>
      <c r="H82" s="1">
        <v>0.0952</v>
      </c>
      <c r="I82" s="1">
        <v>0.1467</v>
      </c>
      <c r="J82" s="1">
        <v>-0.0515</v>
      </c>
      <c r="K82" s="1">
        <v>5210.0</v>
      </c>
    </row>
    <row r="83">
      <c r="A83" s="1" t="s">
        <v>19</v>
      </c>
      <c r="B83" s="1" t="s">
        <v>180</v>
      </c>
      <c r="C83" s="1" t="s">
        <v>54</v>
      </c>
      <c r="D83" s="1">
        <v>19.0</v>
      </c>
      <c r="E83" s="1">
        <v>665.0</v>
      </c>
      <c r="F83" s="1">
        <v>834.0</v>
      </c>
      <c r="G83" s="1">
        <v>6564.0</v>
      </c>
      <c r="H83" s="1">
        <v>0.1013</v>
      </c>
      <c r="I83" s="1">
        <v>0.1271</v>
      </c>
      <c r="J83" s="1">
        <v>-0.0257</v>
      </c>
      <c r="K83" s="1">
        <v>4774.0</v>
      </c>
    </row>
    <row r="84">
      <c r="A84" s="1" t="s">
        <v>19</v>
      </c>
      <c r="B84" s="1" t="s">
        <v>180</v>
      </c>
      <c r="C84" s="1" t="s">
        <v>54</v>
      </c>
      <c r="D84" s="1">
        <v>20.0</v>
      </c>
      <c r="E84" s="1">
        <v>456.0</v>
      </c>
      <c r="F84" s="1">
        <v>829.0</v>
      </c>
      <c r="G84" s="1">
        <v>6564.0</v>
      </c>
      <c r="H84" s="1">
        <v>0.0695</v>
      </c>
      <c r="I84" s="1">
        <v>0.1263</v>
      </c>
      <c r="J84" s="1">
        <v>-0.0568</v>
      </c>
      <c r="K84" s="1">
        <v>4799.0</v>
      </c>
    </row>
    <row r="85">
      <c r="A85" s="1" t="s">
        <v>19</v>
      </c>
      <c r="B85" s="1" t="s">
        <v>180</v>
      </c>
      <c r="C85" s="1" t="s">
        <v>54</v>
      </c>
      <c r="D85" s="1">
        <v>21.0</v>
      </c>
      <c r="E85" s="1">
        <v>455.0</v>
      </c>
      <c r="F85" s="1">
        <v>849.0</v>
      </c>
      <c r="G85" s="1">
        <v>6564.0</v>
      </c>
      <c r="H85" s="1">
        <v>0.0693</v>
      </c>
      <c r="I85" s="1">
        <v>0.1293</v>
      </c>
      <c r="J85" s="1">
        <v>-0.06</v>
      </c>
      <c r="K85" s="1">
        <v>4749.0</v>
      </c>
    </row>
    <row r="86">
      <c r="A86" s="1" t="s">
        <v>19</v>
      </c>
      <c r="B86" s="1" t="s">
        <v>180</v>
      </c>
      <c r="C86" s="1" t="s">
        <v>47</v>
      </c>
      <c r="D86" s="1">
        <v>1.0</v>
      </c>
      <c r="E86" s="1">
        <v>7539.0</v>
      </c>
      <c r="F86" s="1">
        <v>5012.0</v>
      </c>
      <c r="G86" s="1">
        <v>16481.0</v>
      </c>
      <c r="H86" s="1">
        <v>0.4574</v>
      </c>
      <c r="I86" s="1">
        <v>0.3041</v>
      </c>
      <c r="J86" s="1">
        <v>0.1533</v>
      </c>
      <c r="K86" s="1">
        <v>7552.0</v>
      </c>
    </row>
    <row r="87">
      <c r="A87" s="1" t="s">
        <v>19</v>
      </c>
      <c r="B87" s="1" t="s">
        <v>180</v>
      </c>
      <c r="C87" s="1" t="s">
        <v>47</v>
      </c>
      <c r="D87" s="1">
        <v>2.0</v>
      </c>
      <c r="E87" s="1">
        <v>5217.0</v>
      </c>
      <c r="F87" s="1">
        <v>4501.0</v>
      </c>
      <c r="G87" s="1">
        <v>16481.0</v>
      </c>
      <c r="H87" s="1">
        <v>0.3165</v>
      </c>
      <c r="I87" s="1">
        <v>0.2731</v>
      </c>
      <c r="J87" s="1">
        <v>0.0434</v>
      </c>
      <c r="K87" s="1">
        <v>7017.0</v>
      </c>
    </row>
    <row r="88">
      <c r="A88" s="1" t="s">
        <v>19</v>
      </c>
      <c r="B88" s="1" t="s">
        <v>180</v>
      </c>
      <c r="C88" s="1" t="s">
        <v>47</v>
      </c>
      <c r="D88" s="1">
        <v>3.0</v>
      </c>
      <c r="E88" s="1">
        <v>4330.0</v>
      </c>
      <c r="F88" s="1">
        <v>3975.0</v>
      </c>
      <c r="G88" s="1">
        <v>16481.0</v>
      </c>
      <c r="H88" s="1">
        <v>0.2627</v>
      </c>
      <c r="I88" s="1">
        <v>0.2412</v>
      </c>
      <c r="J88" s="1">
        <v>0.0215</v>
      </c>
      <c r="K88" s="1">
        <v>6713.0</v>
      </c>
    </row>
    <row r="89">
      <c r="A89" s="1" t="s">
        <v>19</v>
      </c>
      <c r="B89" s="1" t="s">
        <v>180</v>
      </c>
      <c r="C89" s="1" t="s">
        <v>47</v>
      </c>
      <c r="D89" s="1">
        <v>4.0</v>
      </c>
      <c r="E89" s="1">
        <v>4027.0</v>
      </c>
      <c r="F89" s="1">
        <v>3663.0</v>
      </c>
      <c r="G89" s="1">
        <v>16481.0</v>
      </c>
      <c r="H89" s="1">
        <v>0.2443</v>
      </c>
      <c r="I89" s="1">
        <v>0.2223</v>
      </c>
      <c r="J89" s="1">
        <v>0.0221</v>
      </c>
      <c r="K89" s="1">
        <v>6140.0</v>
      </c>
    </row>
    <row r="90">
      <c r="A90" s="1" t="s">
        <v>19</v>
      </c>
      <c r="B90" s="1" t="s">
        <v>180</v>
      </c>
      <c r="C90" s="1" t="s">
        <v>47</v>
      </c>
      <c r="D90" s="1">
        <v>5.0</v>
      </c>
      <c r="E90" s="1">
        <v>5231.0</v>
      </c>
      <c r="F90" s="1">
        <v>4034.0</v>
      </c>
      <c r="G90" s="1">
        <v>16481.0</v>
      </c>
      <c r="H90" s="1">
        <v>0.3174</v>
      </c>
      <c r="I90" s="1">
        <v>0.2448</v>
      </c>
      <c r="J90" s="1">
        <v>0.0726</v>
      </c>
      <c r="K90" s="1">
        <v>6059.0</v>
      </c>
    </row>
    <row r="91">
      <c r="A91" s="1" t="s">
        <v>19</v>
      </c>
      <c r="B91" s="1" t="s">
        <v>180</v>
      </c>
      <c r="C91" s="1" t="s">
        <v>47</v>
      </c>
      <c r="D91" s="1">
        <v>6.0</v>
      </c>
      <c r="E91" s="1">
        <v>4060.0</v>
      </c>
      <c r="F91" s="1">
        <v>3640.0</v>
      </c>
      <c r="G91" s="1">
        <v>16481.0</v>
      </c>
      <c r="H91" s="1">
        <v>0.2463</v>
      </c>
      <c r="I91" s="1">
        <v>0.2209</v>
      </c>
      <c r="J91" s="1">
        <v>0.0255</v>
      </c>
      <c r="K91" s="1">
        <v>5911.0</v>
      </c>
    </row>
    <row r="92">
      <c r="A92" s="1" t="s">
        <v>19</v>
      </c>
      <c r="B92" s="1" t="s">
        <v>180</v>
      </c>
      <c r="C92" s="1" t="s">
        <v>47</v>
      </c>
      <c r="D92" s="1">
        <v>7.0</v>
      </c>
      <c r="E92" s="1">
        <v>3742.0</v>
      </c>
      <c r="F92" s="1">
        <v>3567.0</v>
      </c>
      <c r="G92" s="1">
        <v>16481.0</v>
      </c>
      <c r="H92" s="1">
        <v>0.227</v>
      </c>
      <c r="I92" s="1">
        <v>0.2164</v>
      </c>
      <c r="J92" s="1">
        <v>0.0106</v>
      </c>
      <c r="K92" s="1">
        <v>5939.0</v>
      </c>
    </row>
    <row r="93">
      <c r="A93" s="1" t="s">
        <v>19</v>
      </c>
      <c r="B93" s="1" t="s">
        <v>180</v>
      </c>
      <c r="C93" s="1" t="s">
        <v>47</v>
      </c>
      <c r="D93" s="1">
        <v>8.0</v>
      </c>
      <c r="E93" s="1">
        <v>6877.0</v>
      </c>
      <c r="F93" s="1">
        <v>4320.0</v>
      </c>
      <c r="G93" s="1">
        <v>16481.0</v>
      </c>
      <c r="H93" s="1">
        <v>0.4173</v>
      </c>
      <c r="I93" s="1">
        <v>0.2621</v>
      </c>
      <c r="J93" s="1">
        <v>0.1551</v>
      </c>
      <c r="K93" s="1">
        <v>5656.0</v>
      </c>
    </row>
    <row r="94">
      <c r="A94" s="1" t="s">
        <v>19</v>
      </c>
      <c r="B94" s="1" t="s">
        <v>180</v>
      </c>
      <c r="C94" s="1" t="s">
        <v>47</v>
      </c>
      <c r="D94" s="1">
        <v>9.0</v>
      </c>
      <c r="E94" s="1">
        <v>4796.0</v>
      </c>
      <c r="F94" s="1">
        <v>3794.0</v>
      </c>
      <c r="G94" s="1">
        <v>16481.0</v>
      </c>
      <c r="H94" s="1">
        <v>0.291</v>
      </c>
      <c r="I94" s="1">
        <v>0.2302</v>
      </c>
      <c r="J94" s="1">
        <v>0.0608</v>
      </c>
      <c r="K94" s="1">
        <v>5623.0</v>
      </c>
    </row>
    <row r="95">
      <c r="A95" s="1" t="s">
        <v>19</v>
      </c>
      <c r="B95" s="1" t="s">
        <v>180</v>
      </c>
      <c r="C95" s="1" t="s">
        <v>47</v>
      </c>
      <c r="D95" s="1">
        <v>10.0</v>
      </c>
      <c r="E95" s="1">
        <v>3902.0</v>
      </c>
      <c r="F95" s="1">
        <v>3353.0</v>
      </c>
      <c r="G95" s="1">
        <v>16481.0</v>
      </c>
      <c r="H95" s="1">
        <v>0.2368</v>
      </c>
      <c r="I95" s="1">
        <v>0.2034</v>
      </c>
      <c r="J95" s="1">
        <v>0.0333</v>
      </c>
      <c r="K95" s="1">
        <v>5512.0</v>
      </c>
    </row>
    <row r="96">
      <c r="A96" s="1" t="s">
        <v>19</v>
      </c>
      <c r="B96" s="1" t="s">
        <v>180</v>
      </c>
      <c r="C96" s="1" t="s">
        <v>47</v>
      </c>
      <c r="D96" s="1">
        <v>11.0</v>
      </c>
      <c r="E96" s="1">
        <v>3658.0</v>
      </c>
      <c r="F96" s="1">
        <v>3395.0</v>
      </c>
      <c r="G96" s="1">
        <v>16481.0</v>
      </c>
      <c r="H96" s="1">
        <v>0.222</v>
      </c>
      <c r="I96" s="1">
        <v>0.206</v>
      </c>
      <c r="J96" s="1">
        <v>0.016</v>
      </c>
      <c r="K96" s="1">
        <v>5521.0</v>
      </c>
    </row>
    <row r="97">
      <c r="A97" s="1" t="s">
        <v>19</v>
      </c>
      <c r="B97" s="1" t="s">
        <v>180</v>
      </c>
      <c r="C97" s="1" t="s">
        <v>47</v>
      </c>
      <c r="D97" s="1">
        <v>12.0</v>
      </c>
      <c r="E97" s="1">
        <v>4448.0</v>
      </c>
      <c r="F97" s="1">
        <v>3431.0</v>
      </c>
      <c r="G97" s="1">
        <v>16481.0</v>
      </c>
      <c r="H97" s="1">
        <v>0.2699</v>
      </c>
      <c r="I97" s="1">
        <v>0.2082</v>
      </c>
      <c r="J97" s="1">
        <v>0.0617</v>
      </c>
      <c r="K97" s="1">
        <v>5487.0</v>
      </c>
    </row>
    <row r="98">
      <c r="A98" s="1" t="s">
        <v>19</v>
      </c>
      <c r="B98" s="1" t="s">
        <v>180</v>
      </c>
      <c r="C98" s="1" t="s">
        <v>47</v>
      </c>
      <c r="D98" s="1">
        <v>13.0</v>
      </c>
      <c r="E98" s="1">
        <v>3571.0</v>
      </c>
      <c r="F98" s="1">
        <v>3360.0</v>
      </c>
      <c r="G98" s="1">
        <v>16481.0</v>
      </c>
      <c r="H98" s="1">
        <v>0.2167</v>
      </c>
      <c r="I98" s="1">
        <v>0.2039</v>
      </c>
      <c r="J98" s="1">
        <v>0.0128</v>
      </c>
      <c r="K98" s="1">
        <v>5485.0</v>
      </c>
    </row>
    <row r="99">
      <c r="A99" s="1" t="s">
        <v>19</v>
      </c>
      <c r="B99" s="1" t="s">
        <v>180</v>
      </c>
      <c r="C99" s="1" t="s">
        <v>47</v>
      </c>
      <c r="D99" s="1">
        <v>14.0</v>
      </c>
      <c r="E99" s="1">
        <v>3258.0</v>
      </c>
      <c r="F99" s="1">
        <v>3397.0</v>
      </c>
      <c r="G99" s="1">
        <v>16481.0</v>
      </c>
      <c r="H99" s="1">
        <v>0.1977</v>
      </c>
      <c r="I99" s="1">
        <v>0.2061</v>
      </c>
      <c r="J99" s="1">
        <v>-0.0084</v>
      </c>
      <c r="K99" s="1">
        <v>5424.0</v>
      </c>
    </row>
    <row r="100">
      <c r="A100" s="1" t="s">
        <v>19</v>
      </c>
      <c r="B100" s="1" t="s">
        <v>180</v>
      </c>
      <c r="C100" s="1" t="s">
        <v>47</v>
      </c>
      <c r="D100" s="1">
        <v>15.0</v>
      </c>
      <c r="E100" s="1">
        <v>6264.0</v>
      </c>
      <c r="F100" s="1">
        <v>4096.0</v>
      </c>
      <c r="G100" s="1">
        <v>16481.0</v>
      </c>
      <c r="H100" s="1">
        <v>0.3801</v>
      </c>
      <c r="I100" s="1">
        <v>0.2485</v>
      </c>
      <c r="J100" s="1">
        <v>0.1315</v>
      </c>
      <c r="K100" s="1">
        <v>5222.0</v>
      </c>
    </row>
    <row r="101">
      <c r="A101" s="1" t="s">
        <v>19</v>
      </c>
      <c r="B101" s="1" t="s">
        <v>180</v>
      </c>
      <c r="C101" s="1" t="s">
        <v>47</v>
      </c>
      <c r="D101" s="1">
        <v>16.0</v>
      </c>
      <c r="E101" s="1">
        <v>4614.0</v>
      </c>
      <c r="F101" s="1">
        <v>3739.0</v>
      </c>
      <c r="G101" s="1">
        <v>16481.0</v>
      </c>
      <c r="H101" s="1">
        <v>0.28</v>
      </c>
      <c r="I101" s="1">
        <v>0.2269</v>
      </c>
      <c r="J101" s="1">
        <v>0.0531</v>
      </c>
      <c r="K101" s="1">
        <v>5471.0</v>
      </c>
    </row>
    <row r="102">
      <c r="A102" s="1" t="s">
        <v>19</v>
      </c>
      <c r="B102" s="1" t="s">
        <v>180</v>
      </c>
      <c r="C102" s="1" t="s">
        <v>47</v>
      </c>
      <c r="D102" s="1">
        <v>17.0</v>
      </c>
      <c r="E102" s="1">
        <v>3745.0</v>
      </c>
      <c r="F102" s="1">
        <v>3412.0</v>
      </c>
      <c r="G102" s="1">
        <v>16481.0</v>
      </c>
      <c r="H102" s="1">
        <v>0.2272</v>
      </c>
      <c r="I102" s="1">
        <v>0.207</v>
      </c>
      <c r="J102" s="1">
        <v>0.0202</v>
      </c>
      <c r="K102" s="1">
        <v>5149.0</v>
      </c>
    </row>
    <row r="103">
      <c r="A103" s="1" t="s">
        <v>19</v>
      </c>
      <c r="B103" s="1" t="s">
        <v>180</v>
      </c>
      <c r="C103" s="1" t="s">
        <v>47</v>
      </c>
      <c r="D103" s="1">
        <v>18.0</v>
      </c>
      <c r="E103" s="1">
        <v>3009.0</v>
      </c>
      <c r="F103" s="1">
        <v>3248.0</v>
      </c>
      <c r="G103" s="1">
        <v>16481.0</v>
      </c>
      <c r="H103" s="1">
        <v>0.1826</v>
      </c>
      <c r="I103" s="1">
        <v>0.1971</v>
      </c>
      <c r="J103" s="1">
        <v>-0.0145</v>
      </c>
      <c r="K103" s="1">
        <v>5210.0</v>
      </c>
    </row>
    <row r="104">
      <c r="A104" s="1" t="s">
        <v>19</v>
      </c>
      <c r="B104" s="1" t="s">
        <v>180</v>
      </c>
      <c r="C104" s="1" t="s">
        <v>47</v>
      </c>
      <c r="D104" s="1">
        <v>19.0</v>
      </c>
      <c r="E104" s="1">
        <v>4150.0</v>
      </c>
      <c r="F104" s="1">
        <v>3198.0</v>
      </c>
      <c r="G104" s="1">
        <v>16481.0</v>
      </c>
      <c r="H104" s="1">
        <v>0.2518</v>
      </c>
      <c r="I104" s="1">
        <v>0.194</v>
      </c>
      <c r="J104" s="1">
        <v>0.0578</v>
      </c>
      <c r="K104" s="1">
        <v>4774.0</v>
      </c>
    </row>
    <row r="105">
      <c r="A105" s="1" t="s">
        <v>19</v>
      </c>
      <c r="B105" s="1" t="s">
        <v>180</v>
      </c>
      <c r="C105" s="1" t="s">
        <v>47</v>
      </c>
      <c r="D105" s="1">
        <v>20.0</v>
      </c>
      <c r="E105" s="1">
        <v>3309.0</v>
      </c>
      <c r="F105" s="1">
        <v>3148.0</v>
      </c>
      <c r="G105" s="1">
        <v>16481.0</v>
      </c>
      <c r="H105" s="1">
        <v>0.2008</v>
      </c>
      <c r="I105" s="1">
        <v>0.191</v>
      </c>
      <c r="J105" s="1">
        <v>0.0098</v>
      </c>
      <c r="K105" s="1">
        <v>4799.0</v>
      </c>
    </row>
    <row r="106">
      <c r="A106" s="1" t="s">
        <v>19</v>
      </c>
      <c r="B106" s="1" t="s">
        <v>180</v>
      </c>
      <c r="C106" s="1" t="s">
        <v>47</v>
      </c>
      <c r="D106" s="1">
        <v>21.0</v>
      </c>
      <c r="E106" s="1">
        <v>3065.0</v>
      </c>
      <c r="F106" s="1">
        <v>3069.0</v>
      </c>
      <c r="G106" s="1">
        <v>16481.0</v>
      </c>
      <c r="H106" s="1">
        <v>0.186</v>
      </c>
      <c r="I106" s="1">
        <v>0.1862</v>
      </c>
      <c r="J106" s="1">
        <v>-2.0E-4</v>
      </c>
      <c r="K106" s="1">
        <v>4749.0</v>
      </c>
    </row>
    <row r="107">
      <c r="A107" s="1" t="s">
        <v>19</v>
      </c>
      <c r="B107" s="1" t="s">
        <v>180</v>
      </c>
      <c r="C107" s="1" t="s">
        <v>48</v>
      </c>
      <c r="D107" s="1">
        <v>1.0</v>
      </c>
      <c r="E107" s="1">
        <v>6311.0</v>
      </c>
      <c r="F107" s="1">
        <v>3966.0</v>
      </c>
      <c r="G107" s="1">
        <v>20402.0</v>
      </c>
      <c r="H107" s="1">
        <v>0.3093</v>
      </c>
      <c r="I107" s="1">
        <v>0.1944</v>
      </c>
      <c r="J107" s="1">
        <v>0.1149</v>
      </c>
      <c r="K107" s="1">
        <v>7552.0</v>
      </c>
    </row>
    <row r="108">
      <c r="A108" s="1" t="s">
        <v>19</v>
      </c>
      <c r="B108" s="1" t="s">
        <v>180</v>
      </c>
      <c r="C108" s="1" t="s">
        <v>48</v>
      </c>
      <c r="D108" s="1">
        <v>2.0</v>
      </c>
      <c r="E108" s="1">
        <v>5052.0</v>
      </c>
      <c r="F108" s="1">
        <v>3642.0</v>
      </c>
      <c r="G108" s="1">
        <v>20402.0</v>
      </c>
      <c r="H108" s="1">
        <v>0.2476</v>
      </c>
      <c r="I108" s="1">
        <v>0.1785</v>
      </c>
      <c r="J108" s="1">
        <v>0.0691</v>
      </c>
      <c r="K108" s="1">
        <v>7017.0</v>
      </c>
    </row>
    <row r="109">
      <c r="A109" s="1" t="s">
        <v>19</v>
      </c>
      <c r="B109" s="1" t="s">
        <v>180</v>
      </c>
      <c r="C109" s="1" t="s">
        <v>48</v>
      </c>
      <c r="D109" s="1">
        <v>3.0</v>
      </c>
      <c r="E109" s="1">
        <v>4422.0</v>
      </c>
      <c r="F109" s="1">
        <v>3293.0</v>
      </c>
      <c r="G109" s="1">
        <v>20402.0</v>
      </c>
      <c r="H109" s="1">
        <v>0.2167</v>
      </c>
      <c r="I109" s="1">
        <v>0.1614</v>
      </c>
      <c r="J109" s="1">
        <v>0.0553</v>
      </c>
      <c r="K109" s="1">
        <v>6713.0</v>
      </c>
    </row>
    <row r="110">
      <c r="A110" s="1" t="s">
        <v>19</v>
      </c>
      <c r="B110" s="1" t="s">
        <v>180</v>
      </c>
      <c r="C110" s="1" t="s">
        <v>48</v>
      </c>
      <c r="D110" s="1">
        <v>4.0</v>
      </c>
      <c r="E110" s="1">
        <v>3891.0</v>
      </c>
      <c r="F110" s="1">
        <v>3061.0</v>
      </c>
      <c r="G110" s="1">
        <v>20402.0</v>
      </c>
      <c r="H110" s="1">
        <v>0.1907</v>
      </c>
      <c r="I110" s="1">
        <v>0.15</v>
      </c>
      <c r="J110" s="1">
        <v>0.0407</v>
      </c>
      <c r="K110" s="1">
        <v>6140.0</v>
      </c>
    </row>
    <row r="111">
      <c r="A111" s="1" t="s">
        <v>19</v>
      </c>
      <c r="B111" s="1" t="s">
        <v>180</v>
      </c>
      <c r="C111" s="1" t="s">
        <v>48</v>
      </c>
      <c r="D111" s="1">
        <v>5.0</v>
      </c>
      <c r="E111" s="1">
        <v>5364.0</v>
      </c>
      <c r="F111" s="1">
        <v>3537.0</v>
      </c>
      <c r="G111" s="1">
        <v>20402.0</v>
      </c>
      <c r="H111" s="1">
        <v>0.2629</v>
      </c>
      <c r="I111" s="1">
        <v>0.1734</v>
      </c>
      <c r="J111" s="1">
        <v>0.0896</v>
      </c>
      <c r="K111" s="1">
        <v>6059.0</v>
      </c>
    </row>
    <row r="112">
      <c r="A112" s="1" t="s">
        <v>19</v>
      </c>
      <c r="B112" s="1" t="s">
        <v>180</v>
      </c>
      <c r="C112" s="1" t="s">
        <v>48</v>
      </c>
      <c r="D112" s="1">
        <v>6.0</v>
      </c>
      <c r="E112" s="1">
        <v>4254.0</v>
      </c>
      <c r="F112" s="1">
        <v>3215.0</v>
      </c>
      <c r="G112" s="1">
        <v>20402.0</v>
      </c>
      <c r="H112" s="1">
        <v>0.2085</v>
      </c>
      <c r="I112" s="1">
        <v>0.1576</v>
      </c>
      <c r="J112" s="1">
        <v>0.0509</v>
      </c>
      <c r="K112" s="1">
        <v>5911.0</v>
      </c>
    </row>
    <row r="113">
      <c r="A113" s="1" t="s">
        <v>19</v>
      </c>
      <c r="B113" s="1" t="s">
        <v>180</v>
      </c>
      <c r="C113" s="1" t="s">
        <v>48</v>
      </c>
      <c r="D113" s="1">
        <v>7.0</v>
      </c>
      <c r="E113" s="1">
        <v>3798.0</v>
      </c>
      <c r="F113" s="1">
        <v>3040.0</v>
      </c>
      <c r="G113" s="1">
        <v>20402.0</v>
      </c>
      <c r="H113" s="1">
        <v>0.1862</v>
      </c>
      <c r="I113" s="1">
        <v>0.149</v>
      </c>
      <c r="J113" s="1">
        <v>0.0372</v>
      </c>
      <c r="K113" s="1">
        <v>5939.0</v>
      </c>
    </row>
    <row r="114">
      <c r="A114" s="1" t="s">
        <v>19</v>
      </c>
      <c r="B114" s="1" t="s">
        <v>180</v>
      </c>
      <c r="C114" s="1" t="s">
        <v>48</v>
      </c>
      <c r="D114" s="1">
        <v>8.0</v>
      </c>
      <c r="E114" s="1">
        <v>5435.0</v>
      </c>
      <c r="F114" s="1">
        <v>3424.0</v>
      </c>
      <c r="G114" s="1">
        <v>20402.0</v>
      </c>
      <c r="H114" s="1">
        <v>0.2664</v>
      </c>
      <c r="I114" s="1">
        <v>0.1678</v>
      </c>
      <c r="J114" s="1">
        <v>0.0986</v>
      </c>
      <c r="K114" s="1">
        <v>5656.0</v>
      </c>
    </row>
    <row r="115">
      <c r="A115" s="1" t="s">
        <v>19</v>
      </c>
      <c r="B115" s="1" t="s">
        <v>180</v>
      </c>
      <c r="C115" s="1" t="s">
        <v>48</v>
      </c>
      <c r="D115" s="1">
        <v>9.0</v>
      </c>
      <c r="E115" s="1">
        <v>4440.0</v>
      </c>
      <c r="F115" s="1">
        <v>3034.0</v>
      </c>
      <c r="G115" s="1">
        <v>20402.0</v>
      </c>
      <c r="H115" s="1">
        <v>0.2176</v>
      </c>
      <c r="I115" s="1">
        <v>0.1487</v>
      </c>
      <c r="J115" s="1">
        <v>0.0689</v>
      </c>
      <c r="K115" s="1">
        <v>5623.0</v>
      </c>
    </row>
    <row r="116">
      <c r="A116" s="1" t="s">
        <v>19</v>
      </c>
      <c r="B116" s="1" t="s">
        <v>180</v>
      </c>
      <c r="C116" s="1" t="s">
        <v>48</v>
      </c>
      <c r="D116" s="1">
        <v>10.0</v>
      </c>
      <c r="E116" s="1">
        <v>3570.0</v>
      </c>
      <c r="F116" s="1">
        <v>2721.0</v>
      </c>
      <c r="G116" s="1">
        <v>20402.0</v>
      </c>
      <c r="H116" s="1">
        <v>0.175</v>
      </c>
      <c r="I116" s="1">
        <v>0.1334</v>
      </c>
      <c r="J116" s="1">
        <v>0.0416</v>
      </c>
      <c r="K116" s="1">
        <v>5512.0</v>
      </c>
    </row>
    <row r="117">
      <c r="A117" s="1" t="s">
        <v>19</v>
      </c>
      <c r="B117" s="1" t="s">
        <v>180</v>
      </c>
      <c r="C117" s="1" t="s">
        <v>48</v>
      </c>
      <c r="D117" s="1">
        <v>11.0</v>
      </c>
      <c r="E117" s="1">
        <v>3493.0</v>
      </c>
      <c r="F117" s="1">
        <v>2677.0</v>
      </c>
      <c r="G117" s="1">
        <v>20402.0</v>
      </c>
      <c r="H117" s="1">
        <v>0.1712</v>
      </c>
      <c r="I117" s="1">
        <v>0.1312</v>
      </c>
      <c r="J117" s="1">
        <v>0.04</v>
      </c>
      <c r="K117" s="1">
        <v>5521.0</v>
      </c>
    </row>
    <row r="118">
      <c r="A118" s="1" t="s">
        <v>19</v>
      </c>
      <c r="B118" s="1" t="s">
        <v>180</v>
      </c>
      <c r="C118" s="1" t="s">
        <v>48</v>
      </c>
      <c r="D118" s="1">
        <v>12.0</v>
      </c>
      <c r="E118" s="1">
        <v>4460.0</v>
      </c>
      <c r="F118" s="1">
        <v>2948.0</v>
      </c>
      <c r="G118" s="1">
        <v>20402.0</v>
      </c>
      <c r="H118" s="1">
        <v>0.2186</v>
      </c>
      <c r="I118" s="1">
        <v>0.1445</v>
      </c>
      <c r="J118" s="1">
        <v>0.0741</v>
      </c>
      <c r="K118" s="1">
        <v>5487.0</v>
      </c>
    </row>
    <row r="119">
      <c r="A119" s="1" t="s">
        <v>19</v>
      </c>
      <c r="B119" s="1" t="s">
        <v>180</v>
      </c>
      <c r="C119" s="1" t="s">
        <v>48</v>
      </c>
      <c r="D119" s="1">
        <v>13.0</v>
      </c>
      <c r="E119" s="1">
        <v>3687.0</v>
      </c>
      <c r="F119" s="1">
        <v>2831.0</v>
      </c>
      <c r="G119" s="1">
        <v>20402.0</v>
      </c>
      <c r="H119" s="1">
        <v>0.1807</v>
      </c>
      <c r="I119" s="1">
        <v>0.1388</v>
      </c>
      <c r="J119" s="1">
        <v>0.042</v>
      </c>
      <c r="K119" s="1">
        <v>5485.0</v>
      </c>
    </row>
    <row r="120">
      <c r="A120" s="1" t="s">
        <v>19</v>
      </c>
      <c r="B120" s="1" t="s">
        <v>180</v>
      </c>
      <c r="C120" s="1" t="s">
        <v>48</v>
      </c>
      <c r="D120" s="1">
        <v>14.0</v>
      </c>
      <c r="E120" s="1">
        <v>3371.0</v>
      </c>
      <c r="F120" s="1">
        <v>2867.0</v>
      </c>
      <c r="G120" s="1">
        <v>20402.0</v>
      </c>
      <c r="H120" s="1">
        <v>0.1652</v>
      </c>
      <c r="I120" s="1">
        <v>0.1405</v>
      </c>
      <c r="J120" s="1">
        <v>0.0247</v>
      </c>
      <c r="K120" s="1">
        <v>5424.0</v>
      </c>
    </row>
    <row r="121">
      <c r="A121" s="1" t="s">
        <v>19</v>
      </c>
      <c r="B121" s="1" t="s">
        <v>180</v>
      </c>
      <c r="C121" s="1" t="s">
        <v>48</v>
      </c>
      <c r="D121" s="1">
        <v>15.0</v>
      </c>
      <c r="E121" s="1">
        <v>5706.0</v>
      </c>
      <c r="F121" s="1">
        <v>3228.0</v>
      </c>
      <c r="G121" s="1">
        <v>20402.0</v>
      </c>
      <c r="H121" s="1">
        <v>0.2797</v>
      </c>
      <c r="I121" s="1">
        <v>0.1582</v>
      </c>
      <c r="J121" s="1">
        <v>0.1215</v>
      </c>
      <c r="K121" s="1">
        <v>5222.0</v>
      </c>
    </row>
    <row r="122">
      <c r="A122" s="1" t="s">
        <v>19</v>
      </c>
      <c r="B122" s="1" t="s">
        <v>180</v>
      </c>
      <c r="C122" s="1" t="s">
        <v>48</v>
      </c>
      <c r="D122" s="1">
        <v>16.0</v>
      </c>
      <c r="E122" s="1">
        <v>4336.0</v>
      </c>
      <c r="F122" s="1">
        <v>3083.0</v>
      </c>
      <c r="G122" s="1">
        <v>20402.0</v>
      </c>
      <c r="H122" s="1">
        <v>0.2125</v>
      </c>
      <c r="I122" s="1">
        <v>0.1511</v>
      </c>
      <c r="J122" s="1">
        <v>0.0614</v>
      </c>
      <c r="K122" s="1">
        <v>5471.0</v>
      </c>
    </row>
    <row r="123">
      <c r="A123" s="1" t="s">
        <v>19</v>
      </c>
      <c r="B123" s="1" t="s">
        <v>180</v>
      </c>
      <c r="C123" s="1" t="s">
        <v>48</v>
      </c>
      <c r="D123" s="1">
        <v>17.0</v>
      </c>
      <c r="E123" s="1">
        <v>3596.0</v>
      </c>
      <c r="F123" s="1">
        <v>2790.0</v>
      </c>
      <c r="G123" s="1">
        <v>20402.0</v>
      </c>
      <c r="H123" s="1">
        <v>0.1763</v>
      </c>
      <c r="I123" s="1">
        <v>0.1368</v>
      </c>
      <c r="J123" s="1">
        <v>0.0395</v>
      </c>
      <c r="K123" s="1">
        <v>5149.0</v>
      </c>
    </row>
    <row r="124">
      <c r="A124" s="1" t="s">
        <v>19</v>
      </c>
      <c r="B124" s="1" t="s">
        <v>180</v>
      </c>
      <c r="C124" s="1" t="s">
        <v>48</v>
      </c>
      <c r="D124" s="1">
        <v>18.0</v>
      </c>
      <c r="E124" s="1">
        <v>3167.0</v>
      </c>
      <c r="F124" s="1">
        <v>2653.0</v>
      </c>
      <c r="G124" s="1">
        <v>20402.0</v>
      </c>
      <c r="H124" s="1">
        <v>0.1552</v>
      </c>
      <c r="I124" s="1">
        <v>0.13</v>
      </c>
      <c r="J124" s="1">
        <v>0.0252</v>
      </c>
      <c r="K124" s="1">
        <v>5210.0</v>
      </c>
    </row>
    <row r="125">
      <c r="A125" s="1" t="s">
        <v>19</v>
      </c>
      <c r="B125" s="1" t="s">
        <v>180</v>
      </c>
      <c r="C125" s="1" t="s">
        <v>48</v>
      </c>
      <c r="D125" s="1">
        <v>19.0</v>
      </c>
      <c r="E125" s="1">
        <v>3739.0</v>
      </c>
      <c r="F125" s="1">
        <v>2682.0</v>
      </c>
      <c r="G125" s="1">
        <v>20402.0</v>
      </c>
      <c r="H125" s="1">
        <v>0.1833</v>
      </c>
      <c r="I125" s="1">
        <v>0.1315</v>
      </c>
      <c r="J125" s="1">
        <v>0.0518</v>
      </c>
      <c r="K125" s="1">
        <v>4774.0</v>
      </c>
    </row>
    <row r="126">
      <c r="A126" s="1" t="s">
        <v>19</v>
      </c>
      <c r="B126" s="1" t="s">
        <v>180</v>
      </c>
      <c r="C126" s="1" t="s">
        <v>48</v>
      </c>
      <c r="D126" s="1">
        <v>20.0</v>
      </c>
      <c r="E126" s="1">
        <v>3029.0</v>
      </c>
      <c r="F126" s="1">
        <v>2699.0</v>
      </c>
      <c r="G126" s="1">
        <v>20402.0</v>
      </c>
      <c r="H126" s="1">
        <v>0.1485</v>
      </c>
      <c r="I126" s="1">
        <v>0.1323</v>
      </c>
      <c r="J126" s="1">
        <v>0.0162</v>
      </c>
      <c r="K126" s="1">
        <v>4799.0</v>
      </c>
    </row>
    <row r="127">
      <c r="A127" s="1" t="s">
        <v>19</v>
      </c>
      <c r="B127" s="1" t="s">
        <v>180</v>
      </c>
      <c r="C127" s="1" t="s">
        <v>48</v>
      </c>
      <c r="D127" s="1">
        <v>21.0</v>
      </c>
      <c r="E127" s="1">
        <v>2788.0</v>
      </c>
      <c r="F127" s="1">
        <v>2620.0</v>
      </c>
      <c r="G127" s="1">
        <v>20402.0</v>
      </c>
      <c r="H127" s="1">
        <v>0.1367</v>
      </c>
      <c r="I127" s="1">
        <v>0.1284</v>
      </c>
      <c r="J127" s="1">
        <v>0.0082</v>
      </c>
      <c r="K127" s="1">
        <v>4749.0</v>
      </c>
    </row>
    <row r="128">
      <c r="A128" s="1" t="s">
        <v>19</v>
      </c>
      <c r="B128" s="1" t="s">
        <v>180</v>
      </c>
      <c r="C128" s="1" t="s">
        <v>50</v>
      </c>
      <c r="D128" s="1">
        <v>1.0</v>
      </c>
      <c r="E128" s="1">
        <v>2446.0</v>
      </c>
      <c r="F128" s="1">
        <v>2036.0</v>
      </c>
      <c r="G128" s="1">
        <v>13030.0</v>
      </c>
      <c r="H128" s="1">
        <v>0.1877</v>
      </c>
      <c r="I128" s="1">
        <v>0.1563</v>
      </c>
      <c r="J128" s="1">
        <v>0.0315</v>
      </c>
      <c r="K128" s="1">
        <v>7552.0</v>
      </c>
    </row>
    <row r="129">
      <c r="A129" s="1" t="s">
        <v>19</v>
      </c>
      <c r="B129" s="1" t="s">
        <v>180</v>
      </c>
      <c r="C129" s="1" t="s">
        <v>50</v>
      </c>
      <c r="D129" s="1">
        <v>2.0</v>
      </c>
      <c r="E129" s="1">
        <v>1713.0</v>
      </c>
      <c r="F129" s="1">
        <v>1856.0</v>
      </c>
      <c r="G129" s="1">
        <v>13030.0</v>
      </c>
      <c r="H129" s="1">
        <v>0.1315</v>
      </c>
      <c r="I129" s="1">
        <v>0.1424</v>
      </c>
      <c r="J129" s="1">
        <v>-0.011</v>
      </c>
      <c r="K129" s="1">
        <v>7017.0</v>
      </c>
    </row>
    <row r="130">
      <c r="A130" s="1" t="s">
        <v>19</v>
      </c>
      <c r="B130" s="1" t="s">
        <v>180</v>
      </c>
      <c r="C130" s="1" t="s">
        <v>50</v>
      </c>
      <c r="D130" s="1">
        <v>3.0</v>
      </c>
      <c r="E130" s="1">
        <v>1604.0</v>
      </c>
      <c r="F130" s="1">
        <v>1679.0</v>
      </c>
      <c r="G130" s="1">
        <v>13030.0</v>
      </c>
      <c r="H130" s="1">
        <v>0.1231</v>
      </c>
      <c r="I130" s="1">
        <v>0.1289</v>
      </c>
      <c r="J130" s="1">
        <v>-0.0058</v>
      </c>
      <c r="K130" s="1">
        <v>6713.0</v>
      </c>
    </row>
    <row r="131">
      <c r="A131" s="1" t="s">
        <v>19</v>
      </c>
      <c r="B131" s="1" t="s">
        <v>180</v>
      </c>
      <c r="C131" s="1" t="s">
        <v>50</v>
      </c>
      <c r="D131" s="1">
        <v>4.0</v>
      </c>
      <c r="E131" s="1">
        <v>1474.0</v>
      </c>
      <c r="F131" s="1">
        <v>1512.0</v>
      </c>
      <c r="G131" s="1">
        <v>13030.0</v>
      </c>
      <c r="H131" s="1">
        <v>0.1131</v>
      </c>
      <c r="I131" s="1">
        <v>0.116</v>
      </c>
      <c r="J131" s="1">
        <v>-0.0029</v>
      </c>
      <c r="K131" s="1">
        <v>6140.0</v>
      </c>
    </row>
    <row r="132">
      <c r="A132" s="1" t="s">
        <v>19</v>
      </c>
      <c r="B132" s="1" t="s">
        <v>180</v>
      </c>
      <c r="C132" s="1" t="s">
        <v>50</v>
      </c>
      <c r="D132" s="1">
        <v>5.0</v>
      </c>
      <c r="E132" s="1">
        <v>2748.0</v>
      </c>
      <c r="F132" s="1">
        <v>1924.0</v>
      </c>
      <c r="G132" s="1">
        <v>13030.0</v>
      </c>
      <c r="H132" s="1">
        <v>0.2109</v>
      </c>
      <c r="I132" s="1">
        <v>0.1477</v>
      </c>
      <c r="J132" s="1">
        <v>0.0632</v>
      </c>
      <c r="K132" s="1">
        <v>6059.0</v>
      </c>
    </row>
    <row r="133">
      <c r="A133" s="1" t="s">
        <v>19</v>
      </c>
      <c r="B133" s="1" t="s">
        <v>180</v>
      </c>
      <c r="C133" s="1" t="s">
        <v>50</v>
      </c>
      <c r="D133" s="1">
        <v>6.0</v>
      </c>
      <c r="E133" s="1">
        <v>1960.0</v>
      </c>
      <c r="F133" s="1">
        <v>1707.0</v>
      </c>
      <c r="G133" s="1">
        <v>13030.0</v>
      </c>
      <c r="H133" s="1">
        <v>0.1504</v>
      </c>
      <c r="I133" s="1">
        <v>0.131</v>
      </c>
      <c r="J133" s="1">
        <v>0.0194</v>
      </c>
      <c r="K133" s="1">
        <v>5911.0</v>
      </c>
    </row>
    <row r="134">
      <c r="A134" s="1" t="s">
        <v>19</v>
      </c>
      <c r="B134" s="1" t="s">
        <v>180</v>
      </c>
      <c r="C134" s="1" t="s">
        <v>50</v>
      </c>
      <c r="D134" s="1">
        <v>7.0</v>
      </c>
      <c r="E134" s="1">
        <v>1617.0</v>
      </c>
      <c r="F134" s="1">
        <v>1571.0</v>
      </c>
      <c r="G134" s="1">
        <v>13030.0</v>
      </c>
      <c r="H134" s="1">
        <v>0.1241</v>
      </c>
      <c r="I134" s="1">
        <v>0.1206</v>
      </c>
      <c r="J134" s="1">
        <v>0.0035</v>
      </c>
      <c r="K134" s="1">
        <v>5939.0</v>
      </c>
    </row>
    <row r="135">
      <c r="A135" s="1" t="s">
        <v>19</v>
      </c>
      <c r="B135" s="1" t="s">
        <v>180</v>
      </c>
      <c r="C135" s="1" t="s">
        <v>50</v>
      </c>
      <c r="D135" s="1">
        <v>8.0</v>
      </c>
      <c r="E135" s="1">
        <v>2017.0</v>
      </c>
      <c r="F135" s="1">
        <v>1641.0</v>
      </c>
      <c r="G135" s="1">
        <v>13030.0</v>
      </c>
      <c r="H135" s="1">
        <v>0.1548</v>
      </c>
      <c r="I135" s="1">
        <v>0.1259</v>
      </c>
      <c r="J135" s="1">
        <v>0.0289</v>
      </c>
      <c r="K135" s="1">
        <v>5656.0</v>
      </c>
    </row>
    <row r="136">
      <c r="A136" s="1" t="s">
        <v>19</v>
      </c>
      <c r="B136" s="1" t="s">
        <v>180</v>
      </c>
      <c r="C136" s="1" t="s">
        <v>50</v>
      </c>
      <c r="D136" s="1">
        <v>9.0</v>
      </c>
      <c r="E136" s="1">
        <v>1498.0</v>
      </c>
      <c r="F136" s="1">
        <v>1390.0</v>
      </c>
      <c r="G136" s="1">
        <v>13030.0</v>
      </c>
      <c r="H136" s="1">
        <v>0.115</v>
      </c>
      <c r="I136" s="1">
        <v>0.1067</v>
      </c>
      <c r="J136" s="1">
        <v>0.0083</v>
      </c>
      <c r="K136" s="1">
        <v>5623.0</v>
      </c>
    </row>
    <row r="137">
      <c r="A137" s="1" t="s">
        <v>19</v>
      </c>
      <c r="B137" s="1" t="s">
        <v>180</v>
      </c>
      <c r="C137" s="1" t="s">
        <v>50</v>
      </c>
      <c r="D137" s="1">
        <v>10.0</v>
      </c>
      <c r="E137" s="1">
        <v>1287.0</v>
      </c>
      <c r="F137" s="1">
        <v>1344.0</v>
      </c>
      <c r="G137" s="1">
        <v>13030.0</v>
      </c>
      <c r="H137" s="1">
        <v>0.0988</v>
      </c>
      <c r="I137" s="1">
        <v>0.1031</v>
      </c>
      <c r="J137" s="1">
        <v>-0.0044</v>
      </c>
      <c r="K137" s="1">
        <v>5512.0</v>
      </c>
    </row>
    <row r="138">
      <c r="A138" s="1" t="s">
        <v>19</v>
      </c>
      <c r="B138" s="1" t="s">
        <v>180</v>
      </c>
      <c r="C138" s="1" t="s">
        <v>50</v>
      </c>
      <c r="D138" s="1">
        <v>11.0</v>
      </c>
      <c r="E138" s="1">
        <v>1198.0</v>
      </c>
      <c r="F138" s="1">
        <v>1296.0</v>
      </c>
      <c r="G138" s="1">
        <v>13030.0</v>
      </c>
      <c r="H138" s="1">
        <v>0.0919</v>
      </c>
      <c r="I138" s="1">
        <v>0.0995</v>
      </c>
      <c r="J138" s="1">
        <v>-0.0075</v>
      </c>
      <c r="K138" s="1">
        <v>5521.0</v>
      </c>
    </row>
    <row r="139">
      <c r="A139" s="1" t="s">
        <v>19</v>
      </c>
      <c r="B139" s="1" t="s">
        <v>180</v>
      </c>
      <c r="C139" s="1" t="s">
        <v>50</v>
      </c>
      <c r="D139" s="1">
        <v>12.0</v>
      </c>
      <c r="E139" s="1">
        <v>2131.0</v>
      </c>
      <c r="F139" s="1">
        <v>1599.0</v>
      </c>
      <c r="G139" s="1">
        <v>13030.0</v>
      </c>
      <c r="H139" s="1">
        <v>0.1635</v>
      </c>
      <c r="I139" s="1">
        <v>0.1227</v>
      </c>
      <c r="J139" s="1">
        <v>0.0408</v>
      </c>
      <c r="K139" s="1">
        <v>5487.0</v>
      </c>
    </row>
    <row r="140">
      <c r="A140" s="1" t="s">
        <v>19</v>
      </c>
      <c r="B140" s="1" t="s">
        <v>180</v>
      </c>
      <c r="C140" s="1" t="s">
        <v>50</v>
      </c>
      <c r="D140" s="1">
        <v>13.0</v>
      </c>
      <c r="E140" s="1">
        <v>1595.0</v>
      </c>
      <c r="F140" s="1">
        <v>1498.0</v>
      </c>
      <c r="G140" s="1">
        <v>13030.0</v>
      </c>
      <c r="H140" s="1">
        <v>0.1224</v>
      </c>
      <c r="I140" s="1">
        <v>0.115</v>
      </c>
      <c r="J140" s="1">
        <v>0.0074</v>
      </c>
      <c r="K140" s="1">
        <v>5485.0</v>
      </c>
    </row>
    <row r="141">
      <c r="A141" s="1" t="s">
        <v>19</v>
      </c>
      <c r="B141" s="1" t="s">
        <v>180</v>
      </c>
      <c r="C141" s="1" t="s">
        <v>50</v>
      </c>
      <c r="D141" s="1">
        <v>14.0</v>
      </c>
      <c r="E141" s="1">
        <v>1388.0</v>
      </c>
      <c r="F141" s="1">
        <v>1362.0</v>
      </c>
      <c r="G141" s="1">
        <v>13030.0</v>
      </c>
      <c r="H141" s="1">
        <v>0.1065</v>
      </c>
      <c r="I141" s="1">
        <v>0.1045</v>
      </c>
      <c r="J141" s="1">
        <v>0.002</v>
      </c>
      <c r="K141" s="1">
        <v>5424.0</v>
      </c>
    </row>
    <row r="142">
      <c r="A142" s="1" t="s">
        <v>19</v>
      </c>
      <c r="B142" s="1" t="s">
        <v>180</v>
      </c>
      <c r="C142" s="1" t="s">
        <v>50</v>
      </c>
      <c r="D142" s="1">
        <v>15.0</v>
      </c>
      <c r="E142" s="1">
        <v>1939.0</v>
      </c>
      <c r="F142" s="1">
        <v>1469.0</v>
      </c>
      <c r="G142" s="1">
        <v>13030.0</v>
      </c>
      <c r="H142" s="1">
        <v>0.1488</v>
      </c>
      <c r="I142" s="1">
        <v>0.1127</v>
      </c>
      <c r="J142" s="1">
        <v>0.0361</v>
      </c>
      <c r="K142" s="1">
        <v>5222.0</v>
      </c>
    </row>
    <row r="143">
      <c r="A143" s="1" t="s">
        <v>19</v>
      </c>
      <c r="B143" s="1" t="s">
        <v>180</v>
      </c>
      <c r="C143" s="1" t="s">
        <v>50</v>
      </c>
      <c r="D143" s="1">
        <v>16.0</v>
      </c>
      <c r="E143" s="1">
        <v>1350.0</v>
      </c>
      <c r="F143" s="1">
        <v>1391.0</v>
      </c>
      <c r="G143" s="1">
        <v>13030.0</v>
      </c>
      <c r="H143" s="1">
        <v>0.1036</v>
      </c>
      <c r="I143" s="1">
        <v>0.1068</v>
      </c>
      <c r="J143" s="1">
        <v>-0.0031</v>
      </c>
      <c r="K143" s="1">
        <v>5471.0</v>
      </c>
    </row>
    <row r="144">
      <c r="A144" s="1" t="s">
        <v>19</v>
      </c>
      <c r="B144" s="1" t="s">
        <v>180</v>
      </c>
      <c r="C144" s="1" t="s">
        <v>50</v>
      </c>
      <c r="D144" s="1">
        <v>17.0</v>
      </c>
      <c r="E144" s="1">
        <v>1194.0</v>
      </c>
      <c r="F144" s="1">
        <v>1266.0</v>
      </c>
      <c r="G144" s="1">
        <v>13030.0</v>
      </c>
      <c r="H144" s="1">
        <v>0.0916</v>
      </c>
      <c r="I144" s="1">
        <v>0.0972</v>
      </c>
      <c r="J144" s="1">
        <v>-0.0055</v>
      </c>
      <c r="K144" s="1">
        <v>5149.0</v>
      </c>
    </row>
    <row r="145">
      <c r="A145" s="1" t="s">
        <v>19</v>
      </c>
      <c r="B145" s="1" t="s">
        <v>180</v>
      </c>
      <c r="C145" s="1" t="s">
        <v>50</v>
      </c>
      <c r="D145" s="1">
        <v>18.0</v>
      </c>
      <c r="E145" s="1">
        <v>1174.0</v>
      </c>
      <c r="F145" s="1">
        <v>1303.0</v>
      </c>
      <c r="G145" s="1">
        <v>13030.0</v>
      </c>
      <c r="H145" s="1">
        <v>0.0901</v>
      </c>
      <c r="I145" s="1">
        <v>0.1</v>
      </c>
      <c r="J145" s="1">
        <v>-0.0099</v>
      </c>
      <c r="K145" s="1">
        <v>5210.0</v>
      </c>
    </row>
    <row r="146">
      <c r="A146" s="1" t="s">
        <v>19</v>
      </c>
      <c r="B146" s="1" t="s">
        <v>180</v>
      </c>
      <c r="C146" s="1" t="s">
        <v>50</v>
      </c>
      <c r="D146" s="1">
        <v>19.0</v>
      </c>
      <c r="E146" s="1">
        <v>2092.0</v>
      </c>
      <c r="F146" s="1">
        <v>1487.0</v>
      </c>
      <c r="G146" s="1">
        <v>13030.0</v>
      </c>
      <c r="H146" s="1">
        <v>0.1606</v>
      </c>
      <c r="I146" s="1">
        <v>0.1141</v>
      </c>
      <c r="J146" s="1">
        <v>0.0464</v>
      </c>
      <c r="K146" s="1">
        <v>4774.0</v>
      </c>
    </row>
    <row r="147">
      <c r="A147" s="1" t="s">
        <v>19</v>
      </c>
      <c r="B147" s="1" t="s">
        <v>180</v>
      </c>
      <c r="C147" s="1" t="s">
        <v>50</v>
      </c>
      <c r="D147" s="1">
        <v>20.0</v>
      </c>
      <c r="E147" s="1">
        <v>1598.0</v>
      </c>
      <c r="F147" s="1">
        <v>1493.0</v>
      </c>
      <c r="G147" s="1">
        <v>13030.0</v>
      </c>
      <c r="H147" s="1">
        <v>0.1226</v>
      </c>
      <c r="I147" s="1">
        <v>0.1146</v>
      </c>
      <c r="J147" s="1">
        <v>0.0081</v>
      </c>
      <c r="K147" s="1">
        <v>4799.0</v>
      </c>
    </row>
    <row r="148">
      <c r="A148" s="1" t="s">
        <v>19</v>
      </c>
      <c r="B148" s="1" t="s">
        <v>180</v>
      </c>
      <c r="C148" s="1" t="s">
        <v>50</v>
      </c>
      <c r="D148" s="1">
        <v>21.0</v>
      </c>
      <c r="E148" s="1">
        <v>1351.0</v>
      </c>
      <c r="F148" s="1">
        <v>1387.0</v>
      </c>
      <c r="G148" s="1">
        <v>13030.0</v>
      </c>
      <c r="H148" s="1">
        <v>0.1037</v>
      </c>
      <c r="I148" s="1">
        <v>0.1064</v>
      </c>
      <c r="J148" s="1">
        <v>-0.0028</v>
      </c>
      <c r="K148" s="1">
        <v>4749.0</v>
      </c>
    </row>
    <row r="149">
      <c r="A149" s="1" t="s">
        <v>19</v>
      </c>
      <c r="B149" s="1" t="s">
        <v>180</v>
      </c>
      <c r="C149" s="1" t="s">
        <v>1209</v>
      </c>
      <c r="D149" s="1">
        <v>1.0</v>
      </c>
      <c r="E149" s="1">
        <v>1990.0</v>
      </c>
      <c r="F149" s="1">
        <v>544.0</v>
      </c>
      <c r="G149" s="1">
        <v>1203.0</v>
      </c>
      <c r="H149" s="1">
        <v>1.6542</v>
      </c>
      <c r="I149" s="1">
        <v>0.4522</v>
      </c>
      <c r="J149" s="1">
        <v>1.202</v>
      </c>
      <c r="K149" s="1">
        <v>7552.0</v>
      </c>
    </row>
    <row r="150">
      <c r="A150" s="1" t="s">
        <v>19</v>
      </c>
      <c r="B150" s="1" t="s">
        <v>180</v>
      </c>
      <c r="C150" s="1" t="s">
        <v>1209</v>
      </c>
      <c r="D150" s="1">
        <v>2.0</v>
      </c>
      <c r="E150" s="1">
        <v>1330.0</v>
      </c>
      <c r="F150" s="1">
        <v>450.0</v>
      </c>
      <c r="G150" s="1">
        <v>1203.0</v>
      </c>
      <c r="H150" s="1">
        <v>1.1056</v>
      </c>
      <c r="I150" s="1">
        <v>0.3741</v>
      </c>
      <c r="J150" s="1">
        <v>0.7315</v>
      </c>
      <c r="K150" s="1">
        <v>7017.0</v>
      </c>
    </row>
    <row r="151">
      <c r="A151" s="1" t="s">
        <v>19</v>
      </c>
      <c r="B151" s="1" t="s">
        <v>180</v>
      </c>
      <c r="C151" s="1" t="s">
        <v>1209</v>
      </c>
      <c r="D151" s="1">
        <v>3.0</v>
      </c>
      <c r="E151" s="1">
        <v>1430.0</v>
      </c>
      <c r="F151" s="1">
        <v>332.0</v>
      </c>
      <c r="G151" s="1">
        <v>1203.0</v>
      </c>
      <c r="H151" s="1">
        <v>1.1887</v>
      </c>
      <c r="I151" s="1">
        <v>0.276</v>
      </c>
      <c r="J151" s="1">
        <v>0.9127</v>
      </c>
      <c r="K151" s="1">
        <v>6713.0</v>
      </c>
    </row>
    <row r="152">
      <c r="A152" s="1" t="s">
        <v>19</v>
      </c>
      <c r="B152" s="1" t="s">
        <v>180</v>
      </c>
      <c r="C152" s="1" t="s">
        <v>1209</v>
      </c>
      <c r="D152" s="1">
        <v>4.0</v>
      </c>
      <c r="E152" s="1">
        <v>1115.0</v>
      </c>
      <c r="F152" s="1">
        <v>286.0</v>
      </c>
      <c r="G152" s="1">
        <v>1203.0</v>
      </c>
      <c r="H152" s="1">
        <v>0.9268</v>
      </c>
      <c r="I152" s="1">
        <v>0.2377</v>
      </c>
      <c r="J152" s="1">
        <v>0.6891</v>
      </c>
      <c r="K152" s="1">
        <v>6140.0</v>
      </c>
    </row>
    <row r="153">
      <c r="A153" s="1" t="s">
        <v>19</v>
      </c>
      <c r="B153" s="1" t="s">
        <v>180</v>
      </c>
      <c r="C153" s="1" t="s">
        <v>1209</v>
      </c>
      <c r="D153" s="1">
        <v>5.0</v>
      </c>
      <c r="E153" s="1">
        <v>1760.0</v>
      </c>
      <c r="F153" s="1">
        <v>479.0</v>
      </c>
      <c r="G153" s="1">
        <v>1203.0</v>
      </c>
      <c r="H153" s="1">
        <v>1.463</v>
      </c>
      <c r="I153" s="1">
        <v>0.3982</v>
      </c>
      <c r="J153" s="1">
        <v>1.0648</v>
      </c>
      <c r="K153" s="1">
        <v>6059.0</v>
      </c>
    </row>
    <row r="154">
      <c r="A154" s="1" t="s">
        <v>19</v>
      </c>
      <c r="B154" s="1" t="s">
        <v>180</v>
      </c>
      <c r="C154" s="1" t="s">
        <v>1209</v>
      </c>
      <c r="D154" s="1">
        <v>6.0</v>
      </c>
      <c r="E154" s="1">
        <v>2280.0</v>
      </c>
      <c r="F154" s="1">
        <v>568.0</v>
      </c>
      <c r="G154" s="1">
        <v>1203.0</v>
      </c>
      <c r="H154" s="1">
        <v>1.8953</v>
      </c>
      <c r="I154" s="1">
        <v>0.4722</v>
      </c>
      <c r="J154" s="1">
        <v>1.4231</v>
      </c>
      <c r="K154" s="1">
        <v>5911.0</v>
      </c>
    </row>
    <row r="155">
      <c r="A155" s="1" t="s">
        <v>19</v>
      </c>
      <c r="B155" s="1" t="s">
        <v>180</v>
      </c>
      <c r="C155" s="1" t="s">
        <v>1209</v>
      </c>
      <c r="D155" s="1">
        <v>7.0</v>
      </c>
      <c r="E155" s="1">
        <v>2235.0</v>
      </c>
      <c r="F155" s="1">
        <v>735.0</v>
      </c>
      <c r="G155" s="1">
        <v>1203.0</v>
      </c>
      <c r="H155" s="1">
        <v>1.8579</v>
      </c>
      <c r="I155" s="1">
        <v>0.611</v>
      </c>
      <c r="J155" s="1">
        <v>1.2469</v>
      </c>
      <c r="K155" s="1">
        <v>5939.0</v>
      </c>
    </row>
    <row r="156">
      <c r="A156" s="1" t="s">
        <v>19</v>
      </c>
      <c r="B156" s="1" t="s">
        <v>180</v>
      </c>
      <c r="C156" s="1" t="s">
        <v>1209</v>
      </c>
      <c r="D156" s="1">
        <v>8.0</v>
      </c>
      <c r="E156" s="1">
        <v>1905.0</v>
      </c>
      <c r="F156" s="1">
        <v>515.0</v>
      </c>
      <c r="G156" s="1">
        <v>1203.0</v>
      </c>
      <c r="H156" s="1">
        <v>1.5835</v>
      </c>
      <c r="I156" s="1">
        <v>0.4281</v>
      </c>
      <c r="J156" s="1">
        <v>1.1554</v>
      </c>
      <c r="K156" s="1">
        <v>5656.0</v>
      </c>
    </row>
    <row r="157">
      <c r="A157" s="1" t="s">
        <v>19</v>
      </c>
      <c r="B157" s="1" t="s">
        <v>180</v>
      </c>
      <c r="C157" s="1" t="s">
        <v>1209</v>
      </c>
      <c r="D157" s="1">
        <v>9.0</v>
      </c>
      <c r="E157" s="1">
        <v>1645.0</v>
      </c>
      <c r="F157" s="1">
        <v>506.0</v>
      </c>
      <c r="G157" s="1">
        <v>1203.0</v>
      </c>
      <c r="H157" s="1">
        <v>1.3674</v>
      </c>
      <c r="I157" s="1">
        <v>0.4206</v>
      </c>
      <c r="J157" s="1">
        <v>0.9468</v>
      </c>
      <c r="K157" s="1">
        <v>5623.0</v>
      </c>
    </row>
    <row r="158">
      <c r="A158" s="1" t="s">
        <v>19</v>
      </c>
      <c r="B158" s="1" t="s">
        <v>180</v>
      </c>
      <c r="C158" s="1" t="s">
        <v>1209</v>
      </c>
      <c r="D158" s="1">
        <v>10.0</v>
      </c>
      <c r="E158" s="1">
        <v>1080.0</v>
      </c>
      <c r="F158" s="1">
        <v>301.0</v>
      </c>
      <c r="G158" s="1">
        <v>1203.0</v>
      </c>
      <c r="H158" s="1">
        <v>0.8978</v>
      </c>
      <c r="I158" s="1">
        <v>0.2502</v>
      </c>
      <c r="J158" s="1">
        <v>0.6475</v>
      </c>
      <c r="K158" s="1">
        <v>5512.0</v>
      </c>
    </row>
    <row r="159">
      <c r="A159" s="1" t="s">
        <v>19</v>
      </c>
      <c r="B159" s="1" t="s">
        <v>180</v>
      </c>
      <c r="C159" s="1" t="s">
        <v>1209</v>
      </c>
      <c r="D159" s="1">
        <v>11.0</v>
      </c>
      <c r="E159" s="1">
        <v>1580.0</v>
      </c>
      <c r="F159" s="1">
        <v>371.0</v>
      </c>
      <c r="G159" s="1">
        <v>1203.0</v>
      </c>
      <c r="H159" s="1">
        <v>1.3134</v>
      </c>
      <c r="I159" s="1">
        <v>0.3084</v>
      </c>
      <c r="J159" s="1">
        <v>1.005</v>
      </c>
      <c r="K159" s="1">
        <v>5521.0</v>
      </c>
    </row>
    <row r="160">
      <c r="A160" s="1" t="s">
        <v>19</v>
      </c>
      <c r="B160" s="1" t="s">
        <v>180</v>
      </c>
      <c r="C160" s="1" t="s">
        <v>1209</v>
      </c>
      <c r="D160" s="1">
        <v>12.0</v>
      </c>
      <c r="E160" s="1">
        <v>1890.0</v>
      </c>
      <c r="F160" s="1">
        <v>440.0</v>
      </c>
      <c r="G160" s="1">
        <v>1203.0</v>
      </c>
      <c r="H160" s="1">
        <v>1.5711</v>
      </c>
      <c r="I160" s="1">
        <v>0.3658</v>
      </c>
      <c r="J160" s="1">
        <v>1.2053</v>
      </c>
      <c r="K160" s="1">
        <v>5487.0</v>
      </c>
    </row>
    <row r="161">
      <c r="A161" s="1" t="s">
        <v>19</v>
      </c>
      <c r="B161" s="1" t="s">
        <v>180</v>
      </c>
      <c r="C161" s="1" t="s">
        <v>1209</v>
      </c>
      <c r="D161" s="1">
        <v>13.0</v>
      </c>
      <c r="E161" s="1">
        <v>1770.0</v>
      </c>
      <c r="F161" s="1">
        <v>474.0</v>
      </c>
      <c r="G161" s="1">
        <v>1203.0</v>
      </c>
      <c r="H161" s="1">
        <v>1.4713</v>
      </c>
      <c r="I161" s="1">
        <v>0.394</v>
      </c>
      <c r="J161" s="1">
        <v>1.0773</v>
      </c>
      <c r="K161" s="1">
        <v>5485.0</v>
      </c>
    </row>
    <row r="162">
      <c r="A162" s="1" t="s">
        <v>19</v>
      </c>
      <c r="B162" s="1" t="s">
        <v>180</v>
      </c>
      <c r="C162" s="1" t="s">
        <v>1209</v>
      </c>
      <c r="D162" s="1">
        <v>14.0</v>
      </c>
      <c r="E162" s="1">
        <v>2420.0</v>
      </c>
      <c r="F162" s="1">
        <v>538.0</v>
      </c>
      <c r="G162" s="1">
        <v>1203.0</v>
      </c>
      <c r="H162" s="1">
        <v>2.0116</v>
      </c>
      <c r="I162" s="1">
        <v>0.4472</v>
      </c>
      <c r="J162" s="1">
        <v>1.5644</v>
      </c>
      <c r="K162" s="1">
        <v>5424.0</v>
      </c>
    </row>
    <row r="163">
      <c r="A163" s="1" t="s">
        <v>19</v>
      </c>
      <c r="B163" s="1" t="s">
        <v>180</v>
      </c>
      <c r="C163" s="1" t="s">
        <v>1209</v>
      </c>
      <c r="D163" s="1">
        <v>15.0</v>
      </c>
      <c r="E163" s="1">
        <v>2200.0</v>
      </c>
      <c r="F163" s="1">
        <v>712.0</v>
      </c>
      <c r="G163" s="1">
        <v>1203.0</v>
      </c>
      <c r="H163" s="1">
        <v>1.8288</v>
      </c>
      <c r="I163" s="1">
        <v>0.5919</v>
      </c>
      <c r="J163" s="1">
        <v>1.2369</v>
      </c>
      <c r="K163" s="1">
        <v>5222.0</v>
      </c>
    </row>
    <row r="164">
      <c r="A164" s="1" t="s">
        <v>19</v>
      </c>
      <c r="B164" s="1" t="s">
        <v>180</v>
      </c>
      <c r="C164" s="1" t="s">
        <v>1209</v>
      </c>
      <c r="D164" s="1">
        <v>16.0</v>
      </c>
      <c r="E164" s="1">
        <v>1430.0</v>
      </c>
      <c r="F164" s="1">
        <v>534.0</v>
      </c>
      <c r="G164" s="1">
        <v>1203.0</v>
      </c>
      <c r="H164" s="1">
        <v>1.1887</v>
      </c>
      <c r="I164" s="1">
        <v>0.4439</v>
      </c>
      <c r="J164" s="1">
        <v>0.7448</v>
      </c>
      <c r="K164" s="1">
        <v>5471.0</v>
      </c>
    </row>
    <row r="165">
      <c r="A165" s="1" t="s">
        <v>19</v>
      </c>
      <c r="B165" s="1" t="s">
        <v>180</v>
      </c>
      <c r="C165" s="1" t="s">
        <v>1209</v>
      </c>
      <c r="D165" s="1">
        <v>17.0</v>
      </c>
      <c r="E165" s="1">
        <v>1490.0</v>
      </c>
      <c r="F165" s="1">
        <v>363.0</v>
      </c>
      <c r="G165" s="1">
        <v>1203.0</v>
      </c>
      <c r="H165" s="1">
        <v>1.2386</v>
      </c>
      <c r="I165" s="1">
        <v>0.3017</v>
      </c>
      <c r="J165" s="1">
        <v>0.9368</v>
      </c>
      <c r="K165" s="1">
        <v>5149.0</v>
      </c>
    </row>
    <row r="166">
      <c r="A166" s="1" t="s">
        <v>19</v>
      </c>
      <c r="B166" s="1" t="s">
        <v>180</v>
      </c>
      <c r="C166" s="1" t="s">
        <v>1209</v>
      </c>
      <c r="D166" s="1">
        <v>18.0</v>
      </c>
      <c r="E166" s="1">
        <v>1270.0</v>
      </c>
      <c r="F166" s="1">
        <v>283.0</v>
      </c>
      <c r="G166" s="1">
        <v>1203.0</v>
      </c>
      <c r="H166" s="1">
        <v>1.0557</v>
      </c>
      <c r="I166" s="1">
        <v>0.2352</v>
      </c>
      <c r="J166" s="1">
        <v>0.8204</v>
      </c>
      <c r="K166" s="1">
        <v>5210.0</v>
      </c>
    </row>
    <row r="167">
      <c r="A167" s="1" t="s">
        <v>19</v>
      </c>
      <c r="B167" s="1" t="s">
        <v>180</v>
      </c>
      <c r="C167" s="1" t="s">
        <v>1209</v>
      </c>
      <c r="D167" s="1">
        <v>19.0</v>
      </c>
      <c r="E167" s="1">
        <v>1285.0</v>
      </c>
      <c r="F167" s="1">
        <v>355.0</v>
      </c>
      <c r="G167" s="1">
        <v>1203.0</v>
      </c>
      <c r="H167" s="1">
        <v>1.0682</v>
      </c>
      <c r="I167" s="1">
        <v>0.2951</v>
      </c>
      <c r="J167" s="1">
        <v>0.7731</v>
      </c>
      <c r="K167" s="1">
        <v>4774.0</v>
      </c>
    </row>
    <row r="168">
      <c r="A168" s="1" t="s">
        <v>19</v>
      </c>
      <c r="B168" s="1" t="s">
        <v>180</v>
      </c>
      <c r="C168" s="1" t="s">
        <v>1209</v>
      </c>
      <c r="D168" s="1">
        <v>20.0</v>
      </c>
      <c r="E168" s="1">
        <v>1810.0</v>
      </c>
      <c r="F168" s="1">
        <v>453.0</v>
      </c>
      <c r="G168" s="1">
        <v>1203.0</v>
      </c>
      <c r="H168" s="1">
        <v>1.5046</v>
      </c>
      <c r="I168" s="1">
        <v>0.3766</v>
      </c>
      <c r="J168" s="1">
        <v>1.128</v>
      </c>
      <c r="K168" s="1">
        <v>4799.0</v>
      </c>
    </row>
    <row r="169">
      <c r="A169" s="1" t="s">
        <v>19</v>
      </c>
      <c r="B169" s="1" t="s">
        <v>180</v>
      </c>
      <c r="C169" s="1" t="s">
        <v>1209</v>
      </c>
      <c r="D169" s="1">
        <v>21.0</v>
      </c>
      <c r="E169" s="1">
        <v>2310.0</v>
      </c>
      <c r="F169" s="1">
        <v>766.0</v>
      </c>
      <c r="G169" s="1">
        <v>1203.0</v>
      </c>
      <c r="H169" s="1">
        <v>1.9202</v>
      </c>
      <c r="I169" s="1">
        <v>0.6367</v>
      </c>
      <c r="J169" s="1">
        <v>1.2835</v>
      </c>
      <c r="K169" s="1">
        <v>4749.0</v>
      </c>
    </row>
    <row r="170">
      <c r="A170" s="1" t="s">
        <v>19</v>
      </c>
      <c r="B170" s="1" t="s">
        <v>180</v>
      </c>
      <c r="C170" s="1" t="s">
        <v>1210</v>
      </c>
      <c r="D170" s="1">
        <v>1.0</v>
      </c>
      <c r="E170" s="1">
        <v>12520.0</v>
      </c>
      <c r="F170" s="1">
        <v>2841.0</v>
      </c>
      <c r="G170" s="1">
        <v>6670.0</v>
      </c>
      <c r="H170" s="1">
        <v>1.8771</v>
      </c>
      <c r="I170" s="1">
        <v>0.4259</v>
      </c>
      <c r="J170" s="1">
        <v>1.4511</v>
      </c>
      <c r="K170" s="1">
        <v>7552.0</v>
      </c>
    </row>
    <row r="171">
      <c r="A171" s="1" t="s">
        <v>19</v>
      </c>
      <c r="B171" s="1" t="s">
        <v>180</v>
      </c>
      <c r="C171" s="1" t="s">
        <v>1210</v>
      </c>
      <c r="D171" s="1">
        <v>2.0</v>
      </c>
      <c r="E171" s="1">
        <v>8830.0</v>
      </c>
      <c r="F171" s="1">
        <v>2497.0</v>
      </c>
      <c r="G171" s="1">
        <v>6670.0</v>
      </c>
      <c r="H171" s="1">
        <v>1.3238</v>
      </c>
      <c r="I171" s="1">
        <v>0.3744</v>
      </c>
      <c r="J171" s="1">
        <v>0.9495</v>
      </c>
      <c r="K171" s="1">
        <v>7017.0</v>
      </c>
    </row>
    <row r="172">
      <c r="A172" s="1" t="s">
        <v>19</v>
      </c>
      <c r="B172" s="1" t="s">
        <v>180</v>
      </c>
      <c r="C172" s="1" t="s">
        <v>1210</v>
      </c>
      <c r="D172" s="1">
        <v>3.0</v>
      </c>
      <c r="E172" s="1">
        <v>8835.0</v>
      </c>
      <c r="F172" s="1">
        <v>2084.0</v>
      </c>
      <c r="G172" s="1">
        <v>6670.0</v>
      </c>
      <c r="H172" s="1">
        <v>1.3246</v>
      </c>
      <c r="I172" s="1">
        <v>0.3124</v>
      </c>
      <c r="J172" s="1">
        <v>1.0121</v>
      </c>
      <c r="K172" s="1">
        <v>6713.0</v>
      </c>
    </row>
    <row r="173">
      <c r="A173" s="1" t="s">
        <v>19</v>
      </c>
      <c r="B173" s="1" t="s">
        <v>180</v>
      </c>
      <c r="C173" s="1" t="s">
        <v>1210</v>
      </c>
      <c r="D173" s="1">
        <v>4.0</v>
      </c>
      <c r="E173" s="1">
        <v>7865.0</v>
      </c>
      <c r="F173" s="1">
        <v>1822.0</v>
      </c>
      <c r="G173" s="1">
        <v>6670.0</v>
      </c>
      <c r="H173" s="1">
        <v>1.1792</v>
      </c>
      <c r="I173" s="1">
        <v>0.2732</v>
      </c>
      <c r="J173" s="1">
        <v>0.906</v>
      </c>
      <c r="K173" s="1">
        <v>6140.0</v>
      </c>
    </row>
    <row r="174">
      <c r="A174" s="1" t="s">
        <v>19</v>
      </c>
      <c r="B174" s="1" t="s">
        <v>180</v>
      </c>
      <c r="C174" s="1" t="s">
        <v>1210</v>
      </c>
      <c r="D174" s="1">
        <v>5.0</v>
      </c>
      <c r="E174" s="1">
        <v>9980.0</v>
      </c>
      <c r="F174" s="1">
        <v>2425.0</v>
      </c>
      <c r="G174" s="1">
        <v>6670.0</v>
      </c>
      <c r="H174" s="1">
        <v>1.4963</v>
      </c>
      <c r="I174" s="1">
        <v>0.3636</v>
      </c>
      <c r="J174" s="1">
        <v>1.1327</v>
      </c>
      <c r="K174" s="1">
        <v>6059.0</v>
      </c>
    </row>
    <row r="175">
      <c r="A175" s="1" t="s">
        <v>19</v>
      </c>
      <c r="B175" s="1" t="s">
        <v>180</v>
      </c>
      <c r="C175" s="1" t="s">
        <v>1210</v>
      </c>
      <c r="D175" s="1">
        <v>6.0</v>
      </c>
      <c r="E175" s="1">
        <v>10495.0</v>
      </c>
      <c r="F175" s="1">
        <v>2746.0</v>
      </c>
      <c r="G175" s="1">
        <v>6670.0</v>
      </c>
      <c r="H175" s="1">
        <v>1.5735</v>
      </c>
      <c r="I175" s="1">
        <v>0.4117</v>
      </c>
      <c r="J175" s="1">
        <v>1.1618</v>
      </c>
      <c r="K175" s="1">
        <v>5911.0</v>
      </c>
    </row>
    <row r="176">
      <c r="A176" s="1" t="s">
        <v>19</v>
      </c>
      <c r="B176" s="1" t="s">
        <v>180</v>
      </c>
      <c r="C176" s="1" t="s">
        <v>1210</v>
      </c>
      <c r="D176" s="1">
        <v>7.0</v>
      </c>
      <c r="E176" s="1">
        <v>10715.0</v>
      </c>
      <c r="F176" s="1">
        <v>2988.0</v>
      </c>
      <c r="G176" s="1">
        <v>6670.0</v>
      </c>
      <c r="H176" s="1">
        <v>1.6064</v>
      </c>
      <c r="I176" s="1">
        <v>0.448</v>
      </c>
      <c r="J176" s="1">
        <v>1.1585</v>
      </c>
      <c r="K176" s="1">
        <v>5939.0</v>
      </c>
    </row>
    <row r="177">
      <c r="A177" s="1" t="s">
        <v>19</v>
      </c>
      <c r="B177" s="1" t="s">
        <v>180</v>
      </c>
      <c r="C177" s="1" t="s">
        <v>1210</v>
      </c>
      <c r="D177" s="1">
        <v>8.0</v>
      </c>
      <c r="E177" s="1">
        <v>9245.0</v>
      </c>
      <c r="F177" s="1">
        <v>2609.0</v>
      </c>
      <c r="G177" s="1">
        <v>6670.0</v>
      </c>
      <c r="H177" s="1">
        <v>1.3861</v>
      </c>
      <c r="I177" s="1">
        <v>0.3912</v>
      </c>
      <c r="J177" s="1">
        <v>0.9949</v>
      </c>
      <c r="K177" s="1">
        <v>5656.0</v>
      </c>
    </row>
    <row r="178">
      <c r="A178" s="1" t="s">
        <v>19</v>
      </c>
      <c r="B178" s="1" t="s">
        <v>180</v>
      </c>
      <c r="C178" s="1" t="s">
        <v>1210</v>
      </c>
      <c r="D178" s="1">
        <v>9.0</v>
      </c>
      <c r="E178" s="1">
        <v>7655.0</v>
      </c>
      <c r="F178" s="1">
        <v>1841.0</v>
      </c>
      <c r="G178" s="1">
        <v>6670.0</v>
      </c>
      <c r="H178" s="1">
        <v>1.1477</v>
      </c>
      <c r="I178" s="1">
        <v>0.276</v>
      </c>
      <c r="J178" s="1">
        <v>0.8717</v>
      </c>
      <c r="K178" s="1">
        <v>5623.0</v>
      </c>
    </row>
    <row r="179">
      <c r="A179" s="1" t="s">
        <v>19</v>
      </c>
      <c r="B179" s="1" t="s">
        <v>180</v>
      </c>
      <c r="C179" s="1" t="s">
        <v>1210</v>
      </c>
      <c r="D179" s="1">
        <v>10.0</v>
      </c>
      <c r="E179" s="1">
        <v>6070.0</v>
      </c>
      <c r="F179" s="1">
        <v>1425.0</v>
      </c>
      <c r="G179" s="1">
        <v>6670.0</v>
      </c>
      <c r="H179" s="1">
        <v>0.91</v>
      </c>
      <c r="I179" s="1">
        <v>0.2136</v>
      </c>
      <c r="J179" s="1">
        <v>0.6964</v>
      </c>
      <c r="K179" s="1">
        <v>5512.0</v>
      </c>
    </row>
    <row r="180">
      <c r="A180" s="1" t="s">
        <v>19</v>
      </c>
      <c r="B180" s="1" t="s">
        <v>180</v>
      </c>
      <c r="C180" s="1" t="s">
        <v>1210</v>
      </c>
      <c r="D180" s="1">
        <v>11.0</v>
      </c>
      <c r="E180" s="1">
        <v>5595.0</v>
      </c>
      <c r="F180" s="1">
        <v>1270.0</v>
      </c>
      <c r="G180" s="1">
        <v>6670.0</v>
      </c>
      <c r="H180" s="1">
        <v>0.8388</v>
      </c>
      <c r="I180" s="1">
        <v>0.1904</v>
      </c>
      <c r="J180" s="1">
        <v>0.6484</v>
      </c>
      <c r="K180" s="1">
        <v>5521.0</v>
      </c>
    </row>
    <row r="181">
      <c r="A181" s="1" t="s">
        <v>19</v>
      </c>
      <c r="B181" s="1" t="s">
        <v>180</v>
      </c>
      <c r="C181" s="1" t="s">
        <v>1210</v>
      </c>
      <c r="D181" s="1">
        <v>12.0</v>
      </c>
      <c r="E181" s="1">
        <v>6325.0</v>
      </c>
      <c r="F181" s="1">
        <v>1595.0</v>
      </c>
      <c r="G181" s="1">
        <v>6670.0</v>
      </c>
      <c r="H181" s="1">
        <v>0.9483</v>
      </c>
      <c r="I181" s="1">
        <v>0.2391</v>
      </c>
      <c r="J181" s="1">
        <v>0.7091</v>
      </c>
      <c r="K181" s="1">
        <v>5487.0</v>
      </c>
    </row>
    <row r="182">
      <c r="A182" s="1" t="s">
        <v>19</v>
      </c>
      <c r="B182" s="1" t="s">
        <v>180</v>
      </c>
      <c r="C182" s="1" t="s">
        <v>1210</v>
      </c>
      <c r="D182" s="1">
        <v>13.0</v>
      </c>
      <c r="E182" s="1">
        <v>7725.0</v>
      </c>
      <c r="F182" s="1">
        <v>1995.0</v>
      </c>
      <c r="G182" s="1">
        <v>6670.0</v>
      </c>
      <c r="H182" s="1">
        <v>1.1582</v>
      </c>
      <c r="I182" s="1">
        <v>0.2991</v>
      </c>
      <c r="J182" s="1">
        <v>0.8591</v>
      </c>
      <c r="K182" s="1">
        <v>5485.0</v>
      </c>
    </row>
    <row r="183">
      <c r="A183" s="1" t="s">
        <v>19</v>
      </c>
      <c r="B183" s="1" t="s">
        <v>180</v>
      </c>
      <c r="C183" s="1" t="s">
        <v>1210</v>
      </c>
      <c r="D183" s="1">
        <v>14.0</v>
      </c>
      <c r="E183" s="1">
        <v>9395.0</v>
      </c>
      <c r="F183" s="1">
        <v>2523.0</v>
      </c>
      <c r="G183" s="1">
        <v>6670.0</v>
      </c>
      <c r="H183" s="1">
        <v>1.4085</v>
      </c>
      <c r="I183" s="1">
        <v>0.3783</v>
      </c>
      <c r="J183" s="1">
        <v>1.0303</v>
      </c>
      <c r="K183" s="1">
        <v>5424.0</v>
      </c>
    </row>
    <row r="184">
      <c r="A184" s="1" t="s">
        <v>19</v>
      </c>
      <c r="B184" s="1" t="s">
        <v>180</v>
      </c>
      <c r="C184" s="1" t="s">
        <v>1210</v>
      </c>
      <c r="D184" s="1">
        <v>15.0</v>
      </c>
      <c r="E184" s="1">
        <v>10010.0</v>
      </c>
      <c r="F184" s="1">
        <v>2668.0</v>
      </c>
      <c r="G184" s="1">
        <v>6670.0</v>
      </c>
      <c r="H184" s="1">
        <v>1.5007</v>
      </c>
      <c r="I184" s="1">
        <v>0.4</v>
      </c>
      <c r="J184" s="1">
        <v>1.1007</v>
      </c>
      <c r="K184" s="1">
        <v>5222.0</v>
      </c>
    </row>
    <row r="185">
      <c r="A185" s="1" t="s">
        <v>19</v>
      </c>
      <c r="B185" s="1" t="s">
        <v>180</v>
      </c>
      <c r="C185" s="1" t="s">
        <v>1210</v>
      </c>
      <c r="D185" s="1">
        <v>16.0</v>
      </c>
      <c r="E185" s="1">
        <v>6995.0</v>
      </c>
      <c r="F185" s="1">
        <v>1743.0</v>
      </c>
      <c r="G185" s="1">
        <v>6670.0</v>
      </c>
      <c r="H185" s="1">
        <v>1.0487</v>
      </c>
      <c r="I185" s="1">
        <v>0.2613</v>
      </c>
      <c r="J185" s="1">
        <v>0.7874</v>
      </c>
      <c r="K185" s="1">
        <v>5471.0</v>
      </c>
    </row>
    <row r="186">
      <c r="A186" s="1" t="s">
        <v>19</v>
      </c>
      <c r="B186" s="1" t="s">
        <v>180</v>
      </c>
      <c r="C186" s="1" t="s">
        <v>1210</v>
      </c>
      <c r="D186" s="1">
        <v>17.0</v>
      </c>
      <c r="E186" s="1">
        <v>4995.0</v>
      </c>
      <c r="F186" s="1">
        <v>1265.0</v>
      </c>
      <c r="G186" s="1">
        <v>6670.0</v>
      </c>
      <c r="H186" s="1">
        <v>0.7489</v>
      </c>
      <c r="I186" s="1">
        <v>0.1897</v>
      </c>
      <c r="J186" s="1">
        <v>0.5592</v>
      </c>
      <c r="K186" s="1">
        <v>5149.0</v>
      </c>
    </row>
    <row r="187">
      <c r="A187" s="1" t="s">
        <v>19</v>
      </c>
      <c r="B187" s="1" t="s">
        <v>180</v>
      </c>
      <c r="C187" s="1" t="s">
        <v>1210</v>
      </c>
      <c r="D187" s="1">
        <v>18.0</v>
      </c>
      <c r="E187" s="1">
        <v>4755.0</v>
      </c>
      <c r="F187" s="1">
        <v>1117.0</v>
      </c>
      <c r="G187" s="1">
        <v>6670.0</v>
      </c>
      <c r="H187" s="1">
        <v>0.7129</v>
      </c>
      <c r="I187" s="1">
        <v>0.1675</v>
      </c>
      <c r="J187" s="1">
        <v>0.5454</v>
      </c>
      <c r="K187" s="1">
        <v>5210.0</v>
      </c>
    </row>
    <row r="188">
      <c r="A188" s="1" t="s">
        <v>19</v>
      </c>
      <c r="B188" s="1" t="s">
        <v>180</v>
      </c>
      <c r="C188" s="1" t="s">
        <v>1210</v>
      </c>
      <c r="D188" s="1">
        <v>19.0</v>
      </c>
      <c r="E188" s="1">
        <v>5410.0</v>
      </c>
      <c r="F188" s="1">
        <v>1257.0</v>
      </c>
      <c r="G188" s="1">
        <v>6670.0</v>
      </c>
      <c r="H188" s="1">
        <v>0.8111</v>
      </c>
      <c r="I188" s="1">
        <v>0.1885</v>
      </c>
      <c r="J188" s="1">
        <v>0.6226</v>
      </c>
      <c r="K188" s="1">
        <v>4774.0</v>
      </c>
    </row>
    <row r="189">
      <c r="A189" s="1" t="s">
        <v>19</v>
      </c>
      <c r="B189" s="1" t="s">
        <v>180</v>
      </c>
      <c r="C189" s="1" t="s">
        <v>1210</v>
      </c>
      <c r="D189" s="1">
        <v>20.0</v>
      </c>
      <c r="E189" s="1">
        <v>6615.0</v>
      </c>
      <c r="F189" s="1">
        <v>1215.0</v>
      </c>
      <c r="G189" s="1">
        <v>6670.0</v>
      </c>
      <c r="H189" s="1">
        <v>0.9918</v>
      </c>
      <c r="I189" s="1">
        <v>0.1822</v>
      </c>
      <c r="J189" s="1">
        <v>0.8096</v>
      </c>
      <c r="K189" s="1">
        <v>4799.0</v>
      </c>
    </row>
    <row r="190">
      <c r="A190" s="1" t="s">
        <v>19</v>
      </c>
      <c r="B190" s="1" t="s">
        <v>180</v>
      </c>
      <c r="C190" s="1" t="s">
        <v>1210</v>
      </c>
      <c r="D190" s="1">
        <v>21.0</v>
      </c>
      <c r="E190" s="1">
        <v>5785.0</v>
      </c>
      <c r="F190" s="1">
        <v>1340.0</v>
      </c>
      <c r="G190" s="1">
        <v>6670.0</v>
      </c>
      <c r="H190" s="1">
        <v>0.8673</v>
      </c>
      <c r="I190" s="1">
        <v>0.2009</v>
      </c>
      <c r="J190" s="1">
        <v>0.6664</v>
      </c>
      <c r="K190" s="1">
        <v>4749.0</v>
      </c>
    </row>
    <row r="191">
      <c r="A191" s="1" t="s">
        <v>19</v>
      </c>
      <c r="B191" s="1" t="s">
        <v>180</v>
      </c>
      <c r="C191" s="1" t="s">
        <v>1211</v>
      </c>
      <c r="D191" s="1">
        <v>1.0</v>
      </c>
      <c r="E191" s="1">
        <v>15485.0</v>
      </c>
      <c r="F191" s="1">
        <v>4070.0</v>
      </c>
      <c r="G191" s="1">
        <v>9772.0</v>
      </c>
      <c r="H191" s="1">
        <v>1.5846</v>
      </c>
      <c r="I191" s="1">
        <v>0.4165</v>
      </c>
      <c r="J191" s="1">
        <v>1.1681</v>
      </c>
      <c r="K191" s="1">
        <v>7552.0</v>
      </c>
    </row>
    <row r="192">
      <c r="A192" s="1" t="s">
        <v>19</v>
      </c>
      <c r="B192" s="1" t="s">
        <v>180</v>
      </c>
      <c r="C192" s="1" t="s">
        <v>1211</v>
      </c>
      <c r="D192" s="1">
        <v>2.0</v>
      </c>
      <c r="E192" s="1">
        <v>13785.0</v>
      </c>
      <c r="F192" s="1">
        <v>3737.0</v>
      </c>
      <c r="G192" s="1">
        <v>9772.0</v>
      </c>
      <c r="H192" s="1">
        <v>1.4107</v>
      </c>
      <c r="I192" s="1">
        <v>0.3824</v>
      </c>
      <c r="J192" s="1">
        <v>1.0282</v>
      </c>
      <c r="K192" s="1">
        <v>7017.0</v>
      </c>
    </row>
    <row r="193">
      <c r="A193" s="1" t="s">
        <v>19</v>
      </c>
      <c r="B193" s="1" t="s">
        <v>180</v>
      </c>
      <c r="C193" s="1" t="s">
        <v>1211</v>
      </c>
      <c r="D193" s="1">
        <v>3.0</v>
      </c>
      <c r="E193" s="1">
        <v>14130.0</v>
      </c>
      <c r="F193" s="1">
        <v>3726.0</v>
      </c>
      <c r="G193" s="1">
        <v>9772.0</v>
      </c>
      <c r="H193" s="1">
        <v>1.446</v>
      </c>
      <c r="I193" s="1">
        <v>0.3813</v>
      </c>
      <c r="J193" s="1">
        <v>1.0647</v>
      </c>
      <c r="K193" s="1">
        <v>6713.0</v>
      </c>
    </row>
    <row r="194">
      <c r="A194" s="1" t="s">
        <v>19</v>
      </c>
      <c r="B194" s="1" t="s">
        <v>180</v>
      </c>
      <c r="C194" s="1" t="s">
        <v>1211</v>
      </c>
      <c r="D194" s="1">
        <v>4.0</v>
      </c>
      <c r="E194" s="1">
        <v>12715.0</v>
      </c>
      <c r="F194" s="1">
        <v>3419.0</v>
      </c>
      <c r="G194" s="1">
        <v>9772.0</v>
      </c>
      <c r="H194" s="1">
        <v>1.3012</v>
      </c>
      <c r="I194" s="1">
        <v>0.3499</v>
      </c>
      <c r="J194" s="1">
        <v>0.9513</v>
      </c>
      <c r="K194" s="1">
        <v>6140.0</v>
      </c>
    </row>
    <row r="195">
      <c r="A195" s="1" t="s">
        <v>19</v>
      </c>
      <c r="B195" s="1" t="s">
        <v>180</v>
      </c>
      <c r="C195" s="1" t="s">
        <v>1211</v>
      </c>
      <c r="D195" s="1">
        <v>5.0</v>
      </c>
      <c r="E195" s="1">
        <v>14215.0</v>
      </c>
      <c r="F195" s="1">
        <v>3801.0</v>
      </c>
      <c r="G195" s="1">
        <v>9772.0</v>
      </c>
      <c r="H195" s="1">
        <v>1.4547</v>
      </c>
      <c r="I195" s="1">
        <v>0.389</v>
      </c>
      <c r="J195" s="1">
        <v>1.0657</v>
      </c>
      <c r="K195" s="1">
        <v>6059.0</v>
      </c>
    </row>
    <row r="196">
      <c r="A196" s="1" t="s">
        <v>19</v>
      </c>
      <c r="B196" s="1" t="s">
        <v>180</v>
      </c>
      <c r="C196" s="1" t="s">
        <v>1211</v>
      </c>
      <c r="D196" s="1">
        <v>6.0</v>
      </c>
      <c r="E196" s="1">
        <v>14480.0</v>
      </c>
      <c r="F196" s="1">
        <v>3940.0</v>
      </c>
      <c r="G196" s="1">
        <v>9772.0</v>
      </c>
      <c r="H196" s="1">
        <v>1.4818</v>
      </c>
      <c r="I196" s="1">
        <v>0.4032</v>
      </c>
      <c r="J196" s="1">
        <v>1.0786</v>
      </c>
      <c r="K196" s="1">
        <v>5911.0</v>
      </c>
    </row>
    <row r="197">
      <c r="A197" s="1" t="s">
        <v>19</v>
      </c>
      <c r="B197" s="1" t="s">
        <v>180</v>
      </c>
      <c r="C197" s="1" t="s">
        <v>1211</v>
      </c>
      <c r="D197" s="1">
        <v>7.0</v>
      </c>
      <c r="E197" s="1">
        <v>15785.0</v>
      </c>
      <c r="F197" s="1">
        <v>4116.0</v>
      </c>
      <c r="G197" s="1">
        <v>9772.0</v>
      </c>
      <c r="H197" s="1">
        <v>1.6153</v>
      </c>
      <c r="I197" s="1">
        <v>0.4212</v>
      </c>
      <c r="J197" s="1">
        <v>1.1941</v>
      </c>
      <c r="K197" s="1">
        <v>5939.0</v>
      </c>
    </row>
    <row r="198">
      <c r="A198" s="1" t="s">
        <v>19</v>
      </c>
      <c r="B198" s="1" t="s">
        <v>180</v>
      </c>
      <c r="C198" s="1" t="s">
        <v>1211</v>
      </c>
      <c r="D198" s="1">
        <v>8.0</v>
      </c>
      <c r="E198" s="1">
        <v>13340.0</v>
      </c>
      <c r="F198" s="1">
        <v>3984.0</v>
      </c>
      <c r="G198" s="1">
        <v>9772.0</v>
      </c>
      <c r="H198" s="1">
        <v>1.3651</v>
      </c>
      <c r="I198" s="1">
        <v>0.4077</v>
      </c>
      <c r="J198" s="1">
        <v>0.9574</v>
      </c>
      <c r="K198" s="1">
        <v>5656.0</v>
      </c>
    </row>
    <row r="199">
      <c r="A199" s="1" t="s">
        <v>19</v>
      </c>
      <c r="B199" s="1" t="s">
        <v>180</v>
      </c>
      <c r="C199" s="1" t="s">
        <v>1211</v>
      </c>
      <c r="D199" s="1">
        <v>9.0</v>
      </c>
      <c r="E199" s="1">
        <v>10010.0</v>
      </c>
      <c r="F199" s="1">
        <v>2853.0</v>
      </c>
      <c r="G199" s="1">
        <v>9772.0</v>
      </c>
      <c r="H199" s="1">
        <v>1.0244</v>
      </c>
      <c r="I199" s="1">
        <v>0.292</v>
      </c>
      <c r="J199" s="1">
        <v>0.7324</v>
      </c>
      <c r="K199" s="1">
        <v>5623.0</v>
      </c>
    </row>
    <row r="200">
      <c r="A200" s="1" t="s">
        <v>19</v>
      </c>
      <c r="B200" s="1" t="s">
        <v>180</v>
      </c>
      <c r="C200" s="1" t="s">
        <v>1211</v>
      </c>
      <c r="D200" s="1">
        <v>10.0</v>
      </c>
      <c r="E200" s="1">
        <v>9010.0</v>
      </c>
      <c r="F200" s="1">
        <v>2395.0</v>
      </c>
      <c r="G200" s="1">
        <v>9772.0</v>
      </c>
      <c r="H200" s="1">
        <v>0.922</v>
      </c>
      <c r="I200" s="1">
        <v>0.2451</v>
      </c>
      <c r="J200" s="1">
        <v>0.6769</v>
      </c>
      <c r="K200" s="1">
        <v>5512.0</v>
      </c>
    </row>
    <row r="201">
      <c r="A201" s="1" t="s">
        <v>19</v>
      </c>
      <c r="B201" s="1" t="s">
        <v>180</v>
      </c>
      <c r="C201" s="1" t="s">
        <v>1211</v>
      </c>
      <c r="D201" s="1">
        <v>11.0</v>
      </c>
      <c r="E201" s="1">
        <v>9765.0</v>
      </c>
      <c r="F201" s="1">
        <v>2635.0</v>
      </c>
      <c r="G201" s="1">
        <v>9772.0</v>
      </c>
      <c r="H201" s="1">
        <v>0.9993</v>
      </c>
      <c r="I201" s="1">
        <v>0.2696</v>
      </c>
      <c r="J201" s="1">
        <v>0.7296</v>
      </c>
      <c r="K201" s="1">
        <v>5521.0</v>
      </c>
    </row>
    <row r="202">
      <c r="A202" s="1" t="s">
        <v>19</v>
      </c>
      <c r="B202" s="1" t="s">
        <v>180</v>
      </c>
      <c r="C202" s="1" t="s">
        <v>1211</v>
      </c>
      <c r="D202" s="1">
        <v>12.0</v>
      </c>
      <c r="E202" s="1">
        <v>10390.0</v>
      </c>
      <c r="F202" s="1">
        <v>2803.0</v>
      </c>
      <c r="G202" s="1">
        <v>9772.0</v>
      </c>
      <c r="H202" s="1">
        <v>1.0632</v>
      </c>
      <c r="I202" s="1">
        <v>0.2868</v>
      </c>
      <c r="J202" s="1">
        <v>0.7764</v>
      </c>
      <c r="K202" s="1">
        <v>5487.0</v>
      </c>
    </row>
    <row r="203">
      <c r="A203" s="1" t="s">
        <v>19</v>
      </c>
      <c r="B203" s="1" t="s">
        <v>180</v>
      </c>
      <c r="C203" s="1" t="s">
        <v>1211</v>
      </c>
      <c r="D203" s="1">
        <v>13.0</v>
      </c>
      <c r="E203" s="1">
        <v>12725.0</v>
      </c>
      <c r="F203" s="1">
        <v>3350.0</v>
      </c>
      <c r="G203" s="1">
        <v>9772.0</v>
      </c>
      <c r="H203" s="1">
        <v>1.3022</v>
      </c>
      <c r="I203" s="1">
        <v>0.3428</v>
      </c>
      <c r="J203" s="1">
        <v>0.9594</v>
      </c>
      <c r="K203" s="1">
        <v>5485.0</v>
      </c>
    </row>
    <row r="204">
      <c r="A204" s="1" t="s">
        <v>19</v>
      </c>
      <c r="B204" s="1" t="s">
        <v>180</v>
      </c>
      <c r="C204" s="1" t="s">
        <v>1211</v>
      </c>
      <c r="D204" s="1">
        <v>14.0</v>
      </c>
      <c r="E204" s="1">
        <v>12110.0</v>
      </c>
      <c r="F204" s="1">
        <v>3433.0</v>
      </c>
      <c r="G204" s="1">
        <v>9772.0</v>
      </c>
      <c r="H204" s="1">
        <v>1.2393</v>
      </c>
      <c r="I204" s="1">
        <v>0.3513</v>
      </c>
      <c r="J204" s="1">
        <v>0.8879</v>
      </c>
      <c r="K204" s="1">
        <v>5424.0</v>
      </c>
    </row>
    <row r="205">
      <c r="A205" s="1" t="s">
        <v>19</v>
      </c>
      <c r="B205" s="1" t="s">
        <v>180</v>
      </c>
      <c r="C205" s="1" t="s">
        <v>1211</v>
      </c>
      <c r="D205" s="1">
        <v>15.0</v>
      </c>
      <c r="E205" s="1">
        <v>16890.0</v>
      </c>
      <c r="F205" s="1">
        <v>4678.0</v>
      </c>
      <c r="G205" s="1">
        <v>9772.0</v>
      </c>
      <c r="H205" s="1">
        <v>1.7284</v>
      </c>
      <c r="I205" s="1">
        <v>0.4787</v>
      </c>
      <c r="J205" s="1">
        <v>1.2497</v>
      </c>
      <c r="K205" s="1">
        <v>5222.0</v>
      </c>
    </row>
    <row r="206">
      <c r="A206" s="1" t="s">
        <v>19</v>
      </c>
      <c r="B206" s="1" t="s">
        <v>180</v>
      </c>
      <c r="C206" s="1" t="s">
        <v>1211</v>
      </c>
      <c r="D206" s="1">
        <v>16.0</v>
      </c>
      <c r="E206" s="1">
        <v>11335.0</v>
      </c>
      <c r="F206" s="1">
        <v>3060.0</v>
      </c>
      <c r="G206" s="1">
        <v>9772.0</v>
      </c>
      <c r="H206" s="1">
        <v>1.1599</v>
      </c>
      <c r="I206" s="1">
        <v>0.3131</v>
      </c>
      <c r="J206" s="1">
        <v>0.8468</v>
      </c>
      <c r="K206" s="1">
        <v>5471.0</v>
      </c>
    </row>
    <row r="207">
      <c r="A207" s="1" t="s">
        <v>19</v>
      </c>
      <c r="B207" s="1" t="s">
        <v>180</v>
      </c>
      <c r="C207" s="1" t="s">
        <v>1211</v>
      </c>
      <c r="D207" s="1">
        <v>17.0</v>
      </c>
      <c r="E207" s="1">
        <v>9910.0</v>
      </c>
      <c r="F207" s="1">
        <v>2681.0</v>
      </c>
      <c r="G207" s="1">
        <v>9772.0</v>
      </c>
      <c r="H207" s="1">
        <v>1.0141</v>
      </c>
      <c r="I207" s="1">
        <v>0.2744</v>
      </c>
      <c r="J207" s="1">
        <v>0.7398</v>
      </c>
      <c r="K207" s="1">
        <v>5149.0</v>
      </c>
    </row>
    <row r="208">
      <c r="A208" s="1" t="s">
        <v>19</v>
      </c>
      <c r="B208" s="1" t="s">
        <v>180</v>
      </c>
      <c r="C208" s="1" t="s">
        <v>1211</v>
      </c>
      <c r="D208" s="1">
        <v>18.0</v>
      </c>
      <c r="E208" s="1">
        <v>10990.0</v>
      </c>
      <c r="F208" s="1">
        <v>2829.0</v>
      </c>
      <c r="G208" s="1">
        <v>9772.0</v>
      </c>
      <c r="H208" s="1">
        <v>1.1246</v>
      </c>
      <c r="I208" s="1">
        <v>0.2895</v>
      </c>
      <c r="J208" s="1">
        <v>0.8351</v>
      </c>
      <c r="K208" s="1">
        <v>5210.0</v>
      </c>
    </row>
    <row r="209">
      <c r="A209" s="1" t="s">
        <v>19</v>
      </c>
      <c r="B209" s="1" t="s">
        <v>180</v>
      </c>
      <c r="C209" s="1" t="s">
        <v>1211</v>
      </c>
      <c r="D209" s="1">
        <v>19.0</v>
      </c>
      <c r="E209" s="1">
        <v>8345.0</v>
      </c>
      <c r="F209" s="1">
        <v>1982.0</v>
      </c>
      <c r="G209" s="1">
        <v>9772.0</v>
      </c>
      <c r="H209" s="1">
        <v>0.854</v>
      </c>
      <c r="I209" s="1">
        <v>0.2028</v>
      </c>
      <c r="J209" s="1">
        <v>0.6511</v>
      </c>
      <c r="K209" s="1">
        <v>4774.0</v>
      </c>
    </row>
    <row r="210">
      <c r="A210" s="1" t="s">
        <v>19</v>
      </c>
      <c r="B210" s="1" t="s">
        <v>180</v>
      </c>
      <c r="C210" s="1" t="s">
        <v>1211</v>
      </c>
      <c r="D210" s="1">
        <v>20.0</v>
      </c>
      <c r="E210" s="1">
        <v>8245.0</v>
      </c>
      <c r="F210" s="1">
        <v>1992.0</v>
      </c>
      <c r="G210" s="1">
        <v>9772.0</v>
      </c>
      <c r="H210" s="1">
        <v>0.8437</v>
      </c>
      <c r="I210" s="1">
        <v>0.2038</v>
      </c>
      <c r="J210" s="1">
        <v>0.6399</v>
      </c>
      <c r="K210" s="1">
        <v>4799.0</v>
      </c>
    </row>
    <row r="211">
      <c r="A211" s="1" t="s">
        <v>19</v>
      </c>
      <c r="B211" s="1" t="s">
        <v>180</v>
      </c>
      <c r="C211" s="1" t="s">
        <v>1211</v>
      </c>
      <c r="D211" s="1">
        <v>21.0</v>
      </c>
      <c r="E211" s="1">
        <v>9375.0</v>
      </c>
      <c r="F211" s="1">
        <v>2261.0</v>
      </c>
      <c r="G211" s="1">
        <v>9772.0</v>
      </c>
      <c r="H211" s="1">
        <v>0.9594</v>
      </c>
      <c r="I211" s="1">
        <v>0.2314</v>
      </c>
      <c r="J211" s="1">
        <v>0.728</v>
      </c>
      <c r="K211" s="1">
        <v>4749.0</v>
      </c>
    </row>
    <row r="212">
      <c r="A212" s="1" t="s">
        <v>19</v>
      </c>
      <c r="B212" s="1" t="s">
        <v>180</v>
      </c>
      <c r="C212" s="1" t="s">
        <v>55</v>
      </c>
      <c r="D212" s="1">
        <v>1.0</v>
      </c>
      <c r="E212" s="1">
        <v>510340.0</v>
      </c>
      <c r="F212" s="1">
        <v>3.0</v>
      </c>
      <c r="G212" s="1">
        <v>23510.0</v>
      </c>
      <c r="H212" s="1">
        <v>21.7074</v>
      </c>
      <c r="I212" s="1">
        <v>1.0E-4</v>
      </c>
      <c r="J212" s="1">
        <v>21.7072</v>
      </c>
      <c r="K212" s="1">
        <v>7552.0</v>
      </c>
    </row>
    <row r="213">
      <c r="A213" s="1" t="s">
        <v>19</v>
      </c>
      <c r="B213" s="1" t="s">
        <v>180</v>
      </c>
      <c r="C213" s="1" t="s">
        <v>55</v>
      </c>
      <c r="D213" s="1">
        <v>2.0</v>
      </c>
      <c r="E213" s="1">
        <v>442710.0</v>
      </c>
      <c r="F213" s="1">
        <v>1.0</v>
      </c>
      <c r="G213" s="1">
        <v>23510.0</v>
      </c>
      <c r="H213" s="1">
        <v>18.8307</v>
      </c>
      <c r="I213" s="1">
        <v>0.0</v>
      </c>
      <c r="J213" s="1">
        <v>18.8307</v>
      </c>
      <c r="K213" s="1">
        <v>7017.0</v>
      </c>
    </row>
    <row r="214">
      <c r="A214" s="1" t="s">
        <v>19</v>
      </c>
      <c r="B214" s="1" t="s">
        <v>180</v>
      </c>
      <c r="C214" s="1" t="s">
        <v>55</v>
      </c>
      <c r="D214" s="1">
        <v>3.0</v>
      </c>
      <c r="E214" s="1">
        <v>458168.0</v>
      </c>
      <c r="F214" s="1">
        <v>0.0</v>
      </c>
      <c r="G214" s="1">
        <v>23510.0</v>
      </c>
      <c r="H214" s="1">
        <v>19.4882</v>
      </c>
      <c r="I214" s="1">
        <v>0.0</v>
      </c>
      <c r="J214" s="1">
        <v>19.4882</v>
      </c>
      <c r="K214" s="1">
        <v>6713.0</v>
      </c>
    </row>
    <row r="215">
      <c r="A215" s="1" t="s">
        <v>19</v>
      </c>
      <c r="B215" s="1" t="s">
        <v>180</v>
      </c>
      <c r="C215" s="1" t="s">
        <v>55</v>
      </c>
      <c r="D215" s="1">
        <v>4.0</v>
      </c>
      <c r="E215" s="1">
        <v>418143.0</v>
      </c>
      <c r="F215" s="1">
        <v>0.0</v>
      </c>
      <c r="G215" s="1">
        <v>23510.0</v>
      </c>
      <c r="H215" s="1">
        <v>17.7858</v>
      </c>
      <c r="I215" s="1">
        <v>0.0</v>
      </c>
      <c r="J215" s="1">
        <v>17.7858</v>
      </c>
      <c r="K215" s="1">
        <v>6140.0</v>
      </c>
    </row>
    <row r="216">
      <c r="A216" s="1" t="s">
        <v>19</v>
      </c>
      <c r="B216" s="1" t="s">
        <v>180</v>
      </c>
      <c r="C216" s="1" t="s">
        <v>55</v>
      </c>
      <c r="D216" s="1">
        <v>5.0</v>
      </c>
      <c r="E216" s="1">
        <v>403485.0</v>
      </c>
      <c r="F216" s="1">
        <v>0.0</v>
      </c>
      <c r="G216" s="1">
        <v>23510.0</v>
      </c>
      <c r="H216" s="1">
        <v>17.1623</v>
      </c>
      <c r="I216" s="1">
        <v>0.0</v>
      </c>
      <c r="J216" s="1">
        <v>17.1623</v>
      </c>
      <c r="K216" s="1">
        <v>6059.0</v>
      </c>
    </row>
    <row r="217">
      <c r="A217" s="1" t="s">
        <v>19</v>
      </c>
      <c r="B217" s="1" t="s">
        <v>180</v>
      </c>
      <c r="C217" s="1" t="s">
        <v>55</v>
      </c>
      <c r="D217" s="1">
        <v>6.0</v>
      </c>
      <c r="E217" s="1">
        <v>350599.0</v>
      </c>
      <c r="F217" s="1">
        <v>1.0</v>
      </c>
      <c r="G217" s="1">
        <v>23510.0</v>
      </c>
      <c r="H217" s="1">
        <v>14.9128</v>
      </c>
      <c r="I217" s="1">
        <v>0.0</v>
      </c>
      <c r="J217" s="1">
        <v>14.9127</v>
      </c>
      <c r="K217" s="1">
        <v>5911.0</v>
      </c>
    </row>
    <row r="218">
      <c r="A218" s="1" t="s">
        <v>19</v>
      </c>
      <c r="B218" s="1" t="s">
        <v>180</v>
      </c>
      <c r="C218" s="1" t="s">
        <v>55</v>
      </c>
      <c r="D218" s="1">
        <v>7.0</v>
      </c>
      <c r="E218" s="1">
        <v>348344.0</v>
      </c>
      <c r="F218" s="1">
        <v>0.0</v>
      </c>
      <c r="G218" s="1">
        <v>23510.0</v>
      </c>
      <c r="H218" s="1">
        <v>14.8168</v>
      </c>
      <c r="I218" s="1">
        <v>0.0</v>
      </c>
      <c r="J218" s="1">
        <v>14.8168</v>
      </c>
      <c r="K218" s="1">
        <v>5939.0</v>
      </c>
    </row>
    <row r="219">
      <c r="A219" s="1" t="s">
        <v>19</v>
      </c>
      <c r="B219" s="1" t="s">
        <v>180</v>
      </c>
      <c r="C219" s="1" t="s">
        <v>55</v>
      </c>
      <c r="D219" s="1">
        <v>8.0</v>
      </c>
      <c r="E219" s="1">
        <v>396607.0</v>
      </c>
      <c r="F219" s="1">
        <v>4.0</v>
      </c>
      <c r="G219" s="1">
        <v>23510.0</v>
      </c>
      <c r="H219" s="1">
        <v>16.8697</v>
      </c>
      <c r="I219" s="1">
        <v>2.0E-4</v>
      </c>
      <c r="J219" s="1">
        <v>16.8695</v>
      </c>
      <c r="K219" s="1">
        <v>5656.0</v>
      </c>
    </row>
    <row r="220">
      <c r="A220" s="1" t="s">
        <v>19</v>
      </c>
      <c r="B220" s="1" t="s">
        <v>180</v>
      </c>
      <c r="C220" s="1" t="s">
        <v>55</v>
      </c>
      <c r="D220" s="1">
        <v>9.0</v>
      </c>
      <c r="E220" s="1">
        <v>386521.0</v>
      </c>
      <c r="F220" s="1">
        <v>15.0</v>
      </c>
      <c r="G220" s="1">
        <v>23510.0</v>
      </c>
      <c r="H220" s="1">
        <v>16.4407</v>
      </c>
      <c r="I220" s="1">
        <v>6.0E-4</v>
      </c>
      <c r="J220" s="1">
        <v>16.4401</v>
      </c>
      <c r="K220" s="1">
        <v>5623.0</v>
      </c>
    </row>
    <row r="221">
      <c r="A221" s="1" t="s">
        <v>19</v>
      </c>
      <c r="B221" s="1" t="s">
        <v>180</v>
      </c>
      <c r="C221" s="1" t="s">
        <v>55</v>
      </c>
      <c r="D221" s="1">
        <v>10.0</v>
      </c>
      <c r="E221" s="1">
        <v>361278.0</v>
      </c>
      <c r="F221" s="1">
        <v>1.0</v>
      </c>
      <c r="G221" s="1">
        <v>23510.0</v>
      </c>
      <c r="H221" s="1">
        <v>15.367</v>
      </c>
      <c r="I221" s="1">
        <v>0.0</v>
      </c>
      <c r="J221" s="1">
        <v>15.367</v>
      </c>
      <c r="K221" s="1">
        <v>5512.0</v>
      </c>
    </row>
    <row r="222">
      <c r="A222" s="1" t="s">
        <v>19</v>
      </c>
      <c r="B222" s="1" t="s">
        <v>180</v>
      </c>
      <c r="C222" s="1" t="s">
        <v>55</v>
      </c>
      <c r="D222" s="1">
        <v>11.0</v>
      </c>
      <c r="E222" s="1">
        <v>363529.0</v>
      </c>
      <c r="F222" s="1">
        <v>0.0</v>
      </c>
      <c r="G222" s="1">
        <v>23510.0</v>
      </c>
      <c r="H222" s="1">
        <v>15.4627</v>
      </c>
      <c r="I222" s="1">
        <v>0.0</v>
      </c>
      <c r="J222" s="1">
        <v>15.4627</v>
      </c>
      <c r="K222" s="1">
        <v>5521.0</v>
      </c>
    </row>
    <row r="223">
      <c r="A223" s="1" t="s">
        <v>19</v>
      </c>
      <c r="B223" s="1" t="s">
        <v>180</v>
      </c>
      <c r="C223" s="1" t="s">
        <v>55</v>
      </c>
      <c r="D223" s="1">
        <v>12.0</v>
      </c>
      <c r="E223" s="1">
        <v>351301.0</v>
      </c>
      <c r="F223" s="1">
        <v>8.0</v>
      </c>
      <c r="G223" s="1">
        <v>23510.0</v>
      </c>
      <c r="H223" s="1">
        <v>14.9426</v>
      </c>
      <c r="I223" s="1">
        <v>3.0E-4</v>
      </c>
      <c r="J223" s="1">
        <v>14.9423</v>
      </c>
      <c r="K223" s="1">
        <v>5487.0</v>
      </c>
    </row>
    <row r="224">
      <c r="A224" s="1" t="s">
        <v>19</v>
      </c>
      <c r="B224" s="1" t="s">
        <v>180</v>
      </c>
      <c r="C224" s="1" t="s">
        <v>55</v>
      </c>
      <c r="D224" s="1">
        <v>13.0</v>
      </c>
      <c r="E224" s="1">
        <v>313908.0</v>
      </c>
      <c r="F224" s="1">
        <v>10.0</v>
      </c>
      <c r="G224" s="1">
        <v>23510.0</v>
      </c>
      <c r="H224" s="1">
        <v>13.3521</v>
      </c>
      <c r="I224" s="1">
        <v>4.0E-4</v>
      </c>
      <c r="J224" s="1">
        <v>13.3517</v>
      </c>
      <c r="K224" s="1">
        <v>5485.0</v>
      </c>
    </row>
    <row r="225">
      <c r="A225" s="1" t="s">
        <v>19</v>
      </c>
      <c r="B225" s="1" t="s">
        <v>180</v>
      </c>
      <c r="C225" s="1" t="s">
        <v>55</v>
      </c>
      <c r="D225" s="1">
        <v>14.0</v>
      </c>
      <c r="E225" s="1">
        <v>307841.0</v>
      </c>
      <c r="F225" s="1">
        <v>12.0</v>
      </c>
      <c r="G225" s="1">
        <v>23510.0</v>
      </c>
      <c r="H225" s="1">
        <v>13.094</v>
      </c>
      <c r="I225" s="1">
        <v>5.0E-4</v>
      </c>
      <c r="J225" s="1">
        <v>13.0935</v>
      </c>
      <c r="K225" s="1">
        <v>5424.0</v>
      </c>
    </row>
    <row r="226">
      <c r="A226" s="1" t="s">
        <v>19</v>
      </c>
      <c r="B226" s="1" t="s">
        <v>180</v>
      </c>
      <c r="C226" s="1" t="s">
        <v>55</v>
      </c>
      <c r="D226" s="1">
        <v>15.0</v>
      </c>
      <c r="E226" s="1">
        <v>362338.0</v>
      </c>
      <c r="F226" s="1">
        <v>2.0</v>
      </c>
      <c r="G226" s="1">
        <v>23510.0</v>
      </c>
      <c r="H226" s="1">
        <v>15.4121</v>
      </c>
      <c r="I226" s="1">
        <v>1.0E-4</v>
      </c>
      <c r="J226" s="1">
        <v>15.412</v>
      </c>
      <c r="K226" s="1">
        <v>5222.0</v>
      </c>
    </row>
    <row r="227">
      <c r="A227" s="1" t="s">
        <v>19</v>
      </c>
      <c r="B227" s="1" t="s">
        <v>180</v>
      </c>
      <c r="C227" s="1" t="s">
        <v>55</v>
      </c>
      <c r="D227" s="1">
        <v>16.0</v>
      </c>
      <c r="E227" s="1">
        <v>357156.0</v>
      </c>
      <c r="F227" s="1">
        <v>3.0</v>
      </c>
      <c r="G227" s="1">
        <v>23510.0</v>
      </c>
      <c r="H227" s="1">
        <v>15.1917</v>
      </c>
      <c r="I227" s="1">
        <v>1.0E-4</v>
      </c>
      <c r="J227" s="1">
        <v>15.1915</v>
      </c>
      <c r="K227" s="1">
        <v>5471.0</v>
      </c>
    </row>
    <row r="228">
      <c r="A228" s="1" t="s">
        <v>19</v>
      </c>
      <c r="B228" s="1" t="s">
        <v>180</v>
      </c>
      <c r="C228" s="1" t="s">
        <v>55</v>
      </c>
      <c r="D228" s="1">
        <v>17.0</v>
      </c>
      <c r="E228" s="1">
        <v>337781.0</v>
      </c>
      <c r="F228" s="1">
        <v>0.0</v>
      </c>
      <c r="G228" s="1">
        <v>23510.0</v>
      </c>
      <c r="H228" s="1">
        <v>14.3675</v>
      </c>
      <c r="I228" s="1">
        <v>0.0</v>
      </c>
      <c r="J228" s="1">
        <v>14.3675</v>
      </c>
      <c r="K228" s="1">
        <v>5149.0</v>
      </c>
    </row>
    <row r="229">
      <c r="A229" s="1" t="s">
        <v>19</v>
      </c>
      <c r="B229" s="1" t="s">
        <v>180</v>
      </c>
      <c r="C229" s="1" t="s">
        <v>55</v>
      </c>
      <c r="D229" s="1">
        <v>18.0</v>
      </c>
      <c r="E229" s="1">
        <v>314063.0</v>
      </c>
      <c r="F229" s="1">
        <v>1.0</v>
      </c>
      <c r="G229" s="1">
        <v>23510.0</v>
      </c>
      <c r="H229" s="1">
        <v>13.3587</v>
      </c>
      <c r="I229" s="1">
        <v>0.0</v>
      </c>
      <c r="J229" s="1">
        <v>13.3587</v>
      </c>
      <c r="K229" s="1">
        <v>5210.0</v>
      </c>
    </row>
    <row r="230">
      <c r="A230" s="1" t="s">
        <v>19</v>
      </c>
      <c r="B230" s="1" t="s">
        <v>180</v>
      </c>
      <c r="C230" s="1" t="s">
        <v>55</v>
      </c>
      <c r="D230" s="1">
        <v>19.0</v>
      </c>
      <c r="E230" s="1">
        <v>323985.0</v>
      </c>
      <c r="F230" s="1">
        <v>2.0</v>
      </c>
      <c r="G230" s="1">
        <v>23510.0</v>
      </c>
      <c r="H230" s="1">
        <v>13.7807</v>
      </c>
      <c r="I230" s="1">
        <v>1.0E-4</v>
      </c>
      <c r="J230" s="1">
        <v>13.7806</v>
      </c>
      <c r="K230" s="1">
        <v>4774.0</v>
      </c>
    </row>
    <row r="231">
      <c r="A231" s="1" t="s">
        <v>19</v>
      </c>
      <c r="B231" s="1" t="s">
        <v>180</v>
      </c>
      <c r="C231" s="1" t="s">
        <v>55</v>
      </c>
      <c r="D231" s="1">
        <v>20.0</v>
      </c>
      <c r="E231" s="1">
        <v>296791.0</v>
      </c>
      <c r="F231" s="1">
        <v>0.0</v>
      </c>
      <c r="G231" s="1">
        <v>23510.0</v>
      </c>
      <c r="H231" s="1">
        <v>12.624</v>
      </c>
      <c r="I231" s="1">
        <v>0.0</v>
      </c>
      <c r="J231" s="1">
        <v>12.624</v>
      </c>
      <c r="K231" s="1">
        <v>4799.0</v>
      </c>
    </row>
    <row r="232">
      <c r="A232" s="1" t="s">
        <v>19</v>
      </c>
      <c r="B232" s="1" t="s">
        <v>180</v>
      </c>
      <c r="C232" s="1" t="s">
        <v>55</v>
      </c>
      <c r="D232" s="1">
        <v>21.0</v>
      </c>
      <c r="E232" s="1">
        <v>296181.0</v>
      </c>
      <c r="F232" s="1">
        <v>0.0</v>
      </c>
      <c r="G232" s="1">
        <v>23510.0</v>
      </c>
      <c r="H232" s="1">
        <v>12.5981</v>
      </c>
      <c r="I232" s="1">
        <v>0.0</v>
      </c>
      <c r="J232" s="1">
        <v>12.5981</v>
      </c>
      <c r="K232" s="1">
        <v>4749.0</v>
      </c>
    </row>
    <row r="233">
      <c r="A233" s="1" t="s">
        <v>19</v>
      </c>
      <c r="B233" s="1" t="s">
        <v>180</v>
      </c>
      <c r="C233" s="1" t="s">
        <v>46</v>
      </c>
      <c r="D233" s="1">
        <v>1.0</v>
      </c>
      <c r="E233" s="1">
        <v>293771.0</v>
      </c>
      <c r="F233" s="1">
        <v>0.0</v>
      </c>
      <c r="G233" s="1">
        <v>17511.0</v>
      </c>
      <c r="H233" s="1">
        <v>16.7764</v>
      </c>
      <c r="I233" s="1">
        <v>0.0</v>
      </c>
      <c r="J233" s="1">
        <v>16.7764</v>
      </c>
      <c r="K233" s="1">
        <v>7552.0</v>
      </c>
    </row>
    <row r="234">
      <c r="A234" s="1" t="s">
        <v>19</v>
      </c>
      <c r="B234" s="1" t="s">
        <v>180</v>
      </c>
      <c r="C234" s="1" t="s">
        <v>46</v>
      </c>
      <c r="D234" s="1">
        <v>2.0</v>
      </c>
      <c r="E234" s="1">
        <v>288369.0</v>
      </c>
      <c r="F234" s="1">
        <v>0.0</v>
      </c>
      <c r="G234" s="1">
        <v>17511.0</v>
      </c>
      <c r="H234" s="1">
        <v>16.4679</v>
      </c>
      <c r="I234" s="1">
        <v>0.0</v>
      </c>
      <c r="J234" s="1">
        <v>16.4679</v>
      </c>
      <c r="K234" s="1">
        <v>7017.0</v>
      </c>
    </row>
    <row r="235">
      <c r="A235" s="1" t="s">
        <v>19</v>
      </c>
      <c r="B235" s="1" t="s">
        <v>180</v>
      </c>
      <c r="C235" s="1" t="s">
        <v>46</v>
      </c>
      <c r="D235" s="1">
        <v>3.0</v>
      </c>
      <c r="E235" s="1">
        <v>180290.0</v>
      </c>
      <c r="F235" s="1">
        <v>0.0</v>
      </c>
      <c r="G235" s="1">
        <v>17511.0</v>
      </c>
      <c r="H235" s="1">
        <v>10.2958</v>
      </c>
      <c r="I235" s="1">
        <v>0.0</v>
      </c>
      <c r="J235" s="1">
        <v>10.2958</v>
      </c>
      <c r="K235" s="1">
        <v>6713.0</v>
      </c>
    </row>
    <row r="236">
      <c r="A236" s="1" t="s">
        <v>19</v>
      </c>
      <c r="B236" s="1" t="s">
        <v>180</v>
      </c>
      <c r="C236" s="1" t="s">
        <v>46</v>
      </c>
      <c r="D236" s="1">
        <v>4.0</v>
      </c>
      <c r="E236" s="1">
        <v>242892.0</v>
      </c>
      <c r="F236" s="1">
        <v>0.0</v>
      </c>
      <c r="G236" s="1">
        <v>17511.0</v>
      </c>
      <c r="H236" s="1">
        <v>13.8708</v>
      </c>
      <c r="I236" s="1">
        <v>0.0</v>
      </c>
      <c r="J236" s="1">
        <v>13.8708</v>
      </c>
      <c r="K236" s="1">
        <v>6140.0</v>
      </c>
    </row>
    <row r="237">
      <c r="A237" s="1" t="s">
        <v>19</v>
      </c>
      <c r="B237" s="1" t="s">
        <v>180</v>
      </c>
      <c r="C237" s="1" t="s">
        <v>46</v>
      </c>
      <c r="D237" s="1">
        <v>5.0</v>
      </c>
      <c r="E237" s="1">
        <v>299266.0</v>
      </c>
      <c r="F237" s="1">
        <v>0.0</v>
      </c>
      <c r="G237" s="1">
        <v>17511.0</v>
      </c>
      <c r="H237" s="1">
        <v>17.0902</v>
      </c>
      <c r="I237" s="1">
        <v>0.0</v>
      </c>
      <c r="J237" s="1">
        <v>17.0902</v>
      </c>
      <c r="K237" s="1">
        <v>6059.0</v>
      </c>
    </row>
    <row r="238">
      <c r="A238" s="1" t="s">
        <v>19</v>
      </c>
      <c r="B238" s="1" t="s">
        <v>180</v>
      </c>
      <c r="C238" s="1" t="s">
        <v>46</v>
      </c>
      <c r="D238" s="1">
        <v>6.0</v>
      </c>
      <c r="E238" s="1">
        <v>264269.0</v>
      </c>
      <c r="F238" s="1">
        <v>0.0</v>
      </c>
      <c r="G238" s="1">
        <v>17511.0</v>
      </c>
      <c r="H238" s="1">
        <v>15.0916</v>
      </c>
      <c r="I238" s="1">
        <v>0.0</v>
      </c>
      <c r="J238" s="1">
        <v>15.0916</v>
      </c>
      <c r="K238" s="1">
        <v>5911.0</v>
      </c>
    </row>
    <row r="239">
      <c r="A239" s="1" t="s">
        <v>19</v>
      </c>
      <c r="B239" s="1" t="s">
        <v>180</v>
      </c>
      <c r="C239" s="1" t="s">
        <v>46</v>
      </c>
      <c r="D239" s="1">
        <v>7.0</v>
      </c>
      <c r="E239" s="1">
        <v>257927.0</v>
      </c>
      <c r="F239" s="1">
        <v>0.0</v>
      </c>
      <c r="G239" s="1">
        <v>17511.0</v>
      </c>
      <c r="H239" s="1">
        <v>14.7294</v>
      </c>
      <c r="I239" s="1">
        <v>0.0</v>
      </c>
      <c r="J239" s="1">
        <v>14.7294</v>
      </c>
      <c r="K239" s="1">
        <v>5939.0</v>
      </c>
    </row>
    <row r="240">
      <c r="A240" s="1" t="s">
        <v>19</v>
      </c>
      <c r="B240" s="1" t="s">
        <v>180</v>
      </c>
      <c r="C240" s="1" t="s">
        <v>46</v>
      </c>
      <c r="D240" s="1">
        <v>8.0</v>
      </c>
      <c r="E240" s="1">
        <v>342617.0</v>
      </c>
      <c r="F240" s="1">
        <v>0.0</v>
      </c>
      <c r="G240" s="1">
        <v>17511.0</v>
      </c>
      <c r="H240" s="1">
        <v>19.5658</v>
      </c>
      <c r="I240" s="1">
        <v>0.0</v>
      </c>
      <c r="J240" s="1">
        <v>19.5658</v>
      </c>
      <c r="K240" s="1">
        <v>5656.0</v>
      </c>
    </row>
    <row r="241">
      <c r="A241" s="1" t="s">
        <v>19</v>
      </c>
      <c r="B241" s="1" t="s">
        <v>180</v>
      </c>
      <c r="C241" s="1" t="s">
        <v>46</v>
      </c>
      <c r="D241" s="1">
        <v>9.0</v>
      </c>
      <c r="E241" s="1">
        <v>268883.0</v>
      </c>
      <c r="F241" s="1">
        <v>0.0</v>
      </c>
      <c r="G241" s="1">
        <v>17511.0</v>
      </c>
      <c r="H241" s="1">
        <v>15.3551</v>
      </c>
      <c r="I241" s="1">
        <v>0.0</v>
      </c>
      <c r="J241" s="1">
        <v>15.3551</v>
      </c>
      <c r="K241" s="1">
        <v>5623.0</v>
      </c>
    </row>
    <row r="242">
      <c r="A242" s="1" t="s">
        <v>19</v>
      </c>
      <c r="B242" s="1" t="s">
        <v>180</v>
      </c>
      <c r="C242" s="1" t="s">
        <v>46</v>
      </c>
      <c r="D242" s="1">
        <v>10.0</v>
      </c>
      <c r="E242" s="1">
        <v>245122.0</v>
      </c>
      <c r="F242" s="1">
        <v>0.0</v>
      </c>
      <c r="G242" s="1">
        <v>17511.0</v>
      </c>
      <c r="H242" s="1">
        <v>13.9982</v>
      </c>
      <c r="I242" s="1">
        <v>0.0</v>
      </c>
      <c r="J242" s="1">
        <v>13.9982</v>
      </c>
      <c r="K242" s="1">
        <v>5512.0</v>
      </c>
    </row>
    <row r="243">
      <c r="A243" s="1" t="s">
        <v>19</v>
      </c>
      <c r="B243" s="1" t="s">
        <v>180</v>
      </c>
      <c r="C243" s="1" t="s">
        <v>46</v>
      </c>
      <c r="D243" s="1">
        <v>11.0</v>
      </c>
      <c r="E243" s="1">
        <v>309970.0</v>
      </c>
      <c r="F243" s="1">
        <v>0.0</v>
      </c>
      <c r="G243" s="1">
        <v>17511.0</v>
      </c>
      <c r="H243" s="1">
        <v>17.7014</v>
      </c>
      <c r="I243" s="1">
        <v>0.0</v>
      </c>
      <c r="J243" s="1">
        <v>17.7014</v>
      </c>
      <c r="K243" s="1">
        <v>5521.0</v>
      </c>
    </row>
    <row r="244">
      <c r="A244" s="1" t="s">
        <v>19</v>
      </c>
      <c r="B244" s="1" t="s">
        <v>180</v>
      </c>
      <c r="C244" s="1" t="s">
        <v>46</v>
      </c>
      <c r="D244" s="1">
        <v>12.0</v>
      </c>
      <c r="E244" s="1">
        <v>304469.0</v>
      </c>
      <c r="F244" s="1">
        <v>0.0</v>
      </c>
      <c r="G244" s="1">
        <v>17511.0</v>
      </c>
      <c r="H244" s="1">
        <v>17.3873</v>
      </c>
      <c r="I244" s="1">
        <v>0.0</v>
      </c>
      <c r="J244" s="1">
        <v>17.3873</v>
      </c>
      <c r="K244" s="1">
        <v>5487.0</v>
      </c>
    </row>
    <row r="245">
      <c r="A245" s="1" t="s">
        <v>19</v>
      </c>
      <c r="B245" s="1" t="s">
        <v>180</v>
      </c>
      <c r="C245" s="1" t="s">
        <v>46</v>
      </c>
      <c r="D245" s="1">
        <v>13.0</v>
      </c>
      <c r="E245" s="1">
        <v>285354.0</v>
      </c>
      <c r="F245" s="1">
        <v>0.0</v>
      </c>
      <c r="G245" s="1">
        <v>17511.0</v>
      </c>
      <c r="H245" s="1">
        <v>16.2957</v>
      </c>
      <c r="I245" s="1">
        <v>0.0</v>
      </c>
      <c r="J245" s="1">
        <v>16.2957</v>
      </c>
      <c r="K245" s="1">
        <v>5485.0</v>
      </c>
    </row>
    <row r="246">
      <c r="A246" s="1" t="s">
        <v>19</v>
      </c>
      <c r="B246" s="1" t="s">
        <v>180</v>
      </c>
      <c r="C246" s="1" t="s">
        <v>46</v>
      </c>
      <c r="D246" s="1">
        <v>14.0</v>
      </c>
      <c r="E246" s="1">
        <v>281414.0</v>
      </c>
      <c r="F246" s="1">
        <v>0.0</v>
      </c>
      <c r="G246" s="1">
        <v>17511.0</v>
      </c>
      <c r="H246" s="1">
        <v>16.0707</v>
      </c>
      <c r="I246" s="1">
        <v>0.0</v>
      </c>
      <c r="J246" s="1">
        <v>16.0707</v>
      </c>
      <c r="K246" s="1">
        <v>5424.0</v>
      </c>
    </row>
    <row r="247">
      <c r="A247" s="1" t="s">
        <v>19</v>
      </c>
      <c r="B247" s="1" t="s">
        <v>180</v>
      </c>
      <c r="C247" s="1" t="s">
        <v>46</v>
      </c>
      <c r="D247" s="1">
        <v>15.0</v>
      </c>
      <c r="E247" s="1">
        <v>365567.0</v>
      </c>
      <c r="F247" s="1">
        <v>0.0</v>
      </c>
      <c r="G247" s="1">
        <v>17511.0</v>
      </c>
      <c r="H247" s="1">
        <v>20.8764</v>
      </c>
      <c r="I247" s="1">
        <v>0.0</v>
      </c>
      <c r="J247" s="1">
        <v>20.8764</v>
      </c>
      <c r="K247" s="1">
        <v>5222.0</v>
      </c>
    </row>
    <row r="248">
      <c r="A248" s="1" t="s">
        <v>19</v>
      </c>
      <c r="B248" s="1" t="s">
        <v>180</v>
      </c>
      <c r="C248" s="1" t="s">
        <v>46</v>
      </c>
      <c r="D248" s="1">
        <v>16.0</v>
      </c>
      <c r="E248" s="1">
        <v>372294.0</v>
      </c>
      <c r="F248" s="1">
        <v>0.0</v>
      </c>
      <c r="G248" s="1">
        <v>17511.0</v>
      </c>
      <c r="H248" s="1">
        <v>21.2606</v>
      </c>
      <c r="I248" s="1">
        <v>0.0</v>
      </c>
      <c r="J248" s="1">
        <v>21.2606</v>
      </c>
      <c r="K248" s="1">
        <v>5471.0</v>
      </c>
    </row>
    <row r="249">
      <c r="A249" s="1" t="s">
        <v>19</v>
      </c>
      <c r="B249" s="1" t="s">
        <v>180</v>
      </c>
      <c r="C249" s="1" t="s">
        <v>46</v>
      </c>
      <c r="D249" s="1">
        <v>17.0</v>
      </c>
      <c r="E249" s="1">
        <v>349222.0</v>
      </c>
      <c r="F249" s="1">
        <v>0.0</v>
      </c>
      <c r="G249" s="1">
        <v>17511.0</v>
      </c>
      <c r="H249" s="1">
        <v>19.943</v>
      </c>
      <c r="I249" s="1">
        <v>0.0</v>
      </c>
      <c r="J249" s="1">
        <v>19.943</v>
      </c>
      <c r="K249" s="1">
        <v>5149.0</v>
      </c>
    </row>
    <row r="250">
      <c r="A250" s="1" t="s">
        <v>19</v>
      </c>
      <c r="B250" s="1" t="s">
        <v>180</v>
      </c>
      <c r="C250" s="1" t="s">
        <v>46</v>
      </c>
      <c r="D250" s="1">
        <v>18.0</v>
      </c>
      <c r="E250" s="1">
        <v>340094.0</v>
      </c>
      <c r="F250" s="1">
        <v>0.0</v>
      </c>
      <c r="G250" s="1">
        <v>17511.0</v>
      </c>
      <c r="H250" s="1">
        <v>19.4217</v>
      </c>
      <c r="I250" s="1">
        <v>0.0</v>
      </c>
      <c r="J250" s="1">
        <v>19.4217</v>
      </c>
      <c r="K250" s="1">
        <v>5210.0</v>
      </c>
    </row>
    <row r="251">
      <c r="A251" s="1" t="s">
        <v>19</v>
      </c>
      <c r="B251" s="1" t="s">
        <v>180</v>
      </c>
      <c r="C251" s="1" t="s">
        <v>46</v>
      </c>
      <c r="D251" s="1">
        <v>19.0</v>
      </c>
      <c r="E251" s="1">
        <v>331893.0</v>
      </c>
      <c r="F251" s="1">
        <v>0.0</v>
      </c>
      <c r="G251" s="1">
        <v>17511.0</v>
      </c>
      <c r="H251" s="1">
        <v>18.9534</v>
      </c>
      <c r="I251" s="1">
        <v>0.0</v>
      </c>
      <c r="J251" s="1">
        <v>18.9534</v>
      </c>
      <c r="K251" s="1">
        <v>4774.0</v>
      </c>
    </row>
    <row r="252">
      <c r="A252" s="1" t="s">
        <v>19</v>
      </c>
      <c r="B252" s="1" t="s">
        <v>180</v>
      </c>
      <c r="C252" s="1" t="s">
        <v>46</v>
      </c>
      <c r="D252" s="1">
        <v>20.0</v>
      </c>
      <c r="E252" s="1">
        <v>315839.0</v>
      </c>
      <c r="F252" s="1">
        <v>0.0</v>
      </c>
      <c r="G252" s="1">
        <v>17511.0</v>
      </c>
      <c r="H252" s="1">
        <v>18.0366</v>
      </c>
      <c r="I252" s="1">
        <v>0.0</v>
      </c>
      <c r="J252" s="1">
        <v>18.0366</v>
      </c>
      <c r="K252" s="1">
        <v>4799.0</v>
      </c>
    </row>
    <row r="253">
      <c r="A253" s="1" t="s">
        <v>19</v>
      </c>
      <c r="B253" s="1" t="s">
        <v>180</v>
      </c>
      <c r="C253" s="1" t="s">
        <v>46</v>
      </c>
      <c r="D253" s="1">
        <v>21.0</v>
      </c>
      <c r="E253" s="1">
        <v>310212.0</v>
      </c>
      <c r="F253" s="1">
        <v>0.0</v>
      </c>
      <c r="G253" s="1">
        <v>17511.0</v>
      </c>
      <c r="H253" s="1">
        <v>17.7153</v>
      </c>
      <c r="I253" s="1">
        <v>0.0</v>
      </c>
      <c r="J253" s="1">
        <v>17.7153</v>
      </c>
      <c r="K253" s="1">
        <v>4749.0</v>
      </c>
    </row>
    <row r="254">
      <c r="A254" s="1" t="s">
        <v>19</v>
      </c>
      <c r="B254" s="1" t="s">
        <v>180</v>
      </c>
      <c r="C254" s="1" t="s">
        <v>1213</v>
      </c>
      <c r="D254" s="1">
        <v>1.0</v>
      </c>
      <c r="E254" s="1">
        <v>30.0</v>
      </c>
      <c r="F254" s="1">
        <v>0.0</v>
      </c>
      <c r="G254" s="1">
        <v>4296.0</v>
      </c>
      <c r="H254" s="1">
        <v>0.007</v>
      </c>
      <c r="I254" s="1">
        <v>0.0</v>
      </c>
      <c r="J254" s="1">
        <v>0.007</v>
      </c>
      <c r="K254" s="1">
        <v>7552.0</v>
      </c>
    </row>
    <row r="255">
      <c r="A255" s="1" t="s">
        <v>19</v>
      </c>
      <c r="B255" s="1" t="s">
        <v>180</v>
      </c>
      <c r="C255" s="1" t="s">
        <v>1213</v>
      </c>
      <c r="D255" s="1">
        <v>2.0</v>
      </c>
      <c r="E255" s="1">
        <v>45.0</v>
      </c>
      <c r="F255" s="1">
        <v>0.0</v>
      </c>
      <c r="G255" s="1">
        <v>4296.0</v>
      </c>
      <c r="H255" s="1">
        <v>0.0105</v>
      </c>
      <c r="I255" s="1">
        <v>0.0</v>
      </c>
      <c r="J255" s="1">
        <v>0.0105</v>
      </c>
      <c r="K255" s="1">
        <v>7017.0</v>
      </c>
    </row>
    <row r="256">
      <c r="A256" s="1" t="s">
        <v>19</v>
      </c>
      <c r="B256" s="1" t="s">
        <v>180</v>
      </c>
      <c r="C256" s="1" t="s">
        <v>1213</v>
      </c>
      <c r="D256" s="1">
        <v>3.0</v>
      </c>
      <c r="E256" s="1">
        <v>15.0</v>
      </c>
      <c r="F256" s="1">
        <v>0.0</v>
      </c>
      <c r="G256" s="1">
        <v>4296.0</v>
      </c>
      <c r="H256" s="1">
        <v>0.0035</v>
      </c>
      <c r="I256" s="1">
        <v>0.0</v>
      </c>
      <c r="J256" s="1">
        <v>0.0035</v>
      </c>
      <c r="K256" s="1">
        <v>6713.0</v>
      </c>
    </row>
    <row r="257">
      <c r="A257" s="1" t="s">
        <v>19</v>
      </c>
      <c r="B257" s="1" t="s">
        <v>180</v>
      </c>
      <c r="C257" s="1" t="s">
        <v>1213</v>
      </c>
      <c r="D257" s="1">
        <v>4.0</v>
      </c>
      <c r="E257" s="1">
        <v>25.0</v>
      </c>
      <c r="F257" s="1">
        <v>0.0</v>
      </c>
      <c r="G257" s="1">
        <v>4296.0</v>
      </c>
      <c r="H257" s="1">
        <v>0.0058</v>
      </c>
      <c r="I257" s="1">
        <v>0.0</v>
      </c>
      <c r="J257" s="1">
        <v>0.0058</v>
      </c>
      <c r="K257" s="1">
        <v>6140.0</v>
      </c>
    </row>
    <row r="258">
      <c r="A258" s="1" t="s">
        <v>19</v>
      </c>
      <c r="B258" s="1" t="s">
        <v>180</v>
      </c>
      <c r="C258" s="1" t="s">
        <v>1213</v>
      </c>
      <c r="D258" s="1">
        <v>5.0</v>
      </c>
      <c r="E258" s="1">
        <v>0.0</v>
      </c>
      <c r="F258" s="1">
        <v>0.0</v>
      </c>
      <c r="G258" s="1">
        <v>4296.0</v>
      </c>
      <c r="H258" s="1">
        <v>0.0</v>
      </c>
      <c r="I258" s="1">
        <v>0.0</v>
      </c>
      <c r="J258" s="1">
        <v>0.0</v>
      </c>
      <c r="K258" s="1">
        <v>6059.0</v>
      </c>
    </row>
    <row r="259">
      <c r="A259" s="1" t="s">
        <v>19</v>
      </c>
      <c r="B259" s="1" t="s">
        <v>180</v>
      </c>
      <c r="C259" s="1" t="s">
        <v>1213</v>
      </c>
      <c r="D259" s="1">
        <v>6.0</v>
      </c>
      <c r="E259" s="1">
        <v>85.0</v>
      </c>
      <c r="F259" s="1">
        <v>0.0</v>
      </c>
      <c r="G259" s="1">
        <v>4296.0</v>
      </c>
      <c r="H259" s="1">
        <v>0.0198</v>
      </c>
      <c r="I259" s="1">
        <v>0.0</v>
      </c>
      <c r="J259" s="1">
        <v>0.0198</v>
      </c>
      <c r="K259" s="1">
        <v>5911.0</v>
      </c>
    </row>
    <row r="260">
      <c r="A260" s="1" t="s">
        <v>19</v>
      </c>
      <c r="B260" s="1" t="s">
        <v>180</v>
      </c>
      <c r="C260" s="1" t="s">
        <v>1213</v>
      </c>
      <c r="D260" s="1">
        <v>7.0</v>
      </c>
      <c r="E260" s="1">
        <v>120.0</v>
      </c>
      <c r="F260" s="1">
        <v>0.0</v>
      </c>
      <c r="G260" s="1">
        <v>4296.0</v>
      </c>
      <c r="H260" s="1">
        <v>0.0279</v>
      </c>
      <c r="I260" s="1">
        <v>0.0</v>
      </c>
      <c r="J260" s="1">
        <v>0.0279</v>
      </c>
      <c r="K260" s="1">
        <v>5939.0</v>
      </c>
    </row>
    <row r="261">
      <c r="A261" s="1" t="s">
        <v>19</v>
      </c>
      <c r="B261" s="1" t="s">
        <v>180</v>
      </c>
      <c r="C261" s="1" t="s">
        <v>1213</v>
      </c>
      <c r="D261" s="1">
        <v>8.0</v>
      </c>
      <c r="E261" s="1">
        <v>9495.0</v>
      </c>
      <c r="F261" s="1">
        <v>0.0</v>
      </c>
      <c r="G261" s="1">
        <v>4296.0</v>
      </c>
      <c r="H261" s="1">
        <v>2.2102</v>
      </c>
      <c r="I261" s="1">
        <v>0.0</v>
      </c>
      <c r="J261" s="1">
        <v>2.2102</v>
      </c>
      <c r="K261" s="1">
        <v>5656.0</v>
      </c>
    </row>
    <row r="262">
      <c r="A262" s="1" t="s">
        <v>19</v>
      </c>
      <c r="B262" s="1" t="s">
        <v>180</v>
      </c>
      <c r="C262" s="1" t="s">
        <v>1213</v>
      </c>
      <c r="D262" s="1">
        <v>9.0</v>
      </c>
      <c r="E262" s="1">
        <v>9590.0</v>
      </c>
      <c r="F262" s="1">
        <v>0.0</v>
      </c>
      <c r="G262" s="1">
        <v>4296.0</v>
      </c>
      <c r="H262" s="1">
        <v>2.2323</v>
      </c>
      <c r="I262" s="1">
        <v>0.0</v>
      </c>
      <c r="J262" s="1">
        <v>2.2323</v>
      </c>
      <c r="K262" s="1">
        <v>5623.0</v>
      </c>
    </row>
    <row r="263">
      <c r="A263" s="1" t="s">
        <v>19</v>
      </c>
      <c r="B263" s="1" t="s">
        <v>180</v>
      </c>
      <c r="C263" s="1" t="s">
        <v>1213</v>
      </c>
      <c r="D263" s="1">
        <v>10.0</v>
      </c>
      <c r="E263" s="1">
        <v>7210.0</v>
      </c>
      <c r="F263" s="1">
        <v>0.0</v>
      </c>
      <c r="G263" s="1">
        <v>4296.0</v>
      </c>
      <c r="H263" s="1">
        <v>1.6783</v>
      </c>
      <c r="I263" s="1">
        <v>0.0</v>
      </c>
      <c r="J263" s="1">
        <v>1.6783</v>
      </c>
      <c r="K263" s="1">
        <v>5512.0</v>
      </c>
    </row>
    <row r="264">
      <c r="A264" s="1" t="s">
        <v>19</v>
      </c>
      <c r="B264" s="1" t="s">
        <v>180</v>
      </c>
      <c r="C264" s="1" t="s">
        <v>1213</v>
      </c>
      <c r="D264" s="1">
        <v>11.0</v>
      </c>
      <c r="E264" s="1">
        <v>6765.0</v>
      </c>
      <c r="F264" s="1">
        <v>0.0</v>
      </c>
      <c r="G264" s="1">
        <v>4296.0</v>
      </c>
      <c r="H264" s="1">
        <v>1.5747</v>
      </c>
      <c r="I264" s="1">
        <v>0.0</v>
      </c>
      <c r="J264" s="1">
        <v>1.5747</v>
      </c>
      <c r="K264" s="1">
        <v>5521.0</v>
      </c>
    </row>
    <row r="265">
      <c r="A265" s="1" t="s">
        <v>19</v>
      </c>
      <c r="B265" s="1" t="s">
        <v>180</v>
      </c>
      <c r="C265" s="1" t="s">
        <v>1213</v>
      </c>
      <c r="D265" s="1">
        <v>12.0</v>
      </c>
      <c r="E265" s="1">
        <v>530.0</v>
      </c>
      <c r="F265" s="1">
        <v>0.0</v>
      </c>
      <c r="G265" s="1">
        <v>4296.0</v>
      </c>
      <c r="H265" s="1">
        <v>0.1234</v>
      </c>
      <c r="I265" s="1">
        <v>0.0</v>
      </c>
      <c r="J265" s="1">
        <v>0.1234</v>
      </c>
      <c r="K265" s="1">
        <v>5487.0</v>
      </c>
    </row>
    <row r="266">
      <c r="A266" s="1" t="s">
        <v>19</v>
      </c>
      <c r="B266" s="1" t="s">
        <v>180</v>
      </c>
      <c r="C266" s="1" t="s">
        <v>1213</v>
      </c>
      <c r="D266" s="1">
        <v>13.0</v>
      </c>
      <c r="E266" s="1">
        <v>135.0</v>
      </c>
      <c r="F266" s="1">
        <v>0.0</v>
      </c>
      <c r="G266" s="1">
        <v>4296.0</v>
      </c>
      <c r="H266" s="1">
        <v>0.0314</v>
      </c>
      <c r="I266" s="1">
        <v>0.0</v>
      </c>
      <c r="J266" s="1">
        <v>0.0314</v>
      </c>
      <c r="K266" s="1">
        <v>5485.0</v>
      </c>
    </row>
    <row r="267">
      <c r="A267" s="1" t="s">
        <v>19</v>
      </c>
      <c r="B267" s="1" t="s">
        <v>180</v>
      </c>
      <c r="C267" s="1" t="s">
        <v>1213</v>
      </c>
      <c r="D267" s="1">
        <v>14.0</v>
      </c>
      <c r="E267" s="1">
        <v>75.0</v>
      </c>
      <c r="F267" s="1">
        <v>0.0</v>
      </c>
      <c r="G267" s="1">
        <v>4296.0</v>
      </c>
      <c r="H267" s="1">
        <v>0.0175</v>
      </c>
      <c r="I267" s="1">
        <v>0.0</v>
      </c>
      <c r="J267" s="1">
        <v>0.0175</v>
      </c>
      <c r="K267" s="1">
        <v>5424.0</v>
      </c>
    </row>
    <row r="268">
      <c r="A268" s="1" t="s">
        <v>19</v>
      </c>
      <c r="B268" s="1" t="s">
        <v>180</v>
      </c>
      <c r="C268" s="1" t="s">
        <v>1213</v>
      </c>
      <c r="D268" s="1">
        <v>15.0</v>
      </c>
      <c r="E268" s="1">
        <v>8425.0</v>
      </c>
      <c r="F268" s="1">
        <v>0.0</v>
      </c>
      <c r="G268" s="1">
        <v>4296.0</v>
      </c>
      <c r="H268" s="1">
        <v>1.9611</v>
      </c>
      <c r="I268" s="1">
        <v>0.0</v>
      </c>
      <c r="J268" s="1">
        <v>1.9611</v>
      </c>
      <c r="K268" s="1">
        <v>5222.0</v>
      </c>
    </row>
    <row r="269">
      <c r="A269" s="1" t="s">
        <v>19</v>
      </c>
      <c r="B269" s="1" t="s">
        <v>180</v>
      </c>
      <c r="C269" s="1" t="s">
        <v>1213</v>
      </c>
      <c r="D269" s="1">
        <v>16.0</v>
      </c>
      <c r="E269" s="1">
        <v>10100.0</v>
      </c>
      <c r="F269" s="1">
        <v>0.0</v>
      </c>
      <c r="G269" s="1">
        <v>4296.0</v>
      </c>
      <c r="H269" s="1">
        <v>2.351</v>
      </c>
      <c r="I269" s="1">
        <v>0.0</v>
      </c>
      <c r="J269" s="1">
        <v>2.351</v>
      </c>
      <c r="K269" s="1">
        <v>5471.0</v>
      </c>
    </row>
    <row r="270">
      <c r="A270" s="1" t="s">
        <v>19</v>
      </c>
      <c r="B270" s="1" t="s">
        <v>180</v>
      </c>
      <c r="C270" s="1" t="s">
        <v>1213</v>
      </c>
      <c r="D270" s="1">
        <v>17.0</v>
      </c>
      <c r="E270" s="1">
        <v>7470.0</v>
      </c>
      <c r="F270" s="1">
        <v>0.0</v>
      </c>
      <c r="G270" s="1">
        <v>4296.0</v>
      </c>
      <c r="H270" s="1">
        <v>1.7388</v>
      </c>
      <c r="I270" s="1">
        <v>0.0</v>
      </c>
      <c r="J270" s="1">
        <v>1.7388</v>
      </c>
      <c r="K270" s="1">
        <v>5149.0</v>
      </c>
    </row>
    <row r="271">
      <c r="A271" s="1" t="s">
        <v>19</v>
      </c>
      <c r="B271" s="1" t="s">
        <v>180</v>
      </c>
      <c r="C271" s="1" t="s">
        <v>1213</v>
      </c>
      <c r="D271" s="1">
        <v>18.0</v>
      </c>
      <c r="E271" s="1">
        <v>5815.0</v>
      </c>
      <c r="F271" s="1">
        <v>0.0</v>
      </c>
      <c r="G271" s="1">
        <v>4296.0</v>
      </c>
      <c r="H271" s="1">
        <v>1.3536</v>
      </c>
      <c r="I271" s="1">
        <v>0.0</v>
      </c>
      <c r="J271" s="1">
        <v>1.3536</v>
      </c>
      <c r="K271" s="1">
        <v>5210.0</v>
      </c>
    </row>
    <row r="272">
      <c r="A272" s="1" t="s">
        <v>19</v>
      </c>
      <c r="B272" s="1" t="s">
        <v>180</v>
      </c>
      <c r="C272" s="1" t="s">
        <v>1213</v>
      </c>
      <c r="D272" s="1">
        <v>19.0</v>
      </c>
      <c r="E272" s="1">
        <v>575.0</v>
      </c>
      <c r="F272" s="1">
        <v>0.0</v>
      </c>
      <c r="G272" s="1">
        <v>4296.0</v>
      </c>
      <c r="H272" s="1">
        <v>0.1338</v>
      </c>
      <c r="I272" s="1">
        <v>0.0</v>
      </c>
      <c r="J272" s="1">
        <v>0.1338</v>
      </c>
      <c r="K272" s="1">
        <v>4774.0</v>
      </c>
    </row>
    <row r="273">
      <c r="A273" s="1" t="s">
        <v>19</v>
      </c>
      <c r="B273" s="1" t="s">
        <v>180</v>
      </c>
      <c r="C273" s="1" t="s">
        <v>1213</v>
      </c>
      <c r="D273" s="1">
        <v>20.0</v>
      </c>
      <c r="E273" s="1">
        <v>165.0</v>
      </c>
      <c r="F273" s="1">
        <v>0.0</v>
      </c>
      <c r="G273" s="1">
        <v>4296.0</v>
      </c>
      <c r="H273" s="1">
        <v>0.0384</v>
      </c>
      <c r="I273" s="1">
        <v>0.0</v>
      </c>
      <c r="J273" s="1">
        <v>0.0384</v>
      </c>
      <c r="K273" s="1">
        <v>4799.0</v>
      </c>
    </row>
    <row r="274">
      <c r="A274" s="1" t="s">
        <v>19</v>
      </c>
      <c r="B274" s="1" t="s">
        <v>180</v>
      </c>
      <c r="C274" s="1" t="s">
        <v>1213</v>
      </c>
      <c r="D274" s="1">
        <v>21.0</v>
      </c>
      <c r="E274" s="1">
        <v>90.0</v>
      </c>
      <c r="F274" s="1">
        <v>0.0</v>
      </c>
      <c r="G274" s="1">
        <v>4296.0</v>
      </c>
      <c r="H274" s="1">
        <v>0.0209</v>
      </c>
      <c r="I274" s="1">
        <v>0.0</v>
      </c>
      <c r="J274" s="1">
        <v>0.0209</v>
      </c>
      <c r="K274" s="1">
        <v>4749.0</v>
      </c>
    </row>
    <row r="275">
      <c r="A275" s="1" t="s">
        <v>19</v>
      </c>
      <c r="B275" s="1" t="s">
        <v>1192</v>
      </c>
      <c r="C275" s="1" t="s">
        <v>1205</v>
      </c>
      <c r="D275" s="1">
        <v>1.0</v>
      </c>
      <c r="E275" s="1">
        <v>143442.3241</v>
      </c>
      <c r="F275" s="1">
        <v>134200.0</v>
      </c>
      <c r="G275" s="1">
        <v>3053.0</v>
      </c>
      <c r="H275" s="1">
        <v>46.9841</v>
      </c>
      <c r="I275" s="1">
        <v>43.9568</v>
      </c>
      <c r="J275" s="1">
        <v>3.0273</v>
      </c>
      <c r="K275" s="1">
        <v>1241.0</v>
      </c>
    </row>
    <row r="276">
      <c r="A276" s="1" t="s">
        <v>19</v>
      </c>
      <c r="B276" s="1" t="s">
        <v>1192</v>
      </c>
      <c r="C276" s="1" t="s">
        <v>1205</v>
      </c>
      <c r="D276" s="1">
        <v>2.0</v>
      </c>
      <c r="E276" s="1">
        <v>79790.0111</v>
      </c>
      <c r="F276" s="1">
        <v>92550.0</v>
      </c>
      <c r="G276" s="1">
        <v>3053.0</v>
      </c>
      <c r="H276" s="1">
        <v>26.135</v>
      </c>
      <c r="I276" s="1">
        <v>30.3144</v>
      </c>
      <c r="J276" s="1">
        <v>-4.1795</v>
      </c>
      <c r="K276" s="1">
        <v>1201.0</v>
      </c>
    </row>
    <row r="277">
      <c r="A277" s="1" t="s">
        <v>19</v>
      </c>
      <c r="B277" s="1" t="s">
        <v>1192</v>
      </c>
      <c r="C277" s="1" t="s">
        <v>1205</v>
      </c>
      <c r="D277" s="1">
        <v>3.0</v>
      </c>
      <c r="E277" s="1">
        <v>74177.523</v>
      </c>
      <c r="F277" s="1">
        <v>85550.0</v>
      </c>
      <c r="G277" s="1">
        <v>3053.0</v>
      </c>
      <c r="H277" s="1">
        <v>24.2966</v>
      </c>
      <c r="I277" s="1">
        <v>28.0216</v>
      </c>
      <c r="J277" s="1">
        <v>-3.725</v>
      </c>
      <c r="K277" s="1">
        <v>1187.0</v>
      </c>
    </row>
    <row r="278">
      <c r="A278" s="1" t="s">
        <v>19</v>
      </c>
      <c r="B278" s="1" t="s">
        <v>1192</v>
      </c>
      <c r="C278" s="1" t="s">
        <v>1205</v>
      </c>
      <c r="D278" s="1">
        <v>4.0</v>
      </c>
      <c r="E278" s="1">
        <v>68473.4266</v>
      </c>
      <c r="F278" s="1">
        <v>80000.0</v>
      </c>
      <c r="G278" s="1">
        <v>3053.0</v>
      </c>
      <c r="H278" s="1">
        <v>22.4282</v>
      </c>
      <c r="I278" s="1">
        <v>26.2037</v>
      </c>
      <c r="J278" s="1">
        <v>-3.7755</v>
      </c>
      <c r="K278" s="1">
        <v>1176.0</v>
      </c>
    </row>
    <row r="279">
      <c r="A279" s="1" t="s">
        <v>19</v>
      </c>
      <c r="B279" s="1" t="s">
        <v>1192</v>
      </c>
      <c r="C279" s="1" t="s">
        <v>1205</v>
      </c>
      <c r="D279" s="1">
        <v>5.0</v>
      </c>
      <c r="E279" s="1">
        <v>117533.6667</v>
      </c>
      <c r="F279" s="1">
        <v>92250.0</v>
      </c>
      <c r="G279" s="1">
        <v>3053.0</v>
      </c>
      <c r="H279" s="1">
        <v>38.4978</v>
      </c>
      <c r="I279" s="1">
        <v>30.2162</v>
      </c>
      <c r="J279" s="1">
        <v>8.2816</v>
      </c>
      <c r="K279" s="1">
        <v>1154.0</v>
      </c>
    </row>
    <row r="280">
      <c r="A280" s="1" t="s">
        <v>19</v>
      </c>
      <c r="B280" s="1" t="s">
        <v>1192</v>
      </c>
      <c r="C280" s="1" t="s">
        <v>1205</v>
      </c>
      <c r="D280" s="1">
        <v>6.0</v>
      </c>
      <c r="E280" s="1">
        <v>69207.0</v>
      </c>
      <c r="F280" s="1">
        <v>76050.0</v>
      </c>
      <c r="G280" s="1">
        <v>3053.0</v>
      </c>
      <c r="H280" s="1">
        <v>22.6685</v>
      </c>
      <c r="I280" s="1">
        <v>24.9099</v>
      </c>
      <c r="J280" s="1">
        <v>-2.2414</v>
      </c>
      <c r="K280" s="1">
        <v>1148.0</v>
      </c>
    </row>
    <row r="281">
      <c r="A281" s="1" t="s">
        <v>19</v>
      </c>
      <c r="B281" s="1" t="s">
        <v>1192</v>
      </c>
      <c r="C281" s="1" t="s">
        <v>1205</v>
      </c>
      <c r="D281" s="1">
        <v>7.0</v>
      </c>
      <c r="E281" s="1">
        <v>65783.0</v>
      </c>
      <c r="F281" s="1">
        <v>77800.0</v>
      </c>
      <c r="G281" s="1">
        <v>3053.0</v>
      </c>
      <c r="H281" s="1">
        <v>21.547</v>
      </c>
      <c r="I281" s="1">
        <v>25.4831</v>
      </c>
      <c r="J281" s="1">
        <v>-3.9361</v>
      </c>
      <c r="K281" s="1">
        <v>1122.0</v>
      </c>
    </row>
    <row r="282">
      <c r="A282" s="1" t="s">
        <v>19</v>
      </c>
      <c r="B282" s="1" t="s">
        <v>1192</v>
      </c>
      <c r="C282" s="1" t="s">
        <v>1205</v>
      </c>
      <c r="D282" s="1">
        <v>8.0</v>
      </c>
      <c r="E282" s="1">
        <v>130348.3777</v>
      </c>
      <c r="F282" s="1">
        <v>117450.0</v>
      </c>
      <c r="G282" s="1">
        <v>3053.0</v>
      </c>
      <c r="H282" s="1">
        <v>42.6952</v>
      </c>
      <c r="I282" s="1">
        <v>38.4704</v>
      </c>
      <c r="J282" s="1">
        <v>4.2248</v>
      </c>
      <c r="K282" s="1">
        <v>1214.0</v>
      </c>
    </row>
    <row r="283">
      <c r="A283" s="1" t="s">
        <v>19</v>
      </c>
      <c r="B283" s="1" t="s">
        <v>1192</v>
      </c>
      <c r="C283" s="1" t="s">
        <v>1205</v>
      </c>
      <c r="D283" s="1">
        <v>9.0</v>
      </c>
      <c r="E283" s="1">
        <v>80461.7446</v>
      </c>
      <c r="F283" s="1">
        <v>89100.0</v>
      </c>
      <c r="G283" s="1">
        <v>3053.0</v>
      </c>
      <c r="H283" s="1">
        <v>26.355</v>
      </c>
      <c r="I283" s="1">
        <v>29.1844</v>
      </c>
      <c r="J283" s="1">
        <v>-2.8294</v>
      </c>
      <c r="K283" s="1">
        <v>1201.0</v>
      </c>
    </row>
    <row r="284">
      <c r="A284" s="1" t="s">
        <v>19</v>
      </c>
      <c r="B284" s="1" t="s">
        <v>1192</v>
      </c>
      <c r="C284" s="1" t="s">
        <v>1205</v>
      </c>
      <c r="D284" s="1">
        <v>10.0</v>
      </c>
      <c r="E284" s="1">
        <v>66366.5206</v>
      </c>
      <c r="F284" s="1">
        <v>70150.0</v>
      </c>
      <c r="G284" s="1">
        <v>3053.0</v>
      </c>
      <c r="H284" s="1">
        <v>21.7381</v>
      </c>
      <c r="I284" s="1">
        <v>22.9774</v>
      </c>
      <c r="J284" s="1">
        <v>-1.2393</v>
      </c>
      <c r="K284" s="1">
        <v>1164.0</v>
      </c>
    </row>
    <row r="285">
      <c r="A285" s="1" t="s">
        <v>19</v>
      </c>
      <c r="B285" s="1" t="s">
        <v>1192</v>
      </c>
      <c r="C285" s="1" t="s">
        <v>1205</v>
      </c>
      <c r="D285" s="1">
        <v>11.0</v>
      </c>
      <c r="E285" s="1">
        <v>70541.1667</v>
      </c>
      <c r="F285" s="1">
        <v>79500.0</v>
      </c>
      <c r="G285" s="1">
        <v>3053.0</v>
      </c>
      <c r="H285" s="1">
        <v>23.1055</v>
      </c>
      <c r="I285" s="1">
        <v>26.04</v>
      </c>
      <c r="J285" s="1">
        <v>-2.9344</v>
      </c>
      <c r="K285" s="1">
        <v>1148.0</v>
      </c>
    </row>
    <row r="286">
      <c r="A286" s="1" t="s">
        <v>19</v>
      </c>
      <c r="B286" s="1" t="s">
        <v>1192</v>
      </c>
      <c r="C286" s="1" t="s">
        <v>1205</v>
      </c>
      <c r="D286" s="1">
        <v>12.0</v>
      </c>
      <c r="E286" s="1">
        <v>109478.3571</v>
      </c>
      <c r="F286" s="1">
        <v>89500.0</v>
      </c>
      <c r="G286" s="1">
        <v>3053.0</v>
      </c>
      <c r="H286" s="1">
        <v>35.8593</v>
      </c>
      <c r="I286" s="1">
        <v>29.3154</v>
      </c>
      <c r="J286" s="1">
        <v>6.5438</v>
      </c>
      <c r="K286" s="1">
        <v>1156.0</v>
      </c>
    </row>
    <row r="287">
      <c r="A287" s="1" t="s">
        <v>19</v>
      </c>
      <c r="B287" s="1" t="s">
        <v>1192</v>
      </c>
      <c r="C287" s="1" t="s">
        <v>1205</v>
      </c>
      <c r="D287" s="1">
        <v>13.0</v>
      </c>
      <c r="E287" s="1">
        <v>81846.0</v>
      </c>
      <c r="F287" s="1">
        <v>79200.0</v>
      </c>
      <c r="G287" s="1">
        <v>3053.0</v>
      </c>
      <c r="H287" s="1">
        <v>26.8084</v>
      </c>
      <c r="I287" s="1">
        <v>25.9417</v>
      </c>
      <c r="J287" s="1">
        <v>0.8667</v>
      </c>
      <c r="K287" s="1">
        <v>1119.0</v>
      </c>
    </row>
    <row r="288">
      <c r="A288" s="1" t="s">
        <v>19</v>
      </c>
      <c r="B288" s="1" t="s">
        <v>1192</v>
      </c>
      <c r="C288" s="1" t="s">
        <v>1205</v>
      </c>
      <c r="D288" s="1">
        <v>14.0</v>
      </c>
      <c r="E288" s="1">
        <v>60885.0</v>
      </c>
      <c r="F288" s="1">
        <v>74600.0</v>
      </c>
      <c r="G288" s="1">
        <v>3053.0</v>
      </c>
      <c r="H288" s="1">
        <v>19.9427</v>
      </c>
      <c r="I288" s="1">
        <v>24.435</v>
      </c>
      <c r="J288" s="1">
        <v>-4.4923</v>
      </c>
      <c r="K288" s="1">
        <v>1132.0</v>
      </c>
    </row>
    <row r="289">
      <c r="A289" s="1" t="s">
        <v>19</v>
      </c>
      <c r="B289" s="1" t="s">
        <v>1192</v>
      </c>
      <c r="C289" s="1" t="s">
        <v>1205</v>
      </c>
      <c r="D289" s="1">
        <v>15.0</v>
      </c>
      <c r="E289" s="1">
        <v>133501.3225</v>
      </c>
      <c r="F289" s="1">
        <v>108550.0</v>
      </c>
      <c r="G289" s="1">
        <v>3053.0</v>
      </c>
      <c r="H289" s="1">
        <v>43.7279</v>
      </c>
      <c r="I289" s="1">
        <v>35.5552</v>
      </c>
      <c r="J289" s="1">
        <v>8.1727</v>
      </c>
      <c r="K289" s="1">
        <v>1258.0</v>
      </c>
    </row>
    <row r="290">
      <c r="A290" s="1" t="s">
        <v>19</v>
      </c>
      <c r="B290" s="1" t="s">
        <v>1192</v>
      </c>
      <c r="C290" s="1" t="s">
        <v>1205</v>
      </c>
      <c r="D290" s="1">
        <v>16.0</v>
      </c>
      <c r="E290" s="1">
        <v>77355.8182</v>
      </c>
      <c r="F290" s="1">
        <v>87500.0</v>
      </c>
      <c r="G290" s="1">
        <v>3053.0</v>
      </c>
      <c r="H290" s="1">
        <v>25.3376</v>
      </c>
      <c r="I290" s="1">
        <v>28.6603</v>
      </c>
      <c r="J290" s="1">
        <v>-3.3227</v>
      </c>
      <c r="K290" s="1">
        <v>1210.0</v>
      </c>
    </row>
    <row r="291">
      <c r="A291" s="1" t="s">
        <v>19</v>
      </c>
      <c r="B291" s="1" t="s">
        <v>1192</v>
      </c>
      <c r="C291" s="1" t="s">
        <v>1205</v>
      </c>
      <c r="D291" s="1">
        <v>17.0</v>
      </c>
      <c r="E291" s="1">
        <v>70355.7165</v>
      </c>
      <c r="F291" s="1">
        <v>82550.0</v>
      </c>
      <c r="G291" s="1">
        <v>3053.0</v>
      </c>
      <c r="H291" s="1">
        <v>23.0448</v>
      </c>
      <c r="I291" s="1">
        <v>27.039</v>
      </c>
      <c r="J291" s="1">
        <v>-3.9942</v>
      </c>
      <c r="K291" s="1">
        <v>1193.0</v>
      </c>
    </row>
    <row r="292">
      <c r="A292" s="1" t="s">
        <v>19</v>
      </c>
      <c r="B292" s="1" t="s">
        <v>1192</v>
      </c>
      <c r="C292" s="1" t="s">
        <v>1205</v>
      </c>
      <c r="D292" s="1">
        <v>18.0</v>
      </c>
      <c r="E292" s="1">
        <v>67400.5476</v>
      </c>
      <c r="F292" s="1">
        <v>74050.0</v>
      </c>
      <c r="G292" s="1">
        <v>3053.0</v>
      </c>
      <c r="H292" s="1">
        <v>22.0768</v>
      </c>
      <c r="I292" s="1">
        <v>24.2548</v>
      </c>
      <c r="J292" s="1">
        <v>-2.178</v>
      </c>
      <c r="K292" s="1">
        <v>1148.0</v>
      </c>
    </row>
    <row r="293">
      <c r="A293" s="1" t="s">
        <v>19</v>
      </c>
      <c r="B293" s="1" t="s">
        <v>1192</v>
      </c>
      <c r="C293" s="1" t="s">
        <v>1205</v>
      </c>
      <c r="D293" s="1">
        <v>19.0</v>
      </c>
      <c r="E293" s="1">
        <v>122694.2857</v>
      </c>
      <c r="F293" s="1">
        <v>99900.0</v>
      </c>
      <c r="G293" s="1">
        <v>3053.0</v>
      </c>
      <c r="H293" s="1">
        <v>40.1881</v>
      </c>
      <c r="I293" s="1">
        <v>32.7219</v>
      </c>
      <c r="J293" s="1">
        <v>7.4662</v>
      </c>
      <c r="K293" s="1">
        <v>1154.0</v>
      </c>
    </row>
    <row r="294">
      <c r="A294" s="1" t="s">
        <v>19</v>
      </c>
      <c r="B294" s="1" t="s">
        <v>1192</v>
      </c>
      <c r="C294" s="1" t="s">
        <v>1205</v>
      </c>
      <c r="D294" s="1">
        <v>20.0</v>
      </c>
      <c r="E294" s="1">
        <v>69126.9048</v>
      </c>
      <c r="F294" s="1">
        <v>73600.0</v>
      </c>
      <c r="G294" s="1">
        <v>3053.0</v>
      </c>
      <c r="H294" s="1">
        <v>22.6423</v>
      </c>
      <c r="I294" s="1">
        <v>24.1074</v>
      </c>
      <c r="J294" s="1">
        <v>-1.4651</v>
      </c>
      <c r="K294" s="1">
        <v>1073.0</v>
      </c>
    </row>
    <row r="295">
      <c r="A295" s="1" t="s">
        <v>19</v>
      </c>
      <c r="B295" s="1" t="s">
        <v>1192</v>
      </c>
      <c r="C295" s="1" t="s">
        <v>1205</v>
      </c>
      <c r="D295" s="1">
        <v>21.0</v>
      </c>
      <c r="E295" s="1">
        <v>64090.0</v>
      </c>
      <c r="F295" s="1">
        <v>72250.0</v>
      </c>
      <c r="G295" s="1">
        <v>3053.0</v>
      </c>
      <c r="H295" s="1">
        <v>20.9925</v>
      </c>
      <c r="I295" s="1">
        <v>23.6652</v>
      </c>
      <c r="J295" s="1">
        <v>-2.6728</v>
      </c>
      <c r="K295" s="1">
        <v>1122.0</v>
      </c>
    </row>
    <row r="296">
      <c r="A296" s="1" t="s">
        <v>19</v>
      </c>
      <c r="B296" s="1" t="s">
        <v>1192</v>
      </c>
      <c r="C296" s="1" t="s">
        <v>52</v>
      </c>
      <c r="D296" s="1">
        <v>1.0</v>
      </c>
      <c r="E296" s="1">
        <v>2006.0</v>
      </c>
      <c r="F296" s="1">
        <v>1572.0</v>
      </c>
      <c r="G296" s="1">
        <v>2410.0</v>
      </c>
      <c r="H296" s="1">
        <v>0.8324</v>
      </c>
      <c r="I296" s="1">
        <v>0.6523</v>
      </c>
      <c r="J296" s="1">
        <v>0.1801</v>
      </c>
      <c r="K296" s="1">
        <v>1241.0</v>
      </c>
    </row>
    <row r="297">
      <c r="A297" s="1" t="s">
        <v>19</v>
      </c>
      <c r="B297" s="1" t="s">
        <v>1192</v>
      </c>
      <c r="C297" s="1" t="s">
        <v>52</v>
      </c>
      <c r="D297" s="1">
        <v>2.0</v>
      </c>
      <c r="E297" s="1">
        <v>1555.0</v>
      </c>
      <c r="F297" s="1">
        <v>1368.0</v>
      </c>
      <c r="G297" s="1">
        <v>2410.0</v>
      </c>
      <c r="H297" s="1">
        <v>0.6452</v>
      </c>
      <c r="I297" s="1">
        <v>0.5676</v>
      </c>
      <c r="J297" s="1">
        <v>0.0776</v>
      </c>
      <c r="K297" s="1">
        <v>1201.0</v>
      </c>
    </row>
    <row r="298">
      <c r="A298" s="1" t="s">
        <v>19</v>
      </c>
      <c r="B298" s="1" t="s">
        <v>1192</v>
      </c>
      <c r="C298" s="1" t="s">
        <v>52</v>
      </c>
      <c r="D298" s="1">
        <v>3.0</v>
      </c>
      <c r="E298" s="1">
        <v>1410.0</v>
      </c>
      <c r="F298" s="1">
        <v>1295.0</v>
      </c>
      <c r="G298" s="1">
        <v>2410.0</v>
      </c>
      <c r="H298" s="1">
        <v>0.5851</v>
      </c>
      <c r="I298" s="1">
        <v>0.5373</v>
      </c>
      <c r="J298" s="1">
        <v>0.0477</v>
      </c>
      <c r="K298" s="1">
        <v>1187.0</v>
      </c>
    </row>
    <row r="299">
      <c r="A299" s="1" t="s">
        <v>19</v>
      </c>
      <c r="B299" s="1" t="s">
        <v>1192</v>
      </c>
      <c r="C299" s="1" t="s">
        <v>52</v>
      </c>
      <c r="D299" s="1">
        <v>4.0</v>
      </c>
      <c r="E299" s="1">
        <v>1150.0</v>
      </c>
      <c r="F299" s="1">
        <v>1181.0</v>
      </c>
      <c r="G299" s="1">
        <v>2410.0</v>
      </c>
      <c r="H299" s="1">
        <v>0.4772</v>
      </c>
      <c r="I299" s="1">
        <v>0.49</v>
      </c>
      <c r="J299" s="1">
        <v>-0.0129</v>
      </c>
      <c r="K299" s="1">
        <v>1176.0</v>
      </c>
    </row>
    <row r="300">
      <c r="A300" s="1" t="s">
        <v>19</v>
      </c>
      <c r="B300" s="1" t="s">
        <v>1192</v>
      </c>
      <c r="C300" s="1" t="s">
        <v>52</v>
      </c>
      <c r="D300" s="1">
        <v>5.0</v>
      </c>
      <c r="E300" s="1">
        <v>1410.0</v>
      </c>
      <c r="F300" s="1">
        <v>1253.0</v>
      </c>
      <c r="G300" s="1">
        <v>2410.0</v>
      </c>
      <c r="H300" s="1">
        <v>0.5851</v>
      </c>
      <c r="I300" s="1">
        <v>0.5199</v>
      </c>
      <c r="J300" s="1">
        <v>0.0651</v>
      </c>
      <c r="K300" s="1">
        <v>1154.0</v>
      </c>
    </row>
    <row r="301">
      <c r="A301" s="1" t="s">
        <v>19</v>
      </c>
      <c r="B301" s="1" t="s">
        <v>1192</v>
      </c>
      <c r="C301" s="1" t="s">
        <v>52</v>
      </c>
      <c r="D301" s="1">
        <v>6.0</v>
      </c>
      <c r="E301" s="1">
        <v>780.0</v>
      </c>
      <c r="F301" s="1">
        <v>906.0</v>
      </c>
      <c r="G301" s="1">
        <v>2410.0</v>
      </c>
      <c r="H301" s="1">
        <v>0.3237</v>
      </c>
      <c r="I301" s="1">
        <v>0.3759</v>
      </c>
      <c r="J301" s="1">
        <v>-0.0523</v>
      </c>
      <c r="K301" s="1">
        <v>1148.0</v>
      </c>
    </row>
    <row r="302">
      <c r="A302" s="1" t="s">
        <v>19</v>
      </c>
      <c r="B302" s="1" t="s">
        <v>1192</v>
      </c>
      <c r="C302" s="1" t="s">
        <v>52</v>
      </c>
      <c r="D302" s="1">
        <v>7.0</v>
      </c>
      <c r="E302" s="1">
        <v>695.0</v>
      </c>
      <c r="F302" s="1">
        <v>912.0</v>
      </c>
      <c r="G302" s="1">
        <v>2410.0</v>
      </c>
      <c r="H302" s="1">
        <v>0.2884</v>
      </c>
      <c r="I302" s="1">
        <v>0.3784</v>
      </c>
      <c r="J302" s="1">
        <v>-0.09</v>
      </c>
      <c r="K302" s="1">
        <v>1122.0</v>
      </c>
    </row>
    <row r="303">
      <c r="A303" s="1" t="s">
        <v>19</v>
      </c>
      <c r="B303" s="1" t="s">
        <v>1192</v>
      </c>
      <c r="C303" s="1" t="s">
        <v>52</v>
      </c>
      <c r="D303" s="1">
        <v>8.0</v>
      </c>
      <c r="E303" s="1">
        <v>1843.0</v>
      </c>
      <c r="F303" s="1">
        <v>1491.0</v>
      </c>
      <c r="G303" s="1">
        <v>2410.0</v>
      </c>
      <c r="H303" s="1">
        <v>0.7647</v>
      </c>
      <c r="I303" s="1">
        <v>0.6187</v>
      </c>
      <c r="J303" s="1">
        <v>0.1461</v>
      </c>
      <c r="K303" s="1">
        <v>1214.0</v>
      </c>
    </row>
    <row r="304">
      <c r="A304" s="1" t="s">
        <v>19</v>
      </c>
      <c r="B304" s="1" t="s">
        <v>1192</v>
      </c>
      <c r="C304" s="1" t="s">
        <v>52</v>
      </c>
      <c r="D304" s="1">
        <v>9.0</v>
      </c>
      <c r="E304" s="1">
        <v>1499.0</v>
      </c>
      <c r="F304" s="1">
        <v>1404.0</v>
      </c>
      <c r="G304" s="1">
        <v>2410.0</v>
      </c>
      <c r="H304" s="1">
        <v>0.622</v>
      </c>
      <c r="I304" s="1">
        <v>0.5826</v>
      </c>
      <c r="J304" s="1">
        <v>0.0394</v>
      </c>
      <c r="K304" s="1">
        <v>1201.0</v>
      </c>
    </row>
    <row r="305">
      <c r="A305" s="1" t="s">
        <v>19</v>
      </c>
      <c r="B305" s="1" t="s">
        <v>1192</v>
      </c>
      <c r="C305" s="1" t="s">
        <v>52</v>
      </c>
      <c r="D305" s="1">
        <v>10.0</v>
      </c>
      <c r="E305" s="1">
        <v>1366.0</v>
      </c>
      <c r="F305" s="1">
        <v>1248.0</v>
      </c>
      <c r="G305" s="1">
        <v>2410.0</v>
      </c>
      <c r="H305" s="1">
        <v>0.5668</v>
      </c>
      <c r="I305" s="1">
        <v>0.5178</v>
      </c>
      <c r="J305" s="1">
        <v>0.049</v>
      </c>
      <c r="K305" s="1">
        <v>1164.0</v>
      </c>
    </row>
    <row r="306">
      <c r="A306" s="1" t="s">
        <v>19</v>
      </c>
      <c r="B306" s="1" t="s">
        <v>1192</v>
      </c>
      <c r="C306" s="1" t="s">
        <v>52</v>
      </c>
      <c r="D306" s="1">
        <v>11.0</v>
      </c>
      <c r="E306" s="1">
        <v>1146.0</v>
      </c>
      <c r="F306" s="1">
        <v>1228.0</v>
      </c>
      <c r="G306" s="1">
        <v>2410.0</v>
      </c>
      <c r="H306" s="1">
        <v>0.4755</v>
      </c>
      <c r="I306" s="1">
        <v>0.5095</v>
      </c>
      <c r="J306" s="1">
        <v>-0.034</v>
      </c>
      <c r="K306" s="1">
        <v>1148.0</v>
      </c>
    </row>
    <row r="307">
      <c r="A307" s="1" t="s">
        <v>19</v>
      </c>
      <c r="B307" s="1" t="s">
        <v>1192</v>
      </c>
      <c r="C307" s="1" t="s">
        <v>52</v>
      </c>
      <c r="D307" s="1">
        <v>12.0</v>
      </c>
      <c r="E307" s="1">
        <v>1406.0</v>
      </c>
      <c r="F307" s="1">
        <v>1230.0</v>
      </c>
      <c r="G307" s="1">
        <v>2410.0</v>
      </c>
      <c r="H307" s="1">
        <v>0.5834</v>
      </c>
      <c r="I307" s="1">
        <v>0.5104</v>
      </c>
      <c r="J307" s="1">
        <v>0.073</v>
      </c>
      <c r="K307" s="1">
        <v>1156.0</v>
      </c>
    </row>
    <row r="308">
      <c r="A308" s="1" t="s">
        <v>19</v>
      </c>
      <c r="B308" s="1" t="s">
        <v>1192</v>
      </c>
      <c r="C308" s="1" t="s">
        <v>52</v>
      </c>
      <c r="D308" s="1">
        <v>13.0</v>
      </c>
      <c r="E308" s="1">
        <v>821.0</v>
      </c>
      <c r="F308" s="1">
        <v>992.0</v>
      </c>
      <c r="G308" s="1">
        <v>2410.0</v>
      </c>
      <c r="H308" s="1">
        <v>0.3407</v>
      </c>
      <c r="I308" s="1">
        <v>0.4116</v>
      </c>
      <c r="J308" s="1">
        <v>-0.071</v>
      </c>
      <c r="K308" s="1">
        <v>1119.0</v>
      </c>
    </row>
    <row r="309">
      <c r="A309" s="1" t="s">
        <v>19</v>
      </c>
      <c r="B309" s="1" t="s">
        <v>1192</v>
      </c>
      <c r="C309" s="1" t="s">
        <v>52</v>
      </c>
      <c r="D309" s="1">
        <v>14.0</v>
      </c>
      <c r="E309" s="1">
        <v>687.0</v>
      </c>
      <c r="F309" s="1">
        <v>993.0</v>
      </c>
      <c r="G309" s="1">
        <v>2410.0</v>
      </c>
      <c r="H309" s="1">
        <v>0.2851</v>
      </c>
      <c r="I309" s="1">
        <v>0.412</v>
      </c>
      <c r="J309" s="1">
        <v>-0.127</v>
      </c>
      <c r="K309" s="1">
        <v>1132.0</v>
      </c>
    </row>
    <row r="310">
      <c r="A310" s="1" t="s">
        <v>19</v>
      </c>
      <c r="B310" s="1" t="s">
        <v>1192</v>
      </c>
      <c r="C310" s="1" t="s">
        <v>52</v>
      </c>
      <c r="D310" s="1">
        <v>15.0</v>
      </c>
      <c r="E310" s="1">
        <v>1772.0</v>
      </c>
      <c r="F310" s="1">
        <v>1396.0</v>
      </c>
      <c r="G310" s="1">
        <v>2410.0</v>
      </c>
      <c r="H310" s="1">
        <v>0.7353</v>
      </c>
      <c r="I310" s="1">
        <v>0.5793</v>
      </c>
      <c r="J310" s="1">
        <v>0.156</v>
      </c>
      <c r="K310" s="1">
        <v>1258.0</v>
      </c>
    </row>
    <row r="311">
      <c r="A311" s="1" t="s">
        <v>19</v>
      </c>
      <c r="B311" s="1" t="s">
        <v>1192</v>
      </c>
      <c r="C311" s="1" t="s">
        <v>52</v>
      </c>
      <c r="D311" s="1">
        <v>16.0</v>
      </c>
      <c r="E311" s="1">
        <v>1492.0</v>
      </c>
      <c r="F311" s="1">
        <v>1268.0</v>
      </c>
      <c r="G311" s="1">
        <v>2410.0</v>
      </c>
      <c r="H311" s="1">
        <v>0.6191</v>
      </c>
      <c r="I311" s="1">
        <v>0.5261</v>
      </c>
      <c r="J311" s="1">
        <v>0.0929</v>
      </c>
      <c r="K311" s="1">
        <v>1210.0</v>
      </c>
    </row>
    <row r="312">
      <c r="A312" s="1" t="s">
        <v>19</v>
      </c>
      <c r="B312" s="1" t="s">
        <v>1192</v>
      </c>
      <c r="C312" s="1" t="s">
        <v>52</v>
      </c>
      <c r="D312" s="1">
        <v>17.0</v>
      </c>
      <c r="E312" s="1">
        <v>1413.0</v>
      </c>
      <c r="F312" s="1">
        <v>1278.0</v>
      </c>
      <c r="G312" s="1">
        <v>2410.0</v>
      </c>
      <c r="H312" s="1">
        <v>0.5863</v>
      </c>
      <c r="I312" s="1">
        <v>0.5303</v>
      </c>
      <c r="J312" s="1">
        <v>0.056</v>
      </c>
      <c r="K312" s="1">
        <v>1193.0</v>
      </c>
    </row>
    <row r="313">
      <c r="A313" s="1" t="s">
        <v>19</v>
      </c>
      <c r="B313" s="1" t="s">
        <v>1192</v>
      </c>
      <c r="C313" s="1" t="s">
        <v>52</v>
      </c>
      <c r="D313" s="1">
        <v>18.0</v>
      </c>
      <c r="E313" s="1">
        <v>1121.0</v>
      </c>
      <c r="F313" s="1">
        <v>1187.0</v>
      </c>
      <c r="G313" s="1">
        <v>2410.0</v>
      </c>
      <c r="H313" s="1">
        <v>0.4651</v>
      </c>
      <c r="I313" s="1">
        <v>0.4925</v>
      </c>
      <c r="J313" s="1">
        <v>-0.0274</v>
      </c>
      <c r="K313" s="1">
        <v>1148.0</v>
      </c>
    </row>
    <row r="314">
      <c r="A314" s="1" t="s">
        <v>19</v>
      </c>
      <c r="B314" s="1" t="s">
        <v>1192</v>
      </c>
      <c r="C314" s="1" t="s">
        <v>52</v>
      </c>
      <c r="D314" s="1">
        <v>19.0</v>
      </c>
      <c r="E314" s="1">
        <v>1336.0</v>
      </c>
      <c r="F314" s="1">
        <v>1253.0</v>
      </c>
      <c r="G314" s="1">
        <v>2410.0</v>
      </c>
      <c r="H314" s="1">
        <v>0.5544</v>
      </c>
      <c r="I314" s="1">
        <v>0.5199</v>
      </c>
      <c r="J314" s="1">
        <v>0.0344</v>
      </c>
      <c r="K314" s="1">
        <v>1154.0</v>
      </c>
    </row>
    <row r="315">
      <c r="A315" s="1" t="s">
        <v>19</v>
      </c>
      <c r="B315" s="1" t="s">
        <v>1192</v>
      </c>
      <c r="C315" s="1" t="s">
        <v>52</v>
      </c>
      <c r="D315" s="1">
        <v>20.0</v>
      </c>
      <c r="E315" s="1">
        <v>797.0</v>
      </c>
      <c r="F315" s="1">
        <v>1010.0</v>
      </c>
      <c r="G315" s="1">
        <v>2410.0</v>
      </c>
      <c r="H315" s="1">
        <v>0.3307</v>
      </c>
      <c r="I315" s="1">
        <v>0.4191</v>
      </c>
      <c r="J315" s="1">
        <v>-0.0884</v>
      </c>
      <c r="K315" s="1">
        <v>1073.0</v>
      </c>
    </row>
    <row r="316">
      <c r="A316" s="1" t="s">
        <v>19</v>
      </c>
      <c r="B316" s="1" t="s">
        <v>1192</v>
      </c>
      <c r="C316" s="1" t="s">
        <v>52</v>
      </c>
      <c r="D316" s="1">
        <v>21.0</v>
      </c>
      <c r="E316" s="1">
        <v>736.0</v>
      </c>
      <c r="F316" s="1">
        <v>1014.0</v>
      </c>
      <c r="G316" s="1">
        <v>2410.0</v>
      </c>
      <c r="H316" s="1">
        <v>0.3054</v>
      </c>
      <c r="I316" s="1">
        <v>0.4207</v>
      </c>
      <c r="J316" s="1">
        <v>-0.1154</v>
      </c>
      <c r="K316" s="1">
        <v>1122.0</v>
      </c>
    </row>
    <row r="317">
      <c r="A317" s="1" t="s">
        <v>19</v>
      </c>
      <c r="B317" s="1" t="s">
        <v>1192</v>
      </c>
      <c r="C317" s="1" t="s">
        <v>53</v>
      </c>
      <c r="D317" s="1">
        <v>1.0</v>
      </c>
      <c r="E317" s="1">
        <v>1218.0</v>
      </c>
      <c r="F317" s="1">
        <v>1052.0</v>
      </c>
      <c r="G317" s="1">
        <v>2223.0</v>
      </c>
      <c r="H317" s="1">
        <v>0.5479</v>
      </c>
      <c r="I317" s="1">
        <v>0.4732</v>
      </c>
      <c r="J317" s="1">
        <v>0.0747</v>
      </c>
      <c r="K317" s="1">
        <v>1241.0</v>
      </c>
    </row>
    <row r="318">
      <c r="A318" s="1" t="s">
        <v>19</v>
      </c>
      <c r="B318" s="1" t="s">
        <v>1192</v>
      </c>
      <c r="C318" s="1" t="s">
        <v>53</v>
      </c>
      <c r="D318" s="1">
        <v>2.0</v>
      </c>
      <c r="E318" s="1">
        <v>715.0</v>
      </c>
      <c r="F318" s="1">
        <v>815.0</v>
      </c>
      <c r="G318" s="1">
        <v>2223.0</v>
      </c>
      <c r="H318" s="1">
        <v>0.3216</v>
      </c>
      <c r="I318" s="1">
        <v>0.3666</v>
      </c>
      <c r="J318" s="1">
        <v>-0.045</v>
      </c>
      <c r="K318" s="1">
        <v>1201.0</v>
      </c>
    </row>
    <row r="319">
      <c r="A319" s="1" t="s">
        <v>19</v>
      </c>
      <c r="B319" s="1" t="s">
        <v>1192</v>
      </c>
      <c r="C319" s="1" t="s">
        <v>53</v>
      </c>
      <c r="D319" s="1">
        <v>3.0</v>
      </c>
      <c r="E319" s="1">
        <v>738.0</v>
      </c>
      <c r="F319" s="1">
        <v>835.0</v>
      </c>
      <c r="G319" s="1">
        <v>2223.0</v>
      </c>
      <c r="H319" s="1">
        <v>0.332</v>
      </c>
      <c r="I319" s="1">
        <v>0.3756</v>
      </c>
      <c r="J319" s="1">
        <v>-0.0436</v>
      </c>
      <c r="K319" s="1">
        <v>1187.0</v>
      </c>
    </row>
    <row r="320">
      <c r="A320" s="1" t="s">
        <v>19</v>
      </c>
      <c r="B320" s="1" t="s">
        <v>1192</v>
      </c>
      <c r="C320" s="1" t="s">
        <v>53</v>
      </c>
      <c r="D320" s="1">
        <v>4.0</v>
      </c>
      <c r="E320" s="1">
        <v>703.0</v>
      </c>
      <c r="F320" s="1">
        <v>782.0</v>
      </c>
      <c r="G320" s="1">
        <v>2223.0</v>
      </c>
      <c r="H320" s="1">
        <v>0.3162</v>
      </c>
      <c r="I320" s="1">
        <v>0.3518</v>
      </c>
      <c r="J320" s="1">
        <v>-0.0355</v>
      </c>
      <c r="K320" s="1">
        <v>1176.0</v>
      </c>
    </row>
    <row r="321">
      <c r="A321" s="1" t="s">
        <v>19</v>
      </c>
      <c r="B321" s="1" t="s">
        <v>1192</v>
      </c>
      <c r="C321" s="1" t="s">
        <v>53</v>
      </c>
      <c r="D321" s="1">
        <v>5.0</v>
      </c>
      <c r="E321" s="1">
        <v>869.0</v>
      </c>
      <c r="F321" s="1">
        <v>809.0</v>
      </c>
      <c r="G321" s="1">
        <v>2223.0</v>
      </c>
      <c r="H321" s="1">
        <v>0.3909</v>
      </c>
      <c r="I321" s="1">
        <v>0.3639</v>
      </c>
      <c r="J321" s="1">
        <v>0.027</v>
      </c>
      <c r="K321" s="1">
        <v>1154.0</v>
      </c>
    </row>
    <row r="322">
      <c r="A322" s="1" t="s">
        <v>19</v>
      </c>
      <c r="B322" s="1" t="s">
        <v>1192</v>
      </c>
      <c r="C322" s="1" t="s">
        <v>53</v>
      </c>
      <c r="D322" s="1">
        <v>6.0</v>
      </c>
      <c r="E322" s="1">
        <v>559.0</v>
      </c>
      <c r="F322" s="1">
        <v>660.0</v>
      </c>
      <c r="G322" s="1">
        <v>2223.0</v>
      </c>
      <c r="H322" s="1">
        <v>0.2515</v>
      </c>
      <c r="I322" s="1">
        <v>0.2969</v>
      </c>
      <c r="J322" s="1">
        <v>-0.0454</v>
      </c>
      <c r="K322" s="1">
        <v>1148.0</v>
      </c>
    </row>
    <row r="323">
      <c r="A323" s="1" t="s">
        <v>19</v>
      </c>
      <c r="B323" s="1" t="s">
        <v>1192</v>
      </c>
      <c r="C323" s="1" t="s">
        <v>53</v>
      </c>
      <c r="D323" s="1">
        <v>7.0</v>
      </c>
      <c r="E323" s="1">
        <v>470.0</v>
      </c>
      <c r="F323" s="1">
        <v>652.0</v>
      </c>
      <c r="G323" s="1">
        <v>2223.0</v>
      </c>
      <c r="H323" s="1">
        <v>0.2114</v>
      </c>
      <c r="I323" s="1">
        <v>0.2933</v>
      </c>
      <c r="J323" s="1">
        <v>-0.0819</v>
      </c>
      <c r="K323" s="1">
        <v>1122.0</v>
      </c>
    </row>
    <row r="324">
      <c r="A324" s="1" t="s">
        <v>19</v>
      </c>
      <c r="B324" s="1" t="s">
        <v>1192</v>
      </c>
      <c r="C324" s="1" t="s">
        <v>53</v>
      </c>
      <c r="D324" s="1">
        <v>8.0</v>
      </c>
      <c r="E324" s="1">
        <v>1110.0</v>
      </c>
      <c r="F324" s="1">
        <v>967.0</v>
      </c>
      <c r="G324" s="1">
        <v>2223.0</v>
      </c>
      <c r="H324" s="1">
        <v>0.4993</v>
      </c>
      <c r="I324" s="1">
        <v>0.435</v>
      </c>
      <c r="J324" s="1">
        <v>0.0643</v>
      </c>
      <c r="K324" s="1">
        <v>1214.0</v>
      </c>
    </row>
    <row r="325">
      <c r="A325" s="1" t="s">
        <v>19</v>
      </c>
      <c r="B325" s="1" t="s">
        <v>1192</v>
      </c>
      <c r="C325" s="1" t="s">
        <v>53</v>
      </c>
      <c r="D325" s="1">
        <v>9.0</v>
      </c>
      <c r="E325" s="1">
        <v>821.0</v>
      </c>
      <c r="F325" s="1">
        <v>894.0</v>
      </c>
      <c r="G325" s="1">
        <v>2223.0</v>
      </c>
      <c r="H325" s="1">
        <v>0.3693</v>
      </c>
      <c r="I325" s="1">
        <v>0.4022</v>
      </c>
      <c r="J325" s="1">
        <v>-0.0328</v>
      </c>
      <c r="K325" s="1">
        <v>1201.0</v>
      </c>
    </row>
    <row r="326">
      <c r="A326" s="1" t="s">
        <v>19</v>
      </c>
      <c r="B326" s="1" t="s">
        <v>1192</v>
      </c>
      <c r="C326" s="1" t="s">
        <v>53</v>
      </c>
      <c r="D326" s="1">
        <v>10.0</v>
      </c>
      <c r="E326" s="1">
        <v>730.0</v>
      </c>
      <c r="F326" s="1">
        <v>757.0</v>
      </c>
      <c r="G326" s="1">
        <v>2223.0</v>
      </c>
      <c r="H326" s="1">
        <v>0.3284</v>
      </c>
      <c r="I326" s="1">
        <v>0.3405</v>
      </c>
      <c r="J326" s="1">
        <v>-0.0121</v>
      </c>
      <c r="K326" s="1">
        <v>1164.0</v>
      </c>
    </row>
    <row r="327">
      <c r="A327" s="1" t="s">
        <v>19</v>
      </c>
      <c r="B327" s="1" t="s">
        <v>1192</v>
      </c>
      <c r="C327" s="1" t="s">
        <v>53</v>
      </c>
      <c r="D327" s="1">
        <v>11.0</v>
      </c>
      <c r="E327" s="1">
        <v>711.0</v>
      </c>
      <c r="F327" s="1">
        <v>772.0</v>
      </c>
      <c r="G327" s="1">
        <v>2223.0</v>
      </c>
      <c r="H327" s="1">
        <v>0.3198</v>
      </c>
      <c r="I327" s="1">
        <v>0.3473</v>
      </c>
      <c r="J327" s="1">
        <v>-0.0274</v>
      </c>
      <c r="K327" s="1">
        <v>1148.0</v>
      </c>
    </row>
    <row r="328">
      <c r="A328" s="1" t="s">
        <v>19</v>
      </c>
      <c r="B328" s="1" t="s">
        <v>1192</v>
      </c>
      <c r="C328" s="1" t="s">
        <v>53</v>
      </c>
      <c r="D328" s="1">
        <v>12.0</v>
      </c>
      <c r="E328" s="1">
        <v>875.0</v>
      </c>
      <c r="F328" s="1">
        <v>817.0</v>
      </c>
      <c r="G328" s="1">
        <v>2223.0</v>
      </c>
      <c r="H328" s="1">
        <v>0.3936</v>
      </c>
      <c r="I328" s="1">
        <v>0.3675</v>
      </c>
      <c r="J328" s="1">
        <v>0.0261</v>
      </c>
      <c r="K328" s="1">
        <v>1156.0</v>
      </c>
    </row>
    <row r="329">
      <c r="A329" s="1" t="s">
        <v>19</v>
      </c>
      <c r="B329" s="1" t="s">
        <v>1192</v>
      </c>
      <c r="C329" s="1" t="s">
        <v>53</v>
      </c>
      <c r="D329" s="1">
        <v>13.0</v>
      </c>
      <c r="E329" s="1">
        <v>527.0</v>
      </c>
      <c r="F329" s="1">
        <v>672.0</v>
      </c>
      <c r="G329" s="1">
        <v>2223.0</v>
      </c>
      <c r="H329" s="1">
        <v>0.2371</v>
      </c>
      <c r="I329" s="1">
        <v>0.3023</v>
      </c>
      <c r="J329" s="1">
        <v>-0.0652</v>
      </c>
      <c r="K329" s="1">
        <v>1119.0</v>
      </c>
    </row>
    <row r="330">
      <c r="A330" s="1" t="s">
        <v>19</v>
      </c>
      <c r="B330" s="1" t="s">
        <v>1192</v>
      </c>
      <c r="C330" s="1" t="s">
        <v>53</v>
      </c>
      <c r="D330" s="1">
        <v>14.0</v>
      </c>
      <c r="E330" s="1">
        <v>487.0</v>
      </c>
      <c r="F330" s="1">
        <v>695.0</v>
      </c>
      <c r="G330" s="1">
        <v>2223.0</v>
      </c>
      <c r="H330" s="1">
        <v>0.2191</v>
      </c>
      <c r="I330" s="1">
        <v>0.3126</v>
      </c>
      <c r="J330" s="1">
        <v>-0.0936</v>
      </c>
      <c r="K330" s="1">
        <v>1132.0</v>
      </c>
    </row>
    <row r="331">
      <c r="A331" s="1" t="s">
        <v>19</v>
      </c>
      <c r="B331" s="1" t="s">
        <v>1192</v>
      </c>
      <c r="C331" s="1" t="s">
        <v>53</v>
      </c>
      <c r="D331" s="1">
        <v>15.0</v>
      </c>
      <c r="E331" s="1">
        <v>1087.0</v>
      </c>
      <c r="F331" s="1">
        <v>936.0</v>
      </c>
      <c r="G331" s="1">
        <v>2223.0</v>
      </c>
      <c r="H331" s="1">
        <v>0.489</v>
      </c>
      <c r="I331" s="1">
        <v>0.4211</v>
      </c>
      <c r="J331" s="1">
        <v>0.0679</v>
      </c>
      <c r="K331" s="1">
        <v>1258.0</v>
      </c>
    </row>
    <row r="332">
      <c r="A332" s="1" t="s">
        <v>19</v>
      </c>
      <c r="B332" s="1" t="s">
        <v>1192</v>
      </c>
      <c r="C332" s="1" t="s">
        <v>53</v>
      </c>
      <c r="D332" s="1">
        <v>16.0</v>
      </c>
      <c r="E332" s="1">
        <v>743.0</v>
      </c>
      <c r="F332" s="1">
        <v>791.0</v>
      </c>
      <c r="G332" s="1">
        <v>2223.0</v>
      </c>
      <c r="H332" s="1">
        <v>0.3342</v>
      </c>
      <c r="I332" s="1">
        <v>0.3558</v>
      </c>
      <c r="J332" s="1">
        <v>-0.0216</v>
      </c>
      <c r="K332" s="1">
        <v>1210.0</v>
      </c>
    </row>
    <row r="333">
      <c r="A333" s="1" t="s">
        <v>19</v>
      </c>
      <c r="B333" s="1" t="s">
        <v>1192</v>
      </c>
      <c r="C333" s="1" t="s">
        <v>53</v>
      </c>
      <c r="D333" s="1">
        <v>17.0</v>
      </c>
      <c r="E333" s="1">
        <v>760.0</v>
      </c>
      <c r="F333" s="1">
        <v>785.0</v>
      </c>
      <c r="G333" s="1">
        <v>2223.0</v>
      </c>
      <c r="H333" s="1">
        <v>0.3419</v>
      </c>
      <c r="I333" s="1">
        <v>0.3531</v>
      </c>
      <c r="J333" s="1">
        <v>-0.0112</v>
      </c>
      <c r="K333" s="1">
        <v>1193.0</v>
      </c>
    </row>
    <row r="334">
      <c r="A334" s="1" t="s">
        <v>19</v>
      </c>
      <c r="B334" s="1" t="s">
        <v>1192</v>
      </c>
      <c r="C334" s="1" t="s">
        <v>53</v>
      </c>
      <c r="D334" s="1">
        <v>18.0</v>
      </c>
      <c r="E334" s="1">
        <v>684.0</v>
      </c>
      <c r="F334" s="1">
        <v>702.0</v>
      </c>
      <c r="G334" s="1">
        <v>2223.0</v>
      </c>
      <c r="H334" s="1">
        <v>0.3077</v>
      </c>
      <c r="I334" s="1">
        <v>0.3158</v>
      </c>
      <c r="J334" s="1">
        <v>-0.0081</v>
      </c>
      <c r="K334" s="1">
        <v>1148.0</v>
      </c>
    </row>
    <row r="335">
      <c r="A335" s="1" t="s">
        <v>19</v>
      </c>
      <c r="B335" s="1" t="s">
        <v>1192</v>
      </c>
      <c r="C335" s="1" t="s">
        <v>53</v>
      </c>
      <c r="D335" s="1">
        <v>19.0</v>
      </c>
      <c r="E335" s="1">
        <v>842.0</v>
      </c>
      <c r="F335" s="1">
        <v>804.0</v>
      </c>
      <c r="G335" s="1">
        <v>2223.0</v>
      </c>
      <c r="H335" s="1">
        <v>0.3788</v>
      </c>
      <c r="I335" s="1">
        <v>0.3617</v>
      </c>
      <c r="J335" s="1">
        <v>0.0171</v>
      </c>
      <c r="K335" s="1">
        <v>1154.0</v>
      </c>
    </row>
    <row r="336">
      <c r="A336" s="1" t="s">
        <v>19</v>
      </c>
      <c r="B336" s="1" t="s">
        <v>1192</v>
      </c>
      <c r="C336" s="1" t="s">
        <v>53</v>
      </c>
      <c r="D336" s="1">
        <v>20.0</v>
      </c>
      <c r="E336" s="1">
        <v>537.0</v>
      </c>
      <c r="F336" s="1">
        <v>668.0</v>
      </c>
      <c r="G336" s="1">
        <v>2223.0</v>
      </c>
      <c r="H336" s="1">
        <v>0.2416</v>
      </c>
      <c r="I336" s="1">
        <v>0.3005</v>
      </c>
      <c r="J336" s="1">
        <v>-0.0589</v>
      </c>
      <c r="K336" s="1">
        <v>1073.0</v>
      </c>
    </row>
    <row r="337">
      <c r="A337" s="1" t="s">
        <v>19</v>
      </c>
      <c r="B337" s="1" t="s">
        <v>1192</v>
      </c>
      <c r="C337" s="1" t="s">
        <v>53</v>
      </c>
      <c r="D337" s="1">
        <v>21.0</v>
      </c>
      <c r="E337" s="1">
        <v>475.0</v>
      </c>
      <c r="F337" s="1">
        <v>615.0</v>
      </c>
      <c r="G337" s="1">
        <v>2223.0</v>
      </c>
      <c r="H337" s="1">
        <v>0.2137</v>
      </c>
      <c r="I337" s="1">
        <v>0.2767</v>
      </c>
      <c r="J337" s="1">
        <v>-0.063</v>
      </c>
      <c r="K337" s="1">
        <v>1122.0</v>
      </c>
    </row>
    <row r="338">
      <c r="A338" s="1" t="s">
        <v>19</v>
      </c>
      <c r="B338" s="1" t="s">
        <v>1192</v>
      </c>
      <c r="C338" s="1" t="s">
        <v>54</v>
      </c>
      <c r="D338" s="1">
        <v>1.0</v>
      </c>
      <c r="E338" s="1">
        <v>925.0</v>
      </c>
      <c r="F338" s="1">
        <v>693.0</v>
      </c>
      <c r="G338" s="1">
        <v>1976.0</v>
      </c>
      <c r="H338" s="1">
        <v>0.4681</v>
      </c>
      <c r="I338" s="1">
        <v>0.3507</v>
      </c>
      <c r="J338" s="1">
        <v>0.1174</v>
      </c>
      <c r="K338" s="1">
        <v>1241.0</v>
      </c>
    </row>
    <row r="339">
      <c r="A339" s="1" t="s">
        <v>19</v>
      </c>
      <c r="B339" s="1" t="s">
        <v>1192</v>
      </c>
      <c r="C339" s="1" t="s">
        <v>54</v>
      </c>
      <c r="D339" s="1">
        <v>2.0</v>
      </c>
      <c r="E339" s="1">
        <v>375.0</v>
      </c>
      <c r="F339" s="1">
        <v>472.0</v>
      </c>
      <c r="G339" s="1">
        <v>1976.0</v>
      </c>
      <c r="H339" s="1">
        <v>0.1898</v>
      </c>
      <c r="I339" s="1">
        <v>0.2389</v>
      </c>
      <c r="J339" s="1">
        <v>-0.0491</v>
      </c>
      <c r="K339" s="1">
        <v>1201.0</v>
      </c>
    </row>
    <row r="340">
      <c r="A340" s="1" t="s">
        <v>19</v>
      </c>
      <c r="B340" s="1" t="s">
        <v>1192</v>
      </c>
      <c r="C340" s="1" t="s">
        <v>54</v>
      </c>
      <c r="D340" s="1">
        <v>3.0</v>
      </c>
      <c r="E340" s="1">
        <v>320.0</v>
      </c>
      <c r="F340" s="1">
        <v>399.0</v>
      </c>
      <c r="G340" s="1">
        <v>1976.0</v>
      </c>
      <c r="H340" s="1">
        <v>0.1619</v>
      </c>
      <c r="I340" s="1">
        <v>0.2019</v>
      </c>
      <c r="J340" s="1">
        <v>-0.04</v>
      </c>
      <c r="K340" s="1">
        <v>1187.0</v>
      </c>
    </row>
    <row r="341">
      <c r="A341" s="1" t="s">
        <v>19</v>
      </c>
      <c r="B341" s="1" t="s">
        <v>1192</v>
      </c>
      <c r="C341" s="1" t="s">
        <v>54</v>
      </c>
      <c r="D341" s="1">
        <v>4.0</v>
      </c>
      <c r="E341" s="1">
        <v>340.0</v>
      </c>
      <c r="F341" s="1">
        <v>394.0</v>
      </c>
      <c r="G341" s="1">
        <v>1976.0</v>
      </c>
      <c r="H341" s="1">
        <v>0.1721</v>
      </c>
      <c r="I341" s="1">
        <v>0.1994</v>
      </c>
      <c r="J341" s="1">
        <v>-0.0273</v>
      </c>
      <c r="K341" s="1">
        <v>1176.0</v>
      </c>
    </row>
    <row r="342">
      <c r="A342" s="1" t="s">
        <v>19</v>
      </c>
      <c r="B342" s="1" t="s">
        <v>1192</v>
      </c>
      <c r="C342" s="1" t="s">
        <v>54</v>
      </c>
      <c r="D342" s="1">
        <v>5.0</v>
      </c>
      <c r="E342" s="1">
        <v>405.0</v>
      </c>
      <c r="F342" s="1">
        <v>375.0</v>
      </c>
      <c r="G342" s="1">
        <v>1976.0</v>
      </c>
      <c r="H342" s="1">
        <v>0.205</v>
      </c>
      <c r="I342" s="1">
        <v>0.1898</v>
      </c>
      <c r="J342" s="1">
        <v>0.0152</v>
      </c>
      <c r="K342" s="1">
        <v>1154.0</v>
      </c>
    </row>
    <row r="343">
      <c r="A343" s="1" t="s">
        <v>19</v>
      </c>
      <c r="B343" s="1" t="s">
        <v>1192</v>
      </c>
      <c r="C343" s="1" t="s">
        <v>54</v>
      </c>
      <c r="D343" s="1">
        <v>6.0</v>
      </c>
      <c r="E343" s="1">
        <v>215.0</v>
      </c>
      <c r="F343" s="1">
        <v>271.0</v>
      </c>
      <c r="G343" s="1">
        <v>1976.0</v>
      </c>
      <c r="H343" s="1">
        <v>0.1088</v>
      </c>
      <c r="I343" s="1">
        <v>0.1371</v>
      </c>
      <c r="J343" s="1">
        <v>-0.0283</v>
      </c>
      <c r="K343" s="1">
        <v>1148.0</v>
      </c>
    </row>
    <row r="344">
      <c r="A344" s="1" t="s">
        <v>19</v>
      </c>
      <c r="B344" s="1" t="s">
        <v>1192</v>
      </c>
      <c r="C344" s="1" t="s">
        <v>54</v>
      </c>
      <c r="D344" s="1">
        <v>7.0</v>
      </c>
      <c r="E344" s="1">
        <v>145.0</v>
      </c>
      <c r="F344" s="1">
        <v>253.0</v>
      </c>
      <c r="G344" s="1">
        <v>1976.0</v>
      </c>
      <c r="H344" s="1">
        <v>0.0734</v>
      </c>
      <c r="I344" s="1">
        <v>0.128</v>
      </c>
      <c r="J344" s="1">
        <v>-0.0547</v>
      </c>
      <c r="K344" s="1">
        <v>1122.0</v>
      </c>
    </row>
    <row r="345">
      <c r="A345" s="1" t="s">
        <v>19</v>
      </c>
      <c r="B345" s="1" t="s">
        <v>1192</v>
      </c>
      <c r="C345" s="1" t="s">
        <v>54</v>
      </c>
      <c r="D345" s="1">
        <v>8.0</v>
      </c>
      <c r="E345" s="1">
        <v>853.0</v>
      </c>
      <c r="F345" s="1">
        <v>642.0</v>
      </c>
      <c r="G345" s="1">
        <v>1976.0</v>
      </c>
      <c r="H345" s="1">
        <v>0.4317</v>
      </c>
      <c r="I345" s="1">
        <v>0.3249</v>
      </c>
      <c r="J345" s="1">
        <v>0.1068</v>
      </c>
      <c r="K345" s="1">
        <v>1214.0</v>
      </c>
    </row>
    <row r="346">
      <c r="A346" s="1" t="s">
        <v>19</v>
      </c>
      <c r="B346" s="1" t="s">
        <v>1192</v>
      </c>
      <c r="C346" s="1" t="s">
        <v>54</v>
      </c>
      <c r="D346" s="1">
        <v>9.0</v>
      </c>
      <c r="E346" s="1">
        <v>383.0</v>
      </c>
      <c r="F346" s="1">
        <v>463.0</v>
      </c>
      <c r="G346" s="1">
        <v>1976.0</v>
      </c>
      <c r="H346" s="1">
        <v>0.1938</v>
      </c>
      <c r="I346" s="1">
        <v>0.2343</v>
      </c>
      <c r="J346" s="1">
        <v>-0.0405</v>
      </c>
      <c r="K346" s="1">
        <v>1201.0</v>
      </c>
    </row>
    <row r="347">
      <c r="A347" s="1" t="s">
        <v>19</v>
      </c>
      <c r="B347" s="1" t="s">
        <v>1192</v>
      </c>
      <c r="C347" s="1" t="s">
        <v>54</v>
      </c>
      <c r="D347" s="1">
        <v>10.0</v>
      </c>
      <c r="E347" s="1">
        <v>294.0</v>
      </c>
      <c r="F347" s="1">
        <v>377.0</v>
      </c>
      <c r="G347" s="1">
        <v>1976.0</v>
      </c>
      <c r="H347" s="1">
        <v>0.1488</v>
      </c>
      <c r="I347" s="1">
        <v>0.1908</v>
      </c>
      <c r="J347" s="1">
        <v>-0.042</v>
      </c>
      <c r="K347" s="1">
        <v>1164.0</v>
      </c>
    </row>
    <row r="348">
      <c r="A348" s="1" t="s">
        <v>19</v>
      </c>
      <c r="B348" s="1" t="s">
        <v>1192</v>
      </c>
      <c r="C348" s="1" t="s">
        <v>54</v>
      </c>
      <c r="D348" s="1">
        <v>11.0</v>
      </c>
      <c r="E348" s="1">
        <v>346.0</v>
      </c>
      <c r="F348" s="1">
        <v>362.0</v>
      </c>
      <c r="G348" s="1">
        <v>1976.0</v>
      </c>
      <c r="H348" s="1">
        <v>0.1751</v>
      </c>
      <c r="I348" s="1">
        <v>0.1832</v>
      </c>
      <c r="J348" s="1">
        <v>-0.0081</v>
      </c>
      <c r="K348" s="1">
        <v>1148.0</v>
      </c>
    </row>
    <row r="349">
      <c r="A349" s="1" t="s">
        <v>19</v>
      </c>
      <c r="B349" s="1" t="s">
        <v>1192</v>
      </c>
      <c r="C349" s="1" t="s">
        <v>54</v>
      </c>
      <c r="D349" s="1">
        <v>12.0</v>
      </c>
      <c r="E349" s="1">
        <v>384.0</v>
      </c>
      <c r="F349" s="1">
        <v>384.0</v>
      </c>
      <c r="G349" s="1">
        <v>1976.0</v>
      </c>
      <c r="H349" s="1">
        <v>0.1943</v>
      </c>
      <c r="I349" s="1">
        <v>0.1943</v>
      </c>
      <c r="J349" s="1">
        <v>0.0</v>
      </c>
      <c r="K349" s="1">
        <v>1156.0</v>
      </c>
    </row>
    <row r="350">
      <c r="A350" s="1" t="s">
        <v>19</v>
      </c>
      <c r="B350" s="1" t="s">
        <v>1192</v>
      </c>
      <c r="C350" s="1" t="s">
        <v>54</v>
      </c>
      <c r="D350" s="1">
        <v>13.0</v>
      </c>
      <c r="E350" s="1">
        <v>193.0</v>
      </c>
      <c r="F350" s="1">
        <v>275.0</v>
      </c>
      <c r="G350" s="1">
        <v>1976.0</v>
      </c>
      <c r="H350" s="1">
        <v>0.0977</v>
      </c>
      <c r="I350" s="1">
        <v>0.1392</v>
      </c>
      <c r="J350" s="1">
        <v>-0.0415</v>
      </c>
      <c r="K350" s="1">
        <v>1119.0</v>
      </c>
    </row>
    <row r="351">
      <c r="A351" s="1" t="s">
        <v>19</v>
      </c>
      <c r="B351" s="1" t="s">
        <v>1192</v>
      </c>
      <c r="C351" s="1" t="s">
        <v>54</v>
      </c>
      <c r="D351" s="1">
        <v>14.0</v>
      </c>
      <c r="E351" s="1">
        <v>171.0</v>
      </c>
      <c r="F351" s="1">
        <v>261.0</v>
      </c>
      <c r="G351" s="1">
        <v>1976.0</v>
      </c>
      <c r="H351" s="1">
        <v>0.0865</v>
      </c>
      <c r="I351" s="1">
        <v>0.1321</v>
      </c>
      <c r="J351" s="1">
        <v>-0.0455</v>
      </c>
      <c r="K351" s="1">
        <v>1132.0</v>
      </c>
    </row>
    <row r="352">
      <c r="A352" s="1" t="s">
        <v>19</v>
      </c>
      <c r="B352" s="1" t="s">
        <v>1192</v>
      </c>
      <c r="C352" s="1" t="s">
        <v>54</v>
      </c>
      <c r="D352" s="1">
        <v>15.0</v>
      </c>
      <c r="E352" s="1">
        <v>908.0</v>
      </c>
      <c r="F352" s="1">
        <v>664.0</v>
      </c>
      <c r="G352" s="1">
        <v>1976.0</v>
      </c>
      <c r="H352" s="1">
        <v>0.4595</v>
      </c>
      <c r="I352" s="1">
        <v>0.336</v>
      </c>
      <c r="J352" s="1">
        <v>0.1235</v>
      </c>
      <c r="K352" s="1">
        <v>1258.0</v>
      </c>
    </row>
    <row r="353">
      <c r="A353" s="1" t="s">
        <v>19</v>
      </c>
      <c r="B353" s="1" t="s">
        <v>1192</v>
      </c>
      <c r="C353" s="1" t="s">
        <v>54</v>
      </c>
      <c r="D353" s="1">
        <v>16.0</v>
      </c>
      <c r="E353" s="1">
        <v>370.0</v>
      </c>
      <c r="F353" s="1">
        <v>442.0</v>
      </c>
      <c r="G353" s="1">
        <v>1976.0</v>
      </c>
      <c r="H353" s="1">
        <v>0.1872</v>
      </c>
      <c r="I353" s="1">
        <v>0.2237</v>
      </c>
      <c r="J353" s="1">
        <v>-0.0364</v>
      </c>
      <c r="K353" s="1">
        <v>1210.0</v>
      </c>
    </row>
    <row r="354">
      <c r="A354" s="1" t="s">
        <v>19</v>
      </c>
      <c r="B354" s="1" t="s">
        <v>1192</v>
      </c>
      <c r="C354" s="1" t="s">
        <v>54</v>
      </c>
      <c r="D354" s="1">
        <v>17.0</v>
      </c>
      <c r="E354" s="1">
        <v>293.0</v>
      </c>
      <c r="F354" s="1">
        <v>382.0</v>
      </c>
      <c r="G354" s="1">
        <v>1976.0</v>
      </c>
      <c r="H354" s="1">
        <v>0.1483</v>
      </c>
      <c r="I354" s="1">
        <v>0.1933</v>
      </c>
      <c r="J354" s="1">
        <v>-0.045</v>
      </c>
      <c r="K354" s="1">
        <v>1193.0</v>
      </c>
    </row>
    <row r="355">
      <c r="A355" s="1" t="s">
        <v>19</v>
      </c>
      <c r="B355" s="1" t="s">
        <v>1192</v>
      </c>
      <c r="C355" s="1" t="s">
        <v>54</v>
      </c>
      <c r="D355" s="1">
        <v>18.0</v>
      </c>
      <c r="E355" s="1">
        <v>300.0</v>
      </c>
      <c r="F355" s="1">
        <v>380.0</v>
      </c>
      <c r="G355" s="1">
        <v>1976.0</v>
      </c>
      <c r="H355" s="1">
        <v>0.1518</v>
      </c>
      <c r="I355" s="1">
        <v>0.1923</v>
      </c>
      <c r="J355" s="1">
        <v>-0.0405</v>
      </c>
      <c r="K355" s="1">
        <v>1148.0</v>
      </c>
    </row>
    <row r="356">
      <c r="A356" s="1" t="s">
        <v>19</v>
      </c>
      <c r="B356" s="1" t="s">
        <v>1192</v>
      </c>
      <c r="C356" s="1" t="s">
        <v>54</v>
      </c>
      <c r="D356" s="1">
        <v>19.0</v>
      </c>
      <c r="E356" s="1">
        <v>386.0</v>
      </c>
      <c r="F356" s="1">
        <v>417.0</v>
      </c>
      <c r="G356" s="1">
        <v>1976.0</v>
      </c>
      <c r="H356" s="1">
        <v>0.1953</v>
      </c>
      <c r="I356" s="1">
        <v>0.211</v>
      </c>
      <c r="J356" s="1">
        <v>-0.0157</v>
      </c>
      <c r="K356" s="1">
        <v>1154.0</v>
      </c>
    </row>
    <row r="357">
      <c r="A357" s="1" t="s">
        <v>19</v>
      </c>
      <c r="B357" s="1" t="s">
        <v>1192</v>
      </c>
      <c r="C357" s="1" t="s">
        <v>54</v>
      </c>
      <c r="D357" s="1">
        <v>20.0</v>
      </c>
      <c r="E357" s="1">
        <v>193.0</v>
      </c>
      <c r="F357" s="1">
        <v>283.0</v>
      </c>
      <c r="G357" s="1">
        <v>1976.0</v>
      </c>
      <c r="H357" s="1">
        <v>0.0977</v>
      </c>
      <c r="I357" s="1">
        <v>0.1432</v>
      </c>
      <c r="J357" s="1">
        <v>-0.0455</v>
      </c>
      <c r="K357" s="1">
        <v>1073.0</v>
      </c>
    </row>
    <row r="358">
      <c r="A358" s="1" t="s">
        <v>19</v>
      </c>
      <c r="B358" s="1" t="s">
        <v>1192</v>
      </c>
      <c r="C358" s="1" t="s">
        <v>54</v>
      </c>
      <c r="D358" s="1">
        <v>21.0</v>
      </c>
      <c r="E358" s="1">
        <v>196.0</v>
      </c>
      <c r="F358" s="1">
        <v>243.0</v>
      </c>
      <c r="G358" s="1">
        <v>1976.0</v>
      </c>
      <c r="H358" s="1">
        <v>0.0992</v>
      </c>
      <c r="I358" s="1">
        <v>0.123</v>
      </c>
      <c r="J358" s="1">
        <v>-0.0238</v>
      </c>
      <c r="K358" s="1">
        <v>1122.0</v>
      </c>
    </row>
    <row r="359">
      <c r="A359" s="1" t="s">
        <v>19</v>
      </c>
      <c r="B359" s="1" t="s">
        <v>1192</v>
      </c>
      <c r="C359" s="1" t="s">
        <v>47</v>
      </c>
      <c r="D359" s="1">
        <v>1.0</v>
      </c>
      <c r="E359" s="1">
        <v>2539.0</v>
      </c>
      <c r="F359" s="1">
        <v>1881.0</v>
      </c>
      <c r="G359" s="1">
        <v>2848.0</v>
      </c>
      <c r="H359" s="1">
        <v>0.8915</v>
      </c>
      <c r="I359" s="1">
        <v>0.6605</v>
      </c>
      <c r="J359" s="1">
        <v>0.231</v>
      </c>
      <c r="K359" s="1">
        <v>1241.0</v>
      </c>
    </row>
    <row r="360">
      <c r="A360" s="1" t="s">
        <v>19</v>
      </c>
      <c r="B360" s="1" t="s">
        <v>1192</v>
      </c>
      <c r="C360" s="1" t="s">
        <v>47</v>
      </c>
      <c r="D360" s="1">
        <v>2.0</v>
      </c>
      <c r="E360" s="1">
        <v>1467.0</v>
      </c>
      <c r="F360" s="1">
        <v>1458.0</v>
      </c>
      <c r="G360" s="1">
        <v>2848.0</v>
      </c>
      <c r="H360" s="1">
        <v>0.5151</v>
      </c>
      <c r="I360" s="1">
        <v>0.5119</v>
      </c>
      <c r="J360" s="1">
        <v>0.0032</v>
      </c>
      <c r="K360" s="1">
        <v>1201.0</v>
      </c>
    </row>
    <row r="361">
      <c r="A361" s="1" t="s">
        <v>19</v>
      </c>
      <c r="B361" s="1" t="s">
        <v>1192</v>
      </c>
      <c r="C361" s="1" t="s">
        <v>47</v>
      </c>
      <c r="D361" s="1">
        <v>3.0</v>
      </c>
      <c r="E361" s="1">
        <v>1107.0</v>
      </c>
      <c r="F361" s="1">
        <v>1330.0</v>
      </c>
      <c r="G361" s="1">
        <v>2848.0</v>
      </c>
      <c r="H361" s="1">
        <v>0.3887</v>
      </c>
      <c r="I361" s="1">
        <v>0.467</v>
      </c>
      <c r="J361" s="1">
        <v>-0.0783</v>
      </c>
      <c r="K361" s="1">
        <v>1187.0</v>
      </c>
    </row>
    <row r="362">
      <c r="A362" s="1" t="s">
        <v>19</v>
      </c>
      <c r="B362" s="1" t="s">
        <v>1192</v>
      </c>
      <c r="C362" s="1" t="s">
        <v>47</v>
      </c>
      <c r="D362" s="1">
        <v>4.0</v>
      </c>
      <c r="E362" s="1">
        <v>1083.0</v>
      </c>
      <c r="F362" s="1">
        <v>1213.0</v>
      </c>
      <c r="G362" s="1">
        <v>2848.0</v>
      </c>
      <c r="H362" s="1">
        <v>0.3803</v>
      </c>
      <c r="I362" s="1">
        <v>0.4259</v>
      </c>
      <c r="J362" s="1">
        <v>-0.0456</v>
      </c>
      <c r="K362" s="1">
        <v>1176.0</v>
      </c>
    </row>
    <row r="363">
      <c r="A363" s="1" t="s">
        <v>19</v>
      </c>
      <c r="B363" s="1" t="s">
        <v>1192</v>
      </c>
      <c r="C363" s="1" t="s">
        <v>47</v>
      </c>
      <c r="D363" s="1">
        <v>5.0</v>
      </c>
      <c r="E363" s="1">
        <v>1731.0</v>
      </c>
      <c r="F363" s="1">
        <v>1485.0</v>
      </c>
      <c r="G363" s="1">
        <v>2848.0</v>
      </c>
      <c r="H363" s="1">
        <v>0.6078</v>
      </c>
      <c r="I363" s="1">
        <v>0.5214</v>
      </c>
      <c r="J363" s="1">
        <v>0.0864</v>
      </c>
      <c r="K363" s="1">
        <v>1154.0</v>
      </c>
    </row>
    <row r="364">
      <c r="A364" s="1" t="s">
        <v>19</v>
      </c>
      <c r="B364" s="1" t="s">
        <v>1192</v>
      </c>
      <c r="C364" s="1" t="s">
        <v>47</v>
      </c>
      <c r="D364" s="1">
        <v>6.0</v>
      </c>
      <c r="E364" s="1">
        <v>1126.0</v>
      </c>
      <c r="F364" s="1">
        <v>1260.0</v>
      </c>
      <c r="G364" s="1">
        <v>2848.0</v>
      </c>
      <c r="H364" s="1">
        <v>0.3954</v>
      </c>
      <c r="I364" s="1">
        <v>0.4424</v>
      </c>
      <c r="J364" s="1">
        <v>-0.0471</v>
      </c>
      <c r="K364" s="1">
        <v>1148.0</v>
      </c>
    </row>
    <row r="365">
      <c r="A365" s="1" t="s">
        <v>19</v>
      </c>
      <c r="B365" s="1" t="s">
        <v>1192</v>
      </c>
      <c r="C365" s="1" t="s">
        <v>47</v>
      </c>
      <c r="D365" s="1">
        <v>7.0</v>
      </c>
      <c r="E365" s="1">
        <v>978.0</v>
      </c>
      <c r="F365" s="1">
        <v>1162.0</v>
      </c>
      <c r="G365" s="1">
        <v>2848.0</v>
      </c>
      <c r="H365" s="1">
        <v>0.3434</v>
      </c>
      <c r="I365" s="1">
        <v>0.408</v>
      </c>
      <c r="J365" s="1">
        <v>-0.0646</v>
      </c>
      <c r="K365" s="1">
        <v>1122.0</v>
      </c>
    </row>
    <row r="366">
      <c r="A366" s="1" t="s">
        <v>19</v>
      </c>
      <c r="B366" s="1" t="s">
        <v>1192</v>
      </c>
      <c r="C366" s="1" t="s">
        <v>47</v>
      </c>
      <c r="D366" s="1">
        <v>8.0</v>
      </c>
      <c r="E366" s="1">
        <v>2352.0</v>
      </c>
      <c r="F366" s="1">
        <v>1852.0</v>
      </c>
      <c r="G366" s="1">
        <v>2848.0</v>
      </c>
      <c r="H366" s="1">
        <v>0.8258</v>
      </c>
      <c r="I366" s="1">
        <v>0.6503</v>
      </c>
      <c r="J366" s="1">
        <v>0.1756</v>
      </c>
      <c r="K366" s="1">
        <v>1214.0</v>
      </c>
    </row>
    <row r="367">
      <c r="A367" s="1" t="s">
        <v>19</v>
      </c>
      <c r="B367" s="1" t="s">
        <v>1192</v>
      </c>
      <c r="C367" s="1" t="s">
        <v>47</v>
      </c>
      <c r="D367" s="1">
        <v>9.0</v>
      </c>
      <c r="E367" s="1">
        <v>1497.0</v>
      </c>
      <c r="F367" s="1">
        <v>1443.0</v>
      </c>
      <c r="G367" s="1">
        <v>2848.0</v>
      </c>
      <c r="H367" s="1">
        <v>0.5256</v>
      </c>
      <c r="I367" s="1">
        <v>0.5067</v>
      </c>
      <c r="J367" s="1">
        <v>0.019</v>
      </c>
      <c r="K367" s="1">
        <v>1201.0</v>
      </c>
    </row>
    <row r="368">
      <c r="A368" s="1" t="s">
        <v>19</v>
      </c>
      <c r="B368" s="1" t="s">
        <v>1192</v>
      </c>
      <c r="C368" s="1" t="s">
        <v>47</v>
      </c>
      <c r="D368" s="1">
        <v>10.0</v>
      </c>
      <c r="E368" s="1">
        <v>1163.0</v>
      </c>
      <c r="F368" s="1">
        <v>1226.0</v>
      </c>
      <c r="G368" s="1">
        <v>2848.0</v>
      </c>
      <c r="H368" s="1">
        <v>0.4084</v>
      </c>
      <c r="I368" s="1">
        <v>0.4305</v>
      </c>
      <c r="J368" s="1">
        <v>-0.0221</v>
      </c>
      <c r="K368" s="1">
        <v>1164.0</v>
      </c>
    </row>
    <row r="369">
      <c r="A369" s="1" t="s">
        <v>19</v>
      </c>
      <c r="B369" s="1" t="s">
        <v>1192</v>
      </c>
      <c r="C369" s="1" t="s">
        <v>47</v>
      </c>
      <c r="D369" s="1">
        <v>11.0</v>
      </c>
      <c r="E369" s="1">
        <v>1098.0</v>
      </c>
      <c r="F369" s="1">
        <v>1219.0</v>
      </c>
      <c r="G369" s="1">
        <v>2848.0</v>
      </c>
      <c r="H369" s="1">
        <v>0.3855</v>
      </c>
      <c r="I369" s="1">
        <v>0.428</v>
      </c>
      <c r="J369" s="1">
        <v>-0.0425</v>
      </c>
      <c r="K369" s="1">
        <v>1148.0</v>
      </c>
    </row>
    <row r="370">
      <c r="A370" s="1" t="s">
        <v>19</v>
      </c>
      <c r="B370" s="1" t="s">
        <v>1192</v>
      </c>
      <c r="C370" s="1" t="s">
        <v>47</v>
      </c>
      <c r="D370" s="1">
        <v>12.0</v>
      </c>
      <c r="E370" s="1">
        <v>1704.0</v>
      </c>
      <c r="F370" s="1">
        <v>1484.0</v>
      </c>
      <c r="G370" s="1">
        <v>2848.0</v>
      </c>
      <c r="H370" s="1">
        <v>0.5983</v>
      </c>
      <c r="I370" s="1">
        <v>0.5211</v>
      </c>
      <c r="J370" s="1">
        <v>0.0772</v>
      </c>
      <c r="K370" s="1">
        <v>1156.0</v>
      </c>
    </row>
    <row r="371">
      <c r="A371" s="1" t="s">
        <v>19</v>
      </c>
      <c r="B371" s="1" t="s">
        <v>1192</v>
      </c>
      <c r="C371" s="1" t="s">
        <v>47</v>
      </c>
      <c r="D371" s="1">
        <v>13.0</v>
      </c>
      <c r="E371" s="1">
        <v>1126.0</v>
      </c>
      <c r="F371" s="1">
        <v>1280.0</v>
      </c>
      <c r="G371" s="1">
        <v>2848.0</v>
      </c>
      <c r="H371" s="1">
        <v>0.3954</v>
      </c>
      <c r="I371" s="1">
        <v>0.4494</v>
      </c>
      <c r="J371" s="1">
        <v>-0.0541</v>
      </c>
      <c r="K371" s="1">
        <v>1119.0</v>
      </c>
    </row>
    <row r="372">
      <c r="A372" s="1" t="s">
        <v>19</v>
      </c>
      <c r="B372" s="1" t="s">
        <v>1192</v>
      </c>
      <c r="C372" s="1" t="s">
        <v>47</v>
      </c>
      <c r="D372" s="1">
        <v>14.0</v>
      </c>
      <c r="E372" s="1">
        <v>984.0</v>
      </c>
      <c r="F372" s="1">
        <v>1218.0</v>
      </c>
      <c r="G372" s="1">
        <v>2848.0</v>
      </c>
      <c r="H372" s="1">
        <v>0.3455</v>
      </c>
      <c r="I372" s="1">
        <v>0.4277</v>
      </c>
      <c r="J372" s="1">
        <v>-0.0822</v>
      </c>
      <c r="K372" s="1">
        <v>1132.0</v>
      </c>
    </row>
    <row r="373">
      <c r="A373" s="1" t="s">
        <v>19</v>
      </c>
      <c r="B373" s="1" t="s">
        <v>1192</v>
      </c>
      <c r="C373" s="1" t="s">
        <v>47</v>
      </c>
      <c r="D373" s="1">
        <v>15.0</v>
      </c>
      <c r="E373" s="1">
        <v>2278.0</v>
      </c>
      <c r="F373" s="1">
        <v>1756.0</v>
      </c>
      <c r="G373" s="1">
        <v>2848.0</v>
      </c>
      <c r="H373" s="1">
        <v>0.7999</v>
      </c>
      <c r="I373" s="1">
        <v>0.6166</v>
      </c>
      <c r="J373" s="1">
        <v>0.1833</v>
      </c>
      <c r="K373" s="1">
        <v>1258.0</v>
      </c>
    </row>
    <row r="374">
      <c r="A374" s="1" t="s">
        <v>19</v>
      </c>
      <c r="B374" s="1" t="s">
        <v>1192</v>
      </c>
      <c r="C374" s="1" t="s">
        <v>47</v>
      </c>
      <c r="D374" s="1">
        <v>16.0</v>
      </c>
      <c r="E374" s="1">
        <v>1450.0</v>
      </c>
      <c r="F374" s="1">
        <v>1573.0</v>
      </c>
      <c r="G374" s="1">
        <v>2848.0</v>
      </c>
      <c r="H374" s="1">
        <v>0.5091</v>
      </c>
      <c r="I374" s="1">
        <v>0.5523</v>
      </c>
      <c r="J374" s="1">
        <v>-0.0432</v>
      </c>
      <c r="K374" s="1">
        <v>1210.0</v>
      </c>
    </row>
    <row r="375">
      <c r="A375" s="1" t="s">
        <v>19</v>
      </c>
      <c r="B375" s="1" t="s">
        <v>1192</v>
      </c>
      <c r="C375" s="1" t="s">
        <v>47</v>
      </c>
      <c r="D375" s="1">
        <v>17.0</v>
      </c>
      <c r="E375" s="1">
        <v>1079.0</v>
      </c>
      <c r="F375" s="1">
        <v>1240.0</v>
      </c>
      <c r="G375" s="1">
        <v>2848.0</v>
      </c>
      <c r="H375" s="1">
        <v>0.3789</v>
      </c>
      <c r="I375" s="1">
        <v>0.4354</v>
      </c>
      <c r="J375" s="1">
        <v>-0.0565</v>
      </c>
      <c r="K375" s="1">
        <v>1193.0</v>
      </c>
    </row>
    <row r="376">
      <c r="A376" s="1" t="s">
        <v>19</v>
      </c>
      <c r="B376" s="1" t="s">
        <v>1192</v>
      </c>
      <c r="C376" s="1" t="s">
        <v>47</v>
      </c>
      <c r="D376" s="1">
        <v>18.0</v>
      </c>
      <c r="E376" s="1">
        <v>914.0</v>
      </c>
      <c r="F376" s="1">
        <v>1097.0</v>
      </c>
      <c r="G376" s="1">
        <v>2848.0</v>
      </c>
      <c r="H376" s="1">
        <v>0.3209</v>
      </c>
      <c r="I376" s="1">
        <v>0.3852</v>
      </c>
      <c r="J376" s="1">
        <v>-0.0643</v>
      </c>
      <c r="K376" s="1">
        <v>1148.0</v>
      </c>
    </row>
    <row r="377">
      <c r="A377" s="1" t="s">
        <v>19</v>
      </c>
      <c r="B377" s="1" t="s">
        <v>1192</v>
      </c>
      <c r="C377" s="1" t="s">
        <v>47</v>
      </c>
      <c r="D377" s="1">
        <v>19.0</v>
      </c>
      <c r="E377" s="1">
        <v>1559.0</v>
      </c>
      <c r="F377" s="1">
        <v>1439.0</v>
      </c>
      <c r="G377" s="1">
        <v>2848.0</v>
      </c>
      <c r="H377" s="1">
        <v>0.5474</v>
      </c>
      <c r="I377" s="1">
        <v>0.5053</v>
      </c>
      <c r="J377" s="1">
        <v>0.0421</v>
      </c>
      <c r="K377" s="1">
        <v>1154.0</v>
      </c>
    </row>
    <row r="378">
      <c r="A378" s="1" t="s">
        <v>19</v>
      </c>
      <c r="B378" s="1" t="s">
        <v>1192</v>
      </c>
      <c r="C378" s="1" t="s">
        <v>47</v>
      </c>
      <c r="D378" s="1">
        <v>20.0</v>
      </c>
      <c r="E378" s="1">
        <v>1003.0</v>
      </c>
      <c r="F378" s="1">
        <v>1078.0</v>
      </c>
      <c r="G378" s="1">
        <v>2848.0</v>
      </c>
      <c r="H378" s="1">
        <v>0.3522</v>
      </c>
      <c r="I378" s="1">
        <v>0.3785</v>
      </c>
      <c r="J378" s="1">
        <v>-0.0263</v>
      </c>
      <c r="K378" s="1">
        <v>1073.0</v>
      </c>
    </row>
    <row r="379">
      <c r="A379" s="1" t="s">
        <v>19</v>
      </c>
      <c r="B379" s="1" t="s">
        <v>1192</v>
      </c>
      <c r="C379" s="1" t="s">
        <v>47</v>
      </c>
      <c r="D379" s="1">
        <v>21.0</v>
      </c>
      <c r="E379" s="1">
        <v>890.0</v>
      </c>
      <c r="F379" s="1">
        <v>1136.0</v>
      </c>
      <c r="G379" s="1">
        <v>2848.0</v>
      </c>
      <c r="H379" s="1">
        <v>0.3125</v>
      </c>
      <c r="I379" s="1">
        <v>0.3989</v>
      </c>
      <c r="J379" s="1">
        <v>-0.0864</v>
      </c>
      <c r="K379" s="1">
        <v>1122.0</v>
      </c>
    </row>
    <row r="380">
      <c r="A380" s="1" t="s">
        <v>19</v>
      </c>
      <c r="B380" s="1" t="s">
        <v>1192</v>
      </c>
      <c r="C380" s="1" t="s">
        <v>48</v>
      </c>
      <c r="D380" s="1">
        <v>1.0</v>
      </c>
      <c r="E380" s="1">
        <v>1632.0</v>
      </c>
      <c r="F380" s="1">
        <v>1468.0</v>
      </c>
      <c r="G380" s="1">
        <v>2764.0</v>
      </c>
      <c r="H380" s="1">
        <v>0.5904</v>
      </c>
      <c r="I380" s="1">
        <v>0.5311</v>
      </c>
      <c r="J380" s="1">
        <v>0.0593</v>
      </c>
      <c r="K380" s="1">
        <v>1241.0</v>
      </c>
    </row>
    <row r="381">
      <c r="A381" s="1" t="s">
        <v>19</v>
      </c>
      <c r="B381" s="1" t="s">
        <v>1192</v>
      </c>
      <c r="C381" s="1" t="s">
        <v>48</v>
      </c>
      <c r="D381" s="1">
        <v>2.0</v>
      </c>
      <c r="E381" s="1">
        <v>1171.0</v>
      </c>
      <c r="F381" s="1">
        <v>1237.0</v>
      </c>
      <c r="G381" s="1">
        <v>2764.0</v>
      </c>
      <c r="H381" s="1">
        <v>0.4237</v>
      </c>
      <c r="I381" s="1">
        <v>0.4475</v>
      </c>
      <c r="J381" s="1">
        <v>-0.0239</v>
      </c>
      <c r="K381" s="1">
        <v>1201.0</v>
      </c>
    </row>
    <row r="382">
      <c r="A382" s="1" t="s">
        <v>19</v>
      </c>
      <c r="B382" s="1" t="s">
        <v>1192</v>
      </c>
      <c r="C382" s="1" t="s">
        <v>48</v>
      </c>
      <c r="D382" s="1">
        <v>3.0</v>
      </c>
      <c r="E382" s="1">
        <v>886.0</v>
      </c>
      <c r="F382" s="1">
        <v>1102.0</v>
      </c>
      <c r="G382" s="1">
        <v>2764.0</v>
      </c>
      <c r="H382" s="1">
        <v>0.3205</v>
      </c>
      <c r="I382" s="1">
        <v>0.3987</v>
      </c>
      <c r="J382" s="1">
        <v>-0.0781</v>
      </c>
      <c r="K382" s="1">
        <v>1187.0</v>
      </c>
    </row>
    <row r="383">
      <c r="A383" s="1" t="s">
        <v>19</v>
      </c>
      <c r="B383" s="1" t="s">
        <v>1192</v>
      </c>
      <c r="C383" s="1" t="s">
        <v>48</v>
      </c>
      <c r="D383" s="1">
        <v>4.0</v>
      </c>
      <c r="E383" s="1">
        <v>868.0</v>
      </c>
      <c r="F383" s="1">
        <v>977.0</v>
      </c>
      <c r="G383" s="1">
        <v>2764.0</v>
      </c>
      <c r="H383" s="1">
        <v>0.314</v>
      </c>
      <c r="I383" s="1">
        <v>0.3535</v>
      </c>
      <c r="J383" s="1">
        <v>-0.0394</v>
      </c>
      <c r="K383" s="1">
        <v>1176.0</v>
      </c>
    </row>
    <row r="384">
      <c r="A384" s="1" t="s">
        <v>19</v>
      </c>
      <c r="B384" s="1" t="s">
        <v>1192</v>
      </c>
      <c r="C384" s="1" t="s">
        <v>48</v>
      </c>
      <c r="D384" s="1">
        <v>5.0</v>
      </c>
      <c r="E384" s="1">
        <v>1498.0</v>
      </c>
      <c r="F384" s="1">
        <v>1276.0</v>
      </c>
      <c r="G384" s="1">
        <v>2764.0</v>
      </c>
      <c r="H384" s="1">
        <v>0.542</v>
      </c>
      <c r="I384" s="1">
        <v>0.4616</v>
      </c>
      <c r="J384" s="1">
        <v>0.0803</v>
      </c>
      <c r="K384" s="1">
        <v>1154.0</v>
      </c>
    </row>
    <row r="385">
      <c r="A385" s="1" t="s">
        <v>19</v>
      </c>
      <c r="B385" s="1" t="s">
        <v>1192</v>
      </c>
      <c r="C385" s="1" t="s">
        <v>48</v>
      </c>
      <c r="D385" s="1">
        <v>6.0</v>
      </c>
      <c r="E385" s="1">
        <v>1023.0</v>
      </c>
      <c r="F385" s="1">
        <v>1065.0</v>
      </c>
      <c r="G385" s="1">
        <v>2764.0</v>
      </c>
      <c r="H385" s="1">
        <v>0.3701</v>
      </c>
      <c r="I385" s="1">
        <v>0.3853</v>
      </c>
      <c r="J385" s="1">
        <v>-0.0152</v>
      </c>
      <c r="K385" s="1">
        <v>1148.0</v>
      </c>
    </row>
    <row r="386">
      <c r="A386" s="1" t="s">
        <v>19</v>
      </c>
      <c r="B386" s="1" t="s">
        <v>1192</v>
      </c>
      <c r="C386" s="1" t="s">
        <v>48</v>
      </c>
      <c r="D386" s="1">
        <v>7.0</v>
      </c>
      <c r="E386" s="1">
        <v>811.0</v>
      </c>
      <c r="F386" s="1">
        <v>1033.0</v>
      </c>
      <c r="G386" s="1">
        <v>2764.0</v>
      </c>
      <c r="H386" s="1">
        <v>0.2934</v>
      </c>
      <c r="I386" s="1">
        <v>0.3737</v>
      </c>
      <c r="J386" s="1">
        <v>-0.0803</v>
      </c>
      <c r="K386" s="1">
        <v>1122.0</v>
      </c>
    </row>
    <row r="387">
      <c r="A387" s="1" t="s">
        <v>19</v>
      </c>
      <c r="B387" s="1" t="s">
        <v>1192</v>
      </c>
      <c r="C387" s="1" t="s">
        <v>48</v>
      </c>
      <c r="D387" s="1">
        <v>8.0</v>
      </c>
      <c r="E387" s="1">
        <v>1674.0</v>
      </c>
      <c r="F387" s="1">
        <v>1396.0</v>
      </c>
      <c r="G387" s="1">
        <v>2764.0</v>
      </c>
      <c r="H387" s="1">
        <v>0.6056</v>
      </c>
      <c r="I387" s="1">
        <v>0.5051</v>
      </c>
      <c r="J387" s="1">
        <v>0.1006</v>
      </c>
      <c r="K387" s="1">
        <v>1214.0</v>
      </c>
    </row>
    <row r="388">
      <c r="A388" s="1" t="s">
        <v>19</v>
      </c>
      <c r="B388" s="1" t="s">
        <v>1192</v>
      </c>
      <c r="C388" s="1" t="s">
        <v>48</v>
      </c>
      <c r="D388" s="1">
        <v>9.0</v>
      </c>
      <c r="E388" s="1">
        <v>1150.0</v>
      </c>
      <c r="F388" s="1">
        <v>1154.0</v>
      </c>
      <c r="G388" s="1">
        <v>2764.0</v>
      </c>
      <c r="H388" s="1">
        <v>0.4161</v>
      </c>
      <c r="I388" s="1">
        <v>0.4175</v>
      </c>
      <c r="J388" s="1">
        <v>-0.0014</v>
      </c>
      <c r="K388" s="1">
        <v>1201.0</v>
      </c>
    </row>
    <row r="389">
      <c r="A389" s="1" t="s">
        <v>19</v>
      </c>
      <c r="B389" s="1" t="s">
        <v>1192</v>
      </c>
      <c r="C389" s="1" t="s">
        <v>48</v>
      </c>
      <c r="D389" s="1">
        <v>10.0</v>
      </c>
      <c r="E389" s="1">
        <v>908.0</v>
      </c>
      <c r="F389" s="1">
        <v>1004.0</v>
      </c>
      <c r="G389" s="1">
        <v>2764.0</v>
      </c>
      <c r="H389" s="1">
        <v>0.3285</v>
      </c>
      <c r="I389" s="1">
        <v>0.3632</v>
      </c>
      <c r="J389" s="1">
        <v>-0.0347</v>
      </c>
      <c r="K389" s="1">
        <v>1164.0</v>
      </c>
    </row>
    <row r="390">
      <c r="A390" s="1" t="s">
        <v>19</v>
      </c>
      <c r="B390" s="1" t="s">
        <v>1192</v>
      </c>
      <c r="C390" s="1" t="s">
        <v>48</v>
      </c>
      <c r="D390" s="1">
        <v>11.0</v>
      </c>
      <c r="E390" s="1">
        <v>837.0</v>
      </c>
      <c r="F390" s="1">
        <v>944.0</v>
      </c>
      <c r="G390" s="1">
        <v>2764.0</v>
      </c>
      <c r="H390" s="1">
        <v>0.3028</v>
      </c>
      <c r="I390" s="1">
        <v>0.3415</v>
      </c>
      <c r="J390" s="1">
        <v>-0.0387</v>
      </c>
      <c r="K390" s="1">
        <v>1148.0</v>
      </c>
    </row>
    <row r="391">
      <c r="A391" s="1" t="s">
        <v>19</v>
      </c>
      <c r="B391" s="1" t="s">
        <v>1192</v>
      </c>
      <c r="C391" s="1" t="s">
        <v>48</v>
      </c>
      <c r="D391" s="1">
        <v>12.0</v>
      </c>
      <c r="E391" s="1">
        <v>1570.0</v>
      </c>
      <c r="F391" s="1">
        <v>1392.0</v>
      </c>
      <c r="G391" s="1">
        <v>2764.0</v>
      </c>
      <c r="H391" s="1">
        <v>0.568</v>
      </c>
      <c r="I391" s="1">
        <v>0.5036</v>
      </c>
      <c r="J391" s="1">
        <v>0.0644</v>
      </c>
      <c r="K391" s="1">
        <v>1156.0</v>
      </c>
    </row>
    <row r="392">
      <c r="A392" s="1" t="s">
        <v>19</v>
      </c>
      <c r="B392" s="1" t="s">
        <v>1192</v>
      </c>
      <c r="C392" s="1" t="s">
        <v>48</v>
      </c>
      <c r="D392" s="1">
        <v>13.0</v>
      </c>
      <c r="E392" s="1">
        <v>1082.0</v>
      </c>
      <c r="F392" s="1">
        <v>1144.0</v>
      </c>
      <c r="G392" s="1">
        <v>2764.0</v>
      </c>
      <c r="H392" s="1">
        <v>0.3915</v>
      </c>
      <c r="I392" s="1">
        <v>0.4139</v>
      </c>
      <c r="J392" s="1">
        <v>-0.0224</v>
      </c>
      <c r="K392" s="1">
        <v>1119.0</v>
      </c>
    </row>
    <row r="393">
      <c r="A393" s="1" t="s">
        <v>19</v>
      </c>
      <c r="B393" s="1" t="s">
        <v>1192</v>
      </c>
      <c r="C393" s="1" t="s">
        <v>48</v>
      </c>
      <c r="D393" s="1">
        <v>14.0</v>
      </c>
      <c r="E393" s="1">
        <v>854.0</v>
      </c>
      <c r="F393" s="1">
        <v>1108.0</v>
      </c>
      <c r="G393" s="1">
        <v>2764.0</v>
      </c>
      <c r="H393" s="1">
        <v>0.309</v>
      </c>
      <c r="I393" s="1">
        <v>0.4009</v>
      </c>
      <c r="J393" s="1">
        <v>-0.0919</v>
      </c>
      <c r="K393" s="1">
        <v>1132.0</v>
      </c>
    </row>
    <row r="394">
      <c r="A394" s="1" t="s">
        <v>19</v>
      </c>
      <c r="B394" s="1" t="s">
        <v>1192</v>
      </c>
      <c r="C394" s="1" t="s">
        <v>48</v>
      </c>
      <c r="D394" s="1">
        <v>15.0</v>
      </c>
      <c r="E394" s="1">
        <v>1829.0</v>
      </c>
      <c r="F394" s="1">
        <v>1412.0</v>
      </c>
      <c r="G394" s="1">
        <v>2764.0</v>
      </c>
      <c r="H394" s="1">
        <v>0.6617</v>
      </c>
      <c r="I394" s="1">
        <v>0.5109</v>
      </c>
      <c r="J394" s="1">
        <v>0.1509</v>
      </c>
      <c r="K394" s="1">
        <v>1258.0</v>
      </c>
    </row>
    <row r="395">
      <c r="A395" s="1" t="s">
        <v>19</v>
      </c>
      <c r="B395" s="1" t="s">
        <v>1192</v>
      </c>
      <c r="C395" s="1" t="s">
        <v>48</v>
      </c>
      <c r="D395" s="1">
        <v>16.0</v>
      </c>
      <c r="E395" s="1">
        <v>1205.0</v>
      </c>
      <c r="F395" s="1">
        <v>1263.0</v>
      </c>
      <c r="G395" s="1">
        <v>2764.0</v>
      </c>
      <c r="H395" s="1">
        <v>0.436</v>
      </c>
      <c r="I395" s="1">
        <v>0.4569</v>
      </c>
      <c r="J395" s="1">
        <v>-0.021</v>
      </c>
      <c r="K395" s="1">
        <v>1210.0</v>
      </c>
    </row>
    <row r="396">
      <c r="A396" s="1" t="s">
        <v>19</v>
      </c>
      <c r="B396" s="1" t="s">
        <v>1192</v>
      </c>
      <c r="C396" s="1" t="s">
        <v>48</v>
      </c>
      <c r="D396" s="1">
        <v>17.0</v>
      </c>
      <c r="E396" s="1">
        <v>946.0</v>
      </c>
      <c r="F396" s="1">
        <v>1033.0</v>
      </c>
      <c r="G396" s="1">
        <v>2764.0</v>
      </c>
      <c r="H396" s="1">
        <v>0.3423</v>
      </c>
      <c r="I396" s="1">
        <v>0.3737</v>
      </c>
      <c r="J396" s="1">
        <v>-0.0315</v>
      </c>
      <c r="K396" s="1">
        <v>1193.0</v>
      </c>
    </row>
    <row r="397">
      <c r="A397" s="1" t="s">
        <v>19</v>
      </c>
      <c r="B397" s="1" t="s">
        <v>1192</v>
      </c>
      <c r="C397" s="1" t="s">
        <v>48</v>
      </c>
      <c r="D397" s="1">
        <v>18.0</v>
      </c>
      <c r="E397" s="1">
        <v>868.0</v>
      </c>
      <c r="F397" s="1">
        <v>937.0</v>
      </c>
      <c r="G397" s="1">
        <v>2764.0</v>
      </c>
      <c r="H397" s="1">
        <v>0.314</v>
      </c>
      <c r="I397" s="1">
        <v>0.339</v>
      </c>
      <c r="J397" s="1">
        <v>-0.025</v>
      </c>
      <c r="K397" s="1">
        <v>1148.0</v>
      </c>
    </row>
    <row r="398">
      <c r="A398" s="1" t="s">
        <v>19</v>
      </c>
      <c r="B398" s="1" t="s">
        <v>1192</v>
      </c>
      <c r="C398" s="1" t="s">
        <v>48</v>
      </c>
      <c r="D398" s="1">
        <v>19.0</v>
      </c>
      <c r="E398" s="1">
        <v>1309.0</v>
      </c>
      <c r="F398" s="1">
        <v>1261.0</v>
      </c>
      <c r="G398" s="1">
        <v>2764.0</v>
      </c>
      <c r="H398" s="1">
        <v>0.4736</v>
      </c>
      <c r="I398" s="1">
        <v>0.4562</v>
      </c>
      <c r="J398" s="1">
        <v>0.0174</v>
      </c>
      <c r="K398" s="1">
        <v>1154.0</v>
      </c>
    </row>
    <row r="399">
      <c r="A399" s="1" t="s">
        <v>19</v>
      </c>
      <c r="B399" s="1" t="s">
        <v>1192</v>
      </c>
      <c r="C399" s="1" t="s">
        <v>48</v>
      </c>
      <c r="D399" s="1">
        <v>20.0</v>
      </c>
      <c r="E399" s="1">
        <v>813.0</v>
      </c>
      <c r="F399" s="1">
        <v>944.0</v>
      </c>
      <c r="G399" s="1">
        <v>2764.0</v>
      </c>
      <c r="H399" s="1">
        <v>0.2941</v>
      </c>
      <c r="I399" s="1">
        <v>0.3415</v>
      </c>
      <c r="J399" s="1">
        <v>-0.0474</v>
      </c>
      <c r="K399" s="1">
        <v>1073.0</v>
      </c>
    </row>
    <row r="400">
      <c r="A400" s="1" t="s">
        <v>19</v>
      </c>
      <c r="B400" s="1" t="s">
        <v>1192</v>
      </c>
      <c r="C400" s="1" t="s">
        <v>48</v>
      </c>
      <c r="D400" s="1">
        <v>21.0</v>
      </c>
      <c r="E400" s="1">
        <v>698.0</v>
      </c>
      <c r="F400" s="1">
        <v>928.0</v>
      </c>
      <c r="G400" s="1">
        <v>2764.0</v>
      </c>
      <c r="H400" s="1">
        <v>0.2525</v>
      </c>
      <c r="I400" s="1">
        <v>0.3357</v>
      </c>
      <c r="J400" s="1">
        <v>-0.0832</v>
      </c>
      <c r="K400" s="1">
        <v>1122.0</v>
      </c>
    </row>
    <row r="401">
      <c r="A401" s="1" t="s">
        <v>19</v>
      </c>
      <c r="B401" s="1" t="s">
        <v>1192</v>
      </c>
      <c r="C401" s="1" t="s">
        <v>50</v>
      </c>
      <c r="D401" s="1">
        <v>1.0</v>
      </c>
      <c r="E401" s="1">
        <v>757.0</v>
      </c>
      <c r="F401" s="1">
        <v>714.0</v>
      </c>
      <c r="G401" s="1">
        <v>2428.0</v>
      </c>
      <c r="H401" s="1">
        <v>0.3118</v>
      </c>
      <c r="I401" s="1">
        <v>0.2941</v>
      </c>
      <c r="J401" s="1">
        <v>0.0177</v>
      </c>
      <c r="K401" s="1">
        <v>1241.0</v>
      </c>
    </row>
    <row r="402">
      <c r="A402" s="1" t="s">
        <v>19</v>
      </c>
      <c r="B402" s="1" t="s">
        <v>1192</v>
      </c>
      <c r="C402" s="1" t="s">
        <v>50</v>
      </c>
      <c r="D402" s="1">
        <v>2.0</v>
      </c>
      <c r="E402" s="1">
        <v>401.0</v>
      </c>
      <c r="F402" s="1">
        <v>502.0</v>
      </c>
      <c r="G402" s="1">
        <v>2428.0</v>
      </c>
      <c r="H402" s="1">
        <v>0.1652</v>
      </c>
      <c r="I402" s="1">
        <v>0.2068</v>
      </c>
      <c r="J402" s="1">
        <v>-0.0416</v>
      </c>
      <c r="K402" s="1">
        <v>1201.0</v>
      </c>
    </row>
    <row r="403">
      <c r="A403" s="1" t="s">
        <v>19</v>
      </c>
      <c r="B403" s="1" t="s">
        <v>1192</v>
      </c>
      <c r="C403" s="1" t="s">
        <v>50</v>
      </c>
      <c r="D403" s="1">
        <v>3.0</v>
      </c>
      <c r="E403" s="1">
        <v>297.0</v>
      </c>
      <c r="F403" s="1">
        <v>486.0</v>
      </c>
      <c r="G403" s="1">
        <v>2428.0</v>
      </c>
      <c r="H403" s="1">
        <v>0.1223</v>
      </c>
      <c r="I403" s="1">
        <v>0.2002</v>
      </c>
      <c r="J403" s="1">
        <v>-0.0778</v>
      </c>
      <c r="K403" s="1">
        <v>1187.0</v>
      </c>
    </row>
    <row r="404">
      <c r="A404" s="1" t="s">
        <v>19</v>
      </c>
      <c r="B404" s="1" t="s">
        <v>1192</v>
      </c>
      <c r="C404" s="1" t="s">
        <v>50</v>
      </c>
      <c r="D404" s="1">
        <v>4.0</v>
      </c>
      <c r="E404" s="1">
        <v>322.0</v>
      </c>
      <c r="F404" s="1">
        <v>453.0</v>
      </c>
      <c r="G404" s="1">
        <v>2428.0</v>
      </c>
      <c r="H404" s="1">
        <v>0.1326</v>
      </c>
      <c r="I404" s="1">
        <v>0.1866</v>
      </c>
      <c r="J404" s="1">
        <v>-0.054</v>
      </c>
      <c r="K404" s="1">
        <v>1176.0</v>
      </c>
    </row>
    <row r="405">
      <c r="A405" s="1" t="s">
        <v>19</v>
      </c>
      <c r="B405" s="1" t="s">
        <v>1192</v>
      </c>
      <c r="C405" s="1" t="s">
        <v>50</v>
      </c>
      <c r="D405" s="1">
        <v>5.0</v>
      </c>
      <c r="E405" s="1">
        <v>906.0</v>
      </c>
      <c r="F405" s="1">
        <v>706.0</v>
      </c>
      <c r="G405" s="1">
        <v>2428.0</v>
      </c>
      <c r="H405" s="1">
        <v>0.3731</v>
      </c>
      <c r="I405" s="1">
        <v>0.2908</v>
      </c>
      <c r="J405" s="1">
        <v>0.0824</v>
      </c>
      <c r="K405" s="1">
        <v>1154.0</v>
      </c>
    </row>
    <row r="406">
      <c r="A406" s="1" t="s">
        <v>19</v>
      </c>
      <c r="B406" s="1" t="s">
        <v>1192</v>
      </c>
      <c r="C406" s="1" t="s">
        <v>50</v>
      </c>
      <c r="D406" s="1">
        <v>6.0</v>
      </c>
      <c r="E406" s="1">
        <v>447.0</v>
      </c>
      <c r="F406" s="1">
        <v>528.0</v>
      </c>
      <c r="G406" s="1">
        <v>2428.0</v>
      </c>
      <c r="H406" s="1">
        <v>0.1841</v>
      </c>
      <c r="I406" s="1">
        <v>0.2175</v>
      </c>
      <c r="J406" s="1">
        <v>-0.0334</v>
      </c>
      <c r="K406" s="1">
        <v>1148.0</v>
      </c>
    </row>
    <row r="407">
      <c r="A407" s="1" t="s">
        <v>19</v>
      </c>
      <c r="B407" s="1" t="s">
        <v>1192</v>
      </c>
      <c r="C407" s="1" t="s">
        <v>50</v>
      </c>
      <c r="D407" s="1">
        <v>7.0</v>
      </c>
      <c r="E407" s="1">
        <v>303.0</v>
      </c>
      <c r="F407" s="1">
        <v>467.0</v>
      </c>
      <c r="G407" s="1">
        <v>2428.0</v>
      </c>
      <c r="H407" s="1">
        <v>0.1248</v>
      </c>
      <c r="I407" s="1">
        <v>0.1923</v>
      </c>
      <c r="J407" s="1">
        <v>-0.0675</v>
      </c>
      <c r="K407" s="1">
        <v>1122.0</v>
      </c>
    </row>
    <row r="408">
      <c r="A408" s="1" t="s">
        <v>19</v>
      </c>
      <c r="B408" s="1" t="s">
        <v>1192</v>
      </c>
      <c r="C408" s="1" t="s">
        <v>50</v>
      </c>
      <c r="D408" s="1">
        <v>8.0</v>
      </c>
      <c r="E408" s="1">
        <v>678.0</v>
      </c>
      <c r="F408" s="1">
        <v>629.0</v>
      </c>
      <c r="G408" s="1">
        <v>2428.0</v>
      </c>
      <c r="H408" s="1">
        <v>0.2792</v>
      </c>
      <c r="I408" s="1">
        <v>0.2591</v>
      </c>
      <c r="J408" s="1">
        <v>0.0202</v>
      </c>
      <c r="K408" s="1">
        <v>1214.0</v>
      </c>
    </row>
    <row r="409">
      <c r="A409" s="1" t="s">
        <v>19</v>
      </c>
      <c r="B409" s="1" t="s">
        <v>1192</v>
      </c>
      <c r="C409" s="1" t="s">
        <v>50</v>
      </c>
      <c r="D409" s="1">
        <v>9.0</v>
      </c>
      <c r="E409" s="1">
        <v>393.0</v>
      </c>
      <c r="F409" s="1">
        <v>499.0</v>
      </c>
      <c r="G409" s="1">
        <v>2428.0</v>
      </c>
      <c r="H409" s="1">
        <v>0.1619</v>
      </c>
      <c r="I409" s="1">
        <v>0.2055</v>
      </c>
      <c r="J409" s="1">
        <v>-0.0437</v>
      </c>
      <c r="K409" s="1">
        <v>1201.0</v>
      </c>
    </row>
    <row r="410">
      <c r="A410" s="1" t="s">
        <v>19</v>
      </c>
      <c r="B410" s="1" t="s">
        <v>1192</v>
      </c>
      <c r="C410" s="1" t="s">
        <v>50</v>
      </c>
      <c r="D410" s="1">
        <v>10.0</v>
      </c>
      <c r="E410" s="1">
        <v>302.0</v>
      </c>
      <c r="F410" s="1">
        <v>413.0</v>
      </c>
      <c r="G410" s="1">
        <v>2428.0</v>
      </c>
      <c r="H410" s="1">
        <v>0.1244</v>
      </c>
      <c r="I410" s="1">
        <v>0.1701</v>
      </c>
      <c r="J410" s="1">
        <v>-0.0457</v>
      </c>
      <c r="K410" s="1">
        <v>1164.0</v>
      </c>
    </row>
    <row r="411">
      <c r="A411" s="1" t="s">
        <v>19</v>
      </c>
      <c r="B411" s="1" t="s">
        <v>1192</v>
      </c>
      <c r="C411" s="1" t="s">
        <v>50</v>
      </c>
      <c r="D411" s="1">
        <v>11.0</v>
      </c>
      <c r="E411" s="1">
        <v>366.0</v>
      </c>
      <c r="F411" s="1">
        <v>432.0</v>
      </c>
      <c r="G411" s="1">
        <v>2428.0</v>
      </c>
      <c r="H411" s="1">
        <v>0.1507</v>
      </c>
      <c r="I411" s="1">
        <v>0.1779</v>
      </c>
      <c r="J411" s="1">
        <v>-0.0272</v>
      </c>
      <c r="K411" s="1">
        <v>1148.0</v>
      </c>
    </row>
    <row r="412">
      <c r="A412" s="1" t="s">
        <v>19</v>
      </c>
      <c r="B412" s="1" t="s">
        <v>1192</v>
      </c>
      <c r="C412" s="1" t="s">
        <v>50</v>
      </c>
      <c r="D412" s="1">
        <v>12.0</v>
      </c>
      <c r="E412" s="1">
        <v>916.0</v>
      </c>
      <c r="F412" s="1">
        <v>718.0</v>
      </c>
      <c r="G412" s="1">
        <v>2428.0</v>
      </c>
      <c r="H412" s="1">
        <v>0.3773</v>
      </c>
      <c r="I412" s="1">
        <v>0.2957</v>
      </c>
      <c r="J412" s="1">
        <v>0.0815</v>
      </c>
      <c r="K412" s="1">
        <v>1156.0</v>
      </c>
    </row>
    <row r="413">
      <c r="A413" s="1" t="s">
        <v>19</v>
      </c>
      <c r="B413" s="1" t="s">
        <v>1192</v>
      </c>
      <c r="C413" s="1" t="s">
        <v>50</v>
      </c>
      <c r="D413" s="1">
        <v>13.0</v>
      </c>
      <c r="E413" s="1">
        <v>508.0</v>
      </c>
      <c r="F413" s="1">
        <v>589.0</v>
      </c>
      <c r="G413" s="1">
        <v>2428.0</v>
      </c>
      <c r="H413" s="1">
        <v>0.2092</v>
      </c>
      <c r="I413" s="1">
        <v>0.2426</v>
      </c>
      <c r="J413" s="1">
        <v>-0.0334</v>
      </c>
      <c r="K413" s="1">
        <v>1119.0</v>
      </c>
    </row>
    <row r="414">
      <c r="A414" s="1" t="s">
        <v>19</v>
      </c>
      <c r="B414" s="1" t="s">
        <v>1192</v>
      </c>
      <c r="C414" s="1" t="s">
        <v>50</v>
      </c>
      <c r="D414" s="1">
        <v>14.0</v>
      </c>
      <c r="E414" s="1">
        <v>380.0</v>
      </c>
      <c r="F414" s="1">
        <v>543.0</v>
      </c>
      <c r="G414" s="1">
        <v>2428.0</v>
      </c>
      <c r="H414" s="1">
        <v>0.1565</v>
      </c>
      <c r="I414" s="1">
        <v>0.2236</v>
      </c>
      <c r="J414" s="1">
        <v>-0.0671</v>
      </c>
      <c r="K414" s="1">
        <v>1132.0</v>
      </c>
    </row>
    <row r="415">
      <c r="A415" s="1" t="s">
        <v>19</v>
      </c>
      <c r="B415" s="1" t="s">
        <v>1192</v>
      </c>
      <c r="C415" s="1" t="s">
        <v>50</v>
      </c>
      <c r="D415" s="1">
        <v>15.0</v>
      </c>
      <c r="E415" s="1">
        <v>706.0</v>
      </c>
      <c r="F415" s="1">
        <v>655.0</v>
      </c>
      <c r="G415" s="1">
        <v>2428.0</v>
      </c>
      <c r="H415" s="1">
        <v>0.2908</v>
      </c>
      <c r="I415" s="1">
        <v>0.2698</v>
      </c>
      <c r="J415" s="1">
        <v>0.021</v>
      </c>
      <c r="K415" s="1">
        <v>1258.0</v>
      </c>
    </row>
    <row r="416">
      <c r="A416" s="1" t="s">
        <v>19</v>
      </c>
      <c r="B416" s="1" t="s">
        <v>1192</v>
      </c>
      <c r="C416" s="1" t="s">
        <v>50</v>
      </c>
      <c r="D416" s="1">
        <v>16.0</v>
      </c>
      <c r="E416" s="1">
        <v>444.0</v>
      </c>
      <c r="F416" s="1">
        <v>608.0</v>
      </c>
      <c r="G416" s="1">
        <v>2428.0</v>
      </c>
      <c r="H416" s="1">
        <v>0.1829</v>
      </c>
      <c r="I416" s="1">
        <v>0.2504</v>
      </c>
      <c r="J416" s="1">
        <v>-0.0675</v>
      </c>
      <c r="K416" s="1">
        <v>1210.0</v>
      </c>
    </row>
    <row r="417">
      <c r="A417" s="1" t="s">
        <v>19</v>
      </c>
      <c r="B417" s="1" t="s">
        <v>1192</v>
      </c>
      <c r="C417" s="1" t="s">
        <v>50</v>
      </c>
      <c r="D417" s="1">
        <v>17.0</v>
      </c>
      <c r="E417" s="1">
        <v>355.0</v>
      </c>
      <c r="F417" s="1">
        <v>468.0</v>
      </c>
      <c r="G417" s="1">
        <v>2428.0</v>
      </c>
      <c r="H417" s="1">
        <v>0.1462</v>
      </c>
      <c r="I417" s="1">
        <v>0.1928</v>
      </c>
      <c r="J417" s="1">
        <v>-0.0465</v>
      </c>
      <c r="K417" s="1">
        <v>1193.0</v>
      </c>
    </row>
    <row r="418">
      <c r="A418" s="1" t="s">
        <v>19</v>
      </c>
      <c r="B418" s="1" t="s">
        <v>1192</v>
      </c>
      <c r="C418" s="1" t="s">
        <v>50</v>
      </c>
      <c r="D418" s="1">
        <v>18.0</v>
      </c>
      <c r="E418" s="1">
        <v>367.0</v>
      </c>
      <c r="F418" s="1">
        <v>473.0</v>
      </c>
      <c r="G418" s="1">
        <v>2428.0</v>
      </c>
      <c r="H418" s="1">
        <v>0.1512</v>
      </c>
      <c r="I418" s="1">
        <v>0.1948</v>
      </c>
      <c r="J418" s="1">
        <v>-0.0437</v>
      </c>
      <c r="K418" s="1">
        <v>1148.0</v>
      </c>
    </row>
    <row r="419">
      <c r="A419" s="1" t="s">
        <v>19</v>
      </c>
      <c r="B419" s="1" t="s">
        <v>1192</v>
      </c>
      <c r="C419" s="1" t="s">
        <v>50</v>
      </c>
      <c r="D419" s="1">
        <v>19.0</v>
      </c>
      <c r="E419" s="1">
        <v>873.0</v>
      </c>
      <c r="F419" s="1">
        <v>774.0</v>
      </c>
      <c r="G419" s="1">
        <v>2428.0</v>
      </c>
      <c r="H419" s="1">
        <v>0.3596</v>
      </c>
      <c r="I419" s="1">
        <v>0.3188</v>
      </c>
      <c r="J419" s="1">
        <v>0.0408</v>
      </c>
      <c r="K419" s="1">
        <v>1154.0</v>
      </c>
    </row>
    <row r="420">
      <c r="A420" s="1" t="s">
        <v>19</v>
      </c>
      <c r="B420" s="1" t="s">
        <v>1192</v>
      </c>
      <c r="C420" s="1" t="s">
        <v>50</v>
      </c>
      <c r="D420" s="1">
        <v>20.0</v>
      </c>
      <c r="E420" s="1">
        <v>497.0</v>
      </c>
      <c r="F420" s="1">
        <v>566.0</v>
      </c>
      <c r="G420" s="1">
        <v>2428.0</v>
      </c>
      <c r="H420" s="1">
        <v>0.2047</v>
      </c>
      <c r="I420" s="1">
        <v>0.2331</v>
      </c>
      <c r="J420" s="1">
        <v>-0.0284</v>
      </c>
      <c r="K420" s="1">
        <v>1073.0</v>
      </c>
    </row>
    <row r="421">
      <c r="A421" s="1" t="s">
        <v>19</v>
      </c>
      <c r="B421" s="1" t="s">
        <v>1192</v>
      </c>
      <c r="C421" s="1" t="s">
        <v>50</v>
      </c>
      <c r="D421" s="1">
        <v>21.0</v>
      </c>
      <c r="E421" s="1">
        <v>357.0</v>
      </c>
      <c r="F421" s="1">
        <v>527.0</v>
      </c>
      <c r="G421" s="1">
        <v>2428.0</v>
      </c>
      <c r="H421" s="1">
        <v>0.147</v>
      </c>
      <c r="I421" s="1">
        <v>0.2171</v>
      </c>
      <c r="J421" s="1">
        <v>-0.07</v>
      </c>
      <c r="K421" s="1">
        <v>1122.0</v>
      </c>
    </row>
    <row r="422">
      <c r="A422" s="1" t="s">
        <v>19</v>
      </c>
      <c r="B422" s="1" t="s">
        <v>1192</v>
      </c>
      <c r="C422" s="1" t="s">
        <v>1209</v>
      </c>
      <c r="D422" s="1">
        <v>1.0</v>
      </c>
      <c r="E422" s="1">
        <v>860.0</v>
      </c>
      <c r="F422" s="1">
        <v>943.0</v>
      </c>
      <c r="G422" s="1">
        <v>569.0</v>
      </c>
      <c r="H422" s="1">
        <v>1.5114</v>
      </c>
      <c r="I422" s="1">
        <v>1.6573</v>
      </c>
      <c r="J422" s="1">
        <v>-0.1459</v>
      </c>
      <c r="K422" s="1">
        <v>1241.0</v>
      </c>
    </row>
    <row r="423">
      <c r="A423" s="1" t="s">
        <v>19</v>
      </c>
      <c r="B423" s="1" t="s">
        <v>1192</v>
      </c>
      <c r="C423" s="1" t="s">
        <v>1209</v>
      </c>
      <c r="D423" s="1">
        <v>2.0</v>
      </c>
      <c r="E423" s="1">
        <v>750.0</v>
      </c>
      <c r="F423" s="1">
        <v>705.0</v>
      </c>
      <c r="G423" s="1">
        <v>569.0</v>
      </c>
      <c r="H423" s="1">
        <v>1.3181</v>
      </c>
      <c r="I423" s="1">
        <v>1.239</v>
      </c>
      <c r="J423" s="1">
        <v>0.0791</v>
      </c>
      <c r="K423" s="1">
        <v>1201.0</v>
      </c>
    </row>
    <row r="424">
      <c r="A424" s="1" t="s">
        <v>19</v>
      </c>
      <c r="B424" s="1" t="s">
        <v>1192</v>
      </c>
      <c r="C424" s="1" t="s">
        <v>1209</v>
      </c>
      <c r="D424" s="1">
        <v>3.0</v>
      </c>
      <c r="E424" s="1">
        <v>620.0</v>
      </c>
      <c r="F424" s="1">
        <v>672.0</v>
      </c>
      <c r="G424" s="1">
        <v>569.0</v>
      </c>
      <c r="H424" s="1">
        <v>1.0896</v>
      </c>
      <c r="I424" s="1">
        <v>1.181</v>
      </c>
      <c r="J424" s="1">
        <v>-0.0914</v>
      </c>
      <c r="K424" s="1">
        <v>1187.0</v>
      </c>
    </row>
    <row r="425">
      <c r="A425" s="1" t="s">
        <v>19</v>
      </c>
      <c r="B425" s="1" t="s">
        <v>1192</v>
      </c>
      <c r="C425" s="1" t="s">
        <v>1209</v>
      </c>
      <c r="D425" s="1">
        <v>4.0</v>
      </c>
      <c r="E425" s="1">
        <v>815.0</v>
      </c>
      <c r="F425" s="1">
        <v>713.0</v>
      </c>
      <c r="G425" s="1">
        <v>569.0</v>
      </c>
      <c r="H425" s="1">
        <v>1.4323</v>
      </c>
      <c r="I425" s="1">
        <v>1.2531</v>
      </c>
      <c r="J425" s="1">
        <v>0.1793</v>
      </c>
      <c r="K425" s="1">
        <v>1176.0</v>
      </c>
    </row>
    <row r="426">
      <c r="A426" s="1" t="s">
        <v>19</v>
      </c>
      <c r="B426" s="1" t="s">
        <v>1192</v>
      </c>
      <c r="C426" s="1" t="s">
        <v>1209</v>
      </c>
      <c r="D426" s="1">
        <v>5.0</v>
      </c>
      <c r="E426" s="1">
        <v>690.0</v>
      </c>
      <c r="F426" s="1">
        <v>772.0</v>
      </c>
      <c r="G426" s="1">
        <v>569.0</v>
      </c>
      <c r="H426" s="1">
        <v>1.2127</v>
      </c>
      <c r="I426" s="1">
        <v>1.3568</v>
      </c>
      <c r="J426" s="1">
        <v>-0.1441</v>
      </c>
      <c r="K426" s="1">
        <v>1154.0</v>
      </c>
    </row>
    <row r="427">
      <c r="A427" s="1" t="s">
        <v>19</v>
      </c>
      <c r="B427" s="1" t="s">
        <v>1192</v>
      </c>
      <c r="C427" s="1" t="s">
        <v>1209</v>
      </c>
      <c r="D427" s="1">
        <v>6.0</v>
      </c>
      <c r="E427" s="1">
        <v>660.0</v>
      </c>
      <c r="F427" s="1">
        <v>483.0</v>
      </c>
      <c r="G427" s="1">
        <v>569.0</v>
      </c>
      <c r="H427" s="1">
        <v>1.1599</v>
      </c>
      <c r="I427" s="1">
        <v>0.8489</v>
      </c>
      <c r="J427" s="1">
        <v>0.3111</v>
      </c>
      <c r="K427" s="1">
        <v>1148.0</v>
      </c>
    </row>
    <row r="428">
      <c r="A428" s="1" t="s">
        <v>19</v>
      </c>
      <c r="B428" s="1" t="s">
        <v>1192</v>
      </c>
      <c r="C428" s="1" t="s">
        <v>1209</v>
      </c>
      <c r="D428" s="1">
        <v>7.0</v>
      </c>
      <c r="E428" s="1">
        <v>620.0</v>
      </c>
      <c r="F428" s="1">
        <v>700.0</v>
      </c>
      <c r="G428" s="1">
        <v>569.0</v>
      </c>
      <c r="H428" s="1">
        <v>1.0896</v>
      </c>
      <c r="I428" s="1">
        <v>1.2302</v>
      </c>
      <c r="J428" s="1">
        <v>-0.1406</v>
      </c>
      <c r="K428" s="1">
        <v>1122.0</v>
      </c>
    </row>
    <row r="429">
      <c r="A429" s="1" t="s">
        <v>19</v>
      </c>
      <c r="B429" s="1" t="s">
        <v>1192</v>
      </c>
      <c r="C429" s="1" t="s">
        <v>1209</v>
      </c>
      <c r="D429" s="1">
        <v>8.0</v>
      </c>
      <c r="E429" s="1">
        <v>740.0</v>
      </c>
      <c r="F429" s="1">
        <v>844.0</v>
      </c>
      <c r="G429" s="1">
        <v>569.0</v>
      </c>
      <c r="H429" s="1">
        <v>1.3005</v>
      </c>
      <c r="I429" s="1">
        <v>1.4833</v>
      </c>
      <c r="J429" s="1">
        <v>-0.1828</v>
      </c>
      <c r="K429" s="1">
        <v>1214.0</v>
      </c>
    </row>
    <row r="430">
      <c r="A430" s="1" t="s">
        <v>19</v>
      </c>
      <c r="B430" s="1" t="s">
        <v>1192</v>
      </c>
      <c r="C430" s="1" t="s">
        <v>1209</v>
      </c>
      <c r="D430" s="1">
        <v>9.0</v>
      </c>
      <c r="E430" s="1">
        <v>765.0</v>
      </c>
      <c r="F430" s="1">
        <v>695.0</v>
      </c>
      <c r="G430" s="1">
        <v>569.0</v>
      </c>
      <c r="H430" s="1">
        <v>1.3445</v>
      </c>
      <c r="I430" s="1">
        <v>1.2214</v>
      </c>
      <c r="J430" s="1">
        <v>0.123</v>
      </c>
      <c r="K430" s="1">
        <v>1201.0</v>
      </c>
    </row>
    <row r="431">
      <c r="A431" s="1" t="s">
        <v>19</v>
      </c>
      <c r="B431" s="1" t="s">
        <v>1192</v>
      </c>
      <c r="C431" s="1" t="s">
        <v>1209</v>
      </c>
      <c r="D431" s="1">
        <v>10.0</v>
      </c>
      <c r="E431" s="1">
        <v>605.0</v>
      </c>
      <c r="F431" s="1">
        <v>636.0</v>
      </c>
      <c r="G431" s="1">
        <v>569.0</v>
      </c>
      <c r="H431" s="1">
        <v>1.0633</v>
      </c>
      <c r="I431" s="1">
        <v>1.1178</v>
      </c>
      <c r="J431" s="1">
        <v>-0.0545</v>
      </c>
      <c r="K431" s="1">
        <v>1164.0</v>
      </c>
    </row>
    <row r="432">
      <c r="A432" s="1" t="s">
        <v>19</v>
      </c>
      <c r="B432" s="1" t="s">
        <v>1192</v>
      </c>
      <c r="C432" s="1" t="s">
        <v>1209</v>
      </c>
      <c r="D432" s="1">
        <v>11.0</v>
      </c>
      <c r="E432" s="1">
        <v>695.0</v>
      </c>
      <c r="F432" s="1">
        <v>840.0</v>
      </c>
      <c r="G432" s="1">
        <v>569.0</v>
      </c>
      <c r="H432" s="1">
        <v>1.2214</v>
      </c>
      <c r="I432" s="1">
        <v>1.4763</v>
      </c>
      <c r="J432" s="1">
        <v>-0.2548</v>
      </c>
      <c r="K432" s="1">
        <v>1148.0</v>
      </c>
    </row>
    <row r="433">
      <c r="A433" s="1" t="s">
        <v>19</v>
      </c>
      <c r="B433" s="1" t="s">
        <v>1192</v>
      </c>
      <c r="C433" s="1" t="s">
        <v>1209</v>
      </c>
      <c r="D433" s="1">
        <v>12.0</v>
      </c>
      <c r="E433" s="1">
        <v>735.0</v>
      </c>
      <c r="F433" s="1">
        <v>747.0</v>
      </c>
      <c r="G433" s="1">
        <v>569.0</v>
      </c>
      <c r="H433" s="1">
        <v>1.2917</v>
      </c>
      <c r="I433" s="1">
        <v>1.3128</v>
      </c>
      <c r="J433" s="1">
        <v>-0.0211</v>
      </c>
      <c r="K433" s="1">
        <v>1156.0</v>
      </c>
    </row>
    <row r="434">
      <c r="A434" s="1" t="s">
        <v>19</v>
      </c>
      <c r="B434" s="1" t="s">
        <v>1192</v>
      </c>
      <c r="C434" s="1" t="s">
        <v>1209</v>
      </c>
      <c r="D434" s="1">
        <v>13.0</v>
      </c>
      <c r="E434" s="1">
        <v>1000.0</v>
      </c>
      <c r="F434" s="1">
        <v>812.0</v>
      </c>
      <c r="G434" s="1">
        <v>569.0</v>
      </c>
      <c r="H434" s="1">
        <v>1.7575</v>
      </c>
      <c r="I434" s="1">
        <v>1.4271</v>
      </c>
      <c r="J434" s="1">
        <v>0.3304</v>
      </c>
      <c r="K434" s="1">
        <v>1119.0</v>
      </c>
    </row>
    <row r="435">
      <c r="A435" s="1" t="s">
        <v>19</v>
      </c>
      <c r="B435" s="1" t="s">
        <v>1192</v>
      </c>
      <c r="C435" s="1" t="s">
        <v>1209</v>
      </c>
      <c r="D435" s="1">
        <v>14.0</v>
      </c>
      <c r="E435" s="1">
        <v>1130.0</v>
      </c>
      <c r="F435" s="1">
        <v>876.0</v>
      </c>
      <c r="G435" s="1">
        <v>569.0</v>
      </c>
      <c r="H435" s="1">
        <v>1.9859</v>
      </c>
      <c r="I435" s="1">
        <v>1.5395</v>
      </c>
      <c r="J435" s="1">
        <v>0.4464</v>
      </c>
      <c r="K435" s="1">
        <v>1132.0</v>
      </c>
    </row>
    <row r="436">
      <c r="A436" s="1" t="s">
        <v>19</v>
      </c>
      <c r="B436" s="1" t="s">
        <v>1192</v>
      </c>
      <c r="C436" s="1" t="s">
        <v>1209</v>
      </c>
      <c r="D436" s="1">
        <v>15.0</v>
      </c>
      <c r="E436" s="1">
        <v>1160.0</v>
      </c>
      <c r="F436" s="1">
        <v>751.0</v>
      </c>
      <c r="G436" s="1">
        <v>569.0</v>
      </c>
      <c r="H436" s="1">
        <v>2.0387</v>
      </c>
      <c r="I436" s="1">
        <v>1.3199</v>
      </c>
      <c r="J436" s="1">
        <v>0.7188</v>
      </c>
      <c r="K436" s="1">
        <v>1258.0</v>
      </c>
    </row>
    <row r="437">
      <c r="A437" s="1" t="s">
        <v>19</v>
      </c>
      <c r="B437" s="1" t="s">
        <v>1192</v>
      </c>
      <c r="C437" s="1" t="s">
        <v>1209</v>
      </c>
      <c r="D437" s="1">
        <v>16.0</v>
      </c>
      <c r="E437" s="1">
        <v>630.0</v>
      </c>
      <c r="F437" s="1">
        <v>760.0</v>
      </c>
      <c r="G437" s="1">
        <v>569.0</v>
      </c>
      <c r="H437" s="1">
        <v>1.1072</v>
      </c>
      <c r="I437" s="1">
        <v>1.3357</v>
      </c>
      <c r="J437" s="1">
        <v>-0.2285</v>
      </c>
      <c r="K437" s="1">
        <v>1210.0</v>
      </c>
    </row>
    <row r="438">
      <c r="A438" s="1" t="s">
        <v>19</v>
      </c>
      <c r="B438" s="1" t="s">
        <v>1192</v>
      </c>
      <c r="C438" s="1" t="s">
        <v>1209</v>
      </c>
      <c r="D438" s="1">
        <v>17.0</v>
      </c>
      <c r="E438" s="1">
        <v>615.0</v>
      </c>
      <c r="F438" s="1">
        <v>868.0</v>
      </c>
      <c r="G438" s="1">
        <v>569.0</v>
      </c>
      <c r="H438" s="1">
        <v>1.0808</v>
      </c>
      <c r="I438" s="1">
        <v>1.5255</v>
      </c>
      <c r="J438" s="1">
        <v>-0.4446</v>
      </c>
      <c r="K438" s="1">
        <v>1193.0</v>
      </c>
    </row>
    <row r="439">
      <c r="A439" s="1" t="s">
        <v>19</v>
      </c>
      <c r="B439" s="1" t="s">
        <v>1192</v>
      </c>
      <c r="C439" s="1" t="s">
        <v>1209</v>
      </c>
      <c r="D439" s="1">
        <v>18.0</v>
      </c>
      <c r="E439" s="1">
        <v>875.0</v>
      </c>
      <c r="F439" s="1">
        <v>881.0</v>
      </c>
      <c r="G439" s="1">
        <v>569.0</v>
      </c>
      <c r="H439" s="1">
        <v>1.5378</v>
      </c>
      <c r="I439" s="1">
        <v>1.5483</v>
      </c>
      <c r="J439" s="1">
        <v>-0.0105</v>
      </c>
      <c r="K439" s="1">
        <v>1148.0</v>
      </c>
    </row>
    <row r="440">
      <c r="A440" s="1" t="s">
        <v>19</v>
      </c>
      <c r="B440" s="1" t="s">
        <v>1192</v>
      </c>
      <c r="C440" s="1" t="s">
        <v>1209</v>
      </c>
      <c r="D440" s="1">
        <v>19.0</v>
      </c>
      <c r="E440" s="1">
        <v>940.0</v>
      </c>
      <c r="F440" s="1">
        <v>923.0</v>
      </c>
      <c r="G440" s="1">
        <v>569.0</v>
      </c>
      <c r="H440" s="1">
        <v>1.652</v>
      </c>
      <c r="I440" s="1">
        <v>1.6221</v>
      </c>
      <c r="J440" s="1">
        <v>0.0299</v>
      </c>
      <c r="K440" s="1">
        <v>1154.0</v>
      </c>
    </row>
    <row r="441">
      <c r="A441" s="1" t="s">
        <v>19</v>
      </c>
      <c r="B441" s="1" t="s">
        <v>1192</v>
      </c>
      <c r="C441" s="1" t="s">
        <v>1209</v>
      </c>
      <c r="D441" s="1">
        <v>20.0</v>
      </c>
      <c r="E441" s="1">
        <v>940.0</v>
      </c>
      <c r="F441" s="1">
        <v>1090.0</v>
      </c>
      <c r="G441" s="1">
        <v>569.0</v>
      </c>
      <c r="H441" s="1">
        <v>1.652</v>
      </c>
      <c r="I441" s="1">
        <v>1.9156</v>
      </c>
      <c r="J441" s="1">
        <v>-0.2636</v>
      </c>
      <c r="K441" s="1">
        <v>1073.0</v>
      </c>
    </row>
    <row r="442">
      <c r="A442" s="1" t="s">
        <v>19</v>
      </c>
      <c r="B442" s="1" t="s">
        <v>1192</v>
      </c>
      <c r="C442" s="1" t="s">
        <v>1209</v>
      </c>
      <c r="D442" s="1">
        <v>21.0</v>
      </c>
      <c r="E442" s="1">
        <v>835.0</v>
      </c>
      <c r="F442" s="1">
        <v>587.0</v>
      </c>
      <c r="G442" s="1">
        <v>569.0</v>
      </c>
      <c r="H442" s="1">
        <v>1.4675</v>
      </c>
      <c r="I442" s="1">
        <v>1.0316</v>
      </c>
      <c r="J442" s="1">
        <v>0.4359</v>
      </c>
      <c r="K442" s="1">
        <v>1122.0</v>
      </c>
    </row>
    <row r="443">
      <c r="A443" s="1" t="s">
        <v>19</v>
      </c>
      <c r="B443" s="1" t="s">
        <v>1192</v>
      </c>
      <c r="C443" s="1" t="s">
        <v>1210</v>
      </c>
      <c r="D443" s="1">
        <v>1.0</v>
      </c>
      <c r="E443" s="1">
        <v>3245.0</v>
      </c>
      <c r="F443" s="1">
        <v>1707.0</v>
      </c>
      <c r="G443" s="1">
        <v>1568.0</v>
      </c>
      <c r="H443" s="1">
        <v>2.0695</v>
      </c>
      <c r="I443" s="1">
        <v>1.0886</v>
      </c>
      <c r="J443" s="1">
        <v>0.9809</v>
      </c>
      <c r="K443" s="1">
        <v>1241.0</v>
      </c>
    </row>
    <row r="444">
      <c r="A444" s="1" t="s">
        <v>19</v>
      </c>
      <c r="B444" s="1" t="s">
        <v>1192</v>
      </c>
      <c r="C444" s="1" t="s">
        <v>1210</v>
      </c>
      <c r="D444" s="1">
        <v>2.0</v>
      </c>
      <c r="E444" s="1">
        <v>2870.0</v>
      </c>
      <c r="F444" s="1">
        <v>1305.0</v>
      </c>
      <c r="G444" s="1">
        <v>1568.0</v>
      </c>
      <c r="H444" s="1">
        <v>1.8304</v>
      </c>
      <c r="I444" s="1">
        <v>0.8323</v>
      </c>
      <c r="J444" s="1">
        <v>0.9981</v>
      </c>
      <c r="K444" s="1">
        <v>1201.0</v>
      </c>
    </row>
    <row r="445">
      <c r="A445" s="1" t="s">
        <v>19</v>
      </c>
      <c r="B445" s="1" t="s">
        <v>1192</v>
      </c>
      <c r="C445" s="1" t="s">
        <v>1210</v>
      </c>
      <c r="D445" s="1">
        <v>3.0</v>
      </c>
      <c r="E445" s="1">
        <v>2140.0</v>
      </c>
      <c r="F445" s="1">
        <v>1156.0</v>
      </c>
      <c r="G445" s="1">
        <v>1568.0</v>
      </c>
      <c r="H445" s="1">
        <v>1.3648</v>
      </c>
      <c r="I445" s="1">
        <v>0.7372</v>
      </c>
      <c r="J445" s="1">
        <v>0.6276</v>
      </c>
      <c r="K445" s="1">
        <v>1187.0</v>
      </c>
    </row>
    <row r="446">
      <c r="A446" s="1" t="s">
        <v>19</v>
      </c>
      <c r="B446" s="1" t="s">
        <v>1192</v>
      </c>
      <c r="C446" s="1" t="s">
        <v>1210</v>
      </c>
      <c r="D446" s="1">
        <v>4.0</v>
      </c>
      <c r="E446" s="1">
        <v>2970.0</v>
      </c>
      <c r="F446" s="1">
        <v>1256.0</v>
      </c>
      <c r="G446" s="1">
        <v>1568.0</v>
      </c>
      <c r="H446" s="1">
        <v>1.8941</v>
      </c>
      <c r="I446" s="1">
        <v>0.801</v>
      </c>
      <c r="J446" s="1">
        <v>1.0931</v>
      </c>
      <c r="K446" s="1">
        <v>1176.0</v>
      </c>
    </row>
    <row r="447">
      <c r="A447" s="1" t="s">
        <v>19</v>
      </c>
      <c r="B447" s="1" t="s">
        <v>1192</v>
      </c>
      <c r="C447" s="1" t="s">
        <v>1210</v>
      </c>
      <c r="D447" s="1">
        <v>5.0</v>
      </c>
      <c r="E447" s="1">
        <v>2970.0</v>
      </c>
      <c r="F447" s="1">
        <v>1383.0</v>
      </c>
      <c r="G447" s="1">
        <v>1568.0</v>
      </c>
      <c r="H447" s="1">
        <v>1.8941</v>
      </c>
      <c r="I447" s="1">
        <v>0.882</v>
      </c>
      <c r="J447" s="1">
        <v>1.0121</v>
      </c>
      <c r="K447" s="1">
        <v>1154.0</v>
      </c>
    </row>
    <row r="448">
      <c r="A448" s="1" t="s">
        <v>19</v>
      </c>
      <c r="B448" s="1" t="s">
        <v>1192</v>
      </c>
      <c r="C448" s="1" t="s">
        <v>1210</v>
      </c>
      <c r="D448" s="1">
        <v>6.0</v>
      </c>
      <c r="E448" s="1">
        <v>2860.0</v>
      </c>
      <c r="F448" s="1">
        <v>1093.0</v>
      </c>
      <c r="G448" s="1">
        <v>1568.0</v>
      </c>
      <c r="H448" s="1">
        <v>1.824</v>
      </c>
      <c r="I448" s="1">
        <v>0.6971</v>
      </c>
      <c r="J448" s="1">
        <v>1.1269</v>
      </c>
      <c r="K448" s="1">
        <v>1148.0</v>
      </c>
    </row>
    <row r="449">
      <c r="A449" s="1" t="s">
        <v>19</v>
      </c>
      <c r="B449" s="1" t="s">
        <v>1192</v>
      </c>
      <c r="C449" s="1" t="s">
        <v>1210</v>
      </c>
      <c r="D449" s="1">
        <v>7.0</v>
      </c>
      <c r="E449" s="1">
        <v>3820.0</v>
      </c>
      <c r="F449" s="1">
        <v>1575.0</v>
      </c>
      <c r="G449" s="1">
        <v>1568.0</v>
      </c>
      <c r="H449" s="1">
        <v>2.4362</v>
      </c>
      <c r="I449" s="1">
        <v>1.0045</v>
      </c>
      <c r="J449" s="1">
        <v>1.4318</v>
      </c>
      <c r="K449" s="1">
        <v>1122.0</v>
      </c>
    </row>
    <row r="450">
      <c r="A450" s="1" t="s">
        <v>19</v>
      </c>
      <c r="B450" s="1" t="s">
        <v>1192</v>
      </c>
      <c r="C450" s="1" t="s">
        <v>1210</v>
      </c>
      <c r="D450" s="1">
        <v>8.0</v>
      </c>
      <c r="E450" s="1">
        <v>2640.0</v>
      </c>
      <c r="F450" s="1">
        <v>1376.0</v>
      </c>
      <c r="G450" s="1">
        <v>1568.0</v>
      </c>
      <c r="H450" s="1">
        <v>1.6837</v>
      </c>
      <c r="I450" s="1">
        <v>0.8776</v>
      </c>
      <c r="J450" s="1">
        <v>0.8061</v>
      </c>
      <c r="K450" s="1">
        <v>1214.0</v>
      </c>
    </row>
    <row r="451">
      <c r="A451" s="1" t="s">
        <v>19</v>
      </c>
      <c r="B451" s="1" t="s">
        <v>1192</v>
      </c>
      <c r="C451" s="1" t="s">
        <v>1210</v>
      </c>
      <c r="D451" s="1">
        <v>9.0</v>
      </c>
      <c r="E451" s="1">
        <v>2080.0</v>
      </c>
      <c r="F451" s="1">
        <v>1116.0</v>
      </c>
      <c r="G451" s="1">
        <v>1568.0</v>
      </c>
      <c r="H451" s="1">
        <v>1.3265</v>
      </c>
      <c r="I451" s="1">
        <v>0.7117</v>
      </c>
      <c r="J451" s="1">
        <v>0.6148</v>
      </c>
      <c r="K451" s="1">
        <v>1201.0</v>
      </c>
    </row>
    <row r="452">
      <c r="A452" s="1" t="s">
        <v>19</v>
      </c>
      <c r="B452" s="1" t="s">
        <v>1192</v>
      </c>
      <c r="C452" s="1" t="s">
        <v>1210</v>
      </c>
      <c r="D452" s="1">
        <v>10.0</v>
      </c>
      <c r="E452" s="1">
        <v>2500.0</v>
      </c>
      <c r="F452" s="1">
        <v>1105.0</v>
      </c>
      <c r="G452" s="1">
        <v>1568.0</v>
      </c>
      <c r="H452" s="1">
        <v>1.5944</v>
      </c>
      <c r="I452" s="1">
        <v>0.7047</v>
      </c>
      <c r="J452" s="1">
        <v>0.8897</v>
      </c>
      <c r="K452" s="1">
        <v>1164.0</v>
      </c>
    </row>
    <row r="453">
      <c r="A453" s="1" t="s">
        <v>19</v>
      </c>
      <c r="B453" s="1" t="s">
        <v>1192</v>
      </c>
      <c r="C453" s="1" t="s">
        <v>1210</v>
      </c>
      <c r="D453" s="1">
        <v>11.0</v>
      </c>
      <c r="E453" s="1">
        <v>1975.0</v>
      </c>
      <c r="F453" s="1">
        <v>1157.0</v>
      </c>
      <c r="G453" s="1">
        <v>1568.0</v>
      </c>
      <c r="H453" s="1">
        <v>1.2596</v>
      </c>
      <c r="I453" s="1">
        <v>0.7379</v>
      </c>
      <c r="J453" s="1">
        <v>0.5217</v>
      </c>
      <c r="K453" s="1">
        <v>1148.0</v>
      </c>
    </row>
    <row r="454">
      <c r="A454" s="1" t="s">
        <v>19</v>
      </c>
      <c r="B454" s="1" t="s">
        <v>1192</v>
      </c>
      <c r="C454" s="1" t="s">
        <v>1210</v>
      </c>
      <c r="D454" s="1">
        <v>12.0</v>
      </c>
      <c r="E454" s="1">
        <v>2840.0</v>
      </c>
      <c r="F454" s="1">
        <v>1075.0</v>
      </c>
      <c r="G454" s="1">
        <v>1568.0</v>
      </c>
      <c r="H454" s="1">
        <v>1.8112</v>
      </c>
      <c r="I454" s="1">
        <v>0.6856</v>
      </c>
      <c r="J454" s="1">
        <v>1.1256</v>
      </c>
      <c r="K454" s="1">
        <v>1156.0</v>
      </c>
    </row>
    <row r="455">
      <c r="A455" s="1" t="s">
        <v>19</v>
      </c>
      <c r="B455" s="1" t="s">
        <v>1192</v>
      </c>
      <c r="C455" s="1" t="s">
        <v>1210</v>
      </c>
      <c r="D455" s="1">
        <v>13.0</v>
      </c>
      <c r="E455" s="1">
        <v>2960.0</v>
      </c>
      <c r="F455" s="1">
        <v>1373.0</v>
      </c>
      <c r="G455" s="1">
        <v>1568.0</v>
      </c>
      <c r="H455" s="1">
        <v>1.8878</v>
      </c>
      <c r="I455" s="1">
        <v>0.8756</v>
      </c>
      <c r="J455" s="1">
        <v>1.0121</v>
      </c>
      <c r="K455" s="1">
        <v>1119.0</v>
      </c>
    </row>
    <row r="456">
      <c r="A456" s="1" t="s">
        <v>19</v>
      </c>
      <c r="B456" s="1" t="s">
        <v>1192</v>
      </c>
      <c r="C456" s="1" t="s">
        <v>1210</v>
      </c>
      <c r="D456" s="1">
        <v>14.0</v>
      </c>
      <c r="E456" s="1">
        <v>2930.0</v>
      </c>
      <c r="F456" s="1">
        <v>1488.0</v>
      </c>
      <c r="G456" s="1">
        <v>1568.0</v>
      </c>
      <c r="H456" s="1">
        <v>1.8686</v>
      </c>
      <c r="I456" s="1">
        <v>0.949</v>
      </c>
      <c r="J456" s="1">
        <v>0.9196</v>
      </c>
      <c r="K456" s="1">
        <v>1132.0</v>
      </c>
    </row>
    <row r="457">
      <c r="A457" s="1" t="s">
        <v>19</v>
      </c>
      <c r="B457" s="1" t="s">
        <v>1192</v>
      </c>
      <c r="C457" s="1" t="s">
        <v>1210</v>
      </c>
      <c r="D457" s="1">
        <v>15.0</v>
      </c>
      <c r="E457" s="1">
        <v>3060.0</v>
      </c>
      <c r="F457" s="1">
        <v>1183.0</v>
      </c>
      <c r="G457" s="1">
        <v>1568.0</v>
      </c>
      <c r="H457" s="1">
        <v>1.9515</v>
      </c>
      <c r="I457" s="1">
        <v>0.7545</v>
      </c>
      <c r="J457" s="1">
        <v>1.1971</v>
      </c>
      <c r="K457" s="1">
        <v>1258.0</v>
      </c>
    </row>
    <row r="458">
      <c r="A458" s="1" t="s">
        <v>19</v>
      </c>
      <c r="B458" s="1" t="s">
        <v>1192</v>
      </c>
      <c r="C458" s="1" t="s">
        <v>1210</v>
      </c>
      <c r="D458" s="1">
        <v>16.0</v>
      </c>
      <c r="E458" s="1">
        <v>2075.0</v>
      </c>
      <c r="F458" s="1">
        <v>1076.0</v>
      </c>
      <c r="G458" s="1">
        <v>1568.0</v>
      </c>
      <c r="H458" s="1">
        <v>1.3233</v>
      </c>
      <c r="I458" s="1">
        <v>0.6862</v>
      </c>
      <c r="J458" s="1">
        <v>0.6371</v>
      </c>
      <c r="K458" s="1">
        <v>1210.0</v>
      </c>
    </row>
    <row r="459">
      <c r="A459" s="1" t="s">
        <v>19</v>
      </c>
      <c r="B459" s="1" t="s">
        <v>1192</v>
      </c>
      <c r="C459" s="1" t="s">
        <v>1210</v>
      </c>
      <c r="D459" s="1">
        <v>17.0</v>
      </c>
      <c r="E459" s="1">
        <v>1805.0</v>
      </c>
      <c r="F459" s="1">
        <v>1201.0</v>
      </c>
      <c r="G459" s="1">
        <v>1568.0</v>
      </c>
      <c r="H459" s="1">
        <v>1.1511</v>
      </c>
      <c r="I459" s="1">
        <v>0.7659</v>
      </c>
      <c r="J459" s="1">
        <v>0.3852</v>
      </c>
      <c r="K459" s="1">
        <v>1193.0</v>
      </c>
    </row>
    <row r="460">
      <c r="A460" s="1" t="s">
        <v>19</v>
      </c>
      <c r="B460" s="1" t="s">
        <v>1192</v>
      </c>
      <c r="C460" s="1" t="s">
        <v>1210</v>
      </c>
      <c r="D460" s="1">
        <v>18.0</v>
      </c>
      <c r="E460" s="1">
        <v>1960.0</v>
      </c>
      <c r="F460" s="1">
        <v>1006.0</v>
      </c>
      <c r="G460" s="1">
        <v>1568.0</v>
      </c>
      <c r="H460" s="1">
        <v>1.25</v>
      </c>
      <c r="I460" s="1">
        <v>0.6416</v>
      </c>
      <c r="J460" s="1">
        <v>0.6084</v>
      </c>
      <c r="K460" s="1">
        <v>1148.0</v>
      </c>
    </row>
    <row r="461">
      <c r="A461" s="1" t="s">
        <v>19</v>
      </c>
      <c r="B461" s="1" t="s">
        <v>1192</v>
      </c>
      <c r="C461" s="1" t="s">
        <v>1210</v>
      </c>
      <c r="D461" s="1">
        <v>19.0</v>
      </c>
      <c r="E461" s="1">
        <v>2765.0</v>
      </c>
      <c r="F461" s="1">
        <v>1283.0</v>
      </c>
      <c r="G461" s="1">
        <v>1568.0</v>
      </c>
      <c r="H461" s="1">
        <v>1.7634</v>
      </c>
      <c r="I461" s="1">
        <v>0.8182</v>
      </c>
      <c r="J461" s="1">
        <v>0.9452</v>
      </c>
      <c r="K461" s="1">
        <v>1154.0</v>
      </c>
    </row>
    <row r="462">
      <c r="A462" s="1" t="s">
        <v>19</v>
      </c>
      <c r="B462" s="1" t="s">
        <v>1192</v>
      </c>
      <c r="C462" s="1" t="s">
        <v>1210</v>
      </c>
      <c r="D462" s="1">
        <v>20.0</v>
      </c>
      <c r="E462" s="1">
        <v>2055.0</v>
      </c>
      <c r="F462" s="1">
        <v>1301.0</v>
      </c>
      <c r="G462" s="1">
        <v>1568.0</v>
      </c>
      <c r="H462" s="1">
        <v>1.3106</v>
      </c>
      <c r="I462" s="1">
        <v>0.8297</v>
      </c>
      <c r="J462" s="1">
        <v>0.4809</v>
      </c>
      <c r="K462" s="1">
        <v>1073.0</v>
      </c>
    </row>
    <row r="463">
      <c r="A463" s="1" t="s">
        <v>19</v>
      </c>
      <c r="B463" s="1" t="s">
        <v>1192</v>
      </c>
      <c r="C463" s="1" t="s">
        <v>1210</v>
      </c>
      <c r="D463" s="1">
        <v>21.0</v>
      </c>
      <c r="E463" s="1">
        <v>2305.0</v>
      </c>
      <c r="F463" s="1">
        <v>857.0</v>
      </c>
      <c r="G463" s="1">
        <v>1568.0</v>
      </c>
      <c r="H463" s="1">
        <v>1.47</v>
      </c>
      <c r="I463" s="1">
        <v>0.5466</v>
      </c>
      <c r="J463" s="1">
        <v>0.9235</v>
      </c>
      <c r="K463" s="1">
        <v>1122.0</v>
      </c>
    </row>
    <row r="464">
      <c r="A464" s="1" t="s">
        <v>19</v>
      </c>
      <c r="B464" s="1" t="s">
        <v>1192</v>
      </c>
      <c r="C464" s="1" t="s">
        <v>1211</v>
      </c>
      <c r="D464" s="1">
        <v>1.0</v>
      </c>
      <c r="E464" s="1">
        <v>4630.0</v>
      </c>
      <c r="F464" s="1">
        <v>2043.0</v>
      </c>
      <c r="G464" s="1">
        <v>2135.0</v>
      </c>
      <c r="H464" s="1">
        <v>2.1686</v>
      </c>
      <c r="I464" s="1">
        <v>0.9569</v>
      </c>
      <c r="J464" s="1">
        <v>1.2117</v>
      </c>
      <c r="K464" s="1">
        <v>1241.0</v>
      </c>
    </row>
    <row r="465">
      <c r="A465" s="1" t="s">
        <v>19</v>
      </c>
      <c r="B465" s="1" t="s">
        <v>1192</v>
      </c>
      <c r="C465" s="1" t="s">
        <v>1211</v>
      </c>
      <c r="D465" s="1">
        <v>2.0</v>
      </c>
      <c r="E465" s="1">
        <v>3940.0</v>
      </c>
      <c r="F465" s="1">
        <v>1730.0</v>
      </c>
      <c r="G465" s="1">
        <v>2135.0</v>
      </c>
      <c r="H465" s="1">
        <v>1.8454</v>
      </c>
      <c r="I465" s="1">
        <v>0.8103</v>
      </c>
      <c r="J465" s="1">
        <v>1.0351</v>
      </c>
      <c r="K465" s="1">
        <v>1201.0</v>
      </c>
    </row>
    <row r="466">
      <c r="A466" s="1" t="s">
        <v>19</v>
      </c>
      <c r="B466" s="1" t="s">
        <v>1192</v>
      </c>
      <c r="C466" s="1" t="s">
        <v>1211</v>
      </c>
      <c r="D466" s="1">
        <v>3.0</v>
      </c>
      <c r="E466" s="1">
        <v>3440.0</v>
      </c>
      <c r="F466" s="1">
        <v>1762.0</v>
      </c>
      <c r="G466" s="1">
        <v>2135.0</v>
      </c>
      <c r="H466" s="1">
        <v>1.6112</v>
      </c>
      <c r="I466" s="1">
        <v>0.8253</v>
      </c>
      <c r="J466" s="1">
        <v>0.7859</v>
      </c>
      <c r="K466" s="1">
        <v>1187.0</v>
      </c>
    </row>
    <row r="467">
      <c r="A467" s="1" t="s">
        <v>19</v>
      </c>
      <c r="B467" s="1" t="s">
        <v>1192</v>
      </c>
      <c r="C467" s="1" t="s">
        <v>1211</v>
      </c>
      <c r="D467" s="1">
        <v>4.0</v>
      </c>
      <c r="E467" s="1">
        <v>4020.0</v>
      </c>
      <c r="F467" s="1">
        <v>1793.0</v>
      </c>
      <c r="G467" s="1">
        <v>2135.0</v>
      </c>
      <c r="H467" s="1">
        <v>1.8829</v>
      </c>
      <c r="I467" s="1">
        <v>0.8398</v>
      </c>
      <c r="J467" s="1">
        <v>1.0431</v>
      </c>
      <c r="K467" s="1">
        <v>1176.0</v>
      </c>
    </row>
    <row r="468">
      <c r="A468" s="1" t="s">
        <v>19</v>
      </c>
      <c r="B468" s="1" t="s">
        <v>1192</v>
      </c>
      <c r="C468" s="1" t="s">
        <v>1211</v>
      </c>
      <c r="D468" s="1">
        <v>5.0</v>
      </c>
      <c r="E468" s="1">
        <v>4350.0</v>
      </c>
      <c r="F468" s="1">
        <v>1910.0</v>
      </c>
      <c r="G468" s="1">
        <v>2135.0</v>
      </c>
      <c r="H468" s="1">
        <v>2.0375</v>
      </c>
      <c r="I468" s="1">
        <v>0.8946</v>
      </c>
      <c r="J468" s="1">
        <v>1.1429</v>
      </c>
      <c r="K468" s="1">
        <v>1154.0</v>
      </c>
    </row>
    <row r="469">
      <c r="A469" s="1" t="s">
        <v>19</v>
      </c>
      <c r="B469" s="1" t="s">
        <v>1192</v>
      </c>
      <c r="C469" s="1" t="s">
        <v>1211</v>
      </c>
      <c r="D469" s="1">
        <v>6.0</v>
      </c>
      <c r="E469" s="1">
        <v>4405.0</v>
      </c>
      <c r="F469" s="1">
        <v>1616.0</v>
      </c>
      <c r="G469" s="1">
        <v>2135.0</v>
      </c>
      <c r="H469" s="1">
        <v>2.0632</v>
      </c>
      <c r="I469" s="1">
        <v>0.7569</v>
      </c>
      <c r="J469" s="1">
        <v>1.3063</v>
      </c>
      <c r="K469" s="1">
        <v>1148.0</v>
      </c>
    </row>
    <row r="470">
      <c r="A470" s="1" t="s">
        <v>19</v>
      </c>
      <c r="B470" s="1" t="s">
        <v>1192</v>
      </c>
      <c r="C470" s="1" t="s">
        <v>1211</v>
      </c>
      <c r="D470" s="1">
        <v>7.0</v>
      </c>
      <c r="E470" s="1">
        <v>4495.0</v>
      </c>
      <c r="F470" s="1">
        <v>1886.0</v>
      </c>
      <c r="G470" s="1">
        <v>2135.0</v>
      </c>
      <c r="H470" s="1">
        <v>2.1054</v>
      </c>
      <c r="I470" s="1">
        <v>0.8834</v>
      </c>
      <c r="J470" s="1">
        <v>1.222</v>
      </c>
      <c r="K470" s="1">
        <v>1122.0</v>
      </c>
    </row>
    <row r="471">
      <c r="A471" s="1" t="s">
        <v>19</v>
      </c>
      <c r="B471" s="1" t="s">
        <v>1192</v>
      </c>
      <c r="C471" s="1" t="s">
        <v>1211</v>
      </c>
      <c r="D471" s="1">
        <v>8.0</v>
      </c>
      <c r="E471" s="1">
        <v>3755.0</v>
      </c>
      <c r="F471" s="1">
        <v>1882.0</v>
      </c>
      <c r="G471" s="1">
        <v>2135.0</v>
      </c>
      <c r="H471" s="1">
        <v>1.7588</v>
      </c>
      <c r="I471" s="1">
        <v>0.8815</v>
      </c>
      <c r="J471" s="1">
        <v>0.8773</v>
      </c>
      <c r="K471" s="1">
        <v>1214.0</v>
      </c>
    </row>
    <row r="472">
      <c r="A472" s="1" t="s">
        <v>19</v>
      </c>
      <c r="B472" s="1" t="s">
        <v>1192</v>
      </c>
      <c r="C472" s="1" t="s">
        <v>1211</v>
      </c>
      <c r="D472" s="1">
        <v>9.0</v>
      </c>
      <c r="E472" s="1">
        <v>2940.0</v>
      </c>
      <c r="F472" s="1">
        <v>1310.0</v>
      </c>
      <c r="G472" s="1">
        <v>2135.0</v>
      </c>
      <c r="H472" s="1">
        <v>1.377</v>
      </c>
      <c r="I472" s="1">
        <v>0.6136</v>
      </c>
      <c r="J472" s="1">
        <v>0.7635</v>
      </c>
      <c r="K472" s="1">
        <v>1201.0</v>
      </c>
    </row>
    <row r="473">
      <c r="A473" s="1" t="s">
        <v>19</v>
      </c>
      <c r="B473" s="1" t="s">
        <v>1192</v>
      </c>
      <c r="C473" s="1" t="s">
        <v>1211</v>
      </c>
      <c r="D473" s="1">
        <v>10.0</v>
      </c>
      <c r="E473" s="1">
        <v>3210.0</v>
      </c>
      <c r="F473" s="1">
        <v>1377.0</v>
      </c>
      <c r="G473" s="1">
        <v>2135.0</v>
      </c>
      <c r="H473" s="1">
        <v>1.5035</v>
      </c>
      <c r="I473" s="1">
        <v>0.645</v>
      </c>
      <c r="J473" s="1">
        <v>0.8585</v>
      </c>
      <c r="K473" s="1">
        <v>1164.0</v>
      </c>
    </row>
    <row r="474">
      <c r="A474" s="1" t="s">
        <v>19</v>
      </c>
      <c r="B474" s="1" t="s">
        <v>1192</v>
      </c>
      <c r="C474" s="1" t="s">
        <v>1211</v>
      </c>
      <c r="D474" s="1">
        <v>11.0</v>
      </c>
      <c r="E474" s="1">
        <v>4135.0</v>
      </c>
      <c r="F474" s="1">
        <v>1791.0</v>
      </c>
      <c r="G474" s="1">
        <v>2135.0</v>
      </c>
      <c r="H474" s="1">
        <v>1.9368</v>
      </c>
      <c r="I474" s="1">
        <v>0.8389</v>
      </c>
      <c r="J474" s="1">
        <v>1.0979</v>
      </c>
      <c r="K474" s="1">
        <v>1148.0</v>
      </c>
    </row>
    <row r="475">
      <c r="A475" s="1" t="s">
        <v>19</v>
      </c>
      <c r="B475" s="1" t="s">
        <v>1192</v>
      </c>
      <c r="C475" s="1" t="s">
        <v>1211</v>
      </c>
      <c r="D475" s="1">
        <v>12.0</v>
      </c>
      <c r="E475" s="1">
        <v>4085.0</v>
      </c>
      <c r="F475" s="1">
        <v>1726.0</v>
      </c>
      <c r="G475" s="1">
        <v>2135.0</v>
      </c>
      <c r="H475" s="1">
        <v>1.9133</v>
      </c>
      <c r="I475" s="1">
        <v>0.8084</v>
      </c>
      <c r="J475" s="1">
        <v>1.1049</v>
      </c>
      <c r="K475" s="1">
        <v>1156.0</v>
      </c>
    </row>
    <row r="476">
      <c r="A476" s="1" t="s">
        <v>19</v>
      </c>
      <c r="B476" s="1" t="s">
        <v>1192</v>
      </c>
      <c r="C476" s="1" t="s">
        <v>1211</v>
      </c>
      <c r="D476" s="1">
        <v>13.0</v>
      </c>
      <c r="E476" s="1">
        <v>4440.0</v>
      </c>
      <c r="F476" s="1">
        <v>1857.0</v>
      </c>
      <c r="G476" s="1">
        <v>2135.0</v>
      </c>
      <c r="H476" s="1">
        <v>2.0796</v>
      </c>
      <c r="I476" s="1">
        <v>0.8698</v>
      </c>
      <c r="J476" s="1">
        <v>1.2098</v>
      </c>
      <c r="K476" s="1">
        <v>1119.0</v>
      </c>
    </row>
    <row r="477">
      <c r="A477" s="1" t="s">
        <v>19</v>
      </c>
      <c r="B477" s="1" t="s">
        <v>1192</v>
      </c>
      <c r="C477" s="1" t="s">
        <v>1211</v>
      </c>
      <c r="D477" s="1">
        <v>14.0</v>
      </c>
      <c r="E477" s="1">
        <v>4315.0</v>
      </c>
      <c r="F477" s="1">
        <v>1897.0</v>
      </c>
      <c r="G477" s="1">
        <v>2135.0</v>
      </c>
      <c r="H477" s="1">
        <v>2.0211</v>
      </c>
      <c r="I477" s="1">
        <v>0.8885</v>
      </c>
      <c r="J477" s="1">
        <v>1.1326</v>
      </c>
      <c r="K477" s="1">
        <v>1132.0</v>
      </c>
    </row>
    <row r="478">
      <c r="A478" s="1" t="s">
        <v>19</v>
      </c>
      <c r="B478" s="1" t="s">
        <v>1192</v>
      </c>
      <c r="C478" s="1" t="s">
        <v>1211</v>
      </c>
      <c r="D478" s="1">
        <v>15.0</v>
      </c>
      <c r="E478" s="1">
        <v>5290.0</v>
      </c>
      <c r="F478" s="1">
        <v>1900.0</v>
      </c>
      <c r="G478" s="1">
        <v>2135.0</v>
      </c>
      <c r="H478" s="1">
        <v>2.4778</v>
      </c>
      <c r="I478" s="1">
        <v>0.8899</v>
      </c>
      <c r="J478" s="1">
        <v>1.5878</v>
      </c>
      <c r="K478" s="1">
        <v>1258.0</v>
      </c>
    </row>
    <row r="479">
      <c r="A479" s="1" t="s">
        <v>19</v>
      </c>
      <c r="B479" s="1" t="s">
        <v>1192</v>
      </c>
      <c r="C479" s="1" t="s">
        <v>1211</v>
      </c>
      <c r="D479" s="1">
        <v>16.0</v>
      </c>
      <c r="E479" s="1">
        <v>3500.0</v>
      </c>
      <c r="F479" s="1">
        <v>1641.0</v>
      </c>
      <c r="G479" s="1">
        <v>2135.0</v>
      </c>
      <c r="H479" s="1">
        <v>1.6393</v>
      </c>
      <c r="I479" s="1">
        <v>0.7686</v>
      </c>
      <c r="J479" s="1">
        <v>0.8707</v>
      </c>
      <c r="K479" s="1">
        <v>1210.0</v>
      </c>
    </row>
    <row r="480">
      <c r="A480" s="1" t="s">
        <v>19</v>
      </c>
      <c r="B480" s="1" t="s">
        <v>1192</v>
      </c>
      <c r="C480" s="1" t="s">
        <v>1211</v>
      </c>
      <c r="D480" s="1">
        <v>17.0</v>
      </c>
      <c r="E480" s="1">
        <v>4000.0</v>
      </c>
      <c r="F480" s="1">
        <v>1819.0</v>
      </c>
      <c r="G480" s="1">
        <v>2135.0</v>
      </c>
      <c r="H480" s="1">
        <v>1.8735</v>
      </c>
      <c r="I480" s="1">
        <v>0.852</v>
      </c>
      <c r="J480" s="1">
        <v>1.0215</v>
      </c>
      <c r="K480" s="1">
        <v>1193.0</v>
      </c>
    </row>
    <row r="481">
      <c r="A481" s="1" t="s">
        <v>19</v>
      </c>
      <c r="B481" s="1" t="s">
        <v>1192</v>
      </c>
      <c r="C481" s="1" t="s">
        <v>1211</v>
      </c>
      <c r="D481" s="1">
        <v>18.0</v>
      </c>
      <c r="E481" s="1">
        <v>4175.0</v>
      </c>
      <c r="F481" s="1">
        <v>1787.0</v>
      </c>
      <c r="G481" s="1">
        <v>2135.0</v>
      </c>
      <c r="H481" s="1">
        <v>1.9555</v>
      </c>
      <c r="I481" s="1">
        <v>0.837</v>
      </c>
      <c r="J481" s="1">
        <v>1.1185</v>
      </c>
      <c r="K481" s="1">
        <v>1148.0</v>
      </c>
    </row>
    <row r="482">
      <c r="A482" s="1" t="s">
        <v>19</v>
      </c>
      <c r="B482" s="1" t="s">
        <v>1192</v>
      </c>
      <c r="C482" s="1" t="s">
        <v>1211</v>
      </c>
      <c r="D482" s="1">
        <v>19.0</v>
      </c>
      <c r="E482" s="1">
        <v>3670.0</v>
      </c>
      <c r="F482" s="1">
        <v>1525.0</v>
      </c>
      <c r="G482" s="1">
        <v>2135.0</v>
      </c>
      <c r="H482" s="1">
        <v>1.719</v>
      </c>
      <c r="I482" s="1">
        <v>0.7143</v>
      </c>
      <c r="J482" s="1">
        <v>1.0047</v>
      </c>
      <c r="K482" s="1">
        <v>1154.0</v>
      </c>
    </row>
    <row r="483">
      <c r="A483" s="1" t="s">
        <v>19</v>
      </c>
      <c r="B483" s="1" t="s">
        <v>1192</v>
      </c>
      <c r="C483" s="1" t="s">
        <v>1211</v>
      </c>
      <c r="D483" s="1">
        <v>20.0</v>
      </c>
      <c r="E483" s="1">
        <v>3415.0</v>
      </c>
      <c r="F483" s="1">
        <v>1523.0</v>
      </c>
      <c r="G483" s="1">
        <v>2135.0</v>
      </c>
      <c r="H483" s="1">
        <v>1.5995</v>
      </c>
      <c r="I483" s="1">
        <v>0.7133</v>
      </c>
      <c r="J483" s="1">
        <v>0.8862</v>
      </c>
      <c r="K483" s="1">
        <v>1073.0</v>
      </c>
    </row>
    <row r="484">
      <c r="A484" s="1" t="s">
        <v>19</v>
      </c>
      <c r="B484" s="1" t="s">
        <v>1192</v>
      </c>
      <c r="C484" s="1" t="s">
        <v>1211</v>
      </c>
      <c r="D484" s="1">
        <v>21.0</v>
      </c>
      <c r="E484" s="1">
        <v>3370.0</v>
      </c>
      <c r="F484" s="1">
        <v>1430.0</v>
      </c>
      <c r="G484" s="1">
        <v>2135.0</v>
      </c>
      <c r="H484" s="1">
        <v>1.5785</v>
      </c>
      <c r="I484" s="1">
        <v>0.6698</v>
      </c>
      <c r="J484" s="1">
        <v>0.9087</v>
      </c>
      <c r="K484" s="1">
        <v>1122.0</v>
      </c>
    </row>
    <row r="485">
      <c r="A485" s="1" t="s">
        <v>19</v>
      </c>
      <c r="B485" s="1" t="s">
        <v>1192</v>
      </c>
      <c r="C485" s="1" t="s">
        <v>55</v>
      </c>
      <c r="D485" s="1">
        <v>1.0</v>
      </c>
      <c r="E485" s="1">
        <v>165860.0</v>
      </c>
      <c r="F485" s="1">
        <v>0.0</v>
      </c>
      <c r="G485" s="1">
        <v>3031.0</v>
      </c>
      <c r="H485" s="1">
        <v>54.7212</v>
      </c>
      <c r="I485" s="1">
        <v>0.0</v>
      </c>
      <c r="J485" s="1">
        <v>54.7212</v>
      </c>
      <c r="K485" s="1">
        <v>1241.0</v>
      </c>
    </row>
    <row r="486">
      <c r="A486" s="1" t="s">
        <v>19</v>
      </c>
      <c r="B486" s="1" t="s">
        <v>1192</v>
      </c>
      <c r="C486" s="1" t="s">
        <v>55</v>
      </c>
      <c r="D486" s="1">
        <v>2.0</v>
      </c>
      <c r="E486" s="1">
        <v>134480.0</v>
      </c>
      <c r="F486" s="1">
        <v>0.0</v>
      </c>
      <c r="G486" s="1">
        <v>3031.0</v>
      </c>
      <c r="H486" s="1">
        <v>44.3682</v>
      </c>
      <c r="I486" s="1">
        <v>0.0</v>
      </c>
      <c r="J486" s="1">
        <v>44.3682</v>
      </c>
      <c r="K486" s="1">
        <v>1201.0</v>
      </c>
    </row>
    <row r="487">
      <c r="A487" s="1" t="s">
        <v>19</v>
      </c>
      <c r="B487" s="1" t="s">
        <v>1192</v>
      </c>
      <c r="C487" s="1" t="s">
        <v>55</v>
      </c>
      <c r="D487" s="1">
        <v>3.0</v>
      </c>
      <c r="E487" s="1">
        <v>137351.0</v>
      </c>
      <c r="F487" s="1">
        <v>0.0</v>
      </c>
      <c r="G487" s="1">
        <v>3031.0</v>
      </c>
      <c r="H487" s="1">
        <v>45.3154</v>
      </c>
      <c r="I487" s="1">
        <v>0.0</v>
      </c>
      <c r="J487" s="1">
        <v>45.3154</v>
      </c>
      <c r="K487" s="1">
        <v>1187.0</v>
      </c>
    </row>
    <row r="488">
      <c r="A488" s="1" t="s">
        <v>19</v>
      </c>
      <c r="B488" s="1" t="s">
        <v>1192</v>
      </c>
      <c r="C488" s="1" t="s">
        <v>55</v>
      </c>
      <c r="D488" s="1">
        <v>4.0</v>
      </c>
      <c r="E488" s="1">
        <v>135901.0</v>
      </c>
      <c r="F488" s="1">
        <v>0.0</v>
      </c>
      <c r="G488" s="1">
        <v>3031.0</v>
      </c>
      <c r="H488" s="1">
        <v>44.837</v>
      </c>
      <c r="I488" s="1">
        <v>0.0</v>
      </c>
      <c r="J488" s="1">
        <v>44.837</v>
      </c>
      <c r="K488" s="1">
        <v>1176.0</v>
      </c>
    </row>
    <row r="489">
      <c r="A489" s="1" t="s">
        <v>19</v>
      </c>
      <c r="B489" s="1" t="s">
        <v>1192</v>
      </c>
      <c r="C489" s="1" t="s">
        <v>55</v>
      </c>
      <c r="D489" s="1">
        <v>5.0</v>
      </c>
      <c r="E489" s="1">
        <v>126387.0</v>
      </c>
      <c r="F489" s="1">
        <v>0.0</v>
      </c>
      <c r="G489" s="1">
        <v>3031.0</v>
      </c>
      <c r="H489" s="1">
        <v>41.6981</v>
      </c>
      <c r="I489" s="1">
        <v>0.0</v>
      </c>
      <c r="J489" s="1">
        <v>41.6981</v>
      </c>
      <c r="K489" s="1">
        <v>1154.0</v>
      </c>
    </row>
    <row r="490">
      <c r="A490" s="1" t="s">
        <v>19</v>
      </c>
      <c r="B490" s="1" t="s">
        <v>1192</v>
      </c>
      <c r="C490" s="1" t="s">
        <v>55</v>
      </c>
      <c r="D490" s="1">
        <v>6.0</v>
      </c>
      <c r="E490" s="1">
        <v>102525.0</v>
      </c>
      <c r="F490" s="1">
        <v>0.0</v>
      </c>
      <c r="G490" s="1">
        <v>3031.0</v>
      </c>
      <c r="H490" s="1">
        <v>33.8255</v>
      </c>
      <c r="I490" s="1">
        <v>0.0</v>
      </c>
      <c r="J490" s="1">
        <v>33.8255</v>
      </c>
      <c r="K490" s="1">
        <v>1148.0</v>
      </c>
    </row>
    <row r="491">
      <c r="A491" s="1" t="s">
        <v>19</v>
      </c>
      <c r="B491" s="1" t="s">
        <v>1192</v>
      </c>
      <c r="C491" s="1" t="s">
        <v>55</v>
      </c>
      <c r="D491" s="1">
        <v>7.0</v>
      </c>
      <c r="E491" s="1">
        <v>97450.0</v>
      </c>
      <c r="F491" s="1">
        <v>0.0</v>
      </c>
      <c r="G491" s="1">
        <v>3031.0</v>
      </c>
      <c r="H491" s="1">
        <v>32.1511</v>
      </c>
      <c r="I491" s="1">
        <v>0.0</v>
      </c>
      <c r="J491" s="1">
        <v>32.1511</v>
      </c>
      <c r="K491" s="1">
        <v>1122.0</v>
      </c>
    </row>
    <row r="492">
      <c r="A492" s="1" t="s">
        <v>19</v>
      </c>
      <c r="B492" s="1" t="s">
        <v>1192</v>
      </c>
      <c r="C492" s="1" t="s">
        <v>55</v>
      </c>
      <c r="D492" s="1">
        <v>8.0</v>
      </c>
      <c r="E492" s="1">
        <v>129865.0</v>
      </c>
      <c r="F492" s="1">
        <v>0.0</v>
      </c>
      <c r="G492" s="1">
        <v>3031.0</v>
      </c>
      <c r="H492" s="1">
        <v>42.8456</v>
      </c>
      <c r="I492" s="1">
        <v>0.0</v>
      </c>
      <c r="J492" s="1">
        <v>42.8456</v>
      </c>
      <c r="K492" s="1">
        <v>1214.0</v>
      </c>
    </row>
    <row r="493">
      <c r="A493" s="1" t="s">
        <v>19</v>
      </c>
      <c r="B493" s="1" t="s">
        <v>1192</v>
      </c>
      <c r="C493" s="1" t="s">
        <v>55</v>
      </c>
      <c r="D493" s="1">
        <v>9.0</v>
      </c>
      <c r="E493" s="1">
        <v>133565.0</v>
      </c>
      <c r="F493" s="1">
        <v>0.0</v>
      </c>
      <c r="G493" s="1">
        <v>3031.0</v>
      </c>
      <c r="H493" s="1">
        <v>44.0663</v>
      </c>
      <c r="I493" s="1">
        <v>0.0</v>
      </c>
      <c r="J493" s="1">
        <v>44.0663</v>
      </c>
      <c r="K493" s="1">
        <v>1201.0</v>
      </c>
    </row>
    <row r="494">
      <c r="A494" s="1" t="s">
        <v>19</v>
      </c>
      <c r="B494" s="1" t="s">
        <v>1192</v>
      </c>
      <c r="C494" s="1" t="s">
        <v>55</v>
      </c>
      <c r="D494" s="1">
        <v>10.0</v>
      </c>
      <c r="E494" s="1">
        <v>123993.0</v>
      </c>
      <c r="F494" s="1">
        <v>0.0</v>
      </c>
      <c r="G494" s="1">
        <v>3031.0</v>
      </c>
      <c r="H494" s="1">
        <v>40.9083</v>
      </c>
      <c r="I494" s="1">
        <v>0.0</v>
      </c>
      <c r="J494" s="1">
        <v>40.9083</v>
      </c>
      <c r="K494" s="1">
        <v>1164.0</v>
      </c>
    </row>
    <row r="495">
      <c r="A495" s="1" t="s">
        <v>19</v>
      </c>
      <c r="B495" s="1" t="s">
        <v>1192</v>
      </c>
      <c r="C495" s="1" t="s">
        <v>55</v>
      </c>
      <c r="D495" s="1">
        <v>11.0</v>
      </c>
      <c r="E495" s="1">
        <v>122845.0</v>
      </c>
      <c r="F495" s="1">
        <v>0.0</v>
      </c>
      <c r="G495" s="1">
        <v>3031.0</v>
      </c>
      <c r="H495" s="1">
        <v>40.5295</v>
      </c>
      <c r="I495" s="1">
        <v>0.0</v>
      </c>
      <c r="J495" s="1">
        <v>40.5295</v>
      </c>
      <c r="K495" s="1">
        <v>1148.0</v>
      </c>
    </row>
    <row r="496">
      <c r="A496" s="1" t="s">
        <v>19</v>
      </c>
      <c r="B496" s="1" t="s">
        <v>1192</v>
      </c>
      <c r="C496" s="1" t="s">
        <v>55</v>
      </c>
      <c r="D496" s="1">
        <v>12.0</v>
      </c>
      <c r="E496" s="1">
        <v>117390.0</v>
      </c>
      <c r="F496" s="1">
        <v>0.0</v>
      </c>
      <c r="G496" s="1">
        <v>3031.0</v>
      </c>
      <c r="H496" s="1">
        <v>38.7298</v>
      </c>
      <c r="I496" s="1">
        <v>0.0</v>
      </c>
      <c r="J496" s="1">
        <v>38.7298</v>
      </c>
      <c r="K496" s="1">
        <v>1156.0</v>
      </c>
    </row>
    <row r="497">
      <c r="A497" s="1" t="s">
        <v>19</v>
      </c>
      <c r="B497" s="1" t="s">
        <v>1192</v>
      </c>
      <c r="C497" s="1" t="s">
        <v>55</v>
      </c>
      <c r="D497" s="1">
        <v>13.0</v>
      </c>
      <c r="E497" s="1">
        <v>102090.0</v>
      </c>
      <c r="F497" s="1">
        <v>0.0</v>
      </c>
      <c r="G497" s="1">
        <v>3031.0</v>
      </c>
      <c r="H497" s="1">
        <v>33.682</v>
      </c>
      <c r="I497" s="1">
        <v>0.0</v>
      </c>
      <c r="J497" s="1">
        <v>33.682</v>
      </c>
      <c r="K497" s="1">
        <v>1119.0</v>
      </c>
    </row>
    <row r="498">
      <c r="A498" s="1" t="s">
        <v>19</v>
      </c>
      <c r="B498" s="1" t="s">
        <v>1192</v>
      </c>
      <c r="C498" s="1" t="s">
        <v>55</v>
      </c>
      <c r="D498" s="1">
        <v>14.0</v>
      </c>
      <c r="E498" s="1">
        <v>98590.0</v>
      </c>
      <c r="F498" s="1">
        <v>0.0</v>
      </c>
      <c r="G498" s="1">
        <v>3031.0</v>
      </c>
      <c r="H498" s="1">
        <v>32.5272</v>
      </c>
      <c r="I498" s="1">
        <v>0.0</v>
      </c>
      <c r="J498" s="1">
        <v>32.5272</v>
      </c>
      <c r="K498" s="1">
        <v>1132.0</v>
      </c>
    </row>
    <row r="499">
      <c r="A499" s="1" t="s">
        <v>19</v>
      </c>
      <c r="B499" s="1" t="s">
        <v>1192</v>
      </c>
      <c r="C499" s="1" t="s">
        <v>55</v>
      </c>
      <c r="D499" s="1">
        <v>15.0</v>
      </c>
      <c r="E499" s="1">
        <v>134660.0</v>
      </c>
      <c r="F499" s="1">
        <v>0.0</v>
      </c>
      <c r="G499" s="1">
        <v>3031.0</v>
      </c>
      <c r="H499" s="1">
        <v>44.4276</v>
      </c>
      <c r="I499" s="1">
        <v>0.0</v>
      </c>
      <c r="J499" s="1">
        <v>44.4276</v>
      </c>
      <c r="K499" s="1">
        <v>1258.0</v>
      </c>
    </row>
    <row r="500">
      <c r="A500" s="1" t="s">
        <v>19</v>
      </c>
      <c r="B500" s="1" t="s">
        <v>1192</v>
      </c>
      <c r="C500" s="1" t="s">
        <v>55</v>
      </c>
      <c r="D500" s="1">
        <v>16.0</v>
      </c>
      <c r="E500" s="1">
        <v>124865.0</v>
      </c>
      <c r="F500" s="1">
        <v>0.0</v>
      </c>
      <c r="G500" s="1">
        <v>3031.0</v>
      </c>
      <c r="H500" s="1">
        <v>41.196</v>
      </c>
      <c r="I500" s="1">
        <v>0.0</v>
      </c>
      <c r="J500" s="1">
        <v>41.196</v>
      </c>
      <c r="K500" s="1">
        <v>1210.0</v>
      </c>
    </row>
    <row r="501">
      <c r="A501" s="1" t="s">
        <v>19</v>
      </c>
      <c r="B501" s="1" t="s">
        <v>1192</v>
      </c>
      <c r="C501" s="1" t="s">
        <v>55</v>
      </c>
      <c r="D501" s="1">
        <v>17.0</v>
      </c>
      <c r="E501" s="1">
        <v>117497.0</v>
      </c>
      <c r="F501" s="1">
        <v>0.0</v>
      </c>
      <c r="G501" s="1">
        <v>3031.0</v>
      </c>
      <c r="H501" s="1">
        <v>38.7651</v>
      </c>
      <c r="I501" s="1">
        <v>0.0</v>
      </c>
      <c r="J501" s="1">
        <v>38.7651</v>
      </c>
      <c r="K501" s="1">
        <v>1193.0</v>
      </c>
    </row>
    <row r="502">
      <c r="A502" s="1" t="s">
        <v>19</v>
      </c>
      <c r="B502" s="1" t="s">
        <v>1192</v>
      </c>
      <c r="C502" s="1" t="s">
        <v>55</v>
      </c>
      <c r="D502" s="1">
        <v>18.0</v>
      </c>
      <c r="E502" s="1">
        <v>117250.0</v>
      </c>
      <c r="F502" s="1">
        <v>0.0</v>
      </c>
      <c r="G502" s="1">
        <v>3031.0</v>
      </c>
      <c r="H502" s="1">
        <v>38.6836</v>
      </c>
      <c r="I502" s="1">
        <v>0.0</v>
      </c>
      <c r="J502" s="1">
        <v>38.6836</v>
      </c>
      <c r="K502" s="1">
        <v>1148.0</v>
      </c>
    </row>
    <row r="503">
      <c r="A503" s="1" t="s">
        <v>19</v>
      </c>
      <c r="B503" s="1" t="s">
        <v>1192</v>
      </c>
      <c r="C503" s="1" t="s">
        <v>55</v>
      </c>
      <c r="D503" s="1">
        <v>19.0</v>
      </c>
      <c r="E503" s="1">
        <v>120190.0</v>
      </c>
      <c r="F503" s="1">
        <v>0.0</v>
      </c>
      <c r="G503" s="1">
        <v>3031.0</v>
      </c>
      <c r="H503" s="1">
        <v>39.6536</v>
      </c>
      <c r="I503" s="1">
        <v>0.0</v>
      </c>
      <c r="J503" s="1">
        <v>39.6536</v>
      </c>
      <c r="K503" s="1">
        <v>1154.0</v>
      </c>
    </row>
    <row r="504">
      <c r="A504" s="1" t="s">
        <v>19</v>
      </c>
      <c r="B504" s="1" t="s">
        <v>1192</v>
      </c>
      <c r="C504" s="1" t="s">
        <v>55</v>
      </c>
      <c r="D504" s="1">
        <v>20.0</v>
      </c>
      <c r="E504" s="1">
        <v>93440.0</v>
      </c>
      <c r="F504" s="1">
        <v>0.0</v>
      </c>
      <c r="G504" s="1">
        <v>3031.0</v>
      </c>
      <c r="H504" s="1">
        <v>30.8281</v>
      </c>
      <c r="I504" s="1">
        <v>0.0</v>
      </c>
      <c r="J504" s="1">
        <v>30.8281</v>
      </c>
      <c r="K504" s="1">
        <v>1073.0</v>
      </c>
    </row>
    <row r="505">
      <c r="A505" s="1" t="s">
        <v>19</v>
      </c>
      <c r="B505" s="1" t="s">
        <v>1192</v>
      </c>
      <c r="C505" s="1" t="s">
        <v>55</v>
      </c>
      <c r="D505" s="1">
        <v>21.0</v>
      </c>
      <c r="E505" s="1">
        <v>96132.0</v>
      </c>
      <c r="F505" s="1">
        <v>0.0</v>
      </c>
      <c r="G505" s="1">
        <v>3031.0</v>
      </c>
      <c r="H505" s="1">
        <v>31.7163</v>
      </c>
      <c r="I505" s="1">
        <v>0.0</v>
      </c>
      <c r="J505" s="1">
        <v>31.7163</v>
      </c>
      <c r="K505" s="1">
        <v>1122.0</v>
      </c>
    </row>
    <row r="506">
      <c r="A506" s="1" t="s">
        <v>19</v>
      </c>
      <c r="B506" s="1" t="s">
        <v>1192</v>
      </c>
      <c r="C506" s="1" t="s">
        <v>46</v>
      </c>
      <c r="D506" s="1">
        <v>1.0</v>
      </c>
      <c r="E506" s="1">
        <v>97619.0</v>
      </c>
      <c r="F506" s="1">
        <v>0.0</v>
      </c>
      <c r="G506" s="1">
        <v>3004.0</v>
      </c>
      <c r="H506" s="1">
        <v>32.4963</v>
      </c>
      <c r="I506" s="1">
        <v>0.0</v>
      </c>
      <c r="J506" s="1">
        <v>32.4963</v>
      </c>
      <c r="K506" s="1">
        <v>1241.0</v>
      </c>
    </row>
    <row r="507">
      <c r="A507" s="1" t="s">
        <v>19</v>
      </c>
      <c r="B507" s="1" t="s">
        <v>1192</v>
      </c>
      <c r="C507" s="1" t="s">
        <v>46</v>
      </c>
      <c r="D507" s="1">
        <v>2.0</v>
      </c>
      <c r="E507" s="1">
        <v>90256.0</v>
      </c>
      <c r="F507" s="1">
        <v>0.0</v>
      </c>
      <c r="G507" s="1">
        <v>3004.0</v>
      </c>
      <c r="H507" s="1">
        <v>30.0453</v>
      </c>
      <c r="I507" s="1">
        <v>0.0</v>
      </c>
      <c r="J507" s="1">
        <v>30.0453</v>
      </c>
      <c r="K507" s="1">
        <v>1201.0</v>
      </c>
    </row>
    <row r="508">
      <c r="A508" s="1" t="s">
        <v>19</v>
      </c>
      <c r="B508" s="1" t="s">
        <v>1192</v>
      </c>
      <c r="C508" s="1" t="s">
        <v>46</v>
      </c>
      <c r="D508" s="1">
        <v>3.0</v>
      </c>
      <c r="E508" s="1">
        <v>51781.0</v>
      </c>
      <c r="F508" s="1">
        <v>0.0</v>
      </c>
      <c r="G508" s="1">
        <v>3004.0</v>
      </c>
      <c r="H508" s="1">
        <v>17.2374</v>
      </c>
      <c r="I508" s="1">
        <v>0.0</v>
      </c>
      <c r="J508" s="1">
        <v>17.2374</v>
      </c>
      <c r="K508" s="1">
        <v>1187.0</v>
      </c>
    </row>
    <row r="509">
      <c r="A509" s="1" t="s">
        <v>19</v>
      </c>
      <c r="B509" s="1" t="s">
        <v>1192</v>
      </c>
      <c r="C509" s="1" t="s">
        <v>46</v>
      </c>
      <c r="D509" s="1">
        <v>4.0</v>
      </c>
      <c r="E509" s="1">
        <v>82902.0</v>
      </c>
      <c r="F509" s="1">
        <v>0.0</v>
      </c>
      <c r="G509" s="1">
        <v>3004.0</v>
      </c>
      <c r="H509" s="1">
        <v>27.5972</v>
      </c>
      <c r="I509" s="1">
        <v>0.0</v>
      </c>
      <c r="J509" s="1">
        <v>27.5972</v>
      </c>
      <c r="K509" s="1">
        <v>1176.0</v>
      </c>
    </row>
    <row r="510">
      <c r="A510" s="1" t="s">
        <v>19</v>
      </c>
      <c r="B510" s="1" t="s">
        <v>1192</v>
      </c>
      <c r="C510" s="1" t="s">
        <v>46</v>
      </c>
      <c r="D510" s="1">
        <v>5.0</v>
      </c>
      <c r="E510" s="1">
        <v>100279.0</v>
      </c>
      <c r="F510" s="1">
        <v>0.0</v>
      </c>
      <c r="G510" s="1">
        <v>3004.0</v>
      </c>
      <c r="H510" s="1">
        <v>33.3818</v>
      </c>
      <c r="I510" s="1">
        <v>0.0</v>
      </c>
      <c r="J510" s="1">
        <v>33.3818</v>
      </c>
      <c r="K510" s="1">
        <v>1154.0</v>
      </c>
    </row>
    <row r="511">
      <c r="A511" s="1" t="s">
        <v>19</v>
      </c>
      <c r="B511" s="1" t="s">
        <v>1192</v>
      </c>
      <c r="C511" s="1" t="s">
        <v>46</v>
      </c>
      <c r="D511" s="1">
        <v>6.0</v>
      </c>
      <c r="E511" s="1">
        <v>81260.0</v>
      </c>
      <c r="F511" s="1">
        <v>0.0</v>
      </c>
      <c r="G511" s="1">
        <v>3004.0</v>
      </c>
      <c r="H511" s="1">
        <v>27.0506</v>
      </c>
      <c r="I511" s="1">
        <v>0.0</v>
      </c>
      <c r="J511" s="1">
        <v>27.0506</v>
      </c>
      <c r="K511" s="1">
        <v>1148.0</v>
      </c>
    </row>
    <row r="512">
      <c r="A512" s="1" t="s">
        <v>19</v>
      </c>
      <c r="B512" s="1" t="s">
        <v>1192</v>
      </c>
      <c r="C512" s="1" t="s">
        <v>46</v>
      </c>
      <c r="D512" s="1">
        <v>7.0</v>
      </c>
      <c r="E512" s="1">
        <v>80475.0</v>
      </c>
      <c r="F512" s="1">
        <v>0.0</v>
      </c>
      <c r="G512" s="1">
        <v>3004.0</v>
      </c>
      <c r="H512" s="1">
        <v>26.7893</v>
      </c>
      <c r="I512" s="1">
        <v>0.0</v>
      </c>
      <c r="J512" s="1">
        <v>26.7893</v>
      </c>
      <c r="K512" s="1">
        <v>1122.0</v>
      </c>
    </row>
    <row r="513">
      <c r="A513" s="1" t="s">
        <v>19</v>
      </c>
      <c r="B513" s="1" t="s">
        <v>1192</v>
      </c>
      <c r="C513" s="1" t="s">
        <v>46</v>
      </c>
      <c r="D513" s="1">
        <v>8.0</v>
      </c>
      <c r="E513" s="1">
        <v>131726.0</v>
      </c>
      <c r="F513" s="1">
        <v>0.0</v>
      </c>
      <c r="G513" s="1">
        <v>3004.0</v>
      </c>
      <c r="H513" s="1">
        <v>43.8502</v>
      </c>
      <c r="I513" s="1">
        <v>0.0</v>
      </c>
      <c r="J513" s="1">
        <v>43.8502</v>
      </c>
      <c r="K513" s="1">
        <v>1214.0</v>
      </c>
    </row>
    <row r="514">
      <c r="A514" s="1" t="s">
        <v>19</v>
      </c>
      <c r="B514" s="1" t="s">
        <v>1192</v>
      </c>
      <c r="C514" s="1" t="s">
        <v>46</v>
      </c>
      <c r="D514" s="1">
        <v>9.0</v>
      </c>
      <c r="E514" s="1">
        <v>97190.0</v>
      </c>
      <c r="F514" s="1">
        <v>0.0</v>
      </c>
      <c r="G514" s="1">
        <v>3004.0</v>
      </c>
      <c r="H514" s="1">
        <v>32.3535</v>
      </c>
      <c r="I514" s="1">
        <v>0.0</v>
      </c>
      <c r="J514" s="1">
        <v>32.3535</v>
      </c>
      <c r="K514" s="1">
        <v>1201.0</v>
      </c>
    </row>
    <row r="515">
      <c r="A515" s="1" t="s">
        <v>19</v>
      </c>
      <c r="B515" s="1" t="s">
        <v>1192</v>
      </c>
      <c r="C515" s="1" t="s">
        <v>46</v>
      </c>
      <c r="D515" s="1">
        <v>10.0</v>
      </c>
      <c r="E515" s="1">
        <v>91049.0</v>
      </c>
      <c r="F515" s="1">
        <v>0.0</v>
      </c>
      <c r="G515" s="1">
        <v>3004.0</v>
      </c>
      <c r="H515" s="1">
        <v>30.3093</v>
      </c>
      <c r="I515" s="1">
        <v>0.0</v>
      </c>
      <c r="J515" s="1">
        <v>30.3093</v>
      </c>
      <c r="K515" s="1">
        <v>1164.0</v>
      </c>
    </row>
    <row r="516">
      <c r="A516" s="1" t="s">
        <v>19</v>
      </c>
      <c r="B516" s="1" t="s">
        <v>1192</v>
      </c>
      <c r="C516" s="1" t="s">
        <v>46</v>
      </c>
      <c r="D516" s="1">
        <v>11.0</v>
      </c>
      <c r="E516" s="1">
        <v>115437.0</v>
      </c>
      <c r="F516" s="1">
        <v>0.0</v>
      </c>
      <c r="G516" s="1">
        <v>3004.0</v>
      </c>
      <c r="H516" s="1">
        <v>38.4278</v>
      </c>
      <c r="I516" s="1">
        <v>0.0</v>
      </c>
      <c r="J516" s="1">
        <v>38.4278</v>
      </c>
      <c r="K516" s="1">
        <v>1148.0</v>
      </c>
    </row>
    <row r="517">
      <c r="A517" s="1" t="s">
        <v>19</v>
      </c>
      <c r="B517" s="1" t="s">
        <v>1192</v>
      </c>
      <c r="C517" s="1" t="s">
        <v>46</v>
      </c>
      <c r="D517" s="1">
        <v>12.0</v>
      </c>
      <c r="E517" s="1">
        <v>122980.0</v>
      </c>
      <c r="F517" s="1">
        <v>0.0</v>
      </c>
      <c r="G517" s="1">
        <v>3004.0</v>
      </c>
      <c r="H517" s="1">
        <v>40.9387</v>
      </c>
      <c r="I517" s="1">
        <v>0.0</v>
      </c>
      <c r="J517" s="1">
        <v>40.9387</v>
      </c>
      <c r="K517" s="1">
        <v>1156.0</v>
      </c>
    </row>
    <row r="518">
      <c r="A518" s="1" t="s">
        <v>19</v>
      </c>
      <c r="B518" s="1" t="s">
        <v>1192</v>
      </c>
      <c r="C518" s="1" t="s">
        <v>46</v>
      </c>
      <c r="D518" s="1">
        <v>13.0</v>
      </c>
      <c r="E518" s="1">
        <v>102666.0</v>
      </c>
      <c r="F518" s="1">
        <v>0.0</v>
      </c>
      <c r="G518" s="1">
        <v>3004.0</v>
      </c>
      <c r="H518" s="1">
        <v>34.1764</v>
      </c>
      <c r="I518" s="1">
        <v>0.0</v>
      </c>
      <c r="J518" s="1">
        <v>34.1764</v>
      </c>
      <c r="K518" s="1">
        <v>1119.0</v>
      </c>
    </row>
    <row r="519">
      <c r="A519" s="1" t="s">
        <v>19</v>
      </c>
      <c r="B519" s="1" t="s">
        <v>1192</v>
      </c>
      <c r="C519" s="1" t="s">
        <v>46</v>
      </c>
      <c r="D519" s="1">
        <v>14.0</v>
      </c>
      <c r="E519" s="1">
        <v>98146.0</v>
      </c>
      <c r="F519" s="1">
        <v>0.0</v>
      </c>
      <c r="G519" s="1">
        <v>3004.0</v>
      </c>
      <c r="H519" s="1">
        <v>32.6718</v>
      </c>
      <c r="I519" s="1">
        <v>0.0</v>
      </c>
      <c r="J519" s="1">
        <v>32.6718</v>
      </c>
      <c r="K519" s="1">
        <v>1132.0</v>
      </c>
    </row>
    <row r="520">
      <c r="A520" s="1" t="s">
        <v>19</v>
      </c>
      <c r="B520" s="1" t="s">
        <v>1192</v>
      </c>
      <c r="C520" s="1" t="s">
        <v>46</v>
      </c>
      <c r="D520" s="1">
        <v>15.0</v>
      </c>
      <c r="E520" s="1">
        <v>147766.0</v>
      </c>
      <c r="F520" s="1">
        <v>0.0</v>
      </c>
      <c r="G520" s="1">
        <v>3004.0</v>
      </c>
      <c r="H520" s="1">
        <v>49.1897</v>
      </c>
      <c r="I520" s="1">
        <v>0.0</v>
      </c>
      <c r="J520" s="1">
        <v>49.1897</v>
      </c>
      <c r="K520" s="1">
        <v>1258.0</v>
      </c>
    </row>
    <row r="521">
      <c r="A521" s="1" t="s">
        <v>19</v>
      </c>
      <c r="B521" s="1" t="s">
        <v>1192</v>
      </c>
      <c r="C521" s="1" t="s">
        <v>46</v>
      </c>
      <c r="D521" s="1">
        <v>16.0</v>
      </c>
      <c r="E521" s="1">
        <v>133641.0</v>
      </c>
      <c r="F521" s="1">
        <v>0.0</v>
      </c>
      <c r="G521" s="1">
        <v>3004.0</v>
      </c>
      <c r="H521" s="1">
        <v>44.4877</v>
      </c>
      <c r="I521" s="1">
        <v>0.0</v>
      </c>
      <c r="J521" s="1">
        <v>44.4877</v>
      </c>
      <c r="K521" s="1">
        <v>1210.0</v>
      </c>
    </row>
    <row r="522">
      <c r="A522" s="1" t="s">
        <v>19</v>
      </c>
      <c r="B522" s="1" t="s">
        <v>1192</v>
      </c>
      <c r="C522" s="1" t="s">
        <v>46</v>
      </c>
      <c r="D522" s="1">
        <v>17.0</v>
      </c>
      <c r="E522" s="1">
        <v>123593.0</v>
      </c>
      <c r="F522" s="1">
        <v>0.0</v>
      </c>
      <c r="G522" s="1">
        <v>3004.0</v>
      </c>
      <c r="H522" s="1">
        <v>41.1428</v>
      </c>
      <c r="I522" s="1">
        <v>0.0</v>
      </c>
      <c r="J522" s="1">
        <v>41.1428</v>
      </c>
      <c r="K522" s="1">
        <v>1193.0</v>
      </c>
    </row>
    <row r="523">
      <c r="A523" s="1" t="s">
        <v>19</v>
      </c>
      <c r="B523" s="1" t="s">
        <v>1192</v>
      </c>
      <c r="C523" s="1" t="s">
        <v>46</v>
      </c>
      <c r="D523" s="1">
        <v>18.0</v>
      </c>
      <c r="E523" s="1">
        <v>123068.0</v>
      </c>
      <c r="F523" s="1">
        <v>0.0</v>
      </c>
      <c r="G523" s="1">
        <v>3004.0</v>
      </c>
      <c r="H523" s="1">
        <v>40.968</v>
      </c>
      <c r="I523" s="1">
        <v>0.0</v>
      </c>
      <c r="J523" s="1">
        <v>40.968</v>
      </c>
      <c r="K523" s="1">
        <v>1148.0</v>
      </c>
    </row>
    <row r="524">
      <c r="A524" s="1" t="s">
        <v>19</v>
      </c>
      <c r="B524" s="1" t="s">
        <v>1192</v>
      </c>
      <c r="C524" s="1" t="s">
        <v>46</v>
      </c>
      <c r="D524" s="1">
        <v>19.0</v>
      </c>
      <c r="E524" s="1">
        <v>126966.0</v>
      </c>
      <c r="F524" s="1">
        <v>0.0</v>
      </c>
      <c r="G524" s="1">
        <v>3004.0</v>
      </c>
      <c r="H524" s="1">
        <v>42.2656</v>
      </c>
      <c r="I524" s="1">
        <v>0.0</v>
      </c>
      <c r="J524" s="1">
        <v>42.2656</v>
      </c>
      <c r="K524" s="1">
        <v>1154.0</v>
      </c>
    </row>
    <row r="525">
      <c r="A525" s="1" t="s">
        <v>19</v>
      </c>
      <c r="B525" s="1" t="s">
        <v>1192</v>
      </c>
      <c r="C525" s="1" t="s">
        <v>46</v>
      </c>
      <c r="D525" s="1">
        <v>20.0</v>
      </c>
      <c r="E525" s="1">
        <v>99318.0</v>
      </c>
      <c r="F525" s="1">
        <v>0.0</v>
      </c>
      <c r="G525" s="1">
        <v>3004.0</v>
      </c>
      <c r="H525" s="1">
        <v>33.0619</v>
      </c>
      <c r="I525" s="1">
        <v>0.0</v>
      </c>
      <c r="J525" s="1">
        <v>33.0619</v>
      </c>
      <c r="K525" s="1">
        <v>1073.0</v>
      </c>
    </row>
    <row r="526">
      <c r="A526" s="1" t="s">
        <v>19</v>
      </c>
      <c r="B526" s="1" t="s">
        <v>1192</v>
      </c>
      <c r="C526" s="1" t="s">
        <v>46</v>
      </c>
      <c r="D526" s="1">
        <v>21.0</v>
      </c>
      <c r="E526" s="1">
        <v>99313.0</v>
      </c>
      <c r="F526" s="1">
        <v>0.0</v>
      </c>
      <c r="G526" s="1">
        <v>3004.0</v>
      </c>
      <c r="H526" s="1">
        <v>33.0603</v>
      </c>
      <c r="I526" s="1">
        <v>0.0</v>
      </c>
      <c r="J526" s="1">
        <v>33.0603</v>
      </c>
      <c r="K526" s="1">
        <v>1122.0</v>
      </c>
    </row>
    <row r="527">
      <c r="A527" s="1" t="s">
        <v>19</v>
      </c>
      <c r="B527" s="1" t="s">
        <v>1192</v>
      </c>
      <c r="C527" s="1" t="s">
        <v>1213</v>
      </c>
      <c r="D527" s="1">
        <v>1.0</v>
      </c>
      <c r="E527" s="1">
        <v>0.0</v>
      </c>
      <c r="F527" s="1">
        <v>0.0</v>
      </c>
      <c r="G527" s="1">
        <v>1547.0</v>
      </c>
      <c r="H527" s="1">
        <v>0.0</v>
      </c>
      <c r="I527" s="1">
        <v>0.0</v>
      </c>
      <c r="J527" s="1">
        <v>0.0</v>
      </c>
      <c r="K527" s="1">
        <v>1241.0</v>
      </c>
    </row>
    <row r="528">
      <c r="A528" s="1" t="s">
        <v>19</v>
      </c>
      <c r="B528" s="1" t="s">
        <v>1192</v>
      </c>
      <c r="C528" s="1" t="s">
        <v>1213</v>
      </c>
      <c r="D528" s="1">
        <v>2.0</v>
      </c>
      <c r="E528" s="1">
        <v>15.0</v>
      </c>
      <c r="F528" s="1">
        <v>0.0</v>
      </c>
      <c r="G528" s="1">
        <v>1547.0</v>
      </c>
      <c r="H528" s="1">
        <v>0.0097</v>
      </c>
      <c r="I528" s="1">
        <v>0.0</v>
      </c>
      <c r="J528" s="1">
        <v>0.0097</v>
      </c>
      <c r="K528" s="1">
        <v>1201.0</v>
      </c>
    </row>
    <row r="529">
      <c r="A529" s="1" t="s">
        <v>19</v>
      </c>
      <c r="B529" s="1" t="s">
        <v>1192</v>
      </c>
      <c r="C529" s="1" t="s">
        <v>1213</v>
      </c>
      <c r="D529" s="1">
        <v>3.0</v>
      </c>
      <c r="E529" s="1">
        <v>0.0</v>
      </c>
      <c r="F529" s="1">
        <v>0.0</v>
      </c>
      <c r="G529" s="1">
        <v>1547.0</v>
      </c>
      <c r="H529" s="1">
        <v>0.0</v>
      </c>
      <c r="I529" s="1">
        <v>0.0</v>
      </c>
      <c r="J529" s="1">
        <v>0.0</v>
      </c>
      <c r="K529" s="1">
        <v>1187.0</v>
      </c>
    </row>
    <row r="530">
      <c r="A530" s="1" t="s">
        <v>19</v>
      </c>
      <c r="B530" s="1" t="s">
        <v>1192</v>
      </c>
      <c r="C530" s="1" t="s">
        <v>1213</v>
      </c>
      <c r="D530" s="1">
        <v>4.0</v>
      </c>
      <c r="E530" s="1">
        <v>0.0</v>
      </c>
      <c r="F530" s="1">
        <v>0.0</v>
      </c>
      <c r="G530" s="1">
        <v>1547.0</v>
      </c>
      <c r="H530" s="1">
        <v>0.0</v>
      </c>
      <c r="I530" s="1">
        <v>0.0</v>
      </c>
      <c r="J530" s="1">
        <v>0.0</v>
      </c>
      <c r="K530" s="1">
        <v>1176.0</v>
      </c>
    </row>
    <row r="531">
      <c r="A531" s="1" t="s">
        <v>19</v>
      </c>
      <c r="B531" s="1" t="s">
        <v>1192</v>
      </c>
      <c r="C531" s="1" t="s">
        <v>1213</v>
      </c>
      <c r="D531" s="1">
        <v>5.0</v>
      </c>
      <c r="E531" s="1">
        <v>0.0</v>
      </c>
      <c r="F531" s="1">
        <v>0.0</v>
      </c>
      <c r="G531" s="1">
        <v>1547.0</v>
      </c>
      <c r="H531" s="1">
        <v>0.0</v>
      </c>
      <c r="I531" s="1">
        <v>0.0</v>
      </c>
      <c r="J531" s="1">
        <v>0.0</v>
      </c>
      <c r="K531" s="1">
        <v>1154.0</v>
      </c>
    </row>
    <row r="532">
      <c r="A532" s="1" t="s">
        <v>19</v>
      </c>
      <c r="B532" s="1" t="s">
        <v>1192</v>
      </c>
      <c r="C532" s="1" t="s">
        <v>1213</v>
      </c>
      <c r="D532" s="1">
        <v>6.0</v>
      </c>
      <c r="E532" s="1">
        <v>0.0</v>
      </c>
      <c r="F532" s="1">
        <v>0.0</v>
      </c>
      <c r="G532" s="1">
        <v>1547.0</v>
      </c>
      <c r="H532" s="1">
        <v>0.0</v>
      </c>
      <c r="I532" s="1">
        <v>0.0</v>
      </c>
      <c r="J532" s="1">
        <v>0.0</v>
      </c>
      <c r="K532" s="1">
        <v>1148.0</v>
      </c>
    </row>
    <row r="533">
      <c r="A533" s="1" t="s">
        <v>19</v>
      </c>
      <c r="B533" s="1" t="s">
        <v>1192</v>
      </c>
      <c r="C533" s="1" t="s">
        <v>1213</v>
      </c>
      <c r="D533" s="1">
        <v>7.0</v>
      </c>
      <c r="E533" s="1">
        <v>0.0</v>
      </c>
      <c r="F533" s="1">
        <v>0.0</v>
      </c>
      <c r="G533" s="1">
        <v>1547.0</v>
      </c>
      <c r="H533" s="1">
        <v>0.0</v>
      </c>
      <c r="I533" s="1">
        <v>0.0</v>
      </c>
      <c r="J533" s="1">
        <v>0.0</v>
      </c>
      <c r="K533" s="1">
        <v>1122.0</v>
      </c>
    </row>
    <row r="534">
      <c r="A534" s="1" t="s">
        <v>19</v>
      </c>
      <c r="B534" s="1" t="s">
        <v>1192</v>
      </c>
      <c r="C534" s="1" t="s">
        <v>1213</v>
      </c>
      <c r="D534" s="1">
        <v>8.0</v>
      </c>
      <c r="E534" s="1">
        <v>4115.0</v>
      </c>
      <c r="F534" s="1">
        <v>0.0</v>
      </c>
      <c r="G534" s="1">
        <v>1547.0</v>
      </c>
      <c r="H534" s="1">
        <v>2.66</v>
      </c>
      <c r="I534" s="1">
        <v>0.0</v>
      </c>
      <c r="J534" s="1">
        <v>2.66</v>
      </c>
      <c r="K534" s="1">
        <v>1214.0</v>
      </c>
    </row>
    <row r="535">
      <c r="A535" s="1" t="s">
        <v>19</v>
      </c>
      <c r="B535" s="1" t="s">
        <v>1192</v>
      </c>
      <c r="C535" s="1" t="s">
        <v>1213</v>
      </c>
      <c r="D535" s="1">
        <v>9.0</v>
      </c>
      <c r="E535" s="1">
        <v>3910.0</v>
      </c>
      <c r="F535" s="1">
        <v>0.0</v>
      </c>
      <c r="G535" s="1">
        <v>1547.0</v>
      </c>
      <c r="H535" s="1">
        <v>2.5275</v>
      </c>
      <c r="I535" s="1">
        <v>0.0</v>
      </c>
      <c r="J535" s="1">
        <v>2.5275</v>
      </c>
      <c r="K535" s="1">
        <v>1201.0</v>
      </c>
    </row>
    <row r="536">
      <c r="A536" s="1" t="s">
        <v>19</v>
      </c>
      <c r="B536" s="1" t="s">
        <v>1192</v>
      </c>
      <c r="C536" s="1" t="s">
        <v>1213</v>
      </c>
      <c r="D536" s="1">
        <v>10.0</v>
      </c>
      <c r="E536" s="1">
        <v>2640.0</v>
      </c>
      <c r="F536" s="1">
        <v>0.0</v>
      </c>
      <c r="G536" s="1">
        <v>1547.0</v>
      </c>
      <c r="H536" s="1">
        <v>1.7065</v>
      </c>
      <c r="I536" s="1">
        <v>0.0</v>
      </c>
      <c r="J536" s="1">
        <v>1.7065</v>
      </c>
      <c r="K536" s="1">
        <v>1164.0</v>
      </c>
    </row>
    <row r="537">
      <c r="A537" s="1" t="s">
        <v>19</v>
      </c>
      <c r="B537" s="1" t="s">
        <v>1192</v>
      </c>
      <c r="C537" s="1" t="s">
        <v>1213</v>
      </c>
      <c r="D537" s="1">
        <v>11.0</v>
      </c>
      <c r="E537" s="1">
        <v>1950.0</v>
      </c>
      <c r="F537" s="1">
        <v>0.0</v>
      </c>
      <c r="G537" s="1">
        <v>1547.0</v>
      </c>
      <c r="H537" s="1">
        <v>1.2605</v>
      </c>
      <c r="I537" s="1">
        <v>0.0</v>
      </c>
      <c r="J537" s="1">
        <v>1.2605</v>
      </c>
      <c r="K537" s="1">
        <v>1148.0</v>
      </c>
    </row>
    <row r="538">
      <c r="A538" s="1" t="s">
        <v>19</v>
      </c>
      <c r="B538" s="1" t="s">
        <v>1192</v>
      </c>
      <c r="C538" s="1" t="s">
        <v>1213</v>
      </c>
      <c r="D538" s="1">
        <v>12.0</v>
      </c>
      <c r="E538" s="1">
        <v>305.0</v>
      </c>
      <c r="F538" s="1">
        <v>0.0</v>
      </c>
      <c r="G538" s="1">
        <v>1547.0</v>
      </c>
      <c r="H538" s="1">
        <v>0.1972</v>
      </c>
      <c r="I538" s="1">
        <v>0.0</v>
      </c>
      <c r="J538" s="1">
        <v>0.1972</v>
      </c>
      <c r="K538" s="1">
        <v>1156.0</v>
      </c>
    </row>
    <row r="539">
      <c r="A539" s="1" t="s">
        <v>19</v>
      </c>
      <c r="B539" s="1" t="s">
        <v>1192</v>
      </c>
      <c r="C539" s="1" t="s">
        <v>1213</v>
      </c>
      <c r="D539" s="1">
        <v>13.0</v>
      </c>
      <c r="E539" s="1">
        <v>25.0</v>
      </c>
      <c r="F539" s="1">
        <v>0.0</v>
      </c>
      <c r="G539" s="1">
        <v>1547.0</v>
      </c>
      <c r="H539" s="1">
        <v>0.0162</v>
      </c>
      <c r="I539" s="1">
        <v>0.0</v>
      </c>
      <c r="J539" s="1">
        <v>0.0162</v>
      </c>
      <c r="K539" s="1">
        <v>1119.0</v>
      </c>
    </row>
    <row r="540">
      <c r="A540" s="1" t="s">
        <v>19</v>
      </c>
      <c r="B540" s="1" t="s">
        <v>1192</v>
      </c>
      <c r="C540" s="1" t="s">
        <v>1213</v>
      </c>
      <c r="D540" s="1">
        <v>14.0</v>
      </c>
      <c r="E540" s="1">
        <v>0.0</v>
      </c>
      <c r="F540" s="1">
        <v>0.0</v>
      </c>
      <c r="G540" s="1">
        <v>1547.0</v>
      </c>
      <c r="H540" s="1">
        <v>0.0</v>
      </c>
      <c r="I540" s="1">
        <v>0.0</v>
      </c>
      <c r="J540" s="1">
        <v>0.0</v>
      </c>
      <c r="K540" s="1">
        <v>1132.0</v>
      </c>
    </row>
    <row r="541">
      <c r="A541" s="1" t="s">
        <v>19</v>
      </c>
      <c r="B541" s="1" t="s">
        <v>1192</v>
      </c>
      <c r="C541" s="1" t="s">
        <v>1213</v>
      </c>
      <c r="D541" s="1">
        <v>15.0</v>
      </c>
      <c r="E541" s="1">
        <v>3730.0</v>
      </c>
      <c r="F541" s="1">
        <v>0.0</v>
      </c>
      <c r="G541" s="1">
        <v>1547.0</v>
      </c>
      <c r="H541" s="1">
        <v>2.4111</v>
      </c>
      <c r="I541" s="1">
        <v>0.0</v>
      </c>
      <c r="J541" s="1">
        <v>2.4111</v>
      </c>
      <c r="K541" s="1">
        <v>1258.0</v>
      </c>
    </row>
    <row r="542">
      <c r="A542" s="1" t="s">
        <v>19</v>
      </c>
      <c r="B542" s="1" t="s">
        <v>1192</v>
      </c>
      <c r="C542" s="1" t="s">
        <v>1213</v>
      </c>
      <c r="D542" s="1">
        <v>16.0</v>
      </c>
      <c r="E542" s="1">
        <v>3520.0</v>
      </c>
      <c r="F542" s="1">
        <v>0.0</v>
      </c>
      <c r="G542" s="1">
        <v>1547.0</v>
      </c>
      <c r="H542" s="1">
        <v>2.2754</v>
      </c>
      <c r="I542" s="1">
        <v>0.0</v>
      </c>
      <c r="J542" s="1">
        <v>2.2754</v>
      </c>
      <c r="K542" s="1">
        <v>1210.0</v>
      </c>
    </row>
    <row r="543">
      <c r="A543" s="1" t="s">
        <v>19</v>
      </c>
      <c r="B543" s="1" t="s">
        <v>1192</v>
      </c>
      <c r="C543" s="1" t="s">
        <v>1213</v>
      </c>
      <c r="D543" s="1">
        <v>17.0</v>
      </c>
      <c r="E543" s="1">
        <v>2905.0</v>
      </c>
      <c r="F543" s="1">
        <v>0.0</v>
      </c>
      <c r="G543" s="1">
        <v>1547.0</v>
      </c>
      <c r="H543" s="1">
        <v>1.8778</v>
      </c>
      <c r="I543" s="1">
        <v>0.0</v>
      </c>
      <c r="J543" s="1">
        <v>1.8778</v>
      </c>
      <c r="K543" s="1">
        <v>1193.0</v>
      </c>
    </row>
    <row r="544">
      <c r="A544" s="1" t="s">
        <v>19</v>
      </c>
      <c r="B544" s="1" t="s">
        <v>1192</v>
      </c>
      <c r="C544" s="1" t="s">
        <v>1213</v>
      </c>
      <c r="D544" s="1">
        <v>18.0</v>
      </c>
      <c r="E544" s="1">
        <v>2270.0</v>
      </c>
      <c r="F544" s="1">
        <v>0.0</v>
      </c>
      <c r="G544" s="1">
        <v>1547.0</v>
      </c>
      <c r="H544" s="1">
        <v>1.4674</v>
      </c>
      <c r="I544" s="1">
        <v>0.0</v>
      </c>
      <c r="J544" s="1">
        <v>1.4674</v>
      </c>
      <c r="K544" s="1">
        <v>1148.0</v>
      </c>
    </row>
    <row r="545">
      <c r="A545" s="1" t="s">
        <v>19</v>
      </c>
      <c r="B545" s="1" t="s">
        <v>1192</v>
      </c>
      <c r="C545" s="1" t="s">
        <v>1213</v>
      </c>
      <c r="D545" s="1">
        <v>19.0</v>
      </c>
      <c r="E545" s="1">
        <v>170.0</v>
      </c>
      <c r="F545" s="1">
        <v>0.0</v>
      </c>
      <c r="G545" s="1">
        <v>1547.0</v>
      </c>
      <c r="H545" s="1">
        <v>0.1099</v>
      </c>
      <c r="I545" s="1">
        <v>0.0</v>
      </c>
      <c r="J545" s="1">
        <v>0.1099</v>
      </c>
      <c r="K545" s="1">
        <v>1154.0</v>
      </c>
    </row>
    <row r="546">
      <c r="A546" s="1" t="s">
        <v>19</v>
      </c>
      <c r="B546" s="1" t="s">
        <v>1192</v>
      </c>
      <c r="C546" s="1" t="s">
        <v>1213</v>
      </c>
      <c r="D546" s="1">
        <v>20.0</v>
      </c>
      <c r="E546" s="1">
        <v>45.0</v>
      </c>
      <c r="F546" s="1">
        <v>0.0</v>
      </c>
      <c r="G546" s="1">
        <v>1547.0</v>
      </c>
      <c r="H546" s="1">
        <v>0.0291</v>
      </c>
      <c r="I546" s="1">
        <v>0.0</v>
      </c>
      <c r="J546" s="1">
        <v>0.0291</v>
      </c>
      <c r="K546" s="1">
        <v>1073.0</v>
      </c>
    </row>
    <row r="547">
      <c r="A547" s="1" t="s">
        <v>19</v>
      </c>
      <c r="B547" s="1" t="s">
        <v>1192</v>
      </c>
      <c r="C547" s="1" t="s">
        <v>1213</v>
      </c>
      <c r="D547" s="1">
        <v>21.0</v>
      </c>
      <c r="E547" s="1">
        <v>20.0</v>
      </c>
      <c r="F547" s="1">
        <v>0.0</v>
      </c>
      <c r="G547" s="1">
        <v>1547.0</v>
      </c>
      <c r="H547" s="1">
        <v>0.0129</v>
      </c>
      <c r="I547" s="1">
        <v>0.0</v>
      </c>
      <c r="J547" s="1">
        <v>0.0129</v>
      </c>
      <c r="K547" s="1">
        <v>1122.0</v>
      </c>
    </row>
    <row r="548">
      <c r="A548" s="1" t="s">
        <v>21</v>
      </c>
      <c r="B548" s="1" t="s">
        <v>180</v>
      </c>
      <c r="C548" s="1" t="s">
        <v>1205</v>
      </c>
      <c r="D548" s="1">
        <v>1.0</v>
      </c>
      <c r="E548" s="1">
        <v>586403.0906</v>
      </c>
      <c r="F548" s="1">
        <v>513650.0</v>
      </c>
      <c r="G548" s="1">
        <v>25267.0</v>
      </c>
      <c r="H548" s="1">
        <v>23.2083</v>
      </c>
      <c r="I548" s="1">
        <v>20.3289</v>
      </c>
      <c r="J548" s="1">
        <v>2.8794</v>
      </c>
      <c r="K548" s="1">
        <v>5527.0</v>
      </c>
    </row>
    <row r="549">
      <c r="A549" s="1" t="s">
        <v>21</v>
      </c>
      <c r="B549" s="1" t="s">
        <v>180</v>
      </c>
      <c r="C549" s="1" t="s">
        <v>1205</v>
      </c>
      <c r="D549" s="1">
        <v>2.0</v>
      </c>
      <c r="E549" s="1">
        <v>396851.3593</v>
      </c>
      <c r="F549" s="1">
        <v>425000.0</v>
      </c>
      <c r="G549" s="1">
        <v>25267.0</v>
      </c>
      <c r="H549" s="1">
        <v>15.7063</v>
      </c>
      <c r="I549" s="1">
        <v>16.8204</v>
      </c>
      <c r="J549" s="1">
        <v>-1.114</v>
      </c>
      <c r="K549" s="1">
        <v>5332.0</v>
      </c>
    </row>
    <row r="550">
      <c r="A550" s="1" t="s">
        <v>21</v>
      </c>
      <c r="B550" s="1" t="s">
        <v>180</v>
      </c>
      <c r="C550" s="1" t="s">
        <v>1205</v>
      </c>
      <c r="D550" s="1">
        <v>3.0</v>
      </c>
      <c r="E550" s="1">
        <v>368968.0923</v>
      </c>
      <c r="F550" s="1">
        <v>384600.0</v>
      </c>
      <c r="G550" s="1">
        <v>25267.0</v>
      </c>
      <c r="H550" s="1">
        <v>14.6028</v>
      </c>
      <c r="I550" s="1">
        <v>15.2214</v>
      </c>
      <c r="J550" s="1">
        <v>-0.6187</v>
      </c>
      <c r="K550" s="1">
        <v>5235.0</v>
      </c>
    </row>
    <row r="551">
      <c r="A551" s="1" t="s">
        <v>21</v>
      </c>
      <c r="B551" s="1" t="s">
        <v>180</v>
      </c>
      <c r="C551" s="1" t="s">
        <v>1205</v>
      </c>
      <c r="D551" s="1">
        <v>4.0</v>
      </c>
      <c r="E551" s="1">
        <v>322389.0572</v>
      </c>
      <c r="F551" s="1">
        <v>336750.0</v>
      </c>
      <c r="G551" s="1">
        <v>25267.0</v>
      </c>
      <c r="H551" s="1">
        <v>12.7593</v>
      </c>
      <c r="I551" s="1">
        <v>13.3277</v>
      </c>
      <c r="J551" s="1">
        <v>-0.5684</v>
      </c>
      <c r="K551" s="1">
        <v>4898.0</v>
      </c>
    </row>
    <row r="552">
      <c r="A552" s="1" t="s">
        <v>21</v>
      </c>
      <c r="B552" s="1" t="s">
        <v>180</v>
      </c>
      <c r="C552" s="1" t="s">
        <v>1205</v>
      </c>
      <c r="D552" s="1">
        <v>5.0</v>
      </c>
      <c r="E552" s="1">
        <v>476350.0303</v>
      </c>
      <c r="F552" s="1">
        <v>396100.0</v>
      </c>
      <c r="G552" s="1">
        <v>25267.0</v>
      </c>
      <c r="H552" s="1">
        <v>18.8527</v>
      </c>
      <c r="I552" s="1">
        <v>15.6766</v>
      </c>
      <c r="J552" s="1">
        <v>3.1761</v>
      </c>
      <c r="K552" s="1">
        <v>4863.0</v>
      </c>
    </row>
    <row r="553">
      <c r="A553" s="1" t="s">
        <v>21</v>
      </c>
      <c r="B553" s="1" t="s">
        <v>180</v>
      </c>
      <c r="C553" s="1" t="s">
        <v>1205</v>
      </c>
      <c r="D553" s="1">
        <v>6.0</v>
      </c>
      <c r="E553" s="1">
        <v>343015.619</v>
      </c>
      <c r="F553" s="1">
        <v>349750.0</v>
      </c>
      <c r="G553" s="1">
        <v>25267.0</v>
      </c>
      <c r="H553" s="1">
        <v>13.5756</v>
      </c>
      <c r="I553" s="1">
        <v>13.8422</v>
      </c>
      <c r="J553" s="1">
        <v>-0.2665</v>
      </c>
      <c r="K553" s="1">
        <v>4807.0</v>
      </c>
    </row>
    <row r="554">
      <c r="A554" s="1" t="s">
        <v>21</v>
      </c>
      <c r="B554" s="1" t="s">
        <v>180</v>
      </c>
      <c r="C554" s="1" t="s">
        <v>1205</v>
      </c>
      <c r="D554" s="1">
        <v>7.0</v>
      </c>
      <c r="E554" s="1">
        <v>337379.5</v>
      </c>
      <c r="F554" s="1">
        <v>341400.0</v>
      </c>
      <c r="G554" s="1">
        <v>25267.0</v>
      </c>
      <c r="H554" s="1">
        <v>13.3526</v>
      </c>
      <c r="I554" s="1">
        <v>13.5117</v>
      </c>
      <c r="J554" s="1">
        <v>-0.1591</v>
      </c>
      <c r="K554" s="1">
        <v>4848.0</v>
      </c>
    </row>
    <row r="555">
      <c r="A555" s="1" t="s">
        <v>21</v>
      </c>
      <c r="B555" s="1" t="s">
        <v>180</v>
      </c>
      <c r="C555" s="1" t="s">
        <v>1205</v>
      </c>
      <c r="D555" s="1">
        <v>8.0</v>
      </c>
      <c r="E555" s="1">
        <v>525281.1114</v>
      </c>
      <c r="F555" s="1">
        <v>427100.0</v>
      </c>
      <c r="G555" s="1">
        <v>25267.0</v>
      </c>
      <c r="H555" s="1">
        <v>20.7892</v>
      </c>
      <c r="I555" s="1">
        <v>16.9035</v>
      </c>
      <c r="J555" s="1">
        <v>3.8857</v>
      </c>
      <c r="K555" s="1">
        <v>4974.0</v>
      </c>
    </row>
    <row r="556">
      <c r="A556" s="1" t="s">
        <v>21</v>
      </c>
      <c r="B556" s="1" t="s">
        <v>180</v>
      </c>
      <c r="C556" s="1" t="s">
        <v>1205</v>
      </c>
      <c r="D556" s="1">
        <v>9.0</v>
      </c>
      <c r="E556" s="1">
        <v>373598.3099</v>
      </c>
      <c r="F556" s="1">
        <v>373700.0</v>
      </c>
      <c r="G556" s="1">
        <v>25267.0</v>
      </c>
      <c r="H556" s="1">
        <v>14.786</v>
      </c>
      <c r="I556" s="1">
        <v>14.79</v>
      </c>
      <c r="J556" s="1">
        <v>-0.004</v>
      </c>
      <c r="K556" s="1">
        <v>4991.0</v>
      </c>
    </row>
    <row r="557">
      <c r="A557" s="1" t="s">
        <v>21</v>
      </c>
      <c r="B557" s="1" t="s">
        <v>180</v>
      </c>
      <c r="C557" s="1" t="s">
        <v>1205</v>
      </c>
      <c r="D557" s="1">
        <v>10.0</v>
      </c>
      <c r="E557" s="1">
        <v>343944.2547</v>
      </c>
      <c r="F557" s="1">
        <v>341600.0</v>
      </c>
      <c r="G557" s="1">
        <v>25267.0</v>
      </c>
      <c r="H557" s="1">
        <v>13.6124</v>
      </c>
      <c r="I557" s="1">
        <v>13.5196</v>
      </c>
      <c r="J557" s="1">
        <v>0.0928</v>
      </c>
      <c r="K557" s="1">
        <v>4848.0</v>
      </c>
    </row>
    <row r="558">
      <c r="A558" s="1" t="s">
        <v>21</v>
      </c>
      <c r="B558" s="1" t="s">
        <v>180</v>
      </c>
      <c r="C558" s="1" t="s">
        <v>1205</v>
      </c>
      <c r="D558" s="1">
        <v>11.0</v>
      </c>
      <c r="E558" s="1">
        <v>310595.1926</v>
      </c>
      <c r="F558" s="1">
        <v>325550.0</v>
      </c>
      <c r="G558" s="1">
        <v>25267.0</v>
      </c>
      <c r="H558" s="1">
        <v>12.2925</v>
      </c>
      <c r="I558" s="1">
        <v>12.8844</v>
      </c>
      <c r="J558" s="1">
        <v>-0.5919</v>
      </c>
      <c r="K558" s="1">
        <v>4828.0</v>
      </c>
    </row>
    <row r="559">
      <c r="A559" s="1" t="s">
        <v>21</v>
      </c>
      <c r="B559" s="1" t="s">
        <v>180</v>
      </c>
      <c r="C559" s="1" t="s">
        <v>1205</v>
      </c>
      <c r="D559" s="1">
        <v>12.0</v>
      </c>
      <c r="E559" s="1">
        <v>446922.7381</v>
      </c>
      <c r="F559" s="1">
        <v>381900.0</v>
      </c>
      <c r="G559" s="1">
        <v>25267.0</v>
      </c>
      <c r="H559" s="1">
        <v>17.688</v>
      </c>
      <c r="I559" s="1">
        <v>15.1146</v>
      </c>
      <c r="J559" s="1">
        <v>2.5734</v>
      </c>
      <c r="K559" s="1">
        <v>4927.0</v>
      </c>
    </row>
    <row r="560">
      <c r="A560" s="1" t="s">
        <v>21</v>
      </c>
      <c r="B560" s="1" t="s">
        <v>180</v>
      </c>
      <c r="C560" s="1" t="s">
        <v>1205</v>
      </c>
      <c r="D560" s="1">
        <v>13.0</v>
      </c>
      <c r="E560" s="1">
        <v>340448.0</v>
      </c>
      <c r="F560" s="1">
        <v>333050.0</v>
      </c>
      <c r="G560" s="1">
        <v>25267.0</v>
      </c>
      <c r="H560" s="1">
        <v>13.474</v>
      </c>
      <c r="I560" s="1">
        <v>13.1812</v>
      </c>
      <c r="J560" s="1">
        <v>0.2928</v>
      </c>
      <c r="K560" s="1">
        <v>4933.0</v>
      </c>
    </row>
    <row r="561">
      <c r="A561" s="1" t="s">
        <v>21</v>
      </c>
      <c r="B561" s="1" t="s">
        <v>180</v>
      </c>
      <c r="C561" s="1" t="s">
        <v>1205</v>
      </c>
      <c r="D561" s="1">
        <v>14.0</v>
      </c>
      <c r="E561" s="1">
        <v>334488.6667</v>
      </c>
      <c r="F561" s="1">
        <v>339200.0</v>
      </c>
      <c r="G561" s="1">
        <v>25267.0</v>
      </c>
      <c r="H561" s="1">
        <v>13.2382</v>
      </c>
      <c r="I561" s="1">
        <v>13.4246</v>
      </c>
      <c r="J561" s="1">
        <v>-0.1865</v>
      </c>
      <c r="K561" s="1">
        <v>5012.0</v>
      </c>
    </row>
    <row r="562">
      <c r="A562" s="1" t="s">
        <v>21</v>
      </c>
      <c r="B562" s="1" t="s">
        <v>180</v>
      </c>
      <c r="C562" s="1" t="s">
        <v>1205</v>
      </c>
      <c r="D562" s="1">
        <v>15.0</v>
      </c>
      <c r="E562" s="1">
        <v>531053.9304</v>
      </c>
      <c r="F562" s="1">
        <v>437000.0</v>
      </c>
      <c r="G562" s="1">
        <v>25267.0</v>
      </c>
      <c r="H562" s="1">
        <v>21.0177</v>
      </c>
      <c r="I562" s="1">
        <v>17.2953</v>
      </c>
      <c r="J562" s="1">
        <v>3.7224</v>
      </c>
      <c r="K562" s="1">
        <v>5184.0</v>
      </c>
    </row>
    <row r="563">
      <c r="A563" s="1" t="s">
        <v>21</v>
      </c>
      <c r="B563" s="1" t="s">
        <v>180</v>
      </c>
      <c r="C563" s="1" t="s">
        <v>1205</v>
      </c>
      <c r="D563" s="1">
        <v>16.0</v>
      </c>
      <c r="E563" s="1">
        <v>368770.1478</v>
      </c>
      <c r="F563" s="1">
        <v>373550.0</v>
      </c>
      <c r="G563" s="1">
        <v>25267.0</v>
      </c>
      <c r="H563" s="1">
        <v>14.5949</v>
      </c>
      <c r="I563" s="1">
        <v>14.7841</v>
      </c>
      <c r="J563" s="1">
        <v>-0.1892</v>
      </c>
      <c r="K563" s="1">
        <v>5138.0</v>
      </c>
    </row>
    <row r="564">
      <c r="A564" s="1" t="s">
        <v>21</v>
      </c>
      <c r="B564" s="1" t="s">
        <v>180</v>
      </c>
      <c r="C564" s="1" t="s">
        <v>1205</v>
      </c>
      <c r="D564" s="1">
        <v>17.0</v>
      </c>
      <c r="E564" s="1">
        <v>346215.1959</v>
      </c>
      <c r="F564" s="1">
        <v>363700.0</v>
      </c>
      <c r="G564" s="1">
        <v>25267.0</v>
      </c>
      <c r="H564" s="1">
        <v>13.7023</v>
      </c>
      <c r="I564" s="1">
        <v>14.3943</v>
      </c>
      <c r="J564" s="1">
        <v>-0.692</v>
      </c>
      <c r="K564" s="1">
        <v>5089.0</v>
      </c>
    </row>
    <row r="565">
      <c r="A565" s="1" t="s">
        <v>21</v>
      </c>
      <c r="B565" s="1" t="s">
        <v>180</v>
      </c>
      <c r="C565" s="1" t="s">
        <v>1205</v>
      </c>
      <c r="D565" s="1">
        <v>18.0</v>
      </c>
      <c r="E565" s="1">
        <v>289540.5009</v>
      </c>
      <c r="F565" s="1">
        <v>321000.0</v>
      </c>
      <c r="G565" s="1">
        <v>25267.0</v>
      </c>
      <c r="H565" s="1">
        <v>11.4592</v>
      </c>
      <c r="I565" s="1">
        <v>12.7043</v>
      </c>
      <c r="J565" s="1">
        <v>-1.2451</v>
      </c>
      <c r="K565" s="1">
        <v>4956.0</v>
      </c>
    </row>
    <row r="566">
      <c r="A566" s="1" t="s">
        <v>21</v>
      </c>
      <c r="B566" s="1" t="s">
        <v>180</v>
      </c>
      <c r="C566" s="1" t="s">
        <v>1205</v>
      </c>
      <c r="D566" s="1">
        <v>19.0</v>
      </c>
      <c r="E566" s="1">
        <v>397776.3333</v>
      </c>
      <c r="F566" s="1">
        <v>333750.0</v>
      </c>
      <c r="G566" s="1">
        <v>25267.0</v>
      </c>
      <c r="H566" s="1">
        <v>15.7429</v>
      </c>
      <c r="I566" s="1">
        <v>13.2089</v>
      </c>
      <c r="J566" s="1">
        <v>2.534</v>
      </c>
      <c r="K566" s="1">
        <v>4493.0</v>
      </c>
    </row>
    <row r="567">
      <c r="A567" s="1" t="s">
        <v>21</v>
      </c>
      <c r="B567" s="1" t="s">
        <v>180</v>
      </c>
      <c r="C567" s="1" t="s">
        <v>1205</v>
      </c>
      <c r="D567" s="1">
        <v>20.0</v>
      </c>
      <c r="E567" s="1">
        <v>322327.119</v>
      </c>
      <c r="F567" s="1">
        <v>343200.0</v>
      </c>
      <c r="G567" s="1">
        <v>25267.0</v>
      </c>
      <c r="H567" s="1">
        <v>12.7568</v>
      </c>
      <c r="I567" s="1">
        <v>13.5829</v>
      </c>
      <c r="J567" s="1">
        <v>-0.8261</v>
      </c>
      <c r="K567" s="1">
        <v>4412.0</v>
      </c>
    </row>
    <row r="568">
      <c r="A568" s="1" t="s">
        <v>21</v>
      </c>
      <c r="B568" s="1" t="s">
        <v>180</v>
      </c>
      <c r="C568" s="1" t="s">
        <v>1205</v>
      </c>
      <c r="D568" s="1">
        <v>21.0</v>
      </c>
      <c r="E568" s="1">
        <v>286861.1429</v>
      </c>
      <c r="F568" s="1">
        <v>312250.0</v>
      </c>
      <c r="G568" s="1">
        <v>25267.0</v>
      </c>
      <c r="H568" s="1">
        <v>11.3532</v>
      </c>
      <c r="I568" s="1">
        <v>12.358</v>
      </c>
      <c r="J568" s="1">
        <v>-1.0048</v>
      </c>
      <c r="K568" s="1">
        <v>4334.0</v>
      </c>
    </row>
    <row r="569">
      <c r="A569" s="1" t="s">
        <v>21</v>
      </c>
      <c r="B569" s="1" t="s">
        <v>180</v>
      </c>
      <c r="C569" s="1" t="s">
        <v>52</v>
      </c>
      <c r="D569" s="1">
        <v>1.0</v>
      </c>
      <c r="E569" s="1">
        <v>9678.0</v>
      </c>
      <c r="F569" s="1">
        <v>6739.0</v>
      </c>
      <c r="G569" s="1">
        <v>14214.0</v>
      </c>
      <c r="H569" s="1">
        <v>0.6809</v>
      </c>
      <c r="I569" s="1">
        <v>0.4741</v>
      </c>
      <c r="J569" s="1">
        <v>0.2068</v>
      </c>
      <c r="K569" s="1">
        <v>5527.0</v>
      </c>
    </row>
    <row r="570">
      <c r="A570" s="1" t="s">
        <v>21</v>
      </c>
      <c r="B570" s="1" t="s">
        <v>180</v>
      </c>
      <c r="C570" s="1" t="s">
        <v>52</v>
      </c>
      <c r="D570" s="1">
        <v>2.0</v>
      </c>
      <c r="E570" s="1">
        <v>6997.0</v>
      </c>
      <c r="F570" s="1">
        <v>6042.0</v>
      </c>
      <c r="G570" s="1">
        <v>14214.0</v>
      </c>
      <c r="H570" s="1">
        <v>0.4923</v>
      </c>
      <c r="I570" s="1">
        <v>0.4251</v>
      </c>
      <c r="J570" s="1">
        <v>0.0672</v>
      </c>
      <c r="K570" s="1">
        <v>5332.0</v>
      </c>
    </row>
    <row r="571">
      <c r="A571" s="1" t="s">
        <v>21</v>
      </c>
      <c r="B571" s="1" t="s">
        <v>180</v>
      </c>
      <c r="C571" s="1" t="s">
        <v>52</v>
      </c>
      <c r="D571" s="1">
        <v>3.0</v>
      </c>
      <c r="E571" s="1">
        <v>6880.0</v>
      </c>
      <c r="F571" s="1">
        <v>5848.0</v>
      </c>
      <c r="G571" s="1">
        <v>14214.0</v>
      </c>
      <c r="H571" s="1">
        <v>0.484</v>
      </c>
      <c r="I571" s="1">
        <v>0.4114</v>
      </c>
      <c r="J571" s="1">
        <v>0.0726</v>
      </c>
      <c r="K571" s="1">
        <v>5235.0</v>
      </c>
    </row>
    <row r="572">
      <c r="A572" s="1" t="s">
        <v>21</v>
      </c>
      <c r="B572" s="1" t="s">
        <v>180</v>
      </c>
      <c r="C572" s="1" t="s">
        <v>52</v>
      </c>
      <c r="D572" s="1">
        <v>4.0</v>
      </c>
      <c r="E572" s="1">
        <v>5329.0</v>
      </c>
      <c r="F572" s="1">
        <v>5141.0</v>
      </c>
      <c r="G572" s="1">
        <v>14214.0</v>
      </c>
      <c r="H572" s="1">
        <v>0.3749</v>
      </c>
      <c r="I572" s="1">
        <v>0.3617</v>
      </c>
      <c r="J572" s="1">
        <v>0.0132</v>
      </c>
      <c r="K572" s="1">
        <v>4898.0</v>
      </c>
    </row>
    <row r="573">
      <c r="A573" s="1" t="s">
        <v>21</v>
      </c>
      <c r="B573" s="1" t="s">
        <v>180</v>
      </c>
      <c r="C573" s="1" t="s">
        <v>52</v>
      </c>
      <c r="D573" s="1">
        <v>5.0</v>
      </c>
      <c r="E573" s="1">
        <v>6176.0</v>
      </c>
      <c r="F573" s="1">
        <v>5329.0</v>
      </c>
      <c r="G573" s="1">
        <v>14214.0</v>
      </c>
      <c r="H573" s="1">
        <v>0.4345</v>
      </c>
      <c r="I573" s="1">
        <v>0.3749</v>
      </c>
      <c r="J573" s="1">
        <v>0.0596</v>
      </c>
      <c r="K573" s="1">
        <v>4863.0</v>
      </c>
    </row>
    <row r="574">
      <c r="A574" s="1" t="s">
        <v>21</v>
      </c>
      <c r="B574" s="1" t="s">
        <v>180</v>
      </c>
      <c r="C574" s="1" t="s">
        <v>52</v>
      </c>
      <c r="D574" s="1">
        <v>6.0</v>
      </c>
      <c r="E574" s="1">
        <v>3885.0</v>
      </c>
      <c r="F574" s="1">
        <v>4477.0</v>
      </c>
      <c r="G574" s="1">
        <v>14214.0</v>
      </c>
      <c r="H574" s="1">
        <v>0.2733</v>
      </c>
      <c r="I574" s="1">
        <v>0.315</v>
      </c>
      <c r="J574" s="1">
        <v>-0.0416</v>
      </c>
      <c r="K574" s="1">
        <v>4807.0</v>
      </c>
    </row>
    <row r="575">
      <c r="A575" s="1" t="s">
        <v>21</v>
      </c>
      <c r="B575" s="1" t="s">
        <v>180</v>
      </c>
      <c r="C575" s="1" t="s">
        <v>52</v>
      </c>
      <c r="D575" s="1">
        <v>7.0</v>
      </c>
      <c r="E575" s="1">
        <v>3697.0</v>
      </c>
      <c r="F575" s="1">
        <v>4308.0</v>
      </c>
      <c r="G575" s="1">
        <v>14214.0</v>
      </c>
      <c r="H575" s="1">
        <v>0.2601</v>
      </c>
      <c r="I575" s="1">
        <v>0.3031</v>
      </c>
      <c r="J575" s="1">
        <v>-0.043</v>
      </c>
      <c r="K575" s="1">
        <v>4848.0</v>
      </c>
    </row>
    <row r="576">
      <c r="A576" s="1" t="s">
        <v>21</v>
      </c>
      <c r="B576" s="1" t="s">
        <v>180</v>
      </c>
      <c r="C576" s="1" t="s">
        <v>52</v>
      </c>
      <c r="D576" s="1">
        <v>8.0</v>
      </c>
      <c r="E576" s="1">
        <v>8610.0</v>
      </c>
      <c r="F576" s="1">
        <v>5901.0</v>
      </c>
      <c r="G576" s="1">
        <v>14214.0</v>
      </c>
      <c r="H576" s="1">
        <v>0.6057</v>
      </c>
      <c r="I576" s="1">
        <v>0.4152</v>
      </c>
      <c r="J576" s="1">
        <v>0.1906</v>
      </c>
      <c r="K576" s="1">
        <v>4974.0</v>
      </c>
    </row>
    <row r="577">
      <c r="A577" s="1" t="s">
        <v>21</v>
      </c>
      <c r="B577" s="1" t="s">
        <v>180</v>
      </c>
      <c r="C577" s="1" t="s">
        <v>52</v>
      </c>
      <c r="D577" s="1">
        <v>9.0</v>
      </c>
      <c r="E577" s="1">
        <v>6690.0</v>
      </c>
      <c r="F577" s="1">
        <v>5819.0</v>
      </c>
      <c r="G577" s="1">
        <v>14214.0</v>
      </c>
      <c r="H577" s="1">
        <v>0.4707</v>
      </c>
      <c r="I577" s="1">
        <v>0.4094</v>
      </c>
      <c r="J577" s="1">
        <v>0.0613</v>
      </c>
      <c r="K577" s="1">
        <v>4991.0</v>
      </c>
    </row>
    <row r="578">
      <c r="A578" s="1" t="s">
        <v>21</v>
      </c>
      <c r="B578" s="1" t="s">
        <v>180</v>
      </c>
      <c r="C578" s="1" t="s">
        <v>52</v>
      </c>
      <c r="D578" s="1">
        <v>10.0</v>
      </c>
      <c r="E578" s="1">
        <v>6782.0</v>
      </c>
      <c r="F578" s="1">
        <v>5476.0</v>
      </c>
      <c r="G578" s="1">
        <v>14214.0</v>
      </c>
      <c r="H578" s="1">
        <v>0.4771</v>
      </c>
      <c r="I578" s="1">
        <v>0.3853</v>
      </c>
      <c r="J578" s="1">
        <v>0.0919</v>
      </c>
      <c r="K578" s="1">
        <v>4848.0</v>
      </c>
    </row>
    <row r="579">
      <c r="A579" s="1" t="s">
        <v>21</v>
      </c>
      <c r="B579" s="1" t="s">
        <v>180</v>
      </c>
      <c r="C579" s="1" t="s">
        <v>52</v>
      </c>
      <c r="D579" s="1">
        <v>11.0</v>
      </c>
      <c r="E579" s="1">
        <v>5171.0</v>
      </c>
      <c r="F579" s="1">
        <v>4836.0</v>
      </c>
      <c r="G579" s="1">
        <v>14214.0</v>
      </c>
      <c r="H579" s="1">
        <v>0.3638</v>
      </c>
      <c r="I579" s="1">
        <v>0.3402</v>
      </c>
      <c r="J579" s="1">
        <v>0.0236</v>
      </c>
      <c r="K579" s="1">
        <v>4828.0</v>
      </c>
    </row>
    <row r="580">
      <c r="A580" s="1" t="s">
        <v>21</v>
      </c>
      <c r="B580" s="1" t="s">
        <v>180</v>
      </c>
      <c r="C580" s="1" t="s">
        <v>52</v>
      </c>
      <c r="D580" s="1">
        <v>12.0</v>
      </c>
      <c r="E580" s="1">
        <v>6056.0</v>
      </c>
      <c r="F580" s="1">
        <v>5190.0</v>
      </c>
      <c r="G580" s="1">
        <v>14214.0</v>
      </c>
      <c r="H580" s="1">
        <v>0.4261</v>
      </c>
      <c r="I580" s="1">
        <v>0.3651</v>
      </c>
      <c r="J580" s="1">
        <v>0.0609</v>
      </c>
      <c r="K580" s="1">
        <v>4927.0</v>
      </c>
    </row>
    <row r="581">
      <c r="A581" s="1" t="s">
        <v>21</v>
      </c>
      <c r="B581" s="1" t="s">
        <v>180</v>
      </c>
      <c r="C581" s="1" t="s">
        <v>52</v>
      </c>
      <c r="D581" s="1">
        <v>13.0</v>
      </c>
      <c r="E581" s="1">
        <v>4000.0</v>
      </c>
      <c r="F581" s="1">
        <v>4667.0</v>
      </c>
      <c r="G581" s="1">
        <v>14214.0</v>
      </c>
      <c r="H581" s="1">
        <v>0.2814</v>
      </c>
      <c r="I581" s="1">
        <v>0.3283</v>
      </c>
      <c r="J581" s="1">
        <v>-0.0469</v>
      </c>
      <c r="K581" s="1">
        <v>4933.0</v>
      </c>
    </row>
    <row r="582">
      <c r="A582" s="1" t="s">
        <v>21</v>
      </c>
      <c r="B582" s="1" t="s">
        <v>180</v>
      </c>
      <c r="C582" s="1" t="s">
        <v>52</v>
      </c>
      <c r="D582" s="1">
        <v>14.0</v>
      </c>
      <c r="E582" s="1">
        <v>3862.0</v>
      </c>
      <c r="F582" s="1">
        <v>4472.0</v>
      </c>
      <c r="G582" s="1">
        <v>14214.0</v>
      </c>
      <c r="H582" s="1">
        <v>0.2717</v>
      </c>
      <c r="I582" s="1">
        <v>0.3146</v>
      </c>
      <c r="J582" s="1">
        <v>-0.0429</v>
      </c>
      <c r="K582" s="1">
        <v>5012.0</v>
      </c>
    </row>
    <row r="583">
      <c r="A583" s="1" t="s">
        <v>21</v>
      </c>
      <c r="B583" s="1" t="s">
        <v>180</v>
      </c>
      <c r="C583" s="1" t="s">
        <v>52</v>
      </c>
      <c r="D583" s="1">
        <v>15.0</v>
      </c>
      <c r="E583" s="1">
        <v>8711.0</v>
      </c>
      <c r="F583" s="1">
        <v>6298.0</v>
      </c>
      <c r="G583" s="1">
        <v>14214.0</v>
      </c>
      <c r="H583" s="1">
        <v>0.6128</v>
      </c>
      <c r="I583" s="1">
        <v>0.4431</v>
      </c>
      <c r="J583" s="1">
        <v>0.1698</v>
      </c>
      <c r="K583" s="1">
        <v>5184.0</v>
      </c>
    </row>
    <row r="584">
      <c r="A584" s="1" t="s">
        <v>21</v>
      </c>
      <c r="B584" s="1" t="s">
        <v>180</v>
      </c>
      <c r="C584" s="1" t="s">
        <v>52</v>
      </c>
      <c r="D584" s="1">
        <v>16.0</v>
      </c>
      <c r="E584" s="1">
        <v>6826.0</v>
      </c>
      <c r="F584" s="1">
        <v>5866.0</v>
      </c>
      <c r="G584" s="1">
        <v>14214.0</v>
      </c>
      <c r="H584" s="1">
        <v>0.4802</v>
      </c>
      <c r="I584" s="1">
        <v>0.4127</v>
      </c>
      <c r="J584" s="1">
        <v>0.0675</v>
      </c>
      <c r="K584" s="1">
        <v>5138.0</v>
      </c>
    </row>
    <row r="585">
      <c r="A585" s="1" t="s">
        <v>21</v>
      </c>
      <c r="B585" s="1" t="s">
        <v>180</v>
      </c>
      <c r="C585" s="1" t="s">
        <v>52</v>
      </c>
      <c r="D585" s="1">
        <v>17.0</v>
      </c>
      <c r="E585" s="1">
        <v>6615.0</v>
      </c>
      <c r="F585" s="1">
        <v>5573.0</v>
      </c>
      <c r="G585" s="1">
        <v>14214.0</v>
      </c>
      <c r="H585" s="1">
        <v>0.4654</v>
      </c>
      <c r="I585" s="1">
        <v>0.3921</v>
      </c>
      <c r="J585" s="1">
        <v>0.0733</v>
      </c>
      <c r="K585" s="1">
        <v>5089.0</v>
      </c>
    </row>
    <row r="586">
      <c r="A586" s="1" t="s">
        <v>21</v>
      </c>
      <c r="B586" s="1" t="s">
        <v>180</v>
      </c>
      <c r="C586" s="1" t="s">
        <v>52</v>
      </c>
      <c r="D586" s="1">
        <v>18.0</v>
      </c>
      <c r="E586" s="1">
        <v>4993.0</v>
      </c>
      <c r="F586" s="1">
        <v>4790.0</v>
      </c>
      <c r="G586" s="1">
        <v>14214.0</v>
      </c>
      <c r="H586" s="1">
        <v>0.3513</v>
      </c>
      <c r="I586" s="1">
        <v>0.337</v>
      </c>
      <c r="J586" s="1">
        <v>0.0143</v>
      </c>
      <c r="K586" s="1">
        <v>4956.0</v>
      </c>
    </row>
    <row r="587">
      <c r="A587" s="1" t="s">
        <v>21</v>
      </c>
      <c r="B587" s="1" t="s">
        <v>180</v>
      </c>
      <c r="C587" s="1" t="s">
        <v>52</v>
      </c>
      <c r="D587" s="1">
        <v>19.0</v>
      </c>
      <c r="E587" s="1">
        <v>5263.0</v>
      </c>
      <c r="F587" s="1">
        <v>4524.0</v>
      </c>
      <c r="G587" s="1">
        <v>14214.0</v>
      </c>
      <c r="H587" s="1">
        <v>0.3703</v>
      </c>
      <c r="I587" s="1">
        <v>0.3183</v>
      </c>
      <c r="J587" s="1">
        <v>0.052</v>
      </c>
      <c r="K587" s="1">
        <v>4493.0</v>
      </c>
    </row>
    <row r="588">
      <c r="A588" s="1" t="s">
        <v>21</v>
      </c>
      <c r="B588" s="1" t="s">
        <v>180</v>
      </c>
      <c r="C588" s="1" t="s">
        <v>52</v>
      </c>
      <c r="D588" s="1">
        <v>20.0</v>
      </c>
      <c r="E588" s="1">
        <v>3753.0</v>
      </c>
      <c r="F588" s="1">
        <v>4285.0</v>
      </c>
      <c r="G588" s="1">
        <v>14214.0</v>
      </c>
      <c r="H588" s="1">
        <v>0.264</v>
      </c>
      <c r="I588" s="1">
        <v>0.3015</v>
      </c>
      <c r="J588" s="1">
        <v>-0.0374</v>
      </c>
      <c r="K588" s="1">
        <v>4412.0</v>
      </c>
    </row>
    <row r="589">
      <c r="A589" s="1" t="s">
        <v>21</v>
      </c>
      <c r="B589" s="1" t="s">
        <v>180</v>
      </c>
      <c r="C589" s="1" t="s">
        <v>52</v>
      </c>
      <c r="D589" s="1">
        <v>21.0</v>
      </c>
      <c r="E589" s="1">
        <v>3241.0</v>
      </c>
      <c r="F589" s="1">
        <v>3866.0</v>
      </c>
      <c r="G589" s="1">
        <v>14214.0</v>
      </c>
      <c r="H589" s="1">
        <v>0.228</v>
      </c>
      <c r="I589" s="1">
        <v>0.272</v>
      </c>
      <c r="J589" s="1">
        <v>-0.044</v>
      </c>
      <c r="K589" s="1">
        <v>4334.0</v>
      </c>
    </row>
    <row r="590">
      <c r="A590" s="1" t="s">
        <v>21</v>
      </c>
      <c r="B590" s="1" t="s">
        <v>180</v>
      </c>
      <c r="C590" s="1" t="s">
        <v>53</v>
      </c>
      <c r="D590" s="1">
        <v>1.0</v>
      </c>
      <c r="E590" s="1">
        <v>5669.0</v>
      </c>
      <c r="F590" s="1">
        <v>4928.0</v>
      </c>
      <c r="G590" s="1">
        <v>11755.0</v>
      </c>
      <c r="H590" s="1">
        <v>0.4823</v>
      </c>
      <c r="I590" s="1">
        <v>0.4192</v>
      </c>
      <c r="J590" s="1">
        <v>0.063</v>
      </c>
      <c r="K590" s="1">
        <v>5527.0</v>
      </c>
    </row>
    <row r="591">
      <c r="A591" s="1" t="s">
        <v>21</v>
      </c>
      <c r="B591" s="1" t="s">
        <v>180</v>
      </c>
      <c r="C591" s="1" t="s">
        <v>53</v>
      </c>
      <c r="D591" s="1">
        <v>2.0</v>
      </c>
      <c r="E591" s="1">
        <v>4121.0</v>
      </c>
      <c r="F591" s="1">
        <v>4619.0</v>
      </c>
      <c r="G591" s="1">
        <v>11755.0</v>
      </c>
      <c r="H591" s="1">
        <v>0.3506</v>
      </c>
      <c r="I591" s="1">
        <v>0.3929</v>
      </c>
      <c r="J591" s="1">
        <v>-0.0424</v>
      </c>
      <c r="K591" s="1">
        <v>5332.0</v>
      </c>
    </row>
    <row r="592">
      <c r="A592" s="1" t="s">
        <v>21</v>
      </c>
      <c r="B592" s="1" t="s">
        <v>180</v>
      </c>
      <c r="C592" s="1" t="s">
        <v>53</v>
      </c>
      <c r="D592" s="1">
        <v>3.0</v>
      </c>
      <c r="E592" s="1">
        <v>4322.0</v>
      </c>
      <c r="F592" s="1">
        <v>4388.0</v>
      </c>
      <c r="G592" s="1">
        <v>11755.0</v>
      </c>
      <c r="H592" s="1">
        <v>0.3677</v>
      </c>
      <c r="I592" s="1">
        <v>0.3733</v>
      </c>
      <c r="J592" s="1">
        <v>-0.0056</v>
      </c>
      <c r="K592" s="1">
        <v>5235.0</v>
      </c>
    </row>
    <row r="593">
      <c r="A593" s="1" t="s">
        <v>21</v>
      </c>
      <c r="B593" s="1" t="s">
        <v>180</v>
      </c>
      <c r="C593" s="1" t="s">
        <v>53</v>
      </c>
      <c r="D593" s="1">
        <v>4.0</v>
      </c>
      <c r="E593" s="1">
        <v>3586.0</v>
      </c>
      <c r="F593" s="1">
        <v>4041.0</v>
      </c>
      <c r="G593" s="1">
        <v>11755.0</v>
      </c>
      <c r="H593" s="1">
        <v>0.3051</v>
      </c>
      <c r="I593" s="1">
        <v>0.3438</v>
      </c>
      <c r="J593" s="1">
        <v>-0.0387</v>
      </c>
      <c r="K593" s="1">
        <v>4898.0</v>
      </c>
    </row>
    <row r="594">
      <c r="A594" s="1" t="s">
        <v>21</v>
      </c>
      <c r="B594" s="1" t="s">
        <v>180</v>
      </c>
      <c r="C594" s="1" t="s">
        <v>53</v>
      </c>
      <c r="D594" s="1">
        <v>5.0</v>
      </c>
      <c r="E594" s="1">
        <v>4140.0</v>
      </c>
      <c r="F594" s="1">
        <v>4061.0</v>
      </c>
      <c r="G594" s="1">
        <v>11755.0</v>
      </c>
      <c r="H594" s="1">
        <v>0.3522</v>
      </c>
      <c r="I594" s="1">
        <v>0.3455</v>
      </c>
      <c r="J594" s="1">
        <v>0.0067</v>
      </c>
      <c r="K594" s="1">
        <v>4863.0</v>
      </c>
    </row>
    <row r="595">
      <c r="A595" s="1" t="s">
        <v>21</v>
      </c>
      <c r="B595" s="1" t="s">
        <v>180</v>
      </c>
      <c r="C595" s="1" t="s">
        <v>53</v>
      </c>
      <c r="D595" s="1">
        <v>6.0</v>
      </c>
      <c r="E595" s="1">
        <v>2819.0</v>
      </c>
      <c r="F595" s="1">
        <v>3497.0</v>
      </c>
      <c r="G595" s="1">
        <v>11755.0</v>
      </c>
      <c r="H595" s="1">
        <v>0.2398</v>
      </c>
      <c r="I595" s="1">
        <v>0.2975</v>
      </c>
      <c r="J595" s="1">
        <v>-0.0577</v>
      </c>
      <c r="K595" s="1">
        <v>4807.0</v>
      </c>
    </row>
    <row r="596">
      <c r="A596" s="1" t="s">
        <v>21</v>
      </c>
      <c r="B596" s="1" t="s">
        <v>180</v>
      </c>
      <c r="C596" s="1" t="s">
        <v>53</v>
      </c>
      <c r="D596" s="1">
        <v>7.0</v>
      </c>
      <c r="E596" s="1">
        <v>2648.0</v>
      </c>
      <c r="F596" s="1">
        <v>3556.0</v>
      </c>
      <c r="G596" s="1">
        <v>11755.0</v>
      </c>
      <c r="H596" s="1">
        <v>0.2253</v>
      </c>
      <c r="I596" s="1">
        <v>0.3025</v>
      </c>
      <c r="J596" s="1">
        <v>-0.0772</v>
      </c>
      <c r="K596" s="1">
        <v>4848.0</v>
      </c>
    </row>
    <row r="597">
      <c r="A597" s="1" t="s">
        <v>21</v>
      </c>
      <c r="B597" s="1" t="s">
        <v>180</v>
      </c>
      <c r="C597" s="1" t="s">
        <v>53</v>
      </c>
      <c r="D597" s="1">
        <v>8.0</v>
      </c>
      <c r="E597" s="1">
        <v>4643.0</v>
      </c>
      <c r="F597" s="1">
        <v>4051.0</v>
      </c>
      <c r="G597" s="1">
        <v>11755.0</v>
      </c>
      <c r="H597" s="1">
        <v>0.395</v>
      </c>
      <c r="I597" s="1">
        <v>0.3446</v>
      </c>
      <c r="J597" s="1">
        <v>0.0504</v>
      </c>
      <c r="K597" s="1">
        <v>4974.0</v>
      </c>
    </row>
    <row r="598">
      <c r="A598" s="1" t="s">
        <v>21</v>
      </c>
      <c r="B598" s="1" t="s">
        <v>180</v>
      </c>
      <c r="C598" s="1" t="s">
        <v>53</v>
      </c>
      <c r="D598" s="1">
        <v>9.0</v>
      </c>
      <c r="E598" s="1">
        <v>3997.0</v>
      </c>
      <c r="F598" s="1">
        <v>4026.0</v>
      </c>
      <c r="G598" s="1">
        <v>11755.0</v>
      </c>
      <c r="H598" s="1">
        <v>0.34</v>
      </c>
      <c r="I598" s="1">
        <v>0.3425</v>
      </c>
      <c r="J598" s="1">
        <v>-0.0025</v>
      </c>
      <c r="K598" s="1">
        <v>4991.0</v>
      </c>
    </row>
    <row r="599">
      <c r="A599" s="1" t="s">
        <v>21</v>
      </c>
      <c r="B599" s="1" t="s">
        <v>180</v>
      </c>
      <c r="C599" s="1" t="s">
        <v>53</v>
      </c>
      <c r="D599" s="1">
        <v>10.0</v>
      </c>
      <c r="E599" s="1">
        <v>4073.0</v>
      </c>
      <c r="F599" s="1">
        <v>3929.0</v>
      </c>
      <c r="G599" s="1">
        <v>11755.0</v>
      </c>
      <c r="H599" s="1">
        <v>0.3465</v>
      </c>
      <c r="I599" s="1">
        <v>0.3342</v>
      </c>
      <c r="J599" s="1">
        <v>0.0123</v>
      </c>
      <c r="K599" s="1">
        <v>4848.0</v>
      </c>
    </row>
    <row r="600">
      <c r="A600" s="1" t="s">
        <v>21</v>
      </c>
      <c r="B600" s="1" t="s">
        <v>180</v>
      </c>
      <c r="C600" s="1" t="s">
        <v>53</v>
      </c>
      <c r="D600" s="1">
        <v>11.0</v>
      </c>
      <c r="E600" s="1">
        <v>3345.0</v>
      </c>
      <c r="F600" s="1">
        <v>3614.0</v>
      </c>
      <c r="G600" s="1">
        <v>11755.0</v>
      </c>
      <c r="H600" s="1">
        <v>0.2846</v>
      </c>
      <c r="I600" s="1">
        <v>0.3074</v>
      </c>
      <c r="J600" s="1">
        <v>-0.0229</v>
      </c>
      <c r="K600" s="1">
        <v>4828.0</v>
      </c>
    </row>
    <row r="601">
      <c r="A601" s="1" t="s">
        <v>21</v>
      </c>
      <c r="B601" s="1" t="s">
        <v>180</v>
      </c>
      <c r="C601" s="1" t="s">
        <v>53</v>
      </c>
      <c r="D601" s="1">
        <v>12.0</v>
      </c>
      <c r="E601" s="1">
        <v>3951.0</v>
      </c>
      <c r="F601" s="1">
        <v>3808.0</v>
      </c>
      <c r="G601" s="1">
        <v>11755.0</v>
      </c>
      <c r="H601" s="1">
        <v>0.3361</v>
      </c>
      <c r="I601" s="1">
        <v>0.3239</v>
      </c>
      <c r="J601" s="1">
        <v>0.0122</v>
      </c>
      <c r="K601" s="1">
        <v>4927.0</v>
      </c>
    </row>
    <row r="602">
      <c r="A602" s="1" t="s">
        <v>21</v>
      </c>
      <c r="B602" s="1" t="s">
        <v>180</v>
      </c>
      <c r="C602" s="1" t="s">
        <v>53</v>
      </c>
      <c r="D602" s="1">
        <v>13.0</v>
      </c>
      <c r="E602" s="1">
        <v>2715.0</v>
      </c>
      <c r="F602" s="1">
        <v>3505.0</v>
      </c>
      <c r="G602" s="1">
        <v>11755.0</v>
      </c>
      <c r="H602" s="1">
        <v>0.231</v>
      </c>
      <c r="I602" s="1">
        <v>0.2982</v>
      </c>
      <c r="J602" s="1">
        <v>-0.0672</v>
      </c>
      <c r="K602" s="1">
        <v>4933.0</v>
      </c>
    </row>
    <row r="603">
      <c r="A603" s="1" t="s">
        <v>21</v>
      </c>
      <c r="B603" s="1" t="s">
        <v>180</v>
      </c>
      <c r="C603" s="1" t="s">
        <v>53</v>
      </c>
      <c r="D603" s="1">
        <v>14.0</v>
      </c>
      <c r="E603" s="1">
        <v>2708.0</v>
      </c>
      <c r="F603" s="1">
        <v>3345.0</v>
      </c>
      <c r="G603" s="1">
        <v>11755.0</v>
      </c>
      <c r="H603" s="1">
        <v>0.2304</v>
      </c>
      <c r="I603" s="1">
        <v>0.2846</v>
      </c>
      <c r="J603" s="1">
        <v>-0.0542</v>
      </c>
      <c r="K603" s="1">
        <v>5012.0</v>
      </c>
    </row>
    <row r="604">
      <c r="A604" s="1" t="s">
        <v>21</v>
      </c>
      <c r="B604" s="1" t="s">
        <v>180</v>
      </c>
      <c r="C604" s="1" t="s">
        <v>53</v>
      </c>
      <c r="D604" s="1">
        <v>15.0</v>
      </c>
      <c r="E604" s="1">
        <v>4510.0</v>
      </c>
      <c r="F604" s="1">
        <v>4242.0</v>
      </c>
      <c r="G604" s="1">
        <v>11755.0</v>
      </c>
      <c r="H604" s="1">
        <v>0.3837</v>
      </c>
      <c r="I604" s="1">
        <v>0.3609</v>
      </c>
      <c r="J604" s="1">
        <v>0.0228</v>
      </c>
      <c r="K604" s="1">
        <v>5184.0</v>
      </c>
    </row>
    <row r="605">
      <c r="A605" s="1" t="s">
        <v>21</v>
      </c>
      <c r="B605" s="1" t="s">
        <v>180</v>
      </c>
      <c r="C605" s="1" t="s">
        <v>53</v>
      </c>
      <c r="D605" s="1">
        <v>16.0</v>
      </c>
      <c r="E605" s="1">
        <v>3865.0</v>
      </c>
      <c r="F605" s="1">
        <v>3979.0</v>
      </c>
      <c r="G605" s="1">
        <v>11755.0</v>
      </c>
      <c r="H605" s="1">
        <v>0.3288</v>
      </c>
      <c r="I605" s="1">
        <v>0.3385</v>
      </c>
      <c r="J605" s="1">
        <v>-0.0097</v>
      </c>
      <c r="K605" s="1">
        <v>5138.0</v>
      </c>
    </row>
    <row r="606">
      <c r="A606" s="1" t="s">
        <v>21</v>
      </c>
      <c r="B606" s="1" t="s">
        <v>180</v>
      </c>
      <c r="C606" s="1" t="s">
        <v>53</v>
      </c>
      <c r="D606" s="1">
        <v>17.0</v>
      </c>
      <c r="E606" s="1">
        <v>3981.0</v>
      </c>
      <c r="F606" s="1">
        <v>3972.0</v>
      </c>
      <c r="G606" s="1">
        <v>11755.0</v>
      </c>
      <c r="H606" s="1">
        <v>0.3387</v>
      </c>
      <c r="I606" s="1">
        <v>0.3379</v>
      </c>
      <c r="J606" s="1">
        <v>8.0E-4</v>
      </c>
      <c r="K606" s="1">
        <v>5089.0</v>
      </c>
    </row>
    <row r="607">
      <c r="A607" s="1" t="s">
        <v>21</v>
      </c>
      <c r="B607" s="1" t="s">
        <v>180</v>
      </c>
      <c r="C607" s="1" t="s">
        <v>53</v>
      </c>
      <c r="D607" s="1">
        <v>18.0</v>
      </c>
      <c r="E607" s="1">
        <v>3120.0</v>
      </c>
      <c r="F607" s="1">
        <v>3608.0</v>
      </c>
      <c r="G607" s="1">
        <v>11755.0</v>
      </c>
      <c r="H607" s="1">
        <v>0.2654</v>
      </c>
      <c r="I607" s="1">
        <v>0.3069</v>
      </c>
      <c r="J607" s="1">
        <v>-0.0415</v>
      </c>
      <c r="K607" s="1">
        <v>4956.0</v>
      </c>
    </row>
    <row r="608">
      <c r="A608" s="1" t="s">
        <v>21</v>
      </c>
      <c r="B608" s="1" t="s">
        <v>180</v>
      </c>
      <c r="C608" s="1" t="s">
        <v>53</v>
      </c>
      <c r="D608" s="1">
        <v>19.0</v>
      </c>
      <c r="E608" s="1">
        <v>3577.0</v>
      </c>
      <c r="F608" s="1">
        <v>3245.0</v>
      </c>
      <c r="G608" s="1">
        <v>11755.0</v>
      </c>
      <c r="H608" s="1">
        <v>0.3043</v>
      </c>
      <c r="I608" s="1">
        <v>0.2761</v>
      </c>
      <c r="J608" s="1">
        <v>0.0282</v>
      </c>
      <c r="K608" s="1">
        <v>4493.0</v>
      </c>
    </row>
    <row r="609">
      <c r="A609" s="1" t="s">
        <v>21</v>
      </c>
      <c r="B609" s="1" t="s">
        <v>180</v>
      </c>
      <c r="C609" s="1" t="s">
        <v>53</v>
      </c>
      <c r="D609" s="1">
        <v>20.0</v>
      </c>
      <c r="E609" s="1">
        <v>2706.0</v>
      </c>
      <c r="F609" s="1">
        <v>3259.0</v>
      </c>
      <c r="G609" s="1">
        <v>11755.0</v>
      </c>
      <c r="H609" s="1">
        <v>0.2302</v>
      </c>
      <c r="I609" s="1">
        <v>0.2772</v>
      </c>
      <c r="J609" s="1">
        <v>-0.047</v>
      </c>
      <c r="K609" s="1">
        <v>4412.0</v>
      </c>
    </row>
    <row r="610">
      <c r="A610" s="1" t="s">
        <v>21</v>
      </c>
      <c r="B610" s="1" t="s">
        <v>180</v>
      </c>
      <c r="C610" s="1" t="s">
        <v>53</v>
      </c>
      <c r="D610" s="1">
        <v>21.0</v>
      </c>
      <c r="E610" s="1">
        <v>2410.0</v>
      </c>
      <c r="F610" s="1">
        <v>2925.0</v>
      </c>
      <c r="G610" s="1">
        <v>11755.0</v>
      </c>
      <c r="H610" s="1">
        <v>0.205</v>
      </c>
      <c r="I610" s="1">
        <v>0.2488</v>
      </c>
      <c r="J610" s="1">
        <v>-0.0438</v>
      </c>
      <c r="K610" s="1">
        <v>4334.0</v>
      </c>
    </row>
    <row r="611">
      <c r="A611" s="1" t="s">
        <v>21</v>
      </c>
      <c r="B611" s="1" t="s">
        <v>180</v>
      </c>
      <c r="C611" s="1" t="s">
        <v>54</v>
      </c>
      <c r="D611" s="1">
        <v>1.0</v>
      </c>
      <c r="E611" s="1">
        <v>2942.0</v>
      </c>
      <c r="F611" s="1">
        <v>3117.0</v>
      </c>
      <c r="G611" s="1">
        <v>8276.0</v>
      </c>
      <c r="H611" s="1">
        <v>0.3555</v>
      </c>
      <c r="I611" s="1">
        <v>0.3766</v>
      </c>
      <c r="J611" s="1">
        <v>-0.0211</v>
      </c>
      <c r="K611" s="1">
        <v>5527.0</v>
      </c>
    </row>
    <row r="612">
      <c r="A612" s="1" t="s">
        <v>21</v>
      </c>
      <c r="B612" s="1" t="s">
        <v>180</v>
      </c>
      <c r="C612" s="1" t="s">
        <v>54</v>
      </c>
      <c r="D612" s="1">
        <v>2.0</v>
      </c>
      <c r="E612" s="1">
        <v>1942.0</v>
      </c>
      <c r="F612" s="1">
        <v>2642.0</v>
      </c>
      <c r="G612" s="1">
        <v>8276.0</v>
      </c>
      <c r="H612" s="1">
        <v>0.2347</v>
      </c>
      <c r="I612" s="1">
        <v>0.3192</v>
      </c>
      <c r="J612" s="1">
        <v>-0.0846</v>
      </c>
      <c r="K612" s="1">
        <v>5332.0</v>
      </c>
    </row>
    <row r="613">
      <c r="A613" s="1" t="s">
        <v>21</v>
      </c>
      <c r="B613" s="1" t="s">
        <v>180</v>
      </c>
      <c r="C613" s="1" t="s">
        <v>54</v>
      </c>
      <c r="D613" s="1">
        <v>3.0</v>
      </c>
      <c r="E613" s="1">
        <v>1906.0</v>
      </c>
      <c r="F613" s="1">
        <v>2586.0</v>
      </c>
      <c r="G613" s="1">
        <v>8276.0</v>
      </c>
      <c r="H613" s="1">
        <v>0.2303</v>
      </c>
      <c r="I613" s="1">
        <v>0.3125</v>
      </c>
      <c r="J613" s="1">
        <v>-0.0822</v>
      </c>
      <c r="K613" s="1">
        <v>5235.0</v>
      </c>
    </row>
    <row r="614">
      <c r="A614" s="1" t="s">
        <v>21</v>
      </c>
      <c r="B614" s="1" t="s">
        <v>180</v>
      </c>
      <c r="C614" s="1" t="s">
        <v>54</v>
      </c>
      <c r="D614" s="1">
        <v>4.0</v>
      </c>
      <c r="E614" s="1">
        <v>1642.0</v>
      </c>
      <c r="F614" s="1">
        <v>2274.0</v>
      </c>
      <c r="G614" s="1">
        <v>8276.0</v>
      </c>
      <c r="H614" s="1">
        <v>0.1984</v>
      </c>
      <c r="I614" s="1">
        <v>0.2748</v>
      </c>
      <c r="J614" s="1">
        <v>-0.0764</v>
      </c>
      <c r="K614" s="1">
        <v>4898.0</v>
      </c>
    </row>
    <row r="615">
      <c r="A615" s="1" t="s">
        <v>21</v>
      </c>
      <c r="B615" s="1" t="s">
        <v>180</v>
      </c>
      <c r="C615" s="1" t="s">
        <v>54</v>
      </c>
      <c r="D615" s="1">
        <v>5.0</v>
      </c>
      <c r="E615" s="1">
        <v>1779.0</v>
      </c>
      <c r="F615" s="1">
        <v>2298.0</v>
      </c>
      <c r="G615" s="1">
        <v>8276.0</v>
      </c>
      <c r="H615" s="1">
        <v>0.215</v>
      </c>
      <c r="I615" s="1">
        <v>0.2777</v>
      </c>
      <c r="J615" s="1">
        <v>-0.0627</v>
      </c>
      <c r="K615" s="1">
        <v>4863.0</v>
      </c>
    </row>
    <row r="616">
      <c r="A616" s="1" t="s">
        <v>21</v>
      </c>
      <c r="B616" s="1" t="s">
        <v>180</v>
      </c>
      <c r="C616" s="1" t="s">
        <v>54</v>
      </c>
      <c r="D616" s="1">
        <v>6.0</v>
      </c>
      <c r="E616" s="1">
        <v>901.0</v>
      </c>
      <c r="F616" s="1">
        <v>1826.0</v>
      </c>
      <c r="G616" s="1">
        <v>8276.0</v>
      </c>
      <c r="H616" s="1">
        <v>0.1089</v>
      </c>
      <c r="I616" s="1">
        <v>0.2206</v>
      </c>
      <c r="J616" s="1">
        <v>-0.1118</v>
      </c>
      <c r="K616" s="1">
        <v>4807.0</v>
      </c>
    </row>
    <row r="617">
      <c r="A617" s="1" t="s">
        <v>21</v>
      </c>
      <c r="B617" s="1" t="s">
        <v>180</v>
      </c>
      <c r="C617" s="1" t="s">
        <v>54</v>
      </c>
      <c r="D617" s="1">
        <v>7.0</v>
      </c>
      <c r="E617" s="1">
        <v>828.0</v>
      </c>
      <c r="F617" s="1">
        <v>1841.0</v>
      </c>
      <c r="G617" s="1">
        <v>8276.0</v>
      </c>
      <c r="H617" s="1">
        <v>0.1</v>
      </c>
      <c r="I617" s="1">
        <v>0.2225</v>
      </c>
      <c r="J617" s="1">
        <v>-0.1224</v>
      </c>
      <c r="K617" s="1">
        <v>4848.0</v>
      </c>
    </row>
    <row r="618">
      <c r="A618" s="1" t="s">
        <v>21</v>
      </c>
      <c r="B618" s="1" t="s">
        <v>180</v>
      </c>
      <c r="C618" s="1" t="s">
        <v>54</v>
      </c>
      <c r="D618" s="1">
        <v>8.0</v>
      </c>
      <c r="E618" s="1">
        <v>2734.0</v>
      </c>
      <c r="F618" s="1">
        <v>2688.0</v>
      </c>
      <c r="G618" s="1">
        <v>8276.0</v>
      </c>
      <c r="H618" s="1">
        <v>0.3304</v>
      </c>
      <c r="I618" s="1">
        <v>0.3248</v>
      </c>
      <c r="J618" s="1">
        <v>0.0056</v>
      </c>
      <c r="K618" s="1">
        <v>4974.0</v>
      </c>
    </row>
    <row r="619">
      <c r="A619" s="1" t="s">
        <v>21</v>
      </c>
      <c r="B619" s="1" t="s">
        <v>180</v>
      </c>
      <c r="C619" s="1" t="s">
        <v>54</v>
      </c>
      <c r="D619" s="1">
        <v>9.0</v>
      </c>
      <c r="E619" s="1">
        <v>1883.0</v>
      </c>
      <c r="F619" s="1">
        <v>2386.0</v>
      </c>
      <c r="G619" s="1">
        <v>8276.0</v>
      </c>
      <c r="H619" s="1">
        <v>0.2275</v>
      </c>
      <c r="I619" s="1">
        <v>0.2883</v>
      </c>
      <c r="J619" s="1">
        <v>-0.0608</v>
      </c>
      <c r="K619" s="1">
        <v>4991.0</v>
      </c>
    </row>
    <row r="620">
      <c r="A620" s="1" t="s">
        <v>21</v>
      </c>
      <c r="B620" s="1" t="s">
        <v>180</v>
      </c>
      <c r="C620" s="1" t="s">
        <v>54</v>
      </c>
      <c r="D620" s="1">
        <v>10.0</v>
      </c>
      <c r="E620" s="1">
        <v>1814.0</v>
      </c>
      <c r="F620" s="1">
        <v>2182.0</v>
      </c>
      <c r="G620" s="1">
        <v>8276.0</v>
      </c>
      <c r="H620" s="1">
        <v>0.2192</v>
      </c>
      <c r="I620" s="1">
        <v>0.2637</v>
      </c>
      <c r="J620" s="1">
        <v>-0.0445</v>
      </c>
      <c r="K620" s="1">
        <v>4848.0</v>
      </c>
    </row>
    <row r="621">
      <c r="A621" s="1" t="s">
        <v>21</v>
      </c>
      <c r="B621" s="1" t="s">
        <v>180</v>
      </c>
      <c r="C621" s="1" t="s">
        <v>54</v>
      </c>
      <c r="D621" s="1">
        <v>11.0</v>
      </c>
      <c r="E621" s="1">
        <v>1623.0</v>
      </c>
      <c r="F621" s="1">
        <v>2233.0</v>
      </c>
      <c r="G621" s="1">
        <v>8276.0</v>
      </c>
      <c r="H621" s="1">
        <v>0.1961</v>
      </c>
      <c r="I621" s="1">
        <v>0.2698</v>
      </c>
      <c r="J621" s="1">
        <v>-0.0737</v>
      </c>
      <c r="K621" s="1">
        <v>4828.0</v>
      </c>
    </row>
    <row r="622">
      <c r="A622" s="1" t="s">
        <v>21</v>
      </c>
      <c r="B622" s="1" t="s">
        <v>180</v>
      </c>
      <c r="C622" s="1" t="s">
        <v>54</v>
      </c>
      <c r="D622" s="1">
        <v>12.0</v>
      </c>
      <c r="E622" s="1">
        <v>1700.0</v>
      </c>
      <c r="F622" s="1">
        <v>2104.0</v>
      </c>
      <c r="G622" s="1">
        <v>8276.0</v>
      </c>
      <c r="H622" s="1">
        <v>0.2054</v>
      </c>
      <c r="I622" s="1">
        <v>0.2542</v>
      </c>
      <c r="J622" s="1">
        <v>-0.0488</v>
      </c>
      <c r="K622" s="1">
        <v>4927.0</v>
      </c>
    </row>
    <row r="623">
      <c r="A623" s="1" t="s">
        <v>21</v>
      </c>
      <c r="B623" s="1" t="s">
        <v>180</v>
      </c>
      <c r="C623" s="1" t="s">
        <v>54</v>
      </c>
      <c r="D623" s="1">
        <v>13.0</v>
      </c>
      <c r="E623" s="1">
        <v>883.0</v>
      </c>
      <c r="F623" s="1">
        <v>1876.0</v>
      </c>
      <c r="G623" s="1">
        <v>8276.0</v>
      </c>
      <c r="H623" s="1">
        <v>0.1067</v>
      </c>
      <c r="I623" s="1">
        <v>0.2267</v>
      </c>
      <c r="J623" s="1">
        <v>-0.12</v>
      </c>
      <c r="K623" s="1">
        <v>4933.0</v>
      </c>
    </row>
    <row r="624">
      <c r="A624" s="1" t="s">
        <v>21</v>
      </c>
      <c r="B624" s="1" t="s">
        <v>180</v>
      </c>
      <c r="C624" s="1" t="s">
        <v>54</v>
      </c>
      <c r="D624" s="1">
        <v>14.0</v>
      </c>
      <c r="E624" s="1">
        <v>826.0</v>
      </c>
      <c r="F624" s="1">
        <v>1739.0</v>
      </c>
      <c r="G624" s="1">
        <v>8276.0</v>
      </c>
      <c r="H624" s="1">
        <v>0.0998</v>
      </c>
      <c r="I624" s="1">
        <v>0.2101</v>
      </c>
      <c r="J624" s="1">
        <v>-0.1103</v>
      </c>
      <c r="K624" s="1">
        <v>5012.0</v>
      </c>
    </row>
    <row r="625">
      <c r="A625" s="1" t="s">
        <v>21</v>
      </c>
      <c r="B625" s="1" t="s">
        <v>180</v>
      </c>
      <c r="C625" s="1" t="s">
        <v>54</v>
      </c>
      <c r="D625" s="1">
        <v>15.0</v>
      </c>
      <c r="E625" s="1">
        <v>2691.0</v>
      </c>
      <c r="F625" s="1">
        <v>2651.0</v>
      </c>
      <c r="G625" s="1">
        <v>8276.0</v>
      </c>
      <c r="H625" s="1">
        <v>0.3252</v>
      </c>
      <c r="I625" s="1">
        <v>0.3203</v>
      </c>
      <c r="J625" s="1">
        <v>0.0048</v>
      </c>
      <c r="K625" s="1">
        <v>5184.0</v>
      </c>
    </row>
    <row r="626">
      <c r="A626" s="1" t="s">
        <v>21</v>
      </c>
      <c r="B626" s="1" t="s">
        <v>180</v>
      </c>
      <c r="C626" s="1" t="s">
        <v>54</v>
      </c>
      <c r="D626" s="1">
        <v>16.0</v>
      </c>
      <c r="E626" s="1">
        <v>1802.0</v>
      </c>
      <c r="F626" s="1">
        <v>2251.0</v>
      </c>
      <c r="G626" s="1">
        <v>8276.0</v>
      </c>
      <c r="H626" s="1">
        <v>0.2177</v>
      </c>
      <c r="I626" s="1">
        <v>0.272</v>
      </c>
      <c r="J626" s="1">
        <v>-0.0543</v>
      </c>
      <c r="K626" s="1">
        <v>5138.0</v>
      </c>
    </row>
    <row r="627">
      <c r="A627" s="1" t="s">
        <v>21</v>
      </c>
      <c r="B627" s="1" t="s">
        <v>180</v>
      </c>
      <c r="C627" s="1" t="s">
        <v>54</v>
      </c>
      <c r="D627" s="1">
        <v>17.0</v>
      </c>
      <c r="E627" s="1">
        <v>1816.0</v>
      </c>
      <c r="F627" s="1">
        <v>2315.0</v>
      </c>
      <c r="G627" s="1">
        <v>8276.0</v>
      </c>
      <c r="H627" s="1">
        <v>0.2194</v>
      </c>
      <c r="I627" s="1">
        <v>0.2797</v>
      </c>
      <c r="J627" s="1">
        <v>-0.0603</v>
      </c>
      <c r="K627" s="1">
        <v>5089.0</v>
      </c>
    </row>
    <row r="628">
      <c r="A628" s="1" t="s">
        <v>21</v>
      </c>
      <c r="B628" s="1" t="s">
        <v>180</v>
      </c>
      <c r="C628" s="1" t="s">
        <v>54</v>
      </c>
      <c r="D628" s="1">
        <v>18.0</v>
      </c>
      <c r="E628" s="1">
        <v>1639.0</v>
      </c>
      <c r="F628" s="1">
        <v>2124.0</v>
      </c>
      <c r="G628" s="1">
        <v>8276.0</v>
      </c>
      <c r="H628" s="1">
        <v>0.198</v>
      </c>
      <c r="I628" s="1">
        <v>0.2566</v>
      </c>
      <c r="J628" s="1">
        <v>-0.0586</v>
      </c>
      <c r="K628" s="1">
        <v>4956.0</v>
      </c>
    </row>
    <row r="629">
      <c r="A629" s="1" t="s">
        <v>21</v>
      </c>
      <c r="B629" s="1" t="s">
        <v>180</v>
      </c>
      <c r="C629" s="1" t="s">
        <v>54</v>
      </c>
      <c r="D629" s="1">
        <v>19.0</v>
      </c>
      <c r="E629" s="1">
        <v>1547.0</v>
      </c>
      <c r="F629" s="1">
        <v>1731.0</v>
      </c>
      <c r="G629" s="1">
        <v>8276.0</v>
      </c>
      <c r="H629" s="1">
        <v>0.1869</v>
      </c>
      <c r="I629" s="1">
        <v>0.2092</v>
      </c>
      <c r="J629" s="1">
        <v>-0.0222</v>
      </c>
      <c r="K629" s="1">
        <v>4493.0</v>
      </c>
    </row>
    <row r="630">
      <c r="A630" s="1" t="s">
        <v>21</v>
      </c>
      <c r="B630" s="1" t="s">
        <v>180</v>
      </c>
      <c r="C630" s="1" t="s">
        <v>54</v>
      </c>
      <c r="D630" s="1">
        <v>20.0</v>
      </c>
      <c r="E630" s="1">
        <v>936.0</v>
      </c>
      <c r="F630" s="1">
        <v>1742.0</v>
      </c>
      <c r="G630" s="1">
        <v>8276.0</v>
      </c>
      <c r="H630" s="1">
        <v>0.1131</v>
      </c>
      <c r="I630" s="1">
        <v>0.2105</v>
      </c>
      <c r="J630" s="1">
        <v>-0.0974</v>
      </c>
      <c r="K630" s="1">
        <v>4412.0</v>
      </c>
    </row>
    <row r="631">
      <c r="A631" s="1" t="s">
        <v>21</v>
      </c>
      <c r="B631" s="1" t="s">
        <v>180</v>
      </c>
      <c r="C631" s="1" t="s">
        <v>54</v>
      </c>
      <c r="D631" s="1">
        <v>21.0</v>
      </c>
      <c r="E631" s="1">
        <v>773.0</v>
      </c>
      <c r="F631" s="1">
        <v>1456.0</v>
      </c>
      <c r="G631" s="1">
        <v>8276.0</v>
      </c>
      <c r="H631" s="1">
        <v>0.0934</v>
      </c>
      <c r="I631" s="1">
        <v>0.1759</v>
      </c>
      <c r="J631" s="1">
        <v>-0.0825</v>
      </c>
      <c r="K631" s="1">
        <v>4334.0</v>
      </c>
    </row>
    <row r="632">
      <c r="A632" s="1" t="s">
        <v>21</v>
      </c>
      <c r="B632" s="1" t="s">
        <v>180</v>
      </c>
      <c r="C632" s="1" t="s">
        <v>47</v>
      </c>
      <c r="D632" s="1">
        <v>1.0</v>
      </c>
      <c r="E632" s="1">
        <v>10301.0</v>
      </c>
      <c r="F632" s="1">
        <v>7437.0</v>
      </c>
      <c r="G632" s="1">
        <v>16814.0</v>
      </c>
      <c r="H632" s="1">
        <v>0.6126</v>
      </c>
      <c r="I632" s="1">
        <v>0.4423</v>
      </c>
      <c r="J632" s="1">
        <v>0.1703</v>
      </c>
      <c r="K632" s="1">
        <v>5527.0</v>
      </c>
    </row>
    <row r="633">
      <c r="A633" s="1" t="s">
        <v>21</v>
      </c>
      <c r="B633" s="1" t="s">
        <v>180</v>
      </c>
      <c r="C633" s="1" t="s">
        <v>47</v>
      </c>
      <c r="D633" s="1">
        <v>2.0</v>
      </c>
      <c r="E633" s="1">
        <v>7052.0</v>
      </c>
      <c r="F633" s="1">
        <v>6656.0</v>
      </c>
      <c r="G633" s="1">
        <v>16814.0</v>
      </c>
      <c r="H633" s="1">
        <v>0.4194</v>
      </c>
      <c r="I633" s="1">
        <v>0.3959</v>
      </c>
      <c r="J633" s="1">
        <v>0.0236</v>
      </c>
      <c r="K633" s="1">
        <v>5332.0</v>
      </c>
    </row>
    <row r="634">
      <c r="A634" s="1" t="s">
        <v>21</v>
      </c>
      <c r="B634" s="1" t="s">
        <v>180</v>
      </c>
      <c r="C634" s="1" t="s">
        <v>47</v>
      </c>
      <c r="D634" s="1">
        <v>3.0</v>
      </c>
      <c r="E634" s="1">
        <v>5669.0</v>
      </c>
      <c r="F634" s="1">
        <v>5857.0</v>
      </c>
      <c r="G634" s="1">
        <v>16814.0</v>
      </c>
      <c r="H634" s="1">
        <v>0.3372</v>
      </c>
      <c r="I634" s="1">
        <v>0.3483</v>
      </c>
      <c r="J634" s="1">
        <v>-0.0112</v>
      </c>
      <c r="K634" s="1">
        <v>5235.0</v>
      </c>
    </row>
    <row r="635">
      <c r="A635" s="1" t="s">
        <v>21</v>
      </c>
      <c r="B635" s="1" t="s">
        <v>180</v>
      </c>
      <c r="C635" s="1" t="s">
        <v>47</v>
      </c>
      <c r="D635" s="1">
        <v>4.0</v>
      </c>
      <c r="E635" s="1">
        <v>5221.0</v>
      </c>
      <c r="F635" s="1">
        <v>5400.0</v>
      </c>
      <c r="G635" s="1">
        <v>16814.0</v>
      </c>
      <c r="H635" s="1">
        <v>0.3105</v>
      </c>
      <c r="I635" s="1">
        <v>0.3212</v>
      </c>
      <c r="J635" s="1">
        <v>-0.0106</v>
      </c>
      <c r="K635" s="1">
        <v>4898.0</v>
      </c>
    </row>
    <row r="636">
      <c r="A636" s="1" t="s">
        <v>21</v>
      </c>
      <c r="B636" s="1" t="s">
        <v>180</v>
      </c>
      <c r="C636" s="1" t="s">
        <v>47</v>
      </c>
      <c r="D636" s="1">
        <v>5.0</v>
      </c>
      <c r="E636" s="1">
        <v>7141.0</v>
      </c>
      <c r="F636" s="1">
        <v>5918.0</v>
      </c>
      <c r="G636" s="1">
        <v>16814.0</v>
      </c>
      <c r="H636" s="1">
        <v>0.4247</v>
      </c>
      <c r="I636" s="1">
        <v>0.352</v>
      </c>
      <c r="J636" s="1">
        <v>0.0727</v>
      </c>
      <c r="K636" s="1">
        <v>4863.0</v>
      </c>
    </row>
    <row r="637">
      <c r="A637" s="1" t="s">
        <v>21</v>
      </c>
      <c r="B637" s="1" t="s">
        <v>180</v>
      </c>
      <c r="C637" s="1" t="s">
        <v>47</v>
      </c>
      <c r="D637" s="1">
        <v>6.0</v>
      </c>
      <c r="E637" s="1">
        <v>5303.0</v>
      </c>
      <c r="F637" s="1">
        <v>5400.0</v>
      </c>
      <c r="G637" s="1">
        <v>16814.0</v>
      </c>
      <c r="H637" s="1">
        <v>0.3154</v>
      </c>
      <c r="I637" s="1">
        <v>0.3212</v>
      </c>
      <c r="J637" s="1">
        <v>-0.0058</v>
      </c>
      <c r="K637" s="1">
        <v>4807.0</v>
      </c>
    </row>
    <row r="638">
      <c r="A638" s="1" t="s">
        <v>21</v>
      </c>
      <c r="B638" s="1" t="s">
        <v>180</v>
      </c>
      <c r="C638" s="1" t="s">
        <v>47</v>
      </c>
      <c r="D638" s="1">
        <v>7.0</v>
      </c>
      <c r="E638" s="1">
        <v>4943.0</v>
      </c>
      <c r="F638" s="1">
        <v>5118.0</v>
      </c>
      <c r="G638" s="1">
        <v>16814.0</v>
      </c>
      <c r="H638" s="1">
        <v>0.294</v>
      </c>
      <c r="I638" s="1">
        <v>0.3044</v>
      </c>
      <c r="J638" s="1">
        <v>-0.0104</v>
      </c>
      <c r="K638" s="1">
        <v>4848.0</v>
      </c>
    </row>
    <row r="639">
      <c r="A639" s="1" t="s">
        <v>21</v>
      </c>
      <c r="B639" s="1" t="s">
        <v>180</v>
      </c>
      <c r="C639" s="1" t="s">
        <v>47</v>
      </c>
      <c r="D639" s="1">
        <v>8.0</v>
      </c>
      <c r="E639" s="1">
        <v>9444.0</v>
      </c>
      <c r="F639" s="1">
        <v>6425.0</v>
      </c>
      <c r="G639" s="1">
        <v>16814.0</v>
      </c>
      <c r="H639" s="1">
        <v>0.5617</v>
      </c>
      <c r="I639" s="1">
        <v>0.3821</v>
      </c>
      <c r="J639" s="1">
        <v>0.1796</v>
      </c>
      <c r="K639" s="1">
        <v>4974.0</v>
      </c>
    </row>
    <row r="640">
      <c r="A640" s="1" t="s">
        <v>21</v>
      </c>
      <c r="B640" s="1" t="s">
        <v>180</v>
      </c>
      <c r="C640" s="1" t="s">
        <v>47</v>
      </c>
      <c r="D640" s="1">
        <v>9.0</v>
      </c>
      <c r="E640" s="1">
        <v>6467.0</v>
      </c>
      <c r="F640" s="1">
        <v>5789.0</v>
      </c>
      <c r="G640" s="1">
        <v>16814.0</v>
      </c>
      <c r="H640" s="1">
        <v>0.3846</v>
      </c>
      <c r="I640" s="1">
        <v>0.3443</v>
      </c>
      <c r="J640" s="1">
        <v>0.0403</v>
      </c>
      <c r="K640" s="1">
        <v>4991.0</v>
      </c>
    </row>
    <row r="641">
      <c r="A641" s="1" t="s">
        <v>21</v>
      </c>
      <c r="B641" s="1" t="s">
        <v>180</v>
      </c>
      <c r="C641" s="1" t="s">
        <v>47</v>
      </c>
      <c r="D641" s="1">
        <v>10.0</v>
      </c>
      <c r="E641" s="1">
        <v>5269.0</v>
      </c>
      <c r="F641" s="1">
        <v>5555.0</v>
      </c>
      <c r="G641" s="1">
        <v>16814.0</v>
      </c>
      <c r="H641" s="1">
        <v>0.3134</v>
      </c>
      <c r="I641" s="1">
        <v>0.3304</v>
      </c>
      <c r="J641" s="1">
        <v>-0.017</v>
      </c>
      <c r="K641" s="1">
        <v>4848.0</v>
      </c>
    </row>
    <row r="642">
      <c r="A642" s="1" t="s">
        <v>21</v>
      </c>
      <c r="B642" s="1" t="s">
        <v>180</v>
      </c>
      <c r="C642" s="1" t="s">
        <v>47</v>
      </c>
      <c r="D642" s="1">
        <v>11.0</v>
      </c>
      <c r="E642" s="1">
        <v>4976.0</v>
      </c>
      <c r="F642" s="1">
        <v>4988.0</v>
      </c>
      <c r="G642" s="1">
        <v>16814.0</v>
      </c>
      <c r="H642" s="1">
        <v>0.2959</v>
      </c>
      <c r="I642" s="1">
        <v>0.2967</v>
      </c>
      <c r="J642" s="1">
        <v>-7.0E-4</v>
      </c>
      <c r="K642" s="1">
        <v>4828.0</v>
      </c>
    </row>
    <row r="643">
      <c r="A643" s="1" t="s">
        <v>21</v>
      </c>
      <c r="B643" s="1" t="s">
        <v>180</v>
      </c>
      <c r="C643" s="1" t="s">
        <v>47</v>
      </c>
      <c r="D643" s="1">
        <v>12.0</v>
      </c>
      <c r="E643" s="1">
        <v>6319.0</v>
      </c>
      <c r="F643" s="1">
        <v>5506.0</v>
      </c>
      <c r="G643" s="1">
        <v>16814.0</v>
      </c>
      <c r="H643" s="1">
        <v>0.3758</v>
      </c>
      <c r="I643" s="1">
        <v>0.3275</v>
      </c>
      <c r="J643" s="1">
        <v>0.0484</v>
      </c>
      <c r="K643" s="1">
        <v>4927.0</v>
      </c>
    </row>
    <row r="644">
      <c r="A644" s="1" t="s">
        <v>21</v>
      </c>
      <c r="B644" s="1" t="s">
        <v>180</v>
      </c>
      <c r="C644" s="1" t="s">
        <v>47</v>
      </c>
      <c r="D644" s="1">
        <v>13.0</v>
      </c>
      <c r="E644" s="1">
        <v>5080.0</v>
      </c>
      <c r="F644" s="1">
        <v>5152.0</v>
      </c>
      <c r="G644" s="1">
        <v>16814.0</v>
      </c>
      <c r="H644" s="1">
        <v>0.3021</v>
      </c>
      <c r="I644" s="1">
        <v>0.3064</v>
      </c>
      <c r="J644" s="1">
        <v>-0.0043</v>
      </c>
      <c r="K644" s="1">
        <v>4933.0</v>
      </c>
    </row>
    <row r="645">
      <c r="A645" s="1" t="s">
        <v>21</v>
      </c>
      <c r="B645" s="1" t="s">
        <v>180</v>
      </c>
      <c r="C645" s="1" t="s">
        <v>47</v>
      </c>
      <c r="D645" s="1">
        <v>14.0</v>
      </c>
      <c r="E645" s="1">
        <v>4846.0</v>
      </c>
      <c r="F645" s="1">
        <v>5023.0</v>
      </c>
      <c r="G645" s="1">
        <v>16814.0</v>
      </c>
      <c r="H645" s="1">
        <v>0.2882</v>
      </c>
      <c r="I645" s="1">
        <v>0.2987</v>
      </c>
      <c r="J645" s="1">
        <v>-0.0105</v>
      </c>
      <c r="K645" s="1">
        <v>5012.0</v>
      </c>
    </row>
    <row r="646">
      <c r="A646" s="1" t="s">
        <v>21</v>
      </c>
      <c r="B646" s="1" t="s">
        <v>180</v>
      </c>
      <c r="C646" s="1" t="s">
        <v>47</v>
      </c>
      <c r="D646" s="1">
        <v>15.0</v>
      </c>
      <c r="E646" s="1">
        <v>9485.0</v>
      </c>
      <c r="F646" s="1">
        <v>6818.0</v>
      </c>
      <c r="G646" s="1">
        <v>16814.0</v>
      </c>
      <c r="H646" s="1">
        <v>0.5641</v>
      </c>
      <c r="I646" s="1">
        <v>0.4055</v>
      </c>
      <c r="J646" s="1">
        <v>0.1586</v>
      </c>
      <c r="K646" s="1">
        <v>5184.0</v>
      </c>
    </row>
    <row r="647">
      <c r="A647" s="1" t="s">
        <v>21</v>
      </c>
      <c r="B647" s="1" t="s">
        <v>180</v>
      </c>
      <c r="C647" s="1" t="s">
        <v>47</v>
      </c>
      <c r="D647" s="1">
        <v>16.0</v>
      </c>
      <c r="E647" s="1">
        <v>6353.0</v>
      </c>
      <c r="F647" s="1">
        <v>5738.0</v>
      </c>
      <c r="G647" s="1">
        <v>16814.0</v>
      </c>
      <c r="H647" s="1">
        <v>0.3778</v>
      </c>
      <c r="I647" s="1">
        <v>0.3413</v>
      </c>
      <c r="J647" s="1">
        <v>0.0366</v>
      </c>
      <c r="K647" s="1">
        <v>5138.0</v>
      </c>
    </row>
    <row r="648">
      <c r="A648" s="1" t="s">
        <v>21</v>
      </c>
      <c r="B648" s="1" t="s">
        <v>180</v>
      </c>
      <c r="C648" s="1" t="s">
        <v>47</v>
      </c>
      <c r="D648" s="1">
        <v>17.0</v>
      </c>
      <c r="E648" s="1">
        <v>5281.0</v>
      </c>
      <c r="F648" s="1">
        <v>5314.0</v>
      </c>
      <c r="G648" s="1">
        <v>16814.0</v>
      </c>
      <c r="H648" s="1">
        <v>0.3141</v>
      </c>
      <c r="I648" s="1">
        <v>0.316</v>
      </c>
      <c r="J648" s="1">
        <v>-0.002</v>
      </c>
      <c r="K648" s="1">
        <v>5089.0</v>
      </c>
    </row>
    <row r="649">
      <c r="A649" s="1" t="s">
        <v>21</v>
      </c>
      <c r="B649" s="1" t="s">
        <v>180</v>
      </c>
      <c r="C649" s="1" t="s">
        <v>47</v>
      </c>
      <c r="D649" s="1">
        <v>18.0</v>
      </c>
      <c r="E649" s="1">
        <v>4358.0</v>
      </c>
      <c r="F649" s="1">
        <v>5068.0</v>
      </c>
      <c r="G649" s="1">
        <v>16814.0</v>
      </c>
      <c r="H649" s="1">
        <v>0.2592</v>
      </c>
      <c r="I649" s="1">
        <v>0.3014</v>
      </c>
      <c r="J649" s="1">
        <v>-0.0422</v>
      </c>
      <c r="K649" s="1">
        <v>4956.0</v>
      </c>
    </row>
    <row r="650">
      <c r="A650" s="1" t="s">
        <v>21</v>
      </c>
      <c r="B650" s="1" t="s">
        <v>180</v>
      </c>
      <c r="C650" s="1" t="s">
        <v>47</v>
      </c>
      <c r="D650" s="1">
        <v>19.0</v>
      </c>
      <c r="E650" s="1">
        <v>5806.0</v>
      </c>
      <c r="F650" s="1">
        <v>4617.0</v>
      </c>
      <c r="G650" s="1">
        <v>16814.0</v>
      </c>
      <c r="H650" s="1">
        <v>0.3453</v>
      </c>
      <c r="I650" s="1">
        <v>0.2746</v>
      </c>
      <c r="J650" s="1">
        <v>0.0707</v>
      </c>
      <c r="K650" s="1">
        <v>4493.0</v>
      </c>
    </row>
    <row r="651">
      <c r="A651" s="1" t="s">
        <v>21</v>
      </c>
      <c r="B651" s="1" t="s">
        <v>180</v>
      </c>
      <c r="C651" s="1" t="s">
        <v>47</v>
      </c>
      <c r="D651" s="1">
        <v>20.0</v>
      </c>
      <c r="E651" s="1">
        <v>4517.0</v>
      </c>
      <c r="F651" s="1">
        <v>4528.0</v>
      </c>
      <c r="G651" s="1">
        <v>16814.0</v>
      </c>
      <c r="H651" s="1">
        <v>0.2686</v>
      </c>
      <c r="I651" s="1">
        <v>0.2693</v>
      </c>
      <c r="J651" s="1">
        <v>-7.0E-4</v>
      </c>
      <c r="K651" s="1">
        <v>4412.0</v>
      </c>
    </row>
    <row r="652">
      <c r="A652" s="1" t="s">
        <v>21</v>
      </c>
      <c r="B652" s="1" t="s">
        <v>180</v>
      </c>
      <c r="C652" s="1" t="s">
        <v>47</v>
      </c>
      <c r="D652" s="1">
        <v>21.0</v>
      </c>
      <c r="E652" s="1">
        <v>3995.0</v>
      </c>
      <c r="F652" s="1">
        <v>4239.0</v>
      </c>
      <c r="G652" s="1">
        <v>16814.0</v>
      </c>
      <c r="H652" s="1">
        <v>0.2376</v>
      </c>
      <c r="I652" s="1">
        <v>0.2521</v>
      </c>
      <c r="J652" s="1">
        <v>-0.0145</v>
      </c>
      <c r="K652" s="1">
        <v>4334.0</v>
      </c>
    </row>
    <row r="653">
      <c r="A653" s="1" t="s">
        <v>21</v>
      </c>
      <c r="B653" s="1" t="s">
        <v>180</v>
      </c>
      <c r="C653" s="1" t="s">
        <v>48</v>
      </c>
      <c r="D653" s="1">
        <v>1.0</v>
      </c>
      <c r="E653" s="1">
        <v>9116.0</v>
      </c>
      <c r="F653" s="1">
        <v>5917.0</v>
      </c>
      <c r="G653" s="1">
        <v>20377.0</v>
      </c>
      <c r="H653" s="1">
        <v>0.4474</v>
      </c>
      <c r="I653" s="1">
        <v>0.2904</v>
      </c>
      <c r="J653" s="1">
        <v>0.157</v>
      </c>
      <c r="K653" s="1">
        <v>5527.0</v>
      </c>
    </row>
    <row r="654">
      <c r="A654" s="1" t="s">
        <v>21</v>
      </c>
      <c r="B654" s="1" t="s">
        <v>180</v>
      </c>
      <c r="C654" s="1" t="s">
        <v>48</v>
      </c>
      <c r="D654" s="1">
        <v>2.0</v>
      </c>
      <c r="E654" s="1">
        <v>6997.0</v>
      </c>
      <c r="F654" s="1">
        <v>5412.0</v>
      </c>
      <c r="G654" s="1">
        <v>20377.0</v>
      </c>
      <c r="H654" s="1">
        <v>0.3434</v>
      </c>
      <c r="I654" s="1">
        <v>0.2656</v>
      </c>
      <c r="J654" s="1">
        <v>0.0778</v>
      </c>
      <c r="K654" s="1">
        <v>5332.0</v>
      </c>
    </row>
    <row r="655">
      <c r="A655" s="1" t="s">
        <v>21</v>
      </c>
      <c r="B655" s="1" t="s">
        <v>180</v>
      </c>
      <c r="C655" s="1" t="s">
        <v>48</v>
      </c>
      <c r="D655" s="1">
        <v>3.0</v>
      </c>
      <c r="E655" s="1">
        <v>5854.0</v>
      </c>
      <c r="F655" s="1">
        <v>4747.0</v>
      </c>
      <c r="G655" s="1">
        <v>20377.0</v>
      </c>
      <c r="H655" s="1">
        <v>0.2873</v>
      </c>
      <c r="I655" s="1">
        <v>0.233</v>
      </c>
      <c r="J655" s="1">
        <v>0.0543</v>
      </c>
      <c r="K655" s="1">
        <v>5235.0</v>
      </c>
    </row>
    <row r="656">
      <c r="A656" s="1" t="s">
        <v>21</v>
      </c>
      <c r="B656" s="1" t="s">
        <v>180</v>
      </c>
      <c r="C656" s="1" t="s">
        <v>48</v>
      </c>
      <c r="D656" s="1">
        <v>4.0</v>
      </c>
      <c r="E656" s="1">
        <v>5280.0</v>
      </c>
      <c r="F656" s="1">
        <v>4379.0</v>
      </c>
      <c r="G656" s="1">
        <v>20377.0</v>
      </c>
      <c r="H656" s="1">
        <v>0.2591</v>
      </c>
      <c r="I656" s="1">
        <v>0.2149</v>
      </c>
      <c r="J656" s="1">
        <v>0.0442</v>
      </c>
      <c r="K656" s="1">
        <v>4898.0</v>
      </c>
    </row>
    <row r="657">
      <c r="A657" s="1" t="s">
        <v>21</v>
      </c>
      <c r="B657" s="1" t="s">
        <v>180</v>
      </c>
      <c r="C657" s="1" t="s">
        <v>48</v>
      </c>
      <c r="D657" s="1">
        <v>5.0</v>
      </c>
      <c r="E657" s="1">
        <v>8235.0</v>
      </c>
      <c r="F657" s="1">
        <v>5405.0</v>
      </c>
      <c r="G657" s="1">
        <v>20377.0</v>
      </c>
      <c r="H657" s="1">
        <v>0.4041</v>
      </c>
      <c r="I657" s="1">
        <v>0.2653</v>
      </c>
      <c r="J657" s="1">
        <v>0.1389</v>
      </c>
      <c r="K657" s="1">
        <v>4863.0</v>
      </c>
    </row>
    <row r="658">
      <c r="A658" s="1" t="s">
        <v>21</v>
      </c>
      <c r="B658" s="1" t="s">
        <v>180</v>
      </c>
      <c r="C658" s="1" t="s">
        <v>48</v>
      </c>
      <c r="D658" s="1">
        <v>6.0</v>
      </c>
      <c r="E658" s="1">
        <v>6162.0</v>
      </c>
      <c r="F658" s="1">
        <v>4917.0</v>
      </c>
      <c r="G658" s="1">
        <v>20377.0</v>
      </c>
      <c r="H658" s="1">
        <v>0.3024</v>
      </c>
      <c r="I658" s="1">
        <v>0.2413</v>
      </c>
      <c r="J658" s="1">
        <v>0.0611</v>
      </c>
      <c r="K658" s="1">
        <v>4807.0</v>
      </c>
    </row>
    <row r="659">
      <c r="A659" s="1" t="s">
        <v>21</v>
      </c>
      <c r="B659" s="1" t="s">
        <v>180</v>
      </c>
      <c r="C659" s="1" t="s">
        <v>48</v>
      </c>
      <c r="D659" s="1">
        <v>7.0</v>
      </c>
      <c r="E659" s="1">
        <v>5524.0</v>
      </c>
      <c r="F659" s="1">
        <v>4640.0</v>
      </c>
      <c r="G659" s="1">
        <v>20377.0</v>
      </c>
      <c r="H659" s="1">
        <v>0.2711</v>
      </c>
      <c r="I659" s="1">
        <v>0.2277</v>
      </c>
      <c r="J659" s="1">
        <v>0.0434</v>
      </c>
      <c r="K659" s="1">
        <v>4848.0</v>
      </c>
    </row>
    <row r="660">
      <c r="A660" s="1" t="s">
        <v>21</v>
      </c>
      <c r="B660" s="1" t="s">
        <v>180</v>
      </c>
      <c r="C660" s="1" t="s">
        <v>48</v>
      </c>
      <c r="D660" s="1">
        <v>8.0</v>
      </c>
      <c r="E660" s="1">
        <v>9037.0</v>
      </c>
      <c r="F660" s="1">
        <v>5539.0</v>
      </c>
      <c r="G660" s="1">
        <v>20377.0</v>
      </c>
      <c r="H660" s="1">
        <v>0.4435</v>
      </c>
      <c r="I660" s="1">
        <v>0.2718</v>
      </c>
      <c r="J660" s="1">
        <v>0.1717</v>
      </c>
      <c r="K660" s="1">
        <v>4974.0</v>
      </c>
    </row>
    <row r="661">
      <c r="A661" s="1" t="s">
        <v>21</v>
      </c>
      <c r="B661" s="1" t="s">
        <v>180</v>
      </c>
      <c r="C661" s="1" t="s">
        <v>48</v>
      </c>
      <c r="D661" s="1">
        <v>9.0</v>
      </c>
      <c r="E661" s="1">
        <v>6709.0</v>
      </c>
      <c r="F661" s="1">
        <v>4980.0</v>
      </c>
      <c r="G661" s="1">
        <v>20377.0</v>
      </c>
      <c r="H661" s="1">
        <v>0.3292</v>
      </c>
      <c r="I661" s="1">
        <v>0.2444</v>
      </c>
      <c r="J661" s="1">
        <v>0.0849</v>
      </c>
      <c r="K661" s="1">
        <v>4991.0</v>
      </c>
    </row>
    <row r="662">
      <c r="A662" s="1" t="s">
        <v>21</v>
      </c>
      <c r="B662" s="1" t="s">
        <v>180</v>
      </c>
      <c r="C662" s="1" t="s">
        <v>48</v>
      </c>
      <c r="D662" s="1">
        <v>10.0</v>
      </c>
      <c r="E662" s="1">
        <v>5707.0</v>
      </c>
      <c r="F662" s="1">
        <v>4682.0</v>
      </c>
      <c r="G662" s="1">
        <v>20377.0</v>
      </c>
      <c r="H662" s="1">
        <v>0.2801</v>
      </c>
      <c r="I662" s="1">
        <v>0.2298</v>
      </c>
      <c r="J662" s="1">
        <v>0.0503</v>
      </c>
      <c r="K662" s="1">
        <v>4848.0</v>
      </c>
    </row>
    <row r="663">
      <c r="A663" s="1" t="s">
        <v>21</v>
      </c>
      <c r="B663" s="1" t="s">
        <v>180</v>
      </c>
      <c r="C663" s="1" t="s">
        <v>48</v>
      </c>
      <c r="D663" s="1">
        <v>11.0</v>
      </c>
      <c r="E663" s="1">
        <v>5458.0</v>
      </c>
      <c r="F663" s="1">
        <v>4186.0</v>
      </c>
      <c r="G663" s="1">
        <v>20377.0</v>
      </c>
      <c r="H663" s="1">
        <v>0.2679</v>
      </c>
      <c r="I663" s="1">
        <v>0.2054</v>
      </c>
      <c r="J663" s="1">
        <v>0.0624</v>
      </c>
      <c r="K663" s="1">
        <v>4828.0</v>
      </c>
    </row>
    <row r="664">
      <c r="A664" s="1" t="s">
        <v>21</v>
      </c>
      <c r="B664" s="1" t="s">
        <v>180</v>
      </c>
      <c r="C664" s="1" t="s">
        <v>48</v>
      </c>
      <c r="D664" s="1">
        <v>12.0</v>
      </c>
      <c r="E664" s="1">
        <v>7741.0</v>
      </c>
      <c r="F664" s="1">
        <v>5070.0</v>
      </c>
      <c r="G664" s="1">
        <v>20377.0</v>
      </c>
      <c r="H664" s="1">
        <v>0.3799</v>
      </c>
      <c r="I664" s="1">
        <v>0.2488</v>
      </c>
      <c r="J664" s="1">
        <v>0.1311</v>
      </c>
      <c r="K664" s="1">
        <v>4927.0</v>
      </c>
    </row>
    <row r="665">
      <c r="A665" s="1" t="s">
        <v>21</v>
      </c>
      <c r="B665" s="1" t="s">
        <v>180</v>
      </c>
      <c r="C665" s="1" t="s">
        <v>48</v>
      </c>
      <c r="D665" s="1">
        <v>13.0</v>
      </c>
      <c r="E665" s="1">
        <v>5990.0</v>
      </c>
      <c r="F665" s="1">
        <v>4815.0</v>
      </c>
      <c r="G665" s="1">
        <v>20377.0</v>
      </c>
      <c r="H665" s="1">
        <v>0.294</v>
      </c>
      <c r="I665" s="1">
        <v>0.2363</v>
      </c>
      <c r="J665" s="1">
        <v>0.0577</v>
      </c>
      <c r="K665" s="1">
        <v>4933.0</v>
      </c>
    </row>
    <row r="666">
      <c r="A666" s="1" t="s">
        <v>21</v>
      </c>
      <c r="B666" s="1" t="s">
        <v>180</v>
      </c>
      <c r="C666" s="1" t="s">
        <v>48</v>
      </c>
      <c r="D666" s="1">
        <v>14.0</v>
      </c>
      <c r="E666" s="1">
        <v>5536.0</v>
      </c>
      <c r="F666" s="1">
        <v>4597.0</v>
      </c>
      <c r="G666" s="1">
        <v>20377.0</v>
      </c>
      <c r="H666" s="1">
        <v>0.2717</v>
      </c>
      <c r="I666" s="1">
        <v>0.2256</v>
      </c>
      <c r="J666" s="1">
        <v>0.0461</v>
      </c>
      <c r="K666" s="1">
        <v>5012.0</v>
      </c>
    </row>
    <row r="667">
      <c r="A667" s="1" t="s">
        <v>21</v>
      </c>
      <c r="B667" s="1" t="s">
        <v>180</v>
      </c>
      <c r="C667" s="1" t="s">
        <v>48</v>
      </c>
      <c r="D667" s="1">
        <v>15.0</v>
      </c>
      <c r="E667" s="1">
        <v>9661.0</v>
      </c>
      <c r="F667" s="1">
        <v>5893.0</v>
      </c>
      <c r="G667" s="1">
        <v>20377.0</v>
      </c>
      <c r="H667" s="1">
        <v>0.4741</v>
      </c>
      <c r="I667" s="1">
        <v>0.2892</v>
      </c>
      <c r="J667" s="1">
        <v>0.1849</v>
      </c>
      <c r="K667" s="1">
        <v>5184.0</v>
      </c>
    </row>
    <row r="668">
      <c r="A668" s="1" t="s">
        <v>21</v>
      </c>
      <c r="B668" s="1" t="s">
        <v>180</v>
      </c>
      <c r="C668" s="1" t="s">
        <v>48</v>
      </c>
      <c r="D668" s="1">
        <v>16.0</v>
      </c>
      <c r="E668" s="1">
        <v>6772.0</v>
      </c>
      <c r="F668" s="1">
        <v>4773.0</v>
      </c>
      <c r="G668" s="1">
        <v>20377.0</v>
      </c>
      <c r="H668" s="1">
        <v>0.3323</v>
      </c>
      <c r="I668" s="1">
        <v>0.2342</v>
      </c>
      <c r="J668" s="1">
        <v>0.0981</v>
      </c>
      <c r="K668" s="1">
        <v>5138.0</v>
      </c>
    </row>
    <row r="669">
      <c r="A669" s="1" t="s">
        <v>21</v>
      </c>
      <c r="B669" s="1" t="s">
        <v>180</v>
      </c>
      <c r="C669" s="1" t="s">
        <v>48</v>
      </c>
      <c r="D669" s="1">
        <v>17.0</v>
      </c>
      <c r="E669" s="1">
        <v>5711.0</v>
      </c>
      <c r="F669" s="1">
        <v>4388.0</v>
      </c>
      <c r="G669" s="1">
        <v>20377.0</v>
      </c>
      <c r="H669" s="1">
        <v>0.2803</v>
      </c>
      <c r="I669" s="1">
        <v>0.2153</v>
      </c>
      <c r="J669" s="1">
        <v>0.0649</v>
      </c>
      <c r="K669" s="1">
        <v>5089.0</v>
      </c>
    </row>
    <row r="670">
      <c r="A670" s="1" t="s">
        <v>21</v>
      </c>
      <c r="B670" s="1" t="s">
        <v>180</v>
      </c>
      <c r="C670" s="1" t="s">
        <v>48</v>
      </c>
      <c r="D670" s="1">
        <v>18.0</v>
      </c>
      <c r="E670" s="1">
        <v>4805.0</v>
      </c>
      <c r="F670" s="1">
        <v>4170.0</v>
      </c>
      <c r="G670" s="1">
        <v>20377.0</v>
      </c>
      <c r="H670" s="1">
        <v>0.2358</v>
      </c>
      <c r="I670" s="1">
        <v>0.2046</v>
      </c>
      <c r="J670" s="1">
        <v>0.0312</v>
      </c>
      <c r="K670" s="1">
        <v>4956.0</v>
      </c>
    </row>
    <row r="671">
      <c r="A671" s="1" t="s">
        <v>21</v>
      </c>
      <c r="B671" s="1" t="s">
        <v>180</v>
      </c>
      <c r="C671" s="1" t="s">
        <v>48</v>
      </c>
      <c r="D671" s="1">
        <v>19.0</v>
      </c>
      <c r="E671" s="1">
        <v>6071.0</v>
      </c>
      <c r="F671" s="1">
        <v>4137.0</v>
      </c>
      <c r="G671" s="1">
        <v>20377.0</v>
      </c>
      <c r="H671" s="1">
        <v>0.2979</v>
      </c>
      <c r="I671" s="1">
        <v>0.203</v>
      </c>
      <c r="J671" s="1">
        <v>0.0949</v>
      </c>
      <c r="K671" s="1">
        <v>4493.0</v>
      </c>
    </row>
    <row r="672">
      <c r="A672" s="1" t="s">
        <v>21</v>
      </c>
      <c r="B672" s="1" t="s">
        <v>180</v>
      </c>
      <c r="C672" s="1" t="s">
        <v>48</v>
      </c>
      <c r="D672" s="1">
        <v>20.0</v>
      </c>
      <c r="E672" s="1">
        <v>4820.0</v>
      </c>
      <c r="F672" s="1">
        <v>4251.0</v>
      </c>
      <c r="G672" s="1">
        <v>20377.0</v>
      </c>
      <c r="H672" s="1">
        <v>0.2365</v>
      </c>
      <c r="I672" s="1">
        <v>0.2086</v>
      </c>
      <c r="J672" s="1">
        <v>0.0279</v>
      </c>
      <c r="K672" s="1">
        <v>4412.0</v>
      </c>
    </row>
    <row r="673">
      <c r="A673" s="1" t="s">
        <v>21</v>
      </c>
      <c r="B673" s="1" t="s">
        <v>180</v>
      </c>
      <c r="C673" s="1" t="s">
        <v>48</v>
      </c>
      <c r="D673" s="1">
        <v>21.0</v>
      </c>
      <c r="E673" s="1">
        <v>4161.0</v>
      </c>
      <c r="F673" s="1">
        <v>3981.0</v>
      </c>
      <c r="G673" s="1">
        <v>20377.0</v>
      </c>
      <c r="H673" s="1">
        <v>0.2042</v>
      </c>
      <c r="I673" s="1">
        <v>0.1954</v>
      </c>
      <c r="J673" s="1">
        <v>0.0088</v>
      </c>
      <c r="K673" s="1">
        <v>4334.0</v>
      </c>
    </row>
    <row r="674">
      <c r="A674" s="1" t="s">
        <v>21</v>
      </c>
      <c r="B674" s="1" t="s">
        <v>180</v>
      </c>
      <c r="C674" s="1" t="s">
        <v>50</v>
      </c>
      <c r="D674" s="1">
        <v>1.0</v>
      </c>
      <c r="E674" s="1">
        <v>4009.0</v>
      </c>
      <c r="F674" s="1">
        <v>3223.0</v>
      </c>
      <c r="G674" s="1">
        <v>15816.0</v>
      </c>
      <c r="H674" s="1">
        <v>0.2535</v>
      </c>
      <c r="I674" s="1">
        <v>0.2038</v>
      </c>
      <c r="J674" s="1">
        <v>0.0497</v>
      </c>
      <c r="K674" s="1">
        <v>5527.0</v>
      </c>
    </row>
    <row r="675">
      <c r="A675" s="1" t="s">
        <v>21</v>
      </c>
      <c r="B675" s="1" t="s">
        <v>180</v>
      </c>
      <c r="C675" s="1" t="s">
        <v>50</v>
      </c>
      <c r="D675" s="1">
        <v>2.0</v>
      </c>
      <c r="E675" s="1">
        <v>3250.0</v>
      </c>
      <c r="F675" s="1">
        <v>2991.0</v>
      </c>
      <c r="G675" s="1">
        <v>15816.0</v>
      </c>
      <c r="H675" s="1">
        <v>0.2055</v>
      </c>
      <c r="I675" s="1">
        <v>0.1891</v>
      </c>
      <c r="J675" s="1">
        <v>0.0164</v>
      </c>
      <c r="K675" s="1">
        <v>5332.0</v>
      </c>
    </row>
    <row r="676">
      <c r="A676" s="1" t="s">
        <v>21</v>
      </c>
      <c r="B676" s="1" t="s">
        <v>180</v>
      </c>
      <c r="C676" s="1" t="s">
        <v>50</v>
      </c>
      <c r="D676" s="1">
        <v>3.0</v>
      </c>
      <c r="E676" s="1">
        <v>3105.0</v>
      </c>
      <c r="F676" s="1">
        <v>2696.0</v>
      </c>
      <c r="G676" s="1">
        <v>15816.0</v>
      </c>
      <c r="H676" s="1">
        <v>0.1963</v>
      </c>
      <c r="I676" s="1">
        <v>0.1705</v>
      </c>
      <c r="J676" s="1">
        <v>0.0259</v>
      </c>
      <c r="K676" s="1">
        <v>5235.0</v>
      </c>
    </row>
    <row r="677">
      <c r="A677" s="1" t="s">
        <v>21</v>
      </c>
      <c r="B677" s="1" t="s">
        <v>180</v>
      </c>
      <c r="C677" s="1" t="s">
        <v>50</v>
      </c>
      <c r="D677" s="1">
        <v>4.0</v>
      </c>
      <c r="E677" s="1">
        <v>3105.0</v>
      </c>
      <c r="F677" s="1">
        <v>2606.0</v>
      </c>
      <c r="G677" s="1">
        <v>15816.0</v>
      </c>
      <c r="H677" s="1">
        <v>0.1963</v>
      </c>
      <c r="I677" s="1">
        <v>0.1648</v>
      </c>
      <c r="J677" s="1">
        <v>0.0316</v>
      </c>
      <c r="K677" s="1">
        <v>4898.0</v>
      </c>
    </row>
    <row r="678">
      <c r="A678" s="1" t="s">
        <v>21</v>
      </c>
      <c r="B678" s="1" t="s">
        <v>180</v>
      </c>
      <c r="C678" s="1" t="s">
        <v>50</v>
      </c>
      <c r="D678" s="1">
        <v>5.0</v>
      </c>
      <c r="E678" s="1">
        <v>4777.0</v>
      </c>
      <c r="F678" s="1">
        <v>3191.0</v>
      </c>
      <c r="G678" s="1">
        <v>15816.0</v>
      </c>
      <c r="H678" s="1">
        <v>0.302</v>
      </c>
      <c r="I678" s="1">
        <v>0.2018</v>
      </c>
      <c r="J678" s="1">
        <v>0.1003</v>
      </c>
      <c r="K678" s="1">
        <v>4863.0</v>
      </c>
    </row>
    <row r="679">
      <c r="A679" s="1" t="s">
        <v>21</v>
      </c>
      <c r="B679" s="1" t="s">
        <v>180</v>
      </c>
      <c r="C679" s="1" t="s">
        <v>50</v>
      </c>
      <c r="D679" s="1">
        <v>6.0</v>
      </c>
      <c r="E679" s="1">
        <v>3148.0</v>
      </c>
      <c r="F679" s="1">
        <v>2813.0</v>
      </c>
      <c r="G679" s="1">
        <v>15816.0</v>
      </c>
      <c r="H679" s="1">
        <v>0.199</v>
      </c>
      <c r="I679" s="1">
        <v>0.1779</v>
      </c>
      <c r="J679" s="1">
        <v>0.0212</v>
      </c>
      <c r="K679" s="1">
        <v>4807.0</v>
      </c>
    </row>
    <row r="680">
      <c r="A680" s="1" t="s">
        <v>21</v>
      </c>
      <c r="B680" s="1" t="s">
        <v>180</v>
      </c>
      <c r="C680" s="1" t="s">
        <v>50</v>
      </c>
      <c r="D680" s="1">
        <v>7.0</v>
      </c>
      <c r="E680" s="1">
        <v>2872.0</v>
      </c>
      <c r="F680" s="1">
        <v>2581.0</v>
      </c>
      <c r="G680" s="1">
        <v>15816.0</v>
      </c>
      <c r="H680" s="1">
        <v>0.1816</v>
      </c>
      <c r="I680" s="1">
        <v>0.1632</v>
      </c>
      <c r="J680" s="1">
        <v>0.0184</v>
      </c>
      <c r="K680" s="1">
        <v>4848.0</v>
      </c>
    </row>
    <row r="681">
      <c r="A681" s="1" t="s">
        <v>21</v>
      </c>
      <c r="B681" s="1" t="s">
        <v>180</v>
      </c>
      <c r="C681" s="1" t="s">
        <v>50</v>
      </c>
      <c r="D681" s="1">
        <v>8.0</v>
      </c>
      <c r="E681" s="1">
        <v>3540.0</v>
      </c>
      <c r="F681" s="1">
        <v>2854.0</v>
      </c>
      <c r="G681" s="1">
        <v>15816.0</v>
      </c>
      <c r="H681" s="1">
        <v>0.2238</v>
      </c>
      <c r="I681" s="1">
        <v>0.1805</v>
      </c>
      <c r="J681" s="1">
        <v>0.0434</v>
      </c>
      <c r="K681" s="1">
        <v>4974.0</v>
      </c>
    </row>
    <row r="682">
      <c r="A682" s="1" t="s">
        <v>21</v>
      </c>
      <c r="B682" s="1" t="s">
        <v>180</v>
      </c>
      <c r="C682" s="1" t="s">
        <v>50</v>
      </c>
      <c r="D682" s="1">
        <v>9.0</v>
      </c>
      <c r="E682" s="1">
        <v>2940.0</v>
      </c>
      <c r="F682" s="1">
        <v>2607.0</v>
      </c>
      <c r="G682" s="1">
        <v>15816.0</v>
      </c>
      <c r="H682" s="1">
        <v>0.1859</v>
      </c>
      <c r="I682" s="1">
        <v>0.1648</v>
      </c>
      <c r="J682" s="1">
        <v>0.0211</v>
      </c>
      <c r="K682" s="1">
        <v>4991.0</v>
      </c>
    </row>
    <row r="683">
      <c r="A683" s="1" t="s">
        <v>21</v>
      </c>
      <c r="B683" s="1" t="s">
        <v>180</v>
      </c>
      <c r="C683" s="1" t="s">
        <v>50</v>
      </c>
      <c r="D683" s="1">
        <v>10.0</v>
      </c>
      <c r="E683" s="1">
        <v>2869.0</v>
      </c>
      <c r="F683" s="1">
        <v>2631.0</v>
      </c>
      <c r="G683" s="1">
        <v>15816.0</v>
      </c>
      <c r="H683" s="1">
        <v>0.1814</v>
      </c>
      <c r="I683" s="1">
        <v>0.1664</v>
      </c>
      <c r="J683" s="1">
        <v>0.015</v>
      </c>
      <c r="K683" s="1">
        <v>4848.0</v>
      </c>
    </row>
    <row r="684">
      <c r="A684" s="1" t="s">
        <v>21</v>
      </c>
      <c r="B684" s="1" t="s">
        <v>180</v>
      </c>
      <c r="C684" s="1" t="s">
        <v>50</v>
      </c>
      <c r="D684" s="1">
        <v>11.0</v>
      </c>
      <c r="E684" s="1">
        <v>2993.0</v>
      </c>
      <c r="F684" s="1">
        <v>2496.0</v>
      </c>
      <c r="G684" s="1">
        <v>15816.0</v>
      </c>
      <c r="H684" s="1">
        <v>0.1892</v>
      </c>
      <c r="I684" s="1">
        <v>0.1578</v>
      </c>
      <c r="J684" s="1">
        <v>0.0314</v>
      </c>
      <c r="K684" s="1">
        <v>4828.0</v>
      </c>
    </row>
    <row r="685">
      <c r="A685" s="1" t="s">
        <v>21</v>
      </c>
      <c r="B685" s="1" t="s">
        <v>180</v>
      </c>
      <c r="C685" s="1" t="s">
        <v>50</v>
      </c>
      <c r="D685" s="1">
        <v>12.0</v>
      </c>
      <c r="E685" s="1">
        <v>4333.0</v>
      </c>
      <c r="F685" s="1">
        <v>2915.0</v>
      </c>
      <c r="G685" s="1">
        <v>15816.0</v>
      </c>
      <c r="H685" s="1">
        <v>0.274</v>
      </c>
      <c r="I685" s="1">
        <v>0.1843</v>
      </c>
      <c r="J685" s="1">
        <v>0.0897</v>
      </c>
      <c r="K685" s="1">
        <v>4927.0</v>
      </c>
    </row>
    <row r="686">
      <c r="A686" s="1" t="s">
        <v>21</v>
      </c>
      <c r="B686" s="1" t="s">
        <v>180</v>
      </c>
      <c r="C686" s="1" t="s">
        <v>50</v>
      </c>
      <c r="D686" s="1">
        <v>13.0</v>
      </c>
      <c r="E686" s="1">
        <v>3199.0</v>
      </c>
      <c r="F686" s="1">
        <v>2696.0</v>
      </c>
      <c r="G686" s="1">
        <v>15816.0</v>
      </c>
      <c r="H686" s="1">
        <v>0.2023</v>
      </c>
      <c r="I686" s="1">
        <v>0.1705</v>
      </c>
      <c r="J686" s="1">
        <v>0.0318</v>
      </c>
      <c r="K686" s="1">
        <v>4933.0</v>
      </c>
    </row>
    <row r="687">
      <c r="A687" s="1" t="s">
        <v>21</v>
      </c>
      <c r="B687" s="1" t="s">
        <v>180</v>
      </c>
      <c r="C687" s="1" t="s">
        <v>50</v>
      </c>
      <c r="D687" s="1">
        <v>14.0</v>
      </c>
      <c r="E687" s="1">
        <v>2796.0</v>
      </c>
      <c r="F687" s="1">
        <v>2553.0</v>
      </c>
      <c r="G687" s="1">
        <v>15816.0</v>
      </c>
      <c r="H687" s="1">
        <v>0.1768</v>
      </c>
      <c r="I687" s="1">
        <v>0.1614</v>
      </c>
      <c r="J687" s="1">
        <v>0.0154</v>
      </c>
      <c r="K687" s="1">
        <v>5012.0</v>
      </c>
    </row>
    <row r="688">
      <c r="A688" s="1" t="s">
        <v>21</v>
      </c>
      <c r="B688" s="1" t="s">
        <v>180</v>
      </c>
      <c r="C688" s="1" t="s">
        <v>50</v>
      </c>
      <c r="D688" s="1">
        <v>15.0</v>
      </c>
      <c r="E688" s="1">
        <v>3494.0</v>
      </c>
      <c r="F688" s="1">
        <v>2831.0</v>
      </c>
      <c r="G688" s="1">
        <v>15816.0</v>
      </c>
      <c r="H688" s="1">
        <v>0.2209</v>
      </c>
      <c r="I688" s="1">
        <v>0.179</v>
      </c>
      <c r="J688" s="1">
        <v>0.0419</v>
      </c>
      <c r="K688" s="1">
        <v>5184.0</v>
      </c>
    </row>
    <row r="689">
      <c r="A689" s="1" t="s">
        <v>21</v>
      </c>
      <c r="B689" s="1" t="s">
        <v>180</v>
      </c>
      <c r="C689" s="1" t="s">
        <v>50</v>
      </c>
      <c r="D689" s="1">
        <v>16.0</v>
      </c>
      <c r="E689" s="1">
        <v>2839.0</v>
      </c>
      <c r="F689" s="1">
        <v>2362.0</v>
      </c>
      <c r="G689" s="1">
        <v>15816.0</v>
      </c>
      <c r="H689" s="1">
        <v>0.1795</v>
      </c>
      <c r="I689" s="1">
        <v>0.1493</v>
      </c>
      <c r="J689" s="1">
        <v>0.0302</v>
      </c>
      <c r="K689" s="1">
        <v>5138.0</v>
      </c>
    </row>
    <row r="690">
      <c r="A690" s="1" t="s">
        <v>21</v>
      </c>
      <c r="B690" s="1" t="s">
        <v>180</v>
      </c>
      <c r="C690" s="1" t="s">
        <v>50</v>
      </c>
      <c r="D690" s="1">
        <v>17.0</v>
      </c>
      <c r="E690" s="1">
        <v>2880.0</v>
      </c>
      <c r="F690" s="1">
        <v>2501.0</v>
      </c>
      <c r="G690" s="1">
        <v>15816.0</v>
      </c>
      <c r="H690" s="1">
        <v>0.1821</v>
      </c>
      <c r="I690" s="1">
        <v>0.1581</v>
      </c>
      <c r="J690" s="1">
        <v>0.024</v>
      </c>
      <c r="K690" s="1">
        <v>5089.0</v>
      </c>
    </row>
    <row r="691">
      <c r="A691" s="1" t="s">
        <v>21</v>
      </c>
      <c r="B691" s="1" t="s">
        <v>180</v>
      </c>
      <c r="C691" s="1" t="s">
        <v>50</v>
      </c>
      <c r="D691" s="1">
        <v>18.0</v>
      </c>
      <c r="E691" s="1">
        <v>2873.0</v>
      </c>
      <c r="F691" s="1">
        <v>2579.0</v>
      </c>
      <c r="G691" s="1">
        <v>15816.0</v>
      </c>
      <c r="H691" s="1">
        <v>0.1817</v>
      </c>
      <c r="I691" s="1">
        <v>0.1631</v>
      </c>
      <c r="J691" s="1">
        <v>0.0186</v>
      </c>
      <c r="K691" s="1">
        <v>4956.0</v>
      </c>
    </row>
    <row r="692">
      <c r="A692" s="1" t="s">
        <v>21</v>
      </c>
      <c r="B692" s="1" t="s">
        <v>180</v>
      </c>
      <c r="C692" s="1" t="s">
        <v>50</v>
      </c>
      <c r="D692" s="1">
        <v>19.0</v>
      </c>
      <c r="E692" s="1">
        <v>4009.0</v>
      </c>
      <c r="F692" s="1">
        <v>2600.0</v>
      </c>
      <c r="G692" s="1">
        <v>15816.0</v>
      </c>
      <c r="H692" s="1">
        <v>0.2535</v>
      </c>
      <c r="I692" s="1">
        <v>0.1644</v>
      </c>
      <c r="J692" s="1">
        <v>0.0891</v>
      </c>
      <c r="K692" s="1">
        <v>4493.0</v>
      </c>
    </row>
    <row r="693">
      <c r="A693" s="1" t="s">
        <v>21</v>
      </c>
      <c r="B693" s="1" t="s">
        <v>180</v>
      </c>
      <c r="C693" s="1" t="s">
        <v>50</v>
      </c>
      <c r="D693" s="1">
        <v>20.0</v>
      </c>
      <c r="E693" s="1">
        <v>2777.0</v>
      </c>
      <c r="F693" s="1">
        <v>2487.0</v>
      </c>
      <c r="G693" s="1">
        <v>15816.0</v>
      </c>
      <c r="H693" s="1">
        <v>0.1756</v>
      </c>
      <c r="I693" s="1">
        <v>0.1572</v>
      </c>
      <c r="J693" s="1">
        <v>0.0183</v>
      </c>
      <c r="K693" s="1">
        <v>4412.0</v>
      </c>
    </row>
    <row r="694">
      <c r="A694" s="1" t="s">
        <v>21</v>
      </c>
      <c r="B694" s="1" t="s">
        <v>180</v>
      </c>
      <c r="C694" s="1" t="s">
        <v>50</v>
      </c>
      <c r="D694" s="1">
        <v>21.0</v>
      </c>
      <c r="E694" s="1">
        <v>2282.0</v>
      </c>
      <c r="F694" s="1">
        <v>2357.0</v>
      </c>
      <c r="G694" s="1">
        <v>15816.0</v>
      </c>
      <c r="H694" s="1">
        <v>0.1443</v>
      </c>
      <c r="I694" s="1">
        <v>0.149</v>
      </c>
      <c r="J694" s="1">
        <v>-0.0047</v>
      </c>
      <c r="K694" s="1">
        <v>4334.0</v>
      </c>
    </row>
    <row r="695">
      <c r="A695" s="1" t="s">
        <v>21</v>
      </c>
      <c r="B695" s="1" t="s">
        <v>180</v>
      </c>
      <c r="C695" s="1" t="s">
        <v>1209</v>
      </c>
      <c r="D695" s="1">
        <v>1.0</v>
      </c>
      <c r="E695" s="1">
        <v>1880.0</v>
      </c>
      <c r="F695" s="1">
        <v>748.0</v>
      </c>
      <c r="G695" s="1">
        <v>1771.0</v>
      </c>
      <c r="H695" s="1">
        <v>1.0615</v>
      </c>
      <c r="I695" s="1">
        <v>0.4224</v>
      </c>
      <c r="J695" s="1">
        <v>0.6392</v>
      </c>
      <c r="K695" s="1">
        <v>5527.0</v>
      </c>
    </row>
    <row r="696">
      <c r="A696" s="1" t="s">
        <v>21</v>
      </c>
      <c r="B696" s="1" t="s">
        <v>180</v>
      </c>
      <c r="C696" s="1" t="s">
        <v>1209</v>
      </c>
      <c r="D696" s="1">
        <v>2.0</v>
      </c>
      <c r="E696" s="1">
        <v>2080.0</v>
      </c>
      <c r="F696" s="1">
        <v>710.0</v>
      </c>
      <c r="G696" s="1">
        <v>1771.0</v>
      </c>
      <c r="H696" s="1">
        <v>1.1745</v>
      </c>
      <c r="I696" s="1">
        <v>0.4009</v>
      </c>
      <c r="J696" s="1">
        <v>0.7736</v>
      </c>
      <c r="K696" s="1">
        <v>5332.0</v>
      </c>
    </row>
    <row r="697">
      <c r="A697" s="1" t="s">
        <v>21</v>
      </c>
      <c r="B697" s="1" t="s">
        <v>180</v>
      </c>
      <c r="C697" s="1" t="s">
        <v>1209</v>
      </c>
      <c r="D697" s="1">
        <v>3.0</v>
      </c>
      <c r="E697" s="1">
        <v>1940.0</v>
      </c>
      <c r="F697" s="1">
        <v>691.0</v>
      </c>
      <c r="G697" s="1">
        <v>1771.0</v>
      </c>
      <c r="H697" s="1">
        <v>1.0954</v>
      </c>
      <c r="I697" s="1">
        <v>0.3902</v>
      </c>
      <c r="J697" s="1">
        <v>0.7053</v>
      </c>
      <c r="K697" s="1">
        <v>5235.0</v>
      </c>
    </row>
    <row r="698">
      <c r="A698" s="1" t="s">
        <v>21</v>
      </c>
      <c r="B698" s="1" t="s">
        <v>180</v>
      </c>
      <c r="C698" s="1" t="s">
        <v>1209</v>
      </c>
      <c r="D698" s="1">
        <v>4.0</v>
      </c>
      <c r="E698" s="1">
        <v>1425.0</v>
      </c>
      <c r="F698" s="1">
        <v>507.0</v>
      </c>
      <c r="G698" s="1">
        <v>1771.0</v>
      </c>
      <c r="H698" s="1">
        <v>0.8046</v>
      </c>
      <c r="I698" s="1">
        <v>0.2863</v>
      </c>
      <c r="J698" s="1">
        <v>0.5184</v>
      </c>
      <c r="K698" s="1">
        <v>4898.0</v>
      </c>
    </row>
    <row r="699">
      <c r="A699" s="1" t="s">
        <v>21</v>
      </c>
      <c r="B699" s="1" t="s">
        <v>180</v>
      </c>
      <c r="C699" s="1" t="s">
        <v>1209</v>
      </c>
      <c r="D699" s="1">
        <v>5.0</v>
      </c>
      <c r="E699" s="1">
        <v>2220.0</v>
      </c>
      <c r="F699" s="1">
        <v>812.0</v>
      </c>
      <c r="G699" s="1">
        <v>1771.0</v>
      </c>
      <c r="H699" s="1">
        <v>1.2535</v>
      </c>
      <c r="I699" s="1">
        <v>0.4585</v>
      </c>
      <c r="J699" s="1">
        <v>0.795</v>
      </c>
      <c r="K699" s="1">
        <v>4863.0</v>
      </c>
    </row>
    <row r="700">
      <c r="A700" s="1" t="s">
        <v>21</v>
      </c>
      <c r="B700" s="1" t="s">
        <v>180</v>
      </c>
      <c r="C700" s="1" t="s">
        <v>1209</v>
      </c>
      <c r="D700" s="1">
        <v>6.0</v>
      </c>
      <c r="E700" s="1">
        <v>2530.0</v>
      </c>
      <c r="F700" s="1">
        <v>1199.0</v>
      </c>
      <c r="G700" s="1">
        <v>1771.0</v>
      </c>
      <c r="H700" s="1">
        <v>1.4286</v>
      </c>
      <c r="I700" s="1">
        <v>0.677</v>
      </c>
      <c r="J700" s="1">
        <v>0.7516</v>
      </c>
      <c r="K700" s="1">
        <v>4807.0</v>
      </c>
    </row>
    <row r="701">
      <c r="A701" s="1" t="s">
        <v>21</v>
      </c>
      <c r="B701" s="1" t="s">
        <v>180</v>
      </c>
      <c r="C701" s="1" t="s">
        <v>1209</v>
      </c>
      <c r="D701" s="1">
        <v>7.0</v>
      </c>
      <c r="E701" s="1">
        <v>3945.0</v>
      </c>
      <c r="F701" s="1">
        <v>1707.0</v>
      </c>
      <c r="G701" s="1">
        <v>1771.0</v>
      </c>
      <c r="H701" s="1">
        <v>2.2276</v>
      </c>
      <c r="I701" s="1">
        <v>0.9639</v>
      </c>
      <c r="J701" s="1">
        <v>1.2637</v>
      </c>
      <c r="K701" s="1">
        <v>4848.0</v>
      </c>
    </row>
    <row r="702">
      <c r="A702" s="1" t="s">
        <v>21</v>
      </c>
      <c r="B702" s="1" t="s">
        <v>180</v>
      </c>
      <c r="C702" s="1" t="s">
        <v>1209</v>
      </c>
      <c r="D702" s="1">
        <v>8.0</v>
      </c>
      <c r="E702" s="1">
        <v>3125.0</v>
      </c>
      <c r="F702" s="1">
        <v>1468.0</v>
      </c>
      <c r="G702" s="1">
        <v>1771.0</v>
      </c>
      <c r="H702" s="1">
        <v>1.7645</v>
      </c>
      <c r="I702" s="1">
        <v>0.8289</v>
      </c>
      <c r="J702" s="1">
        <v>0.9356</v>
      </c>
      <c r="K702" s="1">
        <v>4974.0</v>
      </c>
    </row>
    <row r="703">
      <c r="A703" s="1" t="s">
        <v>21</v>
      </c>
      <c r="B703" s="1" t="s">
        <v>180</v>
      </c>
      <c r="C703" s="1" t="s">
        <v>1209</v>
      </c>
      <c r="D703" s="1">
        <v>9.0</v>
      </c>
      <c r="E703" s="1">
        <v>1760.0</v>
      </c>
      <c r="F703" s="1">
        <v>715.0</v>
      </c>
      <c r="G703" s="1">
        <v>1771.0</v>
      </c>
      <c r="H703" s="1">
        <v>0.9938</v>
      </c>
      <c r="I703" s="1">
        <v>0.4037</v>
      </c>
      <c r="J703" s="1">
        <v>0.5901</v>
      </c>
      <c r="K703" s="1">
        <v>4991.0</v>
      </c>
    </row>
    <row r="704">
      <c r="A704" s="1" t="s">
        <v>21</v>
      </c>
      <c r="B704" s="1" t="s">
        <v>180</v>
      </c>
      <c r="C704" s="1" t="s">
        <v>1209</v>
      </c>
      <c r="D704" s="1">
        <v>10.0</v>
      </c>
      <c r="E704" s="1">
        <v>2130.0</v>
      </c>
      <c r="F704" s="1">
        <v>774.0</v>
      </c>
      <c r="G704" s="1">
        <v>1771.0</v>
      </c>
      <c r="H704" s="1">
        <v>1.2027</v>
      </c>
      <c r="I704" s="1">
        <v>0.437</v>
      </c>
      <c r="J704" s="1">
        <v>0.7657</v>
      </c>
      <c r="K704" s="1">
        <v>4848.0</v>
      </c>
    </row>
    <row r="705">
      <c r="A705" s="1" t="s">
        <v>21</v>
      </c>
      <c r="B705" s="1" t="s">
        <v>180</v>
      </c>
      <c r="C705" s="1" t="s">
        <v>1209</v>
      </c>
      <c r="D705" s="1">
        <v>11.0</v>
      </c>
      <c r="E705" s="1">
        <v>1360.0</v>
      </c>
      <c r="F705" s="1">
        <v>679.0</v>
      </c>
      <c r="G705" s="1">
        <v>1771.0</v>
      </c>
      <c r="H705" s="1">
        <v>0.7679</v>
      </c>
      <c r="I705" s="1">
        <v>0.3834</v>
      </c>
      <c r="J705" s="1">
        <v>0.3845</v>
      </c>
      <c r="K705" s="1">
        <v>4828.0</v>
      </c>
    </row>
    <row r="706">
      <c r="A706" s="1" t="s">
        <v>21</v>
      </c>
      <c r="B706" s="1" t="s">
        <v>180</v>
      </c>
      <c r="C706" s="1" t="s">
        <v>1209</v>
      </c>
      <c r="D706" s="1">
        <v>12.0</v>
      </c>
      <c r="E706" s="1">
        <v>1880.0</v>
      </c>
      <c r="F706" s="1">
        <v>730.0</v>
      </c>
      <c r="G706" s="1">
        <v>1771.0</v>
      </c>
      <c r="H706" s="1">
        <v>1.0615</v>
      </c>
      <c r="I706" s="1">
        <v>0.4122</v>
      </c>
      <c r="J706" s="1">
        <v>0.6494</v>
      </c>
      <c r="K706" s="1">
        <v>4927.0</v>
      </c>
    </row>
    <row r="707">
      <c r="A707" s="1" t="s">
        <v>21</v>
      </c>
      <c r="B707" s="1" t="s">
        <v>180</v>
      </c>
      <c r="C707" s="1" t="s">
        <v>1209</v>
      </c>
      <c r="D707" s="1">
        <v>13.0</v>
      </c>
      <c r="E707" s="1">
        <v>2250.0</v>
      </c>
      <c r="F707" s="1">
        <v>881.0</v>
      </c>
      <c r="G707" s="1">
        <v>1771.0</v>
      </c>
      <c r="H707" s="1">
        <v>1.2705</v>
      </c>
      <c r="I707" s="1">
        <v>0.4975</v>
      </c>
      <c r="J707" s="1">
        <v>0.773</v>
      </c>
      <c r="K707" s="1">
        <v>4933.0</v>
      </c>
    </row>
    <row r="708">
      <c r="A708" s="1" t="s">
        <v>21</v>
      </c>
      <c r="B708" s="1" t="s">
        <v>180</v>
      </c>
      <c r="C708" s="1" t="s">
        <v>1209</v>
      </c>
      <c r="D708" s="1">
        <v>14.0</v>
      </c>
      <c r="E708" s="1">
        <v>3195.0</v>
      </c>
      <c r="F708" s="1">
        <v>1386.0</v>
      </c>
      <c r="G708" s="1">
        <v>1771.0</v>
      </c>
      <c r="H708" s="1">
        <v>1.8041</v>
      </c>
      <c r="I708" s="1">
        <v>0.7826</v>
      </c>
      <c r="J708" s="1">
        <v>1.0215</v>
      </c>
      <c r="K708" s="1">
        <v>5012.0</v>
      </c>
    </row>
    <row r="709">
      <c r="A709" s="1" t="s">
        <v>21</v>
      </c>
      <c r="B709" s="1" t="s">
        <v>180</v>
      </c>
      <c r="C709" s="1" t="s">
        <v>1209</v>
      </c>
      <c r="D709" s="1">
        <v>15.0</v>
      </c>
      <c r="E709" s="1">
        <v>4050.0</v>
      </c>
      <c r="F709" s="1">
        <v>1570.0</v>
      </c>
      <c r="G709" s="1">
        <v>1771.0</v>
      </c>
      <c r="H709" s="1">
        <v>2.2868</v>
      </c>
      <c r="I709" s="1">
        <v>0.8865</v>
      </c>
      <c r="J709" s="1">
        <v>1.4003</v>
      </c>
      <c r="K709" s="1">
        <v>5184.0</v>
      </c>
    </row>
    <row r="710">
      <c r="A710" s="1" t="s">
        <v>21</v>
      </c>
      <c r="B710" s="1" t="s">
        <v>180</v>
      </c>
      <c r="C710" s="1" t="s">
        <v>1209</v>
      </c>
      <c r="D710" s="1">
        <v>16.0</v>
      </c>
      <c r="E710" s="1">
        <v>1520.0</v>
      </c>
      <c r="F710" s="1">
        <v>640.0</v>
      </c>
      <c r="G710" s="1">
        <v>1771.0</v>
      </c>
      <c r="H710" s="1">
        <v>0.8583</v>
      </c>
      <c r="I710" s="1">
        <v>0.3614</v>
      </c>
      <c r="J710" s="1">
        <v>0.4969</v>
      </c>
      <c r="K710" s="1">
        <v>5138.0</v>
      </c>
    </row>
    <row r="711">
      <c r="A711" s="1" t="s">
        <v>21</v>
      </c>
      <c r="B711" s="1" t="s">
        <v>180</v>
      </c>
      <c r="C711" s="1" t="s">
        <v>1209</v>
      </c>
      <c r="D711" s="1">
        <v>17.0</v>
      </c>
      <c r="E711" s="1">
        <v>1660.0</v>
      </c>
      <c r="F711" s="1">
        <v>688.0</v>
      </c>
      <c r="G711" s="1">
        <v>1771.0</v>
      </c>
      <c r="H711" s="1">
        <v>0.9373</v>
      </c>
      <c r="I711" s="1">
        <v>0.3885</v>
      </c>
      <c r="J711" s="1">
        <v>0.5488</v>
      </c>
      <c r="K711" s="1">
        <v>5089.0</v>
      </c>
    </row>
    <row r="712">
      <c r="A712" s="1" t="s">
        <v>21</v>
      </c>
      <c r="B712" s="1" t="s">
        <v>180</v>
      </c>
      <c r="C712" s="1" t="s">
        <v>1209</v>
      </c>
      <c r="D712" s="1">
        <v>18.0</v>
      </c>
      <c r="E712" s="1">
        <v>1545.0</v>
      </c>
      <c r="F712" s="1">
        <v>544.0</v>
      </c>
      <c r="G712" s="1">
        <v>1771.0</v>
      </c>
      <c r="H712" s="1">
        <v>0.8724</v>
      </c>
      <c r="I712" s="1">
        <v>0.3072</v>
      </c>
      <c r="J712" s="1">
        <v>0.5652</v>
      </c>
      <c r="K712" s="1">
        <v>4956.0</v>
      </c>
    </row>
    <row r="713">
      <c r="A713" s="1" t="s">
        <v>21</v>
      </c>
      <c r="B713" s="1" t="s">
        <v>180</v>
      </c>
      <c r="C713" s="1" t="s">
        <v>1209</v>
      </c>
      <c r="D713" s="1">
        <v>19.0</v>
      </c>
      <c r="E713" s="1">
        <v>1780.0</v>
      </c>
      <c r="F713" s="1">
        <v>608.0</v>
      </c>
      <c r="G713" s="1">
        <v>1771.0</v>
      </c>
      <c r="H713" s="1">
        <v>1.0051</v>
      </c>
      <c r="I713" s="1">
        <v>0.3433</v>
      </c>
      <c r="J713" s="1">
        <v>0.6618</v>
      </c>
      <c r="K713" s="1">
        <v>4493.0</v>
      </c>
    </row>
    <row r="714">
      <c r="A714" s="1" t="s">
        <v>21</v>
      </c>
      <c r="B714" s="1" t="s">
        <v>180</v>
      </c>
      <c r="C714" s="1" t="s">
        <v>1209</v>
      </c>
      <c r="D714" s="1">
        <v>20.0</v>
      </c>
      <c r="E714" s="1">
        <v>2190.0</v>
      </c>
      <c r="F714" s="1">
        <v>870.0</v>
      </c>
      <c r="G714" s="1">
        <v>1771.0</v>
      </c>
      <c r="H714" s="1">
        <v>1.2366</v>
      </c>
      <c r="I714" s="1">
        <v>0.4912</v>
      </c>
      <c r="J714" s="1">
        <v>0.7453</v>
      </c>
      <c r="K714" s="1">
        <v>4412.0</v>
      </c>
    </row>
    <row r="715">
      <c r="A715" s="1" t="s">
        <v>21</v>
      </c>
      <c r="B715" s="1" t="s">
        <v>180</v>
      </c>
      <c r="C715" s="1" t="s">
        <v>1209</v>
      </c>
      <c r="D715" s="1">
        <v>21.0</v>
      </c>
      <c r="E715" s="1">
        <v>1595.0</v>
      </c>
      <c r="F715" s="1">
        <v>506.0</v>
      </c>
      <c r="G715" s="1">
        <v>1771.0</v>
      </c>
      <c r="H715" s="1">
        <v>0.9006</v>
      </c>
      <c r="I715" s="1">
        <v>0.2857</v>
      </c>
      <c r="J715" s="1">
        <v>0.6149</v>
      </c>
      <c r="K715" s="1">
        <v>4334.0</v>
      </c>
    </row>
    <row r="716">
      <c r="A716" s="1" t="s">
        <v>21</v>
      </c>
      <c r="B716" s="1" t="s">
        <v>180</v>
      </c>
      <c r="C716" s="1" t="s">
        <v>1210</v>
      </c>
      <c r="D716" s="1">
        <v>1.0</v>
      </c>
      <c r="E716" s="1">
        <v>11640.0</v>
      </c>
      <c r="F716" s="1">
        <v>4465.0</v>
      </c>
      <c r="G716" s="1">
        <v>8406.0</v>
      </c>
      <c r="H716" s="1">
        <v>1.3847</v>
      </c>
      <c r="I716" s="1">
        <v>0.5312</v>
      </c>
      <c r="J716" s="1">
        <v>0.8536</v>
      </c>
      <c r="K716" s="1">
        <v>5527.0</v>
      </c>
    </row>
    <row r="717">
      <c r="A717" s="1" t="s">
        <v>21</v>
      </c>
      <c r="B717" s="1" t="s">
        <v>180</v>
      </c>
      <c r="C717" s="1" t="s">
        <v>1210</v>
      </c>
      <c r="D717" s="1">
        <v>2.0</v>
      </c>
      <c r="E717" s="1">
        <v>9375.0</v>
      </c>
      <c r="F717" s="1">
        <v>3402.0</v>
      </c>
      <c r="G717" s="1">
        <v>8406.0</v>
      </c>
      <c r="H717" s="1">
        <v>1.1153</v>
      </c>
      <c r="I717" s="1">
        <v>0.4047</v>
      </c>
      <c r="J717" s="1">
        <v>0.7106</v>
      </c>
      <c r="K717" s="1">
        <v>5332.0</v>
      </c>
    </row>
    <row r="718">
      <c r="A718" s="1" t="s">
        <v>21</v>
      </c>
      <c r="B718" s="1" t="s">
        <v>180</v>
      </c>
      <c r="C718" s="1" t="s">
        <v>1210</v>
      </c>
      <c r="D718" s="1">
        <v>3.0</v>
      </c>
      <c r="E718" s="1">
        <v>9650.0</v>
      </c>
      <c r="F718" s="1">
        <v>3319.0</v>
      </c>
      <c r="G718" s="1">
        <v>8406.0</v>
      </c>
      <c r="H718" s="1">
        <v>1.148</v>
      </c>
      <c r="I718" s="1">
        <v>0.3948</v>
      </c>
      <c r="J718" s="1">
        <v>0.7532</v>
      </c>
      <c r="K718" s="1">
        <v>5235.0</v>
      </c>
    </row>
    <row r="719">
      <c r="A719" s="1" t="s">
        <v>21</v>
      </c>
      <c r="B719" s="1" t="s">
        <v>180</v>
      </c>
      <c r="C719" s="1" t="s">
        <v>1210</v>
      </c>
      <c r="D719" s="1">
        <v>4.0</v>
      </c>
      <c r="E719" s="1">
        <v>8045.0</v>
      </c>
      <c r="F719" s="1">
        <v>3095.0</v>
      </c>
      <c r="G719" s="1">
        <v>8406.0</v>
      </c>
      <c r="H719" s="1">
        <v>0.9571</v>
      </c>
      <c r="I719" s="1">
        <v>0.3682</v>
      </c>
      <c r="J719" s="1">
        <v>0.5889</v>
      </c>
      <c r="K719" s="1">
        <v>4898.0</v>
      </c>
    </row>
    <row r="720">
      <c r="A720" s="1" t="s">
        <v>21</v>
      </c>
      <c r="B720" s="1" t="s">
        <v>180</v>
      </c>
      <c r="C720" s="1" t="s">
        <v>1210</v>
      </c>
      <c r="D720" s="1">
        <v>5.0</v>
      </c>
      <c r="E720" s="1">
        <v>14270.0</v>
      </c>
      <c r="F720" s="1">
        <v>5331.0</v>
      </c>
      <c r="G720" s="1">
        <v>8406.0</v>
      </c>
      <c r="H720" s="1">
        <v>1.6976</v>
      </c>
      <c r="I720" s="1">
        <v>0.6342</v>
      </c>
      <c r="J720" s="1">
        <v>1.0634</v>
      </c>
      <c r="K720" s="1">
        <v>4863.0</v>
      </c>
    </row>
    <row r="721">
      <c r="A721" s="1" t="s">
        <v>21</v>
      </c>
      <c r="B721" s="1" t="s">
        <v>180</v>
      </c>
      <c r="C721" s="1" t="s">
        <v>1210</v>
      </c>
      <c r="D721" s="1">
        <v>6.0</v>
      </c>
      <c r="E721" s="1">
        <v>14955.0</v>
      </c>
      <c r="F721" s="1">
        <v>5720.0</v>
      </c>
      <c r="G721" s="1">
        <v>8406.0</v>
      </c>
      <c r="H721" s="1">
        <v>1.7791</v>
      </c>
      <c r="I721" s="1">
        <v>0.6805</v>
      </c>
      <c r="J721" s="1">
        <v>1.0986</v>
      </c>
      <c r="K721" s="1">
        <v>4807.0</v>
      </c>
    </row>
    <row r="722">
      <c r="A722" s="1" t="s">
        <v>21</v>
      </c>
      <c r="B722" s="1" t="s">
        <v>180</v>
      </c>
      <c r="C722" s="1" t="s">
        <v>1210</v>
      </c>
      <c r="D722" s="1">
        <v>7.0</v>
      </c>
      <c r="E722" s="1">
        <v>14750.0</v>
      </c>
      <c r="F722" s="1">
        <v>5779.0</v>
      </c>
      <c r="G722" s="1">
        <v>8406.0</v>
      </c>
      <c r="H722" s="1">
        <v>1.7547</v>
      </c>
      <c r="I722" s="1">
        <v>0.6875</v>
      </c>
      <c r="J722" s="1">
        <v>1.0672</v>
      </c>
      <c r="K722" s="1">
        <v>4848.0</v>
      </c>
    </row>
    <row r="723">
      <c r="A723" s="1" t="s">
        <v>21</v>
      </c>
      <c r="B723" s="1" t="s">
        <v>180</v>
      </c>
      <c r="C723" s="1" t="s">
        <v>1210</v>
      </c>
      <c r="D723" s="1">
        <v>8.0</v>
      </c>
      <c r="E723" s="1">
        <v>13385.0</v>
      </c>
      <c r="F723" s="1">
        <v>5375.0</v>
      </c>
      <c r="G723" s="1">
        <v>8406.0</v>
      </c>
      <c r="H723" s="1">
        <v>1.5923</v>
      </c>
      <c r="I723" s="1">
        <v>0.6394</v>
      </c>
      <c r="J723" s="1">
        <v>0.9529</v>
      </c>
      <c r="K723" s="1">
        <v>4974.0</v>
      </c>
    </row>
    <row r="724">
      <c r="A724" s="1" t="s">
        <v>21</v>
      </c>
      <c r="B724" s="1" t="s">
        <v>180</v>
      </c>
      <c r="C724" s="1" t="s">
        <v>1210</v>
      </c>
      <c r="D724" s="1">
        <v>9.0</v>
      </c>
      <c r="E724" s="1">
        <v>8820.0</v>
      </c>
      <c r="F724" s="1">
        <v>3102.0</v>
      </c>
      <c r="G724" s="1">
        <v>8406.0</v>
      </c>
      <c r="H724" s="1">
        <v>1.0493</v>
      </c>
      <c r="I724" s="1">
        <v>0.369</v>
      </c>
      <c r="J724" s="1">
        <v>0.6802</v>
      </c>
      <c r="K724" s="1">
        <v>4991.0</v>
      </c>
    </row>
    <row r="725">
      <c r="A725" s="1" t="s">
        <v>21</v>
      </c>
      <c r="B725" s="1" t="s">
        <v>180</v>
      </c>
      <c r="C725" s="1" t="s">
        <v>1210</v>
      </c>
      <c r="D725" s="1">
        <v>10.0</v>
      </c>
      <c r="E725" s="1">
        <v>7940.0</v>
      </c>
      <c r="F725" s="1">
        <v>2680.0</v>
      </c>
      <c r="G725" s="1">
        <v>8406.0</v>
      </c>
      <c r="H725" s="1">
        <v>0.9446</v>
      </c>
      <c r="I725" s="1">
        <v>0.3188</v>
      </c>
      <c r="J725" s="1">
        <v>0.6257</v>
      </c>
      <c r="K725" s="1">
        <v>4848.0</v>
      </c>
    </row>
    <row r="726">
      <c r="A726" s="1" t="s">
        <v>21</v>
      </c>
      <c r="B726" s="1" t="s">
        <v>180</v>
      </c>
      <c r="C726" s="1" t="s">
        <v>1210</v>
      </c>
      <c r="D726" s="1">
        <v>11.0</v>
      </c>
      <c r="E726" s="1">
        <v>8810.0</v>
      </c>
      <c r="F726" s="1">
        <v>3015.0</v>
      </c>
      <c r="G726" s="1">
        <v>8406.0</v>
      </c>
      <c r="H726" s="1">
        <v>1.0481</v>
      </c>
      <c r="I726" s="1">
        <v>0.3587</v>
      </c>
      <c r="J726" s="1">
        <v>0.6894</v>
      </c>
      <c r="K726" s="1">
        <v>4828.0</v>
      </c>
    </row>
    <row r="727">
      <c r="A727" s="1" t="s">
        <v>21</v>
      </c>
      <c r="B727" s="1" t="s">
        <v>180</v>
      </c>
      <c r="C727" s="1" t="s">
        <v>1210</v>
      </c>
      <c r="D727" s="1">
        <v>12.0</v>
      </c>
      <c r="E727" s="1">
        <v>12890.0</v>
      </c>
      <c r="F727" s="1">
        <v>4593.0</v>
      </c>
      <c r="G727" s="1">
        <v>8406.0</v>
      </c>
      <c r="H727" s="1">
        <v>1.5334</v>
      </c>
      <c r="I727" s="1">
        <v>0.5464</v>
      </c>
      <c r="J727" s="1">
        <v>0.987</v>
      </c>
      <c r="K727" s="1">
        <v>4927.0</v>
      </c>
    </row>
    <row r="728">
      <c r="A728" s="1" t="s">
        <v>21</v>
      </c>
      <c r="B728" s="1" t="s">
        <v>180</v>
      </c>
      <c r="C728" s="1" t="s">
        <v>1210</v>
      </c>
      <c r="D728" s="1">
        <v>13.0</v>
      </c>
      <c r="E728" s="1">
        <v>15020.0</v>
      </c>
      <c r="F728" s="1">
        <v>5523.0</v>
      </c>
      <c r="G728" s="1">
        <v>8406.0</v>
      </c>
      <c r="H728" s="1">
        <v>1.7868</v>
      </c>
      <c r="I728" s="1">
        <v>0.657</v>
      </c>
      <c r="J728" s="1">
        <v>1.1298</v>
      </c>
      <c r="K728" s="1">
        <v>4933.0</v>
      </c>
    </row>
    <row r="729">
      <c r="A729" s="1" t="s">
        <v>21</v>
      </c>
      <c r="B729" s="1" t="s">
        <v>180</v>
      </c>
      <c r="C729" s="1" t="s">
        <v>1210</v>
      </c>
      <c r="D729" s="1">
        <v>14.0</v>
      </c>
      <c r="E729" s="1">
        <v>14090.0</v>
      </c>
      <c r="F729" s="1">
        <v>5446.0</v>
      </c>
      <c r="G729" s="1">
        <v>8406.0</v>
      </c>
      <c r="H729" s="1">
        <v>1.6762</v>
      </c>
      <c r="I729" s="1">
        <v>0.6479</v>
      </c>
      <c r="J729" s="1">
        <v>1.0283</v>
      </c>
      <c r="K729" s="1">
        <v>5012.0</v>
      </c>
    </row>
    <row r="730">
      <c r="A730" s="1" t="s">
        <v>21</v>
      </c>
      <c r="B730" s="1" t="s">
        <v>180</v>
      </c>
      <c r="C730" s="1" t="s">
        <v>1210</v>
      </c>
      <c r="D730" s="1">
        <v>15.0</v>
      </c>
      <c r="E730" s="1">
        <v>19665.0</v>
      </c>
      <c r="F730" s="1">
        <v>6897.0</v>
      </c>
      <c r="G730" s="1">
        <v>8406.0</v>
      </c>
      <c r="H730" s="1">
        <v>2.3394</v>
      </c>
      <c r="I730" s="1">
        <v>0.8205</v>
      </c>
      <c r="J730" s="1">
        <v>1.5189</v>
      </c>
      <c r="K730" s="1">
        <v>5184.0</v>
      </c>
    </row>
    <row r="731">
      <c r="A731" s="1" t="s">
        <v>21</v>
      </c>
      <c r="B731" s="1" t="s">
        <v>180</v>
      </c>
      <c r="C731" s="1" t="s">
        <v>1210</v>
      </c>
      <c r="D731" s="1">
        <v>16.0</v>
      </c>
      <c r="E731" s="1">
        <v>10685.0</v>
      </c>
      <c r="F731" s="1">
        <v>3408.0</v>
      </c>
      <c r="G731" s="1">
        <v>8406.0</v>
      </c>
      <c r="H731" s="1">
        <v>1.2711</v>
      </c>
      <c r="I731" s="1">
        <v>0.4054</v>
      </c>
      <c r="J731" s="1">
        <v>0.8657</v>
      </c>
      <c r="K731" s="1">
        <v>5138.0</v>
      </c>
    </row>
    <row r="732">
      <c r="A732" s="1" t="s">
        <v>21</v>
      </c>
      <c r="B732" s="1" t="s">
        <v>180</v>
      </c>
      <c r="C732" s="1" t="s">
        <v>1210</v>
      </c>
      <c r="D732" s="1">
        <v>17.0</v>
      </c>
      <c r="E732" s="1">
        <v>8740.0</v>
      </c>
      <c r="F732" s="1">
        <v>2903.0</v>
      </c>
      <c r="G732" s="1">
        <v>8406.0</v>
      </c>
      <c r="H732" s="1">
        <v>1.0397</v>
      </c>
      <c r="I732" s="1">
        <v>0.3453</v>
      </c>
      <c r="J732" s="1">
        <v>0.6944</v>
      </c>
      <c r="K732" s="1">
        <v>5089.0</v>
      </c>
    </row>
    <row r="733">
      <c r="A733" s="1" t="s">
        <v>21</v>
      </c>
      <c r="B733" s="1" t="s">
        <v>180</v>
      </c>
      <c r="C733" s="1" t="s">
        <v>1210</v>
      </c>
      <c r="D733" s="1">
        <v>18.0</v>
      </c>
      <c r="E733" s="1">
        <v>6980.0</v>
      </c>
      <c r="F733" s="1">
        <v>2292.0</v>
      </c>
      <c r="G733" s="1">
        <v>8406.0</v>
      </c>
      <c r="H733" s="1">
        <v>0.8304</v>
      </c>
      <c r="I733" s="1">
        <v>0.2727</v>
      </c>
      <c r="J733" s="1">
        <v>0.5577</v>
      </c>
      <c r="K733" s="1">
        <v>4956.0</v>
      </c>
    </row>
    <row r="734">
      <c r="A734" s="1" t="s">
        <v>21</v>
      </c>
      <c r="B734" s="1" t="s">
        <v>180</v>
      </c>
      <c r="C734" s="1" t="s">
        <v>1210</v>
      </c>
      <c r="D734" s="1">
        <v>19.0</v>
      </c>
      <c r="E734" s="1">
        <v>5990.0</v>
      </c>
      <c r="F734" s="1">
        <v>2098.0</v>
      </c>
      <c r="G734" s="1">
        <v>8406.0</v>
      </c>
      <c r="H734" s="1">
        <v>0.7126</v>
      </c>
      <c r="I734" s="1">
        <v>0.2496</v>
      </c>
      <c r="J734" s="1">
        <v>0.463</v>
      </c>
      <c r="K734" s="1">
        <v>4493.0</v>
      </c>
    </row>
    <row r="735">
      <c r="A735" s="1" t="s">
        <v>21</v>
      </c>
      <c r="B735" s="1" t="s">
        <v>180</v>
      </c>
      <c r="C735" s="1" t="s">
        <v>1210</v>
      </c>
      <c r="D735" s="1">
        <v>20.0</v>
      </c>
      <c r="E735" s="1">
        <v>6800.0</v>
      </c>
      <c r="F735" s="1">
        <v>2321.0</v>
      </c>
      <c r="G735" s="1">
        <v>8406.0</v>
      </c>
      <c r="H735" s="1">
        <v>0.8089</v>
      </c>
      <c r="I735" s="1">
        <v>0.2761</v>
      </c>
      <c r="J735" s="1">
        <v>0.5328</v>
      </c>
      <c r="K735" s="1">
        <v>4412.0</v>
      </c>
    </row>
    <row r="736">
      <c r="A736" s="1" t="s">
        <v>21</v>
      </c>
      <c r="B736" s="1" t="s">
        <v>180</v>
      </c>
      <c r="C736" s="1" t="s">
        <v>1210</v>
      </c>
      <c r="D736" s="1">
        <v>21.0</v>
      </c>
      <c r="E736" s="1">
        <v>7010.0</v>
      </c>
      <c r="F736" s="1">
        <v>2298.0</v>
      </c>
      <c r="G736" s="1">
        <v>8406.0</v>
      </c>
      <c r="H736" s="1">
        <v>0.8339</v>
      </c>
      <c r="I736" s="1">
        <v>0.2734</v>
      </c>
      <c r="J736" s="1">
        <v>0.5606</v>
      </c>
      <c r="K736" s="1">
        <v>4334.0</v>
      </c>
    </row>
    <row r="737">
      <c r="A737" s="1" t="s">
        <v>21</v>
      </c>
      <c r="B737" s="1" t="s">
        <v>180</v>
      </c>
      <c r="C737" s="1" t="s">
        <v>1211</v>
      </c>
      <c r="D737" s="1">
        <v>1.0</v>
      </c>
      <c r="E737" s="1">
        <v>18495.0</v>
      </c>
      <c r="F737" s="1">
        <v>7208.0</v>
      </c>
      <c r="G737" s="1">
        <v>10319.0</v>
      </c>
      <c r="H737" s="1">
        <v>1.7923</v>
      </c>
      <c r="I737" s="1">
        <v>0.6985</v>
      </c>
      <c r="J737" s="1">
        <v>1.0938</v>
      </c>
      <c r="K737" s="1">
        <v>5527.0</v>
      </c>
    </row>
    <row r="738">
      <c r="A738" s="1" t="s">
        <v>21</v>
      </c>
      <c r="B738" s="1" t="s">
        <v>180</v>
      </c>
      <c r="C738" s="1" t="s">
        <v>1211</v>
      </c>
      <c r="D738" s="1">
        <v>2.0</v>
      </c>
      <c r="E738" s="1">
        <v>19765.0</v>
      </c>
      <c r="F738" s="1">
        <v>7224.0</v>
      </c>
      <c r="G738" s="1">
        <v>10319.0</v>
      </c>
      <c r="H738" s="1">
        <v>1.9154</v>
      </c>
      <c r="I738" s="1">
        <v>0.7001</v>
      </c>
      <c r="J738" s="1">
        <v>1.2153</v>
      </c>
      <c r="K738" s="1">
        <v>5332.0</v>
      </c>
    </row>
    <row r="739">
      <c r="A739" s="1" t="s">
        <v>21</v>
      </c>
      <c r="B739" s="1" t="s">
        <v>180</v>
      </c>
      <c r="C739" s="1" t="s">
        <v>1211</v>
      </c>
      <c r="D739" s="1">
        <v>3.0</v>
      </c>
      <c r="E739" s="1">
        <v>20315.0</v>
      </c>
      <c r="F739" s="1">
        <v>7198.0</v>
      </c>
      <c r="G739" s="1">
        <v>10319.0</v>
      </c>
      <c r="H739" s="1">
        <v>1.9687</v>
      </c>
      <c r="I739" s="1">
        <v>0.6975</v>
      </c>
      <c r="J739" s="1">
        <v>1.2712</v>
      </c>
      <c r="K739" s="1">
        <v>5235.0</v>
      </c>
    </row>
    <row r="740">
      <c r="A740" s="1" t="s">
        <v>21</v>
      </c>
      <c r="B740" s="1" t="s">
        <v>180</v>
      </c>
      <c r="C740" s="1" t="s">
        <v>1211</v>
      </c>
      <c r="D740" s="1">
        <v>4.0</v>
      </c>
      <c r="E740" s="1">
        <v>21270.0</v>
      </c>
      <c r="F740" s="1">
        <v>7042.0</v>
      </c>
      <c r="G740" s="1">
        <v>10319.0</v>
      </c>
      <c r="H740" s="1">
        <v>2.0612</v>
      </c>
      <c r="I740" s="1">
        <v>0.6824</v>
      </c>
      <c r="J740" s="1">
        <v>1.3788</v>
      </c>
      <c r="K740" s="1">
        <v>4898.0</v>
      </c>
    </row>
    <row r="741">
      <c r="A741" s="1" t="s">
        <v>21</v>
      </c>
      <c r="B741" s="1" t="s">
        <v>180</v>
      </c>
      <c r="C741" s="1" t="s">
        <v>1211</v>
      </c>
      <c r="D741" s="1">
        <v>5.0</v>
      </c>
      <c r="E741" s="1">
        <v>24630.0</v>
      </c>
      <c r="F741" s="1">
        <v>8905.0</v>
      </c>
      <c r="G741" s="1">
        <v>10319.0</v>
      </c>
      <c r="H741" s="1">
        <v>2.3869</v>
      </c>
      <c r="I741" s="1">
        <v>0.863</v>
      </c>
      <c r="J741" s="1">
        <v>1.5239</v>
      </c>
      <c r="K741" s="1">
        <v>4863.0</v>
      </c>
    </row>
    <row r="742">
      <c r="A742" s="1" t="s">
        <v>21</v>
      </c>
      <c r="B742" s="1" t="s">
        <v>180</v>
      </c>
      <c r="C742" s="1" t="s">
        <v>1211</v>
      </c>
      <c r="D742" s="1">
        <v>6.0</v>
      </c>
      <c r="E742" s="1">
        <v>21235.0</v>
      </c>
      <c r="F742" s="1">
        <v>8018.0</v>
      </c>
      <c r="G742" s="1">
        <v>10319.0</v>
      </c>
      <c r="H742" s="1">
        <v>2.0579</v>
      </c>
      <c r="I742" s="1">
        <v>0.777</v>
      </c>
      <c r="J742" s="1">
        <v>1.2808</v>
      </c>
      <c r="K742" s="1">
        <v>4807.0</v>
      </c>
    </row>
    <row r="743">
      <c r="A743" s="1" t="s">
        <v>21</v>
      </c>
      <c r="B743" s="1" t="s">
        <v>180</v>
      </c>
      <c r="C743" s="1" t="s">
        <v>1211</v>
      </c>
      <c r="D743" s="1">
        <v>7.0</v>
      </c>
      <c r="E743" s="1">
        <v>18330.0</v>
      </c>
      <c r="F743" s="1">
        <v>7232.0</v>
      </c>
      <c r="G743" s="1">
        <v>10319.0</v>
      </c>
      <c r="H743" s="1">
        <v>1.7763</v>
      </c>
      <c r="I743" s="1">
        <v>0.7008</v>
      </c>
      <c r="J743" s="1">
        <v>1.0755</v>
      </c>
      <c r="K743" s="1">
        <v>4848.0</v>
      </c>
    </row>
    <row r="744">
      <c r="A744" s="1" t="s">
        <v>21</v>
      </c>
      <c r="B744" s="1" t="s">
        <v>180</v>
      </c>
      <c r="C744" s="1" t="s">
        <v>1211</v>
      </c>
      <c r="D744" s="1">
        <v>8.0</v>
      </c>
      <c r="E744" s="1">
        <v>21405.0</v>
      </c>
      <c r="F744" s="1">
        <v>8696.0</v>
      </c>
      <c r="G744" s="1">
        <v>10319.0</v>
      </c>
      <c r="H744" s="1">
        <v>2.0743</v>
      </c>
      <c r="I744" s="1">
        <v>0.8427</v>
      </c>
      <c r="J744" s="1">
        <v>1.2316</v>
      </c>
      <c r="K744" s="1">
        <v>4974.0</v>
      </c>
    </row>
    <row r="745">
      <c r="A745" s="1" t="s">
        <v>21</v>
      </c>
      <c r="B745" s="1" t="s">
        <v>180</v>
      </c>
      <c r="C745" s="1" t="s">
        <v>1211</v>
      </c>
      <c r="D745" s="1">
        <v>9.0</v>
      </c>
      <c r="E745" s="1">
        <v>19025.0</v>
      </c>
      <c r="F745" s="1">
        <v>7101.0</v>
      </c>
      <c r="G745" s="1">
        <v>10319.0</v>
      </c>
      <c r="H745" s="1">
        <v>1.8437</v>
      </c>
      <c r="I745" s="1">
        <v>0.6881</v>
      </c>
      <c r="J745" s="1">
        <v>1.1555</v>
      </c>
      <c r="K745" s="1">
        <v>4991.0</v>
      </c>
    </row>
    <row r="746">
      <c r="A746" s="1" t="s">
        <v>21</v>
      </c>
      <c r="B746" s="1" t="s">
        <v>180</v>
      </c>
      <c r="C746" s="1" t="s">
        <v>1211</v>
      </c>
      <c r="D746" s="1">
        <v>10.0</v>
      </c>
      <c r="E746" s="1">
        <v>20825.0</v>
      </c>
      <c r="F746" s="1">
        <v>7350.0</v>
      </c>
      <c r="G746" s="1">
        <v>10319.0</v>
      </c>
      <c r="H746" s="1">
        <v>2.0181</v>
      </c>
      <c r="I746" s="1">
        <v>0.7123</v>
      </c>
      <c r="J746" s="1">
        <v>1.3058</v>
      </c>
      <c r="K746" s="1">
        <v>4848.0</v>
      </c>
    </row>
    <row r="747">
      <c r="A747" s="1" t="s">
        <v>21</v>
      </c>
      <c r="B747" s="1" t="s">
        <v>180</v>
      </c>
      <c r="C747" s="1" t="s">
        <v>1211</v>
      </c>
      <c r="D747" s="1">
        <v>11.0</v>
      </c>
      <c r="E747" s="1">
        <v>21460.0</v>
      </c>
      <c r="F747" s="1">
        <v>7602.0</v>
      </c>
      <c r="G747" s="1">
        <v>10319.0</v>
      </c>
      <c r="H747" s="1">
        <v>2.0797</v>
      </c>
      <c r="I747" s="1">
        <v>0.7367</v>
      </c>
      <c r="J747" s="1">
        <v>1.343</v>
      </c>
      <c r="K747" s="1">
        <v>4828.0</v>
      </c>
    </row>
    <row r="748">
      <c r="A748" s="1" t="s">
        <v>21</v>
      </c>
      <c r="B748" s="1" t="s">
        <v>180</v>
      </c>
      <c r="C748" s="1" t="s">
        <v>1211</v>
      </c>
      <c r="D748" s="1">
        <v>12.0</v>
      </c>
      <c r="E748" s="1">
        <v>21575.0</v>
      </c>
      <c r="F748" s="1">
        <v>8369.0</v>
      </c>
      <c r="G748" s="1">
        <v>10319.0</v>
      </c>
      <c r="H748" s="1">
        <v>2.0908</v>
      </c>
      <c r="I748" s="1">
        <v>0.811</v>
      </c>
      <c r="J748" s="1">
        <v>1.2798</v>
      </c>
      <c r="K748" s="1">
        <v>4927.0</v>
      </c>
    </row>
    <row r="749">
      <c r="A749" s="1" t="s">
        <v>21</v>
      </c>
      <c r="B749" s="1" t="s">
        <v>180</v>
      </c>
      <c r="C749" s="1" t="s">
        <v>1211</v>
      </c>
      <c r="D749" s="1">
        <v>13.0</v>
      </c>
      <c r="E749" s="1">
        <v>18955.0</v>
      </c>
      <c r="F749" s="1">
        <v>7147.0</v>
      </c>
      <c r="G749" s="1">
        <v>10319.0</v>
      </c>
      <c r="H749" s="1">
        <v>1.8369</v>
      </c>
      <c r="I749" s="1">
        <v>0.6926</v>
      </c>
      <c r="J749" s="1">
        <v>1.1443</v>
      </c>
      <c r="K749" s="1">
        <v>4933.0</v>
      </c>
    </row>
    <row r="750">
      <c r="A750" s="1" t="s">
        <v>21</v>
      </c>
      <c r="B750" s="1" t="s">
        <v>180</v>
      </c>
      <c r="C750" s="1" t="s">
        <v>1211</v>
      </c>
      <c r="D750" s="1">
        <v>14.0</v>
      </c>
      <c r="E750" s="1">
        <v>17645.0</v>
      </c>
      <c r="F750" s="1">
        <v>6717.0</v>
      </c>
      <c r="G750" s="1">
        <v>10319.0</v>
      </c>
      <c r="H750" s="1">
        <v>1.71</v>
      </c>
      <c r="I750" s="1">
        <v>0.6509</v>
      </c>
      <c r="J750" s="1">
        <v>1.059</v>
      </c>
      <c r="K750" s="1">
        <v>5012.0</v>
      </c>
    </row>
    <row r="751">
      <c r="A751" s="1" t="s">
        <v>21</v>
      </c>
      <c r="B751" s="1" t="s">
        <v>180</v>
      </c>
      <c r="C751" s="1" t="s">
        <v>1211</v>
      </c>
      <c r="D751" s="1">
        <v>15.0</v>
      </c>
      <c r="E751" s="1">
        <v>28550.0</v>
      </c>
      <c r="F751" s="1">
        <v>9675.0</v>
      </c>
      <c r="G751" s="1">
        <v>10319.0</v>
      </c>
      <c r="H751" s="1">
        <v>2.7667</v>
      </c>
      <c r="I751" s="1">
        <v>0.9376</v>
      </c>
      <c r="J751" s="1">
        <v>1.8292</v>
      </c>
      <c r="K751" s="1">
        <v>5184.0</v>
      </c>
    </row>
    <row r="752">
      <c r="A752" s="1" t="s">
        <v>21</v>
      </c>
      <c r="B752" s="1" t="s">
        <v>180</v>
      </c>
      <c r="C752" s="1" t="s">
        <v>1211</v>
      </c>
      <c r="D752" s="1">
        <v>16.0</v>
      </c>
      <c r="E752" s="1">
        <v>19830.0</v>
      </c>
      <c r="F752" s="1">
        <v>6936.0</v>
      </c>
      <c r="G752" s="1">
        <v>10319.0</v>
      </c>
      <c r="H752" s="1">
        <v>1.9217</v>
      </c>
      <c r="I752" s="1">
        <v>0.6722</v>
      </c>
      <c r="J752" s="1">
        <v>1.2495</v>
      </c>
      <c r="K752" s="1">
        <v>5138.0</v>
      </c>
    </row>
    <row r="753">
      <c r="A753" s="1" t="s">
        <v>21</v>
      </c>
      <c r="B753" s="1" t="s">
        <v>180</v>
      </c>
      <c r="C753" s="1" t="s">
        <v>1211</v>
      </c>
      <c r="D753" s="1">
        <v>17.0</v>
      </c>
      <c r="E753" s="1">
        <v>20270.0</v>
      </c>
      <c r="F753" s="1">
        <v>6965.0</v>
      </c>
      <c r="G753" s="1">
        <v>10319.0</v>
      </c>
      <c r="H753" s="1">
        <v>1.9643</v>
      </c>
      <c r="I753" s="1">
        <v>0.675</v>
      </c>
      <c r="J753" s="1">
        <v>1.2894</v>
      </c>
      <c r="K753" s="1">
        <v>5089.0</v>
      </c>
    </row>
    <row r="754">
      <c r="A754" s="1" t="s">
        <v>21</v>
      </c>
      <c r="B754" s="1" t="s">
        <v>180</v>
      </c>
      <c r="C754" s="1" t="s">
        <v>1211</v>
      </c>
      <c r="D754" s="1">
        <v>18.0</v>
      </c>
      <c r="E754" s="1">
        <v>20150.0</v>
      </c>
      <c r="F754" s="1">
        <v>6792.0</v>
      </c>
      <c r="G754" s="1">
        <v>10319.0</v>
      </c>
      <c r="H754" s="1">
        <v>1.9527</v>
      </c>
      <c r="I754" s="1">
        <v>0.6582</v>
      </c>
      <c r="J754" s="1">
        <v>1.2945</v>
      </c>
      <c r="K754" s="1">
        <v>4956.0</v>
      </c>
    </row>
    <row r="755">
      <c r="A755" s="1" t="s">
        <v>21</v>
      </c>
      <c r="B755" s="1" t="s">
        <v>180</v>
      </c>
      <c r="C755" s="1" t="s">
        <v>1211</v>
      </c>
      <c r="D755" s="1">
        <v>19.0</v>
      </c>
      <c r="E755" s="1">
        <v>11390.0</v>
      </c>
      <c r="F755" s="1">
        <v>3966.0</v>
      </c>
      <c r="G755" s="1">
        <v>10319.0</v>
      </c>
      <c r="H755" s="1">
        <v>1.1038</v>
      </c>
      <c r="I755" s="1">
        <v>0.3843</v>
      </c>
      <c r="J755" s="1">
        <v>0.7194</v>
      </c>
      <c r="K755" s="1">
        <v>4493.0</v>
      </c>
    </row>
    <row r="756">
      <c r="A756" s="1" t="s">
        <v>21</v>
      </c>
      <c r="B756" s="1" t="s">
        <v>180</v>
      </c>
      <c r="C756" s="1" t="s">
        <v>1211</v>
      </c>
      <c r="D756" s="1">
        <v>20.0</v>
      </c>
      <c r="E756" s="1">
        <v>10355.0</v>
      </c>
      <c r="F756" s="1">
        <v>3539.0</v>
      </c>
      <c r="G756" s="1">
        <v>10319.0</v>
      </c>
      <c r="H756" s="1">
        <v>1.0035</v>
      </c>
      <c r="I756" s="1">
        <v>0.343</v>
      </c>
      <c r="J756" s="1">
        <v>0.6605</v>
      </c>
      <c r="K756" s="1">
        <v>4412.0</v>
      </c>
    </row>
    <row r="757">
      <c r="A757" s="1" t="s">
        <v>21</v>
      </c>
      <c r="B757" s="1" t="s">
        <v>180</v>
      </c>
      <c r="C757" s="1" t="s">
        <v>1211</v>
      </c>
      <c r="D757" s="1">
        <v>21.0</v>
      </c>
      <c r="E757" s="1">
        <v>11215.0</v>
      </c>
      <c r="F757" s="1">
        <v>3766.0</v>
      </c>
      <c r="G757" s="1">
        <v>10319.0</v>
      </c>
      <c r="H757" s="1">
        <v>1.0868</v>
      </c>
      <c r="I757" s="1">
        <v>0.365</v>
      </c>
      <c r="J757" s="1">
        <v>0.7219</v>
      </c>
      <c r="K757" s="1">
        <v>4334.0</v>
      </c>
    </row>
    <row r="758">
      <c r="A758" s="1" t="s">
        <v>21</v>
      </c>
      <c r="B758" s="1" t="s">
        <v>180</v>
      </c>
      <c r="C758" s="1" t="s">
        <v>55</v>
      </c>
      <c r="D758" s="1">
        <v>1.0</v>
      </c>
      <c r="E758" s="1">
        <v>744836.0</v>
      </c>
      <c r="F758" s="1">
        <v>2.0</v>
      </c>
      <c r="G758" s="1">
        <v>24446.0</v>
      </c>
      <c r="H758" s="1">
        <v>30.4686</v>
      </c>
      <c r="I758" s="1">
        <v>1.0E-4</v>
      </c>
      <c r="J758" s="1">
        <v>30.4685</v>
      </c>
      <c r="K758" s="1">
        <v>5527.0</v>
      </c>
    </row>
    <row r="759">
      <c r="A759" s="1" t="s">
        <v>21</v>
      </c>
      <c r="B759" s="1" t="s">
        <v>180</v>
      </c>
      <c r="C759" s="1" t="s">
        <v>55</v>
      </c>
      <c r="D759" s="1">
        <v>2.0</v>
      </c>
      <c r="E759" s="1">
        <v>651502.0</v>
      </c>
      <c r="F759" s="1">
        <v>0.0</v>
      </c>
      <c r="G759" s="1">
        <v>24446.0</v>
      </c>
      <c r="H759" s="1">
        <v>26.6507</v>
      </c>
      <c r="I759" s="1">
        <v>0.0</v>
      </c>
      <c r="J759" s="1">
        <v>26.6507</v>
      </c>
      <c r="K759" s="1">
        <v>5332.0</v>
      </c>
    </row>
    <row r="760">
      <c r="A760" s="1" t="s">
        <v>21</v>
      </c>
      <c r="B760" s="1" t="s">
        <v>180</v>
      </c>
      <c r="C760" s="1" t="s">
        <v>55</v>
      </c>
      <c r="D760" s="1">
        <v>3.0</v>
      </c>
      <c r="E760" s="1">
        <v>668401.0</v>
      </c>
      <c r="F760" s="1">
        <v>0.0</v>
      </c>
      <c r="G760" s="1">
        <v>24446.0</v>
      </c>
      <c r="H760" s="1">
        <v>27.3419</v>
      </c>
      <c r="I760" s="1">
        <v>0.0</v>
      </c>
      <c r="J760" s="1">
        <v>27.3419</v>
      </c>
      <c r="K760" s="1">
        <v>5235.0</v>
      </c>
    </row>
    <row r="761">
      <c r="A761" s="1" t="s">
        <v>21</v>
      </c>
      <c r="B761" s="1" t="s">
        <v>180</v>
      </c>
      <c r="C761" s="1" t="s">
        <v>55</v>
      </c>
      <c r="D761" s="1">
        <v>4.0</v>
      </c>
      <c r="E761" s="1">
        <v>617608.0</v>
      </c>
      <c r="F761" s="1">
        <v>0.0</v>
      </c>
      <c r="G761" s="1">
        <v>24446.0</v>
      </c>
      <c r="H761" s="1">
        <v>25.2642</v>
      </c>
      <c r="I761" s="1">
        <v>0.0</v>
      </c>
      <c r="J761" s="1">
        <v>25.2642</v>
      </c>
      <c r="K761" s="1">
        <v>4898.0</v>
      </c>
    </row>
    <row r="762">
      <c r="A762" s="1" t="s">
        <v>21</v>
      </c>
      <c r="B762" s="1" t="s">
        <v>180</v>
      </c>
      <c r="C762" s="1" t="s">
        <v>55</v>
      </c>
      <c r="D762" s="1">
        <v>5.0</v>
      </c>
      <c r="E762" s="1">
        <v>557919.0</v>
      </c>
      <c r="F762" s="1">
        <v>8.0</v>
      </c>
      <c r="G762" s="1">
        <v>24446.0</v>
      </c>
      <c r="H762" s="1">
        <v>22.8225</v>
      </c>
      <c r="I762" s="1">
        <v>3.0E-4</v>
      </c>
      <c r="J762" s="1">
        <v>22.8222</v>
      </c>
      <c r="K762" s="1">
        <v>4863.0</v>
      </c>
    </row>
    <row r="763">
      <c r="A763" s="1" t="s">
        <v>21</v>
      </c>
      <c r="B763" s="1" t="s">
        <v>180</v>
      </c>
      <c r="C763" s="1" t="s">
        <v>55</v>
      </c>
      <c r="D763" s="1">
        <v>6.0</v>
      </c>
      <c r="E763" s="1">
        <v>462213.0</v>
      </c>
      <c r="F763" s="1">
        <v>0.0</v>
      </c>
      <c r="G763" s="1">
        <v>24446.0</v>
      </c>
      <c r="H763" s="1">
        <v>18.9075</v>
      </c>
      <c r="I763" s="1">
        <v>0.0</v>
      </c>
      <c r="J763" s="1">
        <v>18.9075</v>
      </c>
      <c r="K763" s="1">
        <v>4807.0</v>
      </c>
    </row>
    <row r="764">
      <c r="A764" s="1" t="s">
        <v>21</v>
      </c>
      <c r="B764" s="1" t="s">
        <v>180</v>
      </c>
      <c r="C764" s="1" t="s">
        <v>55</v>
      </c>
      <c r="D764" s="1">
        <v>7.0</v>
      </c>
      <c r="E764" s="1">
        <v>454152.0</v>
      </c>
      <c r="F764" s="1">
        <v>1.0</v>
      </c>
      <c r="G764" s="1">
        <v>24446.0</v>
      </c>
      <c r="H764" s="1">
        <v>18.5778</v>
      </c>
      <c r="I764" s="1">
        <v>0.0</v>
      </c>
      <c r="J764" s="1">
        <v>18.5777</v>
      </c>
      <c r="K764" s="1">
        <v>4848.0</v>
      </c>
    </row>
    <row r="765">
      <c r="A765" s="1" t="s">
        <v>21</v>
      </c>
      <c r="B765" s="1" t="s">
        <v>180</v>
      </c>
      <c r="C765" s="1" t="s">
        <v>55</v>
      </c>
      <c r="D765" s="1">
        <v>8.0</v>
      </c>
      <c r="E765" s="1">
        <v>618301.0</v>
      </c>
      <c r="F765" s="1">
        <v>0.0</v>
      </c>
      <c r="G765" s="1">
        <v>24446.0</v>
      </c>
      <c r="H765" s="1">
        <v>25.2925</v>
      </c>
      <c r="I765" s="1">
        <v>0.0</v>
      </c>
      <c r="J765" s="1">
        <v>25.2925</v>
      </c>
      <c r="K765" s="1">
        <v>4974.0</v>
      </c>
    </row>
    <row r="766">
      <c r="A766" s="1" t="s">
        <v>21</v>
      </c>
      <c r="B766" s="1" t="s">
        <v>180</v>
      </c>
      <c r="C766" s="1" t="s">
        <v>55</v>
      </c>
      <c r="D766" s="1">
        <v>9.0</v>
      </c>
      <c r="E766" s="1">
        <v>640486.0</v>
      </c>
      <c r="F766" s="1">
        <v>0.0</v>
      </c>
      <c r="G766" s="1">
        <v>24446.0</v>
      </c>
      <c r="H766" s="1">
        <v>26.2</v>
      </c>
      <c r="I766" s="1">
        <v>0.0</v>
      </c>
      <c r="J766" s="1">
        <v>26.2</v>
      </c>
      <c r="K766" s="1">
        <v>4991.0</v>
      </c>
    </row>
    <row r="767">
      <c r="A767" s="1" t="s">
        <v>21</v>
      </c>
      <c r="B767" s="1" t="s">
        <v>180</v>
      </c>
      <c r="C767" s="1" t="s">
        <v>55</v>
      </c>
      <c r="D767" s="1">
        <v>10.0</v>
      </c>
      <c r="E767" s="1">
        <v>609872.0</v>
      </c>
      <c r="F767" s="1">
        <v>0.0</v>
      </c>
      <c r="G767" s="1">
        <v>24446.0</v>
      </c>
      <c r="H767" s="1">
        <v>24.9477</v>
      </c>
      <c r="I767" s="1">
        <v>0.0</v>
      </c>
      <c r="J767" s="1">
        <v>24.9477</v>
      </c>
      <c r="K767" s="1">
        <v>4848.0</v>
      </c>
    </row>
    <row r="768">
      <c r="A768" s="1" t="s">
        <v>21</v>
      </c>
      <c r="B768" s="1" t="s">
        <v>180</v>
      </c>
      <c r="C768" s="1" t="s">
        <v>55</v>
      </c>
      <c r="D768" s="1">
        <v>11.0</v>
      </c>
      <c r="E768" s="1">
        <v>556927.0</v>
      </c>
      <c r="F768" s="1">
        <v>0.0</v>
      </c>
      <c r="G768" s="1">
        <v>24446.0</v>
      </c>
      <c r="H768" s="1">
        <v>22.7819</v>
      </c>
      <c r="I768" s="1">
        <v>0.0</v>
      </c>
      <c r="J768" s="1">
        <v>22.7819</v>
      </c>
      <c r="K768" s="1">
        <v>4828.0</v>
      </c>
    </row>
    <row r="769">
      <c r="A769" s="1" t="s">
        <v>21</v>
      </c>
      <c r="B769" s="1" t="s">
        <v>180</v>
      </c>
      <c r="C769" s="1" t="s">
        <v>55</v>
      </c>
      <c r="D769" s="1">
        <v>12.0</v>
      </c>
      <c r="E769" s="1">
        <v>526933.0</v>
      </c>
      <c r="F769" s="1">
        <v>2.0</v>
      </c>
      <c r="G769" s="1">
        <v>24446.0</v>
      </c>
      <c r="H769" s="1">
        <v>21.555</v>
      </c>
      <c r="I769" s="1">
        <v>1.0E-4</v>
      </c>
      <c r="J769" s="1">
        <v>21.5549</v>
      </c>
      <c r="K769" s="1">
        <v>4927.0</v>
      </c>
    </row>
    <row r="770">
      <c r="A770" s="1" t="s">
        <v>21</v>
      </c>
      <c r="B770" s="1" t="s">
        <v>180</v>
      </c>
      <c r="C770" s="1" t="s">
        <v>55</v>
      </c>
      <c r="D770" s="1">
        <v>13.0</v>
      </c>
      <c r="E770" s="1">
        <v>453290.0</v>
      </c>
      <c r="F770" s="1">
        <v>0.0</v>
      </c>
      <c r="G770" s="1">
        <v>24446.0</v>
      </c>
      <c r="H770" s="1">
        <v>18.5425</v>
      </c>
      <c r="I770" s="1">
        <v>0.0</v>
      </c>
      <c r="J770" s="1">
        <v>18.5425</v>
      </c>
      <c r="K770" s="1">
        <v>4933.0</v>
      </c>
    </row>
    <row r="771">
      <c r="A771" s="1" t="s">
        <v>21</v>
      </c>
      <c r="B771" s="1" t="s">
        <v>180</v>
      </c>
      <c r="C771" s="1" t="s">
        <v>55</v>
      </c>
      <c r="D771" s="1">
        <v>14.0</v>
      </c>
      <c r="E771" s="1">
        <v>462853.0</v>
      </c>
      <c r="F771" s="1">
        <v>17.0</v>
      </c>
      <c r="G771" s="1">
        <v>24446.0</v>
      </c>
      <c r="H771" s="1">
        <v>18.9337</v>
      </c>
      <c r="I771" s="1">
        <v>7.0E-4</v>
      </c>
      <c r="J771" s="1">
        <v>18.933</v>
      </c>
      <c r="K771" s="1">
        <v>5012.0</v>
      </c>
    </row>
    <row r="772">
      <c r="A772" s="1" t="s">
        <v>21</v>
      </c>
      <c r="B772" s="1" t="s">
        <v>180</v>
      </c>
      <c r="C772" s="1" t="s">
        <v>55</v>
      </c>
      <c r="D772" s="1">
        <v>15.0</v>
      </c>
      <c r="E772" s="1">
        <v>645584.0</v>
      </c>
      <c r="F772" s="1">
        <v>20.0</v>
      </c>
      <c r="G772" s="1">
        <v>24446.0</v>
      </c>
      <c r="H772" s="1">
        <v>26.4086</v>
      </c>
      <c r="I772" s="1">
        <v>8.0E-4</v>
      </c>
      <c r="J772" s="1">
        <v>26.4078</v>
      </c>
      <c r="K772" s="1">
        <v>5184.0</v>
      </c>
    </row>
    <row r="773">
      <c r="A773" s="1" t="s">
        <v>21</v>
      </c>
      <c r="B773" s="1" t="s">
        <v>180</v>
      </c>
      <c r="C773" s="1" t="s">
        <v>55</v>
      </c>
      <c r="D773" s="1">
        <v>16.0</v>
      </c>
      <c r="E773" s="1">
        <v>597060.0</v>
      </c>
      <c r="F773" s="1">
        <v>0.0</v>
      </c>
      <c r="G773" s="1">
        <v>24446.0</v>
      </c>
      <c r="H773" s="1">
        <v>24.4236</v>
      </c>
      <c r="I773" s="1">
        <v>0.0</v>
      </c>
      <c r="J773" s="1">
        <v>24.4236</v>
      </c>
      <c r="K773" s="1">
        <v>5138.0</v>
      </c>
    </row>
    <row r="774">
      <c r="A774" s="1" t="s">
        <v>21</v>
      </c>
      <c r="B774" s="1" t="s">
        <v>180</v>
      </c>
      <c r="C774" s="1" t="s">
        <v>55</v>
      </c>
      <c r="D774" s="1">
        <v>17.0</v>
      </c>
      <c r="E774" s="1">
        <v>565638.0</v>
      </c>
      <c r="F774" s="1">
        <v>26.0</v>
      </c>
      <c r="G774" s="1">
        <v>24446.0</v>
      </c>
      <c r="H774" s="1">
        <v>23.1383</v>
      </c>
      <c r="I774" s="1">
        <v>0.0011</v>
      </c>
      <c r="J774" s="1">
        <v>23.1372</v>
      </c>
      <c r="K774" s="1">
        <v>5089.0</v>
      </c>
    </row>
    <row r="775">
      <c r="A775" s="1" t="s">
        <v>21</v>
      </c>
      <c r="B775" s="1" t="s">
        <v>180</v>
      </c>
      <c r="C775" s="1" t="s">
        <v>55</v>
      </c>
      <c r="D775" s="1">
        <v>18.0</v>
      </c>
      <c r="E775" s="1">
        <v>511630.0</v>
      </c>
      <c r="F775" s="1">
        <v>15.0</v>
      </c>
      <c r="G775" s="1">
        <v>24446.0</v>
      </c>
      <c r="H775" s="1">
        <v>20.929</v>
      </c>
      <c r="I775" s="1">
        <v>6.0E-4</v>
      </c>
      <c r="J775" s="1">
        <v>20.9284</v>
      </c>
      <c r="K775" s="1">
        <v>4956.0</v>
      </c>
    </row>
    <row r="776">
      <c r="A776" s="1" t="s">
        <v>21</v>
      </c>
      <c r="B776" s="1" t="s">
        <v>180</v>
      </c>
      <c r="C776" s="1" t="s">
        <v>55</v>
      </c>
      <c r="D776" s="1">
        <v>19.0</v>
      </c>
      <c r="E776" s="1">
        <v>469190.0</v>
      </c>
      <c r="F776" s="1">
        <v>44.0</v>
      </c>
      <c r="G776" s="1">
        <v>24446.0</v>
      </c>
      <c r="H776" s="1">
        <v>19.1929</v>
      </c>
      <c r="I776" s="1">
        <v>0.0018</v>
      </c>
      <c r="J776" s="1">
        <v>19.1911</v>
      </c>
      <c r="K776" s="1">
        <v>4493.0</v>
      </c>
    </row>
    <row r="777">
      <c r="A777" s="1" t="s">
        <v>21</v>
      </c>
      <c r="B777" s="1" t="s">
        <v>180</v>
      </c>
      <c r="C777" s="1" t="s">
        <v>55</v>
      </c>
      <c r="D777" s="1">
        <v>20.0</v>
      </c>
      <c r="E777" s="1">
        <v>425866.0</v>
      </c>
      <c r="F777" s="1">
        <v>14.0</v>
      </c>
      <c r="G777" s="1">
        <v>24446.0</v>
      </c>
      <c r="H777" s="1">
        <v>17.4207</v>
      </c>
      <c r="I777" s="1">
        <v>6.0E-4</v>
      </c>
      <c r="J777" s="1">
        <v>17.4201</v>
      </c>
      <c r="K777" s="1">
        <v>4412.0</v>
      </c>
    </row>
    <row r="778">
      <c r="A778" s="1" t="s">
        <v>21</v>
      </c>
      <c r="B778" s="1" t="s">
        <v>180</v>
      </c>
      <c r="C778" s="1" t="s">
        <v>55</v>
      </c>
      <c r="D778" s="1">
        <v>21.0</v>
      </c>
      <c r="E778" s="1">
        <v>402233.0</v>
      </c>
      <c r="F778" s="1">
        <v>26.0</v>
      </c>
      <c r="G778" s="1">
        <v>24446.0</v>
      </c>
      <c r="H778" s="1">
        <v>16.4539</v>
      </c>
      <c r="I778" s="1">
        <v>0.0011</v>
      </c>
      <c r="J778" s="1">
        <v>16.4529</v>
      </c>
      <c r="K778" s="1">
        <v>4334.0</v>
      </c>
    </row>
    <row r="779">
      <c r="A779" s="1" t="s">
        <v>21</v>
      </c>
      <c r="B779" s="1" t="s">
        <v>180</v>
      </c>
      <c r="C779" s="1" t="s">
        <v>46</v>
      </c>
      <c r="D779" s="1">
        <v>1.0</v>
      </c>
      <c r="E779" s="1">
        <v>590566.0</v>
      </c>
      <c r="F779" s="1">
        <v>0.0</v>
      </c>
      <c r="G779" s="1">
        <v>15103.0</v>
      </c>
      <c r="H779" s="1">
        <v>39.1026</v>
      </c>
      <c r="I779" s="1">
        <v>0.0</v>
      </c>
      <c r="J779" s="1">
        <v>39.1026</v>
      </c>
      <c r="K779" s="1">
        <v>5527.0</v>
      </c>
    </row>
    <row r="780">
      <c r="A780" s="1" t="s">
        <v>21</v>
      </c>
      <c r="B780" s="1" t="s">
        <v>180</v>
      </c>
      <c r="C780" s="1" t="s">
        <v>46</v>
      </c>
      <c r="D780" s="1">
        <v>2.0</v>
      </c>
      <c r="E780" s="1">
        <v>566589.0</v>
      </c>
      <c r="F780" s="1">
        <v>0.0</v>
      </c>
      <c r="G780" s="1">
        <v>15103.0</v>
      </c>
      <c r="H780" s="1">
        <v>37.515</v>
      </c>
      <c r="I780" s="1">
        <v>0.0</v>
      </c>
      <c r="J780" s="1">
        <v>37.515</v>
      </c>
      <c r="K780" s="1">
        <v>5332.0</v>
      </c>
    </row>
    <row r="781">
      <c r="A781" s="1" t="s">
        <v>21</v>
      </c>
      <c r="B781" s="1" t="s">
        <v>180</v>
      </c>
      <c r="C781" s="1" t="s">
        <v>46</v>
      </c>
      <c r="D781" s="1">
        <v>3.0</v>
      </c>
      <c r="E781" s="1">
        <v>354131.0</v>
      </c>
      <c r="F781" s="1">
        <v>0.0</v>
      </c>
      <c r="G781" s="1">
        <v>15103.0</v>
      </c>
      <c r="H781" s="1">
        <v>23.4477</v>
      </c>
      <c r="I781" s="1">
        <v>0.0</v>
      </c>
      <c r="J781" s="1">
        <v>23.4477</v>
      </c>
      <c r="K781" s="1">
        <v>5235.0</v>
      </c>
    </row>
    <row r="782">
      <c r="A782" s="1" t="s">
        <v>21</v>
      </c>
      <c r="B782" s="1" t="s">
        <v>180</v>
      </c>
      <c r="C782" s="1" t="s">
        <v>46</v>
      </c>
      <c r="D782" s="1">
        <v>4.0</v>
      </c>
      <c r="E782" s="1">
        <v>537980.0</v>
      </c>
      <c r="F782" s="1">
        <v>0.0</v>
      </c>
      <c r="G782" s="1">
        <v>15103.0</v>
      </c>
      <c r="H782" s="1">
        <v>35.6207</v>
      </c>
      <c r="I782" s="1">
        <v>0.0</v>
      </c>
      <c r="J782" s="1">
        <v>35.6207</v>
      </c>
      <c r="K782" s="1">
        <v>4898.0</v>
      </c>
    </row>
    <row r="783">
      <c r="A783" s="1" t="s">
        <v>21</v>
      </c>
      <c r="B783" s="1" t="s">
        <v>180</v>
      </c>
      <c r="C783" s="1" t="s">
        <v>46</v>
      </c>
      <c r="D783" s="1">
        <v>5.0</v>
      </c>
      <c r="E783" s="1">
        <v>613777.0</v>
      </c>
      <c r="F783" s="1">
        <v>0.0</v>
      </c>
      <c r="G783" s="1">
        <v>15103.0</v>
      </c>
      <c r="H783" s="1">
        <v>40.6394</v>
      </c>
      <c r="I783" s="1">
        <v>0.0</v>
      </c>
      <c r="J783" s="1">
        <v>40.6394</v>
      </c>
      <c r="K783" s="1">
        <v>4863.0</v>
      </c>
    </row>
    <row r="784">
      <c r="A784" s="1" t="s">
        <v>21</v>
      </c>
      <c r="B784" s="1" t="s">
        <v>180</v>
      </c>
      <c r="C784" s="1" t="s">
        <v>46</v>
      </c>
      <c r="D784" s="1">
        <v>6.0</v>
      </c>
      <c r="E784" s="1">
        <v>543713.0</v>
      </c>
      <c r="F784" s="1">
        <v>0.0</v>
      </c>
      <c r="G784" s="1">
        <v>15103.0</v>
      </c>
      <c r="H784" s="1">
        <v>36.0003</v>
      </c>
      <c r="I784" s="1">
        <v>0.0</v>
      </c>
      <c r="J784" s="1">
        <v>36.0003</v>
      </c>
      <c r="K784" s="1">
        <v>4807.0</v>
      </c>
    </row>
    <row r="785">
      <c r="A785" s="1" t="s">
        <v>21</v>
      </c>
      <c r="B785" s="1" t="s">
        <v>180</v>
      </c>
      <c r="C785" s="1" t="s">
        <v>46</v>
      </c>
      <c r="D785" s="1">
        <v>7.0</v>
      </c>
      <c r="E785" s="1">
        <v>553199.0</v>
      </c>
      <c r="F785" s="1">
        <v>0.0</v>
      </c>
      <c r="G785" s="1">
        <v>15103.0</v>
      </c>
      <c r="H785" s="1">
        <v>36.6284</v>
      </c>
      <c r="I785" s="1">
        <v>0.0</v>
      </c>
      <c r="J785" s="1">
        <v>36.6284</v>
      </c>
      <c r="K785" s="1">
        <v>4848.0</v>
      </c>
    </row>
    <row r="786">
      <c r="A786" s="1" t="s">
        <v>21</v>
      </c>
      <c r="B786" s="1" t="s">
        <v>180</v>
      </c>
      <c r="C786" s="1" t="s">
        <v>46</v>
      </c>
      <c r="D786" s="1">
        <v>8.0</v>
      </c>
      <c r="E786" s="1">
        <v>769972.0</v>
      </c>
      <c r="F786" s="1">
        <v>0.0</v>
      </c>
      <c r="G786" s="1">
        <v>15103.0</v>
      </c>
      <c r="H786" s="1">
        <v>50.9814</v>
      </c>
      <c r="I786" s="1">
        <v>0.0</v>
      </c>
      <c r="J786" s="1">
        <v>50.9814</v>
      </c>
      <c r="K786" s="1">
        <v>4974.0</v>
      </c>
    </row>
    <row r="787">
      <c r="A787" s="1" t="s">
        <v>21</v>
      </c>
      <c r="B787" s="1" t="s">
        <v>180</v>
      </c>
      <c r="C787" s="1" t="s">
        <v>46</v>
      </c>
      <c r="D787" s="1">
        <v>9.0</v>
      </c>
      <c r="E787" s="1">
        <v>624581.0</v>
      </c>
      <c r="F787" s="1">
        <v>0.0</v>
      </c>
      <c r="G787" s="1">
        <v>15103.0</v>
      </c>
      <c r="H787" s="1">
        <v>41.3548</v>
      </c>
      <c r="I787" s="1">
        <v>0.0</v>
      </c>
      <c r="J787" s="1">
        <v>41.3548</v>
      </c>
      <c r="K787" s="1">
        <v>4991.0</v>
      </c>
    </row>
    <row r="788">
      <c r="A788" s="1" t="s">
        <v>21</v>
      </c>
      <c r="B788" s="1" t="s">
        <v>180</v>
      </c>
      <c r="C788" s="1" t="s">
        <v>46</v>
      </c>
      <c r="D788" s="1">
        <v>10.0</v>
      </c>
      <c r="E788" s="1">
        <v>616527.0</v>
      </c>
      <c r="F788" s="1">
        <v>0.0</v>
      </c>
      <c r="G788" s="1">
        <v>15103.0</v>
      </c>
      <c r="H788" s="1">
        <v>40.8215</v>
      </c>
      <c r="I788" s="1">
        <v>0.0</v>
      </c>
      <c r="J788" s="1">
        <v>40.8215</v>
      </c>
      <c r="K788" s="1">
        <v>4848.0</v>
      </c>
    </row>
    <row r="789">
      <c r="A789" s="1" t="s">
        <v>21</v>
      </c>
      <c r="B789" s="1" t="s">
        <v>180</v>
      </c>
      <c r="C789" s="1" t="s">
        <v>46</v>
      </c>
      <c r="D789" s="1">
        <v>11.0</v>
      </c>
      <c r="E789" s="1">
        <v>708086.0</v>
      </c>
      <c r="F789" s="1">
        <v>0.0</v>
      </c>
      <c r="G789" s="1">
        <v>15103.0</v>
      </c>
      <c r="H789" s="1">
        <v>46.8838</v>
      </c>
      <c r="I789" s="1">
        <v>0.0</v>
      </c>
      <c r="J789" s="1">
        <v>46.8838</v>
      </c>
      <c r="K789" s="1">
        <v>4828.0</v>
      </c>
    </row>
    <row r="790">
      <c r="A790" s="1" t="s">
        <v>21</v>
      </c>
      <c r="B790" s="1" t="s">
        <v>180</v>
      </c>
      <c r="C790" s="1" t="s">
        <v>46</v>
      </c>
      <c r="D790" s="1">
        <v>12.0</v>
      </c>
      <c r="E790" s="1">
        <v>695290.0</v>
      </c>
      <c r="F790" s="1">
        <v>0.0</v>
      </c>
      <c r="G790" s="1">
        <v>15103.0</v>
      </c>
      <c r="H790" s="1">
        <v>46.0365</v>
      </c>
      <c r="I790" s="1">
        <v>0.0</v>
      </c>
      <c r="J790" s="1">
        <v>46.0365</v>
      </c>
      <c r="K790" s="1">
        <v>4927.0</v>
      </c>
    </row>
    <row r="791">
      <c r="A791" s="1" t="s">
        <v>21</v>
      </c>
      <c r="B791" s="1" t="s">
        <v>180</v>
      </c>
      <c r="C791" s="1" t="s">
        <v>46</v>
      </c>
      <c r="D791" s="1">
        <v>13.0</v>
      </c>
      <c r="E791" s="1">
        <v>628997.0</v>
      </c>
      <c r="F791" s="1">
        <v>0.0</v>
      </c>
      <c r="G791" s="1">
        <v>15103.0</v>
      </c>
      <c r="H791" s="1">
        <v>41.6472</v>
      </c>
      <c r="I791" s="1">
        <v>0.0</v>
      </c>
      <c r="J791" s="1">
        <v>41.6472</v>
      </c>
      <c r="K791" s="1">
        <v>4933.0</v>
      </c>
    </row>
    <row r="792">
      <c r="A792" s="1" t="s">
        <v>21</v>
      </c>
      <c r="B792" s="1" t="s">
        <v>180</v>
      </c>
      <c r="C792" s="1" t="s">
        <v>46</v>
      </c>
      <c r="D792" s="1">
        <v>14.0</v>
      </c>
      <c r="E792" s="1">
        <v>648065.0</v>
      </c>
      <c r="F792" s="1">
        <v>0.0</v>
      </c>
      <c r="G792" s="1">
        <v>15103.0</v>
      </c>
      <c r="H792" s="1">
        <v>42.9097</v>
      </c>
      <c r="I792" s="1">
        <v>0.0</v>
      </c>
      <c r="J792" s="1">
        <v>42.9097</v>
      </c>
      <c r="K792" s="1">
        <v>5012.0</v>
      </c>
    </row>
    <row r="793">
      <c r="A793" s="1" t="s">
        <v>21</v>
      </c>
      <c r="B793" s="1" t="s">
        <v>180</v>
      </c>
      <c r="C793" s="1" t="s">
        <v>46</v>
      </c>
      <c r="D793" s="1">
        <v>15.0</v>
      </c>
      <c r="E793" s="1">
        <v>874279.0</v>
      </c>
      <c r="F793" s="1">
        <v>0.0</v>
      </c>
      <c r="G793" s="1">
        <v>15103.0</v>
      </c>
      <c r="H793" s="1">
        <v>57.8878</v>
      </c>
      <c r="I793" s="1">
        <v>0.0</v>
      </c>
      <c r="J793" s="1">
        <v>57.8878</v>
      </c>
      <c r="K793" s="1">
        <v>5184.0</v>
      </c>
    </row>
    <row r="794">
      <c r="A794" s="1" t="s">
        <v>21</v>
      </c>
      <c r="B794" s="1" t="s">
        <v>180</v>
      </c>
      <c r="C794" s="1" t="s">
        <v>46</v>
      </c>
      <c r="D794" s="1">
        <v>16.0</v>
      </c>
      <c r="E794" s="1">
        <v>794097.0</v>
      </c>
      <c r="F794" s="1">
        <v>0.0</v>
      </c>
      <c r="G794" s="1">
        <v>15103.0</v>
      </c>
      <c r="H794" s="1">
        <v>52.5788</v>
      </c>
      <c r="I794" s="1">
        <v>0.0</v>
      </c>
      <c r="J794" s="1">
        <v>52.5788</v>
      </c>
      <c r="K794" s="1">
        <v>5138.0</v>
      </c>
    </row>
    <row r="795">
      <c r="A795" s="1" t="s">
        <v>21</v>
      </c>
      <c r="B795" s="1" t="s">
        <v>180</v>
      </c>
      <c r="C795" s="1" t="s">
        <v>46</v>
      </c>
      <c r="D795" s="1">
        <v>17.0</v>
      </c>
      <c r="E795" s="1">
        <v>751359.0</v>
      </c>
      <c r="F795" s="1">
        <v>0.0</v>
      </c>
      <c r="G795" s="1">
        <v>15103.0</v>
      </c>
      <c r="H795" s="1">
        <v>49.749</v>
      </c>
      <c r="I795" s="1">
        <v>0.0</v>
      </c>
      <c r="J795" s="1">
        <v>49.749</v>
      </c>
      <c r="K795" s="1">
        <v>5089.0</v>
      </c>
    </row>
    <row r="796">
      <c r="A796" s="1" t="s">
        <v>21</v>
      </c>
      <c r="B796" s="1" t="s">
        <v>180</v>
      </c>
      <c r="C796" s="1" t="s">
        <v>46</v>
      </c>
      <c r="D796" s="1">
        <v>18.0</v>
      </c>
      <c r="E796" s="1">
        <v>693054.0</v>
      </c>
      <c r="F796" s="1">
        <v>0.0</v>
      </c>
      <c r="G796" s="1">
        <v>15103.0</v>
      </c>
      <c r="H796" s="1">
        <v>45.8885</v>
      </c>
      <c r="I796" s="1">
        <v>0.0</v>
      </c>
      <c r="J796" s="1">
        <v>45.8885</v>
      </c>
      <c r="K796" s="1">
        <v>4956.0</v>
      </c>
    </row>
    <row r="797">
      <c r="A797" s="1" t="s">
        <v>21</v>
      </c>
      <c r="B797" s="1" t="s">
        <v>180</v>
      </c>
      <c r="C797" s="1" t="s">
        <v>46</v>
      </c>
      <c r="D797" s="1">
        <v>19.0</v>
      </c>
      <c r="E797" s="1">
        <v>623323.0</v>
      </c>
      <c r="F797" s="1">
        <v>0.0</v>
      </c>
      <c r="G797" s="1">
        <v>15103.0</v>
      </c>
      <c r="H797" s="1">
        <v>41.2715</v>
      </c>
      <c r="I797" s="1">
        <v>0.0</v>
      </c>
      <c r="J797" s="1">
        <v>41.2715</v>
      </c>
      <c r="K797" s="1">
        <v>4493.0</v>
      </c>
    </row>
    <row r="798">
      <c r="A798" s="1" t="s">
        <v>21</v>
      </c>
      <c r="B798" s="1" t="s">
        <v>180</v>
      </c>
      <c r="C798" s="1" t="s">
        <v>46</v>
      </c>
      <c r="D798" s="1">
        <v>20.0</v>
      </c>
      <c r="E798" s="1">
        <v>590182.0</v>
      </c>
      <c r="F798" s="1">
        <v>0.0</v>
      </c>
      <c r="G798" s="1">
        <v>15103.0</v>
      </c>
      <c r="H798" s="1">
        <v>39.0771</v>
      </c>
      <c r="I798" s="1">
        <v>0.0</v>
      </c>
      <c r="J798" s="1">
        <v>39.0771</v>
      </c>
      <c r="K798" s="1">
        <v>4412.0</v>
      </c>
    </row>
    <row r="799">
      <c r="A799" s="1" t="s">
        <v>21</v>
      </c>
      <c r="B799" s="1" t="s">
        <v>180</v>
      </c>
      <c r="C799" s="1" t="s">
        <v>46</v>
      </c>
      <c r="D799" s="1">
        <v>21.0</v>
      </c>
      <c r="E799" s="1">
        <v>571541.0</v>
      </c>
      <c r="F799" s="1">
        <v>0.0</v>
      </c>
      <c r="G799" s="1">
        <v>15103.0</v>
      </c>
      <c r="H799" s="1">
        <v>37.8429</v>
      </c>
      <c r="I799" s="1">
        <v>0.0</v>
      </c>
      <c r="J799" s="1">
        <v>37.8429</v>
      </c>
      <c r="K799" s="1">
        <v>4334.0</v>
      </c>
    </row>
    <row r="800">
      <c r="A800" s="1" t="s">
        <v>21</v>
      </c>
      <c r="B800" s="1" t="s">
        <v>180</v>
      </c>
      <c r="C800" s="1" t="s">
        <v>1213</v>
      </c>
      <c r="D800" s="1">
        <v>1.0</v>
      </c>
      <c r="E800" s="1">
        <v>0.0</v>
      </c>
      <c r="F800" s="1">
        <v>0.0</v>
      </c>
      <c r="G800" s="1">
        <v>6492.0</v>
      </c>
      <c r="H800" s="1">
        <v>0.0</v>
      </c>
      <c r="I800" s="1">
        <v>0.0</v>
      </c>
      <c r="J800" s="1">
        <v>0.0</v>
      </c>
      <c r="K800" s="1">
        <v>5527.0</v>
      </c>
    </row>
    <row r="801">
      <c r="A801" s="1" t="s">
        <v>21</v>
      </c>
      <c r="B801" s="1" t="s">
        <v>180</v>
      </c>
      <c r="C801" s="1" t="s">
        <v>1213</v>
      </c>
      <c r="D801" s="1">
        <v>2.0</v>
      </c>
      <c r="E801" s="1">
        <v>15.0</v>
      </c>
      <c r="F801" s="1">
        <v>0.0</v>
      </c>
      <c r="G801" s="1">
        <v>6492.0</v>
      </c>
      <c r="H801" s="1">
        <v>0.0023</v>
      </c>
      <c r="I801" s="1">
        <v>0.0</v>
      </c>
      <c r="J801" s="1">
        <v>0.0023</v>
      </c>
      <c r="K801" s="1">
        <v>5332.0</v>
      </c>
    </row>
    <row r="802">
      <c r="A802" s="1" t="s">
        <v>21</v>
      </c>
      <c r="B802" s="1" t="s">
        <v>180</v>
      </c>
      <c r="C802" s="1" t="s">
        <v>1213</v>
      </c>
      <c r="D802" s="1">
        <v>3.0</v>
      </c>
      <c r="E802" s="1">
        <v>10.0</v>
      </c>
      <c r="F802" s="1">
        <v>0.0</v>
      </c>
      <c r="G802" s="1">
        <v>6492.0</v>
      </c>
      <c r="H802" s="1">
        <v>0.0015</v>
      </c>
      <c r="I802" s="1">
        <v>0.0</v>
      </c>
      <c r="J802" s="1">
        <v>0.0015</v>
      </c>
      <c r="K802" s="1">
        <v>5235.0</v>
      </c>
    </row>
    <row r="803">
      <c r="A803" s="1" t="s">
        <v>21</v>
      </c>
      <c r="B803" s="1" t="s">
        <v>180</v>
      </c>
      <c r="C803" s="1" t="s">
        <v>1213</v>
      </c>
      <c r="D803" s="1">
        <v>4.0</v>
      </c>
      <c r="E803" s="1">
        <v>60.0</v>
      </c>
      <c r="F803" s="1">
        <v>0.0</v>
      </c>
      <c r="G803" s="1">
        <v>6492.0</v>
      </c>
      <c r="H803" s="1">
        <v>0.0092</v>
      </c>
      <c r="I803" s="1">
        <v>0.0</v>
      </c>
      <c r="J803" s="1">
        <v>0.0092</v>
      </c>
      <c r="K803" s="1">
        <v>4898.0</v>
      </c>
    </row>
    <row r="804">
      <c r="A804" s="1" t="s">
        <v>21</v>
      </c>
      <c r="B804" s="1" t="s">
        <v>180</v>
      </c>
      <c r="C804" s="1" t="s">
        <v>1213</v>
      </c>
      <c r="D804" s="1">
        <v>5.0</v>
      </c>
      <c r="E804" s="1">
        <v>15.0</v>
      </c>
      <c r="F804" s="1">
        <v>0.0</v>
      </c>
      <c r="G804" s="1">
        <v>6492.0</v>
      </c>
      <c r="H804" s="1">
        <v>0.0023</v>
      </c>
      <c r="I804" s="1">
        <v>0.0</v>
      </c>
      <c r="J804" s="1">
        <v>0.0023</v>
      </c>
      <c r="K804" s="1">
        <v>4863.0</v>
      </c>
    </row>
    <row r="805">
      <c r="A805" s="1" t="s">
        <v>21</v>
      </c>
      <c r="B805" s="1" t="s">
        <v>180</v>
      </c>
      <c r="C805" s="1" t="s">
        <v>1213</v>
      </c>
      <c r="D805" s="1">
        <v>6.0</v>
      </c>
      <c r="E805" s="1">
        <v>0.0</v>
      </c>
      <c r="F805" s="1">
        <v>0.0</v>
      </c>
      <c r="G805" s="1">
        <v>6492.0</v>
      </c>
      <c r="H805" s="1">
        <v>0.0</v>
      </c>
      <c r="I805" s="1">
        <v>0.0</v>
      </c>
      <c r="J805" s="1">
        <v>0.0</v>
      </c>
      <c r="K805" s="1">
        <v>4807.0</v>
      </c>
    </row>
    <row r="806">
      <c r="A806" s="1" t="s">
        <v>21</v>
      </c>
      <c r="B806" s="1" t="s">
        <v>180</v>
      </c>
      <c r="C806" s="1" t="s">
        <v>1213</v>
      </c>
      <c r="D806" s="1">
        <v>7.0</v>
      </c>
      <c r="E806" s="1">
        <v>15.0</v>
      </c>
      <c r="F806" s="1">
        <v>0.0</v>
      </c>
      <c r="G806" s="1">
        <v>6492.0</v>
      </c>
      <c r="H806" s="1">
        <v>0.0023</v>
      </c>
      <c r="I806" s="1">
        <v>0.0</v>
      </c>
      <c r="J806" s="1">
        <v>0.0023</v>
      </c>
      <c r="K806" s="1">
        <v>4848.0</v>
      </c>
    </row>
    <row r="807">
      <c r="A807" s="1" t="s">
        <v>21</v>
      </c>
      <c r="B807" s="1" t="s">
        <v>180</v>
      </c>
      <c r="C807" s="1" t="s">
        <v>1213</v>
      </c>
      <c r="D807" s="1">
        <v>8.0</v>
      </c>
      <c r="E807" s="1">
        <v>21065.0</v>
      </c>
      <c r="F807" s="1">
        <v>0.0</v>
      </c>
      <c r="G807" s="1">
        <v>6492.0</v>
      </c>
      <c r="H807" s="1">
        <v>3.2448</v>
      </c>
      <c r="I807" s="1">
        <v>0.0</v>
      </c>
      <c r="J807" s="1">
        <v>3.2448</v>
      </c>
      <c r="K807" s="1">
        <v>4974.0</v>
      </c>
    </row>
    <row r="808">
      <c r="A808" s="1" t="s">
        <v>21</v>
      </c>
      <c r="B808" s="1" t="s">
        <v>180</v>
      </c>
      <c r="C808" s="1" t="s">
        <v>1213</v>
      </c>
      <c r="D808" s="1">
        <v>9.0</v>
      </c>
      <c r="E808" s="1">
        <v>14550.0</v>
      </c>
      <c r="F808" s="1">
        <v>0.0</v>
      </c>
      <c r="G808" s="1">
        <v>6492.0</v>
      </c>
      <c r="H808" s="1">
        <v>2.2412</v>
      </c>
      <c r="I808" s="1">
        <v>0.0</v>
      </c>
      <c r="J808" s="1">
        <v>2.2412</v>
      </c>
      <c r="K808" s="1">
        <v>4991.0</v>
      </c>
    </row>
    <row r="809">
      <c r="A809" s="1" t="s">
        <v>21</v>
      </c>
      <c r="B809" s="1" t="s">
        <v>180</v>
      </c>
      <c r="C809" s="1" t="s">
        <v>1213</v>
      </c>
      <c r="D809" s="1">
        <v>10.0</v>
      </c>
      <c r="E809" s="1">
        <v>9305.0</v>
      </c>
      <c r="F809" s="1">
        <v>0.0</v>
      </c>
      <c r="G809" s="1">
        <v>6492.0</v>
      </c>
      <c r="H809" s="1">
        <v>1.4333</v>
      </c>
      <c r="I809" s="1">
        <v>0.0</v>
      </c>
      <c r="J809" s="1">
        <v>1.4333</v>
      </c>
      <c r="K809" s="1">
        <v>4848.0</v>
      </c>
    </row>
    <row r="810">
      <c r="A810" s="1" t="s">
        <v>21</v>
      </c>
      <c r="B810" s="1" t="s">
        <v>180</v>
      </c>
      <c r="C810" s="1" t="s">
        <v>1213</v>
      </c>
      <c r="D810" s="1">
        <v>11.0</v>
      </c>
      <c r="E810" s="1">
        <v>7400.0</v>
      </c>
      <c r="F810" s="1">
        <v>0.0</v>
      </c>
      <c r="G810" s="1">
        <v>6492.0</v>
      </c>
      <c r="H810" s="1">
        <v>1.1399</v>
      </c>
      <c r="I810" s="1">
        <v>0.0</v>
      </c>
      <c r="J810" s="1">
        <v>1.1399</v>
      </c>
      <c r="K810" s="1">
        <v>4828.0</v>
      </c>
    </row>
    <row r="811">
      <c r="A811" s="1" t="s">
        <v>21</v>
      </c>
      <c r="B811" s="1" t="s">
        <v>180</v>
      </c>
      <c r="C811" s="1" t="s">
        <v>1213</v>
      </c>
      <c r="D811" s="1">
        <v>12.0</v>
      </c>
      <c r="E811" s="1">
        <v>585.0</v>
      </c>
      <c r="F811" s="1">
        <v>0.0</v>
      </c>
      <c r="G811" s="1">
        <v>6492.0</v>
      </c>
      <c r="H811" s="1">
        <v>0.0901</v>
      </c>
      <c r="I811" s="1">
        <v>0.0</v>
      </c>
      <c r="J811" s="1">
        <v>0.0901</v>
      </c>
      <c r="K811" s="1">
        <v>4927.0</v>
      </c>
    </row>
    <row r="812">
      <c r="A812" s="1" t="s">
        <v>21</v>
      </c>
      <c r="B812" s="1" t="s">
        <v>180</v>
      </c>
      <c r="C812" s="1" t="s">
        <v>1213</v>
      </c>
      <c r="D812" s="1">
        <v>13.0</v>
      </c>
      <c r="E812" s="1">
        <v>70.0</v>
      </c>
      <c r="F812" s="1">
        <v>0.0</v>
      </c>
      <c r="G812" s="1">
        <v>6492.0</v>
      </c>
      <c r="H812" s="1">
        <v>0.0108</v>
      </c>
      <c r="I812" s="1">
        <v>0.0</v>
      </c>
      <c r="J812" s="1">
        <v>0.0108</v>
      </c>
      <c r="K812" s="1">
        <v>4933.0</v>
      </c>
    </row>
    <row r="813">
      <c r="A813" s="1" t="s">
        <v>21</v>
      </c>
      <c r="B813" s="1" t="s">
        <v>180</v>
      </c>
      <c r="C813" s="1" t="s">
        <v>1213</v>
      </c>
      <c r="D813" s="1">
        <v>14.0</v>
      </c>
      <c r="E813" s="1">
        <v>40.0</v>
      </c>
      <c r="F813" s="1">
        <v>0.0</v>
      </c>
      <c r="G813" s="1">
        <v>6492.0</v>
      </c>
      <c r="H813" s="1">
        <v>0.0062</v>
      </c>
      <c r="I813" s="1">
        <v>0.0</v>
      </c>
      <c r="J813" s="1">
        <v>0.0062</v>
      </c>
      <c r="K813" s="1">
        <v>5012.0</v>
      </c>
    </row>
    <row r="814">
      <c r="A814" s="1" t="s">
        <v>21</v>
      </c>
      <c r="B814" s="1" t="s">
        <v>180</v>
      </c>
      <c r="C814" s="1" t="s">
        <v>1213</v>
      </c>
      <c r="D814" s="1">
        <v>15.0</v>
      </c>
      <c r="E814" s="1">
        <v>21030.0</v>
      </c>
      <c r="F814" s="1">
        <v>0.0</v>
      </c>
      <c r="G814" s="1">
        <v>6492.0</v>
      </c>
      <c r="H814" s="1">
        <v>3.2394</v>
      </c>
      <c r="I814" s="1">
        <v>0.0</v>
      </c>
      <c r="J814" s="1">
        <v>3.2394</v>
      </c>
      <c r="K814" s="1">
        <v>5184.0</v>
      </c>
    </row>
    <row r="815">
      <c r="A815" s="1" t="s">
        <v>21</v>
      </c>
      <c r="B815" s="1" t="s">
        <v>180</v>
      </c>
      <c r="C815" s="1" t="s">
        <v>1213</v>
      </c>
      <c r="D815" s="1">
        <v>16.0</v>
      </c>
      <c r="E815" s="1">
        <v>14850.0</v>
      </c>
      <c r="F815" s="1">
        <v>0.0</v>
      </c>
      <c r="G815" s="1">
        <v>6492.0</v>
      </c>
      <c r="H815" s="1">
        <v>2.2874</v>
      </c>
      <c r="I815" s="1">
        <v>0.0</v>
      </c>
      <c r="J815" s="1">
        <v>2.2874</v>
      </c>
      <c r="K815" s="1">
        <v>5138.0</v>
      </c>
    </row>
    <row r="816">
      <c r="A816" s="1" t="s">
        <v>21</v>
      </c>
      <c r="B816" s="1" t="s">
        <v>180</v>
      </c>
      <c r="C816" s="1" t="s">
        <v>1213</v>
      </c>
      <c r="D816" s="1">
        <v>17.0</v>
      </c>
      <c r="E816" s="1">
        <v>10000.0</v>
      </c>
      <c r="F816" s="1">
        <v>0.0</v>
      </c>
      <c r="G816" s="1">
        <v>6492.0</v>
      </c>
      <c r="H816" s="1">
        <v>1.5404</v>
      </c>
      <c r="I816" s="1">
        <v>0.0</v>
      </c>
      <c r="J816" s="1">
        <v>1.5404</v>
      </c>
      <c r="K816" s="1">
        <v>5089.0</v>
      </c>
    </row>
    <row r="817">
      <c r="A817" s="1" t="s">
        <v>21</v>
      </c>
      <c r="B817" s="1" t="s">
        <v>180</v>
      </c>
      <c r="C817" s="1" t="s">
        <v>1213</v>
      </c>
      <c r="D817" s="1">
        <v>18.0</v>
      </c>
      <c r="E817" s="1">
        <v>7070.0</v>
      </c>
      <c r="F817" s="1">
        <v>0.0</v>
      </c>
      <c r="G817" s="1">
        <v>6492.0</v>
      </c>
      <c r="H817" s="1">
        <v>1.089</v>
      </c>
      <c r="I817" s="1">
        <v>0.0</v>
      </c>
      <c r="J817" s="1">
        <v>1.089</v>
      </c>
      <c r="K817" s="1">
        <v>4956.0</v>
      </c>
    </row>
    <row r="818">
      <c r="A818" s="1" t="s">
        <v>21</v>
      </c>
      <c r="B818" s="1" t="s">
        <v>180</v>
      </c>
      <c r="C818" s="1" t="s">
        <v>1213</v>
      </c>
      <c r="D818" s="1">
        <v>19.0</v>
      </c>
      <c r="E818" s="1">
        <v>490.0</v>
      </c>
      <c r="F818" s="1">
        <v>0.0</v>
      </c>
      <c r="G818" s="1">
        <v>6492.0</v>
      </c>
      <c r="H818" s="1">
        <v>0.0755</v>
      </c>
      <c r="I818" s="1">
        <v>0.0</v>
      </c>
      <c r="J818" s="1">
        <v>0.0755</v>
      </c>
      <c r="K818" s="1">
        <v>4493.0</v>
      </c>
    </row>
    <row r="819">
      <c r="A819" s="1" t="s">
        <v>21</v>
      </c>
      <c r="B819" s="1" t="s">
        <v>180</v>
      </c>
      <c r="C819" s="1" t="s">
        <v>1213</v>
      </c>
      <c r="D819" s="1">
        <v>20.0</v>
      </c>
      <c r="E819" s="1">
        <v>80.0</v>
      </c>
      <c r="F819" s="1">
        <v>0.0</v>
      </c>
      <c r="G819" s="1">
        <v>6492.0</v>
      </c>
      <c r="H819" s="1">
        <v>0.0123</v>
      </c>
      <c r="I819" s="1">
        <v>0.0</v>
      </c>
      <c r="J819" s="1">
        <v>0.0123</v>
      </c>
      <c r="K819" s="1">
        <v>4412.0</v>
      </c>
    </row>
    <row r="820">
      <c r="A820" s="1" t="s">
        <v>21</v>
      </c>
      <c r="B820" s="1" t="s">
        <v>180</v>
      </c>
      <c r="C820" s="1" t="s">
        <v>1213</v>
      </c>
      <c r="D820" s="1">
        <v>21.0</v>
      </c>
      <c r="E820" s="1">
        <v>105.0</v>
      </c>
      <c r="F820" s="1">
        <v>0.0</v>
      </c>
      <c r="G820" s="1">
        <v>6492.0</v>
      </c>
      <c r="H820" s="1">
        <v>0.0162</v>
      </c>
      <c r="I820" s="1">
        <v>0.0</v>
      </c>
      <c r="J820" s="1">
        <v>0.0162</v>
      </c>
      <c r="K820" s="1">
        <v>4334.0</v>
      </c>
    </row>
    <row r="821">
      <c r="A821" s="1" t="s">
        <v>21</v>
      </c>
      <c r="B821" s="1" t="s">
        <v>1192</v>
      </c>
      <c r="C821" s="1" t="s">
        <v>1205</v>
      </c>
      <c r="D821" s="1">
        <v>1.0</v>
      </c>
      <c r="E821" s="1">
        <v>170532.0734</v>
      </c>
      <c r="F821" s="1">
        <v>158200.0</v>
      </c>
      <c r="G821" s="1">
        <v>1891.0</v>
      </c>
      <c r="H821" s="1">
        <v>90.1809</v>
      </c>
      <c r="I821" s="1">
        <v>83.6594</v>
      </c>
      <c r="J821" s="1">
        <v>6.5215</v>
      </c>
      <c r="K821" s="1">
        <v>804.0</v>
      </c>
    </row>
    <row r="822">
      <c r="A822" s="1" t="s">
        <v>21</v>
      </c>
      <c r="B822" s="1" t="s">
        <v>1192</v>
      </c>
      <c r="C822" s="1" t="s">
        <v>1205</v>
      </c>
      <c r="D822" s="1">
        <v>2.0</v>
      </c>
      <c r="E822" s="1">
        <v>103510.7945</v>
      </c>
      <c r="F822" s="1">
        <v>114900.0</v>
      </c>
      <c r="G822" s="1">
        <v>1891.0</v>
      </c>
      <c r="H822" s="1">
        <v>54.7387</v>
      </c>
      <c r="I822" s="1">
        <v>60.7615</v>
      </c>
      <c r="J822" s="1">
        <v>-6.0228</v>
      </c>
      <c r="K822" s="1">
        <v>802.0</v>
      </c>
    </row>
    <row r="823">
      <c r="A823" s="1" t="s">
        <v>21</v>
      </c>
      <c r="B823" s="1" t="s">
        <v>1192</v>
      </c>
      <c r="C823" s="1" t="s">
        <v>1205</v>
      </c>
      <c r="D823" s="1">
        <v>3.0</v>
      </c>
      <c r="E823" s="1">
        <v>102438.8582</v>
      </c>
      <c r="F823" s="1">
        <v>107700.0</v>
      </c>
      <c r="G823" s="1">
        <v>1891.0</v>
      </c>
      <c r="H823" s="1">
        <v>54.1718</v>
      </c>
      <c r="I823" s="1">
        <v>56.954</v>
      </c>
      <c r="J823" s="1">
        <v>-2.7822</v>
      </c>
      <c r="K823" s="1">
        <v>778.0</v>
      </c>
    </row>
    <row r="824">
      <c r="A824" s="1" t="s">
        <v>21</v>
      </c>
      <c r="B824" s="1" t="s">
        <v>1192</v>
      </c>
      <c r="C824" s="1" t="s">
        <v>1205</v>
      </c>
      <c r="D824" s="1">
        <v>4.0</v>
      </c>
      <c r="E824" s="1">
        <v>87995.3095</v>
      </c>
      <c r="F824" s="1">
        <v>90900.0</v>
      </c>
      <c r="G824" s="1">
        <v>1891.0</v>
      </c>
      <c r="H824" s="1">
        <v>46.5337</v>
      </c>
      <c r="I824" s="1">
        <v>48.0698</v>
      </c>
      <c r="J824" s="1">
        <v>-1.5361</v>
      </c>
      <c r="K824" s="1">
        <v>736.0</v>
      </c>
    </row>
    <row r="825">
      <c r="A825" s="1" t="s">
        <v>21</v>
      </c>
      <c r="B825" s="1" t="s">
        <v>1192</v>
      </c>
      <c r="C825" s="1" t="s">
        <v>1205</v>
      </c>
      <c r="D825" s="1">
        <v>5.0</v>
      </c>
      <c r="E825" s="1">
        <v>119718.5604</v>
      </c>
      <c r="F825" s="1">
        <v>109550.0</v>
      </c>
      <c r="G825" s="1">
        <v>1891.0</v>
      </c>
      <c r="H825" s="1">
        <v>63.3097</v>
      </c>
      <c r="I825" s="1">
        <v>57.9323</v>
      </c>
      <c r="J825" s="1">
        <v>5.3773</v>
      </c>
      <c r="K825" s="1">
        <v>735.0</v>
      </c>
    </row>
    <row r="826">
      <c r="A826" s="1" t="s">
        <v>21</v>
      </c>
      <c r="B826" s="1" t="s">
        <v>1192</v>
      </c>
      <c r="C826" s="1" t="s">
        <v>1205</v>
      </c>
      <c r="D826" s="1">
        <v>6.0</v>
      </c>
      <c r="E826" s="1">
        <v>105786.5714</v>
      </c>
      <c r="F826" s="1">
        <v>112700.0</v>
      </c>
      <c r="G826" s="1">
        <v>1891.0</v>
      </c>
      <c r="H826" s="1">
        <v>55.9421</v>
      </c>
      <c r="I826" s="1">
        <v>59.5981</v>
      </c>
      <c r="J826" s="1">
        <v>-3.656</v>
      </c>
      <c r="K826" s="1">
        <v>711.0</v>
      </c>
    </row>
    <row r="827">
      <c r="A827" s="1" t="s">
        <v>21</v>
      </c>
      <c r="B827" s="1" t="s">
        <v>1192</v>
      </c>
      <c r="C827" s="1" t="s">
        <v>1205</v>
      </c>
      <c r="D827" s="1">
        <v>7.0</v>
      </c>
      <c r="E827" s="1">
        <v>83068.0</v>
      </c>
      <c r="F827" s="1">
        <v>86600.0</v>
      </c>
      <c r="G827" s="1">
        <v>1891.0</v>
      </c>
      <c r="H827" s="1">
        <v>43.9281</v>
      </c>
      <c r="I827" s="1">
        <v>45.7959</v>
      </c>
      <c r="J827" s="1">
        <v>-1.8678</v>
      </c>
      <c r="K827" s="1">
        <v>693.0</v>
      </c>
    </row>
    <row r="828">
      <c r="A828" s="1" t="s">
        <v>21</v>
      </c>
      <c r="B828" s="1" t="s">
        <v>1192</v>
      </c>
      <c r="C828" s="1" t="s">
        <v>1205</v>
      </c>
      <c r="D828" s="1">
        <v>8.0</v>
      </c>
      <c r="E828" s="1">
        <v>171040.2724</v>
      </c>
      <c r="F828" s="1">
        <v>154550.0</v>
      </c>
      <c r="G828" s="1">
        <v>1891.0</v>
      </c>
      <c r="H828" s="1">
        <v>90.4496</v>
      </c>
      <c r="I828" s="1">
        <v>81.7292</v>
      </c>
      <c r="J828" s="1">
        <v>8.7204</v>
      </c>
      <c r="K828" s="1">
        <v>832.0</v>
      </c>
    </row>
    <row r="829">
      <c r="A829" s="1" t="s">
        <v>21</v>
      </c>
      <c r="B829" s="1" t="s">
        <v>1192</v>
      </c>
      <c r="C829" s="1" t="s">
        <v>1205</v>
      </c>
      <c r="D829" s="1">
        <v>9.0</v>
      </c>
      <c r="E829" s="1">
        <v>92390.8448</v>
      </c>
      <c r="F829" s="1">
        <v>100100.0</v>
      </c>
      <c r="G829" s="1">
        <v>1891.0</v>
      </c>
      <c r="H829" s="1">
        <v>48.8582</v>
      </c>
      <c r="I829" s="1">
        <v>52.935</v>
      </c>
      <c r="J829" s="1">
        <v>-4.0768</v>
      </c>
      <c r="K829" s="1">
        <v>790.0</v>
      </c>
    </row>
    <row r="830">
      <c r="A830" s="1" t="s">
        <v>21</v>
      </c>
      <c r="B830" s="1" t="s">
        <v>1192</v>
      </c>
      <c r="C830" s="1" t="s">
        <v>1205</v>
      </c>
      <c r="D830" s="1">
        <v>10.0</v>
      </c>
      <c r="E830" s="1">
        <v>92474.6255</v>
      </c>
      <c r="F830" s="1">
        <v>97500.0</v>
      </c>
      <c r="G830" s="1">
        <v>1891.0</v>
      </c>
      <c r="H830" s="1">
        <v>48.9025</v>
      </c>
      <c r="I830" s="1">
        <v>51.56</v>
      </c>
      <c r="J830" s="1">
        <v>-2.6575</v>
      </c>
      <c r="K830" s="1">
        <v>787.0</v>
      </c>
    </row>
    <row r="831">
      <c r="A831" s="1" t="s">
        <v>21</v>
      </c>
      <c r="B831" s="1" t="s">
        <v>1192</v>
      </c>
      <c r="C831" s="1" t="s">
        <v>1205</v>
      </c>
      <c r="D831" s="1">
        <v>11.0</v>
      </c>
      <c r="E831" s="1">
        <v>86022.8571</v>
      </c>
      <c r="F831" s="1">
        <v>91200.0</v>
      </c>
      <c r="G831" s="1">
        <v>1891.0</v>
      </c>
      <c r="H831" s="1">
        <v>45.4907</v>
      </c>
      <c r="I831" s="1">
        <v>48.2285</v>
      </c>
      <c r="J831" s="1">
        <v>-2.7378</v>
      </c>
      <c r="K831" s="1">
        <v>728.0</v>
      </c>
    </row>
    <row r="832">
      <c r="A832" s="1" t="s">
        <v>21</v>
      </c>
      <c r="B832" s="1" t="s">
        <v>1192</v>
      </c>
      <c r="C832" s="1" t="s">
        <v>1205</v>
      </c>
      <c r="D832" s="1">
        <v>12.0</v>
      </c>
      <c r="E832" s="1">
        <v>130715.25</v>
      </c>
      <c r="F832" s="1">
        <v>113850.0</v>
      </c>
      <c r="G832" s="1">
        <v>1891.0</v>
      </c>
      <c r="H832" s="1">
        <v>69.1249</v>
      </c>
      <c r="I832" s="1">
        <v>60.2062</v>
      </c>
      <c r="J832" s="1">
        <v>8.9187</v>
      </c>
      <c r="K832" s="1">
        <v>739.0</v>
      </c>
    </row>
    <row r="833">
      <c r="A833" s="1" t="s">
        <v>21</v>
      </c>
      <c r="B833" s="1" t="s">
        <v>1192</v>
      </c>
      <c r="C833" s="1" t="s">
        <v>1205</v>
      </c>
      <c r="D833" s="1">
        <v>13.0</v>
      </c>
      <c r="E833" s="1">
        <v>98128.0</v>
      </c>
      <c r="F833" s="1">
        <v>106750.0</v>
      </c>
      <c r="G833" s="1">
        <v>1891.0</v>
      </c>
      <c r="H833" s="1">
        <v>51.8921</v>
      </c>
      <c r="I833" s="1">
        <v>56.4516</v>
      </c>
      <c r="J833" s="1">
        <v>-4.5595</v>
      </c>
      <c r="K833" s="1">
        <v>735.0</v>
      </c>
    </row>
    <row r="834">
      <c r="A834" s="1" t="s">
        <v>21</v>
      </c>
      <c r="B834" s="1" t="s">
        <v>1192</v>
      </c>
      <c r="C834" s="1" t="s">
        <v>1205</v>
      </c>
      <c r="D834" s="1">
        <v>14.0</v>
      </c>
      <c r="E834" s="1">
        <v>81378.0</v>
      </c>
      <c r="F834" s="1">
        <v>86650.0</v>
      </c>
      <c r="G834" s="1">
        <v>1891.0</v>
      </c>
      <c r="H834" s="1">
        <v>43.0344</v>
      </c>
      <c r="I834" s="1">
        <v>45.8223</v>
      </c>
      <c r="J834" s="1">
        <v>-2.7879</v>
      </c>
      <c r="K834" s="1">
        <v>718.0</v>
      </c>
    </row>
    <row r="835">
      <c r="A835" s="1" t="s">
        <v>21</v>
      </c>
      <c r="B835" s="1" t="s">
        <v>1192</v>
      </c>
      <c r="C835" s="1" t="s">
        <v>1205</v>
      </c>
      <c r="D835" s="1">
        <v>15.0</v>
      </c>
      <c r="E835" s="1">
        <v>168592.5878</v>
      </c>
      <c r="F835" s="1">
        <v>152750.0</v>
      </c>
      <c r="G835" s="1">
        <v>1891.0</v>
      </c>
      <c r="H835" s="1">
        <v>89.1553</v>
      </c>
      <c r="I835" s="1">
        <v>80.7774</v>
      </c>
      <c r="J835" s="1">
        <v>8.3779</v>
      </c>
      <c r="K835" s="1">
        <v>846.0</v>
      </c>
    </row>
    <row r="836">
      <c r="A836" s="1" t="s">
        <v>21</v>
      </c>
      <c r="B836" s="1" t="s">
        <v>1192</v>
      </c>
      <c r="C836" s="1" t="s">
        <v>1205</v>
      </c>
      <c r="D836" s="1">
        <v>16.0</v>
      </c>
      <c r="E836" s="1">
        <v>101035.179</v>
      </c>
      <c r="F836" s="1">
        <v>115100.0</v>
      </c>
      <c r="G836" s="1">
        <v>1891.0</v>
      </c>
      <c r="H836" s="1">
        <v>53.4295</v>
      </c>
      <c r="I836" s="1">
        <v>60.8673</v>
      </c>
      <c r="J836" s="1">
        <v>-7.4378</v>
      </c>
      <c r="K836" s="1">
        <v>816.0</v>
      </c>
    </row>
    <row r="837">
      <c r="A837" s="1" t="s">
        <v>21</v>
      </c>
      <c r="B837" s="1" t="s">
        <v>1192</v>
      </c>
      <c r="C837" s="1" t="s">
        <v>1205</v>
      </c>
      <c r="D837" s="1">
        <v>17.0</v>
      </c>
      <c r="E837" s="1">
        <v>95796.7757</v>
      </c>
      <c r="F837" s="1">
        <v>98050.0</v>
      </c>
      <c r="G837" s="1">
        <v>1891.0</v>
      </c>
      <c r="H837" s="1">
        <v>50.6593</v>
      </c>
      <c r="I837" s="1">
        <v>51.8509</v>
      </c>
      <c r="J837" s="1">
        <v>-1.1916</v>
      </c>
      <c r="K837" s="1">
        <v>804.0</v>
      </c>
    </row>
    <row r="838">
      <c r="A838" s="1" t="s">
        <v>21</v>
      </c>
      <c r="B838" s="1" t="s">
        <v>1192</v>
      </c>
      <c r="C838" s="1" t="s">
        <v>1205</v>
      </c>
      <c r="D838" s="1">
        <v>18.0</v>
      </c>
      <c r="E838" s="1">
        <v>80767.2271</v>
      </c>
      <c r="F838" s="1">
        <v>101450.0</v>
      </c>
      <c r="G838" s="1">
        <v>1891.0</v>
      </c>
      <c r="H838" s="1">
        <v>42.7114</v>
      </c>
      <c r="I838" s="1">
        <v>53.6489</v>
      </c>
      <c r="J838" s="1">
        <v>-10.9375</v>
      </c>
      <c r="K838" s="1">
        <v>746.0</v>
      </c>
    </row>
    <row r="839">
      <c r="A839" s="1" t="s">
        <v>21</v>
      </c>
      <c r="B839" s="1" t="s">
        <v>1192</v>
      </c>
      <c r="C839" s="1" t="s">
        <v>1205</v>
      </c>
      <c r="D839" s="1">
        <v>19.0</v>
      </c>
      <c r="E839" s="1">
        <v>125377.5714</v>
      </c>
      <c r="F839" s="1">
        <v>104350.0</v>
      </c>
      <c r="G839" s="1">
        <v>1891.0</v>
      </c>
      <c r="H839" s="1">
        <v>66.3023</v>
      </c>
      <c r="I839" s="1">
        <v>55.1824</v>
      </c>
      <c r="J839" s="1">
        <v>11.1198</v>
      </c>
      <c r="K839" s="1">
        <v>721.0</v>
      </c>
    </row>
    <row r="840">
      <c r="A840" s="1" t="s">
        <v>21</v>
      </c>
      <c r="B840" s="1" t="s">
        <v>1192</v>
      </c>
      <c r="C840" s="1" t="s">
        <v>1205</v>
      </c>
      <c r="D840" s="1">
        <v>20.0</v>
      </c>
      <c r="E840" s="1">
        <v>96461.0</v>
      </c>
      <c r="F840" s="1">
        <v>105700.0</v>
      </c>
      <c r="G840" s="1">
        <v>1891.0</v>
      </c>
      <c r="H840" s="1">
        <v>51.0106</v>
      </c>
      <c r="I840" s="1">
        <v>55.8964</v>
      </c>
      <c r="J840" s="1">
        <v>-4.8858</v>
      </c>
      <c r="K840" s="1">
        <v>732.0</v>
      </c>
    </row>
    <row r="841">
      <c r="A841" s="1" t="s">
        <v>21</v>
      </c>
      <c r="B841" s="1" t="s">
        <v>1192</v>
      </c>
      <c r="C841" s="1" t="s">
        <v>1205</v>
      </c>
      <c r="D841" s="1">
        <v>21.0</v>
      </c>
      <c r="E841" s="1">
        <v>95869.5714</v>
      </c>
      <c r="F841" s="1">
        <v>102200.0</v>
      </c>
      <c r="G841" s="1">
        <v>1891.0</v>
      </c>
      <c r="H841" s="1">
        <v>50.6978</v>
      </c>
      <c r="I841" s="1">
        <v>54.0455</v>
      </c>
      <c r="J841" s="1">
        <v>-3.3477</v>
      </c>
      <c r="K841" s="1">
        <v>717.0</v>
      </c>
    </row>
    <row r="842">
      <c r="A842" s="1" t="s">
        <v>21</v>
      </c>
      <c r="B842" s="1" t="s">
        <v>1192</v>
      </c>
      <c r="C842" s="1" t="s">
        <v>52</v>
      </c>
      <c r="D842" s="1">
        <v>1.0</v>
      </c>
      <c r="E842" s="1">
        <v>2389.0</v>
      </c>
      <c r="F842" s="1">
        <v>1854.0</v>
      </c>
      <c r="G842" s="1">
        <v>1789.0</v>
      </c>
      <c r="H842" s="1">
        <v>1.3354</v>
      </c>
      <c r="I842" s="1">
        <v>1.0363</v>
      </c>
      <c r="J842" s="1">
        <v>0.299</v>
      </c>
      <c r="K842" s="1">
        <v>804.0</v>
      </c>
    </row>
    <row r="843">
      <c r="A843" s="1" t="s">
        <v>21</v>
      </c>
      <c r="B843" s="1" t="s">
        <v>1192</v>
      </c>
      <c r="C843" s="1" t="s">
        <v>52</v>
      </c>
      <c r="D843" s="1">
        <v>2.0</v>
      </c>
      <c r="E843" s="1">
        <v>1434.0</v>
      </c>
      <c r="F843" s="1">
        <v>1457.0</v>
      </c>
      <c r="G843" s="1">
        <v>1789.0</v>
      </c>
      <c r="H843" s="1">
        <v>0.8016</v>
      </c>
      <c r="I843" s="1">
        <v>0.8144</v>
      </c>
      <c r="J843" s="1">
        <v>-0.0129</v>
      </c>
      <c r="K843" s="1">
        <v>802.0</v>
      </c>
    </row>
    <row r="844">
      <c r="A844" s="1" t="s">
        <v>21</v>
      </c>
      <c r="B844" s="1" t="s">
        <v>1192</v>
      </c>
      <c r="C844" s="1" t="s">
        <v>52</v>
      </c>
      <c r="D844" s="1">
        <v>3.0</v>
      </c>
      <c r="E844" s="1">
        <v>1365.0</v>
      </c>
      <c r="F844" s="1">
        <v>1350.0</v>
      </c>
      <c r="G844" s="1">
        <v>1789.0</v>
      </c>
      <c r="H844" s="1">
        <v>0.763</v>
      </c>
      <c r="I844" s="1">
        <v>0.7546</v>
      </c>
      <c r="J844" s="1">
        <v>0.0084</v>
      </c>
      <c r="K844" s="1">
        <v>778.0</v>
      </c>
    </row>
    <row r="845">
      <c r="A845" s="1" t="s">
        <v>21</v>
      </c>
      <c r="B845" s="1" t="s">
        <v>1192</v>
      </c>
      <c r="C845" s="1" t="s">
        <v>52</v>
      </c>
      <c r="D845" s="1">
        <v>4.0</v>
      </c>
      <c r="E845" s="1">
        <v>1063.0</v>
      </c>
      <c r="F845" s="1">
        <v>1063.0</v>
      </c>
      <c r="G845" s="1">
        <v>1789.0</v>
      </c>
      <c r="H845" s="1">
        <v>0.5942</v>
      </c>
      <c r="I845" s="1">
        <v>0.5942</v>
      </c>
      <c r="J845" s="1">
        <v>0.0</v>
      </c>
      <c r="K845" s="1">
        <v>736.0</v>
      </c>
    </row>
    <row r="846">
      <c r="A846" s="1" t="s">
        <v>21</v>
      </c>
      <c r="B846" s="1" t="s">
        <v>1192</v>
      </c>
      <c r="C846" s="1" t="s">
        <v>52</v>
      </c>
      <c r="D846" s="1">
        <v>5.0</v>
      </c>
      <c r="E846" s="1">
        <v>1340.0</v>
      </c>
      <c r="F846" s="1">
        <v>1279.0</v>
      </c>
      <c r="G846" s="1">
        <v>1789.0</v>
      </c>
      <c r="H846" s="1">
        <v>0.749</v>
      </c>
      <c r="I846" s="1">
        <v>0.7149</v>
      </c>
      <c r="J846" s="1">
        <v>0.0341</v>
      </c>
      <c r="K846" s="1">
        <v>735.0</v>
      </c>
    </row>
    <row r="847">
      <c r="A847" s="1" t="s">
        <v>21</v>
      </c>
      <c r="B847" s="1" t="s">
        <v>1192</v>
      </c>
      <c r="C847" s="1" t="s">
        <v>52</v>
      </c>
      <c r="D847" s="1">
        <v>6.0</v>
      </c>
      <c r="E847" s="1">
        <v>901.0</v>
      </c>
      <c r="F847" s="1">
        <v>1109.0</v>
      </c>
      <c r="G847" s="1">
        <v>1789.0</v>
      </c>
      <c r="H847" s="1">
        <v>0.5036</v>
      </c>
      <c r="I847" s="1">
        <v>0.6199</v>
      </c>
      <c r="J847" s="1">
        <v>-0.1163</v>
      </c>
      <c r="K847" s="1">
        <v>711.0</v>
      </c>
    </row>
    <row r="848">
      <c r="A848" s="1" t="s">
        <v>21</v>
      </c>
      <c r="B848" s="1" t="s">
        <v>1192</v>
      </c>
      <c r="C848" s="1" t="s">
        <v>52</v>
      </c>
      <c r="D848" s="1">
        <v>7.0</v>
      </c>
      <c r="E848" s="1">
        <v>730.0</v>
      </c>
      <c r="F848" s="1">
        <v>910.0</v>
      </c>
      <c r="G848" s="1">
        <v>1789.0</v>
      </c>
      <c r="H848" s="1">
        <v>0.408</v>
      </c>
      <c r="I848" s="1">
        <v>0.5087</v>
      </c>
      <c r="J848" s="1">
        <v>-0.1006</v>
      </c>
      <c r="K848" s="1">
        <v>693.0</v>
      </c>
    </row>
    <row r="849">
      <c r="A849" s="1" t="s">
        <v>21</v>
      </c>
      <c r="B849" s="1" t="s">
        <v>1192</v>
      </c>
      <c r="C849" s="1" t="s">
        <v>52</v>
      </c>
      <c r="D849" s="1">
        <v>8.0</v>
      </c>
      <c r="E849" s="1">
        <v>2276.0</v>
      </c>
      <c r="F849" s="1">
        <v>1799.0</v>
      </c>
      <c r="G849" s="1">
        <v>1789.0</v>
      </c>
      <c r="H849" s="1">
        <v>1.2722</v>
      </c>
      <c r="I849" s="1">
        <v>1.0056</v>
      </c>
      <c r="J849" s="1">
        <v>0.2666</v>
      </c>
      <c r="K849" s="1">
        <v>832.0</v>
      </c>
    </row>
    <row r="850">
      <c r="A850" s="1" t="s">
        <v>21</v>
      </c>
      <c r="B850" s="1" t="s">
        <v>1192</v>
      </c>
      <c r="C850" s="1" t="s">
        <v>52</v>
      </c>
      <c r="D850" s="1">
        <v>9.0</v>
      </c>
      <c r="E850" s="1">
        <v>1403.0</v>
      </c>
      <c r="F850" s="1">
        <v>1357.0</v>
      </c>
      <c r="G850" s="1">
        <v>1789.0</v>
      </c>
      <c r="H850" s="1">
        <v>0.7842</v>
      </c>
      <c r="I850" s="1">
        <v>0.7585</v>
      </c>
      <c r="J850" s="1">
        <v>0.0257</v>
      </c>
      <c r="K850" s="1">
        <v>790.0</v>
      </c>
    </row>
    <row r="851">
      <c r="A851" s="1" t="s">
        <v>21</v>
      </c>
      <c r="B851" s="1" t="s">
        <v>1192</v>
      </c>
      <c r="C851" s="1" t="s">
        <v>52</v>
      </c>
      <c r="D851" s="1">
        <v>10.0</v>
      </c>
      <c r="E851" s="1">
        <v>1347.0</v>
      </c>
      <c r="F851" s="1">
        <v>1286.0</v>
      </c>
      <c r="G851" s="1">
        <v>1789.0</v>
      </c>
      <c r="H851" s="1">
        <v>0.7529</v>
      </c>
      <c r="I851" s="1">
        <v>0.7188</v>
      </c>
      <c r="J851" s="1">
        <v>0.0341</v>
      </c>
      <c r="K851" s="1">
        <v>787.0</v>
      </c>
    </row>
    <row r="852">
      <c r="A852" s="1" t="s">
        <v>21</v>
      </c>
      <c r="B852" s="1" t="s">
        <v>1192</v>
      </c>
      <c r="C852" s="1" t="s">
        <v>52</v>
      </c>
      <c r="D852" s="1">
        <v>11.0</v>
      </c>
      <c r="E852" s="1">
        <v>992.0</v>
      </c>
      <c r="F852" s="1">
        <v>1094.0</v>
      </c>
      <c r="G852" s="1">
        <v>1789.0</v>
      </c>
      <c r="H852" s="1">
        <v>0.5545</v>
      </c>
      <c r="I852" s="1">
        <v>0.6115</v>
      </c>
      <c r="J852" s="1">
        <v>-0.057</v>
      </c>
      <c r="K852" s="1">
        <v>728.0</v>
      </c>
    </row>
    <row r="853">
      <c r="A853" s="1" t="s">
        <v>21</v>
      </c>
      <c r="B853" s="1" t="s">
        <v>1192</v>
      </c>
      <c r="C853" s="1" t="s">
        <v>52</v>
      </c>
      <c r="D853" s="1">
        <v>12.0</v>
      </c>
      <c r="E853" s="1">
        <v>1420.0</v>
      </c>
      <c r="F853" s="1">
        <v>1325.0</v>
      </c>
      <c r="G853" s="1">
        <v>1789.0</v>
      </c>
      <c r="H853" s="1">
        <v>0.7937</v>
      </c>
      <c r="I853" s="1">
        <v>0.7406</v>
      </c>
      <c r="J853" s="1">
        <v>0.0531</v>
      </c>
      <c r="K853" s="1">
        <v>739.0</v>
      </c>
    </row>
    <row r="854">
      <c r="A854" s="1" t="s">
        <v>21</v>
      </c>
      <c r="B854" s="1" t="s">
        <v>1192</v>
      </c>
      <c r="C854" s="1" t="s">
        <v>52</v>
      </c>
      <c r="D854" s="1">
        <v>13.0</v>
      </c>
      <c r="E854" s="1">
        <v>835.0</v>
      </c>
      <c r="F854" s="1">
        <v>1027.0</v>
      </c>
      <c r="G854" s="1">
        <v>1789.0</v>
      </c>
      <c r="H854" s="1">
        <v>0.4667</v>
      </c>
      <c r="I854" s="1">
        <v>0.5741</v>
      </c>
      <c r="J854" s="1">
        <v>-0.1073</v>
      </c>
      <c r="K854" s="1">
        <v>735.0</v>
      </c>
    </row>
    <row r="855">
      <c r="A855" s="1" t="s">
        <v>21</v>
      </c>
      <c r="B855" s="1" t="s">
        <v>1192</v>
      </c>
      <c r="C855" s="1" t="s">
        <v>52</v>
      </c>
      <c r="D855" s="1">
        <v>14.0</v>
      </c>
      <c r="E855" s="1">
        <v>719.0</v>
      </c>
      <c r="F855" s="1">
        <v>914.0</v>
      </c>
      <c r="G855" s="1">
        <v>1789.0</v>
      </c>
      <c r="H855" s="1">
        <v>0.4019</v>
      </c>
      <c r="I855" s="1">
        <v>0.5109</v>
      </c>
      <c r="J855" s="1">
        <v>-0.109</v>
      </c>
      <c r="K855" s="1">
        <v>718.0</v>
      </c>
    </row>
    <row r="856">
      <c r="A856" s="1" t="s">
        <v>21</v>
      </c>
      <c r="B856" s="1" t="s">
        <v>1192</v>
      </c>
      <c r="C856" s="1" t="s">
        <v>52</v>
      </c>
      <c r="D856" s="1">
        <v>15.0</v>
      </c>
      <c r="E856" s="1">
        <v>2286.0</v>
      </c>
      <c r="F856" s="1">
        <v>1765.0</v>
      </c>
      <c r="G856" s="1">
        <v>1789.0</v>
      </c>
      <c r="H856" s="1">
        <v>1.2778</v>
      </c>
      <c r="I856" s="1">
        <v>0.9866</v>
      </c>
      <c r="J856" s="1">
        <v>0.2912</v>
      </c>
      <c r="K856" s="1">
        <v>846.0</v>
      </c>
    </row>
    <row r="857">
      <c r="A857" s="1" t="s">
        <v>21</v>
      </c>
      <c r="B857" s="1" t="s">
        <v>1192</v>
      </c>
      <c r="C857" s="1" t="s">
        <v>52</v>
      </c>
      <c r="D857" s="1">
        <v>16.0</v>
      </c>
      <c r="E857" s="1">
        <v>1466.0</v>
      </c>
      <c r="F857" s="1">
        <v>1352.0</v>
      </c>
      <c r="G857" s="1">
        <v>1789.0</v>
      </c>
      <c r="H857" s="1">
        <v>0.8195</v>
      </c>
      <c r="I857" s="1">
        <v>0.7557</v>
      </c>
      <c r="J857" s="1">
        <v>0.0637</v>
      </c>
      <c r="K857" s="1">
        <v>816.0</v>
      </c>
    </row>
    <row r="858">
      <c r="A858" s="1" t="s">
        <v>21</v>
      </c>
      <c r="B858" s="1" t="s">
        <v>1192</v>
      </c>
      <c r="C858" s="1" t="s">
        <v>52</v>
      </c>
      <c r="D858" s="1">
        <v>17.0</v>
      </c>
      <c r="E858" s="1">
        <v>1295.0</v>
      </c>
      <c r="F858" s="1">
        <v>1276.0</v>
      </c>
      <c r="G858" s="1">
        <v>1789.0</v>
      </c>
      <c r="H858" s="1">
        <v>0.7239</v>
      </c>
      <c r="I858" s="1">
        <v>0.7132</v>
      </c>
      <c r="J858" s="1">
        <v>0.0106</v>
      </c>
      <c r="K858" s="1">
        <v>804.0</v>
      </c>
    </row>
    <row r="859">
      <c r="A859" s="1" t="s">
        <v>21</v>
      </c>
      <c r="B859" s="1" t="s">
        <v>1192</v>
      </c>
      <c r="C859" s="1" t="s">
        <v>52</v>
      </c>
      <c r="D859" s="1">
        <v>18.0</v>
      </c>
      <c r="E859" s="1">
        <v>938.0</v>
      </c>
      <c r="F859" s="1">
        <v>1087.0</v>
      </c>
      <c r="G859" s="1">
        <v>1789.0</v>
      </c>
      <c r="H859" s="1">
        <v>0.5243</v>
      </c>
      <c r="I859" s="1">
        <v>0.6076</v>
      </c>
      <c r="J859" s="1">
        <v>-0.0833</v>
      </c>
      <c r="K859" s="1">
        <v>746.0</v>
      </c>
    </row>
    <row r="860">
      <c r="A860" s="1" t="s">
        <v>21</v>
      </c>
      <c r="B860" s="1" t="s">
        <v>1192</v>
      </c>
      <c r="C860" s="1" t="s">
        <v>52</v>
      </c>
      <c r="D860" s="1">
        <v>19.0</v>
      </c>
      <c r="E860" s="1">
        <v>1228.0</v>
      </c>
      <c r="F860" s="1">
        <v>1064.0</v>
      </c>
      <c r="G860" s="1">
        <v>1789.0</v>
      </c>
      <c r="H860" s="1">
        <v>0.6864</v>
      </c>
      <c r="I860" s="1">
        <v>0.5947</v>
      </c>
      <c r="J860" s="1">
        <v>0.0917</v>
      </c>
      <c r="K860" s="1">
        <v>721.0</v>
      </c>
    </row>
    <row r="861">
      <c r="A861" s="1" t="s">
        <v>21</v>
      </c>
      <c r="B861" s="1" t="s">
        <v>1192</v>
      </c>
      <c r="C861" s="1" t="s">
        <v>52</v>
      </c>
      <c r="D861" s="1">
        <v>20.0</v>
      </c>
      <c r="E861" s="1">
        <v>768.0</v>
      </c>
      <c r="F861" s="1">
        <v>976.0</v>
      </c>
      <c r="G861" s="1">
        <v>1789.0</v>
      </c>
      <c r="H861" s="1">
        <v>0.4293</v>
      </c>
      <c r="I861" s="1">
        <v>0.5456</v>
      </c>
      <c r="J861" s="1">
        <v>-0.1163</v>
      </c>
      <c r="K861" s="1">
        <v>732.0</v>
      </c>
    </row>
    <row r="862">
      <c r="A862" s="1" t="s">
        <v>21</v>
      </c>
      <c r="B862" s="1" t="s">
        <v>1192</v>
      </c>
      <c r="C862" s="1" t="s">
        <v>52</v>
      </c>
      <c r="D862" s="1">
        <v>21.0</v>
      </c>
      <c r="E862" s="1">
        <v>683.0</v>
      </c>
      <c r="F862" s="1">
        <v>810.0</v>
      </c>
      <c r="G862" s="1">
        <v>1789.0</v>
      </c>
      <c r="H862" s="1">
        <v>0.3818</v>
      </c>
      <c r="I862" s="1">
        <v>0.4528</v>
      </c>
      <c r="J862" s="1">
        <v>-0.071</v>
      </c>
      <c r="K862" s="1">
        <v>717.0</v>
      </c>
    </row>
    <row r="863">
      <c r="A863" s="1" t="s">
        <v>21</v>
      </c>
      <c r="B863" s="1" t="s">
        <v>1192</v>
      </c>
      <c r="C863" s="1" t="s">
        <v>53</v>
      </c>
      <c r="D863" s="1">
        <v>1.0</v>
      </c>
      <c r="E863" s="1">
        <v>1473.0</v>
      </c>
      <c r="F863" s="1">
        <v>1260.0</v>
      </c>
      <c r="G863" s="1">
        <v>1613.0</v>
      </c>
      <c r="H863" s="1">
        <v>0.9132</v>
      </c>
      <c r="I863" s="1">
        <v>0.7812</v>
      </c>
      <c r="J863" s="1">
        <v>0.1321</v>
      </c>
      <c r="K863" s="1">
        <v>804.0</v>
      </c>
    </row>
    <row r="864">
      <c r="A864" s="1" t="s">
        <v>21</v>
      </c>
      <c r="B864" s="1" t="s">
        <v>1192</v>
      </c>
      <c r="C864" s="1" t="s">
        <v>53</v>
      </c>
      <c r="D864" s="1">
        <v>2.0</v>
      </c>
      <c r="E864" s="1">
        <v>994.0</v>
      </c>
      <c r="F864" s="1">
        <v>1088.0</v>
      </c>
      <c r="G864" s="1">
        <v>1613.0</v>
      </c>
      <c r="H864" s="1">
        <v>0.6162</v>
      </c>
      <c r="I864" s="1">
        <v>0.6745</v>
      </c>
      <c r="J864" s="1">
        <v>-0.0583</v>
      </c>
      <c r="K864" s="1">
        <v>802.0</v>
      </c>
    </row>
    <row r="865">
      <c r="A865" s="1" t="s">
        <v>21</v>
      </c>
      <c r="B865" s="1" t="s">
        <v>1192</v>
      </c>
      <c r="C865" s="1" t="s">
        <v>53</v>
      </c>
      <c r="D865" s="1">
        <v>3.0</v>
      </c>
      <c r="E865" s="1">
        <v>911.0</v>
      </c>
      <c r="F865" s="1">
        <v>1000.0</v>
      </c>
      <c r="G865" s="1">
        <v>1613.0</v>
      </c>
      <c r="H865" s="1">
        <v>0.5648</v>
      </c>
      <c r="I865" s="1">
        <v>0.62</v>
      </c>
      <c r="J865" s="1">
        <v>-0.0552</v>
      </c>
      <c r="K865" s="1">
        <v>778.0</v>
      </c>
    </row>
    <row r="866">
      <c r="A866" s="1" t="s">
        <v>21</v>
      </c>
      <c r="B866" s="1" t="s">
        <v>1192</v>
      </c>
      <c r="C866" s="1" t="s">
        <v>53</v>
      </c>
      <c r="D866" s="1">
        <v>4.0</v>
      </c>
      <c r="E866" s="1">
        <v>772.0</v>
      </c>
      <c r="F866" s="1">
        <v>818.0</v>
      </c>
      <c r="G866" s="1">
        <v>1613.0</v>
      </c>
      <c r="H866" s="1">
        <v>0.4786</v>
      </c>
      <c r="I866" s="1">
        <v>0.5071</v>
      </c>
      <c r="J866" s="1">
        <v>-0.0285</v>
      </c>
      <c r="K866" s="1">
        <v>736.0</v>
      </c>
    </row>
    <row r="867">
      <c r="A867" s="1" t="s">
        <v>21</v>
      </c>
      <c r="B867" s="1" t="s">
        <v>1192</v>
      </c>
      <c r="C867" s="1" t="s">
        <v>53</v>
      </c>
      <c r="D867" s="1">
        <v>5.0</v>
      </c>
      <c r="E867" s="1">
        <v>923.0</v>
      </c>
      <c r="F867" s="1">
        <v>900.0</v>
      </c>
      <c r="G867" s="1">
        <v>1613.0</v>
      </c>
      <c r="H867" s="1">
        <v>0.5722</v>
      </c>
      <c r="I867" s="1">
        <v>0.558</v>
      </c>
      <c r="J867" s="1">
        <v>0.0143</v>
      </c>
      <c r="K867" s="1">
        <v>735.0</v>
      </c>
    </row>
    <row r="868">
      <c r="A868" s="1" t="s">
        <v>21</v>
      </c>
      <c r="B868" s="1" t="s">
        <v>1192</v>
      </c>
      <c r="C868" s="1" t="s">
        <v>53</v>
      </c>
      <c r="D868" s="1">
        <v>6.0</v>
      </c>
      <c r="E868" s="1">
        <v>629.0</v>
      </c>
      <c r="F868" s="1">
        <v>807.0</v>
      </c>
      <c r="G868" s="1">
        <v>1613.0</v>
      </c>
      <c r="H868" s="1">
        <v>0.39</v>
      </c>
      <c r="I868" s="1">
        <v>0.5003</v>
      </c>
      <c r="J868" s="1">
        <v>-0.1104</v>
      </c>
      <c r="K868" s="1">
        <v>711.0</v>
      </c>
    </row>
    <row r="869">
      <c r="A869" s="1" t="s">
        <v>21</v>
      </c>
      <c r="B869" s="1" t="s">
        <v>1192</v>
      </c>
      <c r="C869" s="1" t="s">
        <v>53</v>
      </c>
      <c r="D869" s="1">
        <v>7.0</v>
      </c>
      <c r="E869" s="1">
        <v>506.0</v>
      </c>
      <c r="F869" s="1">
        <v>691.0</v>
      </c>
      <c r="G869" s="1">
        <v>1613.0</v>
      </c>
      <c r="H869" s="1">
        <v>0.3137</v>
      </c>
      <c r="I869" s="1">
        <v>0.4284</v>
      </c>
      <c r="J869" s="1">
        <v>-0.1147</v>
      </c>
      <c r="K869" s="1">
        <v>693.0</v>
      </c>
    </row>
    <row r="870">
      <c r="A870" s="1" t="s">
        <v>21</v>
      </c>
      <c r="B870" s="1" t="s">
        <v>1192</v>
      </c>
      <c r="C870" s="1" t="s">
        <v>53</v>
      </c>
      <c r="D870" s="1">
        <v>8.0</v>
      </c>
      <c r="E870" s="1">
        <v>1319.0</v>
      </c>
      <c r="F870" s="1">
        <v>1165.0</v>
      </c>
      <c r="G870" s="1">
        <v>1613.0</v>
      </c>
      <c r="H870" s="1">
        <v>0.8177</v>
      </c>
      <c r="I870" s="1">
        <v>0.7223</v>
      </c>
      <c r="J870" s="1">
        <v>0.0955</v>
      </c>
      <c r="K870" s="1">
        <v>832.0</v>
      </c>
    </row>
    <row r="871">
      <c r="A871" s="1" t="s">
        <v>21</v>
      </c>
      <c r="B871" s="1" t="s">
        <v>1192</v>
      </c>
      <c r="C871" s="1" t="s">
        <v>53</v>
      </c>
      <c r="D871" s="1">
        <v>9.0</v>
      </c>
      <c r="E871" s="1">
        <v>926.0</v>
      </c>
      <c r="F871" s="1">
        <v>945.0</v>
      </c>
      <c r="G871" s="1">
        <v>1613.0</v>
      </c>
      <c r="H871" s="1">
        <v>0.5741</v>
      </c>
      <c r="I871" s="1">
        <v>0.5859</v>
      </c>
      <c r="J871" s="1">
        <v>-0.0118</v>
      </c>
      <c r="K871" s="1">
        <v>790.0</v>
      </c>
    </row>
    <row r="872">
      <c r="A872" s="1" t="s">
        <v>21</v>
      </c>
      <c r="B872" s="1" t="s">
        <v>1192</v>
      </c>
      <c r="C872" s="1" t="s">
        <v>53</v>
      </c>
      <c r="D872" s="1">
        <v>10.0</v>
      </c>
      <c r="E872" s="1">
        <v>908.0</v>
      </c>
      <c r="F872" s="1">
        <v>897.0</v>
      </c>
      <c r="G872" s="1">
        <v>1613.0</v>
      </c>
      <c r="H872" s="1">
        <v>0.5629</v>
      </c>
      <c r="I872" s="1">
        <v>0.5561</v>
      </c>
      <c r="J872" s="1">
        <v>0.0068</v>
      </c>
      <c r="K872" s="1">
        <v>787.0</v>
      </c>
    </row>
    <row r="873">
      <c r="A873" s="1" t="s">
        <v>21</v>
      </c>
      <c r="B873" s="1" t="s">
        <v>1192</v>
      </c>
      <c r="C873" s="1" t="s">
        <v>53</v>
      </c>
      <c r="D873" s="1">
        <v>11.0</v>
      </c>
      <c r="E873" s="1">
        <v>701.0</v>
      </c>
      <c r="F873" s="1">
        <v>792.0</v>
      </c>
      <c r="G873" s="1">
        <v>1613.0</v>
      </c>
      <c r="H873" s="1">
        <v>0.4346</v>
      </c>
      <c r="I873" s="1">
        <v>0.491</v>
      </c>
      <c r="J873" s="1">
        <v>-0.0564</v>
      </c>
      <c r="K873" s="1">
        <v>728.0</v>
      </c>
    </row>
    <row r="874">
      <c r="A874" s="1" t="s">
        <v>21</v>
      </c>
      <c r="B874" s="1" t="s">
        <v>1192</v>
      </c>
      <c r="C874" s="1" t="s">
        <v>53</v>
      </c>
      <c r="D874" s="1">
        <v>12.0</v>
      </c>
      <c r="E874" s="1">
        <v>952.0</v>
      </c>
      <c r="F874" s="1">
        <v>971.0</v>
      </c>
      <c r="G874" s="1">
        <v>1613.0</v>
      </c>
      <c r="H874" s="1">
        <v>0.5902</v>
      </c>
      <c r="I874" s="1">
        <v>0.602</v>
      </c>
      <c r="J874" s="1">
        <v>-0.0118</v>
      </c>
      <c r="K874" s="1">
        <v>739.0</v>
      </c>
    </row>
    <row r="875">
      <c r="A875" s="1" t="s">
        <v>21</v>
      </c>
      <c r="B875" s="1" t="s">
        <v>1192</v>
      </c>
      <c r="C875" s="1" t="s">
        <v>53</v>
      </c>
      <c r="D875" s="1">
        <v>13.0</v>
      </c>
      <c r="E875" s="1">
        <v>581.0</v>
      </c>
      <c r="F875" s="1">
        <v>700.0</v>
      </c>
      <c r="G875" s="1">
        <v>1613.0</v>
      </c>
      <c r="H875" s="1">
        <v>0.3602</v>
      </c>
      <c r="I875" s="1">
        <v>0.434</v>
      </c>
      <c r="J875" s="1">
        <v>-0.0738</v>
      </c>
      <c r="K875" s="1">
        <v>735.0</v>
      </c>
    </row>
    <row r="876">
      <c r="A876" s="1" t="s">
        <v>21</v>
      </c>
      <c r="B876" s="1" t="s">
        <v>1192</v>
      </c>
      <c r="C876" s="1" t="s">
        <v>53</v>
      </c>
      <c r="D876" s="1">
        <v>14.0</v>
      </c>
      <c r="E876" s="1">
        <v>489.0</v>
      </c>
      <c r="F876" s="1">
        <v>640.0</v>
      </c>
      <c r="G876" s="1">
        <v>1613.0</v>
      </c>
      <c r="H876" s="1">
        <v>0.3032</v>
      </c>
      <c r="I876" s="1">
        <v>0.3968</v>
      </c>
      <c r="J876" s="1">
        <v>-0.0936</v>
      </c>
      <c r="K876" s="1">
        <v>718.0</v>
      </c>
    </row>
    <row r="877">
      <c r="A877" s="1" t="s">
        <v>21</v>
      </c>
      <c r="B877" s="1" t="s">
        <v>1192</v>
      </c>
      <c r="C877" s="1" t="s">
        <v>53</v>
      </c>
      <c r="D877" s="1">
        <v>15.0</v>
      </c>
      <c r="E877" s="1">
        <v>1271.0</v>
      </c>
      <c r="F877" s="1">
        <v>1146.0</v>
      </c>
      <c r="G877" s="1">
        <v>1613.0</v>
      </c>
      <c r="H877" s="1">
        <v>0.788</v>
      </c>
      <c r="I877" s="1">
        <v>0.7105</v>
      </c>
      <c r="J877" s="1">
        <v>0.0775</v>
      </c>
      <c r="K877" s="1">
        <v>846.0</v>
      </c>
    </row>
    <row r="878">
      <c r="A878" s="1" t="s">
        <v>21</v>
      </c>
      <c r="B878" s="1" t="s">
        <v>1192</v>
      </c>
      <c r="C878" s="1" t="s">
        <v>53</v>
      </c>
      <c r="D878" s="1">
        <v>16.0</v>
      </c>
      <c r="E878" s="1">
        <v>864.0</v>
      </c>
      <c r="F878" s="1">
        <v>916.0</v>
      </c>
      <c r="G878" s="1">
        <v>1613.0</v>
      </c>
      <c r="H878" s="1">
        <v>0.5356</v>
      </c>
      <c r="I878" s="1">
        <v>0.5679</v>
      </c>
      <c r="J878" s="1">
        <v>-0.0322</v>
      </c>
      <c r="K878" s="1">
        <v>816.0</v>
      </c>
    </row>
    <row r="879">
      <c r="A879" s="1" t="s">
        <v>21</v>
      </c>
      <c r="B879" s="1" t="s">
        <v>1192</v>
      </c>
      <c r="C879" s="1" t="s">
        <v>53</v>
      </c>
      <c r="D879" s="1">
        <v>17.0</v>
      </c>
      <c r="E879" s="1">
        <v>856.0</v>
      </c>
      <c r="F879" s="1">
        <v>820.0</v>
      </c>
      <c r="G879" s="1">
        <v>1613.0</v>
      </c>
      <c r="H879" s="1">
        <v>0.5307</v>
      </c>
      <c r="I879" s="1">
        <v>0.5084</v>
      </c>
      <c r="J879" s="1">
        <v>0.0223</v>
      </c>
      <c r="K879" s="1">
        <v>804.0</v>
      </c>
    </row>
    <row r="880">
      <c r="A880" s="1" t="s">
        <v>21</v>
      </c>
      <c r="B880" s="1" t="s">
        <v>1192</v>
      </c>
      <c r="C880" s="1" t="s">
        <v>53</v>
      </c>
      <c r="D880" s="1">
        <v>18.0</v>
      </c>
      <c r="E880" s="1">
        <v>699.0</v>
      </c>
      <c r="F880" s="1">
        <v>776.0</v>
      </c>
      <c r="G880" s="1">
        <v>1613.0</v>
      </c>
      <c r="H880" s="1">
        <v>0.4334</v>
      </c>
      <c r="I880" s="1">
        <v>0.4811</v>
      </c>
      <c r="J880" s="1">
        <v>-0.0477</v>
      </c>
      <c r="K880" s="1">
        <v>746.0</v>
      </c>
    </row>
    <row r="881">
      <c r="A881" s="1" t="s">
        <v>21</v>
      </c>
      <c r="B881" s="1" t="s">
        <v>1192</v>
      </c>
      <c r="C881" s="1" t="s">
        <v>53</v>
      </c>
      <c r="D881" s="1">
        <v>19.0</v>
      </c>
      <c r="E881" s="1">
        <v>838.0</v>
      </c>
      <c r="F881" s="1">
        <v>790.0</v>
      </c>
      <c r="G881" s="1">
        <v>1613.0</v>
      </c>
      <c r="H881" s="1">
        <v>0.5195</v>
      </c>
      <c r="I881" s="1">
        <v>0.4898</v>
      </c>
      <c r="J881" s="1">
        <v>0.0298</v>
      </c>
      <c r="K881" s="1">
        <v>721.0</v>
      </c>
    </row>
    <row r="882">
      <c r="A882" s="1" t="s">
        <v>21</v>
      </c>
      <c r="B882" s="1" t="s">
        <v>1192</v>
      </c>
      <c r="C882" s="1" t="s">
        <v>53</v>
      </c>
      <c r="D882" s="1">
        <v>20.0</v>
      </c>
      <c r="E882" s="1">
        <v>557.0</v>
      </c>
      <c r="F882" s="1">
        <v>716.0</v>
      </c>
      <c r="G882" s="1">
        <v>1613.0</v>
      </c>
      <c r="H882" s="1">
        <v>0.3453</v>
      </c>
      <c r="I882" s="1">
        <v>0.4439</v>
      </c>
      <c r="J882" s="1">
        <v>-0.0986</v>
      </c>
      <c r="K882" s="1">
        <v>732.0</v>
      </c>
    </row>
    <row r="883">
      <c r="A883" s="1" t="s">
        <v>21</v>
      </c>
      <c r="B883" s="1" t="s">
        <v>1192</v>
      </c>
      <c r="C883" s="1" t="s">
        <v>53</v>
      </c>
      <c r="D883" s="1">
        <v>21.0</v>
      </c>
      <c r="E883" s="1">
        <v>505.0</v>
      </c>
      <c r="F883" s="1">
        <v>671.0</v>
      </c>
      <c r="G883" s="1">
        <v>1613.0</v>
      </c>
      <c r="H883" s="1">
        <v>0.3131</v>
      </c>
      <c r="I883" s="1">
        <v>0.416</v>
      </c>
      <c r="J883" s="1">
        <v>-0.1029</v>
      </c>
      <c r="K883" s="1">
        <v>717.0</v>
      </c>
    </row>
    <row r="884">
      <c r="A884" s="1" t="s">
        <v>21</v>
      </c>
      <c r="B884" s="1" t="s">
        <v>1192</v>
      </c>
      <c r="C884" s="1" t="s">
        <v>54</v>
      </c>
      <c r="D884" s="1">
        <v>1.0</v>
      </c>
      <c r="E884" s="1">
        <v>916.0</v>
      </c>
      <c r="F884" s="1">
        <v>799.0</v>
      </c>
      <c r="G884" s="1">
        <v>1415.0</v>
      </c>
      <c r="H884" s="1">
        <v>0.6473</v>
      </c>
      <c r="I884" s="1">
        <v>0.5647</v>
      </c>
      <c r="J884" s="1">
        <v>0.0827</v>
      </c>
      <c r="K884" s="1">
        <v>804.0</v>
      </c>
    </row>
    <row r="885">
      <c r="A885" s="1" t="s">
        <v>21</v>
      </c>
      <c r="B885" s="1" t="s">
        <v>1192</v>
      </c>
      <c r="C885" s="1" t="s">
        <v>54</v>
      </c>
      <c r="D885" s="1">
        <v>2.0</v>
      </c>
      <c r="E885" s="1">
        <v>541.0</v>
      </c>
      <c r="F885" s="1">
        <v>609.0</v>
      </c>
      <c r="G885" s="1">
        <v>1415.0</v>
      </c>
      <c r="H885" s="1">
        <v>0.3823</v>
      </c>
      <c r="I885" s="1">
        <v>0.4304</v>
      </c>
      <c r="J885" s="1">
        <v>-0.0481</v>
      </c>
      <c r="K885" s="1">
        <v>802.0</v>
      </c>
    </row>
    <row r="886">
      <c r="A886" s="1" t="s">
        <v>21</v>
      </c>
      <c r="B886" s="1" t="s">
        <v>1192</v>
      </c>
      <c r="C886" s="1" t="s">
        <v>54</v>
      </c>
      <c r="D886" s="1">
        <v>3.0</v>
      </c>
      <c r="E886" s="1">
        <v>514.0</v>
      </c>
      <c r="F886" s="1">
        <v>547.0</v>
      </c>
      <c r="G886" s="1">
        <v>1415.0</v>
      </c>
      <c r="H886" s="1">
        <v>0.3633</v>
      </c>
      <c r="I886" s="1">
        <v>0.3866</v>
      </c>
      <c r="J886" s="1">
        <v>-0.0233</v>
      </c>
      <c r="K886" s="1">
        <v>778.0</v>
      </c>
    </row>
    <row r="887">
      <c r="A887" s="1" t="s">
        <v>21</v>
      </c>
      <c r="B887" s="1" t="s">
        <v>1192</v>
      </c>
      <c r="C887" s="1" t="s">
        <v>54</v>
      </c>
      <c r="D887" s="1">
        <v>4.0</v>
      </c>
      <c r="E887" s="1">
        <v>408.0</v>
      </c>
      <c r="F887" s="1">
        <v>460.0</v>
      </c>
      <c r="G887" s="1">
        <v>1415.0</v>
      </c>
      <c r="H887" s="1">
        <v>0.2883</v>
      </c>
      <c r="I887" s="1">
        <v>0.3251</v>
      </c>
      <c r="J887" s="1">
        <v>-0.0367</v>
      </c>
      <c r="K887" s="1">
        <v>736.0</v>
      </c>
    </row>
    <row r="888">
      <c r="A888" s="1" t="s">
        <v>21</v>
      </c>
      <c r="B888" s="1" t="s">
        <v>1192</v>
      </c>
      <c r="C888" s="1" t="s">
        <v>54</v>
      </c>
      <c r="D888" s="1">
        <v>5.0</v>
      </c>
      <c r="E888" s="1">
        <v>461.0</v>
      </c>
      <c r="F888" s="1">
        <v>448.0</v>
      </c>
      <c r="G888" s="1">
        <v>1415.0</v>
      </c>
      <c r="H888" s="1">
        <v>0.3258</v>
      </c>
      <c r="I888" s="1">
        <v>0.3166</v>
      </c>
      <c r="J888" s="1">
        <v>0.0092</v>
      </c>
      <c r="K888" s="1">
        <v>735.0</v>
      </c>
    </row>
    <row r="889">
      <c r="A889" s="1" t="s">
        <v>21</v>
      </c>
      <c r="B889" s="1" t="s">
        <v>1192</v>
      </c>
      <c r="C889" s="1" t="s">
        <v>54</v>
      </c>
      <c r="D889" s="1">
        <v>6.0</v>
      </c>
      <c r="E889" s="1">
        <v>259.0</v>
      </c>
      <c r="F889" s="1">
        <v>379.0</v>
      </c>
      <c r="G889" s="1">
        <v>1415.0</v>
      </c>
      <c r="H889" s="1">
        <v>0.183</v>
      </c>
      <c r="I889" s="1">
        <v>0.2678</v>
      </c>
      <c r="J889" s="1">
        <v>-0.0848</v>
      </c>
      <c r="K889" s="1">
        <v>711.0</v>
      </c>
    </row>
    <row r="890">
      <c r="A890" s="1" t="s">
        <v>21</v>
      </c>
      <c r="B890" s="1" t="s">
        <v>1192</v>
      </c>
      <c r="C890" s="1" t="s">
        <v>54</v>
      </c>
      <c r="D890" s="1">
        <v>7.0</v>
      </c>
      <c r="E890" s="1">
        <v>208.0</v>
      </c>
      <c r="F890" s="1">
        <v>292.0</v>
      </c>
      <c r="G890" s="1">
        <v>1415.0</v>
      </c>
      <c r="H890" s="1">
        <v>0.147</v>
      </c>
      <c r="I890" s="1">
        <v>0.2064</v>
      </c>
      <c r="J890" s="1">
        <v>-0.0594</v>
      </c>
      <c r="K890" s="1">
        <v>693.0</v>
      </c>
    </row>
    <row r="891">
      <c r="A891" s="1" t="s">
        <v>21</v>
      </c>
      <c r="B891" s="1" t="s">
        <v>1192</v>
      </c>
      <c r="C891" s="1" t="s">
        <v>54</v>
      </c>
      <c r="D891" s="1">
        <v>8.0</v>
      </c>
      <c r="E891" s="1">
        <v>922.0</v>
      </c>
      <c r="F891" s="1">
        <v>774.0</v>
      </c>
      <c r="G891" s="1">
        <v>1415.0</v>
      </c>
      <c r="H891" s="1">
        <v>0.6516</v>
      </c>
      <c r="I891" s="1">
        <v>0.547</v>
      </c>
      <c r="J891" s="1">
        <v>0.1046</v>
      </c>
      <c r="K891" s="1">
        <v>832.0</v>
      </c>
    </row>
    <row r="892">
      <c r="A892" s="1" t="s">
        <v>21</v>
      </c>
      <c r="B892" s="1" t="s">
        <v>1192</v>
      </c>
      <c r="C892" s="1" t="s">
        <v>54</v>
      </c>
      <c r="D892" s="1">
        <v>9.0</v>
      </c>
      <c r="E892" s="1">
        <v>549.0</v>
      </c>
      <c r="F892" s="1">
        <v>613.0</v>
      </c>
      <c r="G892" s="1">
        <v>1415.0</v>
      </c>
      <c r="H892" s="1">
        <v>0.388</v>
      </c>
      <c r="I892" s="1">
        <v>0.4332</v>
      </c>
      <c r="J892" s="1">
        <v>-0.0452</v>
      </c>
      <c r="K892" s="1">
        <v>790.0</v>
      </c>
    </row>
    <row r="893">
      <c r="A893" s="1" t="s">
        <v>21</v>
      </c>
      <c r="B893" s="1" t="s">
        <v>1192</v>
      </c>
      <c r="C893" s="1" t="s">
        <v>54</v>
      </c>
      <c r="D893" s="1">
        <v>10.0</v>
      </c>
      <c r="E893" s="1">
        <v>505.0</v>
      </c>
      <c r="F893" s="1">
        <v>568.0</v>
      </c>
      <c r="G893" s="1">
        <v>1415.0</v>
      </c>
      <c r="H893" s="1">
        <v>0.3569</v>
      </c>
      <c r="I893" s="1">
        <v>0.4014</v>
      </c>
      <c r="J893" s="1">
        <v>-0.0445</v>
      </c>
      <c r="K893" s="1">
        <v>787.0</v>
      </c>
    </row>
    <row r="894">
      <c r="A894" s="1" t="s">
        <v>21</v>
      </c>
      <c r="B894" s="1" t="s">
        <v>1192</v>
      </c>
      <c r="C894" s="1" t="s">
        <v>54</v>
      </c>
      <c r="D894" s="1">
        <v>11.0</v>
      </c>
      <c r="E894" s="1">
        <v>431.0</v>
      </c>
      <c r="F894" s="1">
        <v>473.0</v>
      </c>
      <c r="G894" s="1">
        <v>1415.0</v>
      </c>
      <c r="H894" s="1">
        <v>0.3046</v>
      </c>
      <c r="I894" s="1">
        <v>0.3343</v>
      </c>
      <c r="J894" s="1">
        <v>-0.0297</v>
      </c>
      <c r="K894" s="1">
        <v>728.0</v>
      </c>
    </row>
    <row r="895">
      <c r="A895" s="1" t="s">
        <v>21</v>
      </c>
      <c r="B895" s="1" t="s">
        <v>1192</v>
      </c>
      <c r="C895" s="1" t="s">
        <v>54</v>
      </c>
      <c r="D895" s="1">
        <v>12.0</v>
      </c>
      <c r="E895" s="1">
        <v>443.0</v>
      </c>
      <c r="F895" s="1">
        <v>461.0</v>
      </c>
      <c r="G895" s="1">
        <v>1415.0</v>
      </c>
      <c r="H895" s="1">
        <v>0.3131</v>
      </c>
      <c r="I895" s="1">
        <v>0.3258</v>
      </c>
      <c r="J895" s="1">
        <v>-0.0127</v>
      </c>
      <c r="K895" s="1">
        <v>739.0</v>
      </c>
    </row>
    <row r="896">
      <c r="A896" s="1" t="s">
        <v>21</v>
      </c>
      <c r="B896" s="1" t="s">
        <v>1192</v>
      </c>
      <c r="C896" s="1" t="s">
        <v>54</v>
      </c>
      <c r="D896" s="1">
        <v>13.0</v>
      </c>
      <c r="E896" s="1">
        <v>249.0</v>
      </c>
      <c r="F896" s="1">
        <v>401.0</v>
      </c>
      <c r="G896" s="1">
        <v>1415.0</v>
      </c>
      <c r="H896" s="1">
        <v>0.176</v>
      </c>
      <c r="I896" s="1">
        <v>0.2834</v>
      </c>
      <c r="J896" s="1">
        <v>-0.1074</v>
      </c>
      <c r="K896" s="1">
        <v>735.0</v>
      </c>
    </row>
    <row r="897">
      <c r="A897" s="1" t="s">
        <v>21</v>
      </c>
      <c r="B897" s="1" t="s">
        <v>1192</v>
      </c>
      <c r="C897" s="1" t="s">
        <v>54</v>
      </c>
      <c r="D897" s="1">
        <v>14.0</v>
      </c>
      <c r="E897" s="1">
        <v>197.0</v>
      </c>
      <c r="F897" s="1">
        <v>313.0</v>
      </c>
      <c r="G897" s="1">
        <v>1415.0</v>
      </c>
      <c r="H897" s="1">
        <v>0.1392</v>
      </c>
      <c r="I897" s="1">
        <v>0.2212</v>
      </c>
      <c r="J897" s="1">
        <v>-0.082</v>
      </c>
      <c r="K897" s="1">
        <v>718.0</v>
      </c>
    </row>
    <row r="898">
      <c r="A898" s="1" t="s">
        <v>21</v>
      </c>
      <c r="B898" s="1" t="s">
        <v>1192</v>
      </c>
      <c r="C898" s="1" t="s">
        <v>54</v>
      </c>
      <c r="D898" s="1">
        <v>15.0</v>
      </c>
      <c r="E898" s="1">
        <v>876.0</v>
      </c>
      <c r="F898" s="1">
        <v>776.0</v>
      </c>
      <c r="G898" s="1">
        <v>1415.0</v>
      </c>
      <c r="H898" s="1">
        <v>0.6191</v>
      </c>
      <c r="I898" s="1">
        <v>0.5484</v>
      </c>
      <c r="J898" s="1">
        <v>0.0707</v>
      </c>
      <c r="K898" s="1">
        <v>846.0</v>
      </c>
    </row>
    <row r="899">
      <c r="A899" s="1" t="s">
        <v>21</v>
      </c>
      <c r="B899" s="1" t="s">
        <v>1192</v>
      </c>
      <c r="C899" s="1" t="s">
        <v>54</v>
      </c>
      <c r="D899" s="1">
        <v>16.0</v>
      </c>
      <c r="E899" s="1">
        <v>534.0</v>
      </c>
      <c r="F899" s="1">
        <v>575.0</v>
      </c>
      <c r="G899" s="1">
        <v>1415.0</v>
      </c>
      <c r="H899" s="1">
        <v>0.3774</v>
      </c>
      <c r="I899" s="1">
        <v>0.4064</v>
      </c>
      <c r="J899" s="1">
        <v>-0.029</v>
      </c>
      <c r="K899" s="1">
        <v>816.0</v>
      </c>
    </row>
    <row r="900">
      <c r="A900" s="1" t="s">
        <v>21</v>
      </c>
      <c r="B900" s="1" t="s">
        <v>1192</v>
      </c>
      <c r="C900" s="1" t="s">
        <v>54</v>
      </c>
      <c r="D900" s="1">
        <v>17.0</v>
      </c>
      <c r="E900" s="1">
        <v>489.0</v>
      </c>
      <c r="F900" s="1">
        <v>524.0</v>
      </c>
      <c r="G900" s="1">
        <v>1415.0</v>
      </c>
      <c r="H900" s="1">
        <v>0.3456</v>
      </c>
      <c r="I900" s="1">
        <v>0.3703</v>
      </c>
      <c r="J900" s="1">
        <v>-0.0247</v>
      </c>
      <c r="K900" s="1">
        <v>804.0</v>
      </c>
    </row>
    <row r="901">
      <c r="A901" s="1" t="s">
        <v>21</v>
      </c>
      <c r="B901" s="1" t="s">
        <v>1192</v>
      </c>
      <c r="C901" s="1" t="s">
        <v>54</v>
      </c>
      <c r="D901" s="1">
        <v>18.0</v>
      </c>
      <c r="E901" s="1">
        <v>403.0</v>
      </c>
      <c r="F901" s="1">
        <v>501.0</v>
      </c>
      <c r="G901" s="1">
        <v>1415.0</v>
      </c>
      <c r="H901" s="1">
        <v>0.2848</v>
      </c>
      <c r="I901" s="1">
        <v>0.3541</v>
      </c>
      <c r="J901" s="1">
        <v>-0.0693</v>
      </c>
      <c r="K901" s="1">
        <v>746.0</v>
      </c>
    </row>
    <row r="902">
      <c r="A902" s="1" t="s">
        <v>21</v>
      </c>
      <c r="B902" s="1" t="s">
        <v>1192</v>
      </c>
      <c r="C902" s="1" t="s">
        <v>54</v>
      </c>
      <c r="D902" s="1">
        <v>19.0</v>
      </c>
      <c r="E902" s="1">
        <v>437.0</v>
      </c>
      <c r="F902" s="1">
        <v>425.0</v>
      </c>
      <c r="G902" s="1">
        <v>1415.0</v>
      </c>
      <c r="H902" s="1">
        <v>0.3088</v>
      </c>
      <c r="I902" s="1">
        <v>0.3004</v>
      </c>
      <c r="J902" s="1">
        <v>0.0085</v>
      </c>
      <c r="K902" s="1">
        <v>721.0</v>
      </c>
    </row>
    <row r="903">
      <c r="A903" s="1" t="s">
        <v>21</v>
      </c>
      <c r="B903" s="1" t="s">
        <v>1192</v>
      </c>
      <c r="C903" s="1" t="s">
        <v>54</v>
      </c>
      <c r="D903" s="1">
        <v>20.0</v>
      </c>
      <c r="E903" s="1">
        <v>283.0</v>
      </c>
      <c r="F903" s="1">
        <v>363.0</v>
      </c>
      <c r="G903" s="1">
        <v>1415.0</v>
      </c>
      <c r="H903" s="1">
        <v>0.2</v>
      </c>
      <c r="I903" s="1">
        <v>0.2565</v>
      </c>
      <c r="J903" s="1">
        <v>-0.0565</v>
      </c>
      <c r="K903" s="1">
        <v>732.0</v>
      </c>
    </row>
    <row r="904">
      <c r="A904" s="1" t="s">
        <v>21</v>
      </c>
      <c r="B904" s="1" t="s">
        <v>1192</v>
      </c>
      <c r="C904" s="1" t="s">
        <v>54</v>
      </c>
      <c r="D904" s="1">
        <v>21.0</v>
      </c>
      <c r="E904" s="1">
        <v>194.0</v>
      </c>
      <c r="F904" s="1">
        <v>288.0</v>
      </c>
      <c r="G904" s="1">
        <v>1415.0</v>
      </c>
      <c r="H904" s="1">
        <v>0.1371</v>
      </c>
      <c r="I904" s="1">
        <v>0.2035</v>
      </c>
      <c r="J904" s="1">
        <v>-0.0664</v>
      </c>
      <c r="K904" s="1">
        <v>717.0</v>
      </c>
    </row>
    <row r="905">
      <c r="A905" s="1" t="s">
        <v>21</v>
      </c>
      <c r="B905" s="1" t="s">
        <v>1192</v>
      </c>
      <c r="C905" s="1" t="s">
        <v>47</v>
      </c>
      <c r="D905" s="1">
        <v>1.0</v>
      </c>
      <c r="E905" s="1">
        <v>2234.0</v>
      </c>
      <c r="F905" s="1">
        <v>1983.0</v>
      </c>
      <c r="G905" s="1">
        <v>1848.0</v>
      </c>
      <c r="H905" s="1">
        <v>1.2089</v>
      </c>
      <c r="I905" s="1">
        <v>1.0731</v>
      </c>
      <c r="J905" s="1">
        <v>0.1358</v>
      </c>
      <c r="K905" s="1">
        <v>804.0</v>
      </c>
    </row>
    <row r="906">
      <c r="A906" s="1" t="s">
        <v>21</v>
      </c>
      <c r="B906" s="1" t="s">
        <v>1192</v>
      </c>
      <c r="C906" s="1" t="s">
        <v>47</v>
      </c>
      <c r="D906" s="1">
        <v>2.0</v>
      </c>
      <c r="E906" s="1">
        <v>1385.0</v>
      </c>
      <c r="F906" s="1">
        <v>1628.0</v>
      </c>
      <c r="G906" s="1">
        <v>1848.0</v>
      </c>
      <c r="H906" s="1">
        <v>0.7495</v>
      </c>
      <c r="I906" s="1">
        <v>0.881</v>
      </c>
      <c r="J906" s="1">
        <v>-0.1315</v>
      </c>
      <c r="K906" s="1">
        <v>802.0</v>
      </c>
    </row>
    <row r="907">
      <c r="A907" s="1" t="s">
        <v>21</v>
      </c>
      <c r="B907" s="1" t="s">
        <v>1192</v>
      </c>
      <c r="C907" s="1" t="s">
        <v>47</v>
      </c>
      <c r="D907" s="1">
        <v>3.0</v>
      </c>
      <c r="E907" s="1">
        <v>1035.0</v>
      </c>
      <c r="F907" s="1">
        <v>1505.0</v>
      </c>
      <c r="G907" s="1">
        <v>1848.0</v>
      </c>
      <c r="H907" s="1">
        <v>0.5601</v>
      </c>
      <c r="I907" s="1">
        <v>0.8144</v>
      </c>
      <c r="J907" s="1">
        <v>-0.2543</v>
      </c>
      <c r="K907" s="1">
        <v>778.0</v>
      </c>
    </row>
    <row r="908">
      <c r="A908" s="1" t="s">
        <v>21</v>
      </c>
      <c r="B908" s="1" t="s">
        <v>1192</v>
      </c>
      <c r="C908" s="1" t="s">
        <v>47</v>
      </c>
      <c r="D908" s="1">
        <v>4.0</v>
      </c>
      <c r="E908" s="1">
        <v>1054.0</v>
      </c>
      <c r="F908" s="1">
        <v>1196.0</v>
      </c>
      <c r="G908" s="1">
        <v>1848.0</v>
      </c>
      <c r="H908" s="1">
        <v>0.5703</v>
      </c>
      <c r="I908" s="1">
        <v>0.6472</v>
      </c>
      <c r="J908" s="1">
        <v>-0.0768</v>
      </c>
      <c r="K908" s="1">
        <v>736.0</v>
      </c>
    </row>
    <row r="909">
      <c r="A909" s="1" t="s">
        <v>21</v>
      </c>
      <c r="B909" s="1" t="s">
        <v>1192</v>
      </c>
      <c r="C909" s="1" t="s">
        <v>47</v>
      </c>
      <c r="D909" s="1">
        <v>5.0</v>
      </c>
      <c r="E909" s="1">
        <v>1435.0</v>
      </c>
      <c r="F909" s="1">
        <v>1364.0</v>
      </c>
      <c r="G909" s="1">
        <v>1848.0</v>
      </c>
      <c r="H909" s="1">
        <v>0.7765</v>
      </c>
      <c r="I909" s="1">
        <v>0.7381</v>
      </c>
      <c r="J909" s="1">
        <v>0.0384</v>
      </c>
      <c r="K909" s="1">
        <v>735.0</v>
      </c>
    </row>
    <row r="910">
      <c r="A910" s="1" t="s">
        <v>21</v>
      </c>
      <c r="B910" s="1" t="s">
        <v>1192</v>
      </c>
      <c r="C910" s="1" t="s">
        <v>47</v>
      </c>
      <c r="D910" s="1">
        <v>6.0</v>
      </c>
      <c r="E910" s="1">
        <v>1122.0</v>
      </c>
      <c r="F910" s="1">
        <v>1324.0</v>
      </c>
      <c r="G910" s="1">
        <v>1848.0</v>
      </c>
      <c r="H910" s="1">
        <v>0.6071</v>
      </c>
      <c r="I910" s="1">
        <v>0.7165</v>
      </c>
      <c r="J910" s="1">
        <v>-0.1093</v>
      </c>
      <c r="K910" s="1">
        <v>711.0</v>
      </c>
    </row>
    <row r="911">
      <c r="A911" s="1" t="s">
        <v>21</v>
      </c>
      <c r="B911" s="1" t="s">
        <v>1192</v>
      </c>
      <c r="C911" s="1" t="s">
        <v>47</v>
      </c>
      <c r="D911" s="1">
        <v>7.0</v>
      </c>
      <c r="E911" s="1">
        <v>925.0</v>
      </c>
      <c r="F911" s="1">
        <v>1220.0</v>
      </c>
      <c r="G911" s="1">
        <v>1848.0</v>
      </c>
      <c r="H911" s="1">
        <v>0.5005</v>
      </c>
      <c r="I911" s="1">
        <v>0.6602</v>
      </c>
      <c r="J911" s="1">
        <v>-0.1596</v>
      </c>
      <c r="K911" s="1">
        <v>693.0</v>
      </c>
    </row>
    <row r="912">
      <c r="A912" s="1" t="s">
        <v>21</v>
      </c>
      <c r="B912" s="1" t="s">
        <v>1192</v>
      </c>
      <c r="C912" s="1" t="s">
        <v>47</v>
      </c>
      <c r="D912" s="1">
        <v>8.0</v>
      </c>
      <c r="E912" s="1">
        <v>2168.0</v>
      </c>
      <c r="F912" s="1">
        <v>2110.0</v>
      </c>
      <c r="G912" s="1">
        <v>1848.0</v>
      </c>
      <c r="H912" s="1">
        <v>1.1732</v>
      </c>
      <c r="I912" s="1">
        <v>1.1418</v>
      </c>
      <c r="J912" s="1">
        <v>0.0314</v>
      </c>
      <c r="K912" s="1">
        <v>832.0</v>
      </c>
    </row>
    <row r="913">
      <c r="A913" s="1" t="s">
        <v>21</v>
      </c>
      <c r="B913" s="1" t="s">
        <v>1192</v>
      </c>
      <c r="C913" s="1" t="s">
        <v>47</v>
      </c>
      <c r="D913" s="1">
        <v>9.0</v>
      </c>
      <c r="E913" s="1">
        <v>1237.0</v>
      </c>
      <c r="F913" s="1">
        <v>1423.0</v>
      </c>
      <c r="G913" s="1">
        <v>1848.0</v>
      </c>
      <c r="H913" s="1">
        <v>0.6694</v>
      </c>
      <c r="I913" s="1">
        <v>0.77</v>
      </c>
      <c r="J913" s="1">
        <v>-0.1006</v>
      </c>
      <c r="K913" s="1">
        <v>790.0</v>
      </c>
    </row>
    <row r="914">
      <c r="A914" s="1" t="s">
        <v>21</v>
      </c>
      <c r="B914" s="1" t="s">
        <v>1192</v>
      </c>
      <c r="C914" s="1" t="s">
        <v>47</v>
      </c>
      <c r="D914" s="1">
        <v>10.0</v>
      </c>
      <c r="E914" s="1">
        <v>963.0</v>
      </c>
      <c r="F914" s="1">
        <v>1293.0</v>
      </c>
      <c r="G914" s="1">
        <v>1848.0</v>
      </c>
      <c r="H914" s="1">
        <v>0.5211</v>
      </c>
      <c r="I914" s="1">
        <v>0.6997</v>
      </c>
      <c r="J914" s="1">
        <v>-0.1786</v>
      </c>
      <c r="K914" s="1">
        <v>787.0</v>
      </c>
    </row>
    <row r="915">
      <c r="A915" s="1" t="s">
        <v>21</v>
      </c>
      <c r="B915" s="1" t="s">
        <v>1192</v>
      </c>
      <c r="C915" s="1" t="s">
        <v>47</v>
      </c>
      <c r="D915" s="1">
        <v>11.0</v>
      </c>
      <c r="E915" s="1">
        <v>867.0</v>
      </c>
      <c r="F915" s="1">
        <v>1144.0</v>
      </c>
      <c r="G915" s="1">
        <v>1848.0</v>
      </c>
      <c r="H915" s="1">
        <v>0.4692</v>
      </c>
      <c r="I915" s="1">
        <v>0.619</v>
      </c>
      <c r="J915" s="1">
        <v>-0.1499</v>
      </c>
      <c r="K915" s="1">
        <v>728.0</v>
      </c>
    </row>
    <row r="916">
      <c r="A916" s="1" t="s">
        <v>21</v>
      </c>
      <c r="B916" s="1" t="s">
        <v>1192</v>
      </c>
      <c r="C916" s="1" t="s">
        <v>47</v>
      </c>
      <c r="D916" s="1">
        <v>12.0</v>
      </c>
      <c r="E916" s="1">
        <v>1364.0</v>
      </c>
      <c r="F916" s="1">
        <v>1372.0</v>
      </c>
      <c r="G916" s="1">
        <v>1848.0</v>
      </c>
      <c r="H916" s="1">
        <v>0.7381</v>
      </c>
      <c r="I916" s="1">
        <v>0.7424</v>
      </c>
      <c r="J916" s="1">
        <v>-0.0043</v>
      </c>
      <c r="K916" s="1">
        <v>739.0</v>
      </c>
    </row>
    <row r="917">
      <c r="A917" s="1" t="s">
        <v>21</v>
      </c>
      <c r="B917" s="1" t="s">
        <v>1192</v>
      </c>
      <c r="C917" s="1" t="s">
        <v>47</v>
      </c>
      <c r="D917" s="1">
        <v>13.0</v>
      </c>
      <c r="E917" s="1">
        <v>961.0</v>
      </c>
      <c r="F917" s="1">
        <v>1230.0</v>
      </c>
      <c r="G917" s="1">
        <v>1848.0</v>
      </c>
      <c r="H917" s="1">
        <v>0.52</v>
      </c>
      <c r="I917" s="1">
        <v>0.6656</v>
      </c>
      <c r="J917" s="1">
        <v>-0.1456</v>
      </c>
      <c r="K917" s="1">
        <v>735.0</v>
      </c>
    </row>
    <row r="918">
      <c r="A918" s="1" t="s">
        <v>21</v>
      </c>
      <c r="B918" s="1" t="s">
        <v>1192</v>
      </c>
      <c r="C918" s="1" t="s">
        <v>47</v>
      </c>
      <c r="D918" s="1">
        <v>14.0</v>
      </c>
      <c r="E918" s="1">
        <v>779.0</v>
      </c>
      <c r="F918" s="1">
        <v>1101.0</v>
      </c>
      <c r="G918" s="1">
        <v>1848.0</v>
      </c>
      <c r="H918" s="1">
        <v>0.4215</v>
      </c>
      <c r="I918" s="1">
        <v>0.5958</v>
      </c>
      <c r="J918" s="1">
        <v>-0.1742</v>
      </c>
      <c r="K918" s="1">
        <v>718.0</v>
      </c>
    </row>
    <row r="919">
      <c r="A919" s="1" t="s">
        <v>21</v>
      </c>
      <c r="B919" s="1" t="s">
        <v>1192</v>
      </c>
      <c r="C919" s="1" t="s">
        <v>47</v>
      </c>
      <c r="D919" s="1">
        <v>15.0</v>
      </c>
      <c r="E919" s="1">
        <v>2122.0</v>
      </c>
      <c r="F919" s="1">
        <v>1855.0</v>
      </c>
      <c r="G919" s="1">
        <v>1848.0</v>
      </c>
      <c r="H919" s="1">
        <v>1.1483</v>
      </c>
      <c r="I919" s="1">
        <v>1.0038</v>
      </c>
      <c r="J919" s="1">
        <v>0.1445</v>
      </c>
      <c r="K919" s="1">
        <v>846.0</v>
      </c>
    </row>
    <row r="920">
      <c r="A920" s="1" t="s">
        <v>21</v>
      </c>
      <c r="B920" s="1" t="s">
        <v>1192</v>
      </c>
      <c r="C920" s="1" t="s">
        <v>47</v>
      </c>
      <c r="D920" s="1">
        <v>16.0</v>
      </c>
      <c r="E920" s="1">
        <v>1214.0</v>
      </c>
      <c r="F920" s="1">
        <v>1393.0</v>
      </c>
      <c r="G920" s="1">
        <v>1848.0</v>
      </c>
      <c r="H920" s="1">
        <v>0.6569</v>
      </c>
      <c r="I920" s="1">
        <v>0.7538</v>
      </c>
      <c r="J920" s="1">
        <v>-0.0969</v>
      </c>
      <c r="K920" s="1">
        <v>816.0</v>
      </c>
    </row>
    <row r="921">
      <c r="A921" s="1" t="s">
        <v>21</v>
      </c>
      <c r="B921" s="1" t="s">
        <v>1192</v>
      </c>
      <c r="C921" s="1" t="s">
        <v>47</v>
      </c>
      <c r="D921" s="1">
        <v>17.0</v>
      </c>
      <c r="E921" s="1">
        <v>927.0</v>
      </c>
      <c r="F921" s="1">
        <v>1345.0</v>
      </c>
      <c r="G921" s="1">
        <v>1848.0</v>
      </c>
      <c r="H921" s="1">
        <v>0.5016</v>
      </c>
      <c r="I921" s="1">
        <v>0.7278</v>
      </c>
      <c r="J921" s="1">
        <v>-0.2262</v>
      </c>
      <c r="K921" s="1">
        <v>804.0</v>
      </c>
    </row>
    <row r="922">
      <c r="A922" s="1" t="s">
        <v>21</v>
      </c>
      <c r="B922" s="1" t="s">
        <v>1192</v>
      </c>
      <c r="C922" s="1" t="s">
        <v>47</v>
      </c>
      <c r="D922" s="1">
        <v>18.0</v>
      </c>
      <c r="E922" s="1">
        <v>694.0</v>
      </c>
      <c r="F922" s="1">
        <v>1054.0</v>
      </c>
      <c r="G922" s="1">
        <v>1848.0</v>
      </c>
      <c r="H922" s="1">
        <v>0.3755</v>
      </c>
      <c r="I922" s="1">
        <v>0.5703</v>
      </c>
      <c r="J922" s="1">
        <v>-0.1948</v>
      </c>
      <c r="K922" s="1">
        <v>746.0</v>
      </c>
    </row>
    <row r="923">
      <c r="A923" s="1" t="s">
        <v>21</v>
      </c>
      <c r="B923" s="1" t="s">
        <v>1192</v>
      </c>
      <c r="C923" s="1" t="s">
        <v>47</v>
      </c>
      <c r="D923" s="1">
        <v>19.0</v>
      </c>
      <c r="E923" s="1">
        <v>1144.0</v>
      </c>
      <c r="F923" s="1">
        <v>1135.0</v>
      </c>
      <c r="G923" s="1">
        <v>1848.0</v>
      </c>
      <c r="H923" s="1">
        <v>0.619</v>
      </c>
      <c r="I923" s="1">
        <v>0.6142</v>
      </c>
      <c r="J923" s="1">
        <v>0.0049</v>
      </c>
      <c r="K923" s="1">
        <v>721.0</v>
      </c>
    </row>
    <row r="924">
      <c r="A924" s="1" t="s">
        <v>21</v>
      </c>
      <c r="B924" s="1" t="s">
        <v>1192</v>
      </c>
      <c r="C924" s="1" t="s">
        <v>47</v>
      </c>
      <c r="D924" s="1">
        <v>20.0</v>
      </c>
      <c r="E924" s="1">
        <v>803.0</v>
      </c>
      <c r="F924" s="1">
        <v>1015.0</v>
      </c>
      <c r="G924" s="1">
        <v>1848.0</v>
      </c>
      <c r="H924" s="1">
        <v>0.4345</v>
      </c>
      <c r="I924" s="1">
        <v>0.5492</v>
      </c>
      <c r="J924" s="1">
        <v>-0.1147</v>
      </c>
      <c r="K924" s="1">
        <v>732.0</v>
      </c>
    </row>
    <row r="925">
      <c r="A925" s="1" t="s">
        <v>21</v>
      </c>
      <c r="B925" s="1" t="s">
        <v>1192</v>
      </c>
      <c r="C925" s="1" t="s">
        <v>47</v>
      </c>
      <c r="D925" s="1">
        <v>21.0</v>
      </c>
      <c r="E925" s="1">
        <v>687.0</v>
      </c>
      <c r="F925" s="1">
        <v>902.0</v>
      </c>
      <c r="G925" s="1">
        <v>1848.0</v>
      </c>
      <c r="H925" s="1">
        <v>0.3718</v>
      </c>
      <c r="I925" s="1">
        <v>0.4881</v>
      </c>
      <c r="J925" s="1">
        <v>-0.1163</v>
      </c>
      <c r="K925" s="1">
        <v>717.0</v>
      </c>
    </row>
    <row r="926">
      <c r="A926" s="1" t="s">
        <v>21</v>
      </c>
      <c r="B926" s="1" t="s">
        <v>1192</v>
      </c>
      <c r="C926" s="1" t="s">
        <v>48</v>
      </c>
      <c r="D926" s="1">
        <v>1.0</v>
      </c>
      <c r="E926" s="1">
        <v>1769.0</v>
      </c>
      <c r="F926" s="1">
        <v>1619.0</v>
      </c>
      <c r="G926" s="1">
        <v>1839.0</v>
      </c>
      <c r="H926" s="1">
        <v>0.9619</v>
      </c>
      <c r="I926" s="1">
        <v>0.8804</v>
      </c>
      <c r="J926" s="1">
        <v>0.0816</v>
      </c>
      <c r="K926" s="1">
        <v>804.0</v>
      </c>
    </row>
    <row r="927">
      <c r="A927" s="1" t="s">
        <v>21</v>
      </c>
      <c r="B927" s="1" t="s">
        <v>1192</v>
      </c>
      <c r="C927" s="1" t="s">
        <v>48</v>
      </c>
      <c r="D927" s="1">
        <v>2.0</v>
      </c>
      <c r="E927" s="1">
        <v>1207.0</v>
      </c>
      <c r="F927" s="1">
        <v>1359.0</v>
      </c>
      <c r="G927" s="1">
        <v>1839.0</v>
      </c>
      <c r="H927" s="1">
        <v>0.6563</v>
      </c>
      <c r="I927" s="1">
        <v>0.739</v>
      </c>
      <c r="J927" s="1">
        <v>-0.0827</v>
      </c>
      <c r="K927" s="1">
        <v>802.0</v>
      </c>
    </row>
    <row r="928">
      <c r="A928" s="1" t="s">
        <v>21</v>
      </c>
      <c r="B928" s="1" t="s">
        <v>1192</v>
      </c>
      <c r="C928" s="1" t="s">
        <v>48</v>
      </c>
      <c r="D928" s="1">
        <v>3.0</v>
      </c>
      <c r="E928" s="1">
        <v>872.0</v>
      </c>
      <c r="F928" s="1">
        <v>1195.0</v>
      </c>
      <c r="G928" s="1">
        <v>1839.0</v>
      </c>
      <c r="H928" s="1">
        <v>0.4742</v>
      </c>
      <c r="I928" s="1">
        <v>0.6498</v>
      </c>
      <c r="J928" s="1">
        <v>-0.1756</v>
      </c>
      <c r="K928" s="1">
        <v>778.0</v>
      </c>
    </row>
    <row r="929">
      <c r="A929" s="1" t="s">
        <v>21</v>
      </c>
      <c r="B929" s="1" t="s">
        <v>1192</v>
      </c>
      <c r="C929" s="1" t="s">
        <v>48</v>
      </c>
      <c r="D929" s="1">
        <v>4.0</v>
      </c>
      <c r="E929" s="1">
        <v>876.0</v>
      </c>
      <c r="F929" s="1">
        <v>964.0</v>
      </c>
      <c r="G929" s="1">
        <v>1839.0</v>
      </c>
      <c r="H929" s="1">
        <v>0.4763</v>
      </c>
      <c r="I929" s="1">
        <v>0.5242</v>
      </c>
      <c r="J929" s="1">
        <v>-0.0479</v>
      </c>
      <c r="K929" s="1">
        <v>736.0</v>
      </c>
    </row>
    <row r="930">
      <c r="A930" s="1" t="s">
        <v>21</v>
      </c>
      <c r="B930" s="1" t="s">
        <v>1192</v>
      </c>
      <c r="C930" s="1" t="s">
        <v>48</v>
      </c>
      <c r="D930" s="1">
        <v>5.0</v>
      </c>
      <c r="E930" s="1">
        <v>1578.0</v>
      </c>
      <c r="F930" s="1">
        <v>1315.0</v>
      </c>
      <c r="G930" s="1">
        <v>1839.0</v>
      </c>
      <c r="H930" s="1">
        <v>0.8581</v>
      </c>
      <c r="I930" s="1">
        <v>0.7151</v>
      </c>
      <c r="J930" s="1">
        <v>0.143</v>
      </c>
      <c r="K930" s="1">
        <v>735.0</v>
      </c>
    </row>
    <row r="931">
      <c r="A931" s="1" t="s">
        <v>21</v>
      </c>
      <c r="B931" s="1" t="s">
        <v>1192</v>
      </c>
      <c r="C931" s="1" t="s">
        <v>48</v>
      </c>
      <c r="D931" s="1">
        <v>6.0</v>
      </c>
      <c r="E931" s="1">
        <v>1181.0</v>
      </c>
      <c r="F931" s="1">
        <v>1322.0</v>
      </c>
      <c r="G931" s="1">
        <v>1839.0</v>
      </c>
      <c r="H931" s="1">
        <v>0.6422</v>
      </c>
      <c r="I931" s="1">
        <v>0.7189</v>
      </c>
      <c r="J931" s="1">
        <v>-0.0767</v>
      </c>
      <c r="K931" s="1">
        <v>711.0</v>
      </c>
    </row>
    <row r="932">
      <c r="A932" s="1" t="s">
        <v>21</v>
      </c>
      <c r="B932" s="1" t="s">
        <v>1192</v>
      </c>
      <c r="C932" s="1" t="s">
        <v>48</v>
      </c>
      <c r="D932" s="1">
        <v>7.0</v>
      </c>
      <c r="E932" s="1">
        <v>837.0</v>
      </c>
      <c r="F932" s="1">
        <v>1126.0</v>
      </c>
      <c r="G932" s="1">
        <v>1839.0</v>
      </c>
      <c r="H932" s="1">
        <v>0.4551</v>
      </c>
      <c r="I932" s="1">
        <v>0.6123</v>
      </c>
      <c r="J932" s="1">
        <v>-0.1572</v>
      </c>
      <c r="K932" s="1">
        <v>693.0</v>
      </c>
    </row>
    <row r="933">
      <c r="A933" s="1" t="s">
        <v>21</v>
      </c>
      <c r="B933" s="1" t="s">
        <v>1192</v>
      </c>
      <c r="C933" s="1" t="s">
        <v>48</v>
      </c>
      <c r="D933" s="1">
        <v>8.0</v>
      </c>
      <c r="E933" s="1">
        <v>1989.0</v>
      </c>
      <c r="F933" s="1">
        <v>1840.0</v>
      </c>
      <c r="G933" s="1">
        <v>1839.0</v>
      </c>
      <c r="H933" s="1">
        <v>1.0816</v>
      </c>
      <c r="I933" s="1">
        <v>1.0005</v>
      </c>
      <c r="J933" s="1">
        <v>0.081</v>
      </c>
      <c r="K933" s="1">
        <v>832.0</v>
      </c>
    </row>
    <row r="934">
      <c r="A934" s="1" t="s">
        <v>21</v>
      </c>
      <c r="B934" s="1" t="s">
        <v>1192</v>
      </c>
      <c r="C934" s="1" t="s">
        <v>48</v>
      </c>
      <c r="D934" s="1">
        <v>9.0</v>
      </c>
      <c r="E934" s="1">
        <v>1205.0</v>
      </c>
      <c r="F934" s="1">
        <v>1236.0</v>
      </c>
      <c r="G934" s="1">
        <v>1839.0</v>
      </c>
      <c r="H934" s="1">
        <v>0.6552</v>
      </c>
      <c r="I934" s="1">
        <v>0.6721</v>
      </c>
      <c r="J934" s="1">
        <v>-0.0169</v>
      </c>
      <c r="K934" s="1">
        <v>790.0</v>
      </c>
    </row>
    <row r="935">
      <c r="A935" s="1" t="s">
        <v>21</v>
      </c>
      <c r="B935" s="1" t="s">
        <v>1192</v>
      </c>
      <c r="C935" s="1" t="s">
        <v>48</v>
      </c>
      <c r="D935" s="1">
        <v>10.0</v>
      </c>
      <c r="E935" s="1">
        <v>943.0</v>
      </c>
      <c r="F935" s="1">
        <v>1165.0</v>
      </c>
      <c r="G935" s="1">
        <v>1839.0</v>
      </c>
      <c r="H935" s="1">
        <v>0.5128</v>
      </c>
      <c r="I935" s="1">
        <v>0.6335</v>
      </c>
      <c r="J935" s="1">
        <v>-0.1207</v>
      </c>
      <c r="K935" s="1">
        <v>787.0</v>
      </c>
    </row>
    <row r="936">
      <c r="A936" s="1" t="s">
        <v>21</v>
      </c>
      <c r="B936" s="1" t="s">
        <v>1192</v>
      </c>
      <c r="C936" s="1" t="s">
        <v>48</v>
      </c>
      <c r="D936" s="1">
        <v>11.0</v>
      </c>
      <c r="E936" s="1">
        <v>905.0</v>
      </c>
      <c r="F936" s="1">
        <v>1019.0</v>
      </c>
      <c r="G936" s="1">
        <v>1839.0</v>
      </c>
      <c r="H936" s="1">
        <v>0.4921</v>
      </c>
      <c r="I936" s="1">
        <v>0.5541</v>
      </c>
      <c r="J936" s="1">
        <v>-0.062</v>
      </c>
      <c r="K936" s="1">
        <v>728.0</v>
      </c>
    </row>
    <row r="937">
      <c r="A937" s="1" t="s">
        <v>21</v>
      </c>
      <c r="B937" s="1" t="s">
        <v>1192</v>
      </c>
      <c r="C937" s="1" t="s">
        <v>48</v>
      </c>
      <c r="D937" s="1">
        <v>12.0</v>
      </c>
      <c r="E937" s="1">
        <v>1579.0</v>
      </c>
      <c r="F937" s="1">
        <v>1411.0</v>
      </c>
      <c r="G937" s="1">
        <v>1839.0</v>
      </c>
      <c r="H937" s="1">
        <v>0.8586</v>
      </c>
      <c r="I937" s="1">
        <v>0.7673</v>
      </c>
      <c r="J937" s="1">
        <v>0.0914</v>
      </c>
      <c r="K937" s="1">
        <v>739.0</v>
      </c>
    </row>
    <row r="938">
      <c r="A938" s="1" t="s">
        <v>21</v>
      </c>
      <c r="B938" s="1" t="s">
        <v>1192</v>
      </c>
      <c r="C938" s="1" t="s">
        <v>48</v>
      </c>
      <c r="D938" s="1">
        <v>13.0</v>
      </c>
      <c r="E938" s="1">
        <v>1067.0</v>
      </c>
      <c r="F938" s="1">
        <v>1250.0</v>
      </c>
      <c r="G938" s="1">
        <v>1839.0</v>
      </c>
      <c r="H938" s="1">
        <v>0.5802</v>
      </c>
      <c r="I938" s="1">
        <v>0.6797</v>
      </c>
      <c r="J938" s="1">
        <v>-0.0995</v>
      </c>
      <c r="K938" s="1">
        <v>735.0</v>
      </c>
    </row>
    <row r="939">
      <c r="A939" s="1" t="s">
        <v>21</v>
      </c>
      <c r="B939" s="1" t="s">
        <v>1192</v>
      </c>
      <c r="C939" s="1" t="s">
        <v>48</v>
      </c>
      <c r="D939" s="1">
        <v>14.0</v>
      </c>
      <c r="E939" s="1">
        <v>811.0</v>
      </c>
      <c r="F939" s="1">
        <v>1082.0</v>
      </c>
      <c r="G939" s="1">
        <v>1839.0</v>
      </c>
      <c r="H939" s="1">
        <v>0.441</v>
      </c>
      <c r="I939" s="1">
        <v>0.5884</v>
      </c>
      <c r="J939" s="1">
        <v>-0.1474</v>
      </c>
      <c r="K939" s="1">
        <v>718.0</v>
      </c>
    </row>
    <row r="940">
      <c r="A940" s="1" t="s">
        <v>21</v>
      </c>
      <c r="B940" s="1" t="s">
        <v>1192</v>
      </c>
      <c r="C940" s="1" t="s">
        <v>48</v>
      </c>
      <c r="D940" s="1">
        <v>15.0</v>
      </c>
      <c r="E940" s="1">
        <v>1912.0</v>
      </c>
      <c r="F940" s="1">
        <v>1658.0</v>
      </c>
      <c r="G940" s="1">
        <v>1839.0</v>
      </c>
      <c r="H940" s="1">
        <v>1.0397</v>
      </c>
      <c r="I940" s="1">
        <v>0.9016</v>
      </c>
      <c r="J940" s="1">
        <v>0.1381</v>
      </c>
      <c r="K940" s="1">
        <v>846.0</v>
      </c>
    </row>
    <row r="941">
      <c r="A941" s="1" t="s">
        <v>21</v>
      </c>
      <c r="B941" s="1" t="s">
        <v>1192</v>
      </c>
      <c r="C941" s="1" t="s">
        <v>48</v>
      </c>
      <c r="D941" s="1">
        <v>16.0</v>
      </c>
      <c r="E941" s="1">
        <v>1139.0</v>
      </c>
      <c r="F941" s="1">
        <v>1233.0</v>
      </c>
      <c r="G941" s="1">
        <v>1839.0</v>
      </c>
      <c r="H941" s="1">
        <v>0.6194</v>
      </c>
      <c r="I941" s="1">
        <v>0.6705</v>
      </c>
      <c r="J941" s="1">
        <v>-0.0511</v>
      </c>
      <c r="K941" s="1">
        <v>816.0</v>
      </c>
    </row>
    <row r="942">
      <c r="A942" s="1" t="s">
        <v>21</v>
      </c>
      <c r="B942" s="1" t="s">
        <v>1192</v>
      </c>
      <c r="C942" s="1" t="s">
        <v>48</v>
      </c>
      <c r="D942" s="1">
        <v>17.0</v>
      </c>
      <c r="E942" s="1">
        <v>869.0</v>
      </c>
      <c r="F942" s="1">
        <v>1174.0</v>
      </c>
      <c r="G942" s="1">
        <v>1839.0</v>
      </c>
      <c r="H942" s="1">
        <v>0.4725</v>
      </c>
      <c r="I942" s="1">
        <v>0.6384</v>
      </c>
      <c r="J942" s="1">
        <v>-0.1659</v>
      </c>
      <c r="K942" s="1">
        <v>804.0</v>
      </c>
    </row>
    <row r="943">
      <c r="A943" s="1" t="s">
        <v>21</v>
      </c>
      <c r="B943" s="1" t="s">
        <v>1192</v>
      </c>
      <c r="C943" s="1" t="s">
        <v>48</v>
      </c>
      <c r="D943" s="1">
        <v>18.0</v>
      </c>
      <c r="E943" s="1">
        <v>694.0</v>
      </c>
      <c r="F943" s="1">
        <v>876.0</v>
      </c>
      <c r="G943" s="1">
        <v>1839.0</v>
      </c>
      <c r="H943" s="1">
        <v>0.3774</v>
      </c>
      <c r="I943" s="1">
        <v>0.4763</v>
      </c>
      <c r="J943" s="1">
        <v>-0.099</v>
      </c>
      <c r="K943" s="1">
        <v>746.0</v>
      </c>
    </row>
    <row r="944">
      <c r="A944" s="1" t="s">
        <v>21</v>
      </c>
      <c r="B944" s="1" t="s">
        <v>1192</v>
      </c>
      <c r="C944" s="1" t="s">
        <v>48</v>
      </c>
      <c r="D944" s="1">
        <v>19.0</v>
      </c>
      <c r="E944" s="1">
        <v>1142.0</v>
      </c>
      <c r="F944" s="1">
        <v>1093.0</v>
      </c>
      <c r="G944" s="1">
        <v>1839.0</v>
      </c>
      <c r="H944" s="1">
        <v>0.621</v>
      </c>
      <c r="I944" s="1">
        <v>0.5943</v>
      </c>
      <c r="J944" s="1">
        <v>0.0266</v>
      </c>
      <c r="K944" s="1">
        <v>721.0</v>
      </c>
    </row>
    <row r="945">
      <c r="A945" s="1" t="s">
        <v>21</v>
      </c>
      <c r="B945" s="1" t="s">
        <v>1192</v>
      </c>
      <c r="C945" s="1" t="s">
        <v>48</v>
      </c>
      <c r="D945" s="1">
        <v>20.0</v>
      </c>
      <c r="E945" s="1">
        <v>827.0</v>
      </c>
      <c r="F945" s="1">
        <v>982.0</v>
      </c>
      <c r="G945" s="1">
        <v>1839.0</v>
      </c>
      <c r="H945" s="1">
        <v>0.4497</v>
      </c>
      <c r="I945" s="1">
        <v>0.534</v>
      </c>
      <c r="J945" s="1">
        <v>-0.0843</v>
      </c>
      <c r="K945" s="1">
        <v>732.0</v>
      </c>
    </row>
    <row r="946">
      <c r="A946" s="1" t="s">
        <v>21</v>
      </c>
      <c r="B946" s="1" t="s">
        <v>1192</v>
      </c>
      <c r="C946" s="1" t="s">
        <v>48</v>
      </c>
      <c r="D946" s="1">
        <v>21.0</v>
      </c>
      <c r="E946" s="1">
        <v>672.0</v>
      </c>
      <c r="F946" s="1">
        <v>881.0</v>
      </c>
      <c r="G946" s="1">
        <v>1839.0</v>
      </c>
      <c r="H946" s="1">
        <v>0.3654</v>
      </c>
      <c r="I946" s="1">
        <v>0.4791</v>
      </c>
      <c r="J946" s="1">
        <v>-0.1136</v>
      </c>
      <c r="K946" s="1">
        <v>717.0</v>
      </c>
    </row>
    <row r="947">
      <c r="A947" s="1" t="s">
        <v>21</v>
      </c>
      <c r="B947" s="1" t="s">
        <v>1192</v>
      </c>
      <c r="C947" s="1" t="s">
        <v>50</v>
      </c>
      <c r="D947" s="1">
        <v>1.0</v>
      </c>
      <c r="E947" s="1">
        <v>820.0</v>
      </c>
      <c r="F947" s="1">
        <v>821.0</v>
      </c>
      <c r="G947" s="1">
        <v>1700.0</v>
      </c>
      <c r="H947" s="1">
        <v>0.4824</v>
      </c>
      <c r="I947" s="1">
        <v>0.4829</v>
      </c>
      <c r="J947" s="1">
        <v>-6.0E-4</v>
      </c>
      <c r="K947" s="1">
        <v>804.0</v>
      </c>
    </row>
    <row r="948">
      <c r="A948" s="1" t="s">
        <v>21</v>
      </c>
      <c r="B948" s="1" t="s">
        <v>1192</v>
      </c>
      <c r="C948" s="1" t="s">
        <v>50</v>
      </c>
      <c r="D948" s="1">
        <v>2.0</v>
      </c>
      <c r="E948" s="1">
        <v>563.0</v>
      </c>
      <c r="F948" s="1">
        <v>646.0</v>
      </c>
      <c r="G948" s="1">
        <v>1700.0</v>
      </c>
      <c r="H948" s="1">
        <v>0.3312</v>
      </c>
      <c r="I948" s="1">
        <v>0.38</v>
      </c>
      <c r="J948" s="1">
        <v>-0.0488</v>
      </c>
      <c r="K948" s="1">
        <v>802.0</v>
      </c>
    </row>
    <row r="949">
      <c r="A949" s="1" t="s">
        <v>21</v>
      </c>
      <c r="B949" s="1" t="s">
        <v>1192</v>
      </c>
      <c r="C949" s="1" t="s">
        <v>50</v>
      </c>
      <c r="D949" s="1">
        <v>3.0</v>
      </c>
      <c r="E949" s="1">
        <v>565.0</v>
      </c>
      <c r="F949" s="1">
        <v>714.0</v>
      </c>
      <c r="G949" s="1">
        <v>1700.0</v>
      </c>
      <c r="H949" s="1">
        <v>0.3324</v>
      </c>
      <c r="I949" s="1">
        <v>0.42</v>
      </c>
      <c r="J949" s="1">
        <v>-0.0876</v>
      </c>
      <c r="K949" s="1">
        <v>778.0</v>
      </c>
    </row>
    <row r="950">
      <c r="A950" s="1" t="s">
        <v>21</v>
      </c>
      <c r="B950" s="1" t="s">
        <v>1192</v>
      </c>
      <c r="C950" s="1" t="s">
        <v>50</v>
      </c>
      <c r="D950" s="1">
        <v>4.0</v>
      </c>
      <c r="E950" s="1">
        <v>611.0</v>
      </c>
      <c r="F950" s="1">
        <v>635.0</v>
      </c>
      <c r="G950" s="1">
        <v>1700.0</v>
      </c>
      <c r="H950" s="1">
        <v>0.3594</v>
      </c>
      <c r="I950" s="1">
        <v>0.3735</v>
      </c>
      <c r="J950" s="1">
        <v>-0.0141</v>
      </c>
      <c r="K950" s="1">
        <v>736.0</v>
      </c>
    </row>
    <row r="951">
      <c r="A951" s="1" t="s">
        <v>21</v>
      </c>
      <c r="B951" s="1" t="s">
        <v>1192</v>
      </c>
      <c r="C951" s="1" t="s">
        <v>50</v>
      </c>
      <c r="D951" s="1">
        <v>5.0</v>
      </c>
      <c r="E951" s="1">
        <v>982.0</v>
      </c>
      <c r="F951" s="1">
        <v>794.0</v>
      </c>
      <c r="G951" s="1">
        <v>1700.0</v>
      </c>
      <c r="H951" s="1">
        <v>0.5776</v>
      </c>
      <c r="I951" s="1">
        <v>0.4671</v>
      </c>
      <c r="J951" s="1">
        <v>0.1106</v>
      </c>
      <c r="K951" s="1">
        <v>735.0</v>
      </c>
    </row>
    <row r="952">
      <c r="A952" s="1" t="s">
        <v>21</v>
      </c>
      <c r="B952" s="1" t="s">
        <v>1192</v>
      </c>
      <c r="C952" s="1" t="s">
        <v>50</v>
      </c>
      <c r="D952" s="1">
        <v>6.0</v>
      </c>
      <c r="E952" s="1">
        <v>605.0</v>
      </c>
      <c r="F952" s="1">
        <v>750.0</v>
      </c>
      <c r="G952" s="1">
        <v>1700.0</v>
      </c>
      <c r="H952" s="1">
        <v>0.3559</v>
      </c>
      <c r="I952" s="1">
        <v>0.4412</v>
      </c>
      <c r="J952" s="1">
        <v>-0.0853</v>
      </c>
      <c r="K952" s="1">
        <v>711.0</v>
      </c>
    </row>
    <row r="953">
      <c r="A953" s="1" t="s">
        <v>21</v>
      </c>
      <c r="B953" s="1" t="s">
        <v>1192</v>
      </c>
      <c r="C953" s="1" t="s">
        <v>50</v>
      </c>
      <c r="D953" s="1">
        <v>7.0</v>
      </c>
      <c r="E953" s="1">
        <v>422.0</v>
      </c>
      <c r="F953" s="1">
        <v>590.0</v>
      </c>
      <c r="G953" s="1">
        <v>1700.0</v>
      </c>
      <c r="H953" s="1">
        <v>0.2482</v>
      </c>
      <c r="I953" s="1">
        <v>0.3471</v>
      </c>
      <c r="J953" s="1">
        <v>-0.0988</v>
      </c>
      <c r="K953" s="1">
        <v>693.0</v>
      </c>
    </row>
    <row r="954">
      <c r="A954" s="1" t="s">
        <v>21</v>
      </c>
      <c r="B954" s="1" t="s">
        <v>1192</v>
      </c>
      <c r="C954" s="1" t="s">
        <v>50</v>
      </c>
      <c r="D954" s="1">
        <v>8.0</v>
      </c>
      <c r="E954" s="1">
        <v>841.0</v>
      </c>
      <c r="F954" s="1">
        <v>916.0</v>
      </c>
      <c r="G954" s="1">
        <v>1700.0</v>
      </c>
      <c r="H954" s="1">
        <v>0.4947</v>
      </c>
      <c r="I954" s="1">
        <v>0.5388</v>
      </c>
      <c r="J954" s="1">
        <v>-0.0441</v>
      </c>
      <c r="K954" s="1">
        <v>832.0</v>
      </c>
    </row>
    <row r="955">
      <c r="A955" s="1" t="s">
        <v>21</v>
      </c>
      <c r="B955" s="1" t="s">
        <v>1192</v>
      </c>
      <c r="C955" s="1" t="s">
        <v>50</v>
      </c>
      <c r="D955" s="1">
        <v>9.0</v>
      </c>
      <c r="E955" s="1">
        <v>637.0</v>
      </c>
      <c r="F955" s="1">
        <v>680.0</v>
      </c>
      <c r="G955" s="1">
        <v>1700.0</v>
      </c>
      <c r="H955" s="1">
        <v>0.3747</v>
      </c>
      <c r="I955" s="1">
        <v>0.4</v>
      </c>
      <c r="J955" s="1">
        <v>-0.0253</v>
      </c>
      <c r="K955" s="1">
        <v>790.0</v>
      </c>
    </row>
    <row r="956">
      <c r="A956" s="1" t="s">
        <v>21</v>
      </c>
      <c r="B956" s="1" t="s">
        <v>1192</v>
      </c>
      <c r="C956" s="1" t="s">
        <v>50</v>
      </c>
      <c r="D956" s="1">
        <v>10.0</v>
      </c>
      <c r="E956" s="1">
        <v>647.0</v>
      </c>
      <c r="F956" s="1">
        <v>744.0</v>
      </c>
      <c r="G956" s="1">
        <v>1700.0</v>
      </c>
      <c r="H956" s="1">
        <v>0.3806</v>
      </c>
      <c r="I956" s="1">
        <v>0.4376</v>
      </c>
      <c r="J956" s="1">
        <v>-0.0571</v>
      </c>
      <c r="K956" s="1">
        <v>787.0</v>
      </c>
    </row>
    <row r="957">
      <c r="A957" s="1" t="s">
        <v>21</v>
      </c>
      <c r="B957" s="1" t="s">
        <v>1192</v>
      </c>
      <c r="C957" s="1" t="s">
        <v>50</v>
      </c>
      <c r="D957" s="1">
        <v>11.0</v>
      </c>
      <c r="E957" s="1">
        <v>621.0</v>
      </c>
      <c r="F957" s="1">
        <v>677.0</v>
      </c>
      <c r="G957" s="1">
        <v>1700.0</v>
      </c>
      <c r="H957" s="1">
        <v>0.3653</v>
      </c>
      <c r="I957" s="1">
        <v>0.3982</v>
      </c>
      <c r="J957" s="1">
        <v>-0.0329</v>
      </c>
      <c r="K957" s="1">
        <v>728.0</v>
      </c>
    </row>
    <row r="958">
      <c r="A958" s="1" t="s">
        <v>21</v>
      </c>
      <c r="B958" s="1" t="s">
        <v>1192</v>
      </c>
      <c r="C958" s="1" t="s">
        <v>50</v>
      </c>
      <c r="D958" s="1">
        <v>12.0</v>
      </c>
      <c r="E958" s="1">
        <v>989.0</v>
      </c>
      <c r="F958" s="1">
        <v>849.0</v>
      </c>
      <c r="G958" s="1">
        <v>1700.0</v>
      </c>
      <c r="H958" s="1">
        <v>0.5818</v>
      </c>
      <c r="I958" s="1">
        <v>0.4994</v>
      </c>
      <c r="J958" s="1">
        <v>0.0824</v>
      </c>
      <c r="K958" s="1">
        <v>739.0</v>
      </c>
    </row>
    <row r="959">
      <c r="A959" s="1" t="s">
        <v>21</v>
      </c>
      <c r="B959" s="1" t="s">
        <v>1192</v>
      </c>
      <c r="C959" s="1" t="s">
        <v>50</v>
      </c>
      <c r="D959" s="1">
        <v>13.0</v>
      </c>
      <c r="E959" s="1">
        <v>559.0</v>
      </c>
      <c r="F959" s="1">
        <v>743.0</v>
      </c>
      <c r="G959" s="1">
        <v>1700.0</v>
      </c>
      <c r="H959" s="1">
        <v>0.3288</v>
      </c>
      <c r="I959" s="1">
        <v>0.4371</v>
      </c>
      <c r="J959" s="1">
        <v>-0.1082</v>
      </c>
      <c r="K959" s="1">
        <v>735.0</v>
      </c>
    </row>
    <row r="960">
      <c r="A960" s="1" t="s">
        <v>21</v>
      </c>
      <c r="B960" s="1" t="s">
        <v>1192</v>
      </c>
      <c r="C960" s="1" t="s">
        <v>50</v>
      </c>
      <c r="D960" s="1">
        <v>14.0</v>
      </c>
      <c r="E960" s="1">
        <v>405.0</v>
      </c>
      <c r="F960" s="1">
        <v>613.0</v>
      </c>
      <c r="G960" s="1">
        <v>1700.0</v>
      </c>
      <c r="H960" s="1">
        <v>0.2382</v>
      </c>
      <c r="I960" s="1">
        <v>0.3606</v>
      </c>
      <c r="J960" s="1">
        <v>-0.1224</v>
      </c>
      <c r="K960" s="1">
        <v>718.0</v>
      </c>
    </row>
    <row r="961">
      <c r="A961" s="1" t="s">
        <v>21</v>
      </c>
      <c r="B961" s="1" t="s">
        <v>1192</v>
      </c>
      <c r="C961" s="1" t="s">
        <v>50</v>
      </c>
      <c r="D961" s="1">
        <v>15.0</v>
      </c>
      <c r="E961" s="1">
        <v>806.0</v>
      </c>
      <c r="F961" s="1">
        <v>851.0</v>
      </c>
      <c r="G961" s="1">
        <v>1700.0</v>
      </c>
      <c r="H961" s="1">
        <v>0.4741</v>
      </c>
      <c r="I961" s="1">
        <v>0.5006</v>
      </c>
      <c r="J961" s="1">
        <v>-0.0265</v>
      </c>
      <c r="K961" s="1">
        <v>846.0</v>
      </c>
    </row>
    <row r="962">
      <c r="A962" s="1" t="s">
        <v>21</v>
      </c>
      <c r="B962" s="1" t="s">
        <v>1192</v>
      </c>
      <c r="C962" s="1" t="s">
        <v>50</v>
      </c>
      <c r="D962" s="1">
        <v>16.0</v>
      </c>
      <c r="E962" s="1">
        <v>529.0</v>
      </c>
      <c r="F962" s="1">
        <v>670.0</v>
      </c>
      <c r="G962" s="1">
        <v>1700.0</v>
      </c>
      <c r="H962" s="1">
        <v>0.3112</v>
      </c>
      <c r="I962" s="1">
        <v>0.3941</v>
      </c>
      <c r="J962" s="1">
        <v>-0.0829</v>
      </c>
      <c r="K962" s="1">
        <v>816.0</v>
      </c>
    </row>
    <row r="963">
      <c r="A963" s="1" t="s">
        <v>21</v>
      </c>
      <c r="B963" s="1" t="s">
        <v>1192</v>
      </c>
      <c r="C963" s="1" t="s">
        <v>50</v>
      </c>
      <c r="D963" s="1">
        <v>17.0</v>
      </c>
      <c r="E963" s="1">
        <v>542.0</v>
      </c>
      <c r="F963" s="1">
        <v>720.0</v>
      </c>
      <c r="G963" s="1">
        <v>1700.0</v>
      </c>
      <c r="H963" s="1">
        <v>0.3188</v>
      </c>
      <c r="I963" s="1">
        <v>0.4235</v>
      </c>
      <c r="J963" s="1">
        <v>-0.1047</v>
      </c>
      <c r="K963" s="1">
        <v>804.0</v>
      </c>
    </row>
    <row r="964">
      <c r="A964" s="1" t="s">
        <v>21</v>
      </c>
      <c r="B964" s="1" t="s">
        <v>1192</v>
      </c>
      <c r="C964" s="1" t="s">
        <v>50</v>
      </c>
      <c r="D964" s="1">
        <v>18.0</v>
      </c>
      <c r="E964" s="1">
        <v>517.0</v>
      </c>
      <c r="F964" s="1">
        <v>683.0</v>
      </c>
      <c r="G964" s="1">
        <v>1700.0</v>
      </c>
      <c r="H964" s="1">
        <v>0.3041</v>
      </c>
      <c r="I964" s="1">
        <v>0.4018</v>
      </c>
      <c r="J964" s="1">
        <v>-0.0976</v>
      </c>
      <c r="K964" s="1">
        <v>746.0</v>
      </c>
    </row>
    <row r="965">
      <c r="A965" s="1" t="s">
        <v>21</v>
      </c>
      <c r="B965" s="1" t="s">
        <v>1192</v>
      </c>
      <c r="C965" s="1" t="s">
        <v>50</v>
      </c>
      <c r="D965" s="1">
        <v>19.0</v>
      </c>
      <c r="E965" s="1">
        <v>860.0</v>
      </c>
      <c r="F965" s="1">
        <v>776.0</v>
      </c>
      <c r="G965" s="1">
        <v>1700.0</v>
      </c>
      <c r="H965" s="1">
        <v>0.5059</v>
      </c>
      <c r="I965" s="1">
        <v>0.4565</v>
      </c>
      <c r="J965" s="1">
        <v>0.0494</v>
      </c>
      <c r="K965" s="1">
        <v>721.0</v>
      </c>
    </row>
    <row r="966">
      <c r="A966" s="1" t="s">
        <v>21</v>
      </c>
      <c r="B966" s="1" t="s">
        <v>1192</v>
      </c>
      <c r="C966" s="1" t="s">
        <v>50</v>
      </c>
      <c r="D966" s="1">
        <v>20.0</v>
      </c>
      <c r="E966" s="1">
        <v>495.0</v>
      </c>
      <c r="F966" s="1">
        <v>636.0</v>
      </c>
      <c r="G966" s="1">
        <v>1700.0</v>
      </c>
      <c r="H966" s="1">
        <v>0.2912</v>
      </c>
      <c r="I966" s="1">
        <v>0.3741</v>
      </c>
      <c r="J966" s="1">
        <v>-0.0829</v>
      </c>
      <c r="K966" s="1">
        <v>732.0</v>
      </c>
    </row>
    <row r="967">
      <c r="A967" s="1" t="s">
        <v>21</v>
      </c>
      <c r="B967" s="1" t="s">
        <v>1192</v>
      </c>
      <c r="C967" s="1" t="s">
        <v>50</v>
      </c>
      <c r="D967" s="1">
        <v>21.0</v>
      </c>
      <c r="E967" s="1">
        <v>402.0</v>
      </c>
      <c r="F967" s="1">
        <v>590.0</v>
      </c>
      <c r="G967" s="1">
        <v>1700.0</v>
      </c>
      <c r="H967" s="1">
        <v>0.2365</v>
      </c>
      <c r="I967" s="1">
        <v>0.3471</v>
      </c>
      <c r="J967" s="1">
        <v>-0.1106</v>
      </c>
      <c r="K967" s="1">
        <v>717.0</v>
      </c>
    </row>
    <row r="968">
      <c r="A968" s="1" t="s">
        <v>21</v>
      </c>
      <c r="B968" s="1" t="s">
        <v>1192</v>
      </c>
      <c r="C968" s="1" t="s">
        <v>1209</v>
      </c>
      <c r="D968" s="1">
        <v>1.0</v>
      </c>
      <c r="E968" s="1">
        <v>1170.0</v>
      </c>
      <c r="F968" s="1">
        <v>1442.0</v>
      </c>
      <c r="G968" s="1">
        <v>578.0</v>
      </c>
      <c r="H968" s="1">
        <v>2.0242</v>
      </c>
      <c r="I968" s="1">
        <v>2.4948</v>
      </c>
      <c r="J968" s="1">
        <v>-0.4706</v>
      </c>
      <c r="K968" s="1">
        <v>804.0</v>
      </c>
    </row>
    <row r="969">
      <c r="A969" s="1" t="s">
        <v>21</v>
      </c>
      <c r="B969" s="1" t="s">
        <v>1192</v>
      </c>
      <c r="C969" s="1" t="s">
        <v>1209</v>
      </c>
      <c r="D969" s="1">
        <v>2.0</v>
      </c>
      <c r="E969" s="1">
        <v>345.0</v>
      </c>
      <c r="F969" s="1">
        <v>999.0</v>
      </c>
      <c r="G969" s="1">
        <v>578.0</v>
      </c>
      <c r="H969" s="1">
        <v>0.5969</v>
      </c>
      <c r="I969" s="1">
        <v>1.7284</v>
      </c>
      <c r="J969" s="1">
        <v>-1.1315</v>
      </c>
      <c r="K969" s="1">
        <v>802.0</v>
      </c>
    </row>
    <row r="970">
      <c r="A970" s="1" t="s">
        <v>21</v>
      </c>
      <c r="B970" s="1" t="s">
        <v>1192</v>
      </c>
      <c r="C970" s="1" t="s">
        <v>1209</v>
      </c>
      <c r="D970" s="1">
        <v>3.0</v>
      </c>
      <c r="E970" s="1">
        <v>430.0</v>
      </c>
      <c r="F970" s="1">
        <v>1084.0</v>
      </c>
      <c r="G970" s="1">
        <v>578.0</v>
      </c>
      <c r="H970" s="1">
        <v>0.7439</v>
      </c>
      <c r="I970" s="1">
        <v>1.8754</v>
      </c>
      <c r="J970" s="1">
        <v>-1.1315</v>
      </c>
      <c r="K970" s="1">
        <v>778.0</v>
      </c>
    </row>
    <row r="971">
      <c r="A971" s="1" t="s">
        <v>21</v>
      </c>
      <c r="B971" s="1" t="s">
        <v>1192</v>
      </c>
      <c r="C971" s="1" t="s">
        <v>1209</v>
      </c>
      <c r="D971" s="1">
        <v>4.0</v>
      </c>
      <c r="E971" s="1">
        <v>675.0</v>
      </c>
      <c r="F971" s="1">
        <v>1294.0</v>
      </c>
      <c r="G971" s="1">
        <v>578.0</v>
      </c>
      <c r="H971" s="1">
        <v>1.1678</v>
      </c>
      <c r="I971" s="1">
        <v>2.2388</v>
      </c>
      <c r="J971" s="1">
        <v>-1.0709</v>
      </c>
      <c r="K971" s="1">
        <v>736.0</v>
      </c>
    </row>
    <row r="972">
      <c r="A972" s="1" t="s">
        <v>21</v>
      </c>
      <c r="B972" s="1" t="s">
        <v>1192</v>
      </c>
      <c r="C972" s="1" t="s">
        <v>1209</v>
      </c>
      <c r="D972" s="1">
        <v>5.0</v>
      </c>
      <c r="E972" s="1">
        <v>595.0</v>
      </c>
      <c r="F972" s="1">
        <v>897.0</v>
      </c>
      <c r="G972" s="1">
        <v>578.0</v>
      </c>
      <c r="H972" s="1">
        <v>1.0294</v>
      </c>
      <c r="I972" s="1">
        <v>1.5519</v>
      </c>
      <c r="J972" s="1">
        <v>-0.5225</v>
      </c>
      <c r="K972" s="1">
        <v>735.0</v>
      </c>
    </row>
    <row r="973">
      <c r="A973" s="1" t="s">
        <v>21</v>
      </c>
      <c r="B973" s="1" t="s">
        <v>1192</v>
      </c>
      <c r="C973" s="1" t="s">
        <v>1209</v>
      </c>
      <c r="D973" s="1">
        <v>6.0</v>
      </c>
      <c r="E973" s="1">
        <v>1110.0</v>
      </c>
      <c r="F973" s="1">
        <v>1280.0</v>
      </c>
      <c r="G973" s="1">
        <v>578.0</v>
      </c>
      <c r="H973" s="1">
        <v>1.9204</v>
      </c>
      <c r="I973" s="1">
        <v>2.2145</v>
      </c>
      <c r="J973" s="1">
        <v>-0.2941</v>
      </c>
      <c r="K973" s="1">
        <v>711.0</v>
      </c>
    </row>
    <row r="974">
      <c r="A974" s="1" t="s">
        <v>21</v>
      </c>
      <c r="B974" s="1" t="s">
        <v>1192</v>
      </c>
      <c r="C974" s="1" t="s">
        <v>1209</v>
      </c>
      <c r="D974" s="1">
        <v>7.0</v>
      </c>
      <c r="E974" s="1">
        <v>1135.0</v>
      </c>
      <c r="F974" s="1">
        <v>1204.0</v>
      </c>
      <c r="G974" s="1">
        <v>578.0</v>
      </c>
      <c r="H974" s="1">
        <v>1.9637</v>
      </c>
      <c r="I974" s="1">
        <v>2.083</v>
      </c>
      <c r="J974" s="1">
        <v>-0.1194</v>
      </c>
      <c r="K974" s="1">
        <v>693.0</v>
      </c>
    </row>
    <row r="975">
      <c r="A975" s="1" t="s">
        <v>21</v>
      </c>
      <c r="B975" s="1" t="s">
        <v>1192</v>
      </c>
      <c r="C975" s="1" t="s">
        <v>1209</v>
      </c>
      <c r="D975" s="1">
        <v>8.0</v>
      </c>
      <c r="E975" s="1">
        <v>1080.0</v>
      </c>
      <c r="F975" s="1">
        <v>1365.0</v>
      </c>
      <c r="G975" s="1">
        <v>578.0</v>
      </c>
      <c r="H975" s="1">
        <v>1.8685</v>
      </c>
      <c r="I975" s="1">
        <v>2.3616</v>
      </c>
      <c r="J975" s="1">
        <v>-0.4931</v>
      </c>
      <c r="K975" s="1">
        <v>832.0</v>
      </c>
    </row>
    <row r="976">
      <c r="A976" s="1" t="s">
        <v>21</v>
      </c>
      <c r="B976" s="1" t="s">
        <v>1192</v>
      </c>
      <c r="C976" s="1" t="s">
        <v>1209</v>
      </c>
      <c r="D976" s="1">
        <v>9.0</v>
      </c>
      <c r="E976" s="1">
        <v>695.0</v>
      </c>
      <c r="F976" s="1">
        <v>1087.0</v>
      </c>
      <c r="G976" s="1">
        <v>578.0</v>
      </c>
      <c r="H976" s="1">
        <v>1.2024</v>
      </c>
      <c r="I976" s="1">
        <v>1.8806</v>
      </c>
      <c r="J976" s="1">
        <v>-0.6782</v>
      </c>
      <c r="K976" s="1">
        <v>790.0</v>
      </c>
    </row>
    <row r="977">
      <c r="A977" s="1" t="s">
        <v>21</v>
      </c>
      <c r="B977" s="1" t="s">
        <v>1192</v>
      </c>
      <c r="C977" s="1" t="s">
        <v>1209</v>
      </c>
      <c r="D977" s="1">
        <v>10.0</v>
      </c>
      <c r="E977" s="1">
        <v>990.0</v>
      </c>
      <c r="F977" s="1">
        <v>1349.0</v>
      </c>
      <c r="G977" s="1">
        <v>578.0</v>
      </c>
      <c r="H977" s="1">
        <v>1.7128</v>
      </c>
      <c r="I977" s="1">
        <v>2.3339</v>
      </c>
      <c r="J977" s="1">
        <v>-0.6211</v>
      </c>
      <c r="K977" s="1">
        <v>787.0</v>
      </c>
    </row>
    <row r="978">
      <c r="A978" s="1" t="s">
        <v>21</v>
      </c>
      <c r="B978" s="1" t="s">
        <v>1192</v>
      </c>
      <c r="C978" s="1" t="s">
        <v>1209</v>
      </c>
      <c r="D978" s="1">
        <v>11.0</v>
      </c>
      <c r="E978" s="1">
        <v>625.0</v>
      </c>
      <c r="F978" s="1">
        <v>1053.0</v>
      </c>
      <c r="G978" s="1">
        <v>578.0</v>
      </c>
      <c r="H978" s="1">
        <v>1.0813</v>
      </c>
      <c r="I978" s="1">
        <v>1.8218</v>
      </c>
      <c r="J978" s="1">
        <v>-0.7405</v>
      </c>
      <c r="K978" s="1">
        <v>728.0</v>
      </c>
    </row>
    <row r="979">
      <c r="A979" s="1" t="s">
        <v>21</v>
      </c>
      <c r="B979" s="1" t="s">
        <v>1192</v>
      </c>
      <c r="C979" s="1" t="s">
        <v>1209</v>
      </c>
      <c r="D979" s="1">
        <v>12.0</v>
      </c>
      <c r="E979" s="1">
        <v>815.0</v>
      </c>
      <c r="F979" s="1">
        <v>1429.0</v>
      </c>
      <c r="G979" s="1">
        <v>578.0</v>
      </c>
      <c r="H979" s="1">
        <v>1.41</v>
      </c>
      <c r="I979" s="1">
        <v>2.4723</v>
      </c>
      <c r="J979" s="1">
        <v>-1.0623</v>
      </c>
      <c r="K979" s="1">
        <v>739.0</v>
      </c>
    </row>
    <row r="980">
      <c r="A980" s="1" t="s">
        <v>21</v>
      </c>
      <c r="B980" s="1" t="s">
        <v>1192</v>
      </c>
      <c r="C980" s="1" t="s">
        <v>1209</v>
      </c>
      <c r="D980" s="1">
        <v>13.0</v>
      </c>
      <c r="E980" s="1">
        <v>1055.0</v>
      </c>
      <c r="F980" s="1">
        <v>1205.0</v>
      </c>
      <c r="G980" s="1">
        <v>578.0</v>
      </c>
      <c r="H980" s="1">
        <v>1.8253</v>
      </c>
      <c r="I980" s="1">
        <v>2.0848</v>
      </c>
      <c r="J980" s="1">
        <v>-0.2595</v>
      </c>
      <c r="K980" s="1">
        <v>735.0</v>
      </c>
    </row>
    <row r="981">
      <c r="A981" s="1" t="s">
        <v>21</v>
      </c>
      <c r="B981" s="1" t="s">
        <v>1192</v>
      </c>
      <c r="C981" s="1" t="s">
        <v>1209</v>
      </c>
      <c r="D981" s="1">
        <v>14.0</v>
      </c>
      <c r="E981" s="1">
        <v>1070.0</v>
      </c>
      <c r="F981" s="1">
        <v>1217.0</v>
      </c>
      <c r="G981" s="1">
        <v>578.0</v>
      </c>
      <c r="H981" s="1">
        <v>1.8512</v>
      </c>
      <c r="I981" s="1">
        <v>2.1055</v>
      </c>
      <c r="J981" s="1">
        <v>-0.2543</v>
      </c>
      <c r="K981" s="1">
        <v>718.0</v>
      </c>
    </row>
    <row r="982">
      <c r="A982" s="1" t="s">
        <v>21</v>
      </c>
      <c r="B982" s="1" t="s">
        <v>1192</v>
      </c>
      <c r="C982" s="1" t="s">
        <v>1209</v>
      </c>
      <c r="D982" s="1">
        <v>15.0</v>
      </c>
      <c r="E982" s="1">
        <v>1125.0</v>
      </c>
      <c r="F982" s="1">
        <v>1378.0</v>
      </c>
      <c r="G982" s="1">
        <v>578.0</v>
      </c>
      <c r="H982" s="1">
        <v>1.9464</v>
      </c>
      <c r="I982" s="1">
        <v>2.3841</v>
      </c>
      <c r="J982" s="1">
        <v>-0.4377</v>
      </c>
      <c r="K982" s="1">
        <v>846.0</v>
      </c>
    </row>
    <row r="983">
      <c r="A983" s="1" t="s">
        <v>21</v>
      </c>
      <c r="B983" s="1" t="s">
        <v>1192</v>
      </c>
      <c r="C983" s="1" t="s">
        <v>1209</v>
      </c>
      <c r="D983" s="1">
        <v>16.0</v>
      </c>
      <c r="E983" s="1">
        <v>705.0</v>
      </c>
      <c r="F983" s="1">
        <v>1257.0</v>
      </c>
      <c r="G983" s="1">
        <v>578.0</v>
      </c>
      <c r="H983" s="1">
        <v>1.2197</v>
      </c>
      <c r="I983" s="1">
        <v>2.1747</v>
      </c>
      <c r="J983" s="1">
        <v>-0.955</v>
      </c>
      <c r="K983" s="1">
        <v>816.0</v>
      </c>
    </row>
    <row r="984">
      <c r="A984" s="1" t="s">
        <v>21</v>
      </c>
      <c r="B984" s="1" t="s">
        <v>1192</v>
      </c>
      <c r="C984" s="1" t="s">
        <v>1209</v>
      </c>
      <c r="D984" s="1">
        <v>17.0</v>
      </c>
      <c r="E984" s="1">
        <v>800.0</v>
      </c>
      <c r="F984" s="1">
        <v>1142.0</v>
      </c>
      <c r="G984" s="1">
        <v>578.0</v>
      </c>
      <c r="H984" s="1">
        <v>1.3841</v>
      </c>
      <c r="I984" s="1">
        <v>1.9758</v>
      </c>
      <c r="J984" s="1">
        <v>-0.5917</v>
      </c>
      <c r="K984" s="1">
        <v>804.0</v>
      </c>
    </row>
    <row r="985">
      <c r="A985" s="1" t="s">
        <v>21</v>
      </c>
      <c r="B985" s="1" t="s">
        <v>1192</v>
      </c>
      <c r="C985" s="1" t="s">
        <v>1209</v>
      </c>
      <c r="D985" s="1">
        <v>18.0</v>
      </c>
      <c r="E985" s="1">
        <v>565.0</v>
      </c>
      <c r="F985" s="1">
        <v>1099.0</v>
      </c>
      <c r="G985" s="1">
        <v>578.0</v>
      </c>
      <c r="H985" s="1">
        <v>0.9775</v>
      </c>
      <c r="I985" s="1">
        <v>1.9014</v>
      </c>
      <c r="J985" s="1">
        <v>-0.9239</v>
      </c>
      <c r="K985" s="1">
        <v>746.0</v>
      </c>
    </row>
    <row r="986">
      <c r="A986" s="1" t="s">
        <v>21</v>
      </c>
      <c r="B986" s="1" t="s">
        <v>1192</v>
      </c>
      <c r="C986" s="1" t="s">
        <v>1209</v>
      </c>
      <c r="D986" s="1">
        <v>19.0</v>
      </c>
      <c r="E986" s="1">
        <v>570.0</v>
      </c>
      <c r="F986" s="1">
        <v>1087.0</v>
      </c>
      <c r="G986" s="1">
        <v>578.0</v>
      </c>
      <c r="H986" s="1">
        <v>0.9862</v>
      </c>
      <c r="I986" s="1">
        <v>1.8806</v>
      </c>
      <c r="J986" s="1">
        <v>-0.8945</v>
      </c>
      <c r="K986" s="1">
        <v>721.0</v>
      </c>
    </row>
    <row r="987">
      <c r="A987" s="1" t="s">
        <v>21</v>
      </c>
      <c r="B987" s="1" t="s">
        <v>1192</v>
      </c>
      <c r="C987" s="1" t="s">
        <v>1209</v>
      </c>
      <c r="D987" s="1">
        <v>20.0</v>
      </c>
      <c r="E987" s="1">
        <v>640.0</v>
      </c>
      <c r="F987" s="1">
        <v>983.0</v>
      </c>
      <c r="G987" s="1">
        <v>578.0</v>
      </c>
      <c r="H987" s="1">
        <v>1.1073</v>
      </c>
      <c r="I987" s="1">
        <v>1.7007</v>
      </c>
      <c r="J987" s="1">
        <v>-0.5934</v>
      </c>
      <c r="K987" s="1">
        <v>732.0</v>
      </c>
    </row>
    <row r="988">
      <c r="A988" s="1" t="s">
        <v>21</v>
      </c>
      <c r="B988" s="1" t="s">
        <v>1192</v>
      </c>
      <c r="C988" s="1" t="s">
        <v>1209</v>
      </c>
      <c r="D988" s="1">
        <v>21.0</v>
      </c>
      <c r="E988" s="1">
        <v>945.0</v>
      </c>
      <c r="F988" s="1">
        <v>1484.0</v>
      </c>
      <c r="G988" s="1">
        <v>578.0</v>
      </c>
      <c r="H988" s="1">
        <v>1.6349</v>
      </c>
      <c r="I988" s="1">
        <v>2.5675</v>
      </c>
      <c r="J988" s="1">
        <v>-0.9325</v>
      </c>
      <c r="K988" s="1">
        <v>717.0</v>
      </c>
    </row>
    <row r="989">
      <c r="A989" s="1" t="s">
        <v>21</v>
      </c>
      <c r="B989" s="1" t="s">
        <v>1192</v>
      </c>
      <c r="C989" s="1" t="s">
        <v>1210</v>
      </c>
      <c r="D989" s="1">
        <v>1.0</v>
      </c>
      <c r="E989" s="1">
        <v>3065.0</v>
      </c>
      <c r="F989" s="1">
        <v>2184.0</v>
      </c>
      <c r="G989" s="1">
        <v>1422.0</v>
      </c>
      <c r="H989" s="1">
        <v>2.1554</v>
      </c>
      <c r="I989" s="1">
        <v>1.5359</v>
      </c>
      <c r="J989" s="1">
        <v>0.6195</v>
      </c>
      <c r="K989" s="1">
        <v>804.0</v>
      </c>
    </row>
    <row r="990">
      <c r="A990" s="1" t="s">
        <v>21</v>
      </c>
      <c r="B990" s="1" t="s">
        <v>1192</v>
      </c>
      <c r="C990" s="1" t="s">
        <v>1210</v>
      </c>
      <c r="D990" s="1">
        <v>2.0</v>
      </c>
      <c r="E990" s="1">
        <v>2280.0</v>
      </c>
      <c r="F990" s="1">
        <v>1820.0</v>
      </c>
      <c r="G990" s="1">
        <v>1422.0</v>
      </c>
      <c r="H990" s="1">
        <v>1.6034</v>
      </c>
      <c r="I990" s="1">
        <v>1.2799</v>
      </c>
      <c r="J990" s="1">
        <v>0.3235</v>
      </c>
      <c r="K990" s="1">
        <v>802.0</v>
      </c>
    </row>
    <row r="991">
      <c r="A991" s="1" t="s">
        <v>21</v>
      </c>
      <c r="B991" s="1" t="s">
        <v>1192</v>
      </c>
      <c r="C991" s="1" t="s">
        <v>1210</v>
      </c>
      <c r="D991" s="1">
        <v>3.0</v>
      </c>
      <c r="E991" s="1">
        <v>2460.0</v>
      </c>
      <c r="F991" s="1">
        <v>1723.0</v>
      </c>
      <c r="G991" s="1">
        <v>1422.0</v>
      </c>
      <c r="H991" s="1">
        <v>1.73</v>
      </c>
      <c r="I991" s="1">
        <v>1.2117</v>
      </c>
      <c r="J991" s="1">
        <v>0.5183</v>
      </c>
      <c r="K991" s="1">
        <v>778.0</v>
      </c>
    </row>
    <row r="992">
      <c r="A992" s="1" t="s">
        <v>21</v>
      </c>
      <c r="B992" s="1" t="s">
        <v>1192</v>
      </c>
      <c r="C992" s="1" t="s">
        <v>1210</v>
      </c>
      <c r="D992" s="1">
        <v>4.0</v>
      </c>
      <c r="E992" s="1">
        <v>2805.0</v>
      </c>
      <c r="F992" s="1">
        <v>2139.0</v>
      </c>
      <c r="G992" s="1">
        <v>1422.0</v>
      </c>
      <c r="H992" s="1">
        <v>1.9726</v>
      </c>
      <c r="I992" s="1">
        <v>1.5042</v>
      </c>
      <c r="J992" s="1">
        <v>0.4684</v>
      </c>
      <c r="K992" s="1">
        <v>736.0</v>
      </c>
    </row>
    <row r="993">
      <c r="A993" s="1" t="s">
        <v>21</v>
      </c>
      <c r="B993" s="1" t="s">
        <v>1192</v>
      </c>
      <c r="C993" s="1" t="s">
        <v>1210</v>
      </c>
      <c r="D993" s="1">
        <v>5.0</v>
      </c>
      <c r="E993" s="1">
        <v>3830.0</v>
      </c>
      <c r="F993" s="1">
        <v>2179.0</v>
      </c>
      <c r="G993" s="1">
        <v>1422.0</v>
      </c>
      <c r="H993" s="1">
        <v>2.6934</v>
      </c>
      <c r="I993" s="1">
        <v>1.5323</v>
      </c>
      <c r="J993" s="1">
        <v>1.161</v>
      </c>
      <c r="K993" s="1">
        <v>735.0</v>
      </c>
    </row>
    <row r="994">
      <c r="A994" s="1" t="s">
        <v>21</v>
      </c>
      <c r="B994" s="1" t="s">
        <v>1192</v>
      </c>
      <c r="C994" s="1" t="s">
        <v>1210</v>
      </c>
      <c r="D994" s="1">
        <v>6.0</v>
      </c>
      <c r="E994" s="1">
        <v>3605.0</v>
      </c>
      <c r="F994" s="1">
        <v>2491.0</v>
      </c>
      <c r="G994" s="1">
        <v>1422.0</v>
      </c>
      <c r="H994" s="1">
        <v>2.5352</v>
      </c>
      <c r="I994" s="1">
        <v>1.7518</v>
      </c>
      <c r="J994" s="1">
        <v>0.7834</v>
      </c>
      <c r="K994" s="1">
        <v>711.0</v>
      </c>
    </row>
    <row r="995">
      <c r="A995" s="1" t="s">
        <v>21</v>
      </c>
      <c r="B995" s="1" t="s">
        <v>1192</v>
      </c>
      <c r="C995" s="1" t="s">
        <v>1210</v>
      </c>
      <c r="D995" s="1">
        <v>7.0</v>
      </c>
      <c r="E995" s="1">
        <v>3315.0</v>
      </c>
      <c r="F995" s="1">
        <v>2070.0</v>
      </c>
      <c r="G995" s="1">
        <v>1422.0</v>
      </c>
      <c r="H995" s="1">
        <v>2.3312</v>
      </c>
      <c r="I995" s="1">
        <v>1.4557</v>
      </c>
      <c r="J995" s="1">
        <v>0.8755</v>
      </c>
      <c r="K995" s="1">
        <v>693.0</v>
      </c>
    </row>
    <row r="996">
      <c r="A996" s="1" t="s">
        <v>21</v>
      </c>
      <c r="B996" s="1" t="s">
        <v>1192</v>
      </c>
      <c r="C996" s="1" t="s">
        <v>1210</v>
      </c>
      <c r="D996" s="1">
        <v>8.0</v>
      </c>
      <c r="E996" s="1">
        <v>3105.0</v>
      </c>
      <c r="F996" s="1">
        <v>2287.0</v>
      </c>
      <c r="G996" s="1">
        <v>1422.0</v>
      </c>
      <c r="H996" s="1">
        <v>2.1835</v>
      </c>
      <c r="I996" s="1">
        <v>1.6083</v>
      </c>
      <c r="J996" s="1">
        <v>0.5752</v>
      </c>
      <c r="K996" s="1">
        <v>832.0</v>
      </c>
    </row>
    <row r="997">
      <c r="A997" s="1" t="s">
        <v>21</v>
      </c>
      <c r="B997" s="1" t="s">
        <v>1192</v>
      </c>
      <c r="C997" s="1" t="s">
        <v>1210</v>
      </c>
      <c r="D997" s="1">
        <v>9.0</v>
      </c>
      <c r="E997" s="1">
        <v>2120.0</v>
      </c>
      <c r="F997" s="1">
        <v>1666.0</v>
      </c>
      <c r="G997" s="1">
        <v>1422.0</v>
      </c>
      <c r="H997" s="1">
        <v>1.4909</v>
      </c>
      <c r="I997" s="1">
        <v>1.1716</v>
      </c>
      <c r="J997" s="1">
        <v>0.3193</v>
      </c>
      <c r="K997" s="1">
        <v>790.0</v>
      </c>
    </row>
    <row r="998">
      <c r="A998" s="1" t="s">
        <v>21</v>
      </c>
      <c r="B998" s="1" t="s">
        <v>1192</v>
      </c>
      <c r="C998" s="1" t="s">
        <v>1210</v>
      </c>
      <c r="D998" s="1">
        <v>10.0</v>
      </c>
      <c r="E998" s="1">
        <v>2420.0</v>
      </c>
      <c r="F998" s="1">
        <v>1908.0</v>
      </c>
      <c r="G998" s="1">
        <v>1422.0</v>
      </c>
      <c r="H998" s="1">
        <v>1.7018</v>
      </c>
      <c r="I998" s="1">
        <v>1.3418</v>
      </c>
      <c r="J998" s="1">
        <v>0.3601</v>
      </c>
      <c r="K998" s="1">
        <v>787.0</v>
      </c>
    </row>
    <row r="999">
      <c r="A999" s="1" t="s">
        <v>21</v>
      </c>
      <c r="B999" s="1" t="s">
        <v>1192</v>
      </c>
      <c r="C999" s="1" t="s">
        <v>1210</v>
      </c>
      <c r="D999" s="1">
        <v>11.0</v>
      </c>
      <c r="E999" s="1">
        <v>2510.0</v>
      </c>
      <c r="F999" s="1">
        <v>1735.0</v>
      </c>
      <c r="G999" s="1">
        <v>1422.0</v>
      </c>
      <c r="H999" s="1">
        <v>1.7651</v>
      </c>
      <c r="I999" s="1">
        <v>1.2201</v>
      </c>
      <c r="J999" s="1">
        <v>0.545</v>
      </c>
      <c r="K999" s="1">
        <v>728.0</v>
      </c>
    </row>
    <row r="1000">
      <c r="A1000" s="1" t="s">
        <v>21</v>
      </c>
      <c r="B1000" s="1" t="s">
        <v>1192</v>
      </c>
      <c r="C1000" s="1" t="s">
        <v>1210</v>
      </c>
      <c r="D1000" s="1">
        <v>12.0</v>
      </c>
      <c r="E1000" s="1">
        <v>3020.0</v>
      </c>
      <c r="F1000" s="1">
        <v>2433.0</v>
      </c>
      <c r="G1000" s="1">
        <v>1422.0</v>
      </c>
      <c r="H1000" s="1">
        <v>2.1238</v>
      </c>
      <c r="I1000" s="1">
        <v>1.711</v>
      </c>
      <c r="J1000" s="1">
        <v>0.4128</v>
      </c>
      <c r="K1000" s="1">
        <v>739.0</v>
      </c>
    </row>
    <row r="1001">
      <c r="A1001" s="1" t="s">
        <v>21</v>
      </c>
      <c r="B1001" s="1" t="s">
        <v>1192</v>
      </c>
      <c r="C1001" s="1" t="s">
        <v>1210</v>
      </c>
      <c r="D1001" s="1">
        <v>13.0</v>
      </c>
      <c r="E1001" s="1">
        <v>3835.0</v>
      </c>
      <c r="F1001" s="1">
        <v>2443.0</v>
      </c>
      <c r="G1001" s="1">
        <v>1422.0</v>
      </c>
      <c r="H1001" s="1">
        <v>2.6969</v>
      </c>
      <c r="I1001" s="1">
        <v>1.718</v>
      </c>
      <c r="J1001" s="1">
        <v>0.9789</v>
      </c>
      <c r="K1001" s="1">
        <v>735.0</v>
      </c>
    </row>
    <row r="1002">
      <c r="A1002" s="1" t="s">
        <v>21</v>
      </c>
      <c r="B1002" s="1" t="s">
        <v>1192</v>
      </c>
      <c r="C1002" s="1" t="s">
        <v>1210</v>
      </c>
      <c r="D1002" s="1">
        <v>14.0</v>
      </c>
      <c r="E1002" s="1">
        <v>3095.0</v>
      </c>
      <c r="F1002" s="1">
        <v>2136.0</v>
      </c>
      <c r="G1002" s="1">
        <v>1422.0</v>
      </c>
      <c r="H1002" s="1">
        <v>2.1765</v>
      </c>
      <c r="I1002" s="1">
        <v>1.5021</v>
      </c>
      <c r="J1002" s="1">
        <v>0.6744</v>
      </c>
      <c r="K1002" s="1">
        <v>718.0</v>
      </c>
    </row>
    <row r="1003">
      <c r="A1003" s="1" t="s">
        <v>21</v>
      </c>
      <c r="B1003" s="1" t="s">
        <v>1192</v>
      </c>
      <c r="C1003" s="1" t="s">
        <v>1210</v>
      </c>
      <c r="D1003" s="1">
        <v>15.0</v>
      </c>
      <c r="E1003" s="1">
        <v>3300.0</v>
      </c>
      <c r="F1003" s="1">
        <v>2223.0</v>
      </c>
      <c r="G1003" s="1">
        <v>1422.0</v>
      </c>
      <c r="H1003" s="1">
        <v>2.3207</v>
      </c>
      <c r="I1003" s="1">
        <v>1.5633</v>
      </c>
      <c r="J1003" s="1">
        <v>0.7574</v>
      </c>
      <c r="K1003" s="1">
        <v>846.0</v>
      </c>
    </row>
    <row r="1004">
      <c r="A1004" s="1" t="s">
        <v>21</v>
      </c>
      <c r="B1004" s="1" t="s">
        <v>1192</v>
      </c>
      <c r="C1004" s="1" t="s">
        <v>1210</v>
      </c>
      <c r="D1004" s="1">
        <v>16.0</v>
      </c>
      <c r="E1004" s="1">
        <v>2060.0</v>
      </c>
      <c r="F1004" s="1">
        <v>1728.0</v>
      </c>
      <c r="G1004" s="1">
        <v>1422.0</v>
      </c>
      <c r="H1004" s="1">
        <v>1.4487</v>
      </c>
      <c r="I1004" s="1">
        <v>1.2152</v>
      </c>
      <c r="J1004" s="1">
        <v>0.2335</v>
      </c>
      <c r="K1004" s="1">
        <v>816.0</v>
      </c>
    </row>
    <row r="1005">
      <c r="A1005" s="1" t="s">
        <v>21</v>
      </c>
      <c r="B1005" s="1" t="s">
        <v>1192</v>
      </c>
      <c r="C1005" s="1" t="s">
        <v>1210</v>
      </c>
      <c r="D1005" s="1">
        <v>17.0</v>
      </c>
      <c r="E1005" s="1">
        <v>1340.0</v>
      </c>
      <c r="F1005" s="1">
        <v>1254.0</v>
      </c>
      <c r="G1005" s="1">
        <v>1422.0</v>
      </c>
      <c r="H1005" s="1">
        <v>0.9423</v>
      </c>
      <c r="I1005" s="1">
        <v>0.8819</v>
      </c>
      <c r="J1005" s="1">
        <v>0.0605</v>
      </c>
      <c r="K1005" s="1">
        <v>804.0</v>
      </c>
    </row>
    <row r="1006">
      <c r="A1006" s="1" t="s">
        <v>21</v>
      </c>
      <c r="B1006" s="1" t="s">
        <v>1192</v>
      </c>
      <c r="C1006" s="1" t="s">
        <v>1210</v>
      </c>
      <c r="D1006" s="1">
        <v>18.0</v>
      </c>
      <c r="E1006" s="1">
        <v>1510.0</v>
      </c>
      <c r="F1006" s="1">
        <v>1483.0</v>
      </c>
      <c r="G1006" s="1">
        <v>1422.0</v>
      </c>
      <c r="H1006" s="1">
        <v>1.0619</v>
      </c>
      <c r="I1006" s="1">
        <v>1.0429</v>
      </c>
      <c r="J1006" s="1">
        <v>0.019</v>
      </c>
      <c r="K1006" s="1">
        <v>746.0</v>
      </c>
    </row>
    <row r="1007">
      <c r="A1007" s="1" t="s">
        <v>21</v>
      </c>
      <c r="B1007" s="1" t="s">
        <v>1192</v>
      </c>
      <c r="C1007" s="1" t="s">
        <v>1210</v>
      </c>
      <c r="D1007" s="1">
        <v>19.0</v>
      </c>
      <c r="E1007" s="1">
        <v>1865.0</v>
      </c>
      <c r="F1007" s="1">
        <v>1500.0</v>
      </c>
      <c r="G1007" s="1">
        <v>1422.0</v>
      </c>
      <c r="H1007" s="1">
        <v>1.3115</v>
      </c>
      <c r="I1007" s="1">
        <v>1.0549</v>
      </c>
      <c r="J1007" s="1">
        <v>0.2567</v>
      </c>
      <c r="K1007" s="1">
        <v>721.0</v>
      </c>
    </row>
    <row r="1008">
      <c r="A1008" s="1" t="s">
        <v>21</v>
      </c>
      <c r="B1008" s="1" t="s">
        <v>1192</v>
      </c>
      <c r="C1008" s="1" t="s">
        <v>1210</v>
      </c>
      <c r="D1008" s="1">
        <v>20.0</v>
      </c>
      <c r="E1008" s="1">
        <v>1895.0</v>
      </c>
      <c r="F1008" s="1">
        <v>1411.0</v>
      </c>
      <c r="G1008" s="1">
        <v>1422.0</v>
      </c>
      <c r="H1008" s="1">
        <v>1.3326</v>
      </c>
      <c r="I1008" s="1">
        <v>0.9923</v>
      </c>
      <c r="J1008" s="1">
        <v>0.3404</v>
      </c>
      <c r="K1008" s="1">
        <v>732.0</v>
      </c>
    </row>
    <row r="1009">
      <c r="A1009" s="1" t="s">
        <v>21</v>
      </c>
      <c r="B1009" s="1" t="s">
        <v>1192</v>
      </c>
      <c r="C1009" s="1" t="s">
        <v>1210</v>
      </c>
      <c r="D1009" s="1">
        <v>21.0</v>
      </c>
      <c r="E1009" s="1">
        <v>1770.0</v>
      </c>
      <c r="F1009" s="1">
        <v>1627.0</v>
      </c>
      <c r="G1009" s="1">
        <v>1422.0</v>
      </c>
      <c r="H1009" s="1">
        <v>1.2447</v>
      </c>
      <c r="I1009" s="1">
        <v>1.1442</v>
      </c>
      <c r="J1009" s="1">
        <v>0.1006</v>
      </c>
      <c r="K1009" s="1">
        <v>717.0</v>
      </c>
    </row>
    <row r="1010">
      <c r="A1010" s="1" t="s">
        <v>21</v>
      </c>
      <c r="B1010" s="1" t="s">
        <v>1192</v>
      </c>
      <c r="C1010" s="1" t="s">
        <v>1211</v>
      </c>
      <c r="D1010" s="1">
        <v>1.0</v>
      </c>
      <c r="E1010" s="1">
        <v>4635.0</v>
      </c>
      <c r="F1010" s="1">
        <v>3058.0</v>
      </c>
      <c r="G1010" s="1">
        <v>1661.0</v>
      </c>
      <c r="H1010" s="1">
        <v>2.7905</v>
      </c>
      <c r="I1010" s="1">
        <v>1.8411</v>
      </c>
      <c r="J1010" s="1">
        <v>0.9494</v>
      </c>
      <c r="K1010" s="1">
        <v>804.0</v>
      </c>
    </row>
    <row r="1011">
      <c r="A1011" s="1" t="s">
        <v>21</v>
      </c>
      <c r="B1011" s="1" t="s">
        <v>1192</v>
      </c>
      <c r="C1011" s="1" t="s">
        <v>1211</v>
      </c>
      <c r="D1011" s="1">
        <v>2.0</v>
      </c>
      <c r="E1011" s="1">
        <v>5170.0</v>
      </c>
      <c r="F1011" s="1">
        <v>2942.0</v>
      </c>
      <c r="G1011" s="1">
        <v>1661.0</v>
      </c>
      <c r="H1011" s="1">
        <v>3.1126</v>
      </c>
      <c r="I1011" s="1">
        <v>1.7712</v>
      </c>
      <c r="J1011" s="1">
        <v>1.3414</v>
      </c>
      <c r="K1011" s="1">
        <v>802.0</v>
      </c>
    </row>
    <row r="1012">
      <c r="A1012" s="1" t="s">
        <v>21</v>
      </c>
      <c r="B1012" s="1" t="s">
        <v>1192</v>
      </c>
      <c r="C1012" s="1" t="s">
        <v>1211</v>
      </c>
      <c r="D1012" s="1">
        <v>3.0</v>
      </c>
      <c r="E1012" s="1">
        <v>5355.0</v>
      </c>
      <c r="F1012" s="1">
        <v>3016.0</v>
      </c>
      <c r="G1012" s="1">
        <v>1661.0</v>
      </c>
      <c r="H1012" s="1">
        <v>3.224</v>
      </c>
      <c r="I1012" s="1">
        <v>1.8158</v>
      </c>
      <c r="J1012" s="1">
        <v>1.4082</v>
      </c>
      <c r="K1012" s="1">
        <v>778.0</v>
      </c>
    </row>
    <row r="1013">
      <c r="A1013" s="1" t="s">
        <v>21</v>
      </c>
      <c r="B1013" s="1" t="s">
        <v>1192</v>
      </c>
      <c r="C1013" s="1" t="s">
        <v>1211</v>
      </c>
      <c r="D1013" s="1">
        <v>4.0</v>
      </c>
      <c r="E1013" s="1">
        <v>5305.0</v>
      </c>
      <c r="F1013" s="1">
        <v>3215.0</v>
      </c>
      <c r="G1013" s="1">
        <v>1661.0</v>
      </c>
      <c r="H1013" s="1">
        <v>3.1939</v>
      </c>
      <c r="I1013" s="1">
        <v>1.9356</v>
      </c>
      <c r="J1013" s="1">
        <v>1.2583</v>
      </c>
      <c r="K1013" s="1">
        <v>736.0</v>
      </c>
    </row>
    <row r="1014">
      <c r="A1014" s="1" t="s">
        <v>21</v>
      </c>
      <c r="B1014" s="1" t="s">
        <v>1192</v>
      </c>
      <c r="C1014" s="1" t="s">
        <v>1211</v>
      </c>
      <c r="D1014" s="1">
        <v>5.0</v>
      </c>
      <c r="E1014" s="1">
        <v>5260.0</v>
      </c>
      <c r="F1014" s="1">
        <v>2936.0</v>
      </c>
      <c r="G1014" s="1">
        <v>1661.0</v>
      </c>
      <c r="H1014" s="1">
        <v>3.1668</v>
      </c>
      <c r="I1014" s="1">
        <v>1.7676</v>
      </c>
      <c r="J1014" s="1">
        <v>1.3992</v>
      </c>
      <c r="K1014" s="1">
        <v>735.0</v>
      </c>
    </row>
    <row r="1015">
      <c r="A1015" s="1" t="s">
        <v>21</v>
      </c>
      <c r="B1015" s="1" t="s">
        <v>1192</v>
      </c>
      <c r="C1015" s="1" t="s">
        <v>1211</v>
      </c>
      <c r="D1015" s="1">
        <v>6.0</v>
      </c>
      <c r="E1015" s="1">
        <v>5675.0</v>
      </c>
      <c r="F1015" s="1">
        <v>3308.0</v>
      </c>
      <c r="G1015" s="1">
        <v>1661.0</v>
      </c>
      <c r="H1015" s="1">
        <v>3.4166</v>
      </c>
      <c r="I1015" s="1">
        <v>1.9916</v>
      </c>
      <c r="J1015" s="1">
        <v>1.425</v>
      </c>
      <c r="K1015" s="1">
        <v>711.0</v>
      </c>
    </row>
    <row r="1016">
      <c r="A1016" s="1" t="s">
        <v>21</v>
      </c>
      <c r="B1016" s="1" t="s">
        <v>1192</v>
      </c>
      <c r="C1016" s="1" t="s">
        <v>1211</v>
      </c>
      <c r="D1016" s="1">
        <v>7.0</v>
      </c>
      <c r="E1016" s="1">
        <v>4130.0</v>
      </c>
      <c r="F1016" s="1">
        <v>2452.0</v>
      </c>
      <c r="G1016" s="1">
        <v>1661.0</v>
      </c>
      <c r="H1016" s="1">
        <v>2.4865</v>
      </c>
      <c r="I1016" s="1">
        <v>1.4762</v>
      </c>
      <c r="J1016" s="1">
        <v>1.0102</v>
      </c>
      <c r="K1016" s="1">
        <v>693.0</v>
      </c>
    </row>
    <row r="1017">
      <c r="A1017" s="1" t="s">
        <v>21</v>
      </c>
      <c r="B1017" s="1" t="s">
        <v>1192</v>
      </c>
      <c r="C1017" s="1" t="s">
        <v>1211</v>
      </c>
      <c r="D1017" s="1">
        <v>8.0</v>
      </c>
      <c r="E1017" s="1">
        <v>4560.0</v>
      </c>
      <c r="F1017" s="1">
        <v>3042.0</v>
      </c>
      <c r="G1017" s="1">
        <v>1661.0</v>
      </c>
      <c r="H1017" s="1">
        <v>2.7453</v>
      </c>
      <c r="I1017" s="1">
        <v>1.8314</v>
      </c>
      <c r="J1017" s="1">
        <v>0.9139</v>
      </c>
      <c r="K1017" s="1">
        <v>832.0</v>
      </c>
    </row>
    <row r="1018">
      <c r="A1018" s="1" t="s">
        <v>21</v>
      </c>
      <c r="B1018" s="1" t="s">
        <v>1192</v>
      </c>
      <c r="C1018" s="1" t="s">
        <v>1211</v>
      </c>
      <c r="D1018" s="1">
        <v>9.0</v>
      </c>
      <c r="E1018" s="1">
        <v>5270.0</v>
      </c>
      <c r="F1018" s="1">
        <v>2817.0</v>
      </c>
      <c r="G1018" s="1">
        <v>1661.0</v>
      </c>
      <c r="H1018" s="1">
        <v>3.1728</v>
      </c>
      <c r="I1018" s="1">
        <v>1.696</v>
      </c>
      <c r="J1018" s="1">
        <v>1.4768</v>
      </c>
      <c r="K1018" s="1">
        <v>790.0</v>
      </c>
    </row>
    <row r="1019">
      <c r="A1019" s="1" t="s">
        <v>21</v>
      </c>
      <c r="B1019" s="1" t="s">
        <v>1192</v>
      </c>
      <c r="C1019" s="1" t="s">
        <v>1211</v>
      </c>
      <c r="D1019" s="1">
        <v>10.0</v>
      </c>
      <c r="E1019" s="1">
        <v>5445.0</v>
      </c>
      <c r="F1019" s="1">
        <v>3048.0</v>
      </c>
      <c r="G1019" s="1">
        <v>1661.0</v>
      </c>
      <c r="H1019" s="1">
        <v>3.2781</v>
      </c>
      <c r="I1019" s="1">
        <v>1.835</v>
      </c>
      <c r="J1019" s="1">
        <v>1.4431</v>
      </c>
      <c r="K1019" s="1">
        <v>787.0</v>
      </c>
    </row>
    <row r="1020">
      <c r="A1020" s="1" t="s">
        <v>21</v>
      </c>
      <c r="B1020" s="1" t="s">
        <v>1192</v>
      </c>
      <c r="C1020" s="1" t="s">
        <v>1211</v>
      </c>
      <c r="D1020" s="1">
        <v>11.0</v>
      </c>
      <c r="E1020" s="1">
        <v>5005.0</v>
      </c>
      <c r="F1020" s="1">
        <v>2842.0</v>
      </c>
      <c r="G1020" s="1">
        <v>1661.0</v>
      </c>
      <c r="H1020" s="1">
        <v>3.0132</v>
      </c>
      <c r="I1020" s="1">
        <v>1.711</v>
      </c>
      <c r="J1020" s="1">
        <v>1.3022</v>
      </c>
      <c r="K1020" s="1">
        <v>728.0</v>
      </c>
    </row>
    <row r="1021">
      <c r="A1021" s="1" t="s">
        <v>21</v>
      </c>
      <c r="B1021" s="1" t="s">
        <v>1192</v>
      </c>
      <c r="C1021" s="1" t="s">
        <v>1211</v>
      </c>
      <c r="D1021" s="1">
        <v>12.0</v>
      </c>
      <c r="E1021" s="1">
        <v>5850.0</v>
      </c>
      <c r="F1021" s="1">
        <v>3534.0</v>
      </c>
      <c r="G1021" s="1">
        <v>1661.0</v>
      </c>
      <c r="H1021" s="1">
        <v>3.522</v>
      </c>
      <c r="I1021" s="1">
        <v>2.1276</v>
      </c>
      <c r="J1021" s="1">
        <v>1.3943</v>
      </c>
      <c r="K1021" s="1">
        <v>739.0</v>
      </c>
    </row>
    <row r="1022">
      <c r="A1022" s="1" t="s">
        <v>21</v>
      </c>
      <c r="B1022" s="1" t="s">
        <v>1192</v>
      </c>
      <c r="C1022" s="1" t="s">
        <v>1211</v>
      </c>
      <c r="D1022" s="1">
        <v>13.0</v>
      </c>
      <c r="E1022" s="1">
        <v>4945.0</v>
      </c>
      <c r="F1022" s="1">
        <v>2851.0</v>
      </c>
      <c r="G1022" s="1">
        <v>1661.0</v>
      </c>
      <c r="H1022" s="1">
        <v>2.9771</v>
      </c>
      <c r="I1022" s="1">
        <v>1.7164</v>
      </c>
      <c r="J1022" s="1">
        <v>1.2607</v>
      </c>
      <c r="K1022" s="1">
        <v>735.0</v>
      </c>
    </row>
    <row r="1023">
      <c r="A1023" s="1" t="s">
        <v>21</v>
      </c>
      <c r="B1023" s="1" t="s">
        <v>1192</v>
      </c>
      <c r="C1023" s="1" t="s">
        <v>1211</v>
      </c>
      <c r="D1023" s="1">
        <v>14.0</v>
      </c>
      <c r="E1023" s="1">
        <v>4105.0</v>
      </c>
      <c r="F1023" s="1">
        <v>2445.0</v>
      </c>
      <c r="G1023" s="1">
        <v>1661.0</v>
      </c>
      <c r="H1023" s="1">
        <v>2.4714</v>
      </c>
      <c r="I1023" s="1">
        <v>1.472</v>
      </c>
      <c r="J1023" s="1">
        <v>0.9994</v>
      </c>
      <c r="K1023" s="1">
        <v>718.0</v>
      </c>
    </row>
    <row r="1024">
      <c r="A1024" s="1" t="s">
        <v>21</v>
      </c>
      <c r="B1024" s="1" t="s">
        <v>1192</v>
      </c>
      <c r="C1024" s="1" t="s">
        <v>1211</v>
      </c>
      <c r="D1024" s="1">
        <v>15.0</v>
      </c>
      <c r="E1024" s="1">
        <v>5705.0</v>
      </c>
      <c r="F1024" s="1">
        <v>3166.0</v>
      </c>
      <c r="G1024" s="1">
        <v>1661.0</v>
      </c>
      <c r="H1024" s="1">
        <v>3.4347</v>
      </c>
      <c r="I1024" s="1">
        <v>1.9061</v>
      </c>
      <c r="J1024" s="1">
        <v>1.5286</v>
      </c>
      <c r="K1024" s="1">
        <v>846.0</v>
      </c>
    </row>
    <row r="1025">
      <c r="A1025" s="1" t="s">
        <v>21</v>
      </c>
      <c r="B1025" s="1" t="s">
        <v>1192</v>
      </c>
      <c r="C1025" s="1" t="s">
        <v>1211</v>
      </c>
      <c r="D1025" s="1">
        <v>16.0</v>
      </c>
      <c r="E1025" s="1">
        <v>4165.0</v>
      </c>
      <c r="F1025" s="1">
        <v>2720.0</v>
      </c>
      <c r="G1025" s="1">
        <v>1661.0</v>
      </c>
      <c r="H1025" s="1">
        <v>2.5075</v>
      </c>
      <c r="I1025" s="1">
        <v>1.6376</v>
      </c>
      <c r="J1025" s="1">
        <v>0.87</v>
      </c>
      <c r="K1025" s="1">
        <v>816.0</v>
      </c>
    </row>
    <row r="1026">
      <c r="A1026" s="1" t="s">
        <v>21</v>
      </c>
      <c r="B1026" s="1" t="s">
        <v>1192</v>
      </c>
      <c r="C1026" s="1" t="s">
        <v>1211</v>
      </c>
      <c r="D1026" s="1">
        <v>17.0</v>
      </c>
      <c r="E1026" s="1">
        <v>4945.0</v>
      </c>
      <c r="F1026" s="1">
        <v>2694.0</v>
      </c>
      <c r="G1026" s="1">
        <v>1661.0</v>
      </c>
      <c r="H1026" s="1">
        <v>2.9771</v>
      </c>
      <c r="I1026" s="1">
        <v>1.6219</v>
      </c>
      <c r="J1026" s="1">
        <v>1.3552</v>
      </c>
      <c r="K1026" s="1">
        <v>804.0</v>
      </c>
    </row>
    <row r="1027">
      <c r="A1027" s="1" t="s">
        <v>21</v>
      </c>
      <c r="B1027" s="1" t="s">
        <v>1192</v>
      </c>
      <c r="C1027" s="1" t="s">
        <v>1211</v>
      </c>
      <c r="D1027" s="1">
        <v>18.0</v>
      </c>
      <c r="E1027" s="1">
        <v>4205.0</v>
      </c>
      <c r="F1027" s="1">
        <v>2586.0</v>
      </c>
      <c r="G1027" s="1">
        <v>1661.0</v>
      </c>
      <c r="H1027" s="1">
        <v>2.5316</v>
      </c>
      <c r="I1027" s="1">
        <v>1.5569</v>
      </c>
      <c r="J1027" s="1">
        <v>0.9747</v>
      </c>
      <c r="K1027" s="1">
        <v>746.0</v>
      </c>
    </row>
    <row r="1028">
      <c r="A1028" s="1" t="s">
        <v>21</v>
      </c>
      <c r="B1028" s="1" t="s">
        <v>1192</v>
      </c>
      <c r="C1028" s="1" t="s">
        <v>1211</v>
      </c>
      <c r="D1028" s="1">
        <v>19.0</v>
      </c>
      <c r="E1028" s="1">
        <v>2520.0</v>
      </c>
      <c r="F1028" s="1">
        <v>1863.0</v>
      </c>
      <c r="G1028" s="1">
        <v>1661.0</v>
      </c>
      <c r="H1028" s="1">
        <v>1.5172</v>
      </c>
      <c r="I1028" s="1">
        <v>1.1216</v>
      </c>
      <c r="J1028" s="1">
        <v>0.3955</v>
      </c>
      <c r="K1028" s="1">
        <v>721.0</v>
      </c>
    </row>
    <row r="1029">
      <c r="A1029" s="1" t="s">
        <v>21</v>
      </c>
      <c r="B1029" s="1" t="s">
        <v>1192</v>
      </c>
      <c r="C1029" s="1" t="s">
        <v>1211</v>
      </c>
      <c r="D1029" s="1">
        <v>20.0</v>
      </c>
      <c r="E1029" s="1">
        <v>2905.0</v>
      </c>
      <c r="F1029" s="1">
        <v>1820.0</v>
      </c>
      <c r="G1029" s="1">
        <v>1661.0</v>
      </c>
      <c r="H1029" s="1">
        <v>1.7489</v>
      </c>
      <c r="I1029" s="1">
        <v>1.0957</v>
      </c>
      <c r="J1029" s="1">
        <v>0.6532</v>
      </c>
      <c r="K1029" s="1">
        <v>732.0</v>
      </c>
    </row>
    <row r="1030">
      <c r="A1030" s="1" t="s">
        <v>21</v>
      </c>
      <c r="B1030" s="1" t="s">
        <v>1192</v>
      </c>
      <c r="C1030" s="1" t="s">
        <v>1211</v>
      </c>
      <c r="D1030" s="1">
        <v>21.0</v>
      </c>
      <c r="E1030" s="1">
        <v>2370.0</v>
      </c>
      <c r="F1030" s="1">
        <v>1881.0</v>
      </c>
      <c r="G1030" s="1">
        <v>1661.0</v>
      </c>
      <c r="H1030" s="1">
        <v>1.4269</v>
      </c>
      <c r="I1030" s="1">
        <v>1.1325</v>
      </c>
      <c r="J1030" s="1">
        <v>0.2944</v>
      </c>
      <c r="K1030" s="1">
        <v>717.0</v>
      </c>
    </row>
    <row r="1031">
      <c r="A1031" s="1" t="s">
        <v>21</v>
      </c>
      <c r="B1031" s="1" t="s">
        <v>1192</v>
      </c>
      <c r="C1031" s="1" t="s">
        <v>55</v>
      </c>
      <c r="D1031" s="1">
        <v>1.0</v>
      </c>
      <c r="E1031" s="1">
        <v>163940.0</v>
      </c>
      <c r="F1031" s="1">
        <v>0.0</v>
      </c>
      <c r="G1031" s="1">
        <v>1888.0</v>
      </c>
      <c r="H1031" s="1">
        <v>86.8326</v>
      </c>
      <c r="I1031" s="1">
        <v>0.0</v>
      </c>
      <c r="J1031" s="1">
        <v>86.8326</v>
      </c>
      <c r="K1031" s="1">
        <v>804.0</v>
      </c>
    </row>
    <row r="1032">
      <c r="A1032" s="1" t="s">
        <v>21</v>
      </c>
      <c r="B1032" s="1" t="s">
        <v>1192</v>
      </c>
      <c r="C1032" s="1" t="s">
        <v>55</v>
      </c>
      <c r="D1032" s="1">
        <v>2.0</v>
      </c>
      <c r="E1032" s="1">
        <v>132430.0</v>
      </c>
      <c r="F1032" s="1">
        <v>0.0</v>
      </c>
      <c r="G1032" s="1">
        <v>1888.0</v>
      </c>
      <c r="H1032" s="1">
        <v>70.143</v>
      </c>
      <c r="I1032" s="1">
        <v>0.0</v>
      </c>
      <c r="J1032" s="1">
        <v>70.143</v>
      </c>
      <c r="K1032" s="1">
        <v>802.0</v>
      </c>
    </row>
    <row r="1033">
      <c r="A1033" s="1" t="s">
        <v>21</v>
      </c>
      <c r="B1033" s="1" t="s">
        <v>1192</v>
      </c>
      <c r="C1033" s="1" t="s">
        <v>55</v>
      </c>
      <c r="D1033" s="1">
        <v>3.0</v>
      </c>
      <c r="E1033" s="1">
        <v>131420.0</v>
      </c>
      <c r="F1033" s="1">
        <v>0.0</v>
      </c>
      <c r="G1033" s="1">
        <v>1888.0</v>
      </c>
      <c r="H1033" s="1">
        <v>69.6081</v>
      </c>
      <c r="I1033" s="1">
        <v>0.0</v>
      </c>
      <c r="J1033" s="1">
        <v>69.6081</v>
      </c>
      <c r="K1033" s="1">
        <v>778.0</v>
      </c>
    </row>
    <row r="1034">
      <c r="A1034" s="1" t="s">
        <v>21</v>
      </c>
      <c r="B1034" s="1" t="s">
        <v>1192</v>
      </c>
      <c r="C1034" s="1" t="s">
        <v>55</v>
      </c>
      <c r="D1034" s="1">
        <v>4.0</v>
      </c>
      <c r="E1034" s="1">
        <v>125525.0</v>
      </c>
      <c r="F1034" s="1">
        <v>0.0</v>
      </c>
      <c r="G1034" s="1">
        <v>1888.0</v>
      </c>
      <c r="H1034" s="1">
        <v>66.4857</v>
      </c>
      <c r="I1034" s="1">
        <v>0.0</v>
      </c>
      <c r="J1034" s="1">
        <v>66.4857</v>
      </c>
      <c r="K1034" s="1">
        <v>736.0</v>
      </c>
    </row>
    <row r="1035">
      <c r="A1035" s="1" t="s">
        <v>21</v>
      </c>
      <c r="B1035" s="1" t="s">
        <v>1192</v>
      </c>
      <c r="C1035" s="1" t="s">
        <v>55</v>
      </c>
      <c r="D1035" s="1">
        <v>5.0</v>
      </c>
      <c r="E1035" s="1">
        <v>106985.0</v>
      </c>
      <c r="F1035" s="1">
        <v>0.0</v>
      </c>
      <c r="G1035" s="1">
        <v>1888.0</v>
      </c>
      <c r="H1035" s="1">
        <v>56.6658</v>
      </c>
      <c r="I1035" s="1">
        <v>0.0</v>
      </c>
      <c r="J1035" s="1">
        <v>56.6658</v>
      </c>
      <c r="K1035" s="1">
        <v>735.0</v>
      </c>
    </row>
    <row r="1036">
      <c r="A1036" s="1" t="s">
        <v>21</v>
      </c>
      <c r="B1036" s="1" t="s">
        <v>1192</v>
      </c>
      <c r="C1036" s="1" t="s">
        <v>55</v>
      </c>
      <c r="D1036" s="1">
        <v>6.0</v>
      </c>
      <c r="E1036" s="1">
        <v>96110.0</v>
      </c>
      <c r="F1036" s="1">
        <v>0.0</v>
      </c>
      <c r="G1036" s="1">
        <v>1888.0</v>
      </c>
      <c r="H1036" s="1">
        <v>50.9057</v>
      </c>
      <c r="I1036" s="1">
        <v>0.0</v>
      </c>
      <c r="J1036" s="1">
        <v>50.9057</v>
      </c>
      <c r="K1036" s="1">
        <v>711.0</v>
      </c>
    </row>
    <row r="1037">
      <c r="A1037" s="1" t="s">
        <v>21</v>
      </c>
      <c r="B1037" s="1" t="s">
        <v>1192</v>
      </c>
      <c r="C1037" s="1" t="s">
        <v>55</v>
      </c>
      <c r="D1037" s="1">
        <v>7.0</v>
      </c>
      <c r="E1037" s="1">
        <v>85790.0</v>
      </c>
      <c r="F1037" s="1">
        <v>0.0</v>
      </c>
      <c r="G1037" s="1">
        <v>1888.0</v>
      </c>
      <c r="H1037" s="1">
        <v>45.4396</v>
      </c>
      <c r="I1037" s="1">
        <v>0.0</v>
      </c>
      <c r="J1037" s="1">
        <v>45.4396</v>
      </c>
      <c r="K1037" s="1">
        <v>693.0</v>
      </c>
    </row>
    <row r="1038">
      <c r="A1038" s="1" t="s">
        <v>21</v>
      </c>
      <c r="B1038" s="1" t="s">
        <v>1192</v>
      </c>
      <c r="C1038" s="1" t="s">
        <v>55</v>
      </c>
      <c r="D1038" s="1">
        <v>8.0</v>
      </c>
      <c r="E1038" s="1">
        <v>144265.0</v>
      </c>
      <c r="F1038" s="1">
        <v>0.0</v>
      </c>
      <c r="G1038" s="1">
        <v>1888.0</v>
      </c>
      <c r="H1038" s="1">
        <v>76.4115</v>
      </c>
      <c r="I1038" s="1">
        <v>0.0</v>
      </c>
      <c r="J1038" s="1">
        <v>76.4115</v>
      </c>
      <c r="K1038" s="1">
        <v>832.0</v>
      </c>
    </row>
    <row r="1039">
      <c r="A1039" s="1" t="s">
        <v>21</v>
      </c>
      <c r="B1039" s="1" t="s">
        <v>1192</v>
      </c>
      <c r="C1039" s="1" t="s">
        <v>55</v>
      </c>
      <c r="D1039" s="1">
        <v>9.0</v>
      </c>
      <c r="E1039" s="1">
        <v>134605.0</v>
      </c>
      <c r="F1039" s="1">
        <v>0.0</v>
      </c>
      <c r="G1039" s="1">
        <v>1888.0</v>
      </c>
      <c r="H1039" s="1">
        <v>71.295</v>
      </c>
      <c r="I1039" s="1">
        <v>0.0</v>
      </c>
      <c r="J1039" s="1">
        <v>71.295</v>
      </c>
      <c r="K1039" s="1">
        <v>790.0</v>
      </c>
    </row>
    <row r="1040">
      <c r="A1040" s="1" t="s">
        <v>21</v>
      </c>
      <c r="B1040" s="1" t="s">
        <v>1192</v>
      </c>
      <c r="C1040" s="1" t="s">
        <v>55</v>
      </c>
      <c r="D1040" s="1">
        <v>10.0</v>
      </c>
      <c r="E1040" s="1">
        <v>126275.0</v>
      </c>
      <c r="F1040" s="1">
        <v>0.0</v>
      </c>
      <c r="G1040" s="1">
        <v>1888.0</v>
      </c>
      <c r="H1040" s="1">
        <v>66.8829</v>
      </c>
      <c r="I1040" s="1">
        <v>0.0</v>
      </c>
      <c r="J1040" s="1">
        <v>66.8829</v>
      </c>
      <c r="K1040" s="1">
        <v>787.0</v>
      </c>
    </row>
    <row r="1041">
      <c r="A1041" s="1" t="s">
        <v>21</v>
      </c>
      <c r="B1041" s="1" t="s">
        <v>1192</v>
      </c>
      <c r="C1041" s="1" t="s">
        <v>55</v>
      </c>
      <c r="D1041" s="1">
        <v>11.0</v>
      </c>
      <c r="E1041" s="1">
        <v>112980.0</v>
      </c>
      <c r="F1041" s="1">
        <v>0.0</v>
      </c>
      <c r="G1041" s="1">
        <v>1888.0</v>
      </c>
      <c r="H1041" s="1">
        <v>59.8411</v>
      </c>
      <c r="I1041" s="1">
        <v>0.0</v>
      </c>
      <c r="J1041" s="1">
        <v>59.8411</v>
      </c>
      <c r="K1041" s="1">
        <v>728.0</v>
      </c>
    </row>
    <row r="1042">
      <c r="A1042" s="1" t="s">
        <v>21</v>
      </c>
      <c r="B1042" s="1" t="s">
        <v>1192</v>
      </c>
      <c r="C1042" s="1" t="s">
        <v>55</v>
      </c>
      <c r="D1042" s="1">
        <v>12.0</v>
      </c>
      <c r="E1042" s="1">
        <v>112515.0</v>
      </c>
      <c r="F1042" s="1">
        <v>0.0</v>
      </c>
      <c r="G1042" s="1">
        <v>1888.0</v>
      </c>
      <c r="H1042" s="1">
        <v>59.5948</v>
      </c>
      <c r="I1042" s="1">
        <v>0.0</v>
      </c>
      <c r="J1042" s="1">
        <v>59.5948</v>
      </c>
      <c r="K1042" s="1">
        <v>739.0</v>
      </c>
    </row>
    <row r="1043">
      <c r="A1043" s="1" t="s">
        <v>21</v>
      </c>
      <c r="B1043" s="1" t="s">
        <v>1192</v>
      </c>
      <c r="C1043" s="1" t="s">
        <v>55</v>
      </c>
      <c r="D1043" s="1">
        <v>13.0</v>
      </c>
      <c r="E1043" s="1">
        <v>95410.0</v>
      </c>
      <c r="F1043" s="1">
        <v>0.0</v>
      </c>
      <c r="G1043" s="1">
        <v>1888.0</v>
      </c>
      <c r="H1043" s="1">
        <v>50.535</v>
      </c>
      <c r="I1043" s="1">
        <v>0.0</v>
      </c>
      <c r="J1043" s="1">
        <v>50.535</v>
      </c>
      <c r="K1043" s="1">
        <v>735.0</v>
      </c>
    </row>
    <row r="1044">
      <c r="A1044" s="1" t="s">
        <v>21</v>
      </c>
      <c r="B1044" s="1" t="s">
        <v>1192</v>
      </c>
      <c r="C1044" s="1" t="s">
        <v>55</v>
      </c>
      <c r="D1044" s="1">
        <v>14.0</v>
      </c>
      <c r="E1044" s="1">
        <v>88485.0</v>
      </c>
      <c r="F1044" s="1">
        <v>0.0</v>
      </c>
      <c r="G1044" s="1">
        <v>1888.0</v>
      </c>
      <c r="H1044" s="1">
        <v>46.8671</v>
      </c>
      <c r="I1044" s="1">
        <v>0.0</v>
      </c>
      <c r="J1044" s="1">
        <v>46.8671</v>
      </c>
      <c r="K1044" s="1">
        <v>718.0</v>
      </c>
    </row>
    <row r="1045">
      <c r="A1045" s="1" t="s">
        <v>21</v>
      </c>
      <c r="B1045" s="1" t="s">
        <v>1192</v>
      </c>
      <c r="C1045" s="1" t="s">
        <v>55</v>
      </c>
      <c r="D1045" s="1">
        <v>15.0</v>
      </c>
      <c r="E1045" s="1">
        <v>149290.0</v>
      </c>
      <c r="F1045" s="1">
        <v>0.0</v>
      </c>
      <c r="G1045" s="1">
        <v>1888.0</v>
      </c>
      <c r="H1045" s="1">
        <v>79.0731</v>
      </c>
      <c r="I1045" s="1">
        <v>0.0</v>
      </c>
      <c r="J1045" s="1">
        <v>79.0731</v>
      </c>
      <c r="K1045" s="1">
        <v>846.0</v>
      </c>
    </row>
    <row r="1046">
      <c r="A1046" s="1" t="s">
        <v>21</v>
      </c>
      <c r="B1046" s="1" t="s">
        <v>1192</v>
      </c>
      <c r="C1046" s="1" t="s">
        <v>55</v>
      </c>
      <c r="D1046" s="1">
        <v>16.0</v>
      </c>
      <c r="E1046" s="1">
        <v>125140.0</v>
      </c>
      <c r="F1046" s="1">
        <v>0.0</v>
      </c>
      <c r="G1046" s="1">
        <v>1888.0</v>
      </c>
      <c r="H1046" s="1">
        <v>66.2818</v>
      </c>
      <c r="I1046" s="1">
        <v>0.0</v>
      </c>
      <c r="J1046" s="1">
        <v>66.2818</v>
      </c>
      <c r="K1046" s="1">
        <v>816.0</v>
      </c>
    </row>
    <row r="1047">
      <c r="A1047" s="1" t="s">
        <v>21</v>
      </c>
      <c r="B1047" s="1" t="s">
        <v>1192</v>
      </c>
      <c r="C1047" s="1" t="s">
        <v>55</v>
      </c>
      <c r="D1047" s="1">
        <v>17.0</v>
      </c>
      <c r="E1047" s="1">
        <v>116753.0</v>
      </c>
      <c r="F1047" s="1">
        <v>0.0</v>
      </c>
      <c r="G1047" s="1">
        <v>1888.0</v>
      </c>
      <c r="H1047" s="1">
        <v>61.8395</v>
      </c>
      <c r="I1047" s="1">
        <v>0.0</v>
      </c>
      <c r="J1047" s="1">
        <v>61.8395</v>
      </c>
      <c r="K1047" s="1">
        <v>804.0</v>
      </c>
    </row>
    <row r="1048">
      <c r="A1048" s="1" t="s">
        <v>21</v>
      </c>
      <c r="B1048" s="1" t="s">
        <v>1192</v>
      </c>
      <c r="C1048" s="1" t="s">
        <v>55</v>
      </c>
      <c r="D1048" s="1">
        <v>18.0</v>
      </c>
      <c r="E1048" s="1">
        <v>101200.0</v>
      </c>
      <c r="F1048" s="1">
        <v>0.0</v>
      </c>
      <c r="G1048" s="1">
        <v>1888.0</v>
      </c>
      <c r="H1048" s="1">
        <v>53.6017</v>
      </c>
      <c r="I1048" s="1">
        <v>0.0</v>
      </c>
      <c r="J1048" s="1">
        <v>53.6017</v>
      </c>
      <c r="K1048" s="1">
        <v>746.0</v>
      </c>
    </row>
    <row r="1049">
      <c r="A1049" s="1" t="s">
        <v>21</v>
      </c>
      <c r="B1049" s="1" t="s">
        <v>1192</v>
      </c>
      <c r="C1049" s="1" t="s">
        <v>55</v>
      </c>
      <c r="D1049" s="1">
        <v>19.0</v>
      </c>
      <c r="E1049" s="1">
        <v>94780.0</v>
      </c>
      <c r="F1049" s="1">
        <v>0.0</v>
      </c>
      <c r="G1049" s="1">
        <v>1888.0</v>
      </c>
      <c r="H1049" s="1">
        <v>50.2013</v>
      </c>
      <c r="I1049" s="1">
        <v>0.0</v>
      </c>
      <c r="J1049" s="1">
        <v>50.2013</v>
      </c>
      <c r="K1049" s="1">
        <v>721.0</v>
      </c>
    </row>
    <row r="1050">
      <c r="A1050" s="1" t="s">
        <v>21</v>
      </c>
      <c r="B1050" s="1" t="s">
        <v>1192</v>
      </c>
      <c r="C1050" s="1" t="s">
        <v>55</v>
      </c>
      <c r="D1050" s="1">
        <v>20.0</v>
      </c>
      <c r="E1050" s="1">
        <v>89600.0</v>
      </c>
      <c r="F1050" s="1">
        <v>0.0</v>
      </c>
      <c r="G1050" s="1">
        <v>1888.0</v>
      </c>
      <c r="H1050" s="1">
        <v>47.4576</v>
      </c>
      <c r="I1050" s="1">
        <v>0.0</v>
      </c>
      <c r="J1050" s="1">
        <v>47.4576</v>
      </c>
      <c r="K1050" s="1">
        <v>732.0</v>
      </c>
    </row>
    <row r="1051">
      <c r="A1051" s="1" t="s">
        <v>21</v>
      </c>
      <c r="B1051" s="1" t="s">
        <v>1192</v>
      </c>
      <c r="C1051" s="1" t="s">
        <v>55</v>
      </c>
      <c r="D1051" s="1">
        <v>21.0</v>
      </c>
      <c r="E1051" s="1">
        <v>81375.0</v>
      </c>
      <c r="F1051" s="1">
        <v>0.0</v>
      </c>
      <c r="G1051" s="1">
        <v>1888.0</v>
      </c>
      <c r="H1051" s="1">
        <v>43.1012</v>
      </c>
      <c r="I1051" s="1">
        <v>0.0</v>
      </c>
      <c r="J1051" s="1">
        <v>43.1012</v>
      </c>
      <c r="K1051" s="1">
        <v>717.0</v>
      </c>
    </row>
    <row r="1052">
      <c r="A1052" s="1" t="s">
        <v>21</v>
      </c>
      <c r="B1052" s="1" t="s">
        <v>1192</v>
      </c>
      <c r="C1052" s="1" t="s">
        <v>46</v>
      </c>
      <c r="D1052" s="1">
        <v>1.0</v>
      </c>
      <c r="E1052" s="1">
        <v>141924.0</v>
      </c>
      <c r="F1052" s="1">
        <v>0.0</v>
      </c>
      <c r="G1052" s="1">
        <v>1838.0</v>
      </c>
      <c r="H1052" s="1">
        <v>77.2165</v>
      </c>
      <c r="I1052" s="1">
        <v>0.0</v>
      </c>
      <c r="J1052" s="1">
        <v>77.2165</v>
      </c>
      <c r="K1052" s="1">
        <v>804.0</v>
      </c>
    </row>
    <row r="1053">
      <c r="A1053" s="1" t="s">
        <v>21</v>
      </c>
      <c r="B1053" s="1" t="s">
        <v>1192</v>
      </c>
      <c r="C1053" s="1" t="s">
        <v>46</v>
      </c>
      <c r="D1053" s="1">
        <v>2.0</v>
      </c>
      <c r="E1053" s="1">
        <v>124775.0</v>
      </c>
      <c r="F1053" s="1">
        <v>0.0</v>
      </c>
      <c r="G1053" s="1">
        <v>1838.0</v>
      </c>
      <c r="H1053" s="1">
        <v>67.8863</v>
      </c>
      <c r="I1053" s="1">
        <v>0.0</v>
      </c>
      <c r="J1053" s="1">
        <v>67.8863</v>
      </c>
      <c r="K1053" s="1">
        <v>802.0</v>
      </c>
    </row>
    <row r="1054">
      <c r="A1054" s="1" t="s">
        <v>21</v>
      </c>
      <c r="B1054" s="1" t="s">
        <v>1192</v>
      </c>
      <c r="C1054" s="1" t="s">
        <v>46</v>
      </c>
      <c r="D1054" s="1">
        <v>3.0</v>
      </c>
      <c r="E1054" s="1">
        <v>76944.0</v>
      </c>
      <c r="F1054" s="1">
        <v>0.0</v>
      </c>
      <c r="G1054" s="1">
        <v>1838.0</v>
      </c>
      <c r="H1054" s="1">
        <v>41.8629</v>
      </c>
      <c r="I1054" s="1">
        <v>0.0</v>
      </c>
      <c r="J1054" s="1">
        <v>41.8629</v>
      </c>
      <c r="K1054" s="1">
        <v>778.0</v>
      </c>
    </row>
    <row r="1055">
      <c r="A1055" s="1" t="s">
        <v>21</v>
      </c>
      <c r="B1055" s="1" t="s">
        <v>1192</v>
      </c>
      <c r="C1055" s="1" t="s">
        <v>46</v>
      </c>
      <c r="D1055" s="1">
        <v>4.0</v>
      </c>
      <c r="E1055" s="1">
        <v>117716.0</v>
      </c>
      <c r="F1055" s="1">
        <v>0.0</v>
      </c>
      <c r="G1055" s="1">
        <v>1838.0</v>
      </c>
      <c r="H1055" s="1">
        <v>64.0457</v>
      </c>
      <c r="I1055" s="1">
        <v>0.0</v>
      </c>
      <c r="J1055" s="1">
        <v>64.0457</v>
      </c>
      <c r="K1055" s="1">
        <v>736.0</v>
      </c>
    </row>
    <row r="1056">
      <c r="A1056" s="1" t="s">
        <v>21</v>
      </c>
      <c r="B1056" s="1" t="s">
        <v>1192</v>
      </c>
      <c r="C1056" s="1" t="s">
        <v>46</v>
      </c>
      <c r="D1056" s="1">
        <v>5.0</v>
      </c>
      <c r="E1056" s="1">
        <v>132271.0</v>
      </c>
      <c r="F1056" s="1">
        <v>0.0</v>
      </c>
      <c r="G1056" s="1">
        <v>1838.0</v>
      </c>
      <c r="H1056" s="1">
        <v>71.9646</v>
      </c>
      <c r="I1056" s="1">
        <v>0.0</v>
      </c>
      <c r="J1056" s="1">
        <v>71.9646</v>
      </c>
      <c r="K1056" s="1">
        <v>735.0</v>
      </c>
    </row>
    <row r="1057">
      <c r="A1057" s="1" t="s">
        <v>21</v>
      </c>
      <c r="B1057" s="1" t="s">
        <v>1192</v>
      </c>
      <c r="C1057" s="1" t="s">
        <v>46</v>
      </c>
      <c r="D1057" s="1">
        <v>6.0</v>
      </c>
      <c r="E1057" s="1">
        <v>126602.0</v>
      </c>
      <c r="F1057" s="1">
        <v>0.0</v>
      </c>
      <c r="G1057" s="1">
        <v>1838.0</v>
      </c>
      <c r="H1057" s="1">
        <v>68.8803</v>
      </c>
      <c r="I1057" s="1">
        <v>0.0</v>
      </c>
      <c r="J1057" s="1">
        <v>68.8803</v>
      </c>
      <c r="K1057" s="1">
        <v>711.0</v>
      </c>
    </row>
    <row r="1058">
      <c r="A1058" s="1" t="s">
        <v>21</v>
      </c>
      <c r="B1058" s="1" t="s">
        <v>1192</v>
      </c>
      <c r="C1058" s="1" t="s">
        <v>46</v>
      </c>
      <c r="D1058" s="1">
        <v>7.0</v>
      </c>
      <c r="E1058" s="1">
        <v>110328.0</v>
      </c>
      <c r="F1058" s="1">
        <v>0.0</v>
      </c>
      <c r="G1058" s="1">
        <v>1838.0</v>
      </c>
      <c r="H1058" s="1">
        <v>60.0261</v>
      </c>
      <c r="I1058" s="1">
        <v>0.0</v>
      </c>
      <c r="J1058" s="1">
        <v>60.0261</v>
      </c>
      <c r="K1058" s="1">
        <v>693.0</v>
      </c>
    </row>
    <row r="1059">
      <c r="A1059" s="1" t="s">
        <v>21</v>
      </c>
      <c r="B1059" s="1" t="s">
        <v>1192</v>
      </c>
      <c r="C1059" s="1" t="s">
        <v>46</v>
      </c>
      <c r="D1059" s="1">
        <v>8.0</v>
      </c>
      <c r="E1059" s="1">
        <v>193948.0</v>
      </c>
      <c r="F1059" s="1">
        <v>0.0</v>
      </c>
      <c r="G1059" s="1">
        <v>1838.0</v>
      </c>
      <c r="H1059" s="1">
        <v>105.5212</v>
      </c>
      <c r="I1059" s="1">
        <v>0.0</v>
      </c>
      <c r="J1059" s="1">
        <v>105.5212</v>
      </c>
      <c r="K1059" s="1">
        <v>832.0</v>
      </c>
    </row>
    <row r="1060">
      <c r="A1060" s="1" t="s">
        <v>21</v>
      </c>
      <c r="B1060" s="1" t="s">
        <v>1192</v>
      </c>
      <c r="C1060" s="1" t="s">
        <v>46</v>
      </c>
      <c r="D1060" s="1">
        <v>9.0</v>
      </c>
      <c r="E1060" s="1">
        <v>133619.0</v>
      </c>
      <c r="F1060" s="1">
        <v>0.0</v>
      </c>
      <c r="G1060" s="1">
        <v>1838.0</v>
      </c>
      <c r="H1060" s="1">
        <v>72.698</v>
      </c>
      <c r="I1060" s="1">
        <v>0.0</v>
      </c>
      <c r="J1060" s="1">
        <v>72.698</v>
      </c>
      <c r="K1060" s="1">
        <v>790.0</v>
      </c>
    </row>
    <row r="1061">
      <c r="A1061" s="1" t="s">
        <v>21</v>
      </c>
      <c r="B1061" s="1" t="s">
        <v>1192</v>
      </c>
      <c r="C1061" s="1" t="s">
        <v>46</v>
      </c>
      <c r="D1061" s="1">
        <v>10.0</v>
      </c>
      <c r="E1061" s="1">
        <v>132873.0</v>
      </c>
      <c r="F1061" s="1">
        <v>0.0</v>
      </c>
      <c r="G1061" s="1">
        <v>1838.0</v>
      </c>
      <c r="H1061" s="1">
        <v>72.2922</v>
      </c>
      <c r="I1061" s="1">
        <v>0.0</v>
      </c>
      <c r="J1061" s="1">
        <v>72.2922</v>
      </c>
      <c r="K1061" s="1">
        <v>787.0</v>
      </c>
    </row>
    <row r="1062">
      <c r="A1062" s="1" t="s">
        <v>21</v>
      </c>
      <c r="B1062" s="1" t="s">
        <v>1192</v>
      </c>
      <c r="C1062" s="1" t="s">
        <v>46</v>
      </c>
      <c r="D1062" s="1">
        <v>11.0</v>
      </c>
      <c r="E1062" s="1">
        <v>143892.0</v>
      </c>
      <c r="F1062" s="1">
        <v>0.0</v>
      </c>
      <c r="G1062" s="1">
        <v>1838.0</v>
      </c>
      <c r="H1062" s="1">
        <v>78.2873</v>
      </c>
      <c r="I1062" s="1">
        <v>0.0</v>
      </c>
      <c r="J1062" s="1">
        <v>78.2873</v>
      </c>
      <c r="K1062" s="1">
        <v>728.0</v>
      </c>
    </row>
    <row r="1063">
      <c r="A1063" s="1" t="s">
        <v>21</v>
      </c>
      <c r="B1063" s="1" t="s">
        <v>1192</v>
      </c>
      <c r="C1063" s="1" t="s">
        <v>46</v>
      </c>
      <c r="D1063" s="1">
        <v>12.0</v>
      </c>
      <c r="E1063" s="1">
        <v>161490.0</v>
      </c>
      <c r="F1063" s="1">
        <v>0.0</v>
      </c>
      <c r="G1063" s="1">
        <v>1838.0</v>
      </c>
      <c r="H1063" s="1">
        <v>87.8618</v>
      </c>
      <c r="I1063" s="1">
        <v>0.0</v>
      </c>
      <c r="J1063" s="1">
        <v>87.8618</v>
      </c>
      <c r="K1063" s="1">
        <v>739.0</v>
      </c>
    </row>
    <row r="1064">
      <c r="A1064" s="1" t="s">
        <v>21</v>
      </c>
      <c r="B1064" s="1" t="s">
        <v>1192</v>
      </c>
      <c r="C1064" s="1" t="s">
        <v>46</v>
      </c>
      <c r="D1064" s="1">
        <v>13.0</v>
      </c>
      <c r="E1064" s="1">
        <v>136527.0</v>
      </c>
      <c r="F1064" s="1">
        <v>0.0</v>
      </c>
      <c r="G1064" s="1">
        <v>1838.0</v>
      </c>
      <c r="H1064" s="1">
        <v>74.2802</v>
      </c>
      <c r="I1064" s="1">
        <v>0.0</v>
      </c>
      <c r="J1064" s="1">
        <v>74.2802</v>
      </c>
      <c r="K1064" s="1">
        <v>735.0</v>
      </c>
    </row>
    <row r="1065">
      <c r="A1065" s="1" t="s">
        <v>21</v>
      </c>
      <c r="B1065" s="1" t="s">
        <v>1192</v>
      </c>
      <c r="C1065" s="1" t="s">
        <v>46</v>
      </c>
      <c r="D1065" s="1">
        <v>14.0</v>
      </c>
      <c r="E1065" s="1">
        <v>117604.0</v>
      </c>
      <c r="F1065" s="1">
        <v>0.0</v>
      </c>
      <c r="G1065" s="1">
        <v>1838.0</v>
      </c>
      <c r="H1065" s="1">
        <v>63.9848</v>
      </c>
      <c r="I1065" s="1">
        <v>0.0</v>
      </c>
      <c r="J1065" s="1">
        <v>63.9848</v>
      </c>
      <c r="K1065" s="1">
        <v>718.0</v>
      </c>
    </row>
    <row r="1066">
      <c r="A1066" s="1" t="s">
        <v>21</v>
      </c>
      <c r="B1066" s="1" t="s">
        <v>1192</v>
      </c>
      <c r="C1066" s="1" t="s">
        <v>46</v>
      </c>
      <c r="D1066" s="1">
        <v>15.0</v>
      </c>
      <c r="E1066" s="1">
        <v>202326.0</v>
      </c>
      <c r="F1066" s="1">
        <v>0.0</v>
      </c>
      <c r="G1066" s="1">
        <v>1838.0</v>
      </c>
      <c r="H1066" s="1">
        <v>110.0794</v>
      </c>
      <c r="I1066" s="1">
        <v>0.0</v>
      </c>
      <c r="J1066" s="1">
        <v>110.0794</v>
      </c>
      <c r="K1066" s="1">
        <v>846.0</v>
      </c>
    </row>
    <row r="1067">
      <c r="A1067" s="1" t="s">
        <v>21</v>
      </c>
      <c r="B1067" s="1" t="s">
        <v>1192</v>
      </c>
      <c r="C1067" s="1" t="s">
        <v>46</v>
      </c>
      <c r="D1067" s="1">
        <v>16.0</v>
      </c>
      <c r="E1067" s="1">
        <v>156492.0</v>
      </c>
      <c r="F1067" s="1">
        <v>0.0</v>
      </c>
      <c r="G1067" s="1">
        <v>1838.0</v>
      </c>
      <c r="H1067" s="1">
        <v>85.1425</v>
      </c>
      <c r="I1067" s="1">
        <v>0.0</v>
      </c>
      <c r="J1067" s="1">
        <v>85.1425</v>
      </c>
      <c r="K1067" s="1">
        <v>816.0</v>
      </c>
    </row>
    <row r="1068">
      <c r="A1068" s="1" t="s">
        <v>21</v>
      </c>
      <c r="B1068" s="1" t="s">
        <v>1192</v>
      </c>
      <c r="C1068" s="1" t="s">
        <v>46</v>
      </c>
      <c r="D1068" s="1">
        <v>17.0</v>
      </c>
      <c r="E1068" s="1">
        <v>143549.0</v>
      </c>
      <c r="F1068" s="1">
        <v>0.0</v>
      </c>
      <c r="G1068" s="1">
        <v>1838.0</v>
      </c>
      <c r="H1068" s="1">
        <v>78.1007</v>
      </c>
      <c r="I1068" s="1">
        <v>0.0</v>
      </c>
      <c r="J1068" s="1">
        <v>78.1007</v>
      </c>
      <c r="K1068" s="1">
        <v>804.0</v>
      </c>
    </row>
    <row r="1069">
      <c r="A1069" s="1" t="s">
        <v>21</v>
      </c>
      <c r="B1069" s="1" t="s">
        <v>1192</v>
      </c>
      <c r="C1069" s="1" t="s">
        <v>46</v>
      </c>
      <c r="D1069" s="1">
        <v>18.0</v>
      </c>
      <c r="E1069" s="1">
        <v>126647.0</v>
      </c>
      <c r="F1069" s="1">
        <v>0.0</v>
      </c>
      <c r="G1069" s="1">
        <v>1838.0</v>
      </c>
      <c r="H1069" s="1">
        <v>68.9048</v>
      </c>
      <c r="I1069" s="1">
        <v>0.0</v>
      </c>
      <c r="J1069" s="1">
        <v>68.9048</v>
      </c>
      <c r="K1069" s="1">
        <v>746.0</v>
      </c>
    </row>
    <row r="1070">
      <c r="A1070" s="1" t="s">
        <v>21</v>
      </c>
      <c r="B1070" s="1" t="s">
        <v>1192</v>
      </c>
      <c r="C1070" s="1" t="s">
        <v>46</v>
      </c>
      <c r="D1070" s="1">
        <v>19.0</v>
      </c>
      <c r="E1070" s="1">
        <v>115759.0</v>
      </c>
      <c r="F1070" s="1">
        <v>0.0</v>
      </c>
      <c r="G1070" s="1">
        <v>1838.0</v>
      </c>
      <c r="H1070" s="1">
        <v>62.981</v>
      </c>
      <c r="I1070" s="1">
        <v>0.0</v>
      </c>
      <c r="J1070" s="1">
        <v>62.981</v>
      </c>
      <c r="K1070" s="1">
        <v>721.0</v>
      </c>
    </row>
    <row r="1071">
      <c r="A1071" s="1" t="s">
        <v>21</v>
      </c>
      <c r="B1071" s="1" t="s">
        <v>1192</v>
      </c>
      <c r="C1071" s="1" t="s">
        <v>46</v>
      </c>
      <c r="D1071" s="1">
        <v>20.0</v>
      </c>
      <c r="E1071" s="1">
        <v>102278.0</v>
      </c>
      <c r="F1071" s="1">
        <v>0.0</v>
      </c>
      <c r="G1071" s="1">
        <v>1838.0</v>
      </c>
      <c r="H1071" s="1">
        <v>55.6464</v>
      </c>
      <c r="I1071" s="1">
        <v>0.0</v>
      </c>
      <c r="J1071" s="1">
        <v>55.6464</v>
      </c>
      <c r="K1071" s="1">
        <v>732.0</v>
      </c>
    </row>
    <row r="1072">
      <c r="A1072" s="1" t="s">
        <v>21</v>
      </c>
      <c r="B1072" s="1" t="s">
        <v>1192</v>
      </c>
      <c r="C1072" s="1" t="s">
        <v>46</v>
      </c>
      <c r="D1072" s="1">
        <v>21.0</v>
      </c>
      <c r="E1072" s="1">
        <v>90350.0</v>
      </c>
      <c r="F1072" s="1">
        <v>0.0</v>
      </c>
      <c r="G1072" s="1">
        <v>1838.0</v>
      </c>
      <c r="H1072" s="1">
        <v>49.1567</v>
      </c>
      <c r="I1072" s="1">
        <v>0.0</v>
      </c>
      <c r="J1072" s="1">
        <v>49.1567</v>
      </c>
      <c r="K1072" s="1">
        <v>717.0</v>
      </c>
    </row>
    <row r="1073">
      <c r="A1073" s="1" t="s">
        <v>21</v>
      </c>
      <c r="B1073" s="1" t="s">
        <v>1192</v>
      </c>
      <c r="C1073" s="1" t="s">
        <v>1213</v>
      </c>
      <c r="D1073" s="1">
        <v>1.0</v>
      </c>
      <c r="E1073" s="1">
        <v>0.0</v>
      </c>
      <c r="F1073" s="1">
        <v>0.0</v>
      </c>
      <c r="G1073" s="1">
        <v>1295.0</v>
      </c>
      <c r="H1073" s="1">
        <v>0.0</v>
      </c>
      <c r="I1073" s="1">
        <v>0.0</v>
      </c>
      <c r="J1073" s="1">
        <v>0.0</v>
      </c>
      <c r="K1073" s="1">
        <v>804.0</v>
      </c>
    </row>
    <row r="1074">
      <c r="A1074" s="1" t="s">
        <v>21</v>
      </c>
      <c r="B1074" s="1" t="s">
        <v>1192</v>
      </c>
      <c r="C1074" s="1" t="s">
        <v>1213</v>
      </c>
      <c r="D1074" s="1">
        <v>2.0</v>
      </c>
      <c r="E1074" s="1">
        <v>0.0</v>
      </c>
      <c r="F1074" s="1">
        <v>0.0</v>
      </c>
      <c r="G1074" s="1">
        <v>1295.0</v>
      </c>
      <c r="H1074" s="1">
        <v>0.0</v>
      </c>
      <c r="I1074" s="1">
        <v>0.0</v>
      </c>
      <c r="J1074" s="1">
        <v>0.0</v>
      </c>
      <c r="K1074" s="1">
        <v>802.0</v>
      </c>
    </row>
    <row r="1075">
      <c r="A1075" s="1" t="s">
        <v>21</v>
      </c>
      <c r="B1075" s="1" t="s">
        <v>1192</v>
      </c>
      <c r="C1075" s="1" t="s">
        <v>1213</v>
      </c>
      <c r="D1075" s="1">
        <v>3.0</v>
      </c>
      <c r="E1075" s="1">
        <v>0.0</v>
      </c>
      <c r="F1075" s="1">
        <v>0.0</v>
      </c>
      <c r="G1075" s="1">
        <v>1295.0</v>
      </c>
      <c r="H1075" s="1">
        <v>0.0</v>
      </c>
      <c r="I1075" s="1">
        <v>0.0</v>
      </c>
      <c r="J1075" s="1">
        <v>0.0</v>
      </c>
      <c r="K1075" s="1">
        <v>778.0</v>
      </c>
    </row>
    <row r="1076">
      <c r="A1076" s="1" t="s">
        <v>21</v>
      </c>
      <c r="B1076" s="1" t="s">
        <v>1192</v>
      </c>
      <c r="C1076" s="1" t="s">
        <v>1213</v>
      </c>
      <c r="D1076" s="1">
        <v>4.0</v>
      </c>
      <c r="E1076" s="1">
        <v>0.0</v>
      </c>
      <c r="F1076" s="1">
        <v>0.0</v>
      </c>
      <c r="G1076" s="1">
        <v>1295.0</v>
      </c>
      <c r="H1076" s="1">
        <v>0.0</v>
      </c>
      <c r="I1076" s="1">
        <v>0.0</v>
      </c>
      <c r="J1076" s="1">
        <v>0.0</v>
      </c>
      <c r="K1076" s="1">
        <v>736.0</v>
      </c>
    </row>
    <row r="1077">
      <c r="A1077" s="1" t="s">
        <v>21</v>
      </c>
      <c r="B1077" s="1" t="s">
        <v>1192</v>
      </c>
      <c r="C1077" s="1" t="s">
        <v>1213</v>
      </c>
      <c r="D1077" s="1">
        <v>5.0</v>
      </c>
      <c r="E1077" s="1">
        <v>0.0</v>
      </c>
      <c r="F1077" s="1">
        <v>0.0</v>
      </c>
      <c r="G1077" s="1">
        <v>1295.0</v>
      </c>
      <c r="H1077" s="1">
        <v>0.0</v>
      </c>
      <c r="I1077" s="1">
        <v>0.0</v>
      </c>
      <c r="J1077" s="1">
        <v>0.0</v>
      </c>
      <c r="K1077" s="1">
        <v>735.0</v>
      </c>
    </row>
    <row r="1078">
      <c r="A1078" s="1" t="s">
        <v>21</v>
      </c>
      <c r="B1078" s="1" t="s">
        <v>1192</v>
      </c>
      <c r="C1078" s="1" t="s">
        <v>1213</v>
      </c>
      <c r="D1078" s="1">
        <v>6.0</v>
      </c>
      <c r="E1078" s="1">
        <v>0.0</v>
      </c>
      <c r="F1078" s="1">
        <v>0.0</v>
      </c>
      <c r="G1078" s="1">
        <v>1295.0</v>
      </c>
      <c r="H1078" s="1">
        <v>0.0</v>
      </c>
      <c r="I1078" s="1">
        <v>0.0</v>
      </c>
      <c r="J1078" s="1">
        <v>0.0</v>
      </c>
      <c r="K1078" s="1">
        <v>711.0</v>
      </c>
    </row>
    <row r="1079">
      <c r="A1079" s="1" t="s">
        <v>21</v>
      </c>
      <c r="B1079" s="1" t="s">
        <v>1192</v>
      </c>
      <c r="C1079" s="1" t="s">
        <v>1213</v>
      </c>
      <c r="D1079" s="1">
        <v>7.0</v>
      </c>
      <c r="E1079" s="1">
        <v>15.0</v>
      </c>
      <c r="F1079" s="1">
        <v>0.0</v>
      </c>
      <c r="G1079" s="1">
        <v>1295.0</v>
      </c>
      <c r="H1079" s="1">
        <v>0.0116</v>
      </c>
      <c r="I1079" s="1">
        <v>0.0</v>
      </c>
      <c r="J1079" s="1">
        <v>0.0116</v>
      </c>
      <c r="K1079" s="1">
        <v>693.0</v>
      </c>
    </row>
    <row r="1080">
      <c r="A1080" s="1" t="s">
        <v>21</v>
      </c>
      <c r="B1080" s="1" t="s">
        <v>1192</v>
      </c>
      <c r="C1080" s="1" t="s">
        <v>1213</v>
      </c>
      <c r="D1080" s="1">
        <v>8.0</v>
      </c>
      <c r="E1080" s="1">
        <v>5800.0</v>
      </c>
      <c r="F1080" s="1">
        <v>0.0</v>
      </c>
      <c r="G1080" s="1">
        <v>1295.0</v>
      </c>
      <c r="H1080" s="1">
        <v>4.4788</v>
      </c>
      <c r="I1080" s="1">
        <v>0.0</v>
      </c>
      <c r="J1080" s="1">
        <v>4.4788</v>
      </c>
      <c r="K1080" s="1">
        <v>832.0</v>
      </c>
    </row>
    <row r="1081">
      <c r="A1081" s="1" t="s">
        <v>21</v>
      </c>
      <c r="B1081" s="1" t="s">
        <v>1192</v>
      </c>
      <c r="C1081" s="1" t="s">
        <v>1213</v>
      </c>
      <c r="D1081" s="1">
        <v>9.0</v>
      </c>
      <c r="E1081" s="1">
        <v>2770.0</v>
      </c>
      <c r="F1081" s="1">
        <v>0.0</v>
      </c>
      <c r="G1081" s="1">
        <v>1295.0</v>
      </c>
      <c r="H1081" s="1">
        <v>2.139</v>
      </c>
      <c r="I1081" s="1">
        <v>0.0</v>
      </c>
      <c r="J1081" s="1">
        <v>2.139</v>
      </c>
      <c r="K1081" s="1">
        <v>790.0</v>
      </c>
    </row>
    <row r="1082">
      <c r="A1082" s="1" t="s">
        <v>21</v>
      </c>
      <c r="B1082" s="1" t="s">
        <v>1192</v>
      </c>
      <c r="C1082" s="1" t="s">
        <v>1213</v>
      </c>
      <c r="D1082" s="1">
        <v>10.0</v>
      </c>
      <c r="E1082" s="1">
        <v>1730.0</v>
      </c>
      <c r="F1082" s="1">
        <v>0.0</v>
      </c>
      <c r="G1082" s="1">
        <v>1295.0</v>
      </c>
      <c r="H1082" s="1">
        <v>1.3359</v>
      </c>
      <c r="I1082" s="1">
        <v>0.0</v>
      </c>
      <c r="J1082" s="1">
        <v>1.3359</v>
      </c>
      <c r="K1082" s="1">
        <v>787.0</v>
      </c>
    </row>
    <row r="1083">
      <c r="A1083" s="1" t="s">
        <v>21</v>
      </c>
      <c r="B1083" s="1" t="s">
        <v>1192</v>
      </c>
      <c r="C1083" s="1" t="s">
        <v>1213</v>
      </c>
      <c r="D1083" s="1">
        <v>11.0</v>
      </c>
      <c r="E1083" s="1">
        <v>1270.0</v>
      </c>
      <c r="F1083" s="1">
        <v>0.0</v>
      </c>
      <c r="G1083" s="1">
        <v>1295.0</v>
      </c>
      <c r="H1083" s="1">
        <v>0.9807</v>
      </c>
      <c r="I1083" s="1">
        <v>0.0</v>
      </c>
      <c r="J1083" s="1">
        <v>0.9807</v>
      </c>
      <c r="K1083" s="1">
        <v>728.0</v>
      </c>
    </row>
    <row r="1084">
      <c r="A1084" s="1" t="s">
        <v>21</v>
      </c>
      <c r="B1084" s="1" t="s">
        <v>1192</v>
      </c>
      <c r="C1084" s="1" t="s">
        <v>1213</v>
      </c>
      <c r="D1084" s="1">
        <v>12.0</v>
      </c>
      <c r="E1084" s="1">
        <v>40.0</v>
      </c>
      <c r="F1084" s="1">
        <v>0.0</v>
      </c>
      <c r="G1084" s="1">
        <v>1295.0</v>
      </c>
      <c r="H1084" s="1">
        <v>0.0309</v>
      </c>
      <c r="I1084" s="1">
        <v>0.0</v>
      </c>
      <c r="J1084" s="1">
        <v>0.0309</v>
      </c>
      <c r="K1084" s="1">
        <v>739.0</v>
      </c>
    </row>
    <row r="1085">
      <c r="A1085" s="1" t="s">
        <v>21</v>
      </c>
      <c r="B1085" s="1" t="s">
        <v>1192</v>
      </c>
      <c r="C1085" s="1" t="s">
        <v>1213</v>
      </c>
      <c r="D1085" s="1">
        <v>13.0</v>
      </c>
      <c r="E1085" s="1">
        <v>0.0</v>
      </c>
      <c r="F1085" s="1">
        <v>0.0</v>
      </c>
      <c r="G1085" s="1">
        <v>1295.0</v>
      </c>
      <c r="H1085" s="1">
        <v>0.0</v>
      </c>
      <c r="I1085" s="1">
        <v>0.0</v>
      </c>
      <c r="J1085" s="1">
        <v>0.0</v>
      </c>
      <c r="K1085" s="1">
        <v>735.0</v>
      </c>
    </row>
    <row r="1086">
      <c r="A1086" s="1" t="s">
        <v>21</v>
      </c>
      <c r="B1086" s="1" t="s">
        <v>1192</v>
      </c>
      <c r="C1086" s="1" t="s">
        <v>1213</v>
      </c>
      <c r="D1086" s="1">
        <v>14.0</v>
      </c>
      <c r="E1086" s="1">
        <v>0.0</v>
      </c>
      <c r="F1086" s="1">
        <v>0.0</v>
      </c>
      <c r="G1086" s="1">
        <v>1295.0</v>
      </c>
      <c r="H1086" s="1">
        <v>0.0</v>
      </c>
      <c r="I1086" s="1">
        <v>0.0</v>
      </c>
      <c r="J1086" s="1">
        <v>0.0</v>
      </c>
      <c r="K1086" s="1">
        <v>718.0</v>
      </c>
    </row>
    <row r="1087">
      <c r="A1087" s="1" t="s">
        <v>21</v>
      </c>
      <c r="B1087" s="1" t="s">
        <v>1192</v>
      </c>
      <c r="C1087" s="1" t="s">
        <v>1213</v>
      </c>
      <c r="D1087" s="1">
        <v>15.0</v>
      </c>
      <c r="E1087" s="1">
        <v>5380.0</v>
      </c>
      <c r="F1087" s="1">
        <v>0.0</v>
      </c>
      <c r="G1087" s="1">
        <v>1295.0</v>
      </c>
      <c r="H1087" s="1">
        <v>4.1544</v>
      </c>
      <c r="I1087" s="1">
        <v>0.0</v>
      </c>
      <c r="J1087" s="1">
        <v>4.1544</v>
      </c>
      <c r="K1087" s="1">
        <v>846.0</v>
      </c>
    </row>
    <row r="1088">
      <c r="A1088" s="1" t="s">
        <v>21</v>
      </c>
      <c r="B1088" s="1" t="s">
        <v>1192</v>
      </c>
      <c r="C1088" s="1" t="s">
        <v>1213</v>
      </c>
      <c r="D1088" s="1">
        <v>16.0</v>
      </c>
      <c r="E1088" s="1">
        <v>2970.0</v>
      </c>
      <c r="F1088" s="1">
        <v>0.0</v>
      </c>
      <c r="G1088" s="1">
        <v>1295.0</v>
      </c>
      <c r="H1088" s="1">
        <v>2.2934</v>
      </c>
      <c r="I1088" s="1">
        <v>0.0</v>
      </c>
      <c r="J1088" s="1">
        <v>2.2934</v>
      </c>
      <c r="K1088" s="1">
        <v>816.0</v>
      </c>
    </row>
    <row r="1089">
      <c r="A1089" s="1" t="s">
        <v>21</v>
      </c>
      <c r="B1089" s="1" t="s">
        <v>1192</v>
      </c>
      <c r="C1089" s="1" t="s">
        <v>1213</v>
      </c>
      <c r="D1089" s="1">
        <v>17.0</v>
      </c>
      <c r="E1089" s="1">
        <v>1900.0</v>
      </c>
      <c r="F1089" s="1">
        <v>0.0</v>
      </c>
      <c r="G1089" s="1">
        <v>1295.0</v>
      </c>
      <c r="H1089" s="1">
        <v>1.4672</v>
      </c>
      <c r="I1089" s="1">
        <v>0.0</v>
      </c>
      <c r="J1089" s="1">
        <v>1.4672</v>
      </c>
      <c r="K1089" s="1">
        <v>804.0</v>
      </c>
    </row>
    <row r="1090">
      <c r="A1090" s="1" t="s">
        <v>21</v>
      </c>
      <c r="B1090" s="1" t="s">
        <v>1192</v>
      </c>
      <c r="C1090" s="1" t="s">
        <v>1213</v>
      </c>
      <c r="D1090" s="1">
        <v>18.0</v>
      </c>
      <c r="E1090" s="1">
        <v>1420.0</v>
      </c>
      <c r="F1090" s="1">
        <v>0.0</v>
      </c>
      <c r="G1090" s="1">
        <v>1295.0</v>
      </c>
      <c r="H1090" s="1">
        <v>1.0965</v>
      </c>
      <c r="I1090" s="1">
        <v>0.0</v>
      </c>
      <c r="J1090" s="1">
        <v>1.0965</v>
      </c>
      <c r="K1090" s="1">
        <v>746.0</v>
      </c>
    </row>
    <row r="1091">
      <c r="A1091" s="1" t="s">
        <v>21</v>
      </c>
      <c r="B1091" s="1" t="s">
        <v>1192</v>
      </c>
      <c r="C1091" s="1" t="s">
        <v>1213</v>
      </c>
      <c r="D1091" s="1">
        <v>19.0</v>
      </c>
      <c r="E1091" s="1">
        <v>110.0</v>
      </c>
      <c r="F1091" s="1">
        <v>0.0</v>
      </c>
      <c r="G1091" s="1">
        <v>1295.0</v>
      </c>
      <c r="H1091" s="1">
        <v>0.0849</v>
      </c>
      <c r="I1091" s="1">
        <v>0.0</v>
      </c>
      <c r="J1091" s="1">
        <v>0.0849</v>
      </c>
      <c r="K1091" s="1">
        <v>721.0</v>
      </c>
    </row>
    <row r="1092">
      <c r="A1092" s="1" t="s">
        <v>21</v>
      </c>
      <c r="B1092" s="1" t="s">
        <v>1192</v>
      </c>
      <c r="C1092" s="1" t="s">
        <v>1213</v>
      </c>
      <c r="D1092" s="1">
        <v>20.0</v>
      </c>
      <c r="E1092" s="1">
        <v>25.0</v>
      </c>
      <c r="F1092" s="1">
        <v>0.0</v>
      </c>
      <c r="G1092" s="1">
        <v>1295.0</v>
      </c>
      <c r="H1092" s="1">
        <v>0.0193</v>
      </c>
      <c r="I1092" s="1">
        <v>0.0</v>
      </c>
      <c r="J1092" s="1">
        <v>0.0193</v>
      </c>
      <c r="K1092" s="1">
        <v>732.0</v>
      </c>
    </row>
    <row r="1093">
      <c r="A1093" s="1" t="s">
        <v>21</v>
      </c>
      <c r="B1093" s="1" t="s">
        <v>1192</v>
      </c>
      <c r="C1093" s="1" t="s">
        <v>1213</v>
      </c>
      <c r="D1093" s="1">
        <v>21.0</v>
      </c>
      <c r="E1093" s="1">
        <v>15.0</v>
      </c>
      <c r="F1093" s="1">
        <v>0.0</v>
      </c>
      <c r="G1093" s="1">
        <v>1295.0</v>
      </c>
      <c r="H1093" s="1">
        <v>0.0116</v>
      </c>
      <c r="I1093" s="1">
        <v>0.0</v>
      </c>
      <c r="J1093" s="1">
        <v>0.0116</v>
      </c>
      <c r="K1093" s="1">
        <v>717.0</v>
      </c>
    </row>
    <row r="1094">
      <c r="A1094" s="1" t="s">
        <v>22</v>
      </c>
      <c r="B1094" s="1" t="s">
        <v>180</v>
      </c>
      <c r="C1094" s="1" t="s">
        <v>1205</v>
      </c>
      <c r="D1094" s="1">
        <v>1.0</v>
      </c>
      <c r="E1094" s="1">
        <v>816402.1604</v>
      </c>
      <c r="F1094" s="1">
        <v>730900.0</v>
      </c>
      <c r="G1094" s="1">
        <v>19815.0</v>
      </c>
      <c r="H1094" s="1">
        <v>41.2012</v>
      </c>
      <c r="I1094" s="1">
        <v>36.8862</v>
      </c>
      <c r="J1094" s="1">
        <v>4.315</v>
      </c>
      <c r="K1094" s="1">
        <v>4532.0</v>
      </c>
    </row>
    <row r="1095">
      <c r="A1095" s="1" t="s">
        <v>22</v>
      </c>
      <c r="B1095" s="1" t="s">
        <v>180</v>
      </c>
      <c r="C1095" s="1" t="s">
        <v>1205</v>
      </c>
      <c r="D1095" s="1">
        <v>2.0</v>
      </c>
      <c r="E1095" s="1">
        <v>538782.7317</v>
      </c>
      <c r="F1095" s="1">
        <v>580950.0</v>
      </c>
      <c r="G1095" s="1">
        <v>19815.0</v>
      </c>
      <c r="H1095" s="1">
        <v>27.1907</v>
      </c>
      <c r="I1095" s="1">
        <v>29.3187</v>
      </c>
      <c r="J1095" s="1">
        <v>-2.128</v>
      </c>
      <c r="K1095" s="1">
        <v>4507.0</v>
      </c>
    </row>
    <row r="1096">
      <c r="A1096" s="1" t="s">
        <v>22</v>
      </c>
      <c r="B1096" s="1" t="s">
        <v>180</v>
      </c>
      <c r="C1096" s="1" t="s">
        <v>1205</v>
      </c>
      <c r="D1096" s="1">
        <v>3.0</v>
      </c>
      <c r="E1096" s="1">
        <v>588247.1985</v>
      </c>
      <c r="F1096" s="1">
        <v>594450.0</v>
      </c>
      <c r="G1096" s="1">
        <v>19815.0</v>
      </c>
      <c r="H1096" s="1">
        <v>29.687</v>
      </c>
      <c r="I1096" s="1">
        <v>30.0</v>
      </c>
      <c r="J1096" s="1">
        <v>-0.313</v>
      </c>
      <c r="K1096" s="1">
        <v>4451.0</v>
      </c>
    </row>
    <row r="1097">
      <c r="A1097" s="1" t="s">
        <v>22</v>
      </c>
      <c r="B1097" s="1" t="s">
        <v>180</v>
      </c>
      <c r="C1097" s="1" t="s">
        <v>1205</v>
      </c>
      <c r="D1097" s="1">
        <v>4.0</v>
      </c>
      <c r="E1097" s="1">
        <v>512337.4681</v>
      </c>
      <c r="F1097" s="1">
        <v>519700.0</v>
      </c>
      <c r="G1097" s="1">
        <v>19815.0</v>
      </c>
      <c r="H1097" s="1">
        <v>25.856</v>
      </c>
      <c r="I1097" s="1">
        <v>26.2276</v>
      </c>
      <c r="J1097" s="1">
        <v>-0.3716</v>
      </c>
      <c r="K1097" s="1">
        <v>4274.0</v>
      </c>
    </row>
    <row r="1098">
      <c r="A1098" s="1" t="s">
        <v>22</v>
      </c>
      <c r="B1098" s="1" t="s">
        <v>180</v>
      </c>
      <c r="C1098" s="1" t="s">
        <v>1205</v>
      </c>
      <c r="D1098" s="1">
        <v>5.0</v>
      </c>
      <c r="E1098" s="1">
        <v>716626.4552</v>
      </c>
      <c r="F1098" s="1">
        <v>573050.0</v>
      </c>
      <c r="G1098" s="1">
        <v>19815.0</v>
      </c>
      <c r="H1098" s="1">
        <v>36.1659</v>
      </c>
      <c r="I1098" s="1">
        <v>28.92</v>
      </c>
      <c r="J1098" s="1">
        <v>7.2458</v>
      </c>
      <c r="K1098" s="1">
        <v>4250.0</v>
      </c>
    </row>
    <row r="1099">
      <c r="A1099" s="1" t="s">
        <v>22</v>
      </c>
      <c r="B1099" s="1" t="s">
        <v>180</v>
      </c>
      <c r="C1099" s="1" t="s">
        <v>1205</v>
      </c>
      <c r="D1099" s="1">
        <v>6.0</v>
      </c>
      <c r="E1099" s="1">
        <v>520192.0</v>
      </c>
      <c r="F1099" s="1">
        <v>523650.0</v>
      </c>
      <c r="G1099" s="1">
        <v>19815.0</v>
      </c>
      <c r="H1099" s="1">
        <v>26.2524</v>
      </c>
      <c r="I1099" s="1">
        <v>26.4269</v>
      </c>
      <c r="J1099" s="1">
        <v>-0.1745</v>
      </c>
      <c r="K1099" s="1">
        <v>4137.0</v>
      </c>
    </row>
    <row r="1100">
      <c r="A1100" s="1" t="s">
        <v>22</v>
      </c>
      <c r="B1100" s="1" t="s">
        <v>180</v>
      </c>
      <c r="C1100" s="1" t="s">
        <v>1205</v>
      </c>
      <c r="D1100" s="1">
        <v>7.0</v>
      </c>
      <c r="E1100" s="1">
        <v>504156.6667</v>
      </c>
      <c r="F1100" s="1">
        <v>509350.0</v>
      </c>
      <c r="G1100" s="1">
        <v>19815.0</v>
      </c>
      <c r="H1100" s="1">
        <v>25.4432</v>
      </c>
      <c r="I1100" s="1">
        <v>25.7053</v>
      </c>
      <c r="J1100" s="1">
        <v>-0.2621</v>
      </c>
      <c r="K1100" s="1">
        <v>4216.0</v>
      </c>
    </row>
    <row r="1101">
      <c r="A1101" s="1" t="s">
        <v>22</v>
      </c>
      <c r="B1101" s="1" t="s">
        <v>180</v>
      </c>
      <c r="C1101" s="1" t="s">
        <v>1205</v>
      </c>
      <c r="D1101" s="1">
        <v>8.0</v>
      </c>
      <c r="E1101" s="1">
        <v>759602.4858</v>
      </c>
      <c r="F1101" s="1">
        <v>650100.0</v>
      </c>
      <c r="G1101" s="1">
        <v>19815.0</v>
      </c>
      <c r="H1101" s="1">
        <v>38.3347</v>
      </c>
      <c r="I1101" s="1">
        <v>32.8085</v>
      </c>
      <c r="J1101" s="1">
        <v>5.5262</v>
      </c>
      <c r="K1101" s="1">
        <v>4541.0</v>
      </c>
    </row>
    <row r="1102">
      <c r="A1102" s="1" t="s">
        <v>22</v>
      </c>
      <c r="B1102" s="1" t="s">
        <v>180</v>
      </c>
      <c r="C1102" s="1" t="s">
        <v>1205</v>
      </c>
      <c r="D1102" s="1">
        <v>9.0</v>
      </c>
      <c r="E1102" s="1">
        <v>535387.179</v>
      </c>
      <c r="F1102" s="1">
        <v>571450.0</v>
      </c>
      <c r="G1102" s="1">
        <v>19815.0</v>
      </c>
      <c r="H1102" s="1">
        <v>27.0193</v>
      </c>
      <c r="I1102" s="1">
        <v>28.8393</v>
      </c>
      <c r="J1102" s="1">
        <v>-1.82</v>
      </c>
      <c r="K1102" s="1">
        <v>4545.0</v>
      </c>
    </row>
    <row r="1103">
      <c r="A1103" s="1" t="s">
        <v>22</v>
      </c>
      <c r="B1103" s="1" t="s">
        <v>180</v>
      </c>
      <c r="C1103" s="1" t="s">
        <v>1205</v>
      </c>
      <c r="D1103" s="1">
        <v>10.0</v>
      </c>
      <c r="E1103" s="1">
        <v>568034.7689</v>
      </c>
      <c r="F1103" s="1">
        <v>563150.0</v>
      </c>
      <c r="G1103" s="1">
        <v>19815.0</v>
      </c>
      <c r="H1103" s="1">
        <v>28.6669</v>
      </c>
      <c r="I1103" s="1">
        <v>28.4204</v>
      </c>
      <c r="J1103" s="1">
        <v>0.2465</v>
      </c>
      <c r="K1103" s="1">
        <v>4520.0</v>
      </c>
    </row>
    <row r="1104">
      <c r="A1104" s="1" t="s">
        <v>22</v>
      </c>
      <c r="B1104" s="1" t="s">
        <v>180</v>
      </c>
      <c r="C1104" s="1" t="s">
        <v>1205</v>
      </c>
      <c r="D1104" s="1">
        <v>11.0</v>
      </c>
      <c r="E1104" s="1">
        <v>491536.711</v>
      </c>
      <c r="F1104" s="1">
        <v>510400.0</v>
      </c>
      <c r="G1104" s="1">
        <v>19815.0</v>
      </c>
      <c r="H1104" s="1">
        <v>24.8063</v>
      </c>
      <c r="I1104" s="1">
        <v>25.7583</v>
      </c>
      <c r="J1104" s="1">
        <v>-0.952</v>
      </c>
      <c r="K1104" s="1">
        <v>4589.0</v>
      </c>
    </row>
    <row r="1105">
      <c r="A1105" s="1" t="s">
        <v>22</v>
      </c>
      <c r="B1105" s="1" t="s">
        <v>180</v>
      </c>
      <c r="C1105" s="1" t="s">
        <v>1205</v>
      </c>
      <c r="D1105" s="1">
        <v>12.0</v>
      </c>
      <c r="E1105" s="1">
        <v>738793.2641</v>
      </c>
      <c r="F1105" s="1">
        <v>588800.0</v>
      </c>
      <c r="G1105" s="1">
        <v>19815.0</v>
      </c>
      <c r="H1105" s="1">
        <v>37.2845</v>
      </c>
      <c r="I1105" s="1">
        <v>29.7149</v>
      </c>
      <c r="J1105" s="1">
        <v>7.5697</v>
      </c>
      <c r="K1105" s="1">
        <v>4587.0</v>
      </c>
    </row>
    <row r="1106">
      <c r="A1106" s="1" t="s">
        <v>22</v>
      </c>
      <c r="B1106" s="1" t="s">
        <v>180</v>
      </c>
      <c r="C1106" s="1" t="s">
        <v>1205</v>
      </c>
      <c r="D1106" s="1">
        <v>13.0</v>
      </c>
      <c r="E1106" s="1">
        <v>588512.0714</v>
      </c>
      <c r="F1106" s="1">
        <v>581250.0</v>
      </c>
      <c r="G1106" s="1">
        <v>19815.0</v>
      </c>
      <c r="H1106" s="1">
        <v>29.7003</v>
      </c>
      <c r="I1106" s="1">
        <v>29.3338</v>
      </c>
      <c r="J1106" s="1">
        <v>0.3665</v>
      </c>
      <c r="K1106" s="1">
        <v>4861.0</v>
      </c>
    </row>
    <row r="1107">
      <c r="A1107" s="1" t="s">
        <v>22</v>
      </c>
      <c r="B1107" s="1" t="s">
        <v>180</v>
      </c>
      <c r="C1107" s="1" t="s">
        <v>1205</v>
      </c>
      <c r="D1107" s="1">
        <v>14.0</v>
      </c>
      <c r="E1107" s="1">
        <v>562205.8462</v>
      </c>
      <c r="F1107" s="1">
        <v>571600.0</v>
      </c>
      <c r="G1107" s="1">
        <v>19815.0</v>
      </c>
      <c r="H1107" s="1">
        <v>28.3727</v>
      </c>
      <c r="I1107" s="1">
        <v>28.8468</v>
      </c>
      <c r="J1107" s="1">
        <v>-0.4741</v>
      </c>
      <c r="K1107" s="1">
        <v>4940.0</v>
      </c>
    </row>
    <row r="1108">
      <c r="A1108" s="1" t="s">
        <v>22</v>
      </c>
      <c r="B1108" s="1" t="s">
        <v>180</v>
      </c>
      <c r="C1108" s="1" t="s">
        <v>1205</v>
      </c>
      <c r="D1108" s="1">
        <v>15.0</v>
      </c>
      <c r="E1108" s="1">
        <v>828280.6463</v>
      </c>
      <c r="F1108" s="1">
        <v>707850.0</v>
      </c>
      <c r="G1108" s="1">
        <v>19815.0</v>
      </c>
      <c r="H1108" s="1">
        <v>41.8007</v>
      </c>
      <c r="I1108" s="1">
        <v>35.7229</v>
      </c>
      <c r="J1108" s="1">
        <v>6.0778</v>
      </c>
      <c r="K1108" s="1">
        <v>5144.0</v>
      </c>
    </row>
    <row r="1109">
      <c r="A1109" s="1" t="s">
        <v>22</v>
      </c>
      <c r="B1109" s="1" t="s">
        <v>180</v>
      </c>
      <c r="C1109" s="1" t="s">
        <v>1205</v>
      </c>
      <c r="D1109" s="1">
        <v>16.0</v>
      </c>
      <c r="E1109" s="1">
        <v>585844.6382</v>
      </c>
      <c r="F1109" s="1">
        <v>616800.0</v>
      </c>
      <c r="G1109" s="1">
        <v>19815.0</v>
      </c>
      <c r="H1109" s="1">
        <v>29.5657</v>
      </c>
      <c r="I1109" s="1">
        <v>31.1279</v>
      </c>
      <c r="J1109" s="1">
        <v>-1.5622</v>
      </c>
      <c r="K1109" s="1">
        <v>5311.0</v>
      </c>
    </row>
    <row r="1110">
      <c r="A1110" s="1" t="s">
        <v>22</v>
      </c>
      <c r="B1110" s="1" t="s">
        <v>180</v>
      </c>
      <c r="C1110" s="1" t="s">
        <v>1205</v>
      </c>
      <c r="D1110" s="1">
        <v>17.0</v>
      </c>
      <c r="E1110" s="1">
        <v>568781.2249</v>
      </c>
      <c r="F1110" s="1">
        <v>566400.0</v>
      </c>
      <c r="G1110" s="1">
        <v>19815.0</v>
      </c>
      <c r="H1110" s="1">
        <v>28.7046</v>
      </c>
      <c r="I1110" s="1">
        <v>28.5844</v>
      </c>
      <c r="J1110" s="1">
        <v>0.1202</v>
      </c>
      <c r="K1110" s="1">
        <v>5182.0</v>
      </c>
    </row>
    <row r="1111">
      <c r="A1111" s="1" t="s">
        <v>22</v>
      </c>
      <c r="B1111" s="1" t="s">
        <v>180</v>
      </c>
      <c r="C1111" s="1" t="s">
        <v>1205</v>
      </c>
      <c r="D1111" s="1">
        <v>18.0</v>
      </c>
      <c r="E1111" s="1">
        <v>474556.8875</v>
      </c>
      <c r="F1111" s="1">
        <v>506650.0</v>
      </c>
      <c r="G1111" s="1">
        <v>19815.0</v>
      </c>
      <c r="H1111" s="1">
        <v>23.9494</v>
      </c>
      <c r="I1111" s="1">
        <v>25.569</v>
      </c>
      <c r="J1111" s="1">
        <v>-1.6196</v>
      </c>
      <c r="K1111" s="1">
        <v>5152.0</v>
      </c>
    </row>
    <row r="1112">
      <c r="A1112" s="1" t="s">
        <v>22</v>
      </c>
      <c r="B1112" s="1" t="s">
        <v>180</v>
      </c>
      <c r="C1112" s="1" t="s">
        <v>1205</v>
      </c>
      <c r="D1112" s="1">
        <v>19.0</v>
      </c>
      <c r="E1112" s="1">
        <v>735375.4069</v>
      </c>
      <c r="F1112" s="1">
        <v>606600.0</v>
      </c>
      <c r="G1112" s="1">
        <v>19815.0</v>
      </c>
      <c r="H1112" s="1">
        <v>37.1121</v>
      </c>
      <c r="I1112" s="1">
        <v>30.6132</v>
      </c>
      <c r="J1112" s="1">
        <v>6.4989</v>
      </c>
      <c r="K1112" s="1">
        <v>4791.0</v>
      </c>
    </row>
    <row r="1113">
      <c r="A1113" s="1" t="s">
        <v>22</v>
      </c>
      <c r="B1113" s="1" t="s">
        <v>180</v>
      </c>
      <c r="C1113" s="1" t="s">
        <v>1205</v>
      </c>
      <c r="D1113" s="1">
        <v>20.0</v>
      </c>
      <c r="E1113" s="1">
        <v>522315.6667</v>
      </c>
      <c r="F1113" s="1">
        <v>526950.0</v>
      </c>
      <c r="G1113" s="1">
        <v>19815.0</v>
      </c>
      <c r="H1113" s="1">
        <v>26.3596</v>
      </c>
      <c r="I1113" s="1">
        <v>26.5935</v>
      </c>
      <c r="J1113" s="1">
        <v>-0.2339</v>
      </c>
      <c r="K1113" s="1">
        <v>4629.0</v>
      </c>
    </row>
    <row r="1114">
      <c r="A1114" s="1" t="s">
        <v>22</v>
      </c>
      <c r="B1114" s="1" t="s">
        <v>180</v>
      </c>
      <c r="C1114" s="1" t="s">
        <v>1205</v>
      </c>
      <c r="D1114" s="1">
        <v>21.0</v>
      </c>
      <c r="E1114" s="1">
        <v>476385.5</v>
      </c>
      <c r="F1114" s="1">
        <v>501250.0</v>
      </c>
      <c r="G1114" s="1">
        <v>19815.0</v>
      </c>
      <c r="H1114" s="1">
        <v>24.0417</v>
      </c>
      <c r="I1114" s="1">
        <v>25.2965</v>
      </c>
      <c r="J1114" s="1">
        <v>-1.2548</v>
      </c>
      <c r="K1114" s="1">
        <v>4452.0</v>
      </c>
    </row>
    <row r="1115">
      <c r="A1115" s="1" t="s">
        <v>22</v>
      </c>
      <c r="B1115" s="1" t="s">
        <v>180</v>
      </c>
      <c r="C1115" s="1" t="s">
        <v>52</v>
      </c>
      <c r="D1115" s="1">
        <v>1.0</v>
      </c>
      <c r="E1115" s="1">
        <v>12450.0</v>
      </c>
      <c r="F1115" s="1">
        <v>9157.0</v>
      </c>
      <c r="G1115" s="1">
        <v>15395.0</v>
      </c>
      <c r="H1115" s="1">
        <v>0.8087</v>
      </c>
      <c r="I1115" s="1">
        <v>0.5948</v>
      </c>
      <c r="J1115" s="1">
        <v>0.2139</v>
      </c>
      <c r="K1115" s="1">
        <v>4532.0</v>
      </c>
    </row>
    <row r="1116">
      <c r="A1116" s="1" t="s">
        <v>22</v>
      </c>
      <c r="B1116" s="1" t="s">
        <v>180</v>
      </c>
      <c r="C1116" s="1" t="s">
        <v>52</v>
      </c>
      <c r="D1116" s="1">
        <v>2.0</v>
      </c>
      <c r="E1116" s="1">
        <v>8555.0</v>
      </c>
      <c r="F1116" s="1">
        <v>7978.0</v>
      </c>
      <c r="G1116" s="1">
        <v>15395.0</v>
      </c>
      <c r="H1116" s="1">
        <v>0.5557</v>
      </c>
      <c r="I1116" s="1">
        <v>0.5182</v>
      </c>
      <c r="J1116" s="1">
        <v>0.0375</v>
      </c>
      <c r="K1116" s="1">
        <v>4507.0</v>
      </c>
    </row>
    <row r="1117">
      <c r="A1117" s="1" t="s">
        <v>22</v>
      </c>
      <c r="B1117" s="1" t="s">
        <v>180</v>
      </c>
      <c r="C1117" s="1" t="s">
        <v>52</v>
      </c>
      <c r="D1117" s="1">
        <v>3.0</v>
      </c>
      <c r="E1117" s="1">
        <v>8699.0</v>
      </c>
      <c r="F1117" s="1">
        <v>8121.0</v>
      </c>
      <c r="G1117" s="1">
        <v>15395.0</v>
      </c>
      <c r="H1117" s="1">
        <v>0.5651</v>
      </c>
      <c r="I1117" s="1">
        <v>0.5275</v>
      </c>
      <c r="J1117" s="1">
        <v>0.0375</v>
      </c>
      <c r="K1117" s="1">
        <v>4451.0</v>
      </c>
    </row>
    <row r="1118">
      <c r="A1118" s="1" t="s">
        <v>22</v>
      </c>
      <c r="B1118" s="1" t="s">
        <v>180</v>
      </c>
      <c r="C1118" s="1" t="s">
        <v>52</v>
      </c>
      <c r="D1118" s="1">
        <v>4.0</v>
      </c>
      <c r="E1118" s="1">
        <v>7469.0</v>
      </c>
      <c r="F1118" s="1">
        <v>7398.0</v>
      </c>
      <c r="G1118" s="1">
        <v>15395.0</v>
      </c>
      <c r="H1118" s="1">
        <v>0.4852</v>
      </c>
      <c r="I1118" s="1">
        <v>0.4805</v>
      </c>
      <c r="J1118" s="1">
        <v>0.0046</v>
      </c>
      <c r="K1118" s="1">
        <v>4274.0</v>
      </c>
    </row>
    <row r="1119">
      <c r="A1119" s="1" t="s">
        <v>22</v>
      </c>
      <c r="B1119" s="1" t="s">
        <v>180</v>
      </c>
      <c r="C1119" s="1" t="s">
        <v>52</v>
      </c>
      <c r="D1119" s="1">
        <v>5.0</v>
      </c>
      <c r="E1119" s="1">
        <v>7753.0</v>
      </c>
      <c r="F1119" s="1">
        <v>7247.0</v>
      </c>
      <c r="G1119" s="1">
        <v>15395.0</v>
      </c>
      <c r="H1119" s="1">
        <v>0.5036</v>
      </c>
      <c r="I1119" s="1">
        <v>0.4707</v>
      </c>
      <c r="J1119" s="1">
        <v>0.0329</v>
      </c>
      <c r="K1119" s="1">
        <v>4250.0</v>
      </c>
    </row>
    <row r="1120">
      <c r="A1120" s="1" t="s">
        <v>22</v>
      </c>
      <c r="B1120" s="1" t="s">
        <v>180</v>
      </c>
      <c r="C1120" s="1" t="s">
        <v>52</v>
      </c>
      <c r="D1120" s="1">
        <v>6.0</v>
      </c>
      <c r="E1120" s="1">
        <v>5275.0</v>
      </c>
      <c r="F1120" s="1">
        <v>6192.0</v>
      </c>
      <c r="G1120" s="1">
        <v>15395.0</v>
      </c>
      <c r="H1120" s="1">
        <v>0.3426</v>
      </c>
      <c r="I1120" s="1">
        <v>0.4022</v>
      </c>
      <c r="J1120" s="1">
        <v>-0.0596</v>
      </c>
      <c r="K1120" s="1">
        <v>4137.0</v>
      </c>
    </row>
    <row r="1121">
      <c r="A1121" s="1" t="s">
        <v>22</v>
      </c>
      <c r="B1121" s="1" t="s">
        <v>180</v>
      </c>
      <c r="C1121" s="1" t="s">
        <v>52</v>
      </c>
      <c r="D1121" s="1">
        <v>7.0</v>
      </c>
      <c r="E1121" s="1">
        <v>5038.0</v>
      </c>
      <c r="F1121" s="1">
        <v>6142.0</v>
      </c>
      <c r="G1121" s="1">
        <v>15395.0</v>
      </c>
      <c r="H1121" s="1">
        <v>0.3272</v>
      </c>
      <c r="I1121" s="1">
        <v>0.399</v>
      </c>
      <c r="J1121" s="1">
        <v>-0.0717</v>
      </c>
      <c r="K1121" s="1">
        <v>4216.0</v>
      </c>
    </row>
    <row r="1122">
      <c r="A1122" s="1" t="s">
        <v>22</v>
      </c>
      <c r="B1122" s="1" t="s">
        <v>180</v>
      </c>
      <c r="C1122" s="1" t="s">
        <v>52</v>
      </c>
      <c r="D1122" s="1">
        <v>8.0</v>
      </c>
      <c r="E1122" s="1">
        <v>11713.0</v>
      </c>
      <c r="F1122" s="1">
        <v>8644.0</v>
      </c>
      <c r="G1122" s="1">
        <v>15395.0</v>
      </c>
      <c r="H1122" s="1">
        <v>0.7608</v>
      </c>
      <c r="I1122" s="1">
        <v>0.5615</v>
      </c>
      <c r="J1122" s="1">
        <v>0.1994</v>
      </c>
      <c r="K1122" s="1">
        <v>4541.0</v>
      </c>
    </row>
    <row r="1123">
      <c r="A1123" s="1" t="s">
        <v>22</v>
      </c>
      <c r="B1123" s="1" t="s">
        <v>180</v>
      </c>
      <c r="C1123" s="1" t="s">
        <v>52</v>
      </c>
      <c r="D1123" s="1">
        <v>9.0</v>
      </c>
      <c r="E1123" s="1">
        <v>8615.0</v>
      </c>
      <c r="F1123" s="1">
        <v>8086.0</v>
      </c>
      <c r="G1123" s="1">
        <v>15395.0</v>
      </c>
      <c r="H1123" s="1">
        <v>0.5596</v>
      </c>
      <c r="I1123" s="1">
        <v>0.5252</v>
      </c>
      <c r="J1123" s="1">
        <v>0.0344</v>
      </c>
      <c r="K1123" s="1">
        <v>4545.0</v>
      </c>
    </row>
    <row r="1124">
      <c r="A1124" s="1" t="s">
        <v>22</v>
      </c>
      <c r="B1124" s="1" t="s">
        <v>180</v>
      </c>
      <c r="C1124" s="1" t="s">
        <v>52</v>
      </c>
      <c r="D1124" s="1">
        <v>10.0</v>
      </c>
      <c r="E1124" s="1">
        <v>8694.0</v>
      </c>
      <c r="F1124" s="1">
        <v>7874.0</v>
      </c>
      <c r="G1124" s="1">
        <v>15395.0</v>
      </c>
      <c r="H1124" s="1">
        <v>0.5647</v>
      </c>
      <c r="I1124" s="1">
        <v>0.5115</v>
      </c>
      <c r="J1124" s="1">
        <v>0.0533</v>
      </c>
      <c r="K1124" s="1">
        <v>4520.0</v>
      </c>
    </row>
    <row r="1125">
      <c r="A1125" s="1" t="s">
        <v>22</v>
      </c>
      <c r="B1125" s="1" t="s">
        <v>180</v>
      </c>
      <c r="C1125" s="1" t="s">
        <v>52</v>
      </c>
      <c r="D1125" s="1">
        <v>11.0</v>
      </c>
      <c r="E1125" s="1">
        <v>7299.0</v>
      </c>
      <c r="F1125" s="1">
        <v>7142.0</v>
      </c>
      <c r="G1125" s="1">
        <v>15395.0</v>
      </c>
      <c r="H1125" s="1">
        <v>0.4741</v>
      </c>
      <c r="I1125" s="1">
        <v>0.4639</v>
      </c>
      <c r="J1125" s="1">
        <v>0.0102</v>
      </c>
      <c r="K1125" s="1">
        <v>4589.0</v>
      </c>
    </row>
    <row r="1126">
      <c r="A1126" s="1" t="s">
        <v>22</v>
      </c>
      <c r="B1126" s="1" t="s">
        <v>180</v>
      </c>
      <c r="C1126" s="1" t="s">
        <v>52</v>
      </c>
      <c r="D1126" s="1">
        <v>12.0</v>
      </c>
      <c r="E1126" s="1">
        <v>8043.0</v>
      </c>
      <c r="F1126" s="1">
        <v>7457.0</v>
      </c>
      <c r="G1126" s="1">
        <v>15395.0</v>
      </c>
      <c r="H1126" s="1">
        <v>0.5224</v>
      </c>
      <c r="I1126" s="1">
        <v>0.4844</v>
      </c>
      <c r="J1126" s="1">
        <v>0.0381</v>
      </c>
      <c r="K1126" s="1">
        <v>4587.0</v>
      </c>
    </row>
    <row r="1127">
      <c r="A1127" s="1" t="s">
        <v>22</v>
      </c>
      <c r="B1127" s="1" t="s">
        <v>180</v>
      </c>
      <c r="C1127" s="1" t="s">
        <v>52</v>
      </c>
      <c r="D1127" s="1">
        <v>13.0</v>
      </c>
      <c r="E1127" s="1">
        <v>5860.0</v>
      </c>
      <c r="F1127" s="1">
        <v>6972.0</v>
      </c>
      <c r="G1127" s="1">
        <v>15395.0</v>
      </c>
      <c r="H1127" s="1">
        <v>0.3806</v>
      </c>
      <c r="I1127" s="1">
        <v>0.4529</v>
      </c>
      <c r="J1127" s="1">
        <v>-0.0722</v>
      </c>
      <c r="K1127" s="1">
        <v>4861.0</v>
      </c>
    </row>
    <row r="1128">
      <c r="A1128" s="1" t="s">
        <v>22</v>
      </c>
      <c r="B1128" s="1" t="s">
        <v>180</v>
      </c>
      <c r="C1128" s="1" t="s">
        <v>52</v>
      </c>
      <c r="D1128" s="1">
        <v>14.0</v>
      </c>
      <c r="E1128" s="1">
        <v>5722.0</v>
      </c>
      <c r="F1128" s="1">
        <v>6853.0</v>
      </c>
      <c r="G1128" s="1">
        <v>15395.0</v>
      </c>
      <c r="H1128" s="1">
        <v>0.3717</v>
      </c>
      <c r="I1128" s="1">
        <v>0.4451</v>
      </c>
      <c r="J1128" s="1">
        <v>-0.0735</v>
      </c>
      <c r="K1128" s="1">
        <v>4940.0</v>
      </c>
    </row>
    <row r="1129">
      <c r="A1129" s="1" t="s">
        <v>22</v>
      </c>
      <c r="B1129" s="1" t="s">
        <v>180</v>
      </c>
      <c r="C1129" s="1" t="s">
        <v>52</v>
      </c>
      <c r="D1129" s="1">
        <v>15.0</v>
      </c>
      <c r="E1129" s="1">
        <v>12638.0</v>
      </c>
      <c r="F1129" s="1">
        <v>9249.0</v>
      </c>
      <c r="G1129" s="1">
        <v>15395.0</v>
      </c>
      <c r="H1129" s="1">
        <v>0.8209</v>
      </c>
      <c r="I1129" s="1">
        <v>0.6008</v>
      </c>
      <c r="J1129" s="1">
        <v>0.2201</v>
      </c>
      <c r="K1129" s="1">
        <v>5144.0</v>
      </c>
    </row>
    <row r="1130">
      <c r="A1130" s="1" t="s">
        <v>22</v>
      </c>
      <c r="B1130" s="1" t="s">
        <v>180</v>
      </c>
      <c r="C1130" s="1" t="s">
        <v>52</v>
      </c>
      <c r="D1130" s="1">
        <v>16.0</v>
      </c>
      <c r="E1130" s="1">
        <v>9392.0</v>
      </c>
      <c r="F1130" s="1">
        <v>8779.0</v>
      </c>
      <c r="G1130" s="1">
        <v>15395.0</v>
      </c>
      <c r="H1130" s="1">
        <v>0.6101</v>
      </c>
      <c r="I1130" s="1">
        <v>0.5703</v>
      </c>
      <c r="J1130" s="1">
        <v>0.0398</v>
      </c>
      <c r="K1130" s="1">
        <v>5311.0</v>
      </c>
    </row>
    <row r="1131">
      <c r="A1131" s="1" t="s">
        <v>22</v>
      </c>
      <c r="B1131" s="1" t="s">
        <v>180</v>
      </c>
      <c r="C1131" s="1" t="s">
        <v>52</v>
      </c>
      <c r="D1131" s="1">
        <v>17.0</v>
      </c>
      <c r="E1131" s="1">
        <v>9274.0</v>
      </c>
      <c r="F1131" s="1">
        <v>8152.0</v>
      </c>
      <c r="G1131" s="1">
        <v>15395.0</v>
      </c>
      <c r="H1131" s="1">
        <v>0.6024</v>
      </c>
      <c r="I1131" s="1">
        <v>0.5295</v>
      </c>
      <c r="J1131" s="1">
        <v>0.0729</v>
      </c>
      <c r="K1131" s="1">
        <v>5182.0</v>
      </c>
    </row>
    <row r="1132">
      <c r="A1132" s="1" t="s">
        <v>22</v>
      </c>
      <c r="B1132" s="1" t="s">
        <v>180</v>
      </c>
      <c r="C1132" s="1" t="s">
        <v>52</v>
      </c>
      <c r="D1132" s="1">
        <v>18.0</v>
      </c>
      <c r="E1132" s="1">
        <v>7602.0</v>
      </c>
      <c r="F1132" s="1">
        <v>7420.0</v>
      </c>
      <c r="G1132" s="1">
        <v>15395.0</v>
      </c>
      <c r="H1132" s="1">
        <v>0.4938</v>
      </c>
      <c r="I1132" s="1">
        <v>0.482</v>
      </c>
      <c r="J1132" s="1">
        <v>0.0118</v>
      </c>
      <c r="K1132" s="1">
        <v>5152.0</v>
      </c>
    </row>
    <row r="1133">
      <c r="A1133" s="1" t="s">
        <v>22</v>
      </c>
      <c r="B1133" s="1" t="s">
        <v>180</v>
      </c>
      <c r="C1133" s="1" t="s">
        <v>52</v>
      </c>
      <c r="D1133" s="1">
        <v>19.0</v>
      </c>
      <c r="E1133" s="1">
        <v>8226.0</v>
      </c>
      <c r="F1133" s="1">
        <v>7019.0</v>
      </c>
      <c r="G1133" s="1">
        <v>15395.0</v>
      </c>
      <c r="H1133" s="1">
        <v>0.5343</v>
      </c>
      <c r="I1133" s="1">
        <v>0.4559</v>
      </c>
      <c r="J1133" s="1">
        <v>0.0784</v>
      </c>
      <c r="K1133" s="1">
        <v>4791.0</v>
      </c>
    </row>
    <row r="1134">
      <c r="A1134" s="1" t="s">
        <v>22</v>
      </c>
      <c r="B1134" s="1" t="s">
        <v>180</v>
      </c>
      <c r="C1134" s="1" t="s">
        <v>52</v>
      </c>
      <c r="D1134" s="1">
        <v>20.0</v>
      </c>
      <c r="E1134" s="1">
        <v>5148.0</v>
      </c>
      <c r="F1134" s="1">
        <v>6163.0</v>
      </c>
      <c r="G1134" s="1">
        <v>15395.0</v>
      </c>
      <c r="H1134" s="1">
        <v>0.3344</v>
      </c>
      <c r="I1134" s="1">
        <v>0.4003</v>
      </c>
      <c r="J1134" s="1">
        <v>-0.0659</v>
      </c>
      <c r="K1134" s="1">
        <v>4629.0</v>
      </c>
    </row>
    <row r="1135">
      <c r="A1135" s="1" t="s">
        <v>22</v>
      </c>
      <c r="B1135" s="1" t="s">
        <v>180</v>
      </c>
      <c r="C1135" s="1" t="s">
        <v>52</v>
      </c>
      <c r="D1135" s="1">
        <v>21.0</v>
      </c>
      <c r="E1135" s="1">
        <v>4554.0</v>
      </c>
      <c r="F1135" s="1">
        <v>5609.0</v>
      </c>
      <c r="G1135" s="1">
        <v>15395.0</v>
      </c>
      <c r="H1135" s="1">
        <v>0.2958</v>
      </c>
      <c r="I1135" s="1">
        <v>0.3643</v>
      </c>
      <c r="J1135" s="1">
        <v>-0.0685</v>
      </c>
      <c r="K1135" s="1">
        <v>4452.0</v>
      </c>
    </row>
    <row r="1136">
      <c r="A1136" s="1" t="s">
        <v>22</v>
      </c>
      <c r="B1136" s="1" t="s">
        <v>180</v>
      </c>
      <c r="C1136" s="1" t="s">
        <v>53</v>
      </c>
      <c r="D1136" s="1">
        <v>1.0</v>
      </c>
      <c r="E1136" s="1">
        <v>8493.0</v>
      </c>
      <c r="F1136" s="1">
        <v>7493.0</v>
      </c>
      <c r="G1136" s="1">
        <v>13794.0</v>
      </c>
      <c r="H1136" s="1">
        <v>0.6157</v>
      </c>
      <c r="I1136" s="1">
        <v>0.5432</v>
      </c>
      <c r="J1136" s="1">
        <v>0.0725</v>
      </c>
      <c r="K1136" s="1">
        <v>4532.0</v>
      </c>
    </row>
    <row r="1137">
      <c r="A1137" s="1" t="s">
        <v>22</v>
      </c>
      <c r="B1137" s="1" t="s">
        <v>180</v>
      </c>
      <c r="C1137" s="1" t="s">
        <v>53</v>
      </c>
      <c r="D1137" s="1">
        <v>2.0</v>
      </c>
      <c r="E1137" s="1">
        <v>6116.0</v>
      </c>
      <c r="F1137" s="1">
        <v>6922.0</v>
      </c>
      <c r="G1137" s="1">
        <v>13794.0</v>
      </c>
      <c r="H1137" s="1">
        <v>0.4434</v>
      </c>
      <c r="I1137" s="1">
        <v>0.5018</v>
      </c>
      <c r="J1137" s="1">
        <v>-0.0584</v>
      </c>
      <c r="K1137" s="1">
        <v>4507.0</v>
      </c>
    </row>
    <row r="1138">
      <c r="A1138" s="1" t="s">
        <v>22</v>
      </c>
      <c r="B1138" s="1" t="s">
        <v>180</v>
      </c>
      <c r="C1138" s="1" t="s">
        <v>53</v>
      </c>
      <c r="D1138" s="1">
        <v>3.0</v>
      </c>
      <c r="E1138" s="1">
        <v>6896.0</v>
      </c>
      <c r="F1138" s="1">
        <v>6945.0</v>
      </c>
      <c r="G1138" s="1">
        <v>13794.0</v>
      </c>
      <c r="H1138" s="1">
        <v>0.4999</v>
      </c>
      <c r="I1138" s="1">
        <v>0.5035</v>
      </c>
      <c r="J1138" s="1">
        <v>-0.0036</v>
      </c>
      <c r="K1138" s="1">
        <v>4451.0</v>
      </c>
    </row>
    <row r="1139">
      <c r="A1139" s="1" t="s">
        <v>22</v>
      </c>
      <c r="B1139" s="1" t="s">
        <v>180</v>
      </c>
      <c r="C1139" s="1" t="s">
        <v>53</v>
      </c>
      <c r="D1139" s="1">
        <v>4.0</v>
      </c>
      <c r="E1139" s="1">
        <v>5581.0</v>
      </c>
      <c r="F1139" s="1">
        <v>6205.0</v>
      </c>
      <c r="G1139" s="1">
        <v>13794.0</v>
      </c>
      <c r="H1139" s="1">
        <v>0.4046</v>
      </c>
      <c r="I1139" s="1">
        <v>0.4498</v>
      </c>
      <c r="J1139" s="1">
        <v>-0.0452</v>
      </c>
      <c r="K1139" s="1">
        <v>4274.0</v>
      </c>
    </row>
    <row r="1140">
      <c r="A1140" s="1" t="s">
        <v>22</v>
      </c>
      <c r="B1140" s="1" t="s">
        <v>180</v>
      </c>
      <c r="C1140" s="1" t="s">
        <v>53</v>
      </c>
      <c r="D1140" s="1">
        <v>5.0</v>
      </c>
      <c r="E1140" s="1">
        <v>6575.0</v>
      </c>
      <c r="F1140" s="1">
        <v>6244.0</v>
      </c>
      <c r="G1140" s="1">
        <v>13794.0</v>
      </c>
      <c r="H1140" s="1">
        <v>0.4767</v>
      </c>
      <c r="I1140" s="1">
        <v>0.4527</v>
      </c>
      <c r="J1140" s="1">
        <v>0.024</v>
      </c>
      <c r="K1140" s="1">
        <v>4250.0</v>
      </c>
    </row>
    <row r="1141">
      <c r="A1141" s="1" t="s">
        <v>22</v>
      </c>
      <c r="B1141" s="1" t="s">
        <v>180</v>
      </c>
      <c r="C1141" s="1" t="s">
        <v>53</v>
      </c>
      <c r="D1141" s="1">
        <v>6.0</v>
      </c>
      <c r="E1141" s="1">
        <v>4252.0</v>
      </c>
      <c r="F1141" s="1">
        <v>5388.0</v>
      </c>
      <c r="G1141" s="1">
        <v>13794.0</v>
      </c>
      <c r="H1141" s="1">
        <v>0.3082</v>
      </c>
      <c r="I1141" s="1">
        <v>0.3906</v>
      </c>
      <c r="J1141" s="1">
        <v>-0.0824</v>
      </c>
      <c r="K1141" s="1">
        <v>4137.0</v>
      </c>
    </row>
    <row r="1142">
      <c r="A1142" s="1" t="s">
        <v>22</v>
      </c>
      <c r="B1142" s="1" t="s">
        <v>180</v>
      </c>
      <c r="C1142" s="1" t="s">
        <v>53</v>
      </c>
      <c r="D1142" s="1">
        <v>7.0</v>
      </c>
      <c r="E1142" s="1">
        <v>4203.0</v>
      </c>
      <c r="F1142" s="1">
        <v>5327.0</v>
      </c>
      <c r="G1142" s="1">
        <v>13794.0</v>
      </c>
      <c r="H1142" s="1">
        <v>0.3047</v>
      </c>
      <c r="I1142" s="1">
        <v>0.3862</v>
      </c>
      <c r="J1142" s="1">
        <v>-0.0815</v>
      </c>
      <c r="K1142" s="1">
        <v>4216.0</v>
      </c>
    </row>
    <row r="1143">
      <c r="A1143" s="1" t="s">
        <v>22</v>
      </c>
      <c r="B1143" s="1" t="s">
        <v>180</v>
      </c>
      <c r="C1143" s="1" t="s">
        <v>53</v>
      </c>
      <c r="D1143" s="1">
        <v>8.0</v>
      </c>
      <c r="E1143" s="1">
        <v>7432.0</v>
      </c>
      <c r="F1143" s="1">
        <v>6558.0</v>
      </c>
      <c r="G1143" s="1">
        <v>13794.0</v>
      </c>
      <c r="H1143" s="1">
        <v>0.5388</v>
      </c>
      <c r="I1143" s="1">
        <v>0.4754</v>
      </c>
      <c r="J1143" s="1">
        <v>0.0634</v>
      </c>
      <c r="K1143" s="1">
        <v>4541.0</v>
      </c>
    </row>
    <row r="1144">
      <c r="A1144" s="1" t="s">
        <v>22</v>
      </c>
      <c r="B1144" s="1" t="s">
        <v>180</v>
      </c>
      <c r="C1144" s="1" t="s">
        <v>53</v>
      </c>
      <c r="D1144" s="1">
        <v>9.0</v>
      </c>
      <c r="E1144" s="1">
        <v>5936.0</v>
      </c>
      <c r="F1144" s="1">
        <v>6364.0</v>
      </c>
      <c r="G1144" s="1">
        <v>13794.0</v>
      </c>
      <c r="H1144" s="1">
        <v>0.4303</v>
      </c>
      <c r="I1144" s="1">
        <v>0.4614</v>
      </c>
      <c r="J1144" s="1">
        <v>-0.031</v>
      </c>
      <c r="K1144" s="1">
        <v>4545.0</v>
      </c>
    </row>
    <row r="1145">
      <c r="A1145" s="1" t="s">
        <v>22</v>
      </c>
      <c r="B1145" s="1" t="s">
        <v>180</v>
      </c>
      <c r="C1145" s="1" t="s">
        <v>53</v>
      </c>
      <c r="D1145" s="1">
        <v>10.0</v>
      </c>
      <c r="E1145" s="1">
        <v>6555.0</v>
      </c>
      <c r="F1145" s="1">
        <v>6372.0</v>
      </c>
      <c r="G1145" s="1">
        <v>13794.0</v>
      </c>
      <c r="H1145" s="1">
        <v>0.4752</v>
      </c>
      <c r="I1145" s="1">
        <v>0.4619</v>
      </c>
      <c r="J1145" s="1">
        <v>0.0133</v>
      </c>
      <c r="K1145" s="1">
        <v>4520.0</v>
      </c>
    </row>
    <row r="1146">
      <c r="A1146" s="1" t="s">
        <v>22</v>
      </c>
      <c r="B1146" s="1" t="s">
        <v>180</v>
      </c>
      <c r="C1146" s="1" t="s">
        <v>53</v>
      </c>
      <c r="D1146" s="1">
        <v>11.0</v>
      </c>
      <c r="E1146" s="1">
        <v>5529.0</v>
      </c>
      <c r="F1146" s="1">
        <v>5957.0</v>
      </c>
      <c r="G1146" s="1">
        <v>13794.0</v>
      </c>
      <c r="H1146" s="1">
        <v>0.4008</v>
      </c>
      <c r="I1146" s="1">
        <v>0.4319</v>
      </c>
      <c r="J1146" s="1">
        <v>-0.031</v>
      </c>
      <c r="K1146" s="1">
        <v>4589.0</v>
      </c>
    </row>
    <row r="1147">
      <c r="A1147" s="1" t="s">
        <v>22</v>
      </c>
      <c r="B1147" s="1" t="s">
        <v>180</v>
      </c>
      <c r="C1147" s="1" t="s">
        <v>53</v>
      </c>
      <c r="D1147" s="1">
        <v>12.0</v>
      </c>
      <c r="E1147" s="1">
        <v>6758.0</v>
      </c>
      <c r="F1147" s="1">
        <v>6228.0</v>
      </c>
      <c r="G1147" s="1">
        <v>13794.0</v>
      </c>
      <c r="H1147" s="1">
        <v>0.4899</v>
      </c>
      <c r="I1147" s="1">
        <v>0.4515</v>
      </c>
      <c r="J1147" s="1">
        <v>0.0384</v>
      </c>
      <c r="K1147" s="1">
        <v>4587.0</v>
      </c>
    </row>
    <row r="1148">
      <c r="A1148" s="1" t="s">
        <v>22</v>
      </c>
      <c r="B1148" s="1" t="s">
        <v>180</v>
      </c>
      <c r="C1148" s="1" t="s">
        <v>53</v>
      </c>
      <c r="D1148" s="1">
        <v>13.0</v>
      </c>
      <c r="E1148" s="1">
        <v>4794.0</v>
      </c>
      <c r="F1148" s="1">
        <v>5978.0</v>
      </c>
      <c r="G1148" s="1">
        <v>13794.0</v>
      </c>
      <c r="H1148" s="1">
        <v>0.3475</v>
      </c>
      <c r="I1148" s="1">
        <v>0.4334</v>
      </c>
      <c r="J1148" s="1">
        <v>-0.0858</v>
      </c>
      <c r="K1148" s="1">
        <v>4861.0</v>
      </c>
    </row>
    <row r="1149">
      <c r="A1149" s="1" t="s">
        <v>22</v>
      </c>
      <c r="B1149" s="1" t="s">
        <v>180</v>
      </c>
      <c r="C1149" s="1" t="s">
        <v>53</v>
      </c>
      <c r="D1149" s="1">
        <v>14.0</v>
      </c>
      <c r="E1149" s="1">
        <v>4696.0</v>
      </c>
      <c r="F1149" s="1">
        <v>5701.0</v>
      </c>
      <c r="G1149" s="1">
        <v>13794.0</v>
      </c>
      <c r="H1149" s="1">
        <v>0.3404</v>
      </c>
      <c r="I1149" s="1">
        <v>0.4133</v>
      </c>
      <c r="J1149" s="1">
        <v>-0.0729</v>
      </c>
      <c r="K1149" s="1">
        <v>4940.0</v>
      </c>
    </row>
    <row r="1150">
      <c r="A1150" s="1" t="s">
        <v>22</v>
      </c>
      <c r="B1150" s="1" t="s">
        <v>180</v>
      </c>
      <c r="C1150" s="1" t="s">
        <v>53</v>
      </c>
      <c r="D1150" s="1">
        <v>15.0</v>
      </c>
      <c r="E1150" s="1">
        <v>7560.0</v>
      </c>
      <c r="F1150" s="1">
        <v>6559.0</v>
      </c>
      <c r="G1150" s="1">
        <v>13794.0</v>
      </c>
      <c r="H1150" s="1">
        <v>0.5481</v>
      </c>
      <c r="I1150" s="1">
        <v>0.4755</v>
      </c>
      <c r="J1150" s="1">
        <v>0.0726</v>
      </c>
      <c r="K1150" s="1">
        <v>5144.0</v>
      </c>
    </row>
    <row r="1151">
      <c r="A1151" s="1" t="s">
        <v>22</v>
      </c>
      <c r="B1151" s="1" t="s">
        <v>180</v>
      </c>
      <c r="C1151" s="1" t="s">
        <v>53</v>
      </c>
      <c r="D1151" s="1">
        <v>16.0</v>
      </c>
      <c r="E1151" s="1">
        <v>6240.0</v>
      </c>
      <c r="F1151" s="1">
        <v>6632.0</v>
      </c>
      <c r="G1151" s="1">
        <v>13794.0</v>
      </c>
      <c r="H1151" s="1">
        <v>0.4524</v>
      </c>
      <c r="I1151" s="1">
        <v>0.4808</v>
      </c>
      <c r="J1151" s="1">
        <v>-0.0284</v>
      </c>
      <c r="K1151" s="1">
        <v>5311.0</v>
      </c>
    </row>
    <row r="1152">
      <c r="A1152" s="1" t="s">
        <v>22</v>
      </c>
      <c r="B1152" s="1" t="s">
        <v>180</v>
      </c>
      <c r="C1152" s="1" t="s">
        <v>53</v>
      </c>
      <c r="D1152" s="1">
        <v>17.0</v>
      </c>
      <c r="E1152" s="1">
        <v>6896.0</v>
      </c>
      <c r="F1152" s="1">
        <v>6463.0</v>
      </c>
      <c r="G1152" s="1">
        <v>13794.0</v>
      </c>
      <c r="H1152" s="1">
        <v>0.4999</v>
      </c>
      <c r="I1152" s="1">
        <v>0.4685</v>
      </c>
      <c r="J1152" s="1">
        <v>0.0314</v>
      </c>
      <c r="K1152" s="1">
        <v>5182.0</v>
      </c>
    </row>
    <row r="1153">
      <c r="A1153" s="1" t="s">
        <v>22</v>
      </c>
      <c r="B1153" s="1" t="s">
        <v>180</v>
      </c>
      <c r="C1153" s="1" t="s">
        <v>53</v>
      </c>
      <c r="D1153" s="1">
        <v>18.0</v>
      </c>
      <c r="E1153" s="1">
        <v>5724.0</v>
      </c>
      <c r="F1153" s="1">
        <v>6013.0</v>
      </c>
      <c r="G1153" s="1">
        <v>13794.0</v>
      </c>
      <c r="H1153" s="1">
        <v>0.415</v>
      </c>
      <c r="I1153" s="1">
        <v>0.4359</v>
      </c>
      <c r="J1153" s="1">
        <v>-0.021</v>
      </c>
      <c r="K1153" s="1">
        <v>5152.0</v>
      </c>
    </row>
    <row r="1154">
      <c r="A1154" s="1" t="s">
        <v>22</v>
      </c>
      <c r="B1154" s="1" t="s">
        <v>180</v>
      </c>
      <c r="C1154" s="1" t="s">
        <v>53</v>
      </c>
      <c r="D1154" s="1">
        <v>19.0</v>
      </c>
      <c r="E1154" s="1">
        <v>6474.0</v>
      </c>
      <c r="F1154" s="1">
        <v>5908.0</v>
      </c>
      <c r="G1154" s="1">
        <v>13794.0</v>
      </c>
      <c r="H1154" s="1">
        <v>0.4693</v>
      </c>
      <c r="I1154" s="1">
        <v>0.4283</v>
      </c>
      <c r="J1154" s="1">
        <v>0.041</v>
      </c>
      <c r="K1154" s="1">
        <v>4791.0</v>
      </c>
    </row>
    <row r="1155">
      <c r="A1155" s="1" t="s">
        <v>22</v>
      </c>
      <c r="B1155" s="1" t="s">
        <v>180</v>
      </c>
      <c r="C1155" s="1" t="s">
        <v>53</v>
      </c>
      <c r="D1155" s="1">
        <v>20.0</v>
      </c>
      <c r="E1155" s="1">
        <v>4423.0</v>
      </c>
      <c r="F1155" s="1">
        <v>5164.0</v>
      </c>
      <c r="G1155" s="1">
        <v>13794.0</v>
      </c>
      <c r="H1155" s="1">
        <v>0.3206</v>
      </c>
      <c r="I1155" s="1">
        <v>0.3744</v>
      </c>
      <c r="J1155" s="1">
        <v>-0.0537</v>
      </c>
      <c r="K1155" s="1">
        <v>4629.0</v>
      </c>
    </row>
    <row r="1156">
      <c r="A1156" s="1" t="s">
        <v>22</v>
      </c>
      <c r="B1156" s="1" t="s">
        <v>180</v>
      </c>
      <c r="C1156" s="1" t="s">
        <v>53</v>
      </c>
      <c r="D1156" s="1">
        <v>21.0</v>
      </c>
      <c r="E1156" s="1">
        <v>3917.0</v>
      </c>
      <c r="F1156" s="1">
        <v>4811.0</v>
      </c>
      <c r="G1156" s="1">
        <v>13794.0</v>
      </c>
      <c r="H1156" s="1">
        <v>0.284</v>
      </c>
      <c r="I1156" s="1">
        <v>0.3488</v>
      </c>
      <c r="J1156" s="1">
        <v>-0.0648</v>
      </c>
      <c r="K1156" s="1">
        <v>4452.0</v>
      </c>
    </row>
    <row r="1157">
      <c r="A1157" s="1" t="s">
        <v>22</v>
      </c>
      <c r="B1157" s="1" t="s">
        <v>180</v>
      </c>
      <c r="C1157" s="1" t="s">
        <v>54</v>
      </c>
      <c r="D1157" s="1">
        <v>1.0</v>
      </c>
      <c r="E1157" s="1">
        <v>4318.0</v>
      </c>
      <c r="F1157" s="1">
        <v>4915.0</v>
      </c>
      <c r="G1157" s="1">
        <v>10469.0</v>
      </c>
      <c r="H1157" s="1">
        <v>0.4125</v>
      </c>
      <c r="I1157" s="1">
        <v>0.4695</v>
      </c>
      <c r="J1157" s="1">
        <v>-0.057</v>
      </c>
      <c r="K1157" s="1">
        <v>4532.0</v>
      </c>
    </row>
    <row r="1158">
      <c r="A1158" s="1" t="s">
        <v>22</v>
      </c>
      <c r="B1158" s="1" t="s">
        <v>180</v>
      </c>
      <c r="C1158" s="1" t="s">
        <v>54</v>
      </c>
      <c r="D1158" s="1">
        <v>2.0</v>
      </c>
      <c r="E1158" s="1">
        <v>2999.0</v>
      </c>
      <c r="F1158" s="1">
        <v>4336.0</v>
      </c>
      <c r="G1158" s="1">
        <v>10469.0</v>
      </c>
      <c r="H1158" s="1">
        <v>0.2865</v>
      </c>
      <c r="I1158" s="1">
        <v>0.4142</v>
      </c>
      <c r="J1158" s="1">
        <v>-0.1277</v>
      </c>
      <c r="K1158" s="1">
        <v>4507.0</v>
      </c>
    </row>
    <row r="1159">
      <c r="A1159" s="1" t="s">
        <v>22</v>
      </c>
      <c r="B1159" s="1" t="s">
        <v>180</v>
      </c>
      <c r="C1159" s="1" t="s">
        <v>54</v>
      </c>
      <c r="D1159" s="1">
        <v>3.0</v>
      </c>
      <c r="E1159" s="1">
        <v>2583.0</v>
      </c>
      <c r="F1159" s="1">
        <v>4140.0</v>
      </c>
      <c r="G1159" s="1">
        <v>10469.0</v>
      </c>
      <c r="H1159" s="1">
        <v>0.2467</v>
      </c>
      <c r="I1159" s="1">
        <v>0.3955</v>
      </c>
      <c r="J1159" s="1">
        <v>-0.1487</v>
      </c>
      <c r="K1159" s="1">
        <v>4451.0</v>
      </c>
    </row>
    <row r="1160">
      <c r="A1160" s="1" t="s">
        <v>22</v>
      </c>
      <c r="B1160" s="1" t="s">
        <v>180</v>
      </c>
      <c r="C1160" s="1" t="s">
        <v>54</v>
      </c>
      <c r="D1160" s="1">
        <v>4.0</v>
      </c>
      <c r="E1160" s="1">
        <v>1923.0</v>
      </c>
      <c r="F1160" s="1">
        <v>3521.0</v>
      </c>
      <c r="G1160" s="1">
        <v>10469.0</v>
      </c>
      <c r="H1160" s="1">
        <v>0.1837</v>
      </c>
      <c r="I1160" s="1">
        <v>0.3363</v>
      </c>
      <c r="J1160" s="1">
        <v>-0.1526</v>
      </c>
      <c r="K1160" s="1">
        <v>4274.0</v>
      </c>
    </row>
    <row r="1161">
      <c r="A1161" s="1" t="s">
        <v>22</v>
      </c>
      <c r="B1161" s="1" t="s">
        <v>180</v>
      </c>
      <c r="C1161" s="1" t="s">
        <v>54</v>
      </c>
      <c r="D1161" s="1">
        <v>5.0</v>
      </c>
      <c r="E1161" s="1">
        <v>2451.0</v>
      </c>
      <c r="F1161" s="1">
        <v>3285.0</v>
      </c>
      <c r="G1161" s="1">
        <v>10469.0</v>
      </c>
      <c r="H1161" s="1">
        <v>0.2341</v>
      </c>
      <c r="I1161" s="1">
        <v>0.3138</v>
      </c>
      <c r="J1161" s="1">
        <v>-0.0797</v>
      </c>
      <c r="K1161" s="1">
        <v>4250.0</v>
      </c>
    </row>
    <row r="1162">
      <c r="A1162" s="1" t="s">
        <v>22</v>
      </c>
      <c r="B1162" s="1" t="s">
        <v>180</v>
      </c>
      <c r="C1162" s="1" t="s">
        <v>54</v>
      </c>
      <c r="D1162" s="1">
        <v>6.0</v>
      </c>
      <c r="E1162" s="1">
        <v>1454.0</v>
      </c>
      <c r="F1162" s="1">
        <v>2863.0</v>
      </c>
      <c r="G1162" s="1">
        <v>10469.0</v>
      </c>
      <c r="H1162" s="1">
        <v>0.1389</v>
      </c>
      <c r="I1162" s="1">
        <v>0.2735</v>
      </c>
      <c r="J1162" s="1">
        <v>-0.1346</v>
      </c>
      <c r="K1162" s="1">
        <v>4137.0</v>
      </c>
    </row>
    <row r="1163">
      <c r="A1163" s="1" t="s">
        <v>22</v>
      </c>
      <c r="B1163" s="1" t="s">
        <v>180</v>
      </c>
      <c r="C1163" s="1" t="s">
        <v>54</v>
      </c>
      <c r="D1163" s="1">
        <v>7.0</v>
      </c>
      <c r="E1163" s="1">
        <v>1368.0</v>
      </c>
      <c r="F1163" s="1">
        <v>2826.0</v>
      </c>
      <c r="G1163" s="1">
        <v>10469.0</v>
      </c>
      <c r="H1163" s="1">
        <v>0.1307</v>
      </c>
      <c r="I1163" s="1">
        <v>0.2699</v>
      </c>
      <c r="J1163" s="1">
        <v>-0.1393</v>
      </c>
      <c r="K1163" s="1">
        <v>4216.0</v>
      </c>
    </row>
    <row r="1164">
      <c r="A1164" s="1" t="s">
        <v>22</v>
      </c>
      <c r="B1164" s="1" t="s">
        <v>180</v>
      </c>
      <c r="C1164" s="1" t="s">
        <v>54</v>
      </c>
      <c r="D1164" s="1">
        <v>8.0</v>
      </c>
      <c r="E1164" s="1">
        <v>4138.0</v>
      </c>
      <c r="F1164" s="1">
        <v>4301.0</v>
      </c>
      <c r="G1164" s="1">
        <v>10469.0</v>
      </c>
      <c r="H1164" s="1">
        <v>0.3953</v>
      </c>
      <c r="I1164" s="1">
        <v>0.4108</v>
      </c>
      <c r="J1164" s="1">
        <v>-0.0156</v>
      </c>
      <c r="K1164" s="1">
        <v>4541.0</v>
      </c>
    </row>
    <row r="1165">
      <c r="A1165" s="1" t="s">
        <v>22</v>
      </c>
      <c r="B1165" s="1" t="s">
        <v>180</v>
      </c>
      <c r="C1165" s="1" t="s">
        <v>54</v>
      </c>
      <c r="D1165" s="1">
        <v>9.0</v>
      </c>
      <c r="E1165" s="1">
        <v>2995.0</v>
      </c>
      <c r="F1165" s="1">
        <v>4152.0</v>
      </c>
      <c r="G1165" s="1">
        <v>10469.0</v>
      </c>
      <c r="H1165" s="1">
        <v>0.2861</v>
      </c>
      <c r="I1165" s="1">
        <v>0.3966</v>
      </c>
      <c r="J1165" s="1">
        <v>-0.1105</v>
      </c>
      <c r="K1165" s="1">
        <v>4545.0</v>
      </c>
    </row>
    <row r="1166">
      <c r="A1166" s="1" t="s">
        <v>22</v>
      </c>
      <c r="B1166" s="1" t="s">
        <v>180</v>
      </c>
      <c r="C1166" s="1" t="s">
        <v>54</v>
      </c>
      <c r="D1166" s="1">
        <v>10.0</v>
      </c>
      <c r="E1166" s="1">
        <v>2604.0</v>
      </c>
      <c r="F1166" s="1">
        <v>3697.0</v>
      </c>
      <c r="G1166" s="1">
        <v>10469.0</v>
      </c>
      <c r="H1166" s="1">
        <v>0.2487</v>
      </c>
      <c r="I1166" s="1">
        <v>0.3531</v>
      </c>
      <c r="J1166" s="1">
        <v>-0.1044</v>
      </c>
      <c r="K1166" s="1">
        <v>4520.0</v>
      </c>
    </row>
    <row r="1167">
      <c r="A1167" s="1" t="s">
        <v>22</v>
      </c>
      <c r="B1167" s="1" t="s">
        <v>180</v>
      </c>
      <c r="C1167" s="1" t="s">
        <v>54</v>
      </c>
      <c r="D1167" s="1">
        <v>11.0</v>
      </c>
      <c r="E1167" s="1">
        <v>2035.0</v>
      </c>
      <c r="F1167" s="1">
        <v>3203.0</v>
      </c>
      <c r="G1167" s="1">
        <v>10469.0</v>
      </c>
      <c r="H1167" s="1">
        <v>0.1944</v>
      </c>
      <c r="I1167" s="1">
        <v>0.306</v>
      </c>
      <c r="J1167" s="1">
        <v>-0.1116</v>
      </c>
      <c r="K1167" s="1">
        <v>4589.0</v>
      </c>
    </row>
    <row r="1168">
      <c r="A1168" s="1" t="s">
        <v>22</v>
      </c>
      <c r="B1168" s="1" t="s">
        <v>180</v>
      </c>
      <c r="C1168" s="1" t="s">
        <v>54</v>
      </c>
      <c r="D1168" s="1">
        <v>12.0</v>
      </c>
      <c r="E1168" s="1">
        <v>2467.0</v>
      </c>
      <c r="F1168" s="1">
        <v>3337.0</v>
      </c>
      <c r="G1168" s="1">
        <v>10469.0</v>
      </c>
      <c r="H1168" s="1">
        <v>0.2356</v>
      </c>
      <c r="I1168" s="1">
        <v>0.3188</v>
      </c>
      <c r="J1168" s="1">
        <v>-0.0831</v>
      </c>
      <c r="K1168" s="1">
        <v>4587.0</v>
      </c>
    </row>
    <row r="1169">
      <c r="A1169" s="1" t="s">
        <v>22</v>
      </c>
      <c r="B1169" s="1" t="s">
        <v>180</v>
      </c>
      <c r="C1169" s="1" t="s">
        <v>54</v>
      </c>
      <c r="D1169" s="1">
        <v>13.0</v>
      </c>
      <c r="E1169" s="1">
        <v>1661.0</v>
      </c>
      <c r="F1169" s="1">
        <v>3549.0</v>
      </c>
      <c r="G1169" s="1">
        <v>10469.0</v>
      </c>
      <c r="H1169" s="1">
        <v>0.1587</v>
      </c>
      <c r="I1169" s="1">
        <v>0.339</v>
      </c>
      <c r="J1169" s="1">
        <v>-0.1803</v>
      </c>
      <c r="K1169" s="1">
        <v>4861.0</v>
      </c>
    </row>
    <row r="1170">
      <c r="A1170" s="1" t="s">
        <v>22</v>
      </c>
      <c r="B1170" s="1" t="s">
        <v>180</v>
      </c>
      <c r="C1170" s="1" t="s">
        <v>54</v>
      </c>
      <c r="D1170" s="1">
        <v>14.0</v>
      </c>
      <c r="E1170" s="1">
        <v>1475.0</v>
      </c>
      <c r="F1170" s="1">
        <v>3229.0</v>
      </c>
      <c r="G1170" s="1">
        <v>10469.0</v>
      </c>
      <c r="H1170" s="1">
        <v>0.1409</v>
      </c>
      <c r="I1170" s="1">
        <v>0.3084</v>
      </c>
      <c r="J1170" s="1">
        <v>-0.1675</v>
      </c>
      <c r="K1170" s="1">
        <v>4940.0</v>
      </c>
    </row>
    <row r="1171">
      <c r="A1171" s="1" t="s">
        <v>22</v>
      </c>
      <c r="B1171" s="1" t="s">
        <v>180</v>
      </c>
      <c r="C1171" s="1" t="s">
        <v>54</v>
      </c>
      <c r="D1171" s="1">
        <v>15.0</v>
      </c>
      <c r="E1171" s="1">
        <v>4334.0</v>
      </c>
      <c r="F1171" s="1">
        <v>4590.0</v>
      </c>
      <c r="G1171" s="1">
        <v>10469.0</v>
      </c>
      <c r="H1171" s="1">
        <v>0.414</v>
      </c>
      <c r="I1171" s="1">
        <v>0.4384</v>
      </c>
      <c r="J1171" s="1">
        <v>-0.0245</v>
      </c>
      <c r="K1171" s="1">
        <v>5144.0</v>
      </c>
    </row>
    <row r="1172">
      <c r="A1172" s="1" t="s">
        <v>22</v>
      </c>
      <c r="B1172" s="1" t="s">
        <v>180</v>
      </c>
      <c r="C1172" s="1" t="s">
        <v>54</v>
      </c>
      <c r="D1172" s="1">
        <v>16.0</v>
      </c>
      <c r="E1172" s="1">
        <v>3239.0</v>
      </c>
      <c r="F1172" s="1">
        <v>4312.0</v>
      </c>
      <c r="G1172" s="1">
        <v>10469.0</v>
      </c>
      <c r="H1172" s="1">
        <v>0.3094</v>
      </c>
      <c r="I1172" s="1">
        <v>0.4119</v>
      </c>
      <c r="J1172" s="1">
        <v>-0.1025</v>
      </c>
      <c r="K1172" s="1">
        <v>5311.0</v>
      </c>
    </row>
    <row r="1173">
      <c r="A1173" s="1" t="s">
        <v>22</v>
      </c>
      <c r="B1173" s="1" t="s">
        <v>180</v>
      </c>
      <c r="C1173" s="1" t="s">
        <v>54</v>
      </c>
      <c r="D1173" s="1">
        <v>17.0</v>
      </c>
      <c r="E1173" s="1">
        <v>2778.0</v>
      </c>
      <c r="F1173" s="1">
        <v>3711.0</v>
      </c>
      <c r="G1173" s="1">
        <v>10469.0</v>
      </c>
      <c r="H1173" s="1">
        <v>0.2654</v>
      </c>
      <c r="I1173" s="1">
        <v>0.3545</v>
      </c>
      <c r="J1173" s="1">
        <v>-0.0891</v>
      </c>
      <c r="K1173" s="1">
        <v>5182.0</v>
      </c>
    </row>
    <row r="1174">
      <c r="A1174" s="1" t="s">
        <v>22</v>
      </c>
      <c r="B1174" s="1" t="s">
        <v>180</v>
      </c>
      <c r="C1174" s="1" t="s">
        <v>54</v>
      </c>
      <c r="D1174" s="1">
        <v>18.0</v>
      </c>
      <c r="E1174" s="1">
        <v>2245.0</v>
      </c>
      <c r="F1174" s="1">
        <v>3466.0</v>
      </c>
      <c r="G1174" s="1">
        <v>10469.0</v>
      </c>
      <c r="H1174" s="1">
        <v>0.2144</v>
      </c>
      <c r="I1174" s="1">
        <v>0.3311</v>
      </c>
      <c r="J1174" s="1">
        <v>-0.1166</v>
      </c>
      <c r="K1174" s="1">
        <v>5152.0</v>
      </c>
    </row>
    <row r="1175">
      <c r="A1175" s="1" t="s">
        <v>22</v>
      </c>
      <c r="B1175" s="1" t="s">
        <v>180</v>
      </c>
      <c r="C1175" s="1" t="s">
        <v>54</v>
      </c>
      <c r="D1175" s="1">
        <v>19.0</v>
      </c>
      <c r="E1175" s="1">
        <v>2721.0</v>
      </c>
      <c r="F1175" s="1">
        <v>3117.0</v>
      </c>
      <c r="G1175" s="1">
        <v>10469.0</v>
      </c>
      <c r="H1175" s="1">
        <v>0.2599</v>
      </c>
      <c r="I1175" s="1">
        <v>0.2977</v>
      </c>
      <c r="J1175" s="1">
        <v>-0.0378</v>
      </c>
      <c r="K1175" s="1">
        <v>4791.0</v>
      </c>
    </row>
    <row r="1176">
      <c r="A1176" s="1" t="s">
        <v>22</v>
      </c>
      <c r="B1176" s="1" t="s">
        <v>180</v>
      </c>
      <c r="C1176" s="1" t="s">
        <v>54</v>
      </c>
      <c r="D1176" s="1">
        <v>20.0</v>
      </c>
      <c r="E1176" s="1">
        <v>1652.0</v>
      </c>
      <c r="F1176" s="1">
        <v>2627.0</v>
      </c>
      <c r="G1176" s="1">
        <v>10469.0</v>
      </c>
      <c r="H1176" s="1">
        <v>0.1578</v>
      </c>
      <c r="I1176" s="1">
        <v>0.2509</v>
      </c>
      <c r="J1176" s="1">
        <v>-0.0931</v>
      </c>
      <c r="K1176" s="1">
        <v>4629.0</v>
      </c>
    </row>
    <row r="1177">
      <c r="A1177" s="1" t="s">
        <v>22</v>
      </c>
      <c r="B1177" s="1" t="s">
        <v>180</v>
      </c>
      <c r="C1177" s="1" t="s">
        <v>54</v>
      </c>
      <c r="D1177" s="1">
        <v>21.0</v>
      </c>
      <c r="E1177" s="1">
        <v>1393.0</v>
      </c>
      <c r="F1177" s="1">
        <v>2281.0</v>
      </c>
      <c r="G1177" s="1">
        <v>10469.0</v>
      </c>
      <c r="H1177" s="1">
        <v>0.1331</v>
      </c>
      <c r="I1177" s="1">
        <v>0.2179</v>
      </c>
      <c r="J1177" s="1">
        <v>-0.0848</v>
      </c>
      <c r="K1177" s="1">
        <v>4452.0</v>
      </c>
    </row>
    <row r="1178">
      <c r="A1178" s="1" t="s">
        <v>22</v>
      </c>
      <c r="B1178" s="1" t="s">
        <v>180</v>
      </c>
      <c r="C1178" s="1" t="s">
        <v>47</v>
      </c>
      <c r="D1178" s="1">
        <v>1.0</v>
      </c>
      <c r="E1178" s="1">
        <v>11915.0</v>
      </c>
      <c r="F1178" s="1">
        <v>8564.0</v>
      </c>
      <c r="G1178" s="1">
        <v>19165.0</v>
      </c>
      <c r="H1178" s="1">
        <v>0.6217</v>
      </c>
      <c r="I1178" s="1">
        <v>0.4469</v>
      </c>
      <c r="J1178" s="1">
        <v>0.1748</v>
      </c>
      <c r="K1178" s="1">
        <v>4532.0</v>
      </c>
    </row>
    <row r="1179">
      <c r="A1179" s="1" t="s">
        <v>22</v>
      </c>
      <c r="B1179" s="1" t="s">
        <v>180</v>
      </c>
      <c r="C1179" s="1" t="s">
        <v>47</v>
      </c>
      <c r="D1179" s="1">
        <v>2.0</v>
      </c>
      <c r="E1179" s="1">
        <v>7857.0</v>
      </c>
      <c r="F1179" s="1">
        <v>7770.0</v>
      </c>
      <c r="G1179" s="1">
        <v>19165.0</v>
      </c>
      <c r="H1179" s="1">
        <v>0.41</v>
      </c>
      <c r="I1179" s="1">
        <v>0.4054</v>
      </c>
      <c r="J1179" s="1">
        <v>0.0045</v>
      </c>
      <c r="K1179" s="1">
        <v>4507.0</v>
      </c>
    </row>
    <row r="1180">
      <c r="A1180" s="1" t="s">
        <v>22</v>
      </c>
      <c r="B1180" s="1" t="s">
        <v>180</v>
      </c>
      <c r="C1180" s="1" t="s">
        <v>47</v>
      </c>
      <c r="D1180" s="1">
        <v>3.0</v>
      </c>
      <c r="E1180" s="1">
        <v>7120.0</v>
      </c>
      <c r="F1180" s="1">
        <v>6741.0</v>
      </c>
      <c r="G1180" s="1">
        <v>19165.0</v>
      </c>
      <c r="H1180" s="1">
        <v>0.3715</v>
      </c>
      <c r="I1180" s="1">
        <v>0.3517</v>
      </c>
      <c r="J1180" s="1">
        <v>0.0198</v>
      </c>
      <c r="K1180" s="1">
        <v>4451.0</v>
      </c>
    </row>
    <row r="1181">
      <c r="A1181" s="1" t="s">
        <v>22</v>
      </c>
      <c r="B1181" s="1" t="s">
        <v>180</v>
      </c>
      <c r="C1181" s="1" t="s">
        <v>47</v>
      </c>
      <c r="D1181" s="1">
        <v>4.0</v>
      </c>
      <c r="E1181" s="1">
        <v>6753.0</v>
      </c>
      <c r="F1181" s="1">
        <v>6468.0</v>
      </c>
      <c r="G1181" s="1">
        <v>19165.0</v>
      </c>
      <c r="H1181" s="1">
        <v>0.3524</v>
      </c>
      <c r="I1181" s="1">
        <v>0.3375</v>
      </c>
      <c r="J1181" s="1">
        <v>0.0149</v>
      </c>
      <c r="K1181" s="1">
        <v>4274.0</v>
      </c>
    </row>
    <row r="1182">
      <c r="A1182" s="1" t="s">
        <v>22</v>
      </c>
      <c r="B1182" s="1" t="s">
        <v>180</v>
      </c>
      <c r="C1182" s="1" t="s">
        <v>47</v>
      </c>
      <c r="D1182" s="1">
        <v>5.0</v>
      </c>
      <c r="E1182" s="1">
        <v>8044.0</v>
      </c>
      <c r="F1182" s="1">
        <v>6829.0</v>
      </c>
      <c r="G1182" s="1">
        <v>19165.0</v>
      </c>
      <c r="H1182" s="1">
        <v>0.4197</v>
      </c>
      <c r="I1182" s="1">
        <v>0.3563</v>
      </c>
      <c r="J1182" s="1">
        <v>0.0634</v>
      </c>
      <c r="K1182" s="1">
        <v>4250.0</v>
      </c>
    </row>
    <row r="1183">
      <c r="A1183" s="1" t="s">
        <v>22</v>
      </c>
      <c r="B1183" s="1" t="s">
        <v>180</v>
      </c>
      <c r="C1183" s="1" t="s">
        <v>47</v>
      </c>
      <c r="D1183" s="1">
        <v>6.0</v>
      </c>
      <c r="E1183" s="1">
        <v>6084.0</v>
      </c>
      <c r="F1183" s="1">
        <v>5972.0</v>
      </c>
      <c r="G1183" s="1">
        <v>19165.0</v>
      </c>
      <c r="H1183" s="1">
        <v>0.3175</v>
      </c>
      <c r="I1183" s="1">
        <v>0.3116</v>
      </c>
      <c r="J1183" s="1">
        <v>0.0058</v>
      </c>
      <c r="K1183" s="1">
        <v>4137.0</v>
      </c>
    </row>
    <row r="1184">
      <c r="A1184" s="1" t="s">
        <v>22</v>
      </c>
      <c r="B1184" s="1" t="s">
        <v>180</v>
      </c>
      <c r="C1184" s="1" t="s">
        <v>47</v>
      </c>
      <c r="D1184" s="1">
        <v>7.0</v>
      </c>
      <c r="E1184" s="1">
        <v>5894.0</v>
      </c>
      <c r="F1184" s="1">
        <v>5816.0</v>
      </c>
      <c r="G1184" s="1">
        <v>19165.0</v>
      </c>
      <c r="H1184" s="1">
        <v>0.3075</v>
      </c>
      <c r="I1184" s="1">
        <v>0.3035</v>
      </c>
      <c r="J1184" s="1">
        <v>0.0041</v>
      </c>
      <c r="K1184" s="1">
        <v>4216.0</v>
      </c>
    </row>
    <row r="1185">
      <c r="A1185" s="1" t="s">
        <v>22</v>
      </c>
      <c r="B1185" s="1" t="s">
        <v>180</v>
      </c>
      <c r="C1185" s="1" t="s">
        <v>47</v>
      </c>
      <c r="D1185" s="1">
        <v>8.0</v>
      </c>
      <c r="E1185" s="1">
        <v>11430.0</v>
      </c>
      <c r="F1185" s="1">
        <v>7962.0</v>
      </c>
      <c r="G1185" s="1">
        <v>19165.0</v>
      </c>
      <c r="H1185" s="1">
        <v>0.5964</v>
      </c>
      <c r="I1185" s="1">
        <v>0.4154</v>
      </c>
      <c r="J1185" s="1">
        <v>0.181</v>
      </c>
      <c r="K1185" s="1">
        <v>4541.0</v>
      </c>
    </row>
    <row r="1186">
      <c r="A1186" s="1" t="s">
        <v>22</v>
      </c>
      <c r="B1186" s="1" t="s">
        <v>180</v>
      </c>
      <c r="C1186" s="1" t="s">
        <v>47</v>
      </c>
      <c r="D1186" s="1">
        <v>9.0</v>
      </c>
      <c r="E1186" s="1">
        <v>7717.0</v>
      </c>
      <c r="F1186" s="1">
        <v>7292.0</v>
      </c>
      <c r="G1186" s="1">
        <v>19165.0</v>
      </c>
      <c r="H1186" s="1">
        <v>0.4027</v>
      </c>
      <c r="I1186" s="1">
        <v>0.3805</v>
      </c>
      <c r="J1186" s="1">
        <v>0.0222</v>
      </c>
      <c r="K1186" s="1">
        <v>4545.0</v>
      </c>
    </row>
    <row r="1187">
      <c r="A1187" s="1" t="s">
        <v>22</v>
      </c>
      <c r="B1187" s="1" t="s">
        <v>180</v>
      </c>
      <c r="C1187" s="1" t="s">
        <v>47</v>
      </c>
      <c r="D1187" s="1">
        <v>10.0</v>
      </c>
      <c r="E1187" s="1">
        <v>6882.0</v>
      </c>
      <c r="F1187" s="1">
        <v>6665.0</v>
      </c>
      <c r="G1187" s="1">
        <v>19165.0</v>
      </c>
      <c r="H1187" s="1">
        <v>0.3591</v>
      </c>
      <c r="I1187" s="1">
        <v>0.3478</v>
      </c>
      <c r="J1187" s="1">
        <v>0.0113</v>
      </c>
      <c r="K1187" s="1">
        <v>4520.0</v>
      </c>
    </row>
    <row r="1188">
      <c r="A1188" s="1" t="s">
        <v>22</v>
      </c>
      <c r="B1188" s="1" t="s">
        <v>180</v>
      </c>
      <c r="C1188" s="1" t="s">
        <v>47</v>
      </c>
      <c r="D1188" s="1">
        <v>11.0</v>
      </c>
      <c r="E1188" s="1">
        <v>6657.0</v>
      </c>
      <c r="F1188" s="1">
        <v>6354.0</v>
      </c>
      <c r="G1188" s="1">
        <v>19165.0</v>
      </c>
      <c r="H1188" s="1">
        <v>0.3474</v>
      </c>
      <c r="I1188" s="1">
        <v>0.3315</v>
      </c>
      <c r="J1188" s="1">
        <v>0.0158</v>
      </c>
      <c r="K1188" s="1">
        <v>4589.0</v>
      </c>
    </row>
    <row r="1189">
      <c r="A1189" s="1" t="s">
        <v>22</v>
      </c>
      <c r="B1189" s="1" t="s">
        <v>180</v>
      </c>
      <c r="C1189" s="1" t="s">
        <v>47</v>
      </c>
      <c r="D1189" s="1">
        <v>12.0</v>
      </c>
      <c r="E1189" s="1">
        <v>8045.0</v>
      </c>
      <c r="F1189" s="1">
        <v>6608.0</v>
      </c>
      <c r="G1189" s="1">
        <v>19165.0</v>
      </c>
      <c r="H1189" s="1">
        <v>0.4198</v>
      </c>
      <c r="I1189" s="1">
        <v>0.3448</v>
      </c>
      <c r="J1189" s="1">
        <v>0.075</v>
      </c>
      <c r="K1189" s="1">
        <v>4587.0</v>
      </c>
    </row>
    <row r="1190">
      <c r="A1190" s="1" t="s">
        <v>22</v>
      </c>
      <c r="B1190" s="1" t="s">
        <v>180</v>
      </c>
      <c r="C1190" s="1" t="s">
        <v>47</v>
      </c>
      <c r="D1190" s="1">
        <v>13.0</v>
      </c>
      <c r="E1190" s="1">
        <v>6983.0</v>
      </c>
      <c r="F1190" s="1">
        <v>6532.0</v>
      </c>
      <c r="G1190" s="1">
        <v>19165.0</v>
      </c>
      <c r="H1190" s="1">
        <v>0.3644</v>
      </c>
      <c r="I1190" s="1">
        <v>0.3408</v>
      </c>
      <c r="J1190" s="1">
        <v>0.0235</v>
      </c>
      <c r="K1190" s="1">
        <v>4861.0</v>
      </c>
    </row>
    <row r="1191">
      <c r="A1191" s="1" t="s">
        <v>22</v>
      </c>
      <c r="B1191" s="1" t="s">
        <v>180</v>
      </c>
      <c r="C1191" s="1" t="s">
        <v>47</v>
      </c>
      <c r="D1191" s="1">
        <v>14.0</v>
      </c>
      <c r="E1191" s="1">
        <v>6694.0</v>
      </c>
      <c r="F1191" s="1">
        <v>6271.0</v>
      </c>
      <c r="G1191" s="1">
        <v>19165.0</v>
      </c>
      <c r="H1191" s="1">
        <v>0.3493</v>
      </c>
      <c r="I1191" s="1">
        <v>0.3272</v>
      </c>
      <c r="J1191" s="1">
        <v>0.0221</v>
      </c>
      <c r="K1191" s="1">
        <v>4940.0</v>
      </c>
    </row>
    <row r="1192">
      <c r="A1192" s="1" t="s">
        <v>22</v>
      </c>
      <c r="B1192" s="1" t="s">
        <v>180</v>
      </c>
      <c r="C1192" s="1" t="s">
        <v>47</v>
      </c>
      <c r="D1192" s="1">
        <v>15.0</v>
      </c>
      <c r="E1192" s="1">
        <v>12797.0</v>
      </c>
      <c r="F1192" s="1">
        <v>8647.0</v>
      </c>
      <c r="G1192" s="1">
        <v>19165.0</v>
      </c>
      <c r="H1192" s="1">
        <v>0.6677</v>
      </c>
      <c r="I1192" s="1">
        <v>0.4512</v>
      </c>
      <c r="J1192" s="1">
        <v>0.2165</v>
      </c>
      <c r="K1192" s="1">
        <v>5144.0</v>
      </c>
    </row>
    <row r="1193">
      <c r="A1193" s="1" t="s">
        <v>22</v>
      </c>
      <c r="B1193" s="1" t="s">
        <v>180</v>
      </c>
      <c r="C1193" s="1" t="s">
        <v>47</v>
      </c>
      <c r="D1193" s="1">
        <v>16.0</v>
      </c>
      <c r="E1193" s="1">
        <v>8711.0</v>
      </c>
      <c r="F1193" s="1">
        <v>7983.0</v>
      </c>
      <c r="G1193" s="1">
        <v>19165.0</v>
      </c>
      <c r="H1193" s="1">
        <v>0.4545</v>
      </c>
      <c r="I1193" s="1">
        <v>0.4165</v>
      </c>
      <c r="J1193" s="1">
        <v>0.038</v>
      </c>
      <c r="K1193" s="1">
        <v>5311.0</v>
      </c>
    </row>
    <row r="1194">
      <c r="A1194" s="1" t="s">
        <v>22</v>
      </c>
      <c r="B1194" s="1" t="s">
        <v>180</v>
      </c>
      <c r="C1194" s="1" t="s">
        <v>47</v>
      </c>
      <c r="D1194" s="1">
        <v>17.0</v>
      </c>
      <c r="E1194" s="1">
        <v>7221.0</v>
      </c>
      <c r="F1194" s="1">
        <v>7144.0</v>
      </c>
      <c r="G1194" s="1">
        <v>19165.0</v>
      </c>
      <c r="H1194" s="1">
        <v>0.3768</v>
      </c>
      <c r="I1194" s="1">
        <v>0.3728</v>
      </c>
      <c r="J1194" s="1">
        <v>0.004</v>
      </c>
      <c r="K1194" s="1">
        <v>5182.0</v>
      </c>
    </row>
    <row r="1195">
      <c r="A1195" s="1" t="s">
        <v>22</v>
      </c>
      <c r="B1195" s="1" t="s">
        <v>180</v>
      </c>
      <c r="C1195" s="1" t="s">
        <v>47</v>
      </c>
      <c r="D1195" s="1">
        <v>18.0</v>
      </c>
      <c r="E1195" s="1">
        <v>6534.0</v>
      </c>
      <c r="F1195" s="1">
        <v>6681.0</v>
      </c>
      <c r="G1195" s="1">
        <v>19165.0</v>
      </c>
      <c r="H1195" s="1">
        <v>0.3409</v>
      </c>
      <c r="I1195" s="1">
        <v>0.3486</v>
      </c>
      <c r="J1195" s="1">
        <v>-0.0077</v>
      </c>
      <c r="K1195" s="1">
        <v>5152.0</v>
      </c>
    </row>
    <row r="1196">
      <c r="A1196" s="1" t="s">
        <v>22</v>
      </c>
      <c r="B1196" s="1" t="s">
        <v>180</v>
      </c>
      <c r="C1196" s="1" t="s">
        <v>47</v>
      </c>
      <c r="D1196" s="1">
        <v>19.0</v>
      </c>
      <c r="E1196" s="1">
        <v>7751.0</v>
      </c>
      <c r="F1196" s="1">
        <v>6264.0</v>
      </c>
      <c r="G1196" s="1">
        <v>19165.0</v>
      </c>
      <c r="H1196" s="1">
        <v>0.4044</v>
      </c>
      <c r="I1196" s="1">
        <v>0.3268</v>
      </c>
      <c r="J1196" s="1">
        <v>0.0776</v>
      </c>
      <c r="K1196" s="1">
        <v>4791.0</v>
      </c>
    </row>
    <row r="1197">
      <c r="A1197" s="1" t="s">
        <v>22</v>
      </c>
      <c r="B1197" s="1" t="s">
        <v>180</v>
      </c>
      <c r="C1197" s="1" t="s">
        <v>47</v>
      </c>
      <c r="D1197" s="1">
        <v>20.0</v>
      </c>
      <c r="E1197" s="1">
        <v>5723.0</v>
      </c>
      <c r="F1197" s="1">
        <v>5424.0</v>
      </c>
      <c r="G1197" s="1">
        <v>19165.0</v>
      </c>
      <c r="H1197" s="1">
        <v>0.2986</v>
      </c>
      <c r="I1197" s="1">
        <v>0.283</v>
      </c>
      <c r="J1197" s="1">
        <v>0.0156</v>
      </c>
      <c r="K1197" s="1">
        <v>4629.0</v>
      </c>
    </row>
    <row r="1198">
      <c r="A1198" s="1" t="s">
        <v>22</v>
      </c>
      <c r="B1198" s="1" t="s">
        <v>180</v>
      </c>
      <c r="C1198" s="1" t="s">
        <v>47</v>
      </c>
      <c r="D1198" s="1">
        <v>21.0</v>
      </c>
      <c r="E1198" s="1">
        <v>4995.0</v>
      </c>
      <c r="F1198" s="1">
        <v>5305.0</v>
      </c>
      <c r="G1198" s="1">
        <v>19165.0</v>
      </c>
      <c r="H1198" s="1">
        <v>0.2606</v>
      </c>
      <c r="I1198" s="1">
        <v>0.2768</v>
      </c>
      <c r="J1198" s="1">
        <v>-0.0162</v>
      </c>
      <c r="K1198" s="1">
        <v>4452.0</v>
      </c>
    </row>
    <row r="1199">
      <c r="A1199" s="1" t="s">
        <v>22</v>
      </c>
      <c r="B1199" s="1" t="s">
        <v>180</v>
      </c>
      <c r="C1199" s="1" t="s">
        <v>48</v>
      </c>
      <c r="D1199" s="1">
        <v>1.0</v>
      </c>
      <c r="E1199" s="1">
        <v>11540.0</v>
      </c>
      <c r="F1199" s="1">
        <v>7318.0</v>
      </c>
      <c r="G1199" s="1">
        <v>18990.0</v>
      </c>
      <c r="H1199" s="1">
        <v>0.6077</v>
      </c>
      <c r="I1199" s="1">
        <v>0.3854</v>
      </c>
      <c r="J1199" s="1">
        <v>0.2223</v>
      </c>
      <c r="K1199" s="1">
        <v>4532.0</v>
      </c>
    </row>
    <row r="1200">
      <c r="A1200" s="1" t="s">
        <v>22</v>
      </c>
      <c r="B1200" s="1" t="s">
        <v>180</v>
      </c>
      <c r="C1200" s="1" t="s">
        <v>48</v>
      </c>
      <c r="D1200" s="1">
        <v>2.0</v>
      </c>
      <c r="E1200" s="1">
        <v>8581.0</v>
      </c>
      <c r="F1200" s="1">
        <v>6564.0</v>
      </c>
      <c r="G1200" s="1">
        <v>18990.0</v>
      </c>
      <c r="H1200" s="1">
        <v>0.4519</v>
      </c>
      <c r="I1200" s="1">
        <v>0.3457</v>
      </c>
      <c r="J1200" s="1">
        <v>0.1062</v>
      </c>
      <c r="K1200" s="1">
        <v>4507.0</v>
      </c>
    </row>
    <row r="1201">
      <c r="A1201" s="1" t="s">
        <v>22</v>
      </c>
      <c r="B1201" s="1" t="s">
        <v>180</v>
      </c>
      <c r="C1201" s="1" t="s">
        <v>48</v>
      </c>
      <c r="D1201" s="1">
        <v>3.0</v>
      </c>
      <c r="E1201" s="1">
        <v>7651.0</v>
      </c>
      <c r="F1201" s="1">
        <v>5832.0</v>
      </c>
      <c r="G1201" s="1">
        <v>18990.0</v>
      </c>
      <c r="H1201" s="1">
        <v>0.4029</v>
      </c>
      <c r="I1201" s="1">
        <v>0.3071</v>
      </c>
      <c r="J1201" s="1">
        <v>0.0958</v>
      </c>
      <c r="K1201" s="1">
        <v>4451.0</v>
      </c>
    </row>
    <row r="1202">
      <c r="A1202" s="1" t="s">
        <v>22</v>
      </c>
      <c r="B1202" s="1" t="s">
        <v>180</v>
      </c>
      <c r="C1202" s="1" t="s">
        <v>48</v>
      </c>
      <c r="D1202" s="1">
        <v>4.0</v>
      </c>
      <c r="E1202" s="1">
        <v>7118.0</v>
      </c>
      <c r="F1202" s="1">
        <v>5744.0</v>
      </c>
      <c r="G1202" s="1">
        <v>18990.0</v>
      </c>
      <c r="H1202" s="1">
        <v>0.3748</v>
      </c>
      <c r="I1202" s="1">
        <v>0.3025</v>
      </c>
      <c r="J1202" s="1">
        <v>0.0724</v>
      </c>
      <c r="K1202" s="1">
        <v>4274.0</v>
      </c>
    </row>
    <row r="1203">
      <c r="A1203" s="1" t="s">
        <v>22</v>
      </c>
      <c r="B1203" s="1" t="s">
        <v>180</v>
      </c>
      <c r="C1203" s="1" t="s">
        <v>48</v>
      </c>
      <c r="D1203" s="1">
        <v>5.0</v>
      </c>
      <c r="E1203" s="1">
        <v>10275.0</v>
      </c>
      <c r="F1203" s="1">
        <v>6896.0</v>
      </c>
      <c r="G1203" s="1">
        <v>18990.0</v>
      </c>
      <c r="H1203" s="1">
        <v>0.5411</v>
      </c>
      <c r="I1203" s="1">
        <v>0.3631</v>
      </c>
      <c r="J1203" s="1">
        <v>0.1779</v>
      </c>
      <c r="K1203" s="1">
        <v>4250.0</v>
      </c>
    </row>
    <row r="1204">
      <c r="A1204" s="1" t="s">
        <v>22</v>
      </c>
      <c r="B1204" s="1" t="s">
        <v>180</v>
      </c>
      <c r="C1204" s="1" t="s">
        <v>48</v>
      </c>
      <c r="D1204" s="1">
        <v>6.0</v>
      </c>
      <c r="E1204" s="1">
        <v>7404.0</v>
      </c>
      <c r="F1204" s="1">
        <v>6023.0</v>
      </c>
      <c r="G1204" s="1">
        <v>18990.0</v>
      </c>
      <c r="H1204" s="1">
        <v>0.3899</v>
      </c>
      <c r="I1204" s="1">
        <v>0.3172</v>
      </c>
      <c r="J1204" s="1">
        <v>0.0727</v>
      </c>
      <c r="K1204" s="1">
        <v>4137.0</v>
      </c>
    </row>
    <row r="1205">
      <c r="A1205" s="1" t="s">
        <v>22</v>
      </c>
      <c r="B1205" s="1" t="s">
        <v>180</v>
      </c>
      <c r="C1205" s="1" t="s">
        <v>48</v>
      </c>
      <c r="D1205" s="1">
        <v>7.0</v>
      </c>
      <c r="E1205" s="1">
        <v>6750.0</v>
      </c>
      <c r="F1205" s="1">
        <v>5595.0</v>
      </c>
      <c r="G1205" s="1">
        <v>18990.0</v>
      </c>
      <c r="H1205" s="1">
        <v>0.3555</v>
      </c>
      <c r="I1205" s="1">
        <v>0.2946</v>
      </c>
      <c r="J1205" s="1">
        <v>0.0608</v>
      </c>
      <c r="K1205" s="1">
        <v>4216.0</v>
      </c>
    </row>
    <row r="1206">
      <c r="A1206" s="1" t="s">
        <v>22</v>
      </c>
      <c r="B1206" s="1" t="s">
        <v>180</v>
      </c>
      <c r="C1206" s="1" t="s">
        <v>48</v>
      </c>
      <c r="D1206" s="1">
        <v>8.0</v>
      </c>
      <c r="E1206" s="1">
        <v>11300.0</v>
      </c>
      <c r="F1206" s="1">
        <v>7080.0</v>
      </c>
      <c r="G1206" s="1">
        <v>18990.0</v>
      </c>
      <c r="H1206" s="1">
        <v>0.5951</v>
      </c>
      <c r="I1206" s="1">
        <v>0.3728</v>
      </c>
      <c r="J1206" s="1">
        <v>0.2222</v>
      </c>
      <c r="K1206" s="1">
        <v>4541.0</v>
      </c>
    </row>
    <row r="1207">
      <c r="A1207" s="1" t="s">
        <v>22</v>
      </c>
      <c r="B1207" s="1" t="s">
        <v>180</v>
      </c>
      <c r="C1207" s="1" t="s">
        <v>48</v>
      </c>
      <c r="D1207" s="1">
        <v>9.0</v>
      </c>
      <c r="E1207" s="1">
        <v>8336.0</v>
      </c>
      <c r="F1207" s="1">
        <v>6313.0</v>
      </c>
      <c r="G1207" s="1">
        <v>18990.0</v>
      </c>
      <c r="H1207" s="1">
        <v>0.439</v>
      </c>
      <c r="I1207" s="1">
        <v>0.3324</v>
      </c>
      <c r="J1207" s="1">
        <v>0.1065</v>
      </c>
      <c r="K1207" s="1">
        <v>4545.0</v>
      </c>
    </row>
    <row r="1208">
      <c r="A1208" s="1" t="s">
        <v>22</v>
      </c>
      <c r="B1208" s="1" t="s">
        <v>180</v>
      </c>
      <c r="C1208" s="1" t="s">
        <v>48</v>
      </c>
      <c r="D1208" s="1">
        <v>10.0</v>
      </c>
      <c r="E1208" s="1">
        <v>7192.0</v>
      </c>
      <c r="F1208" s="1">
        <v>5747.0</v>
      </c>
      <c r="G1208" s="1">
        <v>18990.0</v>
      </c>
      <c r="H1208" s="1">
        <v>0.3787</v>
      </c>
      <c r="I1208" s="1">
        <v>0.3026</v>
      </c>
      <c r="J1208" s="1">
        <v>0.0761</v>
      </c>
      <c r="K1208" s="1">
        <v>4520.0</v>
      </c>
    </row>
    <row r="1209">
      <c r="A1209" s="1" t="s">
        <v>22</v>
      </c>
      <c r="B1209" s="1" t="s">
        <v>180</v>
      </c>
      <c r="C1209" s="1" t="s">
        <v>48</v>
      </c>
      <c r="D1209" s="1">
        <v>11.0</v>
      </c>
      <c r="E1209" s="1">
        <v>6636.0</v>
      </c>
      <c r="F1209" s="1">
        <v>5652.0</v>
      </c>
      <c r="G1209" s="1">
        <v>18990.0</v>
      </c>
      <c r="H1209" s="1">
        <v>0.3494</v>
      </c>
      <c r="I1209" s="1">
        <v>0.2976</v>
      </c>
      <c r="J1209" s="1">
        <v>0.0518</v>
      </c>
      <c r="K1209" s="1">
        <v>4589.0</v>
      </c>
    </row>
    <row r="1210">
      <c r="A1210" s="1" t="s">
        <v>22</v>
      </c>
      <c r="B1210" s="1" t="s">
        <v>180</v>
      </c>
      <c r="C1210" s="1" t="s">
        <v>48</v>
      </c>
      <c r="D1210" s="1">
        <v>12.0</v>
      </c>
      <c r="E1210" s="1">
        <v>10241.0</v>
      </c>
      <c r="F1210" s="1">
        <v>6484.0</v>
      </c>
      <c r="G1210" s="1">
        <v>18990.0</v>
      </c>
      <c r="H1210" s="1">
        <v>0.5393</v>
      </c>
      <c r="I1210" s="1">
        <v>0.3414</v>
      </c>
      <c r="J1210" s="1">
        <v>0.1978</v>
      </c>
      <c r="K1210" s="1">
        <v>4587.0</v>
      </c>
    </row>
    <row r="1211">
      <c r="A1211" s="1" t="s">
        <v>22</v>
      </c>
      <c r="B1211" s="1" t="s">
        <v>180</v>
      </c>
      <c r="C1211" s="1" t="s">
        <v>48</v>
      </c>
      <c r="D1211" s="1">
        <v>13.0</v>
      </c>
      <c r="E1211" s="1">
        <v>8352.0</v>
      </c>
      <c r="F1211" s="1">
        <v>6300.0</v>
      </c>
      <c r="G1211" s="1">
        <v>18990.0</v>
      </c>
      <c r="H1211" s="1">
        <v>0.4398</v>
      </c>
      <c r="I1211" s="1">
        <v>0.3318</v>
      </c>
      <c r="J1211" s="1">
        <v>0.1081</v>
      </c>
      <c r="K1211" s="1">
        <v>4861.0</v>
      </c>
    </row>
    <row r="1212">
      <c r="A1212" s="1" t="s">
        <v>22</v>
      </c>
      <c r="B1212" s="1" t="s">
        <v>180</v>
      </c>
      <c r="C1212" s="1" t="s">
        <v>48</v>
      </c>
      <c r="D1212" s="1">
        <v>14.0</v>
      </c>
      <c r="E1212" s="1">
        <v>7521.0</v>
      </c>
      <c r="F1212" s="1">
        <v>5846.0</v>
      </c>
      <c r="G1212" s="1">
        <v>18990.0</v>
      </c>
      <c r="H1212" s="1">
        <v>0.3961</v>
      </c>
      <c r="I1212" s="1">
        <v>0.3078</v>
      </c>
      <c r="J1212" s="1">
        <v>0.0882</v>
      </c>
      <c r="K1212" s="1">
        <v>4940.0</v>
      </c>
    </row>
    <row r="1213">
      <c r="A1213" s="1" t="s">
        <v>22</v>
      </c>
      <c r="B1213" s="1" t="s">
        <v>180</v>
      </c>
      <c r="C1213" s="1" t="s">
        <v>48</v>
      </c>
      <c r="D1213" s="1">
        <v>15.0</v>
      </c>
      <c r="E1213" s="1">
        <v>12431.0</v>
      </c>
      <c r="F1213" s="1">
        <v>7633.0</v>
      </c>
      <c r="G1213" s="1">
        <v>18990.0</v>
      </c>
      <c r="H1213" s="1">
        <v>0.6546</v>
      </c>
      <c r="I1213" s="1">
        <v>0.4019</v>
      </c>
      <c r="J1213" s="1">
        <v>0.2527</v>
      </c>
      <c r="K1213" s="1">
        <v>5144.0</v>
      </c>
    </row>
    <row r="1214">
      <c r="A1214" s="1" t="s">
        <v>22</v>
      </c>
      <c r="B1214" s="1" t="s">
        <v>180</v>
      </c>
      <c r="C1214" s="1" t="s">
        <v>48</v>
      </c>
      <c r="D1214" s="1">
        <v>16.0</v>
      </c>
      <c r="E1214" s="1">
        <v>9150.0</v>
      </c>
      <c r="F1214" s="1">
        <v>6773.0</v>
      </c>
      <c r="G1214" s="1">
        <v>18990.0</v>
      </c>
      <c r="H1214" s="1">
        <v>0.4818</v>
      </c>
      <c r="I1214" s="1">
        <v>0.3567</v>
      </c>
      <c r="J1214" s="1">
        <v>0.1252</v>
      </c>
      <c r="K1214" s="1">
        <v>5311.0</v>
      </c>
    </row>
    <row r="1215">
      <c r="A1215" s="1" t="s">
        <v>22</v>
      </c>
      <c r="B1215" s="1" t="s">
        <v>180</v>
      </c>
      <c r="C1215" s="1" t="s">
        <v>48</v>
      </c>
      <c r="D1215" s="1">
        <v>17.0</v>
      </c>
      <c r="E1215" s="1">
        <v>7730.0</v>
      </c>
      <c r="F1215" s="1">
        <v>6181.0</v>
      </c>
      <c r="G1215" s="1">
        <v>18990.0</v>
      </c>
      <c r="H1215" s="1">
        <v>0.4071</v>
      </c>
      <c r="I1215" s="1">
        <v>0.3255</v>
      </c>
      <c r="J1215" s="1">
        <v>0.0816</v>
      </c>
      <c r="K1215" s="1">
        <v>5182.0</v>
      </c>
    </row>
    <row r="1216">
      <c r="A1216" s="1" t="s">
        <v>22</v>
      </c>
      <c r="B1216" s="1" t="s">
        <v>180</v>
      </c>
      <c r="C1216" s="1" t="s">
        <v>48</v>
      </c>
      <c r="D1216" s="1">
        <v>18.0</v>
      </c>
      <c r="E1216" s="1">
        <v>7041.0</v>
      </c>
      <c r="F1216" s="1">
        <v>5831.0</v>
      </c>
      <c r="G1216" s="1">
        <v>18990.0</v>
      </c>
      <c r="H1216" s="1">
        <v>0.3708</v>
      </c>
      <c r="I1216" s="1">
        <v>0.3071</v>
      </c>
      <c r="J1216" s="1">
        <v>0.0637</v>
      </c>
      <c r="K1216" s="1">
        <v>5152.0</v>
      </c>
    </row>
    <row r="1217">
      <c r="A1217" s="1" t="s">
        <v>22</v>
      </c>
      <c r="B1217" s="1" t="s">
        <v>180</v>
      </c>
      <c r="C1217" s="1" t="s">
        <v>48</v>
      </c>
      <c r="D1217" s="1">
        <v>19.0</v>
      </c>
      <c r="E1217" s="1">
        <v>8918.0</v>
      </c>
      <c r="F1217" s="1">
        <v>6151.0</v>
      </c>
      <c r="G1217" s="1">
        <v>18990.0</v>
      </c>
      <c r="H1217" s="1">
        <v>0.4696</v>
      </c>
      <c r="I1217" s="1">
        <v>0.3239</v>
      </c>
      <c r="J1217" s="1">
        <v>0.1457</v>
      </c>
      <c r="K1217" s="1">
        <v>4791.0</v>
      </c>
    </row>
    <row r="1218">
      <c r="A1218" s="1" t="s">
        <v>22</v>
      </c>
      <c r="B1218" s="1" t="s">
        <v>180</v>
      </c>
      <c r="C1218" s="1" t="s">
        <v>48</v>
      </c>
      <c r="D1218" s="1">
        <v>20.0</v>
      </c>
      <c r="E1218" s="1">
        <v>6460.0</v>
      </c>
      <c r="F1218" s="1">
        <v>5567.0</v>
      </c>
      <c r="G1218" s="1">
        <v>18990.0</v>
      </c>
      <c r="H1218" s="1">
        <v>0.3402</v>
      </c>
      <c r="I1218" s="1">
        <v>0.2932</v>
      </c>
      <c r="J1218" s="1">
        <v>0.047</v>
      </c>
      <c r="K1218" s="1">
        <v>4629.0</v>
      </c>
    </row>
    <row r="1219">
      <c r="A1219" s="1" t="s">
        <v>22</v>
      </c>
      <c r="B1219" s="1" t="s">
        <v>180</v>
      </c>
      <c r="C1219" s="1" t="s">
        <v>48</v>
      </c>
      <c r="D1219" s="1">
        <v>21.0</v>
      </c>
      <c r="E1219" s="1">
        <v>5296.0</v>
      </c>
      <c r="F1219" s="1">
        <v>5233.0</v>
      </c>
      <c r="G1219" s="1">
        <v>18990.0</v>
      </c>
      <c r="H1219" s="1">
        <v>0.2789</v>
      </c>
      <c r="I1219" s="1">
        <v>0.2756</v>
      </c>
      <c r="J1219" s="1">
        <v>0.0033</v>
      </c>
      <c r="K1219" s="1">
        <v>4452.0</v>
      </c>
    </row>
    <row r="1220">
      <c r="A1220" s="1" t="s">
        <v>22</v>
      </c>
      <c r="B1220" s="1" t="s">
        <v>180</v>
      </c>
      <c r="C1220" s="1" t="s">
        <v>50</v>
      </c>
      <c r="D1220" s="1">
        <v>1.0</v>
      </c>
      <c r="E1220" s="1">
        <v>5826.0</v>
      </c>
      <c r="F1220" s="1">
        <v>4000.0</v>
      </c>
      <c r="G1220" s="1">
        <v>17408.0</v>
      </c>
      <c r="H1220" s="1">
        <v>0.3347</v>
      </c>
      <c r="I1220" s="1">
        <v>0.2298</v>
      </c>
      <c r="J1220" s="1">
        <v>0.1049</v>
      </c>
      <c r="K1220" s="1">
        <v>4532.0</v>
      </c>
    </row>
    <row r="1221">
      <c r="A1221" s="1" t="s">
        <v>22</v>
      </c>
      <c r="B1221" s="1" t="s">
        <v>180</v>
      </c>
      <c r="C1221" s="1" t="s">
        <v>50</v>
      </c>
      <c r="D1221" s="1">
        <v>2.0</v>
      </c>
      <c r="E1221" s="1">
        <v>5250.0</v>
      </c>
      <c r="F1221" s="1">
        <v>4047.0</v>
      </c>
      <c r="G1221" s="1">
        <v>17408.0</v>
      </c>
      <c r="H1221" s="1">
        <v>0.3016</v>
      </c>
      <c r="I1221" s="1">
        <v>0.2325</v>
      </c>
      <c r="J1221" s="1">
        <v>0.0691</v>
      </c>
      <c r="K1221" s="1">
        <v>4507.0</v>
      </c>
    </row>
    <row r="1222">
      <c r="A1222" s="1" t="s">
        <v>22</v>
      </c>
      <c r="B1222" s="1" t="s">
        <v>180</v>
      </c>
      <c r="C1222" s="1" t="s">
        <v>50</v>
      </c>
      <c r="D1222" s="1">
        <v>3.0</v>
      </c>
      <c r="E1222" s="1">
        <v>5347.0</v>
      </c>
      <c r="F1222" s="1">
        <v>3819.0</v>
      </c>
      <c r="G1222" s="1">
        <v>17408.0</v>
      </c>
      <c r="H1222" s="1">
        <v>0.3072</v>
      </c>
      <c r="I1222" s="1">
        <v>0.2194</v>
      </c>
      <c r="J1222" s="1">
        <v>0.0878</v>
      </c>
      <c r="K1222" s="1">
        <v>4451.0</v>
      </c>
    </row>
    <row r="1223">
      <c r="A1223" s="1" t="s">
        <v>22</v>
      </c>
      <c r="B1223" s="1" t="s">
        <v>180</v>
      </c>
      <c r="C1223" s="1" t="s">
        <v>50</v>
      </c>
      <c r="D1223" s="1">
        <v>4.0</v>
      </c>
      <c r="E1223" s="1">
        <v>4909.0</v>
      </c>
      <c r="F1223" s="1">
        <v>3662.0</v>
      </c>
      <c r="G1223" s="1">
        <v>17408.0</v>
      </c>
      <c r="H1223" s="1">
        <v>0.282</v>
      </c>
      <c r="I1223" s="1">
        <v>0.2104</v>
      </c>
      <c r="J1223" s="1">
        <v>0.0716</v>
      </c>
      <c r="K1223" s="1">
        <v>4274.0</v>
      </c>
    </row>
    <row r="1224">
      <c r="A1224" s="1" t="s">
        <v>22</v>
      </c>
      <c r="B1224" s="1" t="s">
        <v>180</v>
      </c>
      <c r="C1224" s="1" t="s">
        <v>50</v>
      </c>
      <c r="D1224" s="1">
        <v>5.0</v>
      </c>
      <c r="E1224" s="1">
        <v>6191.0</v>
      </c>
      <c r="F1224" s="1">
        <v>3841.0</v>
      </c>
      <c r="G1224" s="1">
        <v>17408.0</v>
      </c>
      <c r="H1224" s="1">
        <v>0.3556</v>
      </c>
      <c r="I1224" s="1">
        <v>0.2206</v>
      </c>
      <c r="J1224" s="1">
        <v>0.135</v>
      </c>
      <c r="K1224" s="1">
        <v>4250.0</v>
      </c>
    </row>
    <row r="1225">
      <c r="A1225" s="1" t="s">
        <v>22</v>
      </c>
      <c r="B1225" s="1" t="s">
        <v>180</v>
      </c>
      <c r="C1225" s="1" t="s">
        <v>50</v>
      </c>
      <c r="D1225" s="1">
        <v>6.0</v>
      </c>
      <c r="E1225" s="1">
        <v>4278.0</v>
      </c>
      <c r="F1225" s="1">
        <v>3715.0</v>
      </c>
      <c r="G1225" s="1">
        <v>17408.0</v>
      </c>
      <c r="H1225" s="1">
        <v>0.2457</v>
      </c>
      <c r="I1225" s="1">
        <v>0.2134</v>
      </c>
      <c r="J1225" s="1">
        <v>0.0323</v>
      </c>
      <c r="K1225" s="1">
        <v>4137.0</v>
      </c>
    </row>
    <row r="1226">
      <c r="A1226" s="1" t="s">
        <v>22</v>
      </c>
      <c r="B1226" s="1" t="s">
        <v>180</v>
      </c>
      <c r="C1226" s="1" t="s">
        <v>50</v>
      </c>
      <c r="D1226" s="1">
        <v>7.0</v>
      </c>
      <c r="E1226" s="1">
        <v>4010.0</v>
      </c>
      <c r="F1226" s="1">
        <v>3592.0</v>
      </c>
      <c r="G1226" s="1">
        <v>17408.0</v>
      </c>
      <c r="H1226" s="1">
        <v>0.2304</v>
      </c>
      <c r="I1226" s="1">
        <v>0.2063</v>
      </c>
      <c r="J1226" s="1">
        <v>0.024</v>
      </c>
      <c r="K1226" s="1">
        <v>4216.0</v>
      </c>
    </row>
    <row r="1227">
      <c r="A1227" s="1" t="s">
        <v>22</v>
      </c>
      <c r="B1227" s="1" t="s">
        <v>180</v>
      </c>
      <c r="C1227" s="1" t="s">
        <v>50</v>
      </c>
      <c r="D1227" s="1">
        <v>8.0</v>
      </c>
      <c r="E1227" s="1">
        <v>5228.0</v>
      </c>
      <c r="F1227" s="1">
        <v>3908.0</v>
      </c>
      <c r="G1227" s="1">
        <v>17408.0</v>
      </c>
      <c r="H1227" s="1">
        <v>0.3003</v>
      </c>
      <c r="I1227" s="1">
        <v>0.2245</v>
      </c>
      <c r="J1227" s="1">
        <v>0.0758</v>
      </c>
      <c r="K1227" s="1">
        <v>4541.0</v>
      </c>
    </row>
    <row r="1228">
      <c r="A1228" s="1" t="s">
        <v>22</v>
      </c>
      <c r="B1228" s="1" t="s">
        <v>180</v>
      </c>
      <c r="C1228" s="1" t="s">
        <v>50</v>
      </c>
      <c r="D1228" s="1">
        <v>9.0</v>
      </c>
      <c r="E1228" s="1">
        <v>5204.0</v>
      </c>
      <c r="F1228" s="1">
        <v>3921.0</v>
      </c>
      <c r="G1228" s="1">
        <v>17408.0</v>
      </c>
      <c r="H1228" s="1">
        <v>0.2989</v>
      </c>
      <c r="I1228" s="1">
        <v>0.2252</v>
      </c>
      <c r="J1228" s="1">
        <v>0.0737</v>
      </c>
      <c r="K1228" s="1">
        <v>4545.0</v>
      </c>
    </row>
    <row r="1229">
      <c r="A1229" s="1" t="s">
        <v>22</v>
      </c>
      <c r="B1229" s="1" t="s">
        <v>180</v>
      </c>
      <c r="C1229" s="1" t="s">
        <v>50</v>
      </c>
      <c r="D1229" s="1">
        <v>10.0</v>
      </c>
      <c r="E1229" s="1">
        <v>4938.0</v>
      </c>
      <c r="F1229" s="1">
        <v>3755.0</v>
      </c>
      <c r="G1229" s="1">
        <v>17408.0</v>
      </c>
      <c r="H1229" s="1">
        <v>0.2837</v>
      </c>
      <c r="I1229" s="1">
        <v>0.2157</v>
      </c>
      <c r="J1229" s="1">
        <v>0.068</v>
      </c>
      <c r="K1229" s="1">
        <v>4520.0</v>
      </c>
    </row>
    <row r="1230">
      <c r="A1230" s="1" t="s">
        <v>22</v>
      </c>
      <c r="B1230" s="1" t="s">
        <v>180</v>
      </c>
      <c r="C1230" s="1" t="s">
        <v>50</v>
      </c>
      <c r="D1230" s="1">
        <v>11.0</v>
      </c>
      <c r="E1230" s="1">
        <v>4882.0</v>
      </c>
      <c r="F1230" s="1">
        <v>3779.0</v>
      </c>
      <c r="G1230" s="1">
        <v>17408.0</v>
      </c>
      <c r="H1230" s="1">
        <v>0.2804</v>
      </c>
      <c r="I1230" s="1">
        <v>0.2171</v>
      </c>
      <c r="J1230" s="1">
        <v>0.0634</v>
      </c>
      <c r="K1230" s="1">
        <v>4589.0</v>
      </c>
    </row>
    <row r="1231">
      <c r="A1231" s="1" t="s">
        <v>22</v>
      </c>
      <c r="B1231" s="1" t="s">
        <v>180</v>
      </c>
      <c r="C1231" s="1" t="s">
        <v>50</v>
      </c>
      <c r="D1231" s="1">
        <v>12.0</v>
      </c>
      <c r="E1231" s="1">
        <v>6049.0</v>
      </c>
      <c r="F1231" s="1">
        <v>3687.0</v>
      </c>
      <c r="G1231" s="1">
        <v>17408.0</v>
      </c>
      <c r="H1231" s="1">
        <v>0.3475</v>
      </c>
      <c r="I1231" s="1">
        <v>0.2118</v>
      </c>
      <c r="J1231" s="1">
        <v>0.1357</v>
      </c>
      <c r="K1231" s="1">
        <v>4587.0</v>
      </c>
    </row>
    <row r="1232">
      <c r="A1232" s="1" t="s">
        <v>22</v>
      </c>
      <c r="B1232" s="1" t="s">
        <v>180</v>
      </c>
      <c r="C1232" s="1" t="s">
        <v>50</v>
      </c>
      <c r="D1232" s="1">
        <v>13.0</v>
      </c>
      <c r="E1232" s="1">
        <v>4995.0</v>
      </c>
      <c r="F1232" s="1">
        <v>3900.0</v>
      </c>
      <c r="G1232" s="1">
        <v>17408.0</v>
      </c>
      <c r="H1232" s="1">
        <v>0.2869</v>
      </c>
      <c r="I1232" s="1">
        <v>0.224</v>
      </c>
      <c r="J1232" s="1">
        <v>0.0629</v>
      </c>
      <c r="K1232" s="1">
        <v>4861.0</v>
      </c>
    </row>
    <row r="1233">
      <c r="A1233" s="1" t="s">
        <v>22</v>
      </c>
      <c r="B1233" s="1" t="s">
        <v>180</v>
      </c>
      <c r="C1233" s="1" t="s">
        <v>50</v>
      </c>
      <c r="D1233" s="1">
        <v>14.0</v>
      </c>
      <c r="E1233" s="1">
        <v>4446.0</v>
      </c>
      <c r="F1233" s="1">
        <v>3868.0</v>
      </c>
      <c r="G1233" s="1">
        <v>17408.0</v>
      </c>
      <c r="H1233" s="1">
        <v>0.2554</v>
      </c>
      <c r="I1233" s="1">
        <v>0.2222</v>
      </c>
      <c r="J1233" s="1">
        <v>0.0332</v>
      </c>
      <c r="K1233" s="1">
        <v>4940.0</v>
      </c>
    </row>
    <row r="1234">
      <c r="A1234" s="1" t="s">
        <v>22</v>
      </c>
      <c r="B1234" s="1" t="s">
        <v>180</v>
      </c>
      <c r="C1234" s="1" t="s">
        <v>50</v>
      </c>
      <c r="D1234" s="1">
        <v>15.0</v>
      </c>
      <c r="E1234" s="1">
        <v>5362.0</v>
      </c>
      <c r="F1234" s="1">
        <v>4332.0</v>
      </c>
      <c r="G1234" s="1">
        <v>17408.0</v>
      </c>
      <c r="H1234" s="1">
        <v>0.308</v>
      </c>
      <c r="I1234" s="1">
        <v>0.2489</v>
      </c>
      <c r="J1234" s="1">
        <v>0.0592</v>
      </c>
      <c r="K1234" s="1">
        <v>5144.0</v>
      </c>
    </row>
    <row r="1235">
      <c r="A1235" s="1" t="s">
        <v>22</v>
      </c>
      <c r="B1235" s="1" t="s">
        <v>180</v>
      </c>
      <c r="C1235" s="1" t="s">
        <v>50</v>
      </c>
      <c r="D1235" s="1">
        <v>16.0</v>
      </c>
      <c r="E1235" s="1">
        <v>5351.0</v>
      </c>
      <c r="F1235" s="1">
        <v>4250.0</v>
      </c>
      <c r="G1235" s="1">
        <v>17408.0</v>
      </c>
      <c r="H1235" s="1">
        <v>0.3074</v>
      </c>
      <c r="I1235" s="1">
        <v>0.2441</v>
      </c>
      <c r="J1235" s="1">
        <v>0.0632</v>
      </c>
      <c r="K1235" s="1">
        <v>5311.0</v>
      </c>
    </row>
    <row r="1236">
      <c r="A1236" s="1" t="s">
        <v>22</v>
      </c>
      <c r="B1236" s="1" t="s">
        <v>180</v>
      </c>
      <c r="C1236" s="1" t="s">
        <v>50</v>
      </c>
      <c r="D1236" s="1">
        <v>17.0</v>
      </c>
      <c r="E1236" s="1">
        <v>5202.0</v>
      </c>
      <c r="F1236" s="1">
        <v>4052.0</v>
      </c>
      <c r="G1236" s="1">
        <v>17408.0</v>
      </c>
      <c r="H1236" s="1">
        <v>0.2988</v>
      </c>
      <c r="I1236" s="1">
        <v>0.2328</v>
      </c>
      <c r="J1236" s="1">
        <v>0.0661</v>
      </c>
      <c r="K1236" s="1">
        <v>5182.0</v>
      </c>
    </row>
    <row r="1237">
      <c r="A1237" s="1" t="s">
        <v>22</v>
      </c>
      <c r="B1237" s="1" t="s">
        <v>180</v>
      </c>
      <c r="C1237" s="1" t="s">
        <v>50</v>
      </c>
      <c r="D1237" s="1">
        <v>18.0</v>
      </c>
      <c r="E1237" s="1">
        <v>5034.0</v>
      </c>
      <c r="F1237" s="1">
        <v>3961.0</v>
      </c>
      <c r="G1237" s="1">
        <v>17408.0</v>
      </c>
      <c r="H1237" s="1">
        <v>0.2892</v>
      </c>
      <c r="I1237" s="1">
        <v>0.2275</v>
      </c>
      <c r="J1237" s="1">
        <v>0.0616</v>
      </c>
      <c r="K1237" s="1">
        <v>5152.0</v>
      </c>
    </row>
    <row r="1238">
      <c r="A1238" s="1" t="s">
        <v>22</v>
      </c>
      <c r="B1238" s="1" t="s">
        <v>180</v>
      </c>
      <c r="C1238" s="1" t="s">
        <v>50</v>
      </c>
      <c r="D1238" s="1">
        <v>19.0</v>
      </c>
      <c r="E1238" s="1">
        <v>6187.0</v>
      </c>
      <c r="F1238" s="1">
        <v>4080.0</v>
      </c>
      <c r="G1238" s="1">
        <v>17408.0</v>
      </c>
      <c r="H1238" s="1">
        <v>0.3554</v>
      </c>
      <c r="I1238" s="1">
        <v>0.2344</v>
      </c>
      <c r="J1238" s="1">
        <v>0.121</v>
      </c>
      <c r="K1238" s="1">
        <v>4791.0</v>
      </c>
    </row>
    <row r="1239">
      <c r="A1239" s="1" t="s">
        <v>22</v>
      </c>
      <c r="B1239" s="1" t="s">
        <v>180</v>
      </c>
      <c r="C1239" s="1" t="s">
        <v>50</v>
      </c>
      <c r="D1239" s="1">
        <v>20.0</v>
      </c>
      <c r="E1239" s="1">
        <v>4120.0</v>
      </c>
      <c r="F1239" s="1">
        <v>3621.0</v>
      </c>
      <c r="G1239" s="1">
        <v>17408.0</v>
      </c>
      <c r="H1239" s="1">
        <v>0.2367</v>
      </c>
      <c r="I1239" s="1">
        <v>0.208</v>
      </c>
      <c r="J1239" s="1">
        <v>0.0287</v>
      </c>
      <c r="K1239" s="1">
        <v>4629.0</v>
      </c>
    </row>
    <row r="1240">
      <c r="A1240" s="1" t="s">
        <v>22</v>
      </c>
      <c r="B1240" s="1" t="s">
        <v>180</v>
      </c>
      <c r="C1240" s="1" t="s">
        <v>50</v>
      </c>
      <c r="D1240" s="1">
        <v>21.0</v>
      </c>
      <c r="E1240" s="1">
        <v>3367.0</v>
      </c>
      <c r="F1240" s="1">
        <v>3266.0</v>
      </c>
      <c r="G1240" s="1">
        <v>17408.0</v>
      </c>
      <c r="H1240" s="1">
        <v>0.1934</v>
      </c>
      <c r="I1240" s="1">
        <v>0.1876</v>
      </c>
      <c r="J1240" s="1">
        <v>0.0058</v>
      </c>
      <c r="K1240" s="1">
        <v>4452.0</v>
      </c>
    </row>
    <row r="1241">
      <c r="A1241" s="1" t="s">
        <v>22</v>
      </c>
      <c r="B1241" s="1" t="s">
        <v>180</v>
      </c>
      <c r="C1241" s="1" t="s">
        <v>1209</v>
      </c>
      <c r="D1241" s="1">
        <v>1.0</v>
      </c>
      <c r="E1241" s="1">
        <v>1410.0</v>
      </c>
      <c r="F1241" s="1">
        <v>699.0</v>
      </c>
      <c r="G1241" s="1">
        <v>3335.0</v>
      </c>
      <c r="H1241" s="1">
        <v>0.4228</v>
      </c>
      <c r="I1241" s="1">
        <v>0.2096</v>
      </c>
      <c r="J1241" s="1">
        <v>0.2132</v>
      </c>
      <c r="K1241" s="1">
        <v>4532.0</v>
      </c>
    </row>
    <row r="1242">
      <c r="A1242" s="1" t="s">
        <v>22</v>
      </c>
      <c r="B1242" s="1" t="s">
        <v>180</v>
      </c>
      <c r="C1242" s="1" t="s">
        <v>1209</v>
      </c>
      <c r="D1242" s="1">
        <v>2.0</v>
      </c>
      <c r="E1242" s="1">
        <v>1440.0</v>
      </c>
      <c r="F1242" s="1">
        <v>624.0</v>
      </c>
      <c r="G1242" s="1">
        <v>3335.0</v>
      </c>
      <c r="H1242" s="1">
        <v>0.4318</v>
      </c>
      <c r="I1242" s="1">
        <v>0.1871</v>
      </c>
      <c r="J1242" s="1">
        <v>0.2447</v>
      </c>
      <c r="K1242" s="1">
        <v>4507.0</v>
      </c>
    </row>
    <row r="1243">
      <c r="A1243" s="1" t="s">
        <v>22</v>
      </c>
      <c r="B1243" s="1" t="s">
        <v>180</v>
      </c>
      <c r="C1243" s="1" t="s">
        <v>1209</v>
      </c>
      <c r="D1243" s="1">
        <v>3.0</v>
      </c>
      <c r="E1243" s="1">
        <v>1040.0</v>
      </c>
      <c r="F1243" s="1">
        <v>541.0</v>
      </c>
      <c r="G1243" s="1">
        <v>3335.0</v>
      </c>
      <c r="H1243" s="1">
        <v>0.3118</v>
      </c>
      <c r="I1243" s="1">
        <v>0.1622</v>
      </c>
      <c r="J1243" s="1">
        <v>0.1496</v>
      </c>
      <c r="K1243" s="1">
        <v>4451.0</v>
      </c>
    </row>
    <row r="1244">
      <c r="A1244" s="1" t="s">
        <v>22</v>
      </c>
      <c r="B1244" s="1" t="s">
        <v>180</v>
      </c>
      <c r="C1244" s="1" t="s">
        <v>1209</v>
      </c>
      <c r="D1244" s="1">
        <v>4.0</v>
      </c>
      <c r="E1244" s="1">
        <v>1410.0</v>
      </c>
      <c r="F1244" s="1">
        <v>656.0</v>
      </c>
      <c r="G1244" s="1">
        <v>3335.0</v>
      </c>
      <c r="H1244" s="1">
        <v>0.4228</v>
      </c>
      <c r="I1244" s="1">
        <v>0.1967</v>
      </c>
      <c r="J1244" s="1">
        <v>0.2261</v>
      </c>
      <c r="K1244" s="1">
        <v>4274.0</v>
      </c>
    </row>
    <row r="1245">
      <c r="A1245" s="1" t="s">
        <v>22</v>
      </c>
      <c r="B1245" s="1" t="s">
        <v>180</v>
      </c>
      <c r="C1245" s="1" t="s">
        <v>1209</v>
      </c>
      <c r="D1245" s="1">
        <v>5.0</v>
      </c>
      <c r="E1245" s="1">
        <v>3595.0</v>
      </c>
      <c r="F1245" s="1">
        <v>1828.0</v>
      </c>
      <c r="G1245" s="1">
        <v>3335.0</v>
      </c>
      <c r="H1245" s="1">
        <v>1.078</v>
      </c>
      <c r="I1245" s="1">
        <v>0.5481</v>
      </c>
      <c r="J1245" s="1">
        <v>0.5298</v>
      </c>
      <c r="K1245" s="1">
        <v>4250.0</v>
      </c>
    </row>
    <row r="1246">
      <c r="A1246" s="1" t="s">
        <v>22</v>
      </c>
      <c r="B1246" s="1" t="s">
        <v>180</v>
      </c>
      <c r="C1246" s="1" t="s">
        <v>1209</v>
      </c>
      <c r="D1246" s="1">
        <v>6.0</v>
      </c>
      <c r="E1246" s="1">
        <v>6815.0</v>
      </c>
      <c r="F1246" s="1">
        <v>3941.0</v>
      </c>
      <c r="G1246" s="1">
        <v>3335.0</v>
      </c>
      <c r="H1246" s="1">
        <v>2.0435</v>
      </c>
      <c r="I1246" s="1">
        <v>1.1817</v>
      </c>
      <c r="J1246" s="1">
        <v>0.8618</v>
      </c>
      <c r="K1246" s="1">
        <v>4137.0</v>
      </c>
    </row>
    <row r="1247">
      <c r="A1247" s="1" t="s">
        <v>22</v>
      </c>
      <c r="B1247" s="1" t="s">
        <v>180</v>
      </c>
      <c r="C1247" s="1" t="s">
        <v>1209</v>
      </c>
      <c r="D1247" s="1">
        <v>7.0</v>
      </c>
      <c r="E1247" s="1">
        <v>7805.0</v>
      </c>
      <c r="F1247" s="1">
        <v>4340.0</v>
      </c>
      <c r="G1247" s="1">
        <v>3335.0</v>
      </c>
      <c r="H1247" s="1">
        <v>2.3403</v>
      </c>
      <c r="I1247" s="1">
        <v>1.3013</v>
      </c>
      <c r="J1247" s="1">
        <v>1.039</v>
      </c>
      <c r="K1247" s="1">
        <v>4216.0</v>
      </c>
    </row>
    <row r="1248">
      <c r="A1248" s="1" t="s">
        <v>22</v>
      </c>
      <c r="B1248" s="1" t="s">
        <v>180</v>
      </c>
      <c r="C1248" s="1" t="s">
        <v>1209</v>
      </c>
      <c r="D1248" s="1">
        <v>8.0</v>
      </c>
      <c r="E1248" s="1">
        <v>4840.0</v>
      </c>
      <c r="F1248" s="1">
        <v>2624.0</v>
      </c>
      <c r="G1248" s="1">
        <v>3335.0</v>
      </c>
      <c r="H1248" s="1">
        <v>1.4513</v>
      </c>
      <c r="I1248" s="1">
        <v>0.7868</v>
      </c>
      <c r="J1248" s="1">
        <v>0.6645</v>
      </c>
      <c r="K1248" s="1">
        <v>4541.0</v>
      </c>
    </row>
    <row r="1249">
      <c r="A1249" s="1" t="s">
        <v>22</v>
      </c>
      <c r="B1249" s="1" t="s">
        <v>180</v>
      </c>
      <c r="C1249" s="1" t="s">
        <v>1209</v>
      </c>
      <c r="D1249" s="1">
        <v>9.0</v>
      </c>
      <c r="E1249" s="1">
        <v>1900.0</v>
      </c>
      <c r="F1249" s="1">
        <v>811.0</v>
      </c>
      <c r="G1249" s="1">
        <v>3335.0</v>
      </c>
      <c r="H1249" s="1">
        <v>0.5697</v>
      </c>
      <c r="I1249" s="1">
        <v>0.2432</v>
      </c>
      <c r="J1249" s="1">
        <v>0.3265</v>
      </c>
      <c r="K1249" s="1">
        <v>4545.0</v>
      </c>
    </row>
    <row r="1250">
      <c r="A1250" s="1" t="s">
        <v>22</v>
      </c>
      <c r="B1250" s="1" t="s">
        <v>180</v>
      </c>
      <c r="C1250" s="1" t="s">
        <v>1209</v>
      </c>
      <c r="D1250" s="1">
        <v>10.0</v>
      </c>
      <c r="E1250" s="1">
        <v>1680.0</v>
      </c>
      <c r="F1250" s="1">
        <v>783.0</v>
      </c>
      <c r="G1250" s="1">
        <v>3335.0</v>
      </c>
      <c r="H1250" s="1">
        <v>0.5037</v>
      </c>
      <c r="I1250" s="1">
        <v>0.2348</v>
      </c>
      <c r="J1250" s="1">
        <v>0.269</v>
      </c>
      <c r="K1250" s="1">
        <v>4520.0</v>
      </c>
    </row>
    <row r="1251">
      <c r="A1251" s="1" t="s">
        <v>22</v>
      </c>
      <c r="B1251" s="1" t="s">
        <v>180</v>
      </c>
      <c r="C1251" s="1" t="s">
        <v>1209</v>
      </c>
      <c r="D1251" s="1">
        <v>11.0</v>
      </c>
      <c r="E1251" s="1">
        <v>1600.0</v>
      </c>
      <c r="F1251" s="1">
        <v>791.0</v>
      </c>
      <c r="G1251" s="1">
        <v>3335.0</v>
      </c>
      <c r="H1251" s="1">
        <v>0.4798</v>
      </c>
      <c r="I1251" s="1">
        <v>0.2372</v>
      </c>
      <c r="J1251" s="1">
        <v>0.2426</v>
      </c>
      <c r="K1251" s="1">
        <v>4589.0</v>
      </c>
    </row>
    <row r="1252">
      <c r="A1252" s="1" t="s">
        <v>22</v>
      </c>
      <c r="B1252" s="1" t="s">
        <v>180</v>
      </c>
      <c r="C1252" s="1" t="s">
        <v>1209</v>
      </c>
      <c r="D1252" s="1">
        <v>12.0</v>
      </c>
      <c r="E1252" s="1">
        <v>2580.0</v>
      </c>
      <c r="F1252" s="1">
        <v>1241.0</v>
      </c>
      <c r="G1252" s="1">
        <v>3335.0</v>
      </c>
      <c r="H1252" s="1">
        <v>0.7736</v>
      </c>
      <c r="I1252" s="1">
        <v>0.3721</v>
      </c>
      <c r="J1252" s="1">
        <v>0.4015</v>
      </c>
      <c r="K1252" s="1">
        <v>4587.0</v>
      </c>
    </row>
    <row r="1253">
      <c r="A1253" s="1" t="s">
        <v>22</v>
      </c>
      <c r="B1253" s="1" t="s">
        <v>180</v>
      </c>
      <c r="C1253" s="1" t="s">
        <v>1209</v>
      </c>
      <c r="D1253" s="1">
        <v>13.0</v>
      </c>
      <c r="E1253" s="1">
        <v>6225.0</v>
      </c>
      <c r="F1253" s="1">
        <v>3426.0</v>
      </c>
      <c r="G1253" s="1">
        <v>3335.0</v>
      </c>
      <c r="H1253" s="1">
        <v>1.8666</v>
      </c>
      <c r="I1253" s="1">
        <v>1.0273</v>
      </c>
      <c r="J1253" s="1">
        <v>0.8393</v>
      </c>
      <c r="K1253" s="1">
        <v>4861.0</v>
      </c>
    </row>
    <row r="1254">
      <c r="A1254" s="1" t="s">
        <v>22</v>
      </c>
      <c r="B1254" s="1" t="s">
        <v>180</v>
      </c>
      <c r="C1254" s="1" t="s">
        <v>1209</v>
      </c>
      <c r="D1254" s="1">
        <v>14.0</v>
      </c>
      <c r="E1254" s="1">
        <v>7875.0</v>
      </c>
      <c r="F1254" s="1">
        <v>4080.0</v>
      </c>
      <c r="G1254" s="1">
        <v>3335.0</v>
      </c>
      <c r="H1254" s="1">
        <v>2.3613</v>
      </c>
      <c r="I1254" s="1">
        <v>1.2234</v>
      </c>
      <c r="J1254" s="1">
        <v>1.1379</v>
      </c>
      <c r="K1254" s="1">
        <v>4940.0</v>
      </c>
    </row>
    <row r="1255">
      <c r="A1255" s="1" t="s">
        <v>22</v>
      </c>
      <c r="B1255" s="1" t="s">
        <v>180</v>
      </c>
      <c r="C1255" s="1" t="s">
        <v>1209</v>
      </c>
      <c r="D1255" s="1">
        <v>15.0</v>
      </c>
      <c r="E1255" s="1">
        <v>9915.0</v>
      </c>
      <c r="F1255" s="1">
        <v>4267.0</v>
      </c>
      <c r="G1255" s="1">
        <v>3335.0</v>
      </c>
      <c r="H1255" s="1">
        <v>2.973</v>
      </c>
      <c r="I1255" s="1">
        <v>1.2795</v>
      </c>
      <c r="J1255" s="1">
        <v>1.6936</v>
      </c>
      <c r="K1255" s="1">
        <v>5144.0</v>
      </c>
    </row>
    <row r="1256">
      <c r="A1256" s="1" t="s">
        <v>22</v>
      </c>
      <c r="B1256" s="1" t="s">
        <v>180</v>
      </c>
      <c r="C1256" s="1" t="s">
        <v>1209</v>
      </c>
      <c r="D1256" s="1">
        <v>16.0</v>
      </c>
      <c r="E1256" s="1">
        <v>2980.0</v>
      </c>
      <c r="F1256" s="1">
        <v>1282.0</v>
      </c>
      <c r="G1256" s="1">
        <v>3335.0</v>
      </c>
      <c r="H1256" s="1">
        <v>0.8936</v>
      </c>
      <c r="I1256" s="1">
        <v>0.3844</v>
      </c>
      <c r="J1256" s="1">
        <v>0.5091</v>
      </c>
      <c r="K1256" s="1">
        <v>5311.0</v>
      </c>
    </row>
    <row r="1257">
      <c r="A1257" s="1" t="s">
        <v>22</v>
      </c>
      <c r="B1257" s="1" t="s">
        <v>180</v>
      </c>
      <c r="C1257" s="1" t="s">
        <v>1209</v>
      </c>
      <c r="D1257" s="1">
        <v>17.0</v>
      </c>
      <c r="E1257" s="1">
        <v>2420.0</v>
      </c>
      <c r="F1257" s="1">
        <v>1028.0</v>
      </c>
      <c r="G1257" s="1">
        <v>3335.0</v>
      </c>
      <c r="H1257" s="1">
        <v>0.7256</v>
      </c>
      <c r="I1257" s="1">
        <v>0.3082</v>
      </c>
      <c r="J1257" s="1">
        <v>0.4174</v>
      </c>
      <c r="K1257" s="1">
        <v>5182.0</v>
      </c>
    </row>
    <row r="1258">
      <c r="A1258" s="1" t="s">
        <v>22</v>
      </c>
      <c r="B1258" s="1" t="s">
        <v>180</v>
      </c>
      <c r="C1258" s="1" t="s">
        <v>1209</v>
      </c>
      <c r="D1258" s="1">
        <v>18.0</v>
      </c>
      <c r="E1258" s="1">
        <v>1820.0</v>
      </c>
      <c r="F1258" s="1">
        <v>807.0</v>
      </c>
      <c r="G1258" s="1">
        <v>3335.0</v>
      </c>
      <c r="H1258" s="1">
        <v>0.5457</v>
      </c>
      <c r="I1258" s="1">
        <v>0.242</v>
      </c>
      <c r="J1258" s="1">
        <v>0.3037</v>
      </c>
      <c r="K1258" s="1">
        <v>5152.0</v>
      </c>
    </row>
    <row r="1259">
      <c r="A1259" s="1" t="s">
        <v>22</v>
      </c>
      <c r="B1259" s="1" t="s">
        <v>180</v>
      </c>
      <c r="C1259" s="1" t="s">
        <v>1209</v>
      </c>
      <c r="D1259" s="1">
        <v>19.0</v>
      </c>
      <c r="E1259" s="1">
        <v>1890.0</v>
      </c>
      <c r="F1259" s="1">
        <v>776.0</v>
      </c>
      <c r="G1259" s="1">
        <v>3335.0</v>
      </c>
      <c r="H1259" s="1">
        <v>0.5667</v>
      </c>
      <c r="I1259" s="1">
        <v>0.2327</v>
      </c>
      <c r="J1259" s="1">
        <v>0.334</v>
      </c>
      <c r="K1259" s="1">
        <v>4791.0</v>
      </c>
    </row>
    <row r="1260">
      <c r="A1260" s="1" t="s">
        <v>22</v>
      </c>
      <c r="B1260" s="1" t="s">
        <v>180</v>
      </c>
      <c r="C1260" s="1" t="s">
        <v>1209</v>
      </c>
      <c r="D1260" s="1">
        <v>20.0</v>
      </c>
      <c r="E1260" s="1">
        <v>1935.0</v>
      </c>
      <c r="F1260" s="1">
        <v>880.0</v>
      </c>
      <c r="G1260" s="1">
        <v>3335.0</v>
      </c>
      <c r="H1260" s="1">
        <v>0.5802</v>
      </c>
      <c r="I1260" s="1">
        <v>0.2639</v>
      </c>
      <c r="J1260" s="1">
        <v>0.3163</v>
      </c>
      <c r="K1260" s="1">
        <v>4629.0</v>
      </c>
    </row>
    <row r="1261">
      <c r="A1261" s="1" t="s">
        <v>22</v>
      </c>
      <c r="B1261" s="1" t="s">
        <v>180</v>
      </c>
      <c r="C1261" s="1" t="s">
        <v>1209</v>
      </c>
      <c r="D1261" s="1">
        <v>21.0</v>
      </c>
      <c r="E1261" s="1">
        <v>2800.0</v>
      </c>
      <c r="F1261" s="1">
        <v>1305.0</v>
      </c>
      <c r="G1261" s="1">
        <v>3335.0</v>
      </c>
      <c r="H1261" s="1">
        <v>0.8396</v>
      </c>
      <c r="I1261" s="1">
        <v>0.3913</v>
      </c>
      <c r="J1261" s="1">
        <v>0.4483</v>
      </c>
      <c r="K1261" s="1">
        <v>4452.0</v>
      </c>
    </row>
    <row r="1262">
      <c r="A1262" s="1" t="s">
        <v>22</v>
      </c>
      <c r="B1262" s="1" t="s">
        <v>180</v>
      </c>
      <c r="C1262" s="1" t="s">
        <v>1210</v>
      </c>
      <c r="D1262" s="1">
        <v>1.0</v>
      </c>
      <c r="E1262" s="1">
        <v>12775.0</v>
      </c>
      <c r="F1262" s="1">
        <v>5945.0</v>
      </c>
      <c r="G1262" s="1">
        <v>10290.0</v>
      </c>
      <c r="H1262" s="1">
        <v>1.2415</v>
      </c>
      <c r="I1262" s="1">
        <v>0.5777</v>
      </c>
      <c r="J1262" s="1">
        <v>0.6638</v>
      </c>
      <c r="K1262" s="1">
        <v>4532.0</v>
      </c>
    </row>
    <row r="1263">
      <c r="A1263" s="1" t="s">
        <v>22</v>
      </c>
      <c r="B1263" s="1" t="s">
        <v>180</v>
      </c>
      <c r="C1263" s="1" t="s">
        <v>1210</v>
      </c>
      <c r="D1263" s="1">
        <v>2.0</v>
      </c>
      <c r="E1263" s="1">
        <v>11085.0</v>
      </c>
      <c r="F1263" s="1">
        <v>4929.0</v>
      </c>
      <c r="G1263" s="1">
        <v>10290.0</v>
      </c>
      <c r="H1263" s="1">
        <v>1.0773</v>
      </c>
      <c r="I1263" s="1">
        <v>0.479</v>
      </c>
      <c r="J1263" s="1">
        <v>0.5983</v>
      </c>
      <c r="K1263" s="1">
        <v>4507.0</v>
      </c>
    </row>
    <row r="1264">
      <c r="A1264" s="1" t="s">
        <v>22</v>
      </c>
      <c r="B1264" s="1" t="s">
        <v>180</v>
      </c>
      <c r="C1264" s="1" t="s">
        <v>1210</v>
      </c>
      <c r="D1264" s="1">
        <v>3.0</v>
      </c>
      <c r="E1264" s="1">
        <v>11715.0</v>
      </c>
      <c r="F1264" s="1">
        <v>5339.0</v>
      </c>
      <c r="G1264" s="1">
        <v>10290.0</v>
      </c>
      <c r="H1264" s="1">
        <v>1.1385</v>
      </c>
      <c r="I1264" s="1">
        <v>0.5189</v>
      </c>
      <c r="J1264" s="1">
        <v>0.6196</v>
      </c>
      <c r="K1264" s="1">
        <v>4451.0</v>
      </c>
    </row>
    <row r="1265">
      <c r="A1265" s="1" t="s">
        <v>22</v>
      </c>
      <c r="B1265" s="1" t="s">
        <v>180</v>
      </c>
      <c r="C1265" s="1" t="s">
        <v>1210</v>
      </c>
      <c r="D1265" s="1">
        <v>4.0</v>
      </c>
      <c r="E1265" s="1">
        <v>14125.0</v>
      </c>
      <c r="F1265" s="1">
        <v>6297.0</v>
      </c>
      <c r="G1265" s="1">
        <v>10290.0</v>
      </c>
      <c r="H1265" s="1">
        <v>1.3727</v>
      </c>
      <c r="I1265" s="1">
        <v>0.612</v>
      </c>
      <c r="J1265" s="1">
        <v>0.7607</v>
      </c>
      <c r="K1265" s="1">
        <v>4274.0</v>
      </c>
    </row>
    <row r="1266">
      <c r="A1266" s="1" t="s">
        <v>22</v>
      </c>
      <c r="B1266" s="1" t="s">
        <v>180</v>
      </c>
      <c r="C1266" s="1" t="s">
        <v>1210</v>
      </c>
      <c r="D1266" s="1">
        <v>5.0</v>
      </c>
      <c r="E1266" s="1">
        <v>23165.0</v>
      </c>
      <c r="F1266" s="1">
        <v>10676.0</v>
      </c>
      <c r="G1266" s="1">
        <v>10290.0</v>
      </c>
      <c r="H1266" s="1">
        <v>2.2512</v>
      </c>
      <c r="I1266" s="1">
        <v>1.0375</v>
      </c>
      <c r="J1266" s="1">
        <v>1.2137</v>
      </c>
      <c r="K1266" s="1">
        <v>4250.0</v>
      </c>
    </row>
    <row r="1267">
      <c r="A1267" s="1" t="s">
        <v>22</v>
      </c>
      <c r="B1267" s="1" t="s">
        <v>180</v>
      </c>
      <c r="C1267" s="1" t="s">
        <v>1210</v>
      </c>
      <c r="D1267" s="1">
        <v>6.0</v>
      </c>
      <c r="E1267" s="1">
        <v>19420.0</v>
      </c>
      <c r="F1267" s="1">
        <v>9016.0</v>
      </c>
      <c r="G1267" s="1">
        <v>10290.0</v>
      </c>
      <c r="H1267" s="1">
        <v>1.8873</v>
      </c>
      <c r="I1267" s="1">
        <v>0.8762</v>
      </c>
      <c r="J1267" s="1">
        <v>1.0111</v>
      </c>
      <c r="K1267" s="1">
        <v>4137.0</v>
      </c>
    </row>
    <row r="1268">
      <c r="A1268" s="1" t="s">
        <v>22</v>
      </c>
      <c r="B1268" s="1" t="s">
        <v>180</v>
      </c>
      <c r="C1268" s="1" t="s">
        <v>1210</v>
      </c>
      <c r="D1268" s="1">
        <v>7.0</v>
      </c>
      <c r="E1268" s="1">
        <v>17540.0</v>
      </c>
      <c r="F1268" s="1">
        <v>8026.0</v>
      </c>
      <c r="G1268" s="1">
        <v>10290.0</v>
      </c>
      <c r="H1268" s="1">
        <v>1.7046</v>
      </c>
      <c r="I1268" s="1">
        <v>0.78</v>
      </c>
      <c r="J1268" s="1">
        <v>0.9246</v>
      </c>
      <c r="K1268" s="1">
        <v>4216.0</v>
      </c>
    </row>
    <row r="1269">
      <c r="A1269" s="1" t="s">
        <v>22</v>
      </c>
      <c r="B1269" s="1" t="s">
        <v>180</v>
      </c>
      <c r="C1269" s="1" t="s">
        <v>1210</v>
      </c>
      <c r="D1269" s="1">
        <v>8.0</v>
      </c>
      <c r="E1269" s="1">
        <v>15180.0</v>
      </c>
      <c r="F1269" s="1">
        <v>7293.0</v>
      </c>
      <c r="G1269" s="1">
        <v>10290.0</v>
      </c>
      <c r="H1269" s="1">
        <v>1.4752</v>
      </c>
      <c r="I1269" s="1">
        <v>0.7087</v>
      </c>
      <c r="J1269" s="1">
        <v>0.7665</v>
      </c>
      <c r="K1269" s="1">
        <v>4541.0</v>
      </c>
    </row>
    <row r="1270">
      <c r="A1270" s="1" t="s">
        <v>22</v>
      </c>
      <c r="B1270" s="1" t="s">
        <v>180</v>
      </c>
      <c r="C1270" s="1" t="s">
        <v>1210</v>
      </c>
      <c r="D1270" s="1">
        <v>9.0</v>
      </c>
      <c r="E1270" s="1">
        <v>11050.0</v>
      </c>
      <c r="F1270" s="1">
        <v>5044.0</v>
      </c>
      <c r="G1270" s="1">
        <v>10290.0</v>
      </c>
      <c r="H1270" s="1">
        <v>1.0739</v>
      </c>
      <c r="I1270" s="1">
        <v>0.4902</v>
      </c>
      <c r="J1270" s="1">
        <v>0.5837</v>
      </c>
      <c r="K1270" s="1">
        <v>4545.0</v>
      </c>
    </row>
    <row r="1271">
      <c r="A1271" s="1" t="s">
        <v>22</v>
      </c>
      <c r="B1271" s="1" t="s">
        <v>180</v>
      </c>
      <c r="C1271" s="1" t="s">
        <v>1210</v>
      </c>
      <c r="D1271" s="1">
        <v>10.0</v>
      </c>
      <c r="E1271" s="1">
        <v>12365.0</v>
      </c>
      <c r="F1271" s="1">
        <v>5257.0</v>
      </c>
      <c r="G1271" s="1">
        <v>10290.0</v>
      </c>
      <c r="H1271" s="1">
        <v>1.2017</v>
      </c>
      <c r="I1271" s="1">
        <v>0.5109</v>
      </c>
      <c r="J1271" s="1">
        <v>0.6908</v>
      </c>
      <c r="K1271" s="1">
        <v>4520.0</v>
      </c>
    </row>
    <row r="1272">
      <c r="A1272" s="1" t="s">
        <v>22</v>
      </c>
      <c r="B1272" s="1" t="s">
        <v>180</v>
      </c>
      <c r="C1272" s="1" t="s">
        <v>1210</v>
      </c>
      <c r="D1272" s="1">
        <v>11.0</v>
      </c>
      <c r="E1272" s="1">
        <v>13515.0</v>
      </c>
      <c r="F1272" s="1">
        <v>5606.0</v>
      </c>
      <c r="G1272" s="1">
        <v>10290.0</v>
      </c>
      <c r="H1272" s="1">
        <v>1.3134</v>
      </c>
      <c r="I1272" s="1">
        <v>0.5448</v>
      </c>
      <c r="J1272" s="1">
        <v>0.7686</v>
      </c>
      <c r="K1272" s="1">
        <v>4589.0</v>
      </c>
    </row>
    <row r="1273">
      <c r="A1273" s="1" t="s">
        <v>22</v>
      </c>
      <c r="B1273" s="1" t="s">
        <v>180</v>
      </c>
      <c r="C1273" s="1" t="s">
        <v>1210</v>
      </c>
      <c r="D1273" s="1">
        <v>12.0</v>
      </c>
      <c r="E1273" s="1">
        <v>23945.0</v>
      </c>
      <c r="F1273" s="1">
        <v>11018.0</v>
      </c>
      <c r="G1273" s="1">
        <v>10290.0</v>
      </c>
      <c r="H1273" s="1">
        <v>2.327</v>
      </c>
      <c r="I1273" s="1">
        <v>1.0707</v>
      </c>
      <c r="J1273" s="1">
        <v>1.2563</v>
      </c>
      <c r="K1273" s="1">
        <v>4587.0</v>
      </c>
    </row>
    <row r="1274">
      <c r="A1274" s="1" t="s">
        <v>22</v>
      </c>
      <c r="B1274" s="1" t="s">
        <v>180</v>
      </c>
      <c r="C1274" s="1" t="s">
        <v>1210</v>
      </c>
      <c r="D1274" s="1">
        <v>13.0</v>
      </c>
      <c r="E1274" s="1">
        <v>20895.0</v>
      </c>
      <c r="F1274" s="1">
        <v>9728.0</v>
      </c>
      <c r="G1274" s="1">
        <v>10290.0</v>
      </c>
      <c r="H1274" s="1">
        <v>2.0306</v>
      </c>
      <c r="I1274" s="1">
        <v>0.9454</v>
      </c>
      <c r="J1274" s="1">
        <v>1.0852</v>
      </c>
      <c r="K1274" s="1">
        <v>4861.0</v>
      </c>
    </row>
    <row r="1275">
      <c r="A1275" s="1" t="s">
        <v>22</v>
      </c>
      <c r="B1275" s="1" t="s">
        <v>180</v>
      </c>
      <c r="C1275" s="1" t="s">
        <v>1210</v>
      </c>
      <c r="D1275" s="1">
        <v>14.0</v>
      </c>
      <c r="E1275" s="1">
        <v>18730.0</v>
      </c>
      <c r="F1275" s="1">
        <v>8498.0</v>
      </c>
      <c r="G1275" s="1">
        <v>10290.0</v>
      </c>
      <c r="H1275" s="1">
        <v>1.8202</v>
      </c>
      <c r="I1275" s="1">
        <v>0.8259</v>
      </c>
      <c r="J1275" s="1">
        <v>0.9944</v>
      </c>
      <c r="K1275" s="1">
        <v>4940.0</v>
      </c>
    </row>
    <row r="1276">
      <c r="A1276" s="1" t="s">
        <v>22</v>
      </c>
      <c r="B1276" s="1" t="s">
        <v>180</v>
      </c>
      <c r="C1276" s="1" t="s">
        <v>1210</v>
      </c>
      <c r="D1276" s="1">
        <v>15.0</v>
      </c>
      <c r="E1276" s="1">
        <v>25265.0</v>
      </c>
      <c r="F1276" s="1">
        <v>10405.0</v>
      </c>
      <c r="G1276" s="1">
        <v>10290.0</v>
      </c>
      <c r="H1276" s="1">
        <v>2.4553</v>
      </c>
      <c r="I1276" s="1">
        <v>1.0112</v>
      </c>
      <c r="J1276" s="1">
        <v>1.4441</v>
      </c>
      <c r="K1276" s="1">
        <v>5144.0</v>
      </c>
    </row>
    <row r="1277">
      <c r="A1277" s="1" t="s">
        <v>22</v>
      </c>
      <c r="B1277" s="1" t="s">
        <v>180</v>
      </c>
      <c r="C1277" s="1" t="s">
        <v>1210</v>
      </c>
      <c r="D1277" s="1">
        <v>16.0</v>
      </c>
      <c r="E1277" s="1">
        <v>12870.0</v>
      </c>
      <c r="F1277" s="1">
        <v>5565.0</v>
      </c>
      <c r="G1277" s="1">
        <v>10290.0</v>
      </c>
      <c r="H1277" s="1">
        <v>1.2507</v>
      </c>
      <c r="I1277" s="1">
        <v>0.5408</v>
      </c>
      <c r="J1277" s="1">
        <v>0.7099</v>
      </c>
      <c r="K1277" s="1">
        <v>5311.0</v>
      </c>
    </row>
    <row r="1278">
      <c r="A1278" s="1" t="s">
        <v>22</v>
      </c>
      <c r="B1278" s="1" t="s">
        <v>180</v>
      </c>
      <c r="C1278" s="1" t="s">
        <v>1210</v>
      </c>
      <c r="D1278" s="1">
        <v>17.0</v>
      </c>
      <c r="E1278" s="1">
        <v>12865.0</v>
      </c>
      <c r="F1278" s="1">
        <v>5510.0</v>
      </c>
      <c r="G1278" s="1">
        <v>10290.0</v>
      </c>
      <c r="H1278" s="1">
        <v>1.2502</v>
      </c>
      <c r="I1278" s="1">
        <v>0.5355</v>
      </c>
      <c r="J1278" s="1">
        <v>0.7148</v>
      </c>
      <c r="K1278" s="1">
        <v>5182.0</v>
      </c>
    </row>
    <row r="1279">
      <c r="A1279" s="1" t="s">
        <v>22</v>
      </c>
      <c r="B1279" s="1" t="s">
        <v>180</v>
      </c>
      <c r="C1279" s="1" t="s">
        <v>1210</v>
      </c>
      <c r="D1279" s="1">
        <v>18.0</v>
      </c>
      <c r="E1279" s="1">
        <v>13335.0</v>
      </c>
      <c r="F1279" s="1">
        <v>5528.0</v>
      </c>
      <c r="G1279" s="1">
        <v>10290.0</v>
      </c>
      <c r="H1279" s="1">
        <v>1.2959</v>
      </c>
      <c r="I1279" s="1">
        <v>0.5372</v>
      </c>
      <c r="J1279" s="1">
        <v>0.7587</v>
      </c>
      <c r="K1279" s="1">
        <v>5152.0</v>
      </c>
    </row>
    <row r="1280">
      <c r="A1280" s="1" t="s">
        <v>22</v>
      </c>
      <c r="B1280" s="1" t="s">
        <v>180</v>
      </c>
      <c r="C1280" s="1" t="s">
        <v>1210</v>
      </c>
      <c r="D1280" s="1">
        <v>19.0</v>
      </c>
      <c r="E1280" s="1">
        <v>11675.0</v>
      </c>
      <c r="F1280" s="1">
        <v>5074.0</v>
      </c>
      <c r="G1280" s="1">
        <v>10290.0</v>
      </c>
      <c r="H1280" s="1">
        <v>1.1346</v>
      </c>
      <c r="I1280" s="1">
        <v>0.4931</v>
      </c>
      <c r="J1280" s="1">
        <v>0.6415</v>
      </c>
      <c r="K1280" s="1">
        <v>4791.0</v>
      </c>
    </row>
    <row r="1281">
      <c r="A1281" s="1" t="s">
        <v>22</v>
      </c>
      <c r="B1281" s="1" t="s">
        <v>180</v>
      </c>
      <c r="C1281" s="1" t="s">
        <v>1210</v>
      </c>
      <c r="D1281" s="1">
        <v>20.0</v>
      </c>
      <c r="E1281" s="1">
        <v>9375.0</v>
      </c>
      <c r="F1281" s="1">
        <v>3778.0</v>
      </c>
      <c r="G1281" s="1">
        <v>10290.0</v>
      </c>
      <c r="H1281" s="1">
        <v>0.9111</v>
      </c>
      <c r="I1281" s="1">
        <v>0.3672</v>
      </c>
      <c r="J1281" s="1">
        <v>0.5439</v>
      </c>
      <c r="K1281" s="1">
        <v>4629.0</v>
      </c>
    </row>
    <row r="1282">
      <c r="A1282" s="1" t="s">
        <v>22</v>
      </c>
      <c r="B1282" s="1" t="s">
        <v>180</v>
      </c>
      <c r="C1282" s="1" t="s">
        <v>1210</v>
      </c>
      <c r="D1282" s="1">
        <v>21.0</v>
      </c>
      <c r="E1282" s="1">
        <v>10070.0</v>
      </c>
      <c r="F1282" s="1">
        <v>4130.0</v>
      </c>
      <c r="G1282" s="1">
        <v>10290.0</v>
      </c>
      <c r="H1282" s="1">
        <v>0.9786</v>
      </c>
      <c r="I1282" s="1">
        <v>0.4014</v>
      </c>
      <c r="J1282" s="1">
        <v>0.5773</v>
      </c>
      <c r="K1282" s="1">
        <v>4452.0</v>
      </c>
    </row>
    <row r="1283">
      <c r="A1283" s="1" t="s">
        <v>22</v>
      </c>
      <c r="B1283" s="1" t="s">
        <v>180</v>
      </c>
      <c r="C1283" s="1" t="s">
        <v>1211</v>
      </c>
      <c r="D1283" s="1">
        <v>1.0</v>
      </c>
      <c r="E1283" s="1">
        <v>28260.0</v>
      </c>
      <c r="F1283" s="1">
        <v>12160.0</v>
      </c>
      <c r="G1283" s="1">
        <v>11807.0</v>
      </c>
      <c r="H1283" s="1">
        <v>2.3935</v>
      </c>
      <c r="I1283" s="1">
        <v>1.0299</v>
      </c>
      <c r="J1283" s="1">
        <v>1.3636</v>
      </c>
      <c r="K1283" s="1">
        <v>4532.0</v>
      </c>
    </row>
    <row r="1284">
      <c r="A1284" s="1" t="s">
        <v>22</v>
      </c>
      <c r="B1284" s="1" t="s">
        <v>180</v>
      </c>
      <c r="C1284" s="1" t="s">
        <v>1211</v>
      </c>
      <c r="D1284" s="1">
        <v>2.0</v>
      </c>
      <c r="E1284" s="1">
        <v>32430.0</v>
      </c>
      <c r="F1284" s="1">
        <v>12913.0</v>
      </c>
      <c r="G1284" s="1">
        <v>11807.0</v>
      </c>
      <c r="H1284" s="1">
        <v>2.7467</v>
      </c>
      <c r="I1284" s="1">
        <v>1.0937</v>
      </c>
      <c r="J1284" s="1">
        <v>1.653</v>
      </c>
      <c r="K1284" s="1">
        <v>4507.0</v>
      </c>
    </row>
    <row r="1285">
      <c r="A1285" s="1" t="s">
        <v>22</v>
      </c>
      <c r="B1285" s="1" t="s">
        <v>180</v>
      </c>
      <c r="C1285" s="1" t="s">
        <v>1211</v>
      </c>
      <c r="D1285" s="1">
        <v>3.0</v>
      </c>
      <c r="E1285" s="1">
        <v>29735.0</v>
      </c>
      <c r="F1285" s="1">
        <v>12012.0</v>
      </c>
      <c r="G1285" s="1">
        <v>11807.0</v>
      </c>
      <c r="H1285" s="1">
        <v>2.5184</v>
      </c>
      <c r="I1285" s="1">
        <v>1.0174</v>
      </c>
      <c r="J1285" s="1">
        <v>1.5011</v>
      </c>
      <c r="K1285" s="1">
        <v>4451.0</v>
      </c>
    </row>
    <row r="1286">
      <c r="A1286" s="1" t="s">
        <v>22</v>
      </c>
      <c r="B1286" s="1" t="s">
        <v>180</v>
      </c>
      <c r="C1286" s="1" t="s">
        <v>1211</v>
      </c>
      <c r="D1286" s="1">
        <v>4.0</v>
      </c>
      <c r="E1286" s="1">
        <v>29380.0</v>
      </c>
      <c r="F1286" s="1">
        <v>11713.0</v>
      </c>
      <c r="G1286" s="1">
        <v>11807.0</v>
      </c>
      <c r="H1286" s="1">
        <v>2.4884</v>
      </c>
      <c r="I1286" s="1">
        <v>0.992</v>
      </c>
      <c r="J1286" s="1">
        <v>1.4963</v>
      </c>
      <c r="K1286" s="1">
        <v>4274.0</v>
      </c>
    </row>
    <row r="1287">
      <c r="A1287" s="1" t="s">
        <v>22</v>
      </c>
      <c r="B1287" s="1" t="s">
        <v>180</v>
      </c>
      <c r="C1287" s="1" t="s">
        <v>1211</v>
      </c>
      <c r="D1287" s="1">
        <v>5.0</v>
      </c>
      <c r="E1287" s="1">
        <v>38035.0</v>
      </c>
      <c r="F1287" s="1">
        <v>16691.0</v>
      </c>
      <c r="G1287" s="1">
        <v>11807.0</v>
      </c>
      <c r="H1287" s="1">
        <v>3.2214</v>
      </c>
      <c r="I1287" s="1">
        <v>1.4137</v>
      </c>
      <c r="J1287" s="1">
        <v>1.8077</v>
      </c>
      <c r="K1287" s="1">
        <v>4250.0</v>
      </c>
    </row>
    <row r="1288">
      <c r="A1288" s="1" t="s">
        <v>22</v>
      </c>
      <c r="B1288" s="1" t="s">
        <v>180</v>
      </c>
      <c r="C1288" s="1" t="s">
        <v>1211</v>
      </c>
      <c r="D1288" s="1">
        <v>6.0</v>
      </c>
      <c r="E1288" s="1">
        <v>27260.0</v>
      </c>
      <c r="F1288" s="1">
        <v>12113.0</v>
      </c>
      <c r="G1288" s="1">
        <v>11807.0</v>
      </c>
      <c r="H1288" s="1">
        <v>2.3088</v>
      </c>
      <c r="I1288" s="1">
        <v>1.0259</v>
      </c>
      <c r="J1288" s="1">
        <v>1.2829</v>
      </c>
      <c r="K1288" s="1">
        <v>4137.0</v>
      </c>
    </row>
    <row r="1289">
      <c r="A1289" s="1" t="s">
        <v>22</v>
      </c>
      <c r="B1289" s="1" t="s">
        <v>180</v>
      </c>
      <c r="C1289" s="1" t="s">
        <v>1211</v>
      </c>
      <c r="D1289" s="1">
        <v>7.0</v>
      </c>
      <c r="E1289" s="1">
        <v>24335.0</v>
      </c>
      <c r="F1289" s="1">
        <v>10795.0</v>
      </c>
      <c r="G1289" s="1">
        <v>11807.0</v>
      </c>
      <c r="H1289" s="1">
        <v>2.0611</v>
      </c>
      <c r="I1289" s="1">
        <v>0.9143</v>
      </c>
      <c r="J1289" s="1">
        <v>1.1468</v>
      </c>
      <c r="K1289" s="1">
        <v>4216.0</v>
      </c>
    </row>
    <row r="1290">
      <c r="A1290" s="1" t="s">
        <v>22</v>
      </c>
      <c r="B1290" s="1" t="s">
        <v>180</v>
      </c>
      <c r="C1290" s="1" t="s">
        <v>1211</v>
      </c>
      <c r="D1290" s="1">
        <v>8.0</v>
      </c>
      <c r="E1290" s="1">
        <v>30015.0</v>
      </c>
      <c r="F1290" s="1">
        <v>13119.0</v>
      </c>
      <c r="G1290" s="1">
        <v>11807.0</v>
      </c>
      <c r="H1290" s="1">
        <v>2.5421</v>
      </c>
      <c r="I1290" s="1">
        <v>1.1111</v>
      </c>
      <c r="J1290" s="1">
        <v>1.431</v>
      </c>
      <c r="K1290" s="1">
        <v>4541.0</v>
      </c>
    </row>
    <row r="1291">
      <c r="A1291" s="1" t="s">
        <v>22</v>
      </c>
      <c r="B1291" s="1" t="s">
        <v>180</v>
      </c>
      <c r="C1291" s="1" t="s">
        <v>1211</v>
      </c>
      <c r="D1291" s="1">
        <v>9.0</v>
      </c>
      <c r="E1291" s="1">
        <v>32730.0</v>
      </c>
      <c r="F1291" s="1">
        <v>13266.0</v>
      </c>
      <c r="G1291" s="1">
        <v>11807.0</v>
      </c>
      <c r="H1291" s="1">
        <v>2.7721</v>
      </c>
      <c r="I1291" s="1">
        <v>1.1236</v>
      </c>
      <c r="J1291" s="1">
        <v>1.6485</v>
      </c>
      <c r="K1291" s="1">
        <v>4545.0</v>
      </c>
    </row>
    <row r="1292">
      <c r="A1292" s="1" t="s">
        <v>22</v>
      </c>
      <c r="B1292" s="1" t="s">
        <v>180</v>
      </c>
      <c r="C1292" s="1" t="s">
        <v>1211</v>
      </c>
      <c r="D1292" s="1">
        <v>10.0</v>
      </c>
      <c r="E1292" s="1">
        <v>29950.0</v>
      </c>
      <c r="F1292" s="1">
        <v>11946.0</v>
      </c>
      <c r="G1292" s="1">
        <v>11807.0</v>
      </c>
      <c r="H1292" s="1">
        <v>2.5366</v>
      </c>
      <c r="I1292" s="1">
        <v>1.0118</v>
      </c>
      <c r="J1292" s="1">
        <v>1.5249</v>
      </c>
      <c r="K1292" s="1">
        <v>4520.0</v>
      </c>
    </row>
    <row r="1293">
      <c r="A1293" s="1" t="s">
        <v>22</v>
      </c>
      <c r="B1293" s="1" t="s">
        <v>180</v>
      </c>
      <c r="C1293" s="1" t="s">
        <v>1211</v>
      </c>
      <c r="D1293" s="1">
        <v>11.0</v>
      </c>
      <c r="E1293" s="1">
        <v>25600.0</v>
      </c>
      <c r="F1293" s="1">
        <v>10419.0</v>
      </c>
      <c r="G1293" s="1">
        <v>11807.0</v>
      </c>
      <c r="H1293" s="1">
        <v>2.1682</v>
      </c>
      <c r="I1293" s="1">
        <v>0.8824</v>
      </c>
      <c r="J1293" s="1">
        <v>1.2858</v>
      </c>
      <c r="K1293" s="1">
        <v>4589.0</v>
      </c>
    </row>
    <row r="1294">
      <c r="A1294" s="1" t="s">
        <v>22</v>
      </c>
      <c r="B1294" s="1" t="s">
        <v>180</v>
      </c>
      <c r="C1294" s="1" t="s">
        <v>1211</v>
      </c>
      <c r="D1294" s="1">
        <v>12.0</v>
      </c>
      <c r="E1294" s="1">
        <v>35410.0</v>
      </c>
      <c r="F1294" s="1">
        <v>15971.0</v>
      </c>
      <c r="G1294" s="1">
        <v>11807.0</v>
      </c>
      <c r="H1294" s="1">
        <v>2.9991</v>
      </c>
      <c r="I1294" s="1">
        <v>1.3527</v>
      </c>
      <c r="J1294" s="1">
        <v>1.6464</v>
      </c>
      <c r="K1294" s="1">
        <v>4587.0</v>
      </c>
    </row>
    <row r="1295">
      <c r="A1295" s="1" t="s">
        <v>22</v>
      </c>
      <c r="B1295" s="1" t="s">
        <v>180</v>
      </c>
      <c r="C1295" s="1" t="s">
        <v>1211</v>
      </c>
      <c r="D1295" s="1">
        <v>13.0</v>
      </c>
      <c r="E1295" s="1">
        <v>27245.0</v>
      </c>
      <c r="F1295" s="1">
        <v>12037.0</v>
      </c>
      <c r="G1295" s="1">
        <v>11807.0</v>
      </c>
      <c r="H1295" s="1">
        <v>2.3075</v>
      </c>
      <c r="I1295" s="1">
        <v>1.0195</v>
      </c>
      <c r="J1295" s="1">
        <v>1.288</v>
      </c>
      <c r="K1295" s="1">
        <v>4861.0</v>
      </c>
    </row>
    <row r="1296">
      <c r="A1296" s="1" t="s">
        <v>22</v>
      </c>
      <c r="B1296" s="1" t="s">
        <v>180</v>
      </c>
      <c r="C1296" s="1" t="s">
        <v>1211</v>
      </c>
      <c r="D1296" s="1">
        <v>14.0</v>
      </c>
      <c r="E1296" s="1">
        <v>25080.0</v>
      </c>
      <c r="F1296" s="1">
        <v>11476.0</v>
      </c>
      <c r="G1296" s="1">
        <v>11807.0</v>
      </c>
      <c r="H1296" s="1">
        <v>2.1242</v>
      </c>
      <c r="I1296" s="1">
        <v>0.972</v>
      </c>
      <c r="J1296" s="1">
        <v>1.1522</v>
      </c>
      <c r="K1296" s="1">
        <v>4940.0</v>
      </c>
    </row>
    <row r="1297">
      <c r="A1297" s="1" t="s">
        <v>22</v>
      </c>
      <c r="B1297" s="1" t="s">
        <v>180</v>
      </c>
      <c r="C1297" s="1" t="s">
        <v>1211</v>
      </c>
      <c r="D1297" s="1">
        <v>15.0</v>
      </c>
      <c r="E1297" s="1">
        <v>41100.0</v>
      </c>
      <c r="F1297" s="1">
        <v>16356.0</v>
      </c>
      <c r="G1297" s="1">
        <v>11807.0</v>
      </c>
      <c r="H1297" s="1">
        <v>3.481</v>
      </c>
      <c r="I1297" s="1">
        <v>1.3853</v>
      </c>
      <c r="J1297" s="1">
        <v>2.0957</v>
      </c>
      <c r="K1297" s="1">
        <v>5144.0</v>
      </c>
    </row>
    <row r="1298">
      <c r="A1298" s="1" t="s">
        <v>22</v>
      </c>
      <c r="B1298" s="1" t="s">
        <v>180</v>
      </c>
      <c r="C1298" s="1" t="s">
        <v>1211</v>
      </c>
      <c r="D1298" s="1">
        <v>16.0</v>
      </c>
      <c r="E1298" s="1">
        <v>33085.0</v>
      </c>
      <c r="F1298" s="1">
        <v>13385.0</v>
      </c>
      <c r="G1298" s="1">
        <v>11807.0</v>
      </c>
      <c r="H1298" s="1">
        <v>2.8022</v>
      </c>
      <c r="I1298" s="1">
        <v>1.1336</v>
      </c>
      <c r="J1298" s="1">
        <v>1.6685</v>
      </c>
      <c r="K1298" s="1">
        <v>5311.0</v>
      </c>
    </row>
    <row r="1299">
      <c r="A1299" s="1" t="s">
        <v>22</v>
      </c>
      <c r="B1299" s="1" t="s">
        <v>180</v>
      </c>
      <c r="C1299" s="1" t="s">
        <v>1211</v>
      </c>
      <c r="D1299" s="1">
        <v>17.0</v>
      </c>
      <c r="E1299" s="1">
        <v>30910.0</v>
      </c>
      <c r="F1299" s="1">
        <v>12219.0</v>
      </c>
      <c r="G1299" s="1">
        <v>11807.0</v>
      </c>
      <c r="H1299" s="1">
        <v>2.6179</v>
      </c>
      <c r="I1299" s="1">
        <v>1.0349</v>
      </c>
      <c r="J1299" s="1">
        <v>1.583</v>
      </c>
      <c r="K1299" s="1">
        <v>5182.0</v>
      </c>
    </row>
    <row r="1300">
      <c r="A1300" s="1" t="s">
        <v>22</v>
      </c>
      <c r="B1300" s="1" t="s">
        <v>180</v>
      </c>
      <c r="C1300" s="1" t="s">
        <v>1211</v>
      </c>
      <c r="D1300" s="1">
        <v>18.0</v>
      </c>
      <c r="E1300" s="1">
        <v>27670.0</v>
      </c>
      <c r="F1300" s="1">
        <v>10960.0</v>
      </c>
      <c r="G1300" s="1">
        <v>11807.0</v>
      </c>
      <c r="H1300" s="1">
        <v>2.3435</v>
      </c>
      <c r="I1300" s="1">
        <v>0.9283</v>
      </c>
      <c r="J1300" s="1">
        <v>1.4153</v>
      </c>
      <c r="K1300" s="1">
        <v>5152.0</v>
      </c>
    </row>
    <row r="1301">
      <c r="A1301" s="1" t="s">
        <v>22</v>
      </c>
      <c r="B1301" s="1" t="s">
        <v>180</v>
      </c>
      <c r="C1301" s="1" t="s">
        <v>1211</v>
      </c>
      <c r="D1301" s="1">
        <v>19.0</v>
      </c>
      <c r="E1301" s="1">
        <v>22035.0</v>
      </c>
      <c r="F1301" s="1">
        <v>8724.0</v>
      </c>
      <c r="G1301" s="1">
        <v>11807.0</v>
      </c>
      <c r="H1301" s="1">
        <v>1.8663</v>
      </c>
      <c r="I1301" s="1">
        <v>0.7389</v>
      </c>
      <c r="J1301" s="1">
        <v>1.1274</v>
      </c>
      <c r="K1301" s="1">
        <v>4791.0</v>
      </c>
    </row>
    <row r="1302">
      <c r="A1302" s="1" t="s">
        <v>22</v>
      </c>
      <c r="B1302" s="1" t="s">
        <v>180</v>
      </c>
      <c r="C1302" s="1" t="s">
        <v>1211</v>
      </c>
      <c r="D1302" s="1">
        <v>20.0</v>
      </c>
      <c r="E1302" s="1">
        <v>16725.0</v>
      </c>
      <c r="F1302" s="1">
        <v>6469.0</v>
      </c>
      <c r="G1302" s="1">
        <v>11807.0</v>
      </c>
      <c r="H1302" s="1">
        <v>1.4165</v>
      </c>
      <c r="I1302" s="1">
        <v>0.5479</v>
      </c>
      <c r="J1302" s="1">
        <v>0.8686</v>
      </c>
      <c r="K1302" s="1">
        <v>4629.0</v>
      </c>
    </row>
    <row r="1303">
      <c r="A1303" s="1" t="s">
        <v>22</v>
      </c>
      <c r="B1303" s="1" t="s">
        <v>180</v>
      </c>
      <c r="C1303" s="1" t="s">
        <v>1211</v>
      </c>
      <c r="D1303" s="1">
        <v>21.0</v>
      </c>
      <c r="E1303" s="1">
        <v>17960.0</v>
      </c>
      <c r="F1303" s="1">
        <v>6963.0</v>
      </c>
      <c r="G1303" s="1">
        <v>11807.0</v>
      </c>
      <c r="H1303" s="1">
        <v>1.5211</v>
      </c>
      <c r="I1303" s="1">
        <v>0.5897</v>
      </c>
      <c r="J1303" s="1">
        <v>0.9314</v>
      </c>
      <c r="K1303" s="1">
        <v>4452.0</v>
      </c>
    </row>
    <row r="1304">
      <c r="A1304" s="1" t="s">
        <v>22</v>
      </c>
      <c r="B1304" s="1" t="s">
        <v>180</v>
      </c>
      <c r="C1304" s="1" t="s">
        <v>55</v>
      </c>
      <c r="D1304" s="1">
        <v>1.0</v>
      </c>
      <c r="E1304" s="1">
        <v>956131.0</v>
      </c>
      <c r="F1304" s="1">
        <v>0.0</v>
      </c>
      <c r="G1304" s="1">
        <v>19607.0</v>
      </c>
      <c r="H1304" s="1">
        <v>48.7648</v>
      </c>
      <c r="I1304" s="1">
        <v>0.0</v>
      </c>
      <c r="J1304" s="1">
        <v>48.7648</v>
      </c>
      <c r="K1304" s="1">
        <v>4532.0</v>
      </c>
    </row>
    <row r="1305">
      <c r="A1305" s="1" t="s">
        <v>22</v>
      </c>
      <c r="B1305" s="1" t="s">
        <v>180</v>
      </c>
      <c r="C1305" s="1" t="s">
        <v>55</v>
      </c>
      <c r="D1305" s="1">
        <v>2.0</v>
      </c>
      <c r="E1305" s="1">
        <v>835688.0</v>
      </c>
      <c r="F1305" s="1">
        <v>0.0</v>
      </c>
      <c r="G1305" s="1">
        <v>19607.0</v>
      </c>
      <c r="H1305" s="1">
        <v>42.6219</v>
      </c>
      <c r="I1305" s="1">
        <v>0.0</v>
      </c>
      <c r="J1305" s="1">
        <v>42.6219</v>
      </c>
      <c r="K1305" s="1">
        <v>4507.0</v>
      </c>
    </row>
    <row r="1306">
      <c r="A1306" s="1" t="s">
        <v>22</v>
      </c>
      <c r="B1306" s="1" t="s">
        <v>180</v>
      </c>
      <c r="C1306" s="1" t="s">
        <v>55</v>
      </c>
      <c r="D1306" s="1">
        <v>3.0</v>
      </c>
      <c r="E1306" s="1">
        <v>874395.0</v>
      </c>
      <c r="F1306" s="1">
        <v>18.0</v>
      </c>
      <c r="G1306" s="1">
        <v>19607.0</v>
      </c>
      <c r="H1306" s="1">
        <v>44.5961</v>
      </c>
      <c r="I1306" s="1">
        <v>9.0E-4</v>
      </c>
      <c r="J1306" s="1">
        <v>44.5951</v>
      </c>
      <c r="K1306" s="1">
        <v>4451.0</v>
      </c>
    </row>
    <row r="1307">
      <c r="A1307" s="1" t="s">
        <v>22</v>
      </c>
      <c r="B1307" s="1" t="s">
        <v>180</v>
      </c>
      <c r="C1307" s="1" t="s">
        <v>55</v>
      </c>
      <c r="D1307" s="1">
        <v>4.0</v>
      </c>
      <c r="E1307" s="1">
        <v>821391.0</v>
      </c>
      <c r="F1307" s="1">
        <v>5.0</v>
      </c>
      <c r="G1307" s="1">
        <v>19607.0</v>
      </c>
      <c r="H1307" s="1">
        <v>41.8927</v>
      </c>
      <c r="I1307" s="1">
        <v>3.0E-4</v>
      </c>
      <c r="J1307" s="1">
        <v>41.8925</v>
      </c>
      <c r="K1307" s="1">
        <v>4274.0</v>
      </c>
    </row>
    <row r="1308">
      <c r="A1308" s="1" t="s">
        <v>22</v>
      </c>
      <c r="B1308" s="1" t="s">
        <v>180</v>
      </c>
      <c r="C1308" s="1" t="s">
        <v>55</v>
      </c>
      <c r="D1308" s="1">
        <v>5.0</v>
      </c>
      <c r="E1308" s="1">
        <v>712763.0</v>
      </c>
      <c r="F1308" s="1">
        <v>8.0</v>
      </c>
      <c r="G1308" s="1">
        <v>19607.0</v>
      </c>
      <c r="H1308" s="1">
        <v>36.3525</v>
      </c>
      <c r="I1308" s="1">
        <v>4.0E-4</v>
      </c>
      <c r="J1308" s="1">
        <v>36.3521</v>
      </c>
      <c r="K1308" s="1">
        <v>4250.0</v>
      </c>
    </row>
    <row r="1309">
      <c r="A1309" s="1" t="s">
        <v>22</v>
      </c>
      <c r="B1309" s="1" t="s">
        <v>180</v>
      </c>
      <c r="C1309" s="1" t="s">
        <v>55</v>
      </c>
      <c r="D1309" s="1">
        <v>6.0</v>
      </c>
      <c r="E1309" s="1">
        <v>609667.0</v>
      </c>
      <c r="F1309" s="1">
        <v>0.0</v>
      </c>
      <c r="G1309" s="1">
        <v>19607.0</v>
      </c>
      <c r="H1309" s="1">
        <v>31.0944</v>
      </c>
      <c r="I1309" s="1">
        <v>0.0</v>
      </c>
      <c r="J1309" s="1">
        <v>31.0944</v>
      </c>
      <c r="K1309" s="1">
        <v>4137.0</v>
      </c>
    </row>
    <row r="1310">
      <c r="A1310" s="1" t="s">
        <v>22</v>
      </c>
      <c r="B1310" s="1" t="s">
        <v>180</v>
      </c>
      <c r="C1310" s="1" t="s">
        <v>55</v>
      </c>
      <c r="D1310" s="1">
        <v>7.0</v>
      </c>
      <c r="E1310" s="1">
        <v>605625.0</v>
      </c>
      <c r="F1310" s="1">
        <v>27.0</v>
      </c>
      <c r="G1310" s="1">
        <v>19607.0</v>
      </c>
      <c r="H1310" s="1">
        <v>30.8882</v>
      </c>
      <c r="I1310" s="1">
        <v>0.0014</v>
      </c>
      <c r="J1310" s="1">
        <v>30.8868</v>
      </c>
      <c r="K1310" s="1">
        <v>4216.0</v>
      </c>
    </row>
    <row r="1311">
      <c r="A1311" s="1" t="s">
        <v>22</v>
      </c>
      <c r="B1311" s="1" t="s">
        <v>180</v>
      </c>
      <c r="C1311" s="1" t="s">
        <v>55</v>
      </c>
      <c r="D1311" s="1">
        <v>8.0</v>
      </c>
      <c r="E1311" s="1">
        <v>859792.0</v>
      </c>
      <c r="F1311" s="1">
        <v>0.0</v>
      </c>
      <c r="G1311" s="1">
        <v>19607.0</v>
      </c>
      <c r="H1311" s="1">
        <v>43.8513</v>
      </c>
      <c r="I1311" s="1">
        <v>0.0</v>
      </c>
      <c r="J1311" s="1">
        <v>43.8513</v>
      </c>
      <c r="K1311" s="1">
        <v>4541.0</v>
      </c>
    </row>
    <row r="1312">
      <c r="A1312" s="1" t="s">
        <v>22</v>
      </c>
      <c r="B1312" s="1" t="s">
        <v>180</v>
      </c>
      <c r="C1312" s="1" t="s">
        <v>55</v>
      </c>
      <c r="D1312" s="1">
        <v>9.0</v>
      </c>
      <c r="E1312" s="1">
        <v>871109.0</v>
      </c>
      <c r="F1312" s="1">
        <v>0.0</v>
      </c>
      <c r="G1312" s="1">
        <v>19607.0</v>
      </c>
      <c r="H1312" s="1">
        <v>44.4285</v>
      </c>
      <c r="I1312" s="1">
        <v>0.0</v>
      </c>
      <c r="J1312" s="1">
        <v>44.4285</v>
      </c>
      <c r="K1312" s="1">
        <v>4545.0</v>
      </c>
    </row>
    <row r="1313">
      <c r="A1313" s="1" t="s">
        <v>22</v>
      </c>
      <c r="B1313" s="1" t="s">
        <v>180</v>
      </c>
      <c r="C1313" s="1" t="s">
        <v>55</v>
      </c>
      <c r="D1313" s="1">
        <v>10.0</v>
      </c>
      <c r="E1313" s="1">
        <v>810210.0</v>
      </c>
      <c r="F1313" s="1">
        <v>0.0</v>
      </c>
      <c r="G1313" s="1">
        <v>19607.0</v>
      </c>
      <c r="H1313" s="1">
        <v>41.3225</v>
      </c>
      <c r="I1313" s="1">
        <v>0.0</v>
      </c>
      <c r="J1313" s="1">
        <v>41.3225</v>
      </c>
      <c r="K1313" s="1">
        <v>4520.0</v>
      </c>
    </row>
    <row r="1314">
      <c r="A1314" s="1" t="s">
        <v>22</v>
      </c>
      <c r="B1314" s="1" t="s">
        <v>180</v>
      </c>
      <c r="C1314" s="1" t="s">
        <v>55</v>
      </c>
      <c r="D1314" s="1">
        <v>11.0</v>
      </c>
      <c r="E1314" s="1">
        <v>752688.0</v>
      </c>
      <c r="F1314" s="1">
        <v>0.0</v>
      </c>
      <c r="G1314" s="1">
        <v>19607.0</v>
      </c>
      <c r="H1314" s="1">
        <v>38.3887</v>
      </c>
      <c r="I1314" s="1">
        <v>0.0</v>
      </c>
      <c r="J1314" s="1">
        <v>38.3887</v>
      </c>
      <c r="K1314" s="1">
        <v>4589.0</v>
      </c>
    </row>
    <row r="1315">
      <c r="A1315" s="1" t="s">
        <v>22</v>
      </c>
      <c r="B1315" s="1" t="s">
        <v>180</v>
      </c>
      <c r="C1315" s="1" t="s">
        <v>55</v>
      </c>
      <c r="D1315" s="1">
        <v>12.0</v>
      </c>
      <c r="E1315" s="1">
        <v>725698.0</v>
      </c>
      <c r="F1315" s="1">
        <v>0.0</v>
      </c>
      <c r="G1315" s="1">
        <v>19607.0</v>
      </c>
      <c r="H1315" s="1">
        <v>37.0122</v>
      </c>
      <c r="I1315" s="1">
        <v>0.0</v>
      </c>
      <c r="J1315" s="1">
        <v>37.0122</v>
      </c>
      <c r="K1315" s="1">
        <v>4587.0</v>
      </c>
    </row>
    <row r="1316">
      <c r="A1316" s="1" t="s">
        <v>22</v>
      </c>
      <c r="B1316" s="1" t="s">
        <v>180</v>
      </c>
      <c r="C1316" s="1" t="s">
        <v>55</v>
      </c>
      <c r="D1316" s="1">
        <v>13.0</v>
      </c>
      <c r="E1316" s="1">
        <v>682659.0</v>
      </c>
      <c r="F1316" s="1">
        <v>54.0</v>
      </c>
      <c r="G1316" s="1">
        <v>19607.0</v>
      </c>
      <c r="H1316" s="1">
        <v>34.8171</v>
      </c>
      <c r="I1316" s="1">
        <v>0.0028</v>
      </c>
      <c r="J1316" s="1">
        <v>34.8144</v>
      </c>
      <c r="K1316" s="1">
        <v>4861.0</v>
      </c>
    </row>
    <row r="1317">
      <c r="A1317" s="1" t="s">
        <v>22</v>
      </c>
      <c r="B1317" s="1" t="s">
        <v>180</v>
      </c>
      <c r="C1317" s="1" t="s">
        <v>55</v>
      </c>
      <c r="D1317" s="1">
        <v>14.0</v>
      </c>
      <c r="E1317" s="1">
        <v>681397.0</v>
      </c>
      <c r="F1317" s="1">
        <v>5.0</v>
      </c>
      <c r="G1317" s="1">
        <v>19607.0</v>
      </c>
      <c r="H1317" s="1">
        <v>34.7527</v>
      </c>
      <c r="I1317" s="1">
        <v>3.0E-4</v>
      </c>
      <c r="J1317" s="1">
        <v>34.7525</v>
      </c>
      <c r="K1317" s="1">
        <v>4940.0</v>
      </c>
    </row>
    <row r="1318">
      <c r="A1318" s="1" t="s">
        <v>22</v>
      </c>
      <c r="B1318" s="1" t="s">
        <v>180</v>
      </c>
      <c r="C1318" s="1" t="s">
        <v>55</v>
      </c>
      <c r="D1318" s="1">
        <v>15.0</v>
      </c>
      <c r="E1318" s="1">
        <v>975066.0</v>
      </c>
      <c r="F1318" s="1">
        <v>18.0</v>
      </c>
      <c r="G1318" s="1">
        <v>19607.0</v>
      </c>
      <c r="H1318" s="1">
        <v>49.7305</v>
      </c>
      <c r="I1318" s="1">
        <v>9.0E-4</v>
      </c>
      <c r="J1318" s="1">
        <v>49.7296</v>
      </c>
      <c r="K1318" s="1">
        <v>5144.0</v>
      </c>
    </row>
    <row r="1319">
      <c r="A1319" s="1" t="s">
        <v>22</v>
      </c>
      <c r="B1319" s="1" t="s">
        <v>180</v>
      </c>
      <c r="C1319" s="1" t="s">
        <v>55</v>
      </c>
      <c r="D1319" s="1">
        <v>16.0</v>
      </c>
      <c r="E1319" s="1">
        <v>887278.0</v>
      </c>
      <c r="F1319" s="1">
        <v>0.0</v>
      </c>
      <c r="G1319" s="1">
        <v>19607.0</v>
      </c>
      <c r="H1319" s="1">
        <v>45.2531</v>
      </c>
      <c r="I1319" s="1">
        <v>0.0</v>
      </c>
      <c r="J1319" s="1">
        <v>45.2531</v>
      </c>
      <c r="K1319" s="1">
        <v>5311.0</v>
      </c>
    </row>
    <row r="1320">
      <c r="A1320" s="1" t="s">
        <v>22</v>
      </c>
      <c r="B1320" s="1" t="s">
        <v>180</v>
      </c>
      <c r="C1320" s="1" t="s">
        <v>55</v>
      </c>
      <c r="D1320" s="1">
        <v>17.0</v>
      </c>
      <c r="E1320" s="1">
        <v>810591.0</v>
      </c>
      <c r="F1320" s="1">
        <v>0.0</v>
      </c>
      <c r="G1320" s="1">
        <v>19607.0</v>
      </c>
      <c r="H1320" s="1">
        <v>41.3419</v>
      </c>
      <c r="I1320" s="1">
        <v>0.0</v>
      </c>
      <c r="J1320" s="1">
        <v>41.3419</v>
      </c>
      <c r="K1320" s="1">
        <v>5182.0</v>
      </c>
    </row>
    <row r="1321">
      <c r="A1321" s="1" t="s">
        <v>22</v>
      </c>
      <c r="B1321" s="1" t="s">
        <v>180</v>
      </c>
      <c r="C1321" s="1" t="s">
        <v>55</v>
      </c>
      <c r="D1321" s="1">
        <v>18.0</v>
      </c>
      <c r="E1321" s="1">
        <v>763068.0</v>
      </c>
      <c r="F1321" s="1">
        <v>17.0</v>
      </c>
      <c r="G1321" s="1">
        <v>19607.0</v>
      </c>
      <c r="H1321" s="1">
        <v>38.9181</v>
      </c>
      <c r="I1321" s="1">
        <v>9.0E-4</v>
      </c>
      <c r="J1321" s="1">
        <v>38.9173</v>
      </c>
      <c r="K1321" s="1">
        <v>5152.0</v>
      </c>
    </row>
    <row r="1322">
      <c r="A1322" s="1" t="s">
        <v>22</v>
      </c>
      <c r="B1322" s="1" t="s">
        <v>180</v>
      </c>
      <c r="C1322" s="1" t="s">
        <v>55</v>
      </c>
      <c r="D1322" s="1">
        <v>19.0</v>
      </c>
      <c r="E1322" s="1">
        <v>702029.0</v>
      </c>
      <c r="F1322" s="1">
        <v>23.0</v>
      </c>
      <c r="G1322" s="1">
        <v>19607.0</v>
      </c>
      <c r="H1322" s="1">
        <v>35.805</v>
      </c>
      <c r="I1322" s="1">
        <v>0.0012</v>
      </c>
      <c r="J1322" s="1">
        <v>35.8038</v>
      </c>
      <c r="K1322" s="1">
        <v>4791.0</v>
      </c>
    </row>
    <row r="1323">
      <c r="A1323" s="1" t="s">
        <v>22</v>
      </c>
      <c r="B1323" s="1" t="s">
        <v>180</v>
      </c>
      <c r="C1323" s="1" t="s">
        <v>55</v>
      </c>
      <c r="D1323" s="1">
        <v>20.0</v>
      </c>
      <c r="E1323" s="1">
        <v>607055.0</v>
      </c>
      <c r="F1323" s="1">
        <v>0.0</v>
      </c>
      <c r="G1323" s="1">
        <v>19607.0</v>
      </c>
      <c r="H1323" s="1">
        <v>30.9611</v>
      </c>
      <c r="I1323" s="1">
        <v>0.0</v>
      </c>
      <c r="J1323" s="1">
        <v>30.9611</v>
      </c>
      <c r="K1323" s="1">
        <v>4629.0</v>
      </c>
    </row>
    <row r="1324">
      <c r="A1324" s="1" t="s">
        <v>22</v>
      </c>
      <c r="B1324" s="1" t="s">
        <v>180</v>
      </c>
      <c r="C1324" s="1" t="s">
        <v>55</v>
      </c>
      <c r="D1324" s="1">
        <v>21.0</v>
      </c>
      <c r="E1324" s="1">
        <v>570576.0</v>
      </c>
      <c r="F1324" s="1">
        <v>8.0</v>
      </c>
      <c r="G1324" s="1">
        <v>19607.0</v>
      </c>
      <c r="H1324" s="1">
        <v>29.1006</v>
      </c>
      <c r="I1324" s="1">
        <v>4.0E-4</v>
      </c>
      <c r="J1324" s="1">
        <v>29.1002</v>
      </c>
      <c r="K1324" s="1">
        <v>4452.0</v>
      </c>
    </row>
    <row r="1325">
      <c r="A1325" s="1" t="s">
        <v>22</v>
      </c>
      <c r="B1325" s="1" t="s">
        <v>180</v>
      </c>
      <c r="C1325" s="1" t="s">
        <v>46</v>
      </c>
      <c r="D1325" s="1">
        <v>1.0</v>
      </c>
      <c r="E1325" s="1">
        <v>936615.0</v>
      </c>
      <c r="F1325" s="1">
        <v>0.0</v>
      </c>
      <c r="G1325" s="1">
        <v>16866.0</v>
      </c>
      <c r="H1325" s="1">
        <v>55.5327</v>
      </c>
      <c r="I1325" s="1">
        <v>0.0</v>
      </c>
      <c r="J1325" s="1">
        <v>55.5327</v>
      </c>
      <c r="K1325" s="1">
        <v>4532.0</v>
      </c>
    </row>
    <row r="1326">
      <c r="A1326" s="1" t="s">
        <v>22</v>
      </c>
      <c r="B1326" s="1" t="s">
        <v>180</v>
      </c>
      <c r="C1326" s="1" t="s">
        <v>46</v>
      </c>
      <c r="D1326" s="1">
        <v>2.0</v>
      </c>
      <c r="E1326" s="1">
        <v>890904.0</v>
      </c>
      <c r="F1326" s="1">
        <v>0.0</v>
      </c>
      <c r="G1326" s="1">
        <v>16866.0</v>
      </c>
      <c r="H1326" s="1">
        <v>52.8225</v>
      </c>
      <c r="I1326" s="1">
        <v>0.0</v>
      </c>
      <c r="J1326" s="1">
        <v>52.8225</v>
      </c>
      <c r="K1326" s="1">
        <v>4507.0</v>
      </c>
    </row>
    <row r="1327">
      <c r="A1327" s="1" t="s">
        <v>22</v>
      </c>
      <c r="B1327" s="1" t="s">
        <v>180</v>
      </c>
      <c r="C1327" s="1" t="s">
        <v>46</v>
      </c>
      <c r="D1327" s="1">
        <v>3.0</v>
      </c>
      <c r="E1327" s="1">
        <v>609621.0</v>
      </c>
      <c r="F1327" s="1">
        <v>0.0</v>
      </c>
      <c r="G1327" s="1">
        <v>16866.0</v>
      </c>
      <c r="H1327" s="1">
        <v>36.145</v>
      </c>
      <c r="I1327" s="1">
        <v>0.0</v>
      </c>
      <c r="J1327" s="1">
        <v>36.145</v>
      </c>
      <c r="K1327" s="1">
        <v>4451.0</v>
      </c>
    </row>
    <row r="1328">
      <c r="A1328" s="1" t="s">
        <v>22</v>
      </c>
      <c r="B1328" s="1" t="s">
        <v>180</v>
      </c>
      <c r="C1328" s="1" t="s">
        <v>46</v>
      </c>
      <c r="D1328" s="1">
        <v>4.0</v>
      </c>
      <c r="E1328" s="1">
        <v>959688.0</v>
      </c>
      <c r="F1328" s="1">
        <v>0.0</v>
      </c>
      <c r="G1328" s="1">
        <v>16866.0</v>
      </c>
      <c r="H1328" s="1">
        <v>56.9007</v>
      </c>
      <c r="I1328" s="1">
        <v>0.0</v>
      </c>
      <c r="J1328" s="1">
        <v>56.9007</v>
      </c>
      <c r="K1328" s="1">
        <v>4274.0</v>
      </c>
    </row>
    <row r="1329">
      <c r="A1329" s="1" t="s">
        <v>22</v>
      </c>
      <c r="B1329" s="1" t="s">
        <v>180</v>
      </c>
      <c r="C1329" s="1" t="s">
        <v>46</v>
      </c>
      <c r="D1329" s="1">
        <v>5.0</v>
      </c>
      <c r="E1329" s="1">
        <v>999048.0</v>
      </c>
      <c r="F1329" s="1">
        <v>0.0</v>
      </c>
      <c r="G1329" s="1">
        <v>16866.0</v>
      </c>
      <c r="H1329" s="1">
        <v>59.2344</v>
      </c>
      <c r="I1329" s="1">
        <v>0.0</v>
      </c>
      <c r="J1329" s="1">
        <v>59.2344</v>
      </c>
      <c r="K1329" s="1">
        <v>4250.0</v>
      </c>
    </row>
    <row r="1330">
      <c r="A1330" s="1" t="s">
        <v>22</v>
      </c>
      <c r="B1330" s="1" t="s">
        <v>180</v>
      </c>
      <c r="C1330" s="1" t="s">
        <v>46</v>
      </c>
      <c r="D1330" s="1">
        <v>6.0</v>
      </c>
      <c r="E1330" s="1">
        <v>887673.0</v>
      </c>
      <c r="F1330" s="1">
        <v>0.0</v>
      </c>
      <c r="G1330" s="1">
        <v>16866.0</v>
      </c>
      <c r="H1330" s="1">
        <v>52.6309</v>
      </c>
      <c r="I1330" s="1">
        <v>0.0</v>
      </c>
      <c r="J1330" s="1">
        <v>52.6309</v>
      </c>
      <c r="K1330" s="1">
        <v>4137.0</v>
      </c>
    </row>
    <row r="1331">
      <c r="A1331" s="1" t="s">
        <v>22</v>
      </c>
      <c r="B1331" s="1" t="s">
        <v>180</v>
      </c>
      <c r="C1331" s="1" t="s">
        <v>46</v>
      </c>
      <c r="D1331" s="1">
        <v>7.0</v>
      </c>
      <c r="E1331" s="1">
        <v>900976.0</v>
      </c>
      <c r="F1331" s="1">
        <v>0.0</v>
      </c>
      <c r="G1331" s="1">
        <v>16866.0</v>
      </c>
      <c r="H1331" s="1">
        <v>53.4197</v>
      </c>
      <c r="I1331" s="1">
        <v>0.0</v>
      </c>
      <c r="J1331" s="1">
        <v>53.4197</v>
      </c>
      <c r="K1331" s="1">
        <v>4216.0</v>
      </c>
    </row>
    <row r="1332">
      <c r="A1332" s="1" t="s">
        <v>22</v>
      </c>
      <c r="B1332" s="1" t="s">
        <v>180</v>
      </c>
      <c r="C1332" s="1" t="s">
        <v>46</v>
      </c>
      <c r="D1332" s="1">
        <v>8.0</v>
      </c>
      <c r="E1332" s="1">
        <v>1263099.0</v>
      </c>
      <c r="F1332" s="1">
        <v>0.0</v>
      </c>
      <c r="G1332" s="1">
        <v>16866.0</v>
      </c>
      <c r="H1332" s="1">
        <v>74.8903</v>
      </c>
      <c r="I1332" s="1">
        <v>0.0</v>
      </c>
      <c r="J1332" s="1">
        <v>74.8903</v>
      </c>
      <c r="K1332" s="1">
        <v>4541.0</v>
      </c>
    </row>
    <row r="1333">
      <c r="A1333" s="1" t="s">
        <v>22</v>
      </c>
      <c r="B1333" s="1" t="s">
        <v>180</v>
      </c>
      <c r="C1333" s="1" t="s">
        <v>46</v>
      </c>
      <c r="D1333" s="1">
        <v>9.0</v>
      </c>
      <c r="E1333" s="1">
        <v>1026231.0</v>
      </c>
      <c r="F1333" s="1">
        <v>0.0</v>
      </c>
      <c r="G1333" s="1">
        <v>16866.0</v>
      </c>
      <c r="H1333" s="1">
        <v>60.8461</v>
      </c>
      <c r="I1333" s="1">
        <v>0.0</v>
      </c>
      <c r="J1333" s="1">
        <v>60.8461</v>
      </c>
      <c r="K1333" s="1">
        <v>4545.0</v>
      </c>
    </row>
    <row r="1334">
      <c r="A1334" s="1" t="s">
        <v>22</v>
      </c>
      <c r="B1334" s="1" t="s">
        <v>180</v>
      </c>
      <c r="C1334" s="1" t="s">
        <v>46</v>
      </c>
      <c r="D1334" s="1">
        <v>10.0</v>
      </c>
      <c r="E1334" s="1">
        <v>1013364.0</v>
      </c>
      <c r="F1334" s="1">
        <v>0.0</v>
      </c>
      <c r="G1334" s="1">
        <v>16866.0</v>
      </c>
      <c r="H1334" s="1">
        <v>60.0832</v>
      </c>
      <c r="I1334" s="1">
        <v>0.0</v>
      </c>
      <c r="J1334" s="1">
        <v>60.0832</v>
      </c>
      <c r="K1334" s="1">
        <v>4520.0</v>
      </c>
    </row>
    <row r="1335">
      <c r="A1335" s="1" t="s">
        <v>22</v>
      </c>
      <c r="B1335" s="1" t="s">
        <v>180</v>
      </c>
      <c r="C1335" s="1" t="s">
        <v>46</v>
      </c>
      <c r="D1335" s="1">
        <v>11.0</v>
      </c>
      <c r="E1335" s="1">
        <v>1133709.0</v>
      </c>
      <c r="F1335" s="1">
        <v>0.0</v>
      </c>
      <c r="G1335" s="1">
        <v>16866.0</v>
      </c>
      <c r="H1335" s="1">
        <v>67.2186</v>
      </c>
      <c r="I1335" s="1">
        <v>0.0</v>
      </c>
      <c r="J1335" s="1">
        <v>67.2186</v>
      </c>
      <c r="K1335" s="1">
        <v>4589.0</v>
      </c>
    </row>
    <row r="1336">
      <c r="A1336" s="1" t="s">
        <v>22</v>
      </c>
      <c r="B1336" s="1" t="s">
        <v>180</v>
      </c>
      <c r="C1336" s="1" t="s">
        <v>46</v>
      </c>
      <c r="D1336" s="1">
        <v>12.0</v>
      </c>
      <c r="E1336" s="1">
        <v>1118685.0</v>
      </c>
      <c r="F1336" s="1">
        <v>0.0</v>
      </c>
      <c r="G1336" s="1">
        <v>16866.0</v>
      </c>
      <c r="H1336" s="1">
        <v>66.3278</v>
      </c>
      <c r="I1336" s="1">
        <v>0.0</v>
      </c>
      <c r="J1336" s="1">
        <v>66.3278</v>
      </c>
      <c r="K1336" s="1">
        <v>4587.0</v>
      </c>
    </row>
    <row r="1337">
      <c r="A1337" s="1" t="s">
        <v>22</v>
      </c>
      <c r="B1337" s="1" t="s">
        <v>180</v>
      </c>
      <c r="C1337" s="1" t="s">
        <v>46</v>
      </c>
      <c r="D1337" s="1">
        <v>13.0</v>
      </c>
      <c r="E1337" s="1">
        <v>1080755.0</v>
      </c>
      <c r="F1337" s="1">
        <v>0.0</v>
      </c>
      <c r="G1337" s="1">
        <v>16866.0</v>
      </c>
      <c r="H1337" s="1">
        <v>64.0789</v>
      </c>
      <c r="I1337" s="1">
        <v>0.0</v>
      </c>
      <c r="J1337" s="1">
        <v>64.0789</v>
      </c>
      <c r="K1337" s="1">
        <v>4861.0</v>
      </c>
    </row>
    <row r="1338">
      <c r="A1338" s="1" t="s">
        <v>22</v>
      </c>
      <c r="B1338" s="1" t="s">
        <v>180</v>
      </c>
      <c r="C1338" s="1" t="s">
        <v>46</v>
      </c>
      <c r="D1338" s="1">
        <v>14.0</v>
      </c>
      <c r="E1338" s="1">
        <v>1103728.0</v>
      </c>
      <c r="F1338" s="1">
        <v>0.0</v>
      </c>
      <c r="G1338" s="1">
        <v>16866.0</v>
      </c>
      <c r="H1338" s="1">
        <v>65.441</v>
      </c>
      <c r="I1338" s="1">
        <v>0.0</v>
      </c>
      <c r="J1338" s="1">
        <v>65.441</v>
      </c>
      <c r="K1338" s="1">
        <v>4940.0</v>
      </c>
    </row>
    <row r="1339">
      <c r="A1339" s="1" t="s">
        <v>22</v>
      </c>
      <c r="B1339" s="1" t="s">
        <v>180</v>
      </c>
      <c r="C1339" s="1" t="s">
        <v>46</v>
      </c>
      <c r="D1339" s="1">
        <v>15.0</v>
      </c>
      <c r="E1339" s="1">
        <v>1454912.0</v>
      </c>
      <c r="F1339" s="1">
        <v>0.0</v>
      </c>
      <c r="G1339" s="1">
        <v>16866.0</v>
      </c>
      <c r="H1339" s="1">
        <v>86.263</v>
      </c>
      <c r="I1339" s="1">
        <v>0.0</v>
      </c>
      <c r="J1339" s="1">
        <v>86.263</v>
      </c>
      <c r="K1339" s="1">
        <v>5144.0</v>
      </c>
    </row>
    <row r="1340">
      <c r="A1340" s="1" t="s">
        <v>22</v>
      </c>
      <c r="B1340" s="1" t="s">
        <v>180</v>
      </c>
      <c r="C1340" s="1" t="s">
        <v>46</v>
      </c>
      <c r="D1340" s="1">
        <v>16.0</v>
      </c>
      <c r="E1340" s="1">
        <v>1342185.0</v>
      </c>
      <c r="F1340" s="1">
        <v>0.0</v>
      </c>
      <c r="G1340" s="1">
        <v>16866.0</v>
      </c>
      <c r="H1340" s="1">
        <v>79.5793</v>
      </c>
      <c r="I1340" s="1">
        <v>0.0</v>
      </c>
      <c r="J1340" s="1">
        <v>79.5793</v>
      </c>
      <c r="K1340" s="1">
        <v>5311.0</v>
      </c>
    </row>
    <row r="1341">
      <c r="A1341" s="1" t="s">
        <v>22</v>
      </c>
      <c r="B1341" s="1" t="s">
        <v>180</v>
      </c>
      <c r="C1341" s="1" t="s">
        <v>46</v>
      </c>
      <c r="D1341" s="1">
        <v>17.0</v>
      </c>
      <c r="E1341" s="1">
        <v>1226554.0</v>
      </c>
      <c r="F1341" s="1">
        <v>0.0</v>
      </c>
      <c r="G1341" s="1">
        <v>16866.0</v>
      </c>
      <c r="H1341" s="1">
        <v>72.7235</v>
      </c>
      <c r="I1341" s="1">
        <v>0.0</v>
      </c>
      <c r="J1341" s="1">
        <v>72.7235</v>
      </c>
      <c r="K1341" s="1">
        <v>5182.0</v>
      </c>
    </row>
    <row r="1342">
      <c r="A1342" s="1" t="s">
        <v>22</v>
      </c>
      <c r="B1342" s="1" t="s">
        <v>180</v>
      </c>
      <c r="C1342" s="1" t="s">
        <v>46</v>
      </c>
      <c r="D1342" s="1">
        <v>18.0</v>
      </c>
      <c r="E1342" s="1">
        <v>1218176.0</v>
      </c>
      <c r="F1342" s="1">
        <v>0.0</v>
      </c>
      <c r="G1342" s="1">
        <v>16866.0</v>
      </c>
      <c r="H1342" s="1">
        <v>72.2267</v>
      </c>
      <c r="I1342" s="1">
        <v>0.0</v>
      </c>
      <c r="J1342" s="1">
        <v>72.2267</v>
      </c>
      <c r="K1342" s="1">
        <v>5152.0</v>
      </c>
    </row>
    <row r="1343">
      <c r="A1343" s="1" t="s">
        <v>22</v>
      </c>
      <c r="B1343" s="1" t="s">
        <v>180</v>
      </c>
      <c r="C1343" s="1" t="s">
        <v>46</v>
      </c>
      <c r="D1343" s="1">
        <v>19.0</v>
      </c>
      <c r="E1343" s="1">
        <v>1093793.0</v>
      </c>
      <c r="F1343" s="1">
        <v>0.0</v>
      </c>
      <c r="G1343" s="1">
        <v>16866.0</v>
      </c>
      <c r="H1343" s="1">
        <v>64.852</v>
      </c>
      <c r="I1343" s="1">
        <v>0.0</v>
      </c>
      <c r="J1343" s="1">
        <v>64.852</v>
      </c>
      <c r="K1343" s="1">
        <v>4791.0</v>
      </c>
    </row>
    <row r="1344">
      <c r="A1344" s="1" t="s">
        <v>22</v>
      </c>
      <c r="B1344" s="1" t="s">
        <v>180</v>
      </c>
      <c r="C1344" s="1" t="s">
        <v>46</v>
      </c>
      <c r="D1344" s="1">
        <v>20.0</v>
      </c>
      <c r="E1344" s="1">
        <v>970710.0</v>
      </c>
      <c r="F1344" s="1">
        <v>0.0</v>
      </c>
      <c r="G1344" s="1">
        <v>16866.0</v>
      </c>
      <c r="H1344" s="1">
        <v>57.5543</v>
      </c>
      <c r="I1344" s="1">
        <v>0.0</v>
      </c>
      <c r="J1344" s="1">
        <v>57.5543</v>
      </c>
      <c r="K1344" s="1">
        <v>4629.0</v>
      </c>
    </row>
    <row r="1345">
      <c r="A1345" s="1" t="s">
        <v>22</v>
      </c>
      <c r="B1345" s="1" t="s">
        <v>180</v>
      </c>
      <c r="C1345" s="1" t="s">
        <v>46</v>
      </c>
      <c r="D1345" s="1">
        <v>21.0</v>
      </c>
      <c r="E1345" s="1">
        <v>925817.0</v>
      </c>
      <c r="F1345" s="1">
        <v>0.0</v>
      </c>
      <c r="G1345" s="1">
        <v>16866.0</v>
      </c>
      <c r="H1345" s="1">
        <v>54.8925</v>
      </c>
      <c r="I1345" s="1">
        <v>0.0</v>
      </c>
      <c r="J1345" s="1">
        <v>54.8925</v>
      </c>
      <c r="K1345" s="1">
        <v>4452.0</v>
      </c>
    </row>
    <row r="1346">
      <c r="A1346" s="1" t="s">
        <v>22</v>
      </c>
      <c r="B1346" s="1" t="s">
        <v>180</v>
      </c>
      <c r="C1346" s="1" t="s">
        <v>1213</v>
      </c>
      <c r="D1346" s="1">
        <v>1.0</v>
      </c>
      <c r="E1346" s="1">
        <v>15.0</v>
      </c>
      <c r="F1346" s="1">
        <v>0.0</v>
      </c>
      <c r="G1346" s="1">
        <v>7783.0</v>
      </c>
      <c r="H1346" s="1">
        <v>0.0019</v>
      </c>
      <c r="I1346" s="1">
        <v>0.0</v>
      </c>
      <c r="J1346" s="1">
        <v>0.0019</v>
      </c>
      <c r="K1346" s="1">
        <v>4532.0</v>
      </c>
    </row>
    <row r="1347">
      <c r="A1347" s="1" t="s">
        <v>22</v>
      </c>
      <c r="B1347" s="1" t="s">
        <v>180</v>
      </c>
      <c r="C1347" s="1" t="s">
        <v>1213</v>
      </c>
      <c r="D1347" s="1">
        <v>2.0</v>
      </c>
      <c r="E1347" s="1">
        <v>0.0</v>
      </c>
      <c r="F1347" s="1">
        <v>0.0</v>
      </c>
      <c r="G1347" s="1">
        <v>7783.0</v>
      </c>
      <c r="H1347" s="1">
        <v>0.0</v>
      </c>
      <c r="I1347" s="1">
        <v>0.0</v>
      </c>
      <c r="J1347" s="1">
        <v>0.0</v>
      </c>
      <c r="K1347" s="1">
        <v>4507.0</v>
      </c>
    </row>
    <row r="1348">
      <c r="A1348" s="1" t="s">
        <v>22</v>
      </c>
      <c r="B1348" s="1" t="s">
        <v>180</v>
      </c>
      <c r="C1348" s="1" t="s">
        <v>1213</v>
      </c>
      <c r="D1348" s="1">
        <v>3.0</v>
      </c>
      <c r="E1348" s="1">
        <v>15.0</v>
      </c>
      <c r="F1348" s="1">
        <v>0.0</v>
      </c>
      <c r="G1348" s="1">
        <v>7783.0</v>
      </c>
      <c r="H1348" s="1">
        <v>0.0019</v>
      </c>
      <c r="I1348" s="1">
        <v>0.0</v>
      </c>
      <c r="J1348" s="1">
        <v>0.0019</v>
      </c>
      <c r="K1348" s="1">
        <v>4451.0</v>
      </c>
    </row>
    <row r="1349">
      <c r="A1349" s="1" t="s">
        <v>22</v>
      </c>
      <c r="B1349" s="1" t="s">
        <v>180</v>
      </c>
      <c r="C1349" s="1" t="s">
        <v>1213</v>
      </c>
      <c r="D1349" s="1">
        <v>4.0</v>
      </c>
      <c r="E1349" s="1">
        <v>15.0</v>
      </c>
      <c r="F1349" s="1">
        <v>0.0</v>
      </c>
      <c r="G1349" s="1">
        <v>7783.0</v>
      </c>
      <c r="H1349" s="1">
        <v>0.0019</v>
      </c>
      <c r="I1349" s="1">
        <v>0.0</v>
      </c>
      <c r="J1349" s="1">
        <v>0.0019</v>
      </c>
      <c r="K1349" s="1">
        <v>4274.0</v>
      </c>
    </row>
    <row r="1350">
      <c r="A1350" s="1" t="s">
        <v>22</v>
      </c>
      <c r="B1350" s="1" t="s">
        <v>180</v>
      </c>
      <c r="C1350" s="1" t="s">
        <v>1213</v>
      </c>
      <c r="D1350" s="1">
        <v>5.0</v>
      </c>
      <c r="E1350" s="1">
        <v>15.0</v>
      </c>
      <c r="F1350" s="1">
        <v>0.0</v>
      </c>
      <c r="G1350" s="1">
        <v>7783.0</v>
      </c>
      <c r="H1350" s="1">
        <v>0.0019</v>
      </c>
      <c r="I1350" s="1">
        <v>0.0</v>
      </c>
      <c r="J1350" s="1">
        <v>0.0019</v>
      </c>
      <c r="K1350" s="1">
        <v>4250.0</v>
      </c>
    </row>
    <row r="1351">
      <c r="A1351" s="1" t="s">
        <v>22</v>
      </c>
      <c r="B1351" s="1" t="s">
        <v>180</v>
      </c>
      <c r="C1351" s="1" t="s">
        <v>1213</v>
      </c>
      <c r="D1351" s="1">
        <v>6.0</v>
      </c>
      <c r="E1351" s="1">
        <v>15.0</v>
      </c>
      <c r="F1351" s="1">
        <v>0.0</v>
      </c>
      <c r="G1351" s="1">
        <v>7783.0</v>
      </c>
      <c r="H1351" s="1">
        <v>0.0019</v>
      </c>
      <c r="I1351" s="1">
        <v>0.0</v>
      </c>
      <c r="J1351" s="1">
        <v>0.0019</v>
      </c>
      <c r="K1351" s="1">
        <v>4137.0</v>
      </c>
    </row>
    <row r="1352">
      <c r="A1352" s="1" t="s">
        <v>22</v>
      </c>
      <c r="B1352" s="1" t="s">
        <v>180</v>
      </c>
      <c r="C1352" s="1" t="s">
        <v>1213</v>
      </c>
      <c r="D1352" s="1">
        <v>7.0</v>
      </c>
      <c r="E1352" s="1">
        <v>0.0</v>
      </c>
      <c r="F1352" s="1">
        <v>0.0</v>
      </c>
      <c r="G1352" s="1">
        <v>7783.0</v>
      </c>
      <c r="H1352" s="1">
        <v>0.0</v>
      </c>
      <c r="I1352" s="1">
        <v>0.0</v>
      </c>
      <c r="J1352" s="1">
        <v>0.0</v>
      </c>
      <c r="K1352" s="1">
        <v>4216.0</v>
      </c>
    </row>
    <row r="1353">
      <c r="A1353" s="1" t="s">
        <v>22</v>
      </c>
      <c r="B1353" s="1" t="s">
        <v>180</v>
      </c>
      <c r="C1353" s="1" t="s">
        <v>1213</v>
      </c>
      <c r="D1353" s="1">
        <v>8.0</v>
      </c>
      <c r="E1353" s="1">
        <v>26815.0</v>
      </c>
      <c r="F1353" s="1">
        <v>0.0</v>
      </c>
      <c r="G1353" s="1">
        <v>7783.0</v>
      </c>
      <c r="H1353" s="1">
        <v>3.4453</v>
      </c>
      <c r="I1353" s="1">
        <v>0.0</v>
      </c>
      <c r="J1353" s="1">
        <v>3.4453</v>
      </c>
      <c r="K1353" s="1">
        <v>4541.0</v>
      </c>
    </row>
    <row r="1354">
      <c r="A1354" s="1" t="s">
        <v>22</v>
      </c>
      <c r="B1354" s="1" t="s">
        <v>180</v>
      </c>
      <c r="C1354" s="1" t="s">
        <v>1213</v>
      </c>
      <c r="D1354" s="1">
        <v>9.0</v>
      </c>
      <c r="E1354" s="1">
        <v>14935.0</v>
      </c>
      <c r="F1354" s="1">
        <v>0.0</v>
      </c>
      <c r="G1354" s="1">
        <v>7783.0</v>
      </c>
      <c r="H1354" s="1">
        <v>1.9189</v>
      </c>
      <c r="I1354" s="1">
        <v>0.0</v>
      </c>
      <c r="J1354" s="1">
        <v>1.9189</v>
      </c>
      <c r="K1354" s="1">
        <v>4545.0</v>
      </c>
    </row>
    <row r="1355">
      <c r="A1355" s="1" t="s">
        <v>22</v>
      </c>
      <c r="B1355" s="1" t="s">
        <v>180</v>
      </c>
      <c r="C1355" s="1" t="s">
        <v>1213</v>
      </c>
      <c r="D1355" s="1">
        <v>10.0</v>
      </c>
      <c r="E1355" s="1">
        <v>13025.0</v>
      </c>
      <c r="F1355" s="1">
        <v>0.0</v>
      </c>
      <c r="G1355" s="1">
        <v>7783.0</v>
      </c>
      <c r="H1355" s="1">
        <v>1.6735</v>
      </c>
      <c r="I1355" s="1">
        <v>0.0</v>
      </c>
      <c r="J1355" s="1">
        <v>1.6735</v>
      </c>
      <c r="K1355" s="1">
        <v>4520.0</v>
      </c>
    </row>
    <row r="1356">
      <c r="A1356" s="1" t="s">
        <v>22</v>
      </c>
      <c r="B1356" s="1" t="s">
        <v>180</v>
      </c>
      <c r="C1356" s="1" t="s">
        <v>1213</v>
      </c>
      <c r="D1356" s="1">
        <v>11.0</v>
      </c>
      <c r="E1356" s="1">
        <v>13970.0</v>
      </c>
      <c r="F1356" s="1">
        <v>0.0</v>
      </c>
      <c r="G1356" s="1">
        <v>7783.0</v>
      </c>
      <c r="H1356" s="1">
        <v>1.7949</v>
      </c>
      <c r="I1356" s="1">
        <v>0.0</v>
      </c>
      <c r="J1356" s="1">
        <v>1.7949</v>
      </c>
      <c r="K1356" s="1">
        <v>4589.0</v>
      </c>
    </row>
    <row r="1357">
      <c r="A1357" s="1" t="s">
        <v>22</v>
      </c>
      <c r="B1357" s="1" t="s">
        <v>180</v>
      </c>
      <c r="C1357" s="1" t="s">
        <v>1213</v>
      </c>
      <c r="D1357" s="1">
        <v>12.0</v>
      </c>
      <c r="E1357" s="1">
        <v>1120.0</v>
      </c>
      <c r="F1357" s="1">
        <v>0.0</v>
      </c>
      <c r="G1357" s="1">
        <v>7783.0</v>
      </c>
      <c r="H1357" s="1">
        <v>0.1439</v>
      </c>
      <c r="I1357" s="1">
        <v>0.0</v>
      </c>
      <c r="J1357" s="1">
        <v>0.1439</v>
      </c>
      <c r="K1357" s="1">
        <v>4587.0</v>
      </c>
    </row>
    <row r="1358">
      <c r="A1358" s="1" t="s">
        <v>22</v>
      </c>
      <c r="B1358" s="1" t="s">
        <v>180</v>
      </c>
      <c r="C1358" s="1" t="s">
        <v>1213</v>
      </c>
      <c r="D1358" s="1">
        <v>13.0</v>
      </c>
      <c r="E1358" s="1">
        <v>60.0</v>
      </c>
      <c r="F1358" s="1">
        <v>0.0</v>
      </c>
      <c r="G1358" s="1">
        <v>7783.0</v>
      </c>
      <c r="H1358" s="1">
        <v>0.0077</v>
      </c>
      <c r="I1358" s="1">
        <v>0.0</v>
      </c>
      <c r="J1358" s="1">
        <v>0.0077</v>
      </c>
      <c r="K1358" s="1">
        <v>4861.0</v>
      </c>
    </row>
    <row r="1359">
      <c r="A1359" s="1" t="s">
        <v>22</v>
      </c>
      <c r="B1359" s="1" t="s">
        <v>180</v>
      </c>
      <c r="C1359" s="1" t="s">
        <v>1213</v>
      </c>
      <c r="D1359" s="1">
        <v>14.0</v>
      </c>
      <c r="E1359" s="1">
        <v>135.0</v>
      </c>
      <c r="F1359" s="1">
        <v>0.0</v>
      </c>
      <c r="G1359" s="1">
        <v>7783.0</v>
      </c>
      <c r="H1359" s="1">
        <v>0.0173</v>
      </c>
      <c r="I1359" s="1">
        <v>0.0</v>
      </c>
      <c r="J1359" s="1">
        <v>0.0173</v>
      </c>
      <c r="K1359" s="1">
        <v>4940.0</v>
      </c>
    </row>
    <row r="1360">
      <c r="A1360" s="1" t="s">
        <v>22</v>
      </c>
      <c r="B1360" s="1" t="s">
        <v>180</v>
      </c>
      <c r="C1360" s="1" t="s">
        <v>1213</v>
      </c>
      <c r="D1360" s="1">
        <v>15.0</v>
      </c>
      <c r="E1360" s="1">
        <v>29150.0</v>
      </c>
      <c r="F1360" s="1">
        <v>0.0</v>
      </c>
      <c r="G1360" s="1">
        <v>7783.0</v>
      </c>
      <c r="H1360" s="1">
        <v>3.7453</v>
      </c>
      <c r="I1360" s="1">
        <v>0.0</v>
      </c>
      <c r="J1360" s="1">
        <v>3.7453</v>
      </c>
      <c r="K1360" s="1">
        <v>5144.0</v>
      </c>
    </row>
    <row r="1361">
      <c r="A1361" s="1" t="s">
        <v>22</v>
      </c>
      <c r="B1361" s="1" t="s">
        <v>180</v>
      </c>
      <c r="C1361" s="1" t="s">
        <v>1213</v>
      </c>
      <c r="D1361" s="1">
        <v>16.0</v>
      </c>
      <c r="E1361" s="1">
        <v>17435.0</v>
      </c>
      <c r="F1361" s="1">
        <v>0.0</v>
      </c>
      <c r="G1361" s="1">
        <v>7783.0</v>
      </c>
      <c r="H1361" s="1">
        <v>2.2401</v>
      </c>
      <c r="I1361" s="1">
        <v>0.0</v>
      </c>
      <c r="J1361" s="1">
        <v>2.2401</v>
      </c>
      <c r="K1361" s="1">
        <v>5311.0</v>
      </c>
    </row>
    <row r="1362">
      <c r="A1362" s="1" t="s">
        <v>22</v>
      </c>
      <c r="B1362" s="1" t="s">
        <v>180</v>
      </c>
      <c r="C1362" s="1" t="s">
        <v>1213</v>
      </c>
      <c r="D1362" s="1">
        <v>17.0</v>
      </c>
      <c r="E1362" s="1">
        <v>14150.0</v>
      </c>
      <c r="F1362" s="1">
        <v>0.0</v>
      </c>
      <c r="G1362" s="1">
        <v>7783.0</v>
      </c>
      <c r="H1362" s="1">
        <v>1.8181</v>
      </c>
      <c r="I1362" s="1">
        <v>0.0</v>
      </c>
      <c r="J1362" s="1">
        <v>1.8181</v>
      </c>
      <c r="K1362" s="1">
        <v>5182.0</v>
      </c>
    </row>
    <row r="1363">
      <c r="A1363" s="1" t="s">
        <v>22</v>
      </c>
      <c r="B1363" s="1" t="s">
        <v>180</v>
      </c>
      <c r="C1363" s="1" t="s">
        <v>1213</v>
      </c>
      <c r="D1363" s="1">
        <v>18.0</v>
      </c>
      <c r="E1363" s="1">
        <v>12880.0</v>
      </c>
      <c r="F1363" s="1">
        <v>0.0</v>
      </c>
      <c r="G1363" s="1">
        <v>7783.0</v>
      </c>
      <c r="H1363" s="1">
        <v>1.6549</v>
      </c>
      <c r="I1363" s="1">
        <v>0.0</v>
      </c>
      <c r="J1363" s="1">
        <v>1.6549</v>
      </c>
      <c r="K1363" s="1">
        <v>5152.0</v>
      </c>
    </row>
    <row r="1364">
      <c r="A1364" s="1" t="s">
        <v>22</v>
      </c>
      <c r="B1364" s="1" t="s">
        <v>180</v>
      </c>
      <c r="C1364" s="1" t="s">
        <v>1213</v>
      </c>
      <c r="D1364" s="1">
        <v>19.0</v>
      </c>
      <c r="E1364" s="1">
        <v>710.0</v>
      </c>
      <c r="F1364" s="1">
        <v>0.0</v>
      </c>
      <c r="G1364" s="1">
        <v>7783.0</v>
      </c>
      <c r="H1364" s="1">
        <v>0.0912</v>
      </c>
      <c r="I1364" s="1">
        <v>0.0</v>
      </c>
      <c r="J1364" s="1">
        <v>0.0912</v>
      </c>
      <c r="K1364" s="1">
        <v>4791.0</v>
      </c>
    </row>
    <row r="1365">
      <c r="A1365" s="1" t="s">
        <v>22</v>
      </c>
      <c r="B1365" s="1" t="s">
        <v>180</v>
      </c>
      <c r="C1365" s="1" t="s">
        <v>1213</v>
      </c>
      <c r="D1365" s="1">
        <v>20.0</v>
      </c>
      <c r="E1365" s="1">
        <v>100.0</v>
      </c>
      <c r="F1365" s="1">
        <v>0.0</v>
      </c>
      <c r="G1365" s="1">
        <v>7783.0</v>
      </c>
      <c r="H1365" s="1">
        <v>0.0128</v>
      </c>
      <c r="I1365" s="1">
        <v>0.0</v>
      </c>
      <c r="J1365" s="1">
        <v>0.0128</v>
      </c>
      <c r="K1365" s="1">
        <v>4629.0</v>
      </c>
    </row>
    <row r="1366">
      <c r="A1366" s="1" t="s">
        <v>22</v>
      </c>
      <c r="B1366" s="1" t="s">
        <v>180</v>
      </c>
      <c r="C1366" s="1" t="s">
        <v>1213</v>
      </c>
      <c r="D1366" s="1">
        <v>21.0</v>
      </c>
      <c r="E1366" s="1">
        <v>105.0</v>
      </c>
      <c r="F1366" s="1">
        <v>0.0</v>
      </c>
      <c r="G1366" s="1">
        <v>7783.0</v>
      </c>
      <c r="H1366" s="1">
        <v>0.0135</v>
      </c>
      <c r="I1366" s="1">
        <v>0.0</v>
      </c>
      <c r="J1366" s="1">
        <v>0.0135</v>
      </c>
      <c r="K1366" s="1">
        <v>4452.0</v>
      </c>
    </row>
    <row r="1367">
      <c r="A1367" s="1" t="s">
        <v>22</v>
      </c>
      <c r="B1367" s="1" t="s">
        <v>1192</v>
      </c>
      <c r="C1367" s="1" t="s">
        <v>1205</v>
      </c>
      <c r="D1367" s="1">
        <v>1.0</v>
      </c>
      <c r="E1367" s="1">
        <v>198213.3181</v>
      </c>
      <c r="F1367" s="1">
        <v>190250.0</v>
      </c>
      <c r="G1367" s="1">
        <v>1538.0</v>
      </c>
      <c r="H1367" s="1">
        <v>128.8773</v>
      </c>
      <c r="I1367" s="1">
        <v>123.6996</v>
      </c>
      <c r="J1367" s="1">
        <v>5.1777</v>
      </c>
      <c r="K1367" s="1">
        <v>595.0</v>
      </c>
    </row>
    <row r="1368">
      <c r="A1368" s="1" t="s">
        <v>22</v>
      </c>
      <c r="B1368" s="1" t="s">
        <v>1192</v>
      </c>
      <c r="C1368" s="1" t="s">
        <v>1205</v>
      </c>
      <c r="D1368" s="1">
        <v>2.0</v>
      </c>
      <c r="E1368" s="1">
        <v>128601.0936</v>
      </c>
      <c r="F1368" s="1">
        <v>163050.0</v>
      </c>
      <c r="G1368" s="1">
        <v>1538.0</v>
      </c>
      <c r="H1368" s="1">
        <v>83.6158</v>
      </c>
      <c r="I1368" s="1">
        <v>106.0143</v>
      </c>
      <c r="J1368" s="1">
        <v>-22.3985</v>
      </c>
      <c r="K1368" s="1">
        <v>613.0</v>
      </c>
    </row>
    <row r="1369">
      <c r="A1369" s="1" t="s">
        <v>22</v>
      </c>
      <c r="B1369" s="1" t="s">
        <v>1192</v>
      </c>
      <c r="C1369" s="1" t="s">
        <v>1205</v>
      </c>
      <c r="D1369" s="1">
        <v>3.0</v>
      </c>
      <c r="E1369" s="1">
        <v>137896.6154</v>
      </c>
      <c r="F1369" s="1">
        <v>133050.0</v>
      </c>
      <c r="G1369" s="1">
        <v>1538.0</v>
      </c>
      <c r="H1369" s="1">
        <v>89.6597</v>
      </c>
      <c r="I1369" s="1">
        <v>86.5085</v>
      </c>
      <c r="J1369" s="1">
        <v>3.1512</v>
      </c>
      <c r="K1369" s="1">
        <v>571.0</v>
      </c>
    </row>
    <row r="1370">
      <c r="A1370" s="1" t="s">
        <v>22</v>
      </c>
      <c r="B1370" s="1" t="s">
        <v>1192</v>
      </c>
      <c r="C1370" s="1" t="s">
        <v>1205</v>
      </c>
      <c r="D1370" s="1">
        <v>4.0</v>
      </c>
      <c r="E1370" s="1">
        <v>116149.9409</v>
      </c>
      <c r="F1370" s="1">
        <v>129400.0</v>
      </c>
      <c r="G1370" s="1">
        <v>1538.0</v>
      </c>
      <c r="H1370" s="1">
        <v>75.5201</v>
      </c>
      <c r="I1370" s="1">
        <v>84.1352</v>
      </c>
      <c r="J1370" s="1">
        <v>-8.6151</v>
      </c>
      <c r="K1370" s="1">
        <v>567.0</v>
      </c>
    </row>
    <row r="1371">
      <c r="A1371" s="1" t="s">
        <v>22</v>
      </c>
      <c r="B1371" s="1" t="s">
        <v>1192</v>
      </c>
      <c r="C1371" s="1" t="s">
        <v>1205</v>
      </c>
      <c r="D1371" s="1">
        <v>5.0</v>
      </c>
      <c r="E1371" s="1">
        <v>173077.2143</v>
      </c>
      <c r="F1371" s="1">
        <v>176400.0</v>
      </c>
      <c r="G1371" s="1">
        <v>1538.0</v>
      </c>
      <c r="H1371" s="1">
        <v>112.5339</v>
      </c>
      <c r="I1371" s="1">
        <v>114.6944</v>
      </c>
      <c r="J1371" s="1">
        <v>-2.1605</v>
      </c>
      <c r="K1371" s="1">
        <v>570.0</v>
      </c>
    </row>
    <row r="1372">
      <c r="A1372" s="1" t="s">
        <v>22</v>
      </c>
      <c r="B1372" s="1" t="s">
        <v>1192</v>
      </c>
      <c r="C1372" s="1" t="s">
        <v>1205</v>
      </c>
      <c r="D1372" s="1">
        <v>6.0</v>
      </c>
      <c r="E1372" s="1">
        <v>130856.0</v>
      </c>
      <c r="F1372" s="1">
        <v>146300.0</v>
      </c>
      <c r="G1372" s="1">
        <v>1538.0</v>
      </c>
      <c r="H1372" s="1">
        <v>85.0819</v>
      </c>
      <c r="I1372" s="1">
        <v>95.1235</v>
      </c>
      <c r="J1372" s="1">
        <v>-10.0416</v>
      </c>
      <c r="K1372" s="1">
        <v>545.0</v>
      </c>
    </row>
    <row r="1373">
      <c r="A1373" s="1" t="s">
        <v>22</v>
      </c>
      <c r="B1373" s="1" t="s">
        <v>1192</v>
      </c>
      <c r="C1373" s="1" t="s">
        <v>1205</v>
      </c>
      <c r="D1373" s="1">
        <v>7.0</v>
      </c>
      <c r="E1373" s="1">
        <v>152472.0</v>
      </c>
      <c r="F1373" s="1">
        <v>155250.0</v>
      </c>
      <c r="G1373" s="1">
        <v>1538.0</v>
      </c>
      <c r="H1373" s="1">
        <v>99.1365</v>
      </c>
      <c r="I1373" s="1">
        <v>100.9428</v>
      </c>
      <c r="J1373" s="1">
        <v>-1.8062</v>
      </c>
      <c r="K1373" s="1">
        <v>578.0</v>
      </c>
    </row>
    <row r="1374">
      <c r="A1374" s="1" t="s">
        <v>22</v>
      </c>
      <c r="B1374" s="1" t="s">
        <v>1192</v>
      </c>
      <c r="C1374" s="1" t="s">
        <v>1205</v>
      </c>
      <c r="D1374" s="1">
        <v>8.0</v>
      </c>
      <c r="E1374" s="1">
        <v>214620.5131</v>
      </c>
      <c r="F1374" s="1">
        <v>206100.0</v>
      </c>
      <c r="G1374" s="1">
        <v>1538.0</v>
      </c>
      <c r="H1374" s="1">
        <v>139.5452</v>
      </c>
      <c r="I1374" s="1">
        <v>134.0052</v>
      </c>
      <c r="J1374" s="1">
        <v>5.54</v>
      </c>
      <c r="K1374" s="1">
        <v>634.0</v>
      </c>
    </row>
    <row r="1375">
      <c r="A1375" s="1" t="s">
        <v>22</v>
      </c>
      <c r="B1375" s="1" t="s">
        <v>1192</v>
      </c>
      <c r="C1375" s="1" t="s">
        <v>1205</v>
      </c>
      <c r="D1375" s="1">
        <v>9.0</v>
      </c>
      <c r="E1375" s="1">
        <v>131801.0348</v>
      </c>
      <c r="F1375" s="1">
        <v>135500.0</v>
      </c>
      <c r="G1375" s="1">
        <v>1538.0</v>
      </c>
      <c r="H1375" s="1">
        <v>85.6964</v>
      </c>
      <c r="I1375" s="1">
        <v>88.1014</v>
      </c>
      <c r="J1375" s="1">
        <v>-2.405</v>
      </c>
      <c r="K1375" s="1">
        <v>646.0</v>
      </c>
    </row>
    <row r="1376">
      <c r="A1376" s="1" t="s">
        <v>22</v>
      </c>
      <c r="B1376" s="1" t="s">
        <v>1192</v>
      </c>
      <c r="C1376" s="1" t="s">
        <v>1205</v>
      </c>
      <c r="D1376" s="1">
        <v>10.0</v>
      </c>
      <c r="E1376" s="1">
        <v>164058.6288</v>
      </c>
      <c r="F1376" s="1">
        <v>128500.0</v>
      </c>
      <c r="G1376" s="1">
        <v>1538.0</v>
      </c>
      <c r="H1376" s="1">
        <v>106.6701</v>
      </c>
      <c r="I1376" s="1">
        <v>83.5501</v>
      </c>
      <c r="J1376" s="1">
        <v>23.12</v>
      </c>
      <c r="K1376" s="1">
        <v>601.0</v>
      </c>
    </row>
    <row r="1377">
      <c r="A1377" s="1" t="s">
        <v>22</v>
      </c>
      <c r="B1377" s="1" t="s">
        <v>1192</v>
      </c>
      <c r="C1377" s="1" t="s">
        <v>1205</v>
      </c>
      <c r="D1377" s="1">
        <v>11.0</v>
      </c>
      <c r="E1377" s="1">
        <v>122658.3681</v>
      </c>
      <c r="F1377" s="1">
        <v>130500.0</v>
      </c>
      <c r="G1377" s="1">
        <v>1538.0</v>
      </c>
      <c r="H1377" s="1">
        <v>79.7519</v>
      </c>
      <c r="I1377" s="1">
        <v>84.8505</v>
      </c>
      <c r="J1377" s="1">
        <v>-5.0986</v>
      </c>
      <c r="K1377" s="1">
        <v>611.0</v>
      </c>
    </row>
    <row r="1378">
      <c r="A1378" s="1" t="s">
        <v>22</v>
      </c>
      <c r="B1378" s="1" t="s">
        <v>1192</v>
      </c>
      <c r="C1378" s="1" t="s">
        <v>1205</v>
      </c>
      <c r="D1378" s="1">
        <v>12.0</v>
      </c>
      <c r="E1378" s="1">
        <v>171516.0</v>
      </c>
      <c r="F1378" s="1">
        <v>160200.0</v>
      </c>
      <c r="G1378" s="1">
        <v>1538.0</v>
      </c>
      <c r="H1378" s="1">
        <v>111.5189</v>
      </c>
      <c r="I1378" s="1">
        <v>104.1612</v>
      </c>
      <c r="J1378" s="1">
        <v>7.3576</v>
      </c>
      <c r="K1378" s="1">
        <v>590.0</v>
      </c>
    </row>
    <row r="1379">
      <c r="A1379" s="1" t="s">
        <v>22</v>
      </c>
      <c r="B1379" s="1" t="s">
        <v>1192</v>
      </c>
      <c r="C1379" s="1" t="s">
        <v>1205</v>
      </c>
      <c r="D1379" s="1">
        <v>13.0</v>
      </c>
      <c r="E1379" s="1">
        <v>125383.0</v>
      </c>
      <c r="F1379" s="1">
        <v>130350.0</v>
      </c>
      <c r="G1379" s="1">
        <v>1538.0</v>
      </c>
      <c r="H1379" s="1">
        <v>81.5234</v>
      </c>
      <c r="I1379" s="1">
        <v>84.7529</v>
      </c>
      <c r="J1379" s="1">
        <v>-3.2295</v>
      </c>
      <c r="K1379" s="1">
        <v>580.0</v>
      </c>
    </row>
    <row r="1380">
      <c r="A1380" s="1" t="s">
        <v>22</v>
      </c>
      <c r="B1380" s="1" t="s">
        <v>1192</v>
      </c>
      <c r="C1380" s="1" t="s">
        <v>1205</v>
      </c>
      <c r="D1380" s="1">
        <v>14.0</v>
      </c>
      <c r="E1380" s="1">
        <v>118961.0</v>
      </c>
      <c r="F1380" s="1">
        <v>140950.0</v>
      </c>
      <c r="G1380" s="1">
        <v>1538.0</v>
      </c>
      <c r="H1380" s="1">
        <v>77.3479</v>
      </c>
      <c r="I1380" s="1">
        <v>91.645</v>
      </c>
      <c r="J1380" s="1">
        <v>-14.2971</v>
      </c>
      <c r="K1380" s="1">
        <v>576.0</v>
      </c>
    </row>
    <row r="1381">
      <c r="A1381" s="1" t="s">
        <v>22</v>
      </c>
      <c r="B1381" s="1" t="s">
        <v>1192</v>
      </c>
      <c r="C1381" s="1" t="s">
        <v>1205</v>
      </c>
      <c r="D1381" s="1">
        <v>15.0</v>
      </c>
      <c r="E1381" s="1">
        <v>209375.1049</v>
      </c>
      <c r="F1381" s="1">
        <v>211600.0</v>
      </c>
      <c r="G1381" s="1">
        <v>1538.0</v>
      </c>
      <c r="H1381" s="1">
        <v>136.1347</v>
      </c>
      <c r="I1381" s="1">
        <v>137.5813</v>
      </c>
      <c r="J1381" s="1">
        <v>-1.4466</v>
      </c>
      <c r="K1381" s="1">
        <v>677.0</v>
      </c>
    </row>
    <row r="1382">
      <c r="A1382" s="1" t="s">
        <v>22</v>
      </c>
      <c r="B1382" s="1" t="s">
        <v>1192</v>
      </c>
      <c r="C1382" s="1" t="s">
        <v>1205</v>
      </c>
      <c r="D1382" s="1">
        <v>16.0</v>
      </c>
      <c r="E1382" s="1">
        <v>149522.9582</v>
      </c>
      <c r="F1382" s="1">
        <v>152300.0</v>
      </c>
      <c r="G1382" s="1">
        <v>1538.0</v>
      </c>
      <c r="H1382" s="1">
        <v>97.2191</v>
      </c>
      <c r="I1382" s="1">
        <v>99.0247</v>
      </c>
      <c r="J1382" s="1">
        <v>-1.8056</v>
      </c>
      <c r="K1382" s="1">
        <v>649.0</v>
      </c>
    </row>
    <row r="1383">
      <c r="A1383" s="1" t="s">
        <v>22</v>
      </c>
      <c r="B1383" s="1" t="s">
        <v>1192</v>
      </c>
      <c r="C1383" s="1" t="s">
        <v>1205</v>
      </c>
      <c r="D1383" s="1">
        <v>17.0</v>
      </c>
      <c r="E1383" s="1">
        <v>133932.3536</v>
      </c>
      <c r="F1383" s="1">
        <v>144100.0</v>
      </c>
      <c r="G1383" s="1">
        <v>1538.0</v>
      </c>
      <c r="H1383" s="1">
        <v>87.0822</v>
      </c>
      <c r="I1383" s="1">
        <v>93.6931</v>
      </c>
      <c r="J1383" s="1">
        <v>-6.611</v>
      </c>
      <c r="K1383" s="1">
        <v>626.0</v>
      </c>
    </row>
    <row r="1384">
      <c r="A1384" s="1" t="s">
        <v>22</v>
      </c>
      <c r="B1384" s="1" t="s">
        <v>1192</v>
      </c>
      <c r="C1384" s="1" t="s">
        <v>1205</v>
      </c>
      <c r="D1384" s="1">
        <v>18.0</v>
      </c>
      <c r="E1384" s="1">
        <v>116057.8269</v>
      </c>
      <c r="F1384" s="1">
        <v>144600.0</v>
      </c>
      <c r="G1384" s="1">
        <v>1538.0</v>
      </c>
      <c r="H1384" s="1">
        <v>75.4602</v>
      </c>
      <c r="I1384" s="1">
        <v>94.0182</v>
      </c>
      <c r="J1384" s="1">
        <v>-18.558</v>
      </c>
      <c r="K1384" s="1">
        <v>603.0</v>
      </c>
    </row>
    <row r="1385">
      <c r="A1385" s="1" t="s">
        <v>22</v>
      </c>
      <c r="B1385" s="1" t="s">
        <v>1192</v>
      </c>
      <c r="C1385" s="1" t="s">
        <v>1205</v>
      </c>
      <c r="D1385" s="1">
        <v>19.0</v>
      </c>
      <c r="E1385" s="1">
        <v>153874.0</v>
      </c>
      <c r="F1385" s="1">
        <v>148800.0</v>
      </c>
      <c r="G1385" s="1">
        <v>1538.0</v>
      </c>
      <c r="H1385" s="1">
        <v>100.0481</v>
      </c>
      <c r="I1385" s="1">
        <v>96.749</v>
      </c>
      <c r="J1385" s="1">
        <v>3.2991</v>
      </c>
      <c r="K1385" s="1">
        <v>582.0</v>
      </c>
    </row>
    <row r="1386">
      <c r="A1386" s="1" t="s">
        <v>22</v>
      </c>
      <c r="B1386" s="1" t="s">
        <v>1192</v>
      </c>
      <c r="C1386" s="1" t="s">
        <v>1205</v>
      </c>
      <c r="D1386" s="1">
        <v>20.0</v>
      </c>
      <c r="E1386" s="1">
        <v>130584.0</v>
      </c>
      <c r="F1386" s="1">
        <v>140900.0</v>
      </c>
      <c r="G1386" s="1">
        <v>1538.0</v>
      </c>
      <c r="H1386" s="1">
        <v>84.9051</v>
      </c>
      <c r="I1386" s="1">
        <v>91.6125</v>
      </c>
      <c r="J1386" s="1">
        <v>-6.7074</v>
      </c>
      <c r="K1386" s="1">
        <v>558.0</v>
      </c>
    </row>
    <row r="1387">
      <c r="A1387" s="1" t="s">
        <v>22</v>
      </c>
      <c r="B1387" s="1" t="s">
        <v>1192</v>
      </c>
      <c r="C1387" s="1" t="s">
        <v>1205</v>
      </c>
      <c r="D1387" s="1">
        <v>21.0</v>
      </c>
      <c r="E1387" s="1">
        <v>127524.0</v>
      </c>
      <c r="F1387" s="1">
        <v>127750.0</v>
      </c>
      <c r="G1387" s="1">
        <v>1538.0</v>
      </c>
      <c r="H1387" s="1">
        <v>82.9155</v>
      </c>
      <c r="I1387" s="1">
        <v>83.0624</v>
      </c>
      <c r="J1387" s="1">
        <v>-0.1469</v>
      </c>
      <c r="K1387" s="1">
        <v>568.0</v>
      </c>
    </row>
    <row r="1388">
      <c r="A1388" s="1" t="s">
        <v>22</v>
      </c>
      <c r="B1388" s="1" t="s">
        <v>1192</v>
      </c>
      <c r="C1388" s="1" t="s">
        <v>52</v>
      </c>
      <c r="D1388" s="1">
        <v>1.0</v>
      </c>
      <c r="E1388" s="1">
        <v>2231.0</v>
      </c>
      <c r="F1388" s="1">
        <v>1861.0</v>
      </c>
      <c r="G1388" s="1">
        <v>1502.0</v>
      </c>
      <c r="H1388" s="1">
        <v>1.4854</v>
      </c>
      <c r="I1388" s="1">
        <v>1.239</v>
      </c>
      <c r="J1388" s="1">
        <v>0.2463</v>
      </c>
      <c r="K1388" s="1">
        <v>595.0</v>
      </c>
    </row>
    <row r="1389">
      <c r="A1389" s="1" t="s">
        <v>22</v>
      </c>
      <c r="B1389" s="1" t="s">
        <v>1192</v>
      </c>
      <c r="C1389" s="1" t="s">
        <v>52</v>
      </c>
      <c r="D1389" s="1">
        <v>2.0</v>
      </c>
      <c r="E1389" s="1">
        <v>1389.0</v>
      </c>
      <c r="F1389" s="1">
        <v>1540.0</v>
      </c>
      <c r="G1389" s="1">
        <v>1502.0</v>
      </c>
      <c r="H1389" s="1">
        <v>0.9248</v>
      </c>
      <c r="I1389" s="1">
        <v>1.0253</v>
      </c>
      <c r="J1389" s="1">
        <v>-0.1005</v>
      </c>
      <c r="K1389" s="1">
        <v>613.0</v>
      </c>
    </row>
    <row r="1390">
      <c r="A1390" s="1" t="s">
        <v>22</v>
      </c>
      <c r="B1390" s="1" t="s">
        <v>1192</v>
      </c>
      <c r="C1390" s="1" t="s">
        <v>52</v>
      </c>
      <c r="D1390" s="1">
        <v>3.0</v>
      </c>
      <c r="E1390" s="1">
        <v>1425.0</v>
      </c>
      <c r="F1390" s="1">
        <v>1330.0</v>
      </c>
      <c r="G1390" s="1">
        <v>1502.0</v>
      </c>
      <c r="H1390" s="1">
        <v>0.9487</v>
      </c>
      <c r="I1390" s="1">
        <v>0.8855</v>
      </c>
      <c r="J1390" s="1">
        <v>0.0632</v>
      </c>
      <c r="K1390" s="1">
        <v>571.0</v>
      </c>
    </row>
    <row r="1391">
      <c r="A1391" s="1" t="s">
        <v>22</v>
      </c>
      <c r="B1391" s="1" t="s">
        <v>1192</v>
      </c>
      <c r="C1391" s="1" t="s">
        <v>52</v>
      </c>
      <c r="D1391" s="1">
        <v>4.0</v>
      </c>
      <c r="E1391" s="1">
        <v>1144.0</v>
      </c>
      <c r="F1391" s="1">
        <v>1263.0</v>
      </c>
      <c r="G1391" s="1">
        <v>1502.0</v>
      </c>
      <c r="H1391" s="1">
        <v>0.7617</v>
      </c>
      <c r="I1391" s="1">
        <v>0.8409</v>
      </c>
      <c r="J1391" s="1">
        <v>-0.0792</v>
      </c>
      <c r="K1391" s="1">
        <v>567.0</v>
      </c>
    </row>
    <row r="1392">
      <c r="A1392" s="1" t="s">
        <v>22</v>
      </c>
      <c r="B1392" s="1" t="s">
        <v>1192</v>
      </c>
      <c r="C1392" s="1" t="s">
        <v>52</v>
      </c>
      <c r="D1392" s="1">
        <v>5.0</v>
      </c>
      <c r="E1392" s="1">
        <v>1412.0</v>
      </c>
      <c r="F1392" s="1">
        <v>1443.0</v>
      </c>
      <c r="G1392" s="1">
        <v>1502.0</v>
      </c>
      <c r="H1392" s="1">
        <v>0.9401</v>
      </c>
      <c r="I1392" s="1">
        <v>0.9607</v>
      </c>
      <c r="J1392" s="1">
        <v>-0.0206</v>
      </c>
      <c r="K1392" s="1">
        <v>570.0</v>
      </c>
    </row>
    <row r="1393">
      <c r="A1393" s="1" t="s">
        <v>22</v>
      </c>
      <c r="B1393" s="1" t="s">
        <v>1192</v>
      </c>
      <c r="C1393" s="1" t="s">
        <v>52</v>
      </c>
      <c r="D1393" s="1">
        <v>6.0</v>
      </c>
      <c r="E1393" s="1">
        <v>893.0</v>
      </c>
      <c r="F1393" s="1">
        <v>1154.0</v>
      </c>
      <c r="G1393" s="1">
        <v>1502.0</v>
      </c>
      <c r="H1393" s="1">
        <v>0.5945</v>
      </c>
      <c r="I1393" s="1">
        <v>0.7683</v>
      </c>
      <c r="J1393" s="1">
        <v>-0.1738</v>
      </c>
      <c r="K1393" s="1">
        <v>545.0</v>
      </c>
    </row>
    <row r="1394">
      <c r="A1394" s="1" t="s">
        <v>22</v>
      </c>
      <c r="B1394" s="1" t="s">
        <v>1192</v>
      </c>
      <c r="C1394" s="1" t="s">
        <v>52</v>
      </c>
      <c r="D1394" s="1">
        <v>7.0</v>
      </c>
      <c r="E1394" s="1">
        <v>873.0</v>
      </c>
      <c r="F1394" s="1">
        <v>1131.0</v>
      </c>
      <c r="G1394" s="1">
        <v>1502.0</v>
      </c>
      <c r="H1394" s="1">
        <v>0.5812</v>
      </c>
      <c r="I1394" s="1">
        <v>0.753</v>
      </c>
      <c r="J1394" s="1">
        <v>-0.1718</v>
      </c>
      <c r="K1394" s="1">
        <v>578.0</v>
      </c>
    </row>
    <row r="1395">
      <c r="A1395" s="1" t="s">
        <v>22</v>
      </c>
      <c r="B1395" s="1" t="s">
        <v>1192</v>
      </c>
      <c r="C1395" s="1" t="s">
        <v>52</v>
      </c>
      <c r="D1395" s="1">
        <v>8.0</v>
      </c>
      <c r="E1395" s="1">
        <v>2384.0</v>
      </c>
      <c r="F1395" s="1">
        <v>1989.0</v>
      </c>
      <c r="G1395" s="1">
        <v>1502.0</v>
      </c>
      <c r="H1395" s="1">
        <v>1.5872</v>
      </c>
      <c r="I1395" s="1">
        <v>1.3242</v>
      </c>
      <c r="J1395" s="1">
        <v>0.263</v>
      </c>
      <c r="K1395" s="1">
        <v>634.0</v>
      </c>
    </row>
    <row r="1396">
      <c r="A1396" s="1" t="s">
        <v>22</v>
      </c>
      <c r="B1396" s="1" t="s">
        <v>1192</v>
      </c>
      <c r="C1396" s="1" t="s">
        <v>52</v>
      </c>
      <c r="D1396" s="1">
        <v>9.0</v>
      </c>
      <c r="E1396" s="1">
        <v>1386.0</v>
      </c>
      <c r="F1396" s="1">
        <v>1367.0</v>
      </c>
      <c r="G1396" s="1">
        <v>1502.0</v>
      </c>
      <c r="H1396" s="1">
        <v>0.9228</v>
      </c>
      <c r="I1396" s="1">
        <v>0.9101</v>
      </c>
      <c r="J1396" s="1">
        <v>0.0126</v>
      </c>
      <c r="K1396" s="1">
        <v>646.0</v>
      </c>
    </row>
    <row r="1397">
      <c r="A1397" s="1" t="s">
        <v>22</v>
      </c>
      <c r="B1397" s="1" t="s">
        <v>1192</v>
      </c>
      <c r="C1397" s="1" t="s">
        <v>52</v>
      </c>
      <c r="D1397" s="1">
        <v>10.0</v>
      </c>
      <c r="E1397" s="1">
        <v>1357.0</v>
      </c>
      <c r="F1397" s="1">
        <v>1256.0</v>
      </c>
      <c r="G1397" s="1">
        <v>1502.0</v>
      </c>
      <c r="H1397" s="1">
        <v>0.9035</v>
      </c>
      <c r="I1397" s="1">
        <v>0.8362</v>
      </c>
      <c r="J1397" s="1">
        <v>0.0672</v>
      </c>
      <c r="K1397" s="1">
        <v>601.0</v>
      </c>
    </row>
    <row r="1398">
      <c r="A1398" s="1" t="s">
        <v>22</v>
      </c>
      <c r="B1398" s="1" t="s">
        <v>1192</v>
      </c>
      <c r="C1398" s="1" t="s">
        <v>52</v>
      </c>
      <c r="D1398" s="1">
        <v>11.0</v>
      </c>
      <c r="E1398" s="1">
        <v>1155.0</v>
      </c>
      <c r="F1398" s="1">
        <v>1280.0</v>
      </c>
      <c r="G1398" s="1">
        <v>1502.0</v>
      </c>
      <c r="H1398" s="1">
        <v>0.769</v>
      </c>
      <c r="I1398" s="1">
        <v>0.8522</v>
      </c>
      <c r="J1398" s="1">
        <v>-0.0832</v>
      </c>
      <c r="K1398" s="1">
        <v>611.0</v>
      </c>
    </row>
    <row r="1399">
      <c r="A1399" s="1" t="s">
        <v>22</v>
      </c>
      <c r="B1399" s="1" t="s">
        <v>1192</v>
      </c>
      <c r="C1399" s="1" t="s">
        <v>52</v>
      </c>
      <c r="D1399" s="1">
        <v>12.0</v>
      </c>
      <c r="E1399" s="1">
        <v>1296.0</v>
      </c>
      <c r="F1399" s="1">
        <v>1358.0</v>
      </c>
      <c r="G1399" s="1">
        <v>1502.0</v>
      </c>
      <c r="H1399" s="1">
        <v>0.8628</v>
      </c>
      <c r="I1399" s="1">
        <v>0.9041</v>
      </c>
      <c r="J1399" s="1">
        <v>-0.0413</v>
      </c>
      <c r="K1399" s="1">
        <v>590.0</v>
      </c>
    </row>
    <row r="1400">
      <c r="A1400" s="1" t="s">
        <v>22</v>
      </c>
      <c r="B1400" s="1" t="s">
        <v>1192</v>
      </c>
      <c r="C1400" s="1" t="s">
        <v>52</v>
      </c>
      <c r="D1400" s="1">
        <v>13.0</v>
      </c>
      <c r="E1400" s="1">
        <v>797.0</v>
      </c>
      <c r="F1400" s="1">
        <v>1060.0</v>
      </c>
      <c r="G1400" s="1">
        <v>1502.0</v>
      </c>
      <c r="H1400" s="1">
        <v>0.5306</v>
      </c>
      <c r="I1400" s="1">
        <v>0.7057</v>
      </c>
      <c r="J1400" s="1">
        <v>-0.1751</v>
      </c>
      <c r="K1400" s="1">
        <v>580.0</v>
      </c>
    </row>
    <row r="1401">
      <c r="A1401" s="1" t="s">
        <v>22</v>
      </c>
      <c r="B1401" s="1" t="s">
        <v>1192</v>
      </c>
      <c r="C1401" s="1" t="s">
        <v>52</v>
      </c>
      <c r="D1401" s="1">
        <v>14.0</v>
      </c>
      <c r="E1401" s="1">
        <v>738.0</v>
      </c>
      <c r="F1401" s="1">
        <v>958.0</v>
      </c>
      <c r="G1401" s="1">
        <v>1502.0</v>
      </c>
      <c r="H1401" s="1">
        <v>0.4913</v>
      </c>
      <c r="I1401" s="1">
        <v>0.6378</v>
      </c>
      <c r="J1401" s="1">
        <v>-0.1465</v>
      </c>
      <c r="K1401" s="1">
        <v>576.0</v>
      </c>
    </row>
    <row r="1402">
      <c r="A1402" s="1" t="s">
        <v>22</v>
      </c>
      <c r="B1402" s="1" t="s">
        <v>1192</v>
      </c>
      <c r="C1402" s="1" t="s">
        <v>52</v>
      </c>
      <c r="D1402" s="1">
        <v>15.0</v>
      </c>
      <c r="E1402" s="1">
        <v>2251.0</v>
      </c>
      <c r="F1402" s="1">
        <v>1780.0</v>
      </c>
      <c r="G1402" s="1">
        <v>1502.0</v>
      </c>
      <c r="H1402" s="1">
        <v>1.4987</v>
      </c>
      <c r="I1402" s="1">
        <v>1.1851</v>
      </c>
      <c r="J1402" s="1">
        <v>0.3136</v>
      </c>
      <c r="K1402" s="1">
        <v>677.0</v>
      </c>
    </row>
    <row r="1403">
      <c r="A1403" s="1" t="s">
        <v>22</v>
      </c>
      <c r="B1403" s="1" t="s">
        <v>1192</v>
      </c>
      <c r="C1403" s="1" t="s">
        <v>52</v>
      </c>
      <c r="D1403" s="1">
        <v>16.0</v>
      </c>
      <c r="E1403" s="1">
        <v>1383.0</v>
      </c>
      <c r="F1403" s="1">
        <v>1491.0</v>
      </c>
      <c r="G1403" s="1">
        <v>1502.0</v>
      </c>
      <c r="H1403" s="1">
        <v>0.9208</v>
      </c>
      <c r="I1403" s="1">
        <v>0.9927</v>
      </c>
      <c r="J1403" s="1">
        <v>-0.0719</v>
      </c>
      <c r="K1403" s="1">
        <v>649.0</v>
      </c>
    </row>
    <row r="1404">
      <c r="A1404" s="1" t="s">
        <v>22</v>
      </c>
      <c r="B1404" s="1" t="s">
        <v>1192</v>
      </c>
      <c r="C1404" s="1" t="s">
        <v>52</v>
      </c>
      <c r="D1404" s="1">
        <v>17.0</v>
      </c>
      <c r="E1404" s="1">
        <v>1351.0</v>
      </c>
      <c r="F1404" s="1">
        <v>1395.0</v>
      </c>
      <c r="G1404" s="1">
        <v>1502.0</v>
      </c>
      <c r="H1404" s="1">
        <v>0.8995</v>
      </c>
      <c r="I1404" s="1">
        <v>0.9288</v>
      </c>
      <c r="J1404" s="1">
        <v>-0.0293</v>
      </c>
      <c r="K1404" s="1">
        <v>626.0</v>
      </c>
    </row>
    <row r="1405">
      <c r="A1405" s="1" t="s">
        <v>22</v>
      </c>
      <c r="B1405" s="1" t="s">
        <v>1192</v>
      </c>
      <c r="C1405" s="1" t="s">
        <v>52</v>
      </c>
      <c r="D1405" s="1">
        <v>18.0</v>
      </c>
      <c r="E1405" s="1">
        <v>1049.0</v>
      </c>
      <c r="F1405" s="1">
        <v>1198.0</v>
      </c>
      <c r="G1405" s="1">
        <v>1502.0</v>
      </c>
      <c r="H1405" s="1">
        <v>0.6984</v>
      </c>
      <c r="I1405" s="1">
        <v>0.7976</v>
      </c>
      <c r="J1405" s="1">
        <v>-0.0992</v>
      </c>
      <c r="K1405" s="1">
        <v>603.0</v>
      </c>
    </row>
    <row r="1406">
      <c r="A1406" s="1" t="s">
        <v>22</v>
      </c>
      <c r="B1406" s="1" t="s">
        <v>1192</v>
      </c>
      <c r="C1406" s="1" t="s">
        <v>52</v>
      </c>
      <c r="D1406" s="1">
        <v>19.0</v>
      </c>
      <c r="E1406" s="1">
        <v>1205.0</v>
      </c>
      <c r="F1406" s="1">
        <v>1305.0</v>
      </c>
      <c r="G1406" s="1">
        <v>1502.0</v>
      </c>
      <c r="H1406" s="1">
        <v>0.8023</v>
      </c>
      <c r="I1406" s="1">
        <v>0.8688</v>
      </c>
      <c r="J1406" s="1">
        <v>-0.0666</v>
      </c>
      <c r="K1406" s="1">
        <v>582.0</v>
      </c>
    </row>
    <row r="1407">
      <c r="A1407" s="1" t="s">
        <v>22</v>
      </c>
      <c r="B1407" s="1" t="s">
        <v>1192</v>
      </c>
      <c r="C1407" s="1" t="s">
        <v>52</v>
      </c>
      <c r="D1407" s="1">
        <v>20.0</v>
      </c>
      <c r="E1407" s="1">
        <v>685.0</v>
      </c>
      <c r="F1407" s="1">
        <v>1037.0</v>
      </c>
      <c r="G1407" s="1">
        <v>1502.0</v>
      </c>
      <c r="H1407" s="1">
        <v>0.4561</v>
      </c>
      <c r="I1407" s="1">
        <v>0.6904</v>
      </c>
      <c r="J1407" s="1">
        <v>-0.2344</v>
      </c>
      <c r="K1407" s="1">
        <v>558.0</v>
      </c>
    </row>
    <row r="1408">
      <c r="A1408" s="1" t="s">
        <v>22</v>
      </c>
      <c r="B1408" s="1" t="s">
        <v>1192</v>
      </c>
      <c r="C1408" s="1" t="s">
        <v>52</v>
      </c>
      <c r="D1408" s="1">
        <v>21.0</v>
      </c>
      <c r="E1408" s="1">
        <v>634.0</v>
      </c>
      <c r="F1408" s="1">
        <v>923.0</v>
      </c>
      <c r="G1408" s="1">
        <v>1502.0</v>
      </c>
      <c r="H1408" s="1">
        <v>0.4221</v>
      </c>
      <c r="I1408" s="1">
        <v>0.6145</v>
      </c>
      <c r="J1408" s="1">
        <v>-0.1924</v>
      </c>
      <c r="K1408" s="1">
        <v>568.0</v>
      </c>
    </row>
    <row r="1409">
      <c r="A1409" s="1" t="s">
        <v>22</v>
      </c>
      <c r="B1409" s="1" t="s">
        <v>1192</v>
      </c>
      <c r="C1409" s="1" t="s">
        <v>53</v>
      </c>
      <c r="D1409" s="1">
        <v>1.0</v>
      </c>
      <c r="E1409" s="1">
        <v>1575.0</v>
      </c>
      <c r="F1409" s="1">
        <v>1407.0</v>
      </c>
      <c r="G1409" s="1">
        <v>1462.0</v>
      </c>
      <c r="H1409" s="1">
        <v>1.0773</v>
      </c>
      <c r="I1409" s="1">
        <v>0.9624</v>
      </c>
      <c r="J1409" s="1">
        <v>0.1149</v>
      </c>
      <c r="K1409" s="1">
        <v>595.0</v>
      </c>
    </row>
    <row r="1410">
      <c r="A1410" s="1" t="s">
        <v>22</v>
      </c>
      <c r="B1410" s="1" t="s">
        <v>1192</v>
      </c>
      <c r="C1410" s="1" t="s">
        <v>53</v>
      </c>
      <c r="D1410" s="1">
        <v>2.0</v>
      </c>
      <c r="E1410" s="1">
        <v>1016.0</v>
      </c>
      <c r="F1410" s="1">
        <v>1216.0</v>
      </c>
      <c r="G1410" s="1">
        <v>1462.0</v>
      </c>
      <c r="H1410" s="1">
        <v>0.6949</v>
      </c>
      <c r="I1410" s="1">
        <v>0.8317</v>
      </c>
      <c r="J1410" s="1">
        <v>-0.1368</v>
      </c>
      <c r="K1410" s="1">
        <v>613.0</v>
      </c>
    </row>
    <row r="1411">
      <c r="A1411" s="1" t="s">
        <v>22</v>
      </c>
      <c r="B1411" s="1" t="s">
        <v>1192</v>
      </c>
      <c r="C1411" s="1" t="s">
        <v>53</v>
      </c>
      <c r="D1411" s="1">
        <v>3.0</v>
      </c>
      <c r="E1411" s="1">
        <v>1073.0</v>
      </c>
      <c r="F1411" s="1">
        <v>1090.0</v>
      </c>
      <c r="G1411" s="1">
        <v>1462.0</v>
      </c>
      <c r="H1411" s="1">
        <v>0.7339</v>
      </c>
      <c r="I1411" s="1">
        <v>0.7456</v>
      </c>
      <c r="J1411" s="1">
        <v>-0.0116</v>
      </c>
      <c r="K1411" s="1">
        <v>571.0</v>
      </c>
    </row>
    <row r="1412">
      <c r="A1412" s="1" t="s">
        <v>22</v>
      </c>
      <c r="B1412" s="1" t="s">
        <v>1192</v>
      </c>
      <c r="C1412" s="1" t="s">
        <v>53</v>
      </c>
      <c r="D1412" s="1">
        <v>4.0</v>
      </c>
      <c r="E1412" s="1">
        <v>857.0</v>
      </c>
      <c r="F1412" s="1">
        <v>962.0</v>
      </c>
      <c r="G1412" s="1">
        <v>1462.0</v>
      </c>
      <c r="H1412" s="1">
        <v>0.5862</v>
      </c>
      <c r="I1412" s="1">
        <v>0.658</v>
      </c>
      <c r="J1412" s="1">
        <v>-0.0718</v>
      </c>
      <c r="K1412" s="1">
        <v>567.0</v>
      </c>
    </row>
    <row r="1413">
      <c r="A1413" s="1" t="s">
        <v>22</v>
      </c>
      <c r="B1413" s="1" t="s">
        <v>1192</v>
      </c>
      <c r="C1413" s="1" t="s">
        <v>53</v>
      </c>
      <c r="D1413" s="1">
        <v>5.0</v>
      </c>
      <c r="E1413" s="1">
        <v>1145.0</v>
      </c>
      <c r="F1413" s="1">
        <v>1191.0</v>
      </c>
      <c r="G1413" s="1">
        <v>1462.0</v>
      </c>
      <c r="H1413" s="1">
        <v>0.7832</v>
      </c>
      <c r="I1413" s="1">
        <v>0.8146</v>
      </c>
      <c r="J1413" s="1">
        <v>-0.0315</v>
      </c>
      <c r="K1413" s="1">
        <v>570.0</v>
      </c>
    </row>
    <row r="1414">
      <c r="A1414" s="1" t="s">
        <v>22</v>
      </c>
      <c r="B1414" s="1" t="s">
        <v>1192</v>
      </c>
      <c r="C1414" s="1" t="s">
        <v>53</v>
      </c>
      <c r="D1414" s="1">
        <v>6.0</v>
      </c>
      <c r="E1414" s="1">
        <v>710.0</v>
      </c>
      <c r="F1414" s="1">
        <v>970.0</v>
      </c>
      <c r="G1414" s="1">
        <v>1462.0</v>
      </c>
      <c r="H1414" s="1">
        <v>0.4856</v>
      </c>
      <c r="I1414" s="1">
        <v>0.6635</v>
      </c>
      <c r="J1414" s="1">
        <v>-0.1778</v>
      </c>
      <c r="K1414" s="1">
        <v>545.0</v>
      </c>
    </row>
    <row r="1415">
      <c r="A1415" s="1" t="s">
        <v>22</v>
      </c>
      <c r="B1415" s="1" t="s">
        <v>1192</v>
      </c>
      <c r="C1415" s="1" t="s">
        <v>53</v>
      </c>
      <c r="D1415" s="1">
        <v>7.0</v>
      </c>
      <c r="E1415" s="1">
        <v>764.0</v>
      </c>
      <c r="F1415" s="1">
        <v>971.0</v>
      </c>
      <c r="G1415" s="1">
        <v>1462.0</v>
      </c>
      <c r="H1415" s="1">
        <v>0.5226</v>
      </c>
      <c r="I1415" s="1">
        <v>0.6642</v>
      </c>
      <c r="J1415" s="1">
        <v>-0.1416</v>
      </c>
      <c r="K1415" s="1">
        <v>578.0</v>
      </c>
    </row>
    <row r="1416">
      <c r="A1416" s="1" t="s">
        <v>22</v>
      </c>
      <c r="B1416" s="1" t="s">
        <v>1192</v>
      </c>
      <c r="C1416" s="1" t="s">
        <v>53</v>
      </c>
      <c r="D1416" s="1">
        <v>8.0</v>
      </c>
      <c r="E1416" s="1">
        <v>1507.0</v>
      </c>
      <c r="F1416" s="1">
        <v>1418.0</v>
      </c>
      <c r="G1416" s="1">
        <v>1462.0</v>
      </c>
      <c r="H1416" s="1">
        <v>1.0308</v>
      </c>
      <c r="I1416" s="1">
        <v>0.9699</v>
      </c>
      <c r="J1416" s="1">
        <v>0.0609</v>
      </c>
      <c r="K1416" s="1">
        <v>634.0</v>
      </c>
    </row>
    <row r="1417">
      <c r="A1417" s="1" t="s">
        <v>22</v>
      </c>
      <c r="B1417" s="1" t="s">
        <v>1192</v>
      </c>
      <c r="C1417" s="1" t="s">
        <v>53</v>
      </c>
      <c r="D1417" s="1">
        <v>9.0</v>
      </c>
      <c r="E1417" s="1">
        <v>995.0</v>
      </c>
      <c r="F1417" s="1">
        <v>1127.0</v>
      </c>
      <c r="G1417" s="1">
        <v>1462.0</v>
      </c>
      <c r="H1417" s="1">
        <v>0.6806</v>
      </c>
      <c r="I1417" s="1">
        <v>0.7709</v>
      </c>
      <c r="J1417" s="1">
        <v>-0.0903</v>
      </c>
      <c r="K1417" s="1">
        <v>646.0</v>
      </c>
    </row>
    <row r="1418">
      <c r="A1418" s="1" t="s">
        <v>22</v>
      </c>
      <c r="B1418" s="1" t="s">
        <v>1192</v>
      </c>
      <c r="C1418" s="1" t="s">
        <v>53</v>
      </c>
      <c r="D1418" s="1">
        <v>10.0</v>
      </c>
      <c r="E1418" s="1">
        <v>1028.0</v>
      </c>
      <c r="F1418" s="1">
        <v>1020.0</v>
      </c>
      <c r="G1418" s="1">
        <v>1462.0</v>
      </c>
      <c r="H1418" s="1">
        <v>0.7031</v>
      </c>
      <c r="I1418" s="1">
        <v>0.6977</v>
      </c>
      <c r="J1418" s="1">
        <v>0.0055</v>
      </c>
      <c r="K1418" s="1">
        <v>601.0</v>
      </c>
    </row>
    <row r="1419">
      <c r="A1419" s="1" t="s">
        <v>22</v>
      </c>
      <c r="B1419" s="1" t="s">
        <v>1192</v>
      </c>
      <c r="C1419" s="1" t="s">
        <v>53</v>
      </c>
      <c r="D1419" s="1">
        <v>11.0</v>
      </c>
      <c r="E1419" s="1">
        <v>913.0</v>
      </c>
      <c r="F1419" s="1">
        <v>984.0</v>
      </c>
      <c r="G1419" s="1">
        <v>1462.0</v>
      </c>
      <c r="H1419" s="1">
        <v>0.6245</v>
      </c>
      <c r="I1419" s="1">
        <v>0.6731</v>
      </c>
      <c r="J1419" s="1">
        <v>-0.0486</v>
      </c>
      <c r="K1419" s="1">
        <v>611.0</v>
      </c>
    </row>
    <row r="1420">
      <c r="A1420" s="1" t="s">
        <v>22</v>
      </c>
      <c r="B1420" s="1" t="s">
        <v>1192</v>
      </c>
      <c r="C1420" s="1" t="s">
        <v>53</v>
      </c>
      <c r="D1420" s="1">
        <v>12.0</v>
      </c>
      <c r="E1420" s="1">
        <v>1048.0</v>
      </c>
      <c r="F1420" s="1">
        <v>1158.0</v>
      </c>
      <c r="G1420" s="1">
        <v>1462.0</v>
      </c>
      <c r="H1420" s="1">
        <v>0.7168</v>
      </c>
      <c r="I1420" s="1">
        <v>0.7921</v>
      </c>
      <c r="J1420" s="1">
        <v>-0.0752</v>
      </c>
      <c r="K1420" s="1">
        <v>590.0</v>
      </c>
    </row>
    <row r="1421">
      <c r="A1421" s="1" t="s">
        <v>22</v>
      </c>
      <c r="B1421" s="1" t="s">
        <v>1192</v>
      </c>
      <c r="C1421" s="1" t="s">
        <v>53</v>
      </c>
      <c r="D1421" s="1">
        <v>13.0</v>
      </c>
      <c r="E1421" s="1">
        <v>679.0</v>
      </c>
      <c r="F1421" s="1">
        <v>959.0</v>
      </c>
      <c r="G1421" s="1">
        <v>1462.0</v>
      </c>
      <c r="H1421" s="1">
        <v>0.4644</v>
      </c>
      <c r="I1421" s="1">
        <v>0.656</v>
      </c>
      <c r="J1421" s="1">
        <v>-0.1915</v>
      </c>
      <c r="K1421" s="1">
        <v>580.0</v>
      </c>
    </row>
    <row r="1422">
      <c r="A1422" s="1" t="s">
        <v>22</v>
      </c>
      <c r="B1422" s="1" t="s">
        <v>1192</v>
      </c>
      <c r="C1422" s="1" t="s">
        <v>53</v>
      </c>
      <c r="D1422" s="1">
        <v>14.0</v>
      </c>
      <c r="E1422" s="1">
        <v>590.0</v>
      </c>
      <c r="F1422" s="1">
        <v>800.0</v>
      </c>
      <c r="G1422" s="1">
        <v>1462.0</v>
      </c>
      <c r="H1422" s="1">
        <v>0.4036</v>
      </c>
      <c r="I1422" s="1">
        <v>0.5472</v>
      </c>
      <c r="J1422" s="1">
        <v>-0.1436</v>
      </c>
      <c r="K1422" s="1">
        <v>576.0</v>
      </c>
    </row>
    <row r="1423">
      <c r="A1423" s="1" t="s">
        <v>22</v>
      </c>
      <c r="B1423" s="1" t="s">
        <v>1192</v>
      </c>
      <c r="C1423" s="1" t="s">
        <v>53</v>
      </c>
      <c r="D1423" s="1">
        <v>15.0</v>
      </c>
      <c r="E1423" s="1">
        <v>1370.0</v>
      </c>
      <c r="F1423" s="1">
        <v>1314.0</v>
      </c>
      <c r="G1423" s="1">
        <v>1462.0</v>
      </c>
      <c r="H1423" s="1">
        <v>0.9371</v>
      </c>
      <c r="I1423" s="1">
        <v>0.8988</v>
      </c>
      <c r="J1423" s="1">
        <v>0.0383</v>
      </c>
      <c r="K1423" s="1">
        <v>677.0</v>
      </c>
    </row>
    <row r="1424">
      <c r="A1424" s="1" t="s">
        <v>22</v>
      </c>
      <c r="B1424" s="1" t="s">
        <v>1192</v>
      </c>
      <c r="C1424" s="1" t="s">
        <v>53</v>
      </c>
      <c r="D1424" s="1">
        <v>16.0</v>
      </c>
      <c r="E1424" s="1">
        <v>971.0</v>
      </c>
      <c r="F1424" s="1">
        <v>1056.0</v>
      </c>
      <c r="G1424" s="1">
        <v>1462.0</v>
      </c>
      <c r="H1424" s="1">
        <v>0.6642</v>
      </c>
      <c r="I1424" s="1">
        <v>0.7223</v>
      </c>
      <c r="J1424" s="1">
        <v>-0.0581</v>
      </c>
      <c r="K1424" s="1">
        <v>649.0</v>
      </c>
    </row>
    <row r="1425">
      <c r="A1425" s="1" t="s">
        <v>22</v>
      </c>
      <c r="B1425" s="1" t="s">
        <v>1192</v>
      </c>
      <c r="C1425" s="1" t="s">
        <v>53</v>
      </c>
      <c r="D1425" s="1">
        <v>17.0</v>
      </c>
      <c r="E1425" s="1">
        <v>989.0</v>
      </c>
      <c r="F1425" s="1">
        <v>1046.0</v>
      </c>
      <c r="G1425" s="1">
        <v>1462.0</v>
      </c>
      <c r="H1425" s="1">
        <v>0.6765</v>
      </c>
      <c r="I1425" s="1">
        <v>0.7155</v>
      </c>
      <c r="J1425" s="1">
        <v>-0.039</v>
      </c>
      <c r="K1425" s="1">
        <v>626.0</v>
      </c>
    </row>
    <row r="1426">
      <c r="A1426" s="1" t="s">
        <v>22</v>
      </c>
      <c r="B1426" s="1" t="s">
        <v>1192</v>
      </c>
      <c r="C1426" s="1" t="s">
        <v>53</v>
      </c>
      <c r="D1426" s="1">
        <v>18.0</v>
      </c>
      <c r="E1426" s="1">
        <v>805.0</v>
      </c>
      <c r="F1426" s="1">
        <v>974.0</v>
      </c>
      <c r="G1426" s="1">
        <v>1462.0</v>
      </c>
      <c r="H1426" s="1">
        <v>0.5506</v>
      </c>
      <c r="I1426" s="1">
        <v>0.6662</v>
      </c>
      <c r="J1426" s="1">
        <v>-0.1156</v>
      </c>
      <c r="K1426" s="1">
        <v>603.0</v>
      </c>
    </row>
    <row r="1427">
      <c r="A1427" s="1" t="s">
        <v>22</v>
      </c>
      <c r="B1427" s="1" t="s">
        <v>1192</v>
      </c>
      <c r="C1427" s="1" t="s">
        <v>53</v>
      </c>
      <c r="D1427" s="1">
        <v>19.0</v>
      </c>
      <c r="E1427" s="1">
        <v>932.0</v>
      </c>
      <c r="F1427" s="1">
        <v>975.0</v>
      </c>
      <c r="G1427" s="1">
        <v>1462.0</v>
      </c>
      <c r="H1427" s="1">
        <v>0.6375</v>
      </c>
      <c r="I1427" s="1">
        <v>0.6669</v>
      </c>
      <c r="J1427" s="1">
        <v>-0.0294</v>
      </c>
      <c r="K1427" s="1">
        <v>582.0</v>
      </c>
    </row>
    <row r="1428">
      <c r="A1428" s="1" t="s">
        <v>22</v>
      </c>
      <c r="B1428" s="1" t="s">
        <v>1192</v>
      </c>
      <c r="C1428" s="1" t="s">
        <v>53</v>
      </c>
      <c r="D1428" s="1">
        <v>20.0</v>
      </c>
      <c r="E1428" s="1">
        <v>658.0</v>
      </c>
      <c r="F1428" s="1">
        <v>897.0</v>
      </c>
      <c r="G1428" s="1">
        <v>1462.0</v>
      </c>
      <c r="H1428" s="1">
        <v>0.4501</v>
      </c>
      <c r="I1428" s="1">
        <v>0.6135</v>
      </c>
      <c r="J1428" s="1">
        <v>-0.1635</v>
      </c>
      <c r="K1428" s="1">
        <v>558.0</v>
      </c>
    </row>
    <row r="1429">
      <c r="A1429" s="1" t="s">
        <v>22</v>
      </c>
      <c r="B1429" s="1" t="s">
        <v>1192</v>
      </c>
      <c r="C1429" s="1" t="s">
        <v>53</v>
      </c>
      <c r="D1429" s="1">
        <v>21.0</v>
      </c>
      <c r="E1429" s="1">
        <v>530.0</v>
      </c>
      <c r="F1429" s="1">
        <v>749.0</v>
      </c>
      <c r="G1429" s="1">
        <v>1462.0</v>
      </c>
      <c r="H1429" s="1">
        <v>0.3625</v>
      </c>
      <c r="I1429" s="1">
        <v>0.5123</v>
      </c>
      <c r="J1429" s="1">
        <v>-0.1498</v>
      </c>
      <c r="K1429" s="1">
        <v>568.0</v>
      </c>
    </row>
    <row r="1430">
      <c r="A1430" s="1" t="s">
        <v>22</v>
      </c>
      <c r="B1430" s="1" t="s">
        <v>1192</v>
      </c>
      <c r="C1430" s="1" t="s">
        <v>54</v>
      </c>
      <c r="D1430" s="1">
        <v>1.0</v>
      </c>
      <c r="E1430" s="1">
        <v>998.0</v>
      </c>
      <c r="F1430" s="1">
        <v>945.0</v>
      </c>
      <c r="G1430" s="1">
        <v>1297.0</v>
      </c>
      <c r="H1430" s="1">
        <v>0.7695</v>
      </c>
      <c r="I1430" s="1">
        <v>0.7286</v>
      </c>
      <c r="J1430" s="1">
        <v>0.0409</v>
      </c>
      <c r="K1430" s="1">
        <v>595.0</v>
      </c>
    </row>
    <row r="1431">
      <c r="A1431" s="1" t="s">
        <v>22</v>
      </c>
      <c r="B1431" s="1" t="s">
        <v>1192</v>
      </c>
      <c r="C1431" s="1" t="s">
        <v>54</v>
      </c>
      <c r="D1431" s="1">
        <v>2.0</v>
      </c>
      <c r="E1431" s="1">
        <v>610.0</v>
      </c>
      <c r="F1431" s="1">
        <v>718.0</v>
      </c>
      <c r="G1431" s="1">
        <v>1297.0</v>
      </c>
      <c r="H1431" s="1">
        <v>0.4703</v>
      </c>
      <c r="I1431" s="1">
        <v>0.5536</v>
      </c>
      <c r="J1431" s="1">
        <v>-0.0833</v>
      </c>
      <c r="K1431" s="1">
        <v>613.0</v>
      </c>
    </row>
    <row r="1432">
      <c r="A1432" s="1" t="s">
        <v>22</v>
      </c>
      <c r="B1432" s="1" t="s">
        <v>1192</v>
      </c>
      <c r="C1432" s="1" t="s">
        <v>54</v>
      </c>
      <c r="D1432" s="1">
        <v>3.0</v>
      </c>
      <c r="E1432" s="1">
        <v>525.0</v>
      </c>
      <c r="F1432" s="1">
        <v>637.0</v>
      </c>
      <c r="G1432" s="1">
        <v>1297.0</v>
      </c>
      <c r="H1432" s="1">
        <v>0.4048</v>
      </c>
      <c r="I1432" s="1">
        <v>0.4911</v>
      </c>
      <c r="J1432" s="1">
        <v>-0.0864</v>
      </c>
      <c r="K1432" s="1">
        <v>571.0</v>
      </c>
    </row>
    <row r="1433">
      <c r="A1433" s="1" t="s">
        <v>22</v>
      </c>
      <c r="B1433" s="1" t="s">
        <v>1192</v>
      </c>
      <c r="C1433" s="1" t="s">
        <v>54</v>
      </c>
      <c r="D1433" s="1">
        <v>4.0</v>
      </c>
      <c r="E1433" s="1">
        <v>343.0</v>
      </c>
      <c r="F1433" s="1">
        <v>487.0</v>
      </c>
      <c r="G1433" s="1">
        <v>1297.0</v>
      </c>
      <c r="H1433" s="1">
        <v>0.2645</v>
      </c>
      <c r="I1433" s="1">
        <v>0.3755</v>
      </c>
      <c r="J1433" s="1">
        <v>-0.111</v>
      </c>
      <c r="K1433" s="1">
        <v>567.0</v>
      </c>
    </row>
    <row r="1434">
      <c r="A1434" s="1" t="s">
        <v>22</v>
      </c>
      <c r="B1434" s="1" t="s">
        <v>1192</v>
      </c>
      <c r="C1434" s="1" t="s">
        <v>54</v>
      </c>
      <c r="D1434" s="1">
        <v>5.0</v>
      </c>
      <c r="E1434" s="1">
        <v>448.0</v>
      </c>
      <c r="F1434" s="1">
        <v>603.0</v>
      </c>
      <c r="G1434" s="1">
        <v>1297.0</v>
      </c>
      <c r="H1434" s="1">
        <v>0.3454</v>
      </c>
      <c r="I1434" s="1">
        <v>0.4649</v>
      </c>
      <c r="J1434" s="1">
        <v>-0.1195</v>
      </c>
      <c r="K1434" s="1">
        <v>570.0</v>
      </c>
    </row>
    <row r="1435">
      <c r="A1435" s="1" t="s">
        <v>22</v>
      </c>
      <c r="B1435" s="1" t="s">
        <v>1192</v>
      </c>
      <c r="C1435" s="1" t="s">
        <v>54</v>
      </c>
      <c r="D1435" s="1">
        <v>6.0</v>
      </c>
      <c r="E1435" s="1">
        <v>277.0</v>
      </c>
      <c r="F1435" s="1">
        <v>461.0</v>
      </c>
      <c r="G1435" s="1">
        <v>1297.0</v>
      </c>
      <c r="H1435" s="1">
        <v>0.2136</v>
      </c>
      <c r="I1435" s="1">
        <v>0.3554</v>
      </c>
      <c r="J1435" s="1">
        <v>-0.1419</v>
      </c>
      <c r="K1435" s="1">
        <v>545.0</v>
      </c>
    </row>
    <row r="1436">
      <c r="A1436" s="1" t="s">
        <v>22</v>
      </c>
      <c r="B1436" s="1" t="s">
        <v>1192</v>
      </c>
      <c r="C1436" s="1" t="s">
        <v>54</v>
      </c>
      <c r="D1436" s="1">
        <v>7.0</v>
      </c>
      <c r="E1436" s="1">
        <v>293.0</v>
      </c>
      <c r="F1436" s="1">
        <v>462.0</v>
      </c>
      <c r="G1436" s="1">
        <v>1297.0</v>
      </c>
      <c r="H1436" s="1">
        <v>0.2259</v>
      </c>
      <c r="I1436" s="1">
        <v>0.3562</v>
      </c>
      <c r="J1436" s="1">
        <v>-0.1303</v>
      </c>
      <c r="K1436" s="1">
        <v>578.0</v>
      </c>
    </row>
    <row r="1437">
      <c r="A1437" s="1" t="s">
        <v>22</v>
      </c>
      <c r="B1437" s="1" t="s">
        <v>1192</v>
      </c>
      <c r="C1437" s="1" t="s">
        <v>54</v>
      </c>
      <c r="D1437" s="1">
        <v>8.0</v>
      </c>
      <c r="E1437" s="1">
        <v>1100.0</v>
      </c>
      <c r="F1437" s="1">
        <v>1000.0</v>
      </c>
      <c r="G1437" s="1">
        <v>1297.0</v>
      </c>
      <c r="H1437" s="1">
        <v>0.8481</v>
      </c>
      <c r="I1437" s="1">
        <v>0.771</v>
      </c>
      <c r="J1437" s="1">
        <v>0.0771</v>
      </c>
      <c r="K1437" s="1">
        <v>634.0</v>
      </c>
    </row>
    <row r="1438">
      <c r="A1438" s="1" t="s">
        <v>22</v>
      </c>
      <c r="B1438" s="1" t="s">
        <v>1192</v>
      </c>
      <c r="C1438" s="1" t="s">
        <v>54</v>
      </c>
      <c r="D1438" s="1">
        <v>9.0</v>
      </c>
      <c r="E1438" s="1">
        <v>626.0</v>
      </c>
      <c r="F1438" s="1">
        <v>641.0</v>
      </c>
      <c r="G1438" s="1">
        <v>1297.0</v>
      </c>
      <c r="H1438" s="1">
        <v>0.4827</v>
      </c>
      <c r="I1438" s="1">
        <v>0.4942</v>
      </c>
      <c r="J1438" s="1">
        <v>-0.0116</v>
      </c>
      <c r="K1438" s="1">
        <v>646.0</v>
      </c>
    </row>
    <row r="1439">
      <c r="A1439" s="1" t="s">
        <v>22</v>
      </c>
      <c r="B1439" s="1" t="s">
        <v>1192</v>
      </c>
      <c r="C1439" s="1" t="s">
        <v>54</v>
      </c>
      <c r="D1439" s="1">
        <v>10.0</v>
      </c>
      <c r="E1439" s="1">
        <v>425.0</v>
      </c>
      <c r="F1439" s="1">
        <v>516.0</v>
      </c>
      <c r="G1439" s="1">
        <v>1297.0</v>
      </c>
      <c r="H1439" s="1">
        <v>0.3277</v>
      </c>
      <c r="I1439" s="1">
        <v>0.3978</v>
      </c>
      <c r="J1439" s="1">
        <v>-0.0702</v>
      </c>
      <c r="K1439" s="1">
        <v>601.0</v>
      </c>
    </row>
    <row r="1440">
      <c r="A1440" s="1" t="s">
        <v>22</v>
      </c>
      <c r="B1440" s="1" t="s">
        <v>1192</v>
      </c>
      <c r="C1440" s="1" t="s">
        <v>54</v>
      </c>
      <c r="D1440" s="1">
        <v>11.0</v>
      </c>
      <c r="E1440" s="1">
        <v>426.0</v>
      </c>
      <c r="F1440" s="1">
        <v>543.0</v>
      </c>
      <c r="G1440" s="1">
        <v>1297.0</v>
      </c>
      <c r="H1440" s="1">
        <v>0.3285</v>
      </c>
      <c r="I1440" s="1">
        <v>0.4187</v>
      </c>
      <c r="J1440" s="1">
        <v>-0.0902</v>
      </c>
      <c r="K1440" s="1">
        <v>611.0</v>
      </c>
    </row>
    <row r="1441">
      <c r="A1441" s="1" t="s">
        <v>22</v>
      </c>
      <c r="B1441" s="1" t="s">
        <v>1192</v>
      </c>
      <c r="C1441" s="1" t="s">
        <v>54</v>
      </c>
      <c r="D1441" s="1">
        <v>12.0</v>
      </c>
      <c r="E1441" s="1">
        <v>441.0</v>
      </c>
      <c r="F1441" s="1">
        <v>566.0</v>
      </c>
      <c r="G1441" s="1">
        <v>1297.0</v>
      </c>
      <c r="H1441" s="1">
        <v>0.34</v>
      </c>
      <c r="I1441" s="1">
        <v>0.4364</v>
      </c>
      <c r="J1441" s="1">
        <v>-0.0964</v>
      </c>
      <c r="K1441" s="1">
        <v>590.0</v>
      </c>
    </row>
    <row r="1442">
      <c r="A1442" s="1" t="s">
        <v>22</v>
      </c>
      <c r="B1442" s="1" t="s">
        <v>1192</v>
      </c>
      <c r="C1442" s="1" t="s">
        <v>54</v>
      </c>
      <c r="D1442" s="1">
        <v>13.0</v>
      </c>
      <c r="E1442" s="1">
        <v>238.0</v>
      </c>
      <c r="F1442" s="1">
        <v>442.0</v>
      </c>
      <c r="G1442" s="1">
        <v>1297.0</v>
      </c>
      <c r="H1442" s="1">
        <v>0.1835</v>
      </c>
      <c r="I1442" s="1">
        <v>0.3408</v>
      </c>
      <c r="J1442" s="1">
        <v>-0.1573</v>
      </c>
      <c r="K1442" s="1">
        <v>580.0</v>
      </c>
    </row>
    <row r="1443">
      <c r="A1443" s="1" t="s">
        <v>22</v>
      </c>
      <c r="B1443" s="1" t="s">
        <v>1192</v>
      </c>
      <c r="C1443" s="1" t="s">
        <v>54</v>
      </c>
      <c r="D1443" s="1">
        <v>14.0</v>
      </c>
      <c r="E1443" s="1">
        <v>236.0</v>
      </c>
      <c r="F1443" s="1">
        <v>426.0</v>
      </c>
      <c r="G1443" s="1">
        <v>1297.0</v>
      </c>
      <c r="H1443" s="1">
        <v>0.182</v>
      </c>
      <c r="I1443" s="1">
        <v>0.3285</v>
      </c>
      <c r="J1443" s="1">
        <v>-0.1465</v>
      </c>
      <c r="K1443" s="1">
        <v>576.0</v>
      </c>
    </row>
    <row r="1444">
      <c r="A1444" s="1" t="s">
        <v>22</v>
      </c>
      <c r="B1444" s="1" t="s">
        <v>1192</v>
      </c>
      <c r="C1444" s="1" t="s">
        <v>54</v>
      </c>
      <c r="D1444" s="1">
        <v>15.0</v>
      </c>
      <c r="E1444" s="1">
        <v>1061.0</v>
      </c>
      <c r="F1444" s="1">
        <v>977.0</v>
      </c>
      <c r="G1444" s="1">
        <v>1297.0</v>
      </c>
      <c r="H1444" s="1">
        <v>0.818</v>
      </c>
      <c r="I1444" s="1">
        <v>0.7533</v>
      </c>
      <c r="J1444" s="1">
        <v>0.0648</v>
      </c>
      <c r="K1444" s="1">
        <v>677.0</v>
      </c>
    </row>
    <row r="1445">
      <c r="A1445" s="1" t="s">
        <v>22</v>
      </c>
      <c r="B1445" s="1" t="s">
        <v>1192</v>
      </c>
      <c r="C1445" s="1" t="s">
        <v>54</v>
      </c>
      <c r="D1445" s="1">
        <v>16.0</v>
      </c>
      <c r="E1445" s="1">
        <v>583.0</v>
      </c>
      <c r="F1445" s="1">
        <v>716.0</v>
      </c>
      <c r="G1445" s="1">
        <v>1297.0</v>
      </c>
      <c r="H1445" s="1">
        <v>0.4495</v>
      </c>
      <c r="I1445" s="1">
        <v>0.552</v>
      </c>
      <c r="J1445" s="1">
        <v>-0.1025</v>
      </c>
      <c r="K1445" s="1">
        <v>649.0</v>
      </c>
    </row>
    <row r="1446">
      <c r="A1446" s="1" t="s">
        <v>22</v>
      </c>
      <c r="B1446" s="1" t="s">
        <v>1192</v>
      </c>
      <c r="C1446" s="1" t="s">
        <v>54</v>
      </c>
      <c r="D1446" s="1">
        <v>17.0</v>
      </c>
      <c r="E1446" s="1">
        <v>531.0</v>
      </c>
      <c r="F1446" s="1">
        <v>611.0</v>
      </c>
      <c r="G1446" s="1">
        <v>1297.0</v>
      </c>
      <c r="H1446" s="1">
        <v>0.4094</v>
      </c>
      <c r="I1446" s="1">
        <v>0.4711</v>
      </c>
      <c r="J1446" s="1">
        <v>-0.0617</v>
      </c>
      <c r="K1446" s="1">
        <v>626.0</v>
      </c>
    </row>
    <row r="1447">
      <c r="A1447" s="1" t="s">
        <v>22</v>
      </c>
      <c r="B1447" s="1" t="s">
        <v>1192</v>
      </c>
      <c r="C1447" s="1" t="s">
        <v>54</v>
      </c>
      <c r="D1447" s="1">
        <v>18.0</v>
      </c>
      <c r="E1447" s="1">
        <v>367.0</v>
      </c>
      <c r="F1447" s="1">
        <v>543.0</v>
      </c>
      <c r="G1447" s="1">
        <v>1297.0</v>
      </c>
      <c r="H1447" s="1">
        <v>0.283</v>
      </c>
      <c r="I1447" s="1">
        <v>0.4187</v>
      </c>
      <c r="J1447" s="1">
        <v>-0.1357</v>
      </c>
      <c r="K1447" s="1">
        <v>603.0</v>
      </c>
    </row>
    <row r="1448">
      <c r="A1448" s="1" t="s">
        <v>22</v>
      </c>
      <c r="B1448" s="1" t="s">
        <v>1192</v>
      </c>
      <c r="C1448" s="1" t="s">
        <v>54</v>
      </c>
      <c r="D1448" s="1">
        <v>19.0</v>
      </c>
      <c r="E1448" s="1">
        <v>403.0</v>
      </c>
      <c r="F1448" s="1">
        <v>547.0</v>
      </c>
      <c r="G1448" s="1">
        <v>1297.0</v>
      </c>
      <c r="H1448" s="1">
        <v>0.3107</v>
      </c>
      <c r="I1448" s="1">
        <v>0.4217</v>
      </c>
      <c r="J1448" s="1">
        <v>-0.111</v>
      </c>
      <c r="K1448" s="1">
        <v>582.0</v>
      </c>
    </row>
    <row r="1449">
      <c r="A1449" s="1" t="s">
        <v>22</v>
      </c>
      <c r="B1449" s="1" t="s">
        <v>1192</v>
      </c>
      <c r="C1449" s="1" t="s">
        <v>54</v>
      </c>
      <c r="D1449" s="1">
        <v>20.0</v>
      </c>
      <c r="E1449" s="1">
        <v>265.0</v>
      </c>
      <c r="F1449" s="1">
        <v>477.0</v>
      </c>
      <c r="G1449" s="1">
        <v>1297.0</v>
      </c>
      <c r="H1449" s="1">
        <v>0.2043</v>
      </c>
      <c r="I1449" s="1">
        <v>0.3678</v>
      </c>
      <c r="J1449" s="1">
        <v>-0.1635</v>
      </c>
      <c r="K1449" s="1">
        <v>558.0</v>
      </c>
    </row>
    <row r="1450">
      <c r="A1450" s="1" t="s">
        <v>22</v>
      </c>
      <c r="B1450" s="1" t="s">
        <v>1192</v>
      </c>
      <c r="C1450" s="1" t="s">
        <v>54</v>
      </c>
      <c r="D1450" s="1">
        <v>21.0</v>
      </c>
      <c r="E1450" s="1">
        <v>231.0</v>
      </c>
      <c r="F1450" s="1">
        <v>397.0</v>
      </c>
      <c r="G1450" s="1">
        <v>1297.0</v>
      </c>
      <c r="H1450" s="1">
        <v>0.1781</v>
      </c>
      <c r="I1450" s="1">
        <v>0.3061</v>
      </c>
      <c r="J1450" s="1">
        <v>-0.128</v>
      </c>
      <c r="K1450" s="1">
        <v>568.0</v>
      </c>
    </row>
    <row r="1451">
      <c r="A1451" s="1" t="s">
        <v>22</v>
      </c>
      <c r="B1451" s="1" t="s">
        <v>1192</v>
      </c>
      <c r="C1451" s="1" t="s">
        <v>47</v>
      </c>
      <c r="D1451" s="1">
        <v>1.0</v>
      </c>
      <c r="E1451" s="1">
        <v>2001.0</v>
      </c>
      <c r="F1451" s="1">
        <v>1936.0</v>
      </c>
      <c r="G1451" s="1">
        <v>1532.0</v>
      </c>
      <c r="H1451" s="1">
        <v>1.3061</v>
      </c>
      <c r="I1451" s="1">
        <v>1.2637</v>
      </c>
      <c r="J1451" s="1">
        <v>0.0424</v>
      </c>
      <c r="K1451" s="1">
        <v>595.0</v>
      </c>
    </row>
    <row r="1452">
      <c r="A1452" s="1" t="s">
        <v>22</v>
      </c>
      <c r="B1452" s="1" t="s">
        <v>1192</v>
      </c>
      <c r="C1452" s="1" t="s">
        <v>47</v>
      </c>
      <c r="D1452" s="1">
        <v>2.0</v>
      </c>
      <c r="E1452" s="1">
        <v>1396.0</v>
      </c>
      <c r="F1452" s="1">
        <v>1741.0</v>
      </c>
      <c r="G1452" s="1">
        <v>1532.0</v>
      </c>
      <c r="H1452" s="1">
        <v>0.9112</v>
      </c>
      <c r="I1452" s="1">
        <v>1.1364</v>
      </c>
      <c r="J1452" s="1">
        <v>-0.2252</v>
      </c>
      <c r="K1452" s="1">
        <v>613.0</v>
      </c>
    </row>
    <row r="1453">
      <c r="A1453" s="1" t="s">
        <v>22</v>
      </c>
      <c r="B1453" s="1" t="s">
        <v>1192</v>
      </c>
      <c r="C1453" s="1" t="s">
        <v>47</v>
      </c>
      <c r="D1453" s="1">
        <v>3.0</v>
      </c>
      <c r="E1453" s="1">
        <v>1126.0</v>
      </c>
      <c r="F1453" s="1">
        <v>1336.0</v>
      </c>
      <c r="G1453" s="1">
        <v>1532.0</v>
      </c>
      <c r="H1453" s="1">
        <v>0.735</v>
      </c>
      <c r="I1453" s="1">
        <v>0.8721</v>
      </c>
      <c r="J1453" s="1">
        <v>-0.1371</v>
      </c>
      <c r="K1453" s="1">
        <v>571.0</v>
      </c>
    </row>
    <row r="1454">
      <c r="A1454" s="1" t="s">
        <v>22</v>
      </c>
      <c r="B1454" s="1" t="s">
        <v>1192</v>
      </c>
      <c r="C1454" s="1" t="s">
        <v>47</v>
      </c>
      <c r="D1454" s="1">
        <v>4.0</v>
      </c>
      <c r="E1454" s="1">
        <v>1032.0</v>
      </c>
      <c r="F1454" s="1">
        <v>1299.0</v>
      </c>
      <c r="G1454" s="1">
        <v>1532.0</v>
      </c>
      <c r="H1454" s="1">
        <v>0.6736</v>
      </c>
      <c r="I1454" s="1">
        <v>0.8479</v>
      </c>
      <c r="J1454" s="1">
        <v>-0.1743</v>
      </c>
      <c r="K1454" s="1">
        <v>567.0</v>
      </c>
    </row>
    <row r="1455">
      <c r="A1455" s="1" t="s">
        <v>22</v>
      </c>
      <c r="B1455" s="1" t="s">
        <v>1192</v>
      </c>
      <c r="C1455" s="1" t="s">
        <v>47</v>
      </c>
      <c r="D1455" s="1">
        <v>5.0</v>
      </c>
      <c r="E1455" s="1">
        <v>1369.0</v>
      </c>
      <c r="F1455" s="1">
        <v>1564.0</v>
      </c>
      <c r="G1455" s="1">
        <v>1532.0</v>
      </c>
      <c r="H1455" s="1">
        <v>0.8936</v>
      </c>
      <c r="I1455" s="1">
        <v>1.0209</v>
      </c>
      <c r="J1455" s="1">
        <v>-0.1273</v>
      </c>
      <c r="K1455" s="1">
        <v>570.0</v>
      </c>
    </row>
    <row r="1456">
      <c r="A1456" s="1" t="s">
        <v>22</v>
      </c>
      <c r="B1456" s="1" t="s">
        <v>1192</v>
      </c>
      <c r="C1456" s="1" t="s">
        <v>47</v>
      </c>
      <c r="D1456" s="1">
        <v>6.0</v>
      </c>
      <c r="E1456" s="1">
        <v>937.0</v>
      </c>
      <c r="F1456" s="1">
        <v>1289.0</v>
      </c>
      <c r="G1456" s="1">
        <v>1532.0</v>
      </c>
      <c r="H1456" s="1">
        <v>0.6116</v>
      </c>
      <c r="I1456" s="1">
        <v>0.8414</v>
      </c>
      <c r="J1456" s="1">
        <v>-0.2298</v>
      </c>
      <c r="K1456" s="1">
        <v>545.0</v>
      </c>
    </row>
    <row r="1457">
      <c r="A1457" s="1" t="s">
        <v>22</v>
      </c>
      <c r="B1457" s="1" t="s">
        <v>1192</v>
      </c>
      <c r="C1457" s="1" t="s">
        <v>47</v>
      </c>
      <c r="D1457" s="1">
        <v>7.0</v>
      </c>
      <c r="E1457" s="1">
        <v>1050.0</v>
      </c>
      <c r="F1457" s="1">
        <v>1433.0</v>
      </c>
      <c r="G1457" s="1">
        <v>1532.0</v>
      </c>
      <c r="H1457" s="1">
        <v>0.6854</v>
      </c>
      <c r="I1457" s="1">
        <v>0.9354</v>
      </c>
      <c r="J1457" s="1">
        <v>-0.25</v>
      </c>
      <c r="K1457" s="1">
        <v>578.0</v>
      </c>
    </row>
    <row r="1458">
      <c r="A1458" s="1" t="s">
        <v>22</v>
      </c>
      <c r="B1458" s="1" t="s">
        <v>1192</v>
      </c>
      <c r="C1458" s="1" t="s">
        <v>47</v>
      </c>
      <c r="D1458" s="1">
        <v>8.0</v>
      </c>
      <c r="E1458" s="1">
        <v>1990.0</v>
      </c>
      <c r="F1458" s="1">
        <v>1913.0</v>
      </c>
      <c r="G1458" s="1">
        <v>1532.0</v>
      </c>
      <c r="H1458" s="1">
        <v>1.299</v>
      </c>
      <c r="I1458" s="1">
        <v>1.2487</v>
      </c>
      <c r="J1458" s="1">
        <v>0.0503</v>
      </c>
      <c r="K1458" s="1">
        <v>634.0</v>
      </c>
    </row>
    <row r="1459">
      <c r="A1459" s="1" t="s">
        <v>22</v>
      </c>
      <c r="B1459" s="1" t="s">
        <v>1192</v>
      </c>
      <c r="C1459" s="1" t="s">
        <v>47</v>
      </c>
      <c r="D1459" s="1">
        <v>9.0</v>
      </c>
      <c r="E1459" s="1">
        <v>1172.0</v>
      </c>
      <c r="F1459" s="1">
        <v>1568.0</v>
      </c>
      <c r="G1459" s="1">
        <v>1532.0</v>
      </c>
      <c r="H1459" s="1">
        <v>0.765</v>
      </c>
      <c r="I1459" s="1">
        <v>1.0235</v>
      </c>
      <c r="J1459" s="1">
        <v>-0.2585</v>
      </c>
      <c r="K1459" s="1">
        <v>646.0</v>
      </c>
    </row>
    <row r="1460">
      <c r="A1460" s="1" t="s">
        <v>22</v>
      </c>
      <c r="B1460" s="1" t="s">
        <v>1192</v>
      </c>
      <c r="C1460" s="1" t="s">
        <v>47</v>
      </c>
      <c r="D1460" s="1">
        <v>10.0</v>
      </c>
      <c r="E1460" s="1">
        <v>947.0</v>
      </c>
      <c r="F1460" s="1">
        <v>1131.0</v>
      </c>
      <c r="G1460" s="1">
        <v>1532.0</v>
      </c>
      <c r="H1460" s="1">
        <v>0.6181</v>
      </c>
      <c r="I1460" s="1">
        <v>0.7383</v>
      </c>
      <c r="J1460" s="1">
        <v>-0.1201</v>
      </c>
      <c r="K1460" s="1">
        <v>601.0</v>
      </c>
    </row>
    <row r="1461">
      <c r="A1461" s="1" t="s">
        <v>22</v>
      </c>
      <c r="B1461" s="1" t="s">
        <v>1192</v>
      </c>
      <c r="C1461" s="1" t="s">
        <v>47</v>
      </c>
      <c r="D1461" s="1">
        <v>11.0</v>
      </c>
      <c r="E1461" s="1">
        <v>1064.0</v>
      </c>
      <c r="F1461" s="1">
        <v>1281.0</v>
      </c>
      <c r="G1461" s="1">
        <v>1532.0</v>
      </c>
      <c r="H1461" s="1">
        <v>0.6945</v>
      </c>
      <c r="I1461" s="1">
        <v>0.8362</v>
      </c>
      <c r="J1461" s="1">
        <v>-0.1416</v>
      </c>
      <c r="K1461" s="1">
        <v>611.0</v>
      </c>
    </row>
    <row r="1462">
      <c r="A1462" s="1" t="s">
        <v>22</v>
      </c>
      <c r="B1462" s="1" t="s">
        <v>1192</v>
      </c>
      <c r="C1462" s="1" t="s">
        <v>47</v>
      </c>
      <c r="D1462" s="1">
        <v>12.0</v>
      </c>
      <c r="E1462" s="1">
        <v>1144.0</v>
      </c>
      <c r="F1462" s="1">
        <v>1443.0</v>
      </c>
      <c r="G1462" s="1">
        <v>1532.0</v>
      </c>
      <c r="H1462" s="1">
        <v>0.7467</v>
      </c>
      <c r="I1462" s="1">
        <v>0.9419</v>
      </c>
      <c r="J1462" s="1">
        <v>-0.1952</v>
      </c>
      <c r="K1462" s="1">
        <v>590.0</v>
      </c>
    </row>
    <row r="1463">
      <c r="A1463" s="1" t="s">
        <v>22</v>
      </c>
      <c r="B1463" s="1" t="s">
        <v>1192</v>
      </c>
      <c r="C1463" s="1" t="s">
        <v>47</v>
      </c>
      <c r="D1463" s="1">
        <v>13.0</v>
      </c>
      <c r="E1463" s="1">
        <v>912.0</v>
      </c>
      <c r="F1463" s="1">
        <v>1111.0</v>
      </c>
      <c r="G1463" s="1">
        <v>1532.0</v>
      </c>
      <c r="H1463" s="1">
        <v>0.5953</v>
      </c>
      <c r="I1463" s="1">
        <v>0.7252</v>
      </c>
      <c r="J1463" s="1">
        <v>-0.1299</v>
      </c>
      <c r="K1463" s="1">
        <v>580.0</v>
      </c>
    </row>
    <row r="1464">
      <c r="A1464" s="1" t="s">
        <v>22</v>
      </c>
      <c r="B1464" s="1" t="s">
        <v>1192</v>
      </c>
      <c r="C1464" s="1" t="s">
        <v>47</v>
      </c>
      <c r="D1464" s="1">
        <v>14.0</v>
      </c>
      <c r="E1464" s="1">
        <v>812.0</v>
      </c>
      <c r="F1464" s="1">
        <v>1254.0</v>
      </c>
      <c r="G1464" s="1">
        <v>1532.0</v>
      </c>
      <c r="H1464" s="1">
        <v>0.53</v>
      </c>
      <c r="I1464" s="1">
        <v>0.8185</v>
      </c>
      <c r="J1464" s="1">
        <v>-0.2885</v>
      </c>
      <c r="K1464" s="1">
        <v>576.0</v>
      </c>
    </row>
    <row r="1465">
      <c r="A1465" s="1" t="s">
        <v>22</v>
      </c>
      <c r="B1465" s="1" t="s">
        <v>1192</v>
      </c>
      <c r="C1465" s="1" t="s">
        <v>47</v>
      </c>
      <c r="D1465" s="1">
        <v>15.0</v>
      </c>
      <c r="E1465" s="1">
        <v>2042.0</v>
      </c>
      <c r="F1465" s="1">
        <v>1886.0</v>
      </c>
      <c r="G1465" s="1">
        <v>1532.0</v>
      </c>
      <c r="H1465" s="1">
        <v>1.3329</v>
      </c>
      <c r="I1465" s="1">
        <v>1.2311</v>
      </c>
      <c r="J1465" s="1">
        <v>0.1018</v>
      </c>
      <c r="K1465" s="1">
        <v>677.0</v>
      </c>
    </row>
    <row r="1466">
      <c r="A1466" s="1" t="s">
        <v>22</v>
      </c>
      <c r="B1466" s="1" t="s">
        <v>1192</v>
      </c>
      <c r="C1466" s="1" t="s">
        <v>47</v>
      </c>
      <c r="D1466" s="1">
        <v>16.0</v>
      </c>
      <c r="E1466" s="1">
        <v>1131.0</v>
      </c>
      <c r="F1466" s="1">
        <v>1545.0</v>
      </c>
      <c r="G1466" s="1">
        <v>1532.0</v>
      </c>
      <c r="H1466" s="1">
        <v>0.7383</v>
      </c>
      <c r="I1466" s="1">
        <v>1.0085</v>
      </c>
      <c r="J1466" s="1">
        <v>-0.2702</v>
      </c>
      <c r="K1466" s="1">
        <v>649.0</v>
      </c>
    </row>
    <row r="1467">
      <c r="A1467" s="1" t="s">
        <v>22</v>
      </c>
      <c r="B1467" s="1" t="s">
        <v>1192</v>
      </c>
      <c r="C1467" s="1" t="s">
        <v>47</v>
      </c>
      <c r="D1467" s="1">
        <v>17.0</v>
      </c>
      <c r="E1467" s="1">
        <v>960.0</v>
      </c>
      <c r="F1467" s="1">
        <v>1436.0</v>
      </c>
      <c r="G1467" s="1">
        <v>1532.0</v>
      </c>
      <c r="H1467" s="1">
        <v>0.6266</v>
      </c>
      <c r="I1467" s="1">
        <v>0.9373</v>
      </c>
      <c r="J1467" s="1">
        <v>-0.3107</v>
      </c>
      <c r="K1467" s="1">
        <v>626.0</v>
      </c>
    </row>
    <row r="1468">
      <c r="A1468" s="1" t="s">
        <v>22</v>
      </c>
      <c r="B1468" s="1" t="s">
        <v>1192</v>
      </c>
      <c r="C1468" s="1" t="s">
        <v>47</v>
      </c>
      <c r="D1468" s="1">
        <v>18.0</v>
      </c>
      <c r="E1468" s="1">
        <v>841.0</v>
      </c>
      <c r="F1468" s="1">
        <v>1224.0</v>
      </c>
      <c r="G1468" s="1">
        <v>1532.0</v>
      </c>
      <c r="H1468" s="1">
        <v>0.549</v>
      </c>
      <c r="I1468" s="1">
        <v>0.799</v>
      </c>
      <c r="J1468" s="1">
        <v>-0.25</v>
      </c>
      <c r="K1468" s="1">
        <v>603.0</v>
      </c>
    </row>
    <row r="1469">
      <c r="A1469" s="1" t="s">
        <v>22</v>
      </c>
      <c r="B1469" s="1" t="s">
        <v>1192</v>
      </c>
      <c r="C1469" s="1" t="s">
        <v>47</v>
      </c>
      <c r="D1469" s="1">
        <v>19.0</v>
      </c>
      <c r="E1469" s="1">
        <v>974.0</v>
      </c>
      <c r="F1469" s="1">
        <v>1168.0</v>
      </c>
      <c r="G1469" s="1">
        <v>1532.0</v>
      </c>
      <c r="H1469" s="1">
        <v>0.6358</v>
      </c>
      <c r="I1469" s="1">
        <v>0.7624</v>
      </c>
      <c r="J1469" s="1">
        <v>-0.1266</v>
      </c>
      <c r="K1469" s="1">
        <v>582.0</v>
      </c>
    </row>
    <row r="1470">
      <c r="A1470" s="1" t="s">
        <v>22</v>
      </c>
      <c r="B1470" s="1" t="s">
        <v>1192</v>
      </c>
      <c r="C1470" s="1" t="s">
        <v>47</v>
      </c>
      <c r="D1470" s="1">
        <v>20.0</v>
      </c>
      <c r="E1470" s="1">
        <v>761.0</v>
      </c>
      <c r="F1470" s="1">
        <v>1136.0</v>
      </c>
      <c r="G1470" s="1">
        <v>1532.0</v>
      </c>
      <c r="H1470" s="1">
        <v>0.4967</v>
      </c>
      <c r="I1470" s="1">
        <v>0.7415</v>
      </c>
      <c r="J1470" s="1">
        <v>-0.2448</v>
      </c>
      <c r="K1470" s="1">
        <v>558.0</v>
      </c>
    </row>
    <row r="1471">
      <c r="A1471" s="1" t="s">
        <v>22</v>
      </c>
      <c r="B1471" s="1" t="s">
        <v>1192</v>
      </c>
      <c r="C1471" s="1" t="s">
        <v>47</v>
      </c>
      <c r="D1471" s="1">
        <v>21.0</v>
      </c>
      <c r="E1471" s="1">
        <v>687.0</v>
      </c>
      <c r="F1471" s="1">
        <v>1053.0</v>
      </c>
      <c r="G1471" s="1">
        <v>1532.0</v>
      </c>
      <c r="H1471" s="1">
        <v>0.4484</v>
      </c>
      <c r="I1471" s="1">
        <v>0.6873</v>
      </c>
      <c r="J1471" s="1">
        <v>-0.2389</v>
      </c>
      <c r="K1471" s="1">
        <v>568.0</v>
      </c>
    </row>
    <row r="1472">
      <c r="A1472" s="1" t="s">
        <v>22</v>
      </c>
      <c r="B1472" s="1" t="s">
        <v>1192</v>
      </c>
      <c r="C1472" s="1" t="s">
        <v>48</v>
      </c>
      <c r="D1472" s="1">
        <v>1.0</v>
      </c>
      <c r="E1472" s="1">
        <v>1852.0</v>
      </c>
      <c r="F1472" s="1">
        <v>1672.0</v>
      </c>
      <c r="G1472" s="1">
        <v>1525.0</v>
      </c>
      <c r="H1472" s="1">
        <v>1.2144</v>
      </c>
      <c r="I1472" s="1">
        <v>1.0964</v>
      </c>
      <c r="J1472" s="1">
        <v>0.118</v>
      </c>
      <c r="K1472" s="1">
        <v>595.0</v>
      </c>
    </row>
    <row r="1473">
      <c r="A1473" s="1" t="s">
        <v>22</v>
      </c>
      <c r="B1473" s="1" t="s">
        <v>1192</v>
      </c>
      <c r="C1473" s="1" t="s">
        <v>48</v>
      </c>
      <c r="D1473" s="1">
        <v>2.0</v>
      </c>
      <c r="E1473" s="1">
        <v>1277.0</v>
      </c>
      <c r="F1473" s="1">
        <v>1502.0</v>
      </c>
      <c r="G1473" s="1">
        <v>1525.0</v>
      </c>
      <c r="H1473" s="1">
        <v>0.8374</v>
      </c>
      <c r="I1473" s="1">
        <v>0.9849</v>
      </c>
      <c r="J1473" s="1">
        <v>-0.1475</v>
      </c>
      <c r="K1473" s="1">
        <v>613.0</v>
      </c>
    </row>
    <row r="1474">
      <c r="A1474" s="1" t="s">
        <v>22</v>
      </c>
      <c r="B1474" s="1" t="s">
        <v>1192</v>
      </c>
      <c r="C1474" s="1" t="s">
        <v>48</v>
      </c>
      <c r="D1474" s="1">
        <v>3.0</v>
      </c>
      <c r="E1474" s="1">
        <v>1065.0</v>
      </c>
      <c r="F1474" s="1">
        <v>1205.0</v>
      </c>
      <c r="G1474" s="1">
        <v>1525.0</v>
      </c>
      <c r="H1474" s="1">
        <v>0.6984</v>
      </c>
      <c r="I1474" s="1">
        <v>0.7902</v>
      </c>
      <c r="J1474" s="1">
        <v>-0.0918</v>
      </c>
      <c r="K1474" s="1">
        <v>571.0</v>
      </c>
    </row>
    <row r="1475">
      <c r="A1475" s="1" t="s">
        <v>22</v>
      </c>
      <c r="B1475" s="1" t="s">
        <v>1192</v>
      </c>
      <c r="C1475" s="1" t="s">
        <v>48</v>
      </c>
      <c r="D1475" s="1">
        <v>4.0</v>
      </c>
      <c r="E1475" s="1">
        <v>981.0</v>
      </c>
      <c r="F1475" s="1">
        <v>1165.0</v>
      </c>
      <c r="G1475" s="1">
        <v>1525.0</v>
      </c>
      <c r="H1475" s="1">
        <v>0.6433</v>
      </c>
      <c r="I1475" s="1">
        <v>0.7639</v>
      </c>
      <c r="J1475" s="1">
        <v>-0.1207</v>
      </c>
      <c r="K1475" s="1">
        <v>567.0</v>
      </c>
    </row>
    <row r="1476">
      <c r="A1476" s="1" t="s">
        <v>22</v>
      </c>
      <c r="B1476" s="1" t="s">
        <v>1192</v>
      </c>
      <c r="C1476" s="1" t="s">
        <v>48</v>
      </c>
      <c r="D1476" s="1">
        <v>5.0</v>
      </c>
      <c r="E1476" s="1">
        <v>1643.0</v>
      </c>
      <c r="F1476" s="1">
        <v>1609.0</v>
      </c>
      <c r="G1476" s="1">
        <v>1525.0</v>
      </c>
      <c r="H1476" s="1">
        <v>1.0774</v>
      </c>
      <c r="I1476" s="1">
        <v>1.0551</v>
      </c>
      <c r="J1476" s="1">
        <v>0.0223</v>
      </c>
      <c r="K1476" s="1">
        <v>570.0</v>
      </c>
    </row>
    <row r="1477">
      <c r="A1477" s="1" t="s">
        <v>22</v>
      </c>
      <c r="B1477" s="1" t="s">
        <v>1192</v>
      </c>
      <c r="C1477" s="1" t="s">
        <v>48</v>
      </c>
      <c r="D1477" s="1">
        <v>6.0</v>
      </c>
      <c r="E1477" s="1">
        <v>1006.0</v>
      </c>
      <c r="F1477" s="1">
        <v>1309.0</v>
      </c>
      <c r="G1477" s="1">
        <v>1525.0</v>
      </c>
      <c r="H1477" s="1">
        <v>0.6597</v>
      </c>
      <c r="I1477" s="1">
        <v>0.8584</v>
      </c>
      <c r="J1477" s="1">
        <v>-0.1987</v>
      </c>
      <c r="K1477" s="1">
        <v>545.0</v>
      </c>
    </row>
    <row r="1478">
      <c r="A1478" s="1" t="s">
        <v>22</v>
      </c>
      <c r="B1478" s="1" t="s">
        <v>1192</v>
      </c>
      <c r="C1478" s="1" t="s">
        <v>48</v>
      </c>
      <c r="D1478" s="1">
        <v>7.0</v>
      </c>
      <c r="E1478" s="1">
        <v>1015.0</v>
      </c>
      <c r="F1478" s="1">
        <v>1317.0</v>
      </c>
      <c r="G1478" s="1">
        <v>1525.0</v>
      </c>
      <c r="H1478" s="1">
        <v>0.6656</v>
      </c>
      <c r="I1478" s="1">
        <v>0.8636</v>
      </c>
      <c r="J1478" s="1">
        <v>-0.198</v>
      </c>
      <c r="K1478" s="1">
        <v>578.0</v>
      </c>
    </row>
    <row r="1479">
      <c r="A1479" s="1" t="s">
        <v>22</v>
      </c>
      <c r="B1479" s="1" t="s">
        <v>1192</v>
      </c>
      <c r="C1479" s="1" t="s">
        <v>48</v>
      </c>
      <c r="D1479" s="1">
        <v>8.0</v>
      </c>
      <c r="E1479" s="1">
        <v>1982.0</v>
      </c>
      <c r="F1479" s="1">
        <v>1734.0</v>
      </c>
      <c r="G1479" s="1">
        <v>1525.0</v>
      </c>
      <c r="H1479" s="1">
        <v>1.2997</v>
      </c>
      <c r="I1479" s="1">
        <v>1.137</v>
      </c>
      <c r="J1479" s="1">
        <v>0.1626</v>
      </c>
      <c r="K1479" s="1">
        <v>634.0</v>
      </c>
    </row>
    <row r="1480">
      <c r="A1480" s="1" t="s">
        <v>22</v>
      </c>
      <c r="B1480" s="1" t="s">
        <v>1192</v>
      </c>
      <c r="C1480" s="1" t="s">
        <v>48</v>
      </c>
      <c r="D1480" s="1">
        <v>9.0</v>
      </c>
      <c r="E1480" s="1">
        <v>1189.0</v>
      </c>
      <c r="F1480" s="1">
        <v>1381.0</v>
      </c>
      <c r="G1480" s="1">
        <v>1525.0</v>
      </c>
      <c r="H1480" s="1">
        <v>0.7797</v>
      </c>
      <c r="I1480" s="1">
        <v>0.9056</v>
      </c>
      <c r="J1480" s="1">
        <v>-0.1259</v>
      </c>
      <c r="K1480" s="1">
        <v>646.0</v>
      </c>
    </row>
    <row r="1481">
      <c r="A1481" s="1" t="s">
        <v>22</v>
      </c>
      <c r="B1481" s="1" t="s">
        <v>1192</v>
      </c>
      <c r="C1481" s="1" t="s">
        <v>48</v>
      </c>
      <c r="D1481" s="1">
        <v>10.0</v>
      </c>
      <c r="E1481" s="1">
        <v>901.0</v>
      </c>
      <c r="F1481" s="1">
        <v>998.0</v>
      </c>
      <c r="G1481" s="1">
        <v>1525.0</v>
      </c>
      <c r="H1481" s="1">
        <v>0.5908</v>
      </c>
      <c r="I1481" s="1">
        <v>0.6544</v>
      </c>
      <c r="J1481" s="1">
        <v>-0.0636</v>
      </c>
      <c r="K1481" s="1">
        <v>601.0</v>
      </c>
    </row>
    <row r="1482">
      <c r="A1482" s="1" t="s">
        <v>22</v>
      </c>
      <c r="B1482" s="1" t="s">
        <v>1192</v>
      </c>
      <c r="C1482" s="1" t="s">
        <v>48</v>
      </c>
      <c r="D1482" s="1">
        <v>11.0</v>
      </c>
      <c r="E1482" s="1">
        <v>899.0</v>
      </c>
      <c r="F1482" s="1">
        <v>1146.0</v>
      </c>
      <c r="G1482" s="1">
        <v>1525.0</v>
      </c>
      <c r="H1482" s="1">
        <v>0.5895</v>
      </c>
      <c r="I1482" s="1">
        <v>0.7515</v>
      </c>
      <c r="J1482" s="1">
        <v>-0.162</v>
      </c>
      <c r="K1482" s="1">
        <v>611.0</v>
      </c>
    </row>
    <row r="1483">
      <c r="A1483" s="1" t="s">
        <v>22</v>
      </c>
      <c r="B1483" s="1" t="s">
        <v>1192</v>
      </c>
      <c r="C1483" s="1" t="s">
        <v>48</v>
      </c>
      <c r="D1483" s="1">
        <v>12.0</v>
      </c>
      <c r="E1483" s="1">
        <v>1441.0</v>
      </c>
      <c r="F1483" s="1">
        <v>1528.0</v>
      </c>
      <c r="G1483" s="1">
        <v>1525.0</v>
      </c>
      <c r="H1483" s="1">
        <v>0.9449</v>
      </c>
      <c r="I1483" s="1">
        <v>1.002</v>
      </c>
      <c r="J1483" s="1">
        <v>-0.057</v>
      </c>
      <c r="K1483" s="1">
        <v>590.0</v>
      </c>
    </row>
    <row r="1484">
      <c r="A1484" s="1" t="s">
        <v>22</v>
      </c>
      <c r="B1484" s="1" t="s">
        <v>1192</v>
      </c>
      <c r="C1484" s="1" t="s">
        <v>48</v>
      </c>
      <c r="D1484" s="1">
        <v>13.0</v>
      </c>
      <c r="E1484" s="1">
        <v>964.0</v>
      </c>
      <c r="F1484" s="1">
        <v>1112.0</v>
      </c>
      <c r="G1484" s="1">
        <v>1525.0</v>
      </c>
      <c r="H1484" s="1">
        <v>0.6321</v>
      </c>
      <c r="I1484" s="1">
        <v>0.7292</v>
      </c>
      <c r="J1484" s="1">
        <v>-0.097</v>
      </c>
      <c r="K1484" s="1">
        <v>580.0</v>
      </c>
    </row>
    <row r="1485">
      <c r="A1485" s="1" t="s">
        <v>22</v>
      </c>
      <c r="B1485" s="1" t="s">
        <v>1192</v>
      </c>
      <c r="C1485" s="1" t="s">
        <v>48</v>
      </c>
      <c r="D1485" s="1">
        <v>14.0</v>
      </c>
      <c r="E1485" s="1">
        <v>768.0</v>
      </c>
      <c r="F1485" s="1">
        <v>1176.0</v>
      </c>
      <c r="G1485" s="1">
        <v>1525.0</v>
      </c>
      <c r="H1485" s="1">
        <v>0.5036</v>
      </c>
      <c r="I1485" s="1">
        <v>0.7711</v>
      </c>
      <c r="J1485" s="1">
        <v>-0.2675</v>
      </c>
      <c r="K1485" s="1">
        <v>576.0</v>
      </c>
    </row>
    <row r="1486">
      <c r="A1486" s="1" t="s">
        <v>22</v>
      </c>
      <c r="B1486" s="1" t="s">
        <v>1192</v>
      </c>
      <c r="C1486" s="1" t="s">
        <v>48</v>
      </c>
      <c r="D1486" s="1">
        <v>15.0</v>
      </c>
      <c r="E1486" s="1">
        <v>1888.0</v>
      </c>
      <c r="F1486" s="1">
        <v>1647.0</v>
      </c>
      <c r="G1486" s="1">
        <v>1525.0</v>
      </c>
      <c r="H1486" s="1">
        <v>1.238</v>
      </c>
      <c r="I1486" s="1">
        <v>1.08</v>
      </c>
      <c r="J1486" s="1">
        <v>0.158</v>
      </c>
      <c r="K1486" s="1">
        <v>677.0</v>
      </c>
    </row>
    <row r="1487">
      <c r="A1487" s="1" t="s">
        <v>22</v>
      </c>
      <c r="B1487" s="1" t="s">
        <v>1192</v>
      </c>
      <c r="C1487" s="1" t="s">
        <v>48</v>
      </c>
      <c r="D1487" s="1">
        <v>16.0</v>
      </c>
      <c r="E1487" s="1">
        <v>1168.0</v>
      </c>
      <c r="F1487" s="1">
        <v>1430.0</v>
      </c>
      <c r="G1487" s="1">
        <v>1525.0</v>
      </c>
      <c r="H1487" s="1">
        <v>0.7659</v>
      </c>
      <c r="I1487" s="1">
        <v>0.9377</v>
      </c>
      <c r="J1487" s="1">
        <v>-0.1718</v>
      </c>
      <c r="K1487" s="1">
        <v>649.0</v>
      </c>
    </row>
    <row r="1488">
      <c r="A1488" s="1" t="s">
        <v>22</v>
      </c>
      <c r="B1488" s="1" t="s">
        <v>1192</v>
      </c>
      <c r="C1488" s="1" t="s">
        <v>48</v>
      </c>
      <c r="D1488" s="1">
        <v>17.0</v>
      </c>
      <c r="E1488" s="1">
        <v>894.0</v>
      </c>
      <c r="F1488" s="1">
        <v>1258.0</v>
      </c>
      <c r="G1488" s="1">
        <v>1525.0</v>
      </c>
      <c r="H1488" s="1">
        <v>0.5862</v>
      </c>
      <c r="I1488" s="1">
        <v>0.8249</v>
      </c>
      <c r="J1488" s="1">
        <v>-0.2387</v>
      </c>
      <c r="K1488" s="1">
        <v>626.0</v>
      </c>
    </row>
    <row r="1489">
      <c r="A1489" s="1" t="s">
        <v>22</v>
      </c>
      <c r="B1489" s="1" t="s">
        <v>1192</v>
      </c>
      <c r="C1489" s="1" t="s">
        <v>48</v>
      </c>
      <c r="D1489" s="1">
        <v>18.0</v>
      </c>
      <c r="E1489" s="1">
        <v>770.0</v>
      </c>
      <c r="F1489" s="1">
        <v>1120.0</v>
      </c>
      <c r="G1489" s="1">
        <v>1525.0</v>
      </c>
      <c r="H1489" s="1">
        <v>0.5049</v>
      </c>
      <c r="I1489" s="1">
        <v>0.7344</v>
      </c>
      <c r="J1489" s="1">
        <v>-0.2295</v>
      </c>
      <c r="K1489" s="1">
        <v>603.0</v>
      </c>
    </row>
    <row r="1490">
      <c r="A1490" s="1" t="s">
        <v>22</v>
      </c>
      <c r="B1490" s="1" t="s">
        <v>1192</v>
      </c>
      <c r="C1490" s="1" t="s">
        <v>48</v>
      </c>
      <c r="D1490" s="1">
        <v>19.0</v>
      </c>
      <c r="E1490" s="1">
        <v>1126.0</v>
      </c>
      <c r="F1490" s="1">
        <v>1201.0</v>
      </c>
      <c r="G1490" s="1">
        <v>1525.0</v>
      </c>
      <c r="H1490" s="1">
        <v>0.7384</v>
      </c>
      <c r="I1490" s="1">
        <v>0.7875</v>
      </c>
      <c r="J1490" s="1">
        <v>-0.0492</v>
      </c>
      <c r="K1490" s="1">
        <v>582.0</v>
      </c>
    </row>
    <row r="1491">
      <c r="A1491" s="1" t="s">
        <v>22</v>
      </c>
      <c r="B1491" s="1" t="s">
        <v>1192</v>
      </c>
      <c r="C1491" s="1" t="s">
        <v>48</v>
      </c>
      <c r="D1491" s="1">
        <v>20.0</v>
      </c>
      <c r="E1491" s="1">
        <v>833.0</v>
      </c>
      <c r="F1491" s="1">
        <v>1137.0</v>
      </c>
      <c r="G1491" s="1">
        <v>1525.0</v>
      </c>
      <c r="H1491" s="1">
        <v>0.5462</v>
      </c>
      <c r="I1491" s="1">
        <v>0.7456</v>
      </c>
      <c r="J1491" s="1">
        <v>-0.1993</v>
      </c>
      <c r="K1491" s="1">
        <v>558.0</v>
      </c>
    </row>
    <row r="1492">
      <c r="A1492" s="1" t="s">
        <v>22</v>
      </c>
      <c r="B1492" s="1" t="s">
        <v>1192</v>
      </c>
      <c r="C1492" s="1" t="s">
        <v>48</v>
      </c>
      <c r="D1492" s="1">
        <v>21.0</v>
      </c>
      <c r="E1492" s="1">
        <v>734.0</v>
      </c>
      <c r="F1492" s="1">
        <v>1037.0</v>
      </c>
      <c r="G1492" s="1">
        <v>1525.0</v>
      </c>
      <c r="H1492" s="1">
        <v>0.4813</v>
      </c>
      <c r="I1492" s="1">
        <v>0.68</v>
      </c>
      <c r="J1492" s="1">
        <v>-0.1987</v>
      </c>
      <c r="K1492" s="1">
        <v>568.0</v>
      </c>
    </row>
    <row r="1493">
      <c r="A1493" s="1" t="s">
        <v>22</v>
      </c>
      <c r="B1493" s="1" t="s">
        <v>1192</v>
      </c>
      <c r="C1493" s="1" t="s">
        <v>50</v>
      </c>
      <c r="D1493" s="1">
        <v>1.0</v>
      </c>
      <c r="E1493" s="1">
        <v>941.0</v>
      </c>
      <c r="F1493" s="1">
        <v>902.0</v>
      </c>
      <c r="G1493" s="1">
        <v>1476.0</v>
      </c>
      <c r="H1493" s="1">
        <v>0.6375</v>
      </c>
      <c r="I1493" s="1">
        <v>0.6111</v>
      </c>
      <c r="J1493" s="1">
        <v>0.0264</v>
      </c>
      <c r="K1493" s="1">
        <v>595.0</v>
      </c>
    </row>
    <row r="1494">
      <c r="A1494" s="1" t="s">
        <v>22</v>
      </c>
      <c r="B1494" s="1" t="s">
        <v>1192</v>
      </c>
      <c r="C1494" s="1" t="s">
        <v>50</v>
      </c>
      <c r="D1494" s="1">
        <v>2.0</v>
      </c>
      <c r="E1494" s="1">
        <v>841.0</v>
      </c>
      <c r="F1494" s="1">
        <v>959.0</v>
      </c>
      <c r="G1494" s="1">
        <v>1476.0</v>
      </c>
      <c r="H1494" s="1">
        <v>0.5698</v>
      </c>
      <c r="I1494" s="1">
        <v>0.6497</v>
      </c>
      <c r="J1494" s="1">
        <v>-0.0799</v>
      </c>
      <c r="K1494" s="1">
        <v>613.0</v>
      </c>
    </row>
    <row r="1495">
      <c r="A1495" s="1" t="s">
        <v>22</v>
      </c>
      <c r="B1495" s="1" t="s">
        <v>1192</v>
      </c>
      <c r="C1495" s="1" t="s">
        <v>50</v>
      </c>
      <c r="D1495" s="1">
        <v>3.0</v>
      </c>
      <c r="E1495" s="1">
        <v>813.0</v>
      </c>
      <c r="F1495" s="1">
        <v>832.0</v>
      </c>
      <c r="G1495" s="1">
        <v>1476.0</v>
      </c>
      <c r="H1495" s="1">
        <v>0.5508</v>
      </c>
      <c r="I1495" s="1">
        <v>0.5637</v>
      </c>
      <c r="J1495" s="1">
        <v>-0.0129</v>
      </c>
      <c r="K1495" s="1">
        <v>571.0</v>
      </c>
    </row>
    <row r="1496">
      <c r="A1496" s="1" t="s">
        <v>22</v>
      </c>
      <c r="B1496" s="1" t="s">
        <v>1192</v>
      </c>
      <c r="C1496" s="1" t="s">
        <v>50</v>
      </c>
      <c r="D1496" s="1">
        <v>4.0</v>
      </c>
      <c r="E1496" s="1">
        <v>722.0</v>
      </c>
      <c r="F1496" s="1">
        <v>774.0</v>
      </c>
      <c r="G1496" s="1">
        <v>1476.0</v>
      </c>
      <c r="H1496" s="1">
        <v>0.4892</v>
      </c>
      <c r="I1496" s="1">
        <v>0.5244</v>
      </c>
      <c r="J1496" s="1">
        <v>-0.0352</v>
      </c>
      <c r="K1496" s="1">
        <v>567.0</v>
      </c>
    </row>
    <row r="1497">
      <c r="A1497" s="1" t="s">
        <v>22</v>
      </c>
      <c r="B1497" s="1" t="s">
        <v>1192</v>
      </c>
      <c r="C1497" s="1" t="s">
        <v>50</v>
      </c>
      <c r="D1497" s="1">
        <v>5.0</v>
      </c>
      <c r="E1497" s="1">
        <v>1036.0</v>
      </c>
      <c r="F1497" s="1">
        <v>1053.0</v>
      </c>
      <c r="G1497" s="1">
        <v>1476.0</v>
      </c>
      <c r="H1497" s="1">
        <v>0.7019</v>
      </c>
      <c r="I1497" s="1">
        <v>0.7134</v>
      </c>
      <c r="J1497" s="1">
        <v>-0.0115</v>
      </c>
      <c r="K1497" s="1">
        <v>570.0</v>
      </c>
    </row>
    <row r="1498">
      <c r="A1498" s="1" t="s">
        <v>22</v>
      </c>
      <c r="B1498" s="1" t="s">
        <v>1192</v>
      </c>
      <c r="C1498" s="1" t="s">
        <v>50</v>
      </c>
      <c r="D1498" s="1">
        <v>6.0</v>
      </c>
      <c r="E1498" s="1">
        <v>597.0</v>
      </c>
      <c r="F1498" s="1">
        <v>818.0</v>
      </c>
      <c r="G1498" s="1">
        <v>1476.0</v>
      </c>
      <c r="H1498" s="1">
        <v>0.4045</v>
      </c>
      <c r="I1498" s="1">
        <v>0.5542</v>
      </c>
      <c r="J1498" s="1">
        <v>-0.1497</v>
      </c>
      <c r="K1498" s="1">
        <v>545.0</v>
      </c>
    </row>
    <row r="1499">
      <c r="A1499" s="1" t="s">
        <v>22</v>
      </c>
      <c r="B1499" s="1" t="s">
        <v>1192</v>
      </c>
      <c r="C1499" s="1" t="s">
        <v>50</v>
      </c>
      <c r="D1499" s="1">
        <v>7.0</v>
      </c>
      <c r="E1499" s="1">
        <v>599.0</v>
      </c>
      <c r="F1499" s="1">
        <v>930.0</v>
      </c>
      <c r="G1499" s="1">
        <v>1476.0</v>
      </c>
      <c r="H1499" s="1">
        <v>0.4058</v>
      </c>
      <c r="I1499" s="1">
        <v>0.6301</v>
      </c>
      <c r="J1499" s="1">
        <v>-0.2243</v>
      </c>
      <c r="K1499" s="1">
        <v>578.0</v>
      </c>
    </row>
    <row r="1500">
      <c r="A1500" s="1" t="s">
        <v>22</v>
      </c>
      <c r="B1500" s="1" t="s">
        <v>1192</v>
      </c>
      <c r="C1500" s="1" t="s">
        <v>50</v>
      </c>
      <c r="D1500" s="1">
        <v>8.0</v>
      </c>
      <c r="E1500" s="1">
        <v>1041.0</v>
      </c>
      <c r="F1500" s="1">
        <v>988.0</v>
      </c>
      <c r="G1500" s="1">
        <v>1476.0</v>
      </c>
      <c r="H1500" s="1">
        <v>0.7053</v>
      </c>
      <c r="I1500" s="1">
        <v>0.6694</v>
      </c>
      <c r="J1500" s="1">
        <v>0.0359</v>
      </c>
      <c r="K1500" s="1">
        <v>634.0</v>
      </c>
    </row>
    <row r="1501">
      <c r="A1501" s="1" t="s">
        <v>22</v>
      </c>
      <c r="B1501" s="1" t="s">
        <v>1192</v>
      </c>
      <c r="C1501" s="1" t="s">
        <v>50</v>
      </c>
      <c r="D1501" s="1">
        <v>9.0</v>
      </c>
      <c r="E1501" s="1">
        <v>905.0</v>
      </c>
      <c r="F1501" s="1">
        <v>974.0</v>
      </c>
      <c r="G1501" s="1">
        <v>1476.0</v>
      </c>
      <c r="H1501" s="1">
        <v>0.6131</v>
      </c>
      <c r="I1501" s="1">
        <v>0.6599</v>
      </c>
      <c r="J1501" s="1">
        <v>-0.0467</v>
      </c>
      <c r="K1501" s="1">
        <v>646.0</v>
      </c>
    </row>
    <row r="1502">
      <c r="A1502" s="1" t="s">
        <v>22</v>
      </c>
      <c r="B1502" s="1" t="s">
        <v>1192</v>
      </c>
      <c r="C1502" s="1" t="s">
        <v>50</v>
      </c>
      <c r="D1502" s="1">
        <v>10.0</v>
      </c>
      <c r="E1502" s="1">
        <v>746.0</v>
      </c>
      <c r="F1502" s="1">
        <v>798.0</v>
      </c>
      <c r="G1502" s="1">
        <v>1476.0</v>
      </c>
      <c r="H1502" s="1">
        <v>0.5054</v>
      </c>
      <c r="I1502" s="1">
        <v>0.5407</v>
      </c>
      <c r="J1502" s="1">
        <v>-0.0352</v>
      </c>
      <c r="K1502" s="1">
        <v>601.0</v>
      </c>
    </row>
    <row r="1503">
      <c r="A1503" s="1" t="s">
        <v>22</v>
      </c>
      <c r="B1503" s="1" t="s">
        <v>1192</v>
      </c>
      <c r="C1503" s="1" t="s">
        <v>50</v>
      </c>
      <c r="D1503" s="1">
        <v>11.0</v>
      </c>
      <c r="E1503" s="1">
        <v>744.0</v>
      </c>
      <c r="F1503" s="1">
        <v>821.0</v>
      </c>
      <c r="G1503" s="1">
        <v>1476.0</v>
      </c>
      <c r="H1503" s="1">
        <v>0.5041</v>
      </c>
      <c r="I1503" s="1">
        <v>0.5562</v>
      </c>
      <c r="J1503" s="1">
        <v>-0.0522</v>
      </c>
      <c r="K1503" s="1">
        <v>611.0</v>
      </c>
    </row>
    <row r="1504">
      <c r="A1504" s="1" t="s">
        <v>22</v>
      </c>
      <c r="B1504" s="1" t="s">
        <v>1192</v>
      </c>
      <c r="C1504" s="1" t="s">
        <v>50</v>
      </c>
      <c r="D1504" s="1">
        <v>12.0</v>
      </c>
      <c r="E1504" s="1">
        <v>934.0</v>
      </c>
      <c r="F1504" s="1">
        <v>977.0</v>
      </c>
      <c r="G1504" s="1">
        <v>1476.0</v>
      </c>
      <c r="H1504" s="1">
        <v>0.6328</v>
      </c>
      <c r="I1504" s="1">
        <v>0.6619</v>
      </c>
      <c r="J1504" s="1">
        <v>-0.0291</v>
      </c>
      <c r="K1504" s="1">
        <v>590.0</v>
      </c>
    </row>
    <row r="1505">
      <c r="A1505" s="1" t="s">
        <v>22</v>
      </c>
      <c r="B1505" s="1" t="s">
        <v>1192</v>
      </c>
      <c r="C1505" s="1" t="s">
        <v>50</v>
      </c>
      <c r="D1505" s="1">
        <v>13.0</v>
      </c>
      <c r="E1505" s="1">
        <v>544.0</v>
      </c>
      <c r="F1505" s="1">
        <v>736.0</v>
      </c>
      <c r="G1505" s="1">
        <v>1476.0</v>
      </c>
      <c r="H1505" s="1">
        <v>0.3686</v>
      </c>
      <c r="I1505" s="1">
        <v>0.4986</v>
      </c>
      <c r="J1505" s="1">
        <v>-0.1301</v>
      </c>
      <c r="K1505" s="1">
        <v>580.0</v>
      </c>
    </row>
    <row r="1506">
      <c r="A1506" s="1" t="s">
        <v>22</v>
      </c>
      <c r="B1506" s="1" t="s">
        <v>1192</v>
      </c>
      <c r="C1506" s="1" t="s">
        <v>50</v>
      </c>
      <c r="D1506" s="1">
        <v>14.0</v>
      </c>
      <c r="E1506" s="1">
        <v>501.0</v>
      </c>
      <c r="F1506" s="1">
        <v>827.0</v>
      </c>
      <c r="G1506" s="1">
        <v>1476.0</v>
      </c>
      <c r="H1506" s="1">
        <v>0.3394</v>
      </c>
      <c r="I1506" s="1">
        <v>0.5603</v>
      </c>
      <c r="J1506" s="1">
        <v>-0.2209</v>
      </c>
      <c r="K1506" s="1">
        <v>576.0</v>
      </c>
    </row>
    <row r="1507">
      <c r="A1507" s="1" t="s">
        <v>22</v>
      </c>
      <c r="B1507" s="1" t="s">
        <v>1192</v>
      </c>
      <c r="C1507" s="1" t="s">
        <v>50</v>
      </c>
      <c r="D1507" s="1">
        <v>15.0</v>
      </c>
      <c r="E1507" s="1">
        <v>913.0</v>
      </c>
      <c r="F1507" s="1">
        <v>988.0</v>
      </c>
      <c r="G1507" s="1">
        <v>1476.0</v>
      </c>
      <c r="H1507" s="1">
        <v>0.6186</v>
      </c>
      <c r="I1507" s="1">
        <v>0.6694</v>
      </c>
      <c r="J1507" s="1">
        <v>-0.0508</v>
      </c>
      <c r="K1507" s="1">
        <v>677.0</v>
      </c>
    </row>
    <row r="1508">
      <c r="A1508" s="1" t="s">
        <v>22</v>
      </c>
      <c r="B1508" s="1" t="s">
        <v>1192</v>
      </c>
      <c r="C1508" s="1" t="s">
        <v>50</v>
      </c>
      <c r="D1508" s="1">
        <v>16.0</v>
      </c>
      <c r="E1508" s="1">
        <v>768.0</v>
      </c>
      <c r="F1508" s="1">
        <v>950.0</v>
      </c>
      <c r="G1508" s="1">
        <v>1476.0</v>
      </c>
      <c r="H1508" s="1">
        <v>0.5203</v>
      </c>
      <c r="I1508" s="1">
        <v>0.6436</v>
      </c>
      <c r="J1508" s="1">
        <v>-0.1233</v>
      </c>
      <c r="K1508" s="1">
        <v>649.0</v>
      </c>
    </row>
    <row r="1509">
      <c r="A1509" s="1" t="s">
        <v>22</v>
      </c>
      <c r="B1509" s="1" t="s">
        <v>1192</v>
      </c>
      <c r="C1509" s="1" t="s">
        <v>50</v>
      </c>
      <c r="D1509" s="1">
        <v>17.0</v>
      </c>
      <c r="E1509" s="1">
        <v>745.0</v>
      </c>
      <c r="F1509" s="1">
        <v>855.0</v>
      </c>
      <c r="G1509" s="1">
        <v>1476.0</v>
      </c>
      <c r="H1509" s="1">
        <v>0.5047</v>
      </c>
      <c r="I1509" s="1">
        <v>0.5793</v>
      </c>
      <c r="J1509" s="1">
        <v>-0.0745</v>
      </c>
      <c r="K1509" s="1">
        <v>626.0</v>
      </c>
    </row>
    <row r="1510">
      <c r="A1510" s="1" t="s">
        <v>22</v>
      </c>
      <c r="B1510" s="1" t="s">
        <v>1192</v>
      </c>
      <c r="C1510" s="1" t="s">
        <v>50</v>
      </c>
      <c r="D1510" s="1">
        <v>18.0</v>
      </c>
      <c r="E1510" s="1">
        <v>663.0</v>
      </c>
      <c r="F1510" s="1">
        <v>820.0</v>
      </c>
      <c r="G1510" s="1">
        <v>1476.0</v>
      </c>
      <c r="H1510" s="1">
        <v>0.4492</v>
      </c>
      <c r="I1510" s="1">
        <v>0.5556</v>
      </c>
      <c r="J1510" s="1">
        <v>-0.1064</v>
      </c>
      <c r="K1510" s="1">
        <v>603.0</v>
      </c>
    </row>
    <row r="1511">
      <c r="A1511" s="1" t="s">
        <v>22</v>
      </c>
      <c r="B1511" s="1" t="s">
        <v>1192</v>
      </c>
      <c r="C1511" s="1" t="s">
        <v>50</v>
      </c>
      <c r="D1511" s="1">
        <v>19.0</v>
      </c>
      <c r="E1511" s="1">
        <v>836.0</v>
      </c>
      <c r="F1511" s="1">
        <v>883.0</v>
      </c>
      <c r="G1511" s="1">
        <v>1476.0</v>
      </c>
      <c r="H1511" s="1">
        <v>0.5664</v>
      </c>
      <c r="I1511" s="1">
        <v>0.5982</v>
      </c>
      <c r="J1511" s="1">
        <v>-0.0318</v>
      </c>
      <c r="K1511" s="1">
        <v>582.0</v>
      </c>
    </row>
    <row r="1512">
      <c r="A1512" s="1" t="s">
        <v>22</v>
      </c>
      <c r="B1512" s="1" t="s">
        <v>1192</v>
      </c>
      <c r="C1512" s="1" t="s">
        <v>50</v>
      </c>
      <c r="D1512" s="1">
        <v>20.0</v>
      </c>
      <c r="E1512" s="1">
        <v>537.0</v>
      </c>
      <c r="F1512" s="1">
        <v>796.0</v>
      </c>
      <c r="G1512" s="1">
        <v>1476.0</v>
      </c>
      <c r="H1512" s="1">
        <v>0.3638</v>
      </c>
      <c r="I1512" s="1">
        <v>0.5393</v>
      </c>
      <c r="J1512" s="1">
        <v>-0.1755</v>
      </c>
      <c r="K1512" s="1">
        <v>558.0</v>
      </c>
    </row>
    <row r="1513">
      <c r="A1513" s="1" t="s">
        <v>22</v>
      </c>
      <c r="B1513" s="1" t="s">
        <v>1192</v>
      </c>
      <c r="C1513" s="1" t="s">
        <v>50</v>
      </c>
      <c r="D1513" s="1">
        <v>21.0</v>
      </c>
      <c r="E1513" s="1">
        <v>458.0</v>
      </c>
      <c r="F1513" s="1">
        <v>714.0</v>
      </c>
      <c r="G1513" s="1">
        <v>1476.0</v>
      </c>
      <c r="H1513" s="1">
        <v>0.3103</v>
      </c>
      <c r="I1513" s="1">
        <v>0.4837</v>
      </c>
      <c r="J1513" s="1">
        <v>-0.1734</v>
      </c>
      <c r="K1513" s="1">
        <v>568.0</v>
      </c>
    </row>
    <row r="1514">
      <c r="A1514" s="1" t="s">
        <v>22</v>
      </c>
      <c r="B1514" s="1" t="s">
        <v>1192</v>
      </c>
      <c r="C1514" s="1" t="s">
        <v>1209</v>
      </c>
      <c r="D1514" s="1">
        <v>1.0</v>
      </c>
      <c r="E1514" s="1">
        <v>720.0</v>
      </c>
      <c r="F1514" s="1">
        <v>1186.0</v>
      </c>
      <c r="G1514" s="1">
        <v>698.0</v>
      </c>
      <c r="H1514" s="1">
        <v>1.0315</v>
      </c>
      <c r="I1514" s="1">
        <v>1.6991</v>
      </c>
      <c r="J1514" s="1">
        <v>-0.6676</v>
      </c>
      <c r="K1514" s="1">
        <v>595.0</v>
      </c>
    </row>
    <row r="1515">
      <c r="A1515" s="1" t="s">
        <v>22</v>
      </c>
      <c r="B1515" s="1" t="s">
        <v>1192</v>
      </c>
      <c r="C1515" s="1" t="s">
        <v>1209</v>
      </c>
      <c r="D1515" s="1">
        <v>2.0</v>
      </c>
      <c r="E1515" s="1">
        <v>775.0</v>
      </c>
      <c r="F1515" s="1">
        <v>1270.0</v>
      </c>
      <c r="G1515" s="1">
        <v>698.0</v>
      </c>
      <c r="H1515" s="1">
        <v>1.1103</v>
      </c>
      <c r="I1515" s="1">
        <v>1.8195</v>
      </c>
      <c r="J1515" s="1">
        <v>-0.7092</v>
      </c>
      <c r="K1515" s="1">
        <v>613.0</v>
      </c>
    </row>
    <row r="1516">
      <c r="A1516" s="1" t="s">
        <v>22</v>
      </c>
      <c r="B1516" s="1" t="s">
        <v>1192</v>
      </c>
      <c r="C1516" s="1" t="s">
        <v>1209</v>
      </c>
      <c r="D1516" s="1">
        <v>3.0</v>
      </c>
      <c r="E1516" s="1">
        <v>610.0</v>
      </c>
      <c r="F1516" s="1">
        <v>989.0</v>
      </c>
      <c r="G1516" s="1">
        <v>698.0</v>
      </c>
      <c r="H1516" s="1">
        <v>0.8739</v>
      </c>
      <c r="I1516" s="1">
        <v>1.4169</v>
      </c>
      <c r="J1516" s="1">
        <v>-0.543</v>
      </c>
      <c r="K1516" s="1">
        <v>571.0</v>
      </c>
    </row>
    <row r="1517">
      <c r="A1517" s="1" t="s">
        <v>22</v>
      </c>
      <c r="B1517" s="1" t="s">
        <v>1192</v>
      </c>
      <c r="C1517" s="1" t="s">
        <v>1209</v>
      </c>
      <c r="D1517" s="1">
        <v>4.0</v>
      </c>
      <c r="E1517" s="1">
        <v>635.0</v>
      </c>
      <c r="F1517" s="1">
        <v>1244.0</v>
      </c>
      <c r="G1517" s="1">
        <v>698.0</v>
      </c>
      <c r="H1517" s="1">
        <v>0.9097</v>
      </c>
      <c r="I1517" s="1">
        <v>1.7822</v>
      </c>
      <c r="J1517" s="1">
        <v>-0.8725</v>
      </c>
      <c r="K1517" s="1">
        <v>567.0</v>
      </c>
    </row>
    <row r="1518">
      <c r="A1518" s="1" t="s">
        <v>22</v>
      </c>
      <c r="B1518" s="1" t="s">
        <v>1192</v>
      </c>
      <c r="C1518" s="1" t="s">
        <v>1209</v>
      </c>
      <c r="D1518" s="1">
        <v>5.0</v>
      </c>
      <c r="E1518" s="1">
        <v>1395.0</v>
      </c>
      <c r="F1518" s="1">
        <v>1780.0</v>
      </c>
      <c r="G1518" s="1">
        <v>698.0</v>
      </c>
      <c r="H1518" s="1">
        <v>1.9986</v>
      </c>
      <c r="I1518" s="1">
        <v>2.5501</v>
      </c>
      <c r="J1518" s="1">
        <v>-0.5516</v>
      </c>
      <c r="K1518" s="1">
        <v>570.0</v>
      </c>
    </row>
    <row r="1519">
      <c r="A1519" s="1" t="s">
        <v>22</v>
      </c>
      <c r="B1519" s="1" t="s">
        <v>1192</v>
      </c>
      <c r="C1519" s="1" t="s">
        <v>1209</v>
      </c>
      <c r="D1519" s="1">
        <v>6.0</v>
      </c>
      <c r="E1519" s="1">
        <v>1635.0</v>
      </c>
      <c r="F1519" s="1">
        <v>1869.0</v>
      </c>
      <c r="G1519" s="1">
        <v>698.0</v>
      </c>
      <c r="H1519" s="1">
        <v>2.3424</v>
      </c>
      <c r="I1519" s="1">
        <v>2.6777</v>
      </c>
      <c r="J1519" s="1">
        <v>-0.3352</v>
      </c>
      <c r="K1519" s="1">
        <v>545.0</v>
      </c>
    </row>
    <row r="1520">
      <c r="A1520" s="1" t="s">
        <v>22</v>
      </c>
      <c r="B1520" s="1" t="s">
        <v>1192</v>
      </c>
      <c r="C1520" s="1" t="s">
        <v>1209</v>
      </c>
      <c r="D1520" s="1">
        <v>7.0</v>
      </c>
      <c r="E1520" s="1">
        <v>2275.0</v>
      </c>
      <c r="F1520" s="1">
        <v>2007.0</v>
      </c>
      <c r="G1520" s="1">
        <v>698.0</v>
      </c>
      <c r="H1520" s="1">
        <v>3.2593</v>
      </c>
      <c r="I1520" s="1">
        <v>2.8754</v>
      </c>
      <c r="J1520" s="1">
        <v>0.384</v>
      </c>
      <c r="K1520" s="1">
        <v>578.0</v>
      </c>
    </row>
    <row r="1521">
      <c r="A1521" s="1" t="s">
        <v>22</v>
      </c>
      <c r="B1521" s="1" t="s">
        <v>1192</v>
      </c>
      <c r="C1521" s="1" t="s">
        <v>1209</v>
      </c>
      <c r="D1521" s="1">
        <v>8.0</v>
      </c>
      <c r="E1521" s="1">
        <v>1020.0</v>
      </c>
      <c r="F1521" s="1">
        <v>1667.0</v>
      </c>
      <c r="G1521" s="1">
        <v>698.0</v>
      </c>
      <c r="H1521" s="1">
        <v>1.4613</v>
      </c>
      <c r="I1521" s="1">
        <v>2.3883</v>
      </c>
      <c r="J1521" s="1">
        <v>-0.9269</v>
      </c>
      <c r="K1521" s="1">
        <v>634.0</v>
      </c>
    </row>
    <row r="1522">
      <c r="A1522" s="1" t="s">
        <v>22</v>
      </c>
      <c r="B1522" s="1" t="s">
        <v>1192</v>
      </c>
      <c r="C1522" s="1" t="s">
        <v>1209</v>
      </c>
      <c r="D1522" s="1">
        <v>9.0</v>
      </c>
      <c r="E1522" s="1">
        <v>660.0</v>
      </c>
      <c r="F1522" s="1">
        <v>1418.0</v>
      </c>
      <c r="G1522" s="1">
        <v>698.0</v>
      </c>
      <c r="H1522" s="1">
        <v>0.9456</v>
      </c>
      <c r="I1522" s="1">
        <v>2.0315</v>
      </c>
      <c r="J1522" s="1">
        <v>-1.086</v>
      </c>
      <c r="K1522" s="1">
        <v>646.0</v>
      </c>
    </row>
    <row r="1523">
      <c r="A1523" s="1" t="s">
        <v>22</v>
      </c>
      <c r="B1523" s="1" t="s">
        <v>1192</v>
      </c>
      <c r="C1523" s="1" t="s">
        <v>1209</v>
      </c>
      <c r="D1523" s="1">
        <v>10.0</v>
      </c>
      <c r="E1523" s="1">
        <v>580.0</v>
      </c>
      <c r="F1523" s="1">
        <v>1024.0</v>
      </c>
      <c r="G1523" s="1">
        <v>698.0</v>
      </c>
      <c r="H1523" s="1">
        <v>0.8309</v>
      </c>
      <c r="I1523" s="1">
        <v>1.467</v>
      </c>
      <c r="J1523" s="1">
        <v>-0.6361</v>
      </c>
      <c r="K1523" s="1">
        <v>601.0</v>
      </c>
    </row>
    <row r="1524">
      <c r="A1524" s="1" t="s">
        <v>22</v>
      </c>
      <c r="B1524" s="1" t="s">
        <v>1192</v>
      </c>
      <c r="C1524" s="1" t="s">
        <v>1209</v>
      </c>
      <c r="D1524" s="1">
        <v>11.0</v>
      </c>
      <c r="E1524" s="1">
        <v>3580.0</v>
      </c>
      <c r="F1524" s="1">
        <v>1217.0</v>
      </c>
      <c r="G1524" s="1">
        <v>698.0</v>
      </c>
      <c r="H1524" s="1">
        <v>5.1289</v>
      </c>
      <c r="I1524" s="1">
        <v>1.7436</v>
      </c>
      <c r="J1524" s="1">
        <v>3.3854</v>
      </c>
      <c r="K1524" s="1">
        <v>611.0</v>
      </c>
    </row>
    <row r="1525">
      <c r="A1525" s="1" t="s">
        <v>22</v>
      </c>
      <c r="B1525" s="1" t="s">
        <v>1192</v>
      </c>
      <c r="C1525" s="1" t="s">
        <v>1209</v>
      </c>
      <c r="D1525" s="1">
        <v>12.0</v>
      </c>
      <c r="E1525" s="1">
        <v>835.0</v>
      </c>
      <c r="F1525" s="1">
        <v>1228.0</v>
      </c>
      <c r="G1525" s="1">
        <v>698.0</v>
      </c>
      <c r="H1525" s="1">
        <v>1.1963</v>
      </c>
      <c r="I1525" s="1">
        <v>1.7593</v>
      </c>
      <c r="J1525" s="1">
        <v>-0.563</v>
      </c>
      <c r="K1525" s="1">
        <v>590.0</v>
      </c>
    </row>
    <row r="1526">
      <c r="A1526" s="1" t="s">
        <v>22</v>
      </c>
      <c r="B1526" s="1" t="s">
        <v>1192</v>
      </c>
      <c r="C1526" s="1" t="s">
        <v>1209</v>
      </c>
      <c r="D1526" s="1">
        <v>13.0</v>
      </c>
      <c r="E1526" s="1">
        <v>1445.0</v>
      </c>
      <c r="F1526" s="1">
        <v>1550.0</v>
      </c>
      <c r="G1526" s="1">
        <v>698.0</v>
      </c>
      <c r="H1526" s="1">
        <v>2.0702</v>
      </c>
      <c r="I1526" s="1">
        <v>2.2206</v>
      </c>
      <c r="J1526" s="1">
        <v>-0.1504</v>
      </c>
      <c r="K1526" s="1">
        <v>580.0</v>
      </c>
    </row>
    <row r="1527">
      <c r="A1527" s="1" t="s">
        <v>22</v>
      </c>
      <c r="B1527" s="1" t="s">
        <v>1192</v>
      </c>
      <c r="C1527" s="1" t="s">
        <v>1209</v>
      </c>
      <c r="D1527" s="1">
        <v>14.0</v>
      </c>
      <c r="E1527" s="1">
        <v>1475.0</v>
      </c>
      <c r="F1527" s="1">
        <v>1878.0</v>
      </c>
      <c r="G1527" s="1">
        <v>698.0</v>
      </c>
      <c r="H1527" s="1">
        <v>2.1132</v>
      </c>
      <c r="I1527" s="1">
        <v>2.6905</v>
      </c>
      <c r="J1527" s="1">
        <v>-0.5774</v>
      </c>
      <c r="K1527" s="1">
        <v>576.0</v>
      </c>
    </row>
    <row r="1528">
      <c r="A1528" s="1" t="s">
        <v>22</v>
      </c>
      <c r="B1528" s="1" t="s">
        <v>1192</v>
      </c>
      <c r="C1528" s="1" t="s">
        <v>1209</v>
      </c>
      <c r="D1528" s="1">
        <v>15.0</v>
      </c>
      <c r="E1528" s="1">
        <v>1595.0</v>
      </c>
      <c r="F1528" s="1">
        <v>2809.0</v>
      </c>
      <c r="G1528" s="1">
        <v>698.0</v>
      </c>
      <c r="H1528" s="1">
        <v>2.2851</v>
      </c>
      <c r="I1528" s="1">
        <v>4.0244</v>
      </c>
      <c r="J1528" s="1">
        <v>-1.7393</v>
      </c>
      <c r="K1528" s="1">
        <v>677.0</v>
      </c>
    </row>
    <row r="1529">
      <c r="A1529" s="1" t="s">
        <v>22</v>
      </c>
      <c r="B1529" s="1" t="s">
        <v>1192</v>
      </c>
      <c r="C1529" s="1" t="s">
        <v>1209</v>
      </c>
      <c r="D1529" s="1">
        <v>16.0</v>
      </c>
      <c r="E1529" s="1">
        <v>875.0</v>
      </c>
      <c r="F1529" s="1">
        <v>1320.0</v>
      </c>
      <c r="G1529" s="1">
        <v>698.0</v>
      </c>
      <c r="H1529" s="1">
        <v>1.2536</v>
      </c>
      <c r="I1529" s="1">
        <v>1.8911</v>
      </c>
      <c r="J1529" s="1">
        <v>-0.6375</v>
      </c>
      <c r="K1529" s="1">
        <v>649.0</v>
      </c>
    </row>
    <row r="1530">
      <c r="A1530" s="1" t="s">
        <v>22</v>
      </c>
      <c r="B1530" s="1" t="s">
        <v>1192</v>
      </c>
      <c r="C1530" s="1" t="s">
        <v>1209</v>
      </c>
      <c r="D1530" s="1">
        <v>17.0</v>
      </c>
      <c r="E1530" s="1">
        <v>700.0</v>
      </c>
      <c r="F1530" s="1">
        <v>1298.0</v>
      </c>
      <c r="G1530" s="1">
        <v>698.0</v>
      </c>
      <c r="H1530" s="1">
        <v>1.0029</v>
      </c>
      <c r="I1530" s="1">
        <v>1.8596</v>
      </c>
      <c r="J1530" s="1">
        <v>-0.8567</v>
      </c>
      <c r="K1530" s="1">
        <v>626.0</v>
      </c>
    </row>
    <row r="1531">
      <c r="A1531" s="1" t="s">
        <v>22</v>
      </c>
      <c r="B1531" s="1" t="s">
        <v>1192</v>
      </c>
      <c r="C1531" s="1" t="s">
        <v>1209</v>
      </c>
      <c r="D1531" s="1">
        <v>18.0</v>
      </c>
      <c r="E1531" s="1">
        <v>535.0</v>
      </c>
      <c r="F1531" s="1">
        <v>1352.0</v>
      </c>
      <c r="G1531" s="1">
        <v>698.0</v>
      </c>
      <c r="H1531" s="1">
        <v>0.7665</v>
      </c>
      <c r="I1531" s="1">
        <v>1.937</v>
      </c>
      <c r="J1531" s="1">
        <v>-1.1705</v>
      </c>
      <c r="K1531" s="1">
        <v>603.0</v>
      </c>
    </row>
    <row r="1532">
      <c r="A1532" s="1" t="s">
        <v>22</v>
      </c>
      <c r="B1532" s="1" t="s">
        <v>1192</v>
      </c>
      <c r="C1532" s="1" t="s">
        <v>1209</v>
      </c>
      <c r="D1532" s="1">
        <v>19.0</v>
      </c>
      <c r="E1532" s="1">
        <v>600.0</v>
      </c>
      <c r="F1532" s="1">
        <v>1076.0</v>
      </c>
      <c r="G1532" s="1">
        <v>698.0</v>
      </c>
      <c r="H1532" s="1">
        <v>0.8596</v>
      </c>
      <c r="I1532" s="1">
        <v>1.5415</v>
      </c>
      <c r="J1532" s="1">
        <v>-0.6819</v>
      </c>
      <c r="K1532" s="1">
        <v>582.0</v>
      </c>
    </row>
    <row r="1533">
      <c r="A1533" s="1" t="s">
        <v>22</v>
      </c>
      <c r="B1533" s="1" t="s">
        <v>1192</v>
      </c>
      <c r="C1533" s="1" t="s">
        <v>1209</v>
      </c>
      <c r="D1533" s="1">
        <v>20.0</v>
      </c>
      <c r="E1533" s="1">
        <v>825.0</v>
      </c>
      <c r="F1533" s="1">
        <v>2043.0</v>
      </c>
      <c r="G1533" s="1">
        <v>698.0</v>
      </c>
      <c r="H1533" s="1">
        <v>1.1819</v>
      </c>
      <c r="I1533" s="1">
        <v>2.9269</v>
      </c>
      <c r="J1533" s="1">
        <v>-1.745</v>
      </c>
      <c r="K1533" s="1">
        <v>558.0</v>
      </c>
    </row>
    <row r="1534">
      <c r="A1534" s="1" t="s">
        <v>22</v>
      </c>
      <c r="B1534" s="1" t="s">
        <v>1192</v>
      </c>
      <c r="C1534" s="1" t="s">
        <v>1209</v>
      </c>
      <c r="D1534" s="1">
        <v>21.0</v>
      </c>
      <c r="E1534" s="1">
        <v>1020.0</v>
      </c>
      <c r="F1534" s="1">
        <v>1828.0</v>
      </c>
      <c r="G1534" s="1">
        <v>698.0</v>
      </c>
      <c r="H1534" s="1">
        <v>1.4613</v>
      </c>
      <c r="I1534" s="1">
        <v>2.6189</v>
      </c>
      <c r="J1534" s="1">
        <v>-1.1576</v>
      </c>
      <c r="K1534" s="1">
        <v>568.0</v>
      </c>
    </row>
    <row r="1535">
      <c r="A1535" s="1" t="s">
        <v>22</v>
      </c>
      <c r="B1535" s="1" t="s">
        <v>1192</v>
      </c>
      <c r="C1535" s="1" t="s">
        <v>1210</v>
      </c>
      <c r="D1535" s="1">
        <v>1.0</v>
      </c>
      <c r="E1535" s="1">
        <v>2800.0</v>
      </c>
      <c r="F1535" s="1">
        <v>2305.0</v>
      </c>
      <c r="G1535" s="1">
        <v>1307.0</v>
      </c>
      <c r="H1535" s="1">
        <v>2.1423</v>
      </c>
      <c r="I1535" s="1">
        <v>1.7636</v>
      </c>
      <c r="J1535" s="1">
        <v>0.3787</v>
      </c>
      <c r="K1535" s="1">
        <v>595.0</v>
      </c>
    </row>
    <row r="1536">
      <c r="A1536" s="1" t="s">
        <v>22</v>
      </c>
      <c r="B1536" s="1" t="s">
        <v>1192</v>
      </c>
      <c r="C1536" s="1" t="s">
        <v>1210</v>
      </c>
      <c r="D1536" s="1">
        <v>2.0</v>
      </c>
      <c r="E1536" s="1">
        <v>2875.0</v>
      </c>
      <c r="F1536" s="1">
        <v>2215.0</v>
      </c>
      <c r="G1536" s="1">
        <v>1307.0</v>
      </c>
      <c r="H1536" s="1">
        <v>2.1997</v>
      </c>
      <c r="I1536" s="1">
        <v>1.6947</v>
      </c>
      <c r="J1536" s="1">
        <v>0.505</v>
      </c>
      <c r="K1536" s="1">
        <v>613.0</v>
      </c>
    </row>
    <row r="1537">
      <c r="A1537" s="1" t="s">
        <v>22</v>
      </c>
      <c r="B1537" s="1" t="s">
        <v>1192</v>
      </c>
      <c r="C1537" s="1" t="s">
        <v>1210</v>
      </c>
      <c r="D1537" s="1">
        <v>3.0</v>
      </c>
      <c r="E1537" s="1">
        <v>2770.0</v>
      </c>
      <c r="F1537" s="1">
        <v>1950.0</v>
      </c>
      <c r="G1537" s="1">
        <v>1307.0</v>
      </c>
      <c r="H1537" s="1">
        <v>2.1194</v>
      </c>
      <c r="I1537" s="1">
        <v>1.492</v>
      </c>
      <c r="J1537" s="1">
        <v>0.6274</v>
      </c>
      <c r="K1537" s="1">
        <v>571.0</v>
      </c>
    </row>
    <row r="1538">
      <c r="A1538" s="1" t="s">
        <v>22</v>
      </c>
      <c r="B1538" s="1" t="s">
        <v>1192</v>
      </c>
      <c r="C1538" s="1" t="s">
        <v>1210</v>
      </c>
      <c r="D1538" s="1">
        <v>4.0</v>
      </c>
      <c r="E1538" s="1">
        <v>2910.0</v>
      </c>
      <c r="F1538" s="1">
        <v>2319.0</v>
      </c>
      <c r="G1538" s="1">
        <v>1307.0</v>
      </c>
      <c r="H1538" s="1">
        <v>2.2265</v>
      </c>
      <c r="I1538" s="1">
        <v>1.7743</v>
      </c>
      <c r="J1538" s="1">
        <v>0.4522</v>
      </c>
      <c r="K1538" s="1">
        <v>567.0</v>
      </c>
    </row>
    <row r="1539">
      <c r="A1539" s="1" t="s">
        <v>22</v>
      </c>
      <c r="B1539" s="1" t="s">
        <v>1192</v>
      </c>
      <c r="C1539" s="1" t="s">
        <v>1210</v>
      </c>
      <c r="D1539" s="1">
        <v>5.0</v>
      </c>
      <c r="E1539" s="1">
        <v>4935.0</v>
      </c>
      <c r="F1539" s="1">
        <v>3648.0</v>
      </c>
      <c r="G1539" s="1">
        <v>1307.0</v>
      </c>
      <c r="H1539" s="1">
        <v>3.7758</v>
      </c>
      <c r="I1539" s="1">
        <v>2.7911</v>
      </c>
      <c r="J1539" s="1">
        <v>0.9847</v>
      </c>
      <c r="K1539" s="1">
        <v>570.0</v>
      </c>
    </row>
    <row r="1540">
      <c r="A1540" s="1" t="s">
        <v>22</v>
      </c>
      <c r="B1540" s="1" t="s">
        <v>1192</v>
      </c>
      <c r="C1540" s="1" t="s">
        <v>1210</v>
      </c>
      <c r="D1540" s="1">
        <v>6.0</v>
      </c>
      <c r="E1540" s="1">
        <v>3640.0</v>
      </c>
      <c r="F1540" s="1">
        <v>2671.0</v>
      </c>
      <c r="G1540" s="1">
        <v>1307.0</v>
      </c>
      <c r="H1540" s="1">
        <v>2.785</v>
      </c>
      <c r="I1540" s="1">
        <v>2.0436</v>
      </c>
      <c r="J1540" s="1">
        <v>0.7414</v>
      </c>
      <c r="K1540" s="1">
        <v>545.0</v>
      </c>
    </row>
    <row r="1541">
      <c r="A1541" s="1" t="s">
        <v>22</v>
      </c>
      <c r="B1541" s="1" t="s">
        <v>1192</v>
      </c>
      <c r="C1541" s="1" t="s">
        <v>1210</v>
      </c>
      <c r="D1541" s="1">
        <v>7.0</v>
      </c>
      <c r="E1541" s="1">
        <v>3750.0</v>
      </c>
      <c r="F1541" s="1">
        <v>2483.0</v>
      </c>
      <c r="G1541" s="1">
        <v>1307.0</v>
      </c>
      <c r="H1541" s="1">
        <v>2.8692</v>
      </c>
      <c r="I1541" s="1">
        <v>1.8998</v>
      </c>
      <c r="J1541" s="1">
        <v>0.9694</v>
      </c>
      <c r="K1541" s="1">
        <v>578.0</v>
      </c>
    </row>
    <row r="1542">
      <c r="A1542" s="1" t="s">
        <v>22</v>
      </c>
      <c r="B1542" s="1" t="s">
        <v>1192</v>
      </c>
      <c r="C1542" s="1" t="s">
        <v>1210</v>
      </c>
      <c r="D1542" s="1">
        <v>8.0</v>
      </c>
      <c r="E1542" s="1">
        <v>2385.0</v>
      </c>
      <c r="F1542" s="1">
        <v>2359.0</v>
      </c>
      <c r="G1542" s="1">
        <v>1307.0</v>
      </c>
      <c r="H1542" s="1">
        <v>1.8248</v>
      </c>
      <c r="I1542" s="1">
        <v>1.8049</v>
      </c>
      <c r="J1542" s="1">
        <v>0.0199</v>
      </c>
      <c r="K1542" s="1">
        <v>634.0</v>
      </c>
    </row>
    <row r="1543">
      <c r="A1543" s="1" t="s">
        <v>22</v>
      </c>
      <c r="B1543" s="1" t="s">
        <v>1192</v>
      </c>
      <c r="C1543" s="1" t="s">
        <v>1210</v>
      </c>
      <c r="D1543" s="1">
        <v>9.0</v>
      </c>
      <c r="E1543" s="1">
        <v>2210.0</v>
      </c>
      <c r="F1543" s="1">
        <v>2133.0</v>
      </c>
      <c r="G1543" s="1">
        <v>1307.0</v>
      </c>
      <c r="H1543" s="1">
        <v>1.6909</v>
      </c>
      <c r="I1543" s="1">
        <v>1.632</v>
      </c>
      <c r="J1543" s="1">
        <v>0.0589</v>
      </c>
      <c r="K1543" s="1">
        <v>646.0</v>
      </c>
    </row>
    <row r="1544">
      <c r="A1544" s="1" t="s">
        <v>22</v>
      </c>
      <c r="B1544" s="1" t="s">
        <v>1192</v>
      </c>
      <c r="C1544" s="1" t="s">
        <v>1210</v>
      </c>
      <c r="D1544" s="1">
        <v>10.0</v>
      </c>
      <c r="E1544" s="1">
        <v>2630.0</v>
      </c>
      <c r="F1544" s="1">
        <v>1966.0</v>
      </c>
      <c r="G1544" s="1">
        <v>1307.0</v>
      </c>
      <c r="H1544" s="1">
        <v>2.0122</v>
      </c>
      <c r="I1544" s="1">
        <v>1.5042</v>
      </c>
      <c r="J1544" s="1">
        <v>0.508</v>
      </c>
      <c r="K1544" s="1">
        <v>601.0</v>
      </c>
    </row>
    <row r="1545">
      <c r="A1545" s="1" t="s">
        <v>22</v>
      </c>
      <c r="B1545" s="1" t="s">
        <v>1192</v>
      </c>
      <c r="C1545" s="1" t="s">
        <v>1210</v>
      </c>
      <c r="D1545" s="1">
        <v>11.0</v>
      </c>
      <c r="E1545" s="1">
        <v>3265.0</v>
      </c>
      <c r="F1545" s="1">
        <v>2351.0</v>
      </c>
      <c r="G1545" s="1">
        <v>1307.0</v>
      </c>
      <c r="H1545" s="1">
        <v>2.4981</v>
      </c>
      <c r="I1545" s="1">
        <v>1.7988</v>
      </c>
      <c r="J1545" s="1">
        <v>0.6993</v>
      </c>
      <c r="K1545" s="1">
        <v>611.0</v>
      </c>
    </row>
    <row r="1546">
      <c r="A1546" s="1" t="s">
        <v>22</v>
      </c>
      <c r="B1546" s="1" t="s">
        <v>1192</v>
      </c>
      <c r="C1546" s="1" t="s">
        <v>1210</v>
      </c>
      <c r="D1546" s="1">
        <v>12.0</v>
      </c>
      <c r="E1546" s="1">
        <v>4550.0</v>
      </c>
      <c r="F1546" s="1">
        <v>3068.0</v>
      </c>
      <c r="G1546" s="1">
        <v>1307.0</v>
      </c>
      <c r="H1546" s="1">
        <v>3.4813</v>
      </c>
      <c r="I1546" s="1">
        <v>2.3474</v>
      </c>
      <c r="J1546" s="1">
        <v>1.1339</v>
      </c>
      <c r="K1546" s="1">
        <v>590.0</v>
      </c>
    </row>
    <row r="1547">
      <c r="A1547" s="1" t="s">
        <v>22</v>
      </c>
      <c r="B1547" s="1" t="s">
        <v>1192</v>
      </c>
      <c r="C1547" s="1" t="s">
        <v>1210</v>
      </c>
      <c r="D1547" s="1">
        <v>13.0</v>
      </c>
      <c r="E1547" s="1">
        <v>3065.0</v>
      </c>
      <c r="F1547" s="1">
        <v>2221.0</v>
      </c>
      <c r="G1547" s="1">
        <v>1307.0</v>
      </c>
      <c r="H1547" s="1">
        <v>2.3451</v>
      </c>
      <c r="I1547" s="1">
        <v>1.6993</v>
      </c>
      <c r="J1547" s="1">
        <v>0.6458</v>
      </c>
      <c r="K1547" s="1">
        <v>580.0</v>
      </c>
    </row>
    <row r="1548">
      <c r="A1548" s="1" t="s">
        <v>22</v>
      </c>
      <c r="B1548" s="1" t="s">
        <v>1192</v>
      </c>
      <c r="C1548" s="1" t="s">
        <v>1210</v>
      </c>
      <c r="D1548" s="1">
        <v>14.0</v>
      </c>
      <c r="E1548" s="1">
        <v>3110.0</v>
      </c>
      <c r="F1548" s="1">
        <v>2355.0</v>
      </c>
      <c r="G1548" s="1">
        <v>1307.0</v>
      </c>
      <c r="H1548" s="1">
        <v>2.3795</v>
      </c>
      <c r="I1548" s="1">
        <v>1.8018</v>
      </c>
      <c r="J1548" s="1">
        <v>0.5777</v>
      </c>
      <c r="K1548" s="1">
        <v>576.0</v>
      </c>
    </row>
    <row r="1549">
      <c r="A1549" s="1" t="s">
        <v>22</v>
      </c>
      <c r="B1549" s="1" t="s">
        <v>1192</v>
      </c>
      <c r="C1549" s="1" t="s">
        <v>1210</v>
      </c>
      <c r="D1549" s="1">
        <v>15.0</v>
      </c>
      <c r="E1549" s="1">
        <v>3385.0</v>
      </c>
      <c r="F1549" s="1">
        <v>3517.0</v>
      </c>
      <c r="G1549" s="1">
        <v>1307.0</v>
      </c>
      <c r="H1549" s="1">
        <v>2.5899</v>
      </c>
      <c r="I1549" s="1">
        <v>2.6909</v>
      </c>
      <c r="J1549" s="1">
        <v>-0.101</v>
      </c>
      <c r="K1549" s="1">
        <v>677.0</v>
      </c>
    </row>
    <row r="1550">
      <c r="A1550" s="1" t="s">
        <v>22</v>
      </c>
      <c r="B1550" s="1" t="s">
        <v>1192</v>
      </c>
      <c r="C1550" s="1" t="s">
        <v>1210</v>
      </c>
      <c r="D1550" s="1">
        <v>16.0</v>
      </c>
      <c r="E1550" s="1">
        <v>1940.0</v>
      </c>
      <c r="F1550" s="1">
        <v>1758.0</v>
      </c>
      <c r="G1550" s="1">
        <v>1307.0</v>
      </c>
      <c r="H1550" s="1">
        <v>1.4843</v>
      </c>
      <c r="I1550" s="1">
        <v>1.3451</v>
      </c>
      <c r="J1550" s="1">
        <v>0.1393</v>
      </c>
      <c r="K1550" s="1">
        <v>649.0</v>
      </c>
    </row>
    <row r="1551">
      <c r="A1551" s="1" t="s">
        <v>22</v>
      </c>
      <c r="B1551" s="1" t="s">
        <v>1192</v>
      </c>
      <c r="C1551" s="1" t="s">
        <v>1210</v>
      </c>
      <c r="D1551" s="1">
        <v>17.0</v>
      </c>
      <c r="E1551" s="1">
        <v>2180.0</v>
      </c>
      <c r="F1551" s="1">
        <v>2011.0</v>
      </c>
      <c r="G1551" s="1">
        <v>1307.0</v>
      </c>
      <c r="H1551" s="1">
        <v>1.6679</v>
      </c>
      <c r="I1551" s="1">
        <v>1.5386</v>
      </c>
      <c r="J1551" s="1">
        <v>0.1293</v>
      </c>
      <c r="K1551" s="1">
        <v>626.0</v>
      </c>
    </row>
    <row r="1552">
      <c r="A1552" s="1" t="s">
        <v>22</v>
      </c>
      <c r="B1552" s="1" t="s">
        <v>1192</v>
      </c>
      <c r="C1552" s="1" t="s">
        <v>1210</v>
      </c>
      <c r="D1552" s="1">
        <v>18.0</v>
      </c>
      <c r="E1552" s="1">
        <v>2670.0</v>
      </c>
      <c r="F1552" s="1">
        <v>2219.0</v>
      </c>
      <c r="G1552" s="1">
        <v>1307.0</v>
      </c>
      <c r="H1552" s="1">
        <v>2.0428</v>
      </c>
      <c r="I1552" s="1">
        <v>1.6978</v>
      </c>
      <c r="J1552" s="1">
        <v>0.3451</v>
      </c>
      <c r="K1552" s="1">
        <v>603.0</v>
      </c>
    </row>
    <row r="1553">
      <c r="A1553" s="1" t="s">
        <v>22</v>
      </c>
      <c r="B1553" s="1" t="s">
        <v>1192</v>
      </c>
      <c r="C1553" s="1" t="s">
        <v>1210</v>
      </c>
      <c r="D1553" s="1">
        <v>19.0</v>
      </c>
      <c r="E1553" s="1">
        <v>1870.0</v>
      </c>
      <c r="F1553" s="1">
        <v>1649.0</v>
      </c>
      <c r="G1553" s="1">
        <v>1307.0</v>
      </c>
      <c r="H1553" s="1">
        <v>1.4308</v>
      </c>
      <c r="I1553" s="1">
        <v>1.2617</v>
      </c>
      <c r="J1553" s="1">
        <v>0.1691</v>
      </c>
      <c r="K1553" s="1">
        <v>582.0</v>
      </c>
    </row>
    <row r="1554">
      <c r="A1554" s="1" t="s">
        <v>22</v>
      </c>
      <c r="B1554" s="1" t="s">
        <v>1192</v>
      </c>
      <c r="C1554" s="1" t="s">
        <v>1210</v>
      </c>
      <c r="D1554" s="1">
        <v>20.0</v>
      </c>
      <c r="E1554" s="1">
        <v>1935.0</v>
      </c>
      <c r="F1554" s="1">
        <v>2471.0</v>
      </c>
      <c r="G1554" s="1">
        <v>1307.0</v>
      </c>
      <c r="H1554" s="1">
        <v>1.4805</v>
      </c>
      <c r="I1554" s="1">
        <v>1.8906</v>
      </c>
      <c r="J1554" s="1">
        <v>-0.4101</v>
      </c>
      <c r="K1554" s="1">
        <v>558.0</v>
      </c>
    </row>
    <row r="1555">
      <c r="A1555" s="1" t="s">
        <v>22</v>
      </c>
      <c r="B1555" s="1" t="s">
        <v>1192</v>
      </c>
      <c r="C1555" s="1" t="s">
        <v>1210</v>
      </c>
      <c r="D1555" s="1">
        <v>21.0</v>
      </c>
      <c r="E1555" s="1">
        <v>1855.0</v>
      </c>
      <c r="F1555" s="1">
        <v>2218.0</v>
      </c>
      <c r="G1555" s="1">
        <v>1307.0</v>
      </c>
      <c r="H1555" s="1">
        <v>1.4193</v>
      </c>
      <c r="I1555" s="1">
        <v>1.697</v>
      </c>
      <c r="J1555" s="1">
        <v>-0.2777</v>
      </c>
      <c r="K1555" s="1">
        <v>568.0</v>
      </c>
    </row>
    <row r="1556">
      <c r="A1556" s="1" t="s">
        <v>22</v>
      </c>
      <c r="B1556" s="1" t="s">
        <v>1192</v>
      </c>
      <c r="C1556" s="1" t="s">
        <v>1211</v>
      </c>
      <c r="D1556" s="1">
        <v>1.0</v>
      </c>
      <c r="E1556" s="1">
        <v>5735.0</v>
      </c>
      <c r="F1556" s="1">
        <v>3513.0</v>
      </c>
      <c r="G1556" s="1">
        <v>1430.0</v>
      </c>
      <c r="H1556" s="1">
        <v>4.0105</v>
      </c>
      <c r="I1556" s="1">
        <v>2.4566</v>
      </c>
      <c r="J1556" s="1">
        <v>1.5538</v>
      </c>
      <c r="K1556" s="1">
        <v>595.0</v>
      </c>
    </row>
    <row r="1557">
      <c r="A1557" s="1" t="s">
        <v>22</v>
      </c>
      <c r="B1557" s="1" t="s">
        <v>1192</v>
      </c>
      <c r="C1557" s="1" t="s">
        <v>1211</v>
      </c>
      <c r="D1557" s="1">
        <v>2.0</v>
      </c>
      <c r="E1557" s="1">
        <v>7100.0</v>
      </c>
      <c r="F1557" s="1">
        <v>3939.0</v>
      </c>
      <c r="G1557" s="1">
        <v>1430.0</v>
      </c>
      <c r="H1557" s="1">
        <v>4.965</v>
      </c>
      <c r="I1557" s="1">
        <v>2.7545</v>
      </c>
      <c r="J1557" s="1">
        <v>2.2105</v>
      </c>
      <c r="K1557" s="1">
        <v>613.0</v>
      </c>
    </row>
    <row r="1558">
      <c r="A1558" s="1" t="s">
        <v>22</v>
      </c>
      <c r="B1558" s="1" t="s">
        <v>1192</v>
      </c>
      <c r="C1558" s="1" t="s">
        <v>1211</v>
      </c>
      <c r="D1558" s="1">
        <v>3.0</v>
      </c>
      <c r="E1558" s="1">
        <v>5685.0</v>
      </c>
      <c r="F1558" s="1">
        <v>3326.0</v>
      </c>
      <c r="G1558" s="1">
        <v>1430.0</v>
      </c>
      <c r="H1558" s="1">
        <v>3.9755</v>
      </c>
      <c r="I1558" s="1">
        <v>2.3259</v>
      </c>
      <c r="J1558" s="1">
        <v>1.6497</v>
      </c>
      <c r="K1558" s="1">
        <v>571.0</v>
      </c>
    </row>
    <row r="1559">
      <c r="A1559" s="1" t="s">
        <v>22</v>
      </c>
      <c r="B1559" s="1" t="s">
        <v>1192</v>
      </c>
      <c r="C1559" s="1" t="s">
        <v>1211</v>
      </c>
      <c r="D1559" s="1">
        <v>4.0</v>
      </c>
      <c r="E1559" s="1">
        <v>4520.0</v>
      </c>
      <c r="F1559" s="1">
        <v>3034.0</v>
      </c>
      <c r="G1559" s="1">
        <v>1430.0</v>
      </c>
      <c r="H1559" s="1">
        <v>3.1608</v>
      </c>
      <c r="I1559" s="1">
        <v>2.1217</v>
      </c>
      <c r="J1559" s="1">
        <v>1.0392</v>
      </c>
      <c r="K1559" s="1">
        <v>567.0</v>
      </c>
    </row>
    <row r="1560">
      <c r="A1560" s="1" t="s">
        <v>22</v>
      </c>
      <c r="B1560" s="1" t="s">
        <v>1192</v>
      </c>
      <c r="C1560" s="1" t="s">
        <v>1211</v>
      </c>
      <c r="D1560" s="1">
        <v>5.0</v>
      </c>
      <c r="E1560" s="1">
        <v>7155.0</v>
      </c>
      <c r="F1560" s="1">
        <v>4736.0</v>
      </c>
      <c r="G1560" s="1">
        <v>1430.0</v>
      </c>
      <c r="H1560" s="1">
        <v>5.0035</v>
      </c>
      <c r="I1560" s="1">
        <v>3.3119</v>
      </c>
      <c r="J1560" s="1">
        <v>1.6916</v>
      </c>
      <c r="K1560" s="1">
        <v>570.0</v>
      </c>
    </row>
    <row r="1561">
      <c r="A1561" s="1" t="s">
        <v>22</v>
      </c>
      <c r="B1561" s="1" t="s">
        <v>1192</v>
      </c>
      <c r="C1561" s="1" t="s">
        <v>1211</v>
      </c>
      <c r="D1561" s="1">
        <v>6.0</v>
      </c>
      <c r="E1561" s="1">
        <v>4880.0</v>
      </c>
      <c r="F1561" s="1">
        <v>3220.0</v>
      </c>
      <c r="G1561" s="1">
        <v>1430.0</v>
      </c>
      <c r="H1561" s="1">
        <v>3.4126</v>
      </c>
      <c r="I1561" s="1">
        <v>2.2517</v>
      </c>
      <c r="J1561" s="1">
        <v>1.1608</v>
      </c>
      <c r="K1561" s="1">
        <v>545.0</v>
      </c>
    </row>
    <row r="1562">
      <c r="A1562" s="1" t="s">
        <v>22</v>
      </c>
      <c r="B1562" s="1" t="s">
        <v>1192</v>
      </c>
      <c r="C1562" s="1" t="s">
        <v>1211</v>
      </c>
      <c r="D1562" s="1">
        <v>7.0</v>
      </c>
      <c r="E1562" s="1">
        <v>5475.0</v>
      </c>
      <c r="F1562" s="1">
        <v>3219.0</v>
      </c>
      <c r="G1562" s="1">
        <v>1430.0</v>
      </c>
      <c r="H1562" s="1">
        <v>3.8287</v>
      </c>
      <c r="I1562" s="1">
        <v>2.251</v>
      </c>
      <c r="J1562" s="1">
        <v>1.5776</v>
      </c>
      <c r="K1562" s="1">
        <v>578.0</v>
      </c>
    </row>
    <row r="1563">
      <c r="A1563" s="1" t="s">
        <v>22</v>
      </c>
      <c r="B1563" s="1" t="s">
        <v>1192</v>
      </c>
      <c r="C1563" s="1" t="s">
        <v>1211</v>
      </c>
      <c r="D1563" s="1">
        <v>8.0</v>
      </c>
      <c r="E1563" s="1">
        <v>6060.0</v>
      </c>
      <c r="F1563" s="1">
        <v>3968.0</v>
      </c>
      <c r="G1563" s="1">
        <v>1430.0</v>
      </c>
      <c r="H1563" s="1">
        <v>4.2378</v>
      </c>
      <c r="I1563" s="1">
        <v>2.7748</v>
      </c>
      <c r="J1563" s="1">
        <v>1.4629</v>
      </c>
      <c r="K1563" s="1">
        <v>634.0</v>
      </c>
    </row>
    <row r="1564">
      <c r="A1564" s="1" t="s">
        <v>22</v>
      </c>
      <c r="B1564" s="1" t="s">
        <v>1192</v>
      </c>
      <c r="C1564" s="1" t="s">
        <v>1211</v>
      </c>
      <c r="D1564" s="1">
        <v>9.0</v>
      </c>
      <c r="E1564" s="1">
        <v>6200.0</v>
      </c>
      <c r="F1564" s="1">
        <v>3895.0</v>
      </c>
      <c r="G1564" s="1">
        <v>1430.0</v>
      </c>
      <c r="H1564" s="1">
        <v>4.3357</v>
      </c>
      <c r="I1564" s="1">
        <v>2.7238</v>
      </c>
      <c r="J1564" s="1">
        <v>1.6119</v>
      </c>
      <c r="K1564" s="1">
        <v>646.0</v>
      </c>
    </row>
    <row r="1565">
      <c r="A1565" s="1" t="s">
        <v>22</v>
      </c>
      <c r="B1565" s="1" t="s">
        <v>1192</v>
      </c>
      <c r="C1565" s="1" t="s">
        <v>1211</v>
      </c>
      <c r="D1565" s="1">
        <v>10.0</v>
      </c>
      <c r="E1565" s="1">
        <v>4810.0</v>
      </c>
      <c r="F1565" s="1">
        <v>2834.0</v>
      </c>
      <c r="G1565" s="1">
        <v>1430.0</v>
      </c>
      <c r="H1565" s="1">
        <v>3.3636</v>
      </c>
      <c r="I1565" s="1">
        <v>1.9818</v>
      </c>
      <c r="J1565" s="1">
        <v>1.3818</v>
      </c>
      <c r="K1565" s="1">
        <v>601.0</v>
      </c>
    </row>
    <row r="1566">
      <c r="A1566" s="1" t="s">
        <v>22</v>
      </c>
      <c r="B1566" s="1" t="s">
        <v>1192</v>
      </c>
      <c r="C1566" s="1" t="s">
        <v>1211</v>
      </c>
      <c r="D1566" s="1">
        <v>11.0</v>
      </c>
      <c r="E1566" s="1">
        <v>4895.0</v>
      </c>
      <c r="F1566" s="1">
        <v>3039.0</v>
      </c>
      <c r="G1566" s="1">
        <v>1430.0</v>
      </c>
      <c r="H1566" s="1">
        <v>3.4231</v>
      </c>
      <c r="I1566" s="1">
        <v>2.1252</v>
      </c>
      <c r="J1566" s="1">
        <v>1.2979</v>
      </c>
      <c r="K1566" s="1">
        <v>611.0</v>
      </c>
    </row>
    <row r="1567">
      <c r="A1567" s="1" t="s">
        <v>22</v>
      </c>
      <c r="B1567" s="1" t="s">
        <v>1192</v>
      </c>
      <c r="C1567" s="1" t="s">
        <v>1211</v>
      </c>
      <c r="D1567" s="1">
        <v>12.0</v>
      </c>
      <c r="E1567" s="1">
        <v>6025.0</v>
      </c>
      <c r="F1567" s="1">
        <v>3732.0</v>
      </c>
      <c r="G1567" s="1">
        <v>1430.0</v>
      </c>
      <c r="H1567" s="1">
        <v>4.2133</v>
      </c>
      <c r="I1567" s="1">
        <v>2.6098</v>
      </c>
      <c r="J1567" s="1">
        <v>1.6035</v>
      </c>
      <c r="K1567" s="1">
        <v>590.0</v>
      </c>
    </row>
    <row r="1568">
      <c r="A1568" s="1" t="s">
        <v>22</v>
      </c>
      <c r="B1568" s="1" t="s">
        <v>1192</v>
      </c>
      <c r="C1568" s="1" t="s">
        <v>1211</v>
      </c>
      <c r="D1568" s="1">
        <v>13.0</v>
      </c>
      <c r="E1568" s="1">
        <v>4360.0</v>
      </c>
      <c r="F1568" s="1">
        <v>2760.0</v>
      </c>
      <c r="G1568" s="1">
        <v>1430.0</v>
      </c>
      <c r="H1568" s="1">
        <v>3.049</v>
      </c>
      <c r="I1568" s="1">
        <v>1.9301</v>
      </c>
      <c r="J1568" s="1">
        <v>1.1189</v>
      </c>
      <c r="K1568" s="1">
        <v>580.0</v>
      </c>
    </row>
    <row r="1569">
      <c r="A1569" s="1" t="s">
        <v>22</v>
      </c>
      <c r="B1569" s="1" t="s">
        <v>1192</v>
      </c>
      <c r="C1569" s="1" t="s">
        <v>1211</v>
      </c>
      <c r="D1569" s="1">
        <v>14.0</v>
      </c>
      <c r="E1569" s="1">
        <v>3770.0</v>
      </c>
      <c r="F1569" s="1">
        <v>2697.0</v>
      </c>
      <c r="G1569" s="1">
        <v>1430.0</v>
      </c>
      <c r="H1569" s="1">
        <v>2.6364</v>
      </c>
      <c r="I1569" s="1">
        <v>1.886</v>
      </c>
      <c r="J1569" s="1">
        <v>0.7503</v>
      </c>
      <c r="K1569" s="1">
        <v>576.0</v>
      </c>
    </row>
    <row r="1570">
      <c r="A1570" s="1" t="s">
        <v>22</v>
      </c>
      <c r="B1570" s="1" t="s">
        <v>1192</v>
      </c>
      <c r="C1570" s="1" t="s">
        <v>1211</v>
      </c>
      <c r="D1570" s="1">
        <v>15.0</v>
      </c>
      <c r="E1570" s="1">
        <v>6330.0</v>
      </c>
      <c r="F1570" s="1">
        <v>4798.0</v>
      </c>
      <c r="G1570" s="1">
        <v>1430.0</v>
      </c>
      <c r="H1570" s="1">
        <v>4.4266</v>
      </c>
      <c r="I1570" s="1">
        <v>3.3552</v>
      </c>
      <c r="J1570" s="1">
        <v>1.0713</v>
      </c>
      <c r="K1570" s="1">
        <v>677.0</v>
      </c>
    </row>
    <row r="1571">
      <c r="A1571" s="1" t="s">
        <v>22</v>
      </c>
      <c r="B1571" s="1" t="s">
        <v>1192</v>
      </c>
      <c r="C1571" s="1" t="s">
        <v>1211</v>
      </c>
      <c r="D1571" s="1">
        <v>16.0</v>
      </c>
      <c r="E1571" s="1">
        <v>5405.0</v>
      </c>
      <c r="F1571" s="1">
        <v>3369.0</v>
      </c>
      <c r="G1571" s="1">
        <v>1430.0</v>
      </c>
      <c r="H1571" s="1">
        <v>3.7797</v>
      </c>
      <c r="I1571" s="1">
        <v>2.3559</v>
      </c>
      <c r="J1571" s="1">
        <v>1.4238</v>
      </c>
      <c r="K1571" s="1">
        <v>649.0</v>
      </c>
    </row>
    <row r="1572">
      <c r="A1572" s="1" t="s">
        <v>22</v>
      </c>
      <c r="B1572" s="1" t="s">
        <v>1192</v>
      </c>
      <c r="C1572" s="1" t="s">
        <v>1211</v>
      </c>
      <c r="D1572" s="1">
        <v>17.0</v>
      </c>
      <c r="E1572" s="1">
        <v>4685.0</v>
      </c>
      <c r="F1572" s="1">
        <v>3104.0</v>
      </c>
      <c r="G1572" s="1">
        <v>1430.0</v>
      </c>
      <c r="H1572" s="1">
        <v>3.2762</v>
      </c>
      <c r="I1572" s="1">
        <v>2.1706</v>
      </c>
      <c r="J1572" s="1">
        <v>1.1056</v>
      </c>
      <c r="K1572" s="1">
        <v>626.0</v>
      </c>
    </row>
    <row r="1573">
      <c r="A1573" s="1" t="s">
        <v>22</v>
      </c>
      <c r="B1573" s="1" t="s">
        <v>1192</v>
      </c>
      <c r="C1573" s="1" t="s">
        <v>1211</v>
      </c>
      <c r="D1573" s="1">
        <v>18.0</v>
      </c>
      <c r="E1573" s="1">
        <v>4140.0</v>
      </c>
      <c r="F1573" s="1">
        <v>2939.0</v>
      </c>
      <c r="G1573" s="1">
        <v>1430.0</v>
      </c>
      <c r="H1573" s="1">
        <v>2.8951</v>
      </c>
      <c r="I1573" s="1">
        <v>2.0552</v>
      </c>
      <c r="J1573" s="1">
        <v>0.8399</v>
      </c>
      <c r="K1573" s="1">
        <v>603.0</v>
      </c>
    </row>
    <row r="1574">
      <c r="A1574" s="1" t="s">
        <v>22</v>
      </c>
      <c r="B1574" s="1" t="s">
        <v>1192</v>
      </c>
      <c r="C1574" s="1" t="s">
        <v>1211</v>
      </c>
      <c r="D1574" s="1">
        <v>19.0</v>
      </c>
      <c r="E1574" s="1">
        <v>2650.0</v>
      </c>
      <c r="F1574" s="1">
        <v>2074.0</v>
      </c>
      <c r="G1574" s="1">
        <v>1430.0</v>
      </c>
      <c r="H1574" s="1">
        <v>1.8531</v>
      </c>
      <c r="I1574" s="1">
        <v>1.4503</v>
      </c>
      <c r="J1574" s="1">
        <v>0.4028</v>
      </c>
      <c r="K1574" s="1">
        <v>582.0</v>
      </c>
    </row>
    <row r="1575">
      <c r="A1575" s="1" t="s">
        <v>22</v>
      </c>
      <c r="B1575" s="1" t="s">
        <v>1192</v>
      </c>
      <c r="C1575" s="1" t="s">
        <v>1211</v>
      </c>
      <c r="D1575" s="1">
        <v>20.0</v>
      </c>
      <c r="E1575" s="1">
        <v>3070.0</v>
      </c>
      <c r="F1575" s="1">
        <v>2821.0</v>
      </c>
      <c r="G1575" s="1">
        <v>1430.0</v>
      </c>
      <c r="H1575" s="1">
        <v>2.1469</v>
      </c>
      <c r="I1575" s="1">
        <v>1.9727</v>
      </c>
      <c r="J1575" s="1">
        <v>0.1741</v>
      </c>
      <c r="K1575" s="1">
        <v>558.0</v>
      </c>
    </row>
    <row r="1576">
      <c r="A1576" s="1" t="s">
        <v>22</v>
      </c>
      <c r="B1576" s="1" t="s">
        <v>1192</v>
      </c>
      <c r="C1576" s="1" t="s">
        <v>1211</v>
      </c>
      <c r="D1576" s="1">
        <v>21.0</v>
      </c>
      <c r="E1576" s="1">
        <v>2710.0</v>
      </c>
      <c r="F1576" s="1">
        <v>2500.0</v>
      </c>
      <c r="G1576" s="1">
        <v>1430.0</v>
      </c>
      <c r="H1576" s="1">
        <v>1.8951</v>
      </c>
      <c r="I1576" s="1">
        <v>1.7483</v>
      </c>
      <c r="J1576" s="1">
        <v>0.1469</v>
      </c>
      <c r="K1576" s="1">
        <v>568.0</v>
      </c>
    </row>
    <row r="1577">
      <c r="A1577" s="1" t="s">
        <v>22</v>
      </c>
      <c r="B1577" s="1" t="s">
        <v>1192</v>
      </c>
      <c r="C1577" s="1" t="s">
        <v>55</v>
      </c>
      <c r="D1577" s="1">
        <v>1.0</v>
      </c>
      <c r="E1577" s="1">
        <v>159380.0</v>
      </c>
      <c r="F1577" s="1">
        <v>0.0</v>
      </c>
      <c r="G1577" s="1">
        <v>1536.0</v>
      </c>
      <c r="H1577" s="1">
        <v>103.763</v>
      </c>
      <c r="I1577" s="1">
        <v>0.0</v>
      </c>
      <c r="J1577" s="1">
        <v>103.763</v>
      </c>
      <c r="K1577" s="1">
        <v>595.0</v>
      </c>
    </row>
    <row r="1578">
      <c r="A1578" s="1" t="s">
        <v>22</v>
      </c>
      <c r="B1578" s="1" t="s">
        <v>1192</v>
      </c>
      <c r="C1578" s="1" t="s">
        <v>55</v>
      </c>
      <c r="D1578" s="1">
        <v>2.0</v>
      </c>
      <c r="E1578" s="1">
        <v>139490.0</v>
      </c>
      <c r="F1578" s="1">
        <v>0.0</v>
      </c>
      <c r="G1578" s="1">
        <v>1536.0</v>
      </c>
      <c r="H1578" s="1">
        <v>90.8138</v>
      </c>
      <c r="I1578" s="1">
        <v>0.0</v>
      </c>
      <c r="J1578" s="1">
        <v>90.8138</v>
      </c>
      <c r="K1578" s="1">
        <v>613.0</v>
      </c>
    </row>
    <row r="1579">
      <c r="A1579" s="1" t="s">
        <v>22</v>
      </c>
      <c r="B1579" s="1" t="s">
        <v>1192</v>
      </c>
      <c r="C1579" s="1" t="s">
        <v>55</v>
      </c>
      <c r="D1579" s="1">
        <v>3.0</v>
      </c>
      <c r="E1579" s="1">
        <v>140654.0</v>
      </c>
      <c r="F1579" s="1">
        <v>0.0</v>
      </c>
      <c r="G1579" s="1">
        <v>1536.0</v>
      </c>
      <c r="H1579" s="1">
        <v>91.5716</v>
      </c>
      <c r="I1579" s="1">
        <v>0.0</v>
      </c>
      <c r="J1579" s="1">
        <v>91.5716</v>
      </c>
      <c r="K1579" s="1">
        <v>571.0</v>
      </c>
    </row>
    <row r="1580">
      <c r="A1580" s="1" t="s">
        <v>22</v>
      </c>
      <c r="B1580" s="1" t="s">
        <v>1192</v>
      </c>
      <c r="C1580" s="1" t="s">
        <v>55</v>
      </c>
      <c r="D1580" s="1">
        <v>4.0</v>
      </c>
      <c r="E1580" s="1">
        <v>129051.0</v>
      </c>
      <c r="F1580" s="1">
        <v>0.0</v>
      </c>
      <c r="G1580" s="1">
        <v>1536.0</v>
      </c>
      <c r="H1580" s="1">
        <v>84.0176</v>
      </c>
      <c r="I1580" s="1">
        <v>0.0</v>
      </c>
      <c r="J1580" s="1">
        <v>84.0176</v>
      </c>
      <c r="K1580" s="1">
        <v>567.0</v>
      </c>
    </row>
    <row r="1581">
      <c r="A1581" s="1" t="s">
        <v>22</v>
      </c>
      <c r="B1581" s="1" t="s">
        <v>1192</v>
      </c>
      <c r="C1581" s="1" t="s">
        <v>55</v>
      </c>
      <c r="D1581" s="1">
        <v>5.0</v>
      </c>
      <c r="E1581" s="1">
        <v>124491.0</v>
      </c>
      <c r="F1581" s="1">
        <v>0.0</v>
      </c>
      <c r="G1581" s="1">
        <v>1536.0</v>
      </c>
      <c r="H1581" s="1">
        <v>81.0488</v>
      </c>
      <c r="I1581" s="1">
        <v>0.0</v>
      </c>
      <c r="J1581" s="1">
        <v>81.0488</v>
      </c>
      <c r="K1581" s="1">
        <v>570.0</v>
      </c>
    </row>
    <row r="1582">
      <c r="A1582" s="1" t="s">
        <v>22</v>
      </c>
      <c r="B1582" s="1" t="s">
        <v>1192</v>
      </c>
      <c r="C1582" s="1" t="s">
        <v>55</v>
      </c>
      <c r="D1582" s="1">
        <v>6.0</v>
      </c>
      <c r="E1582" s="1">
        <v>105205.0</v>
      </c>
      <c r="F1582" s="1">
        <v>0.0</v>
      </c>
      <c r="G1582" s="1">
        <v>1536.0</v>
      </c>
      <c r="H1582" s="1">
        <v>68.4928</v>
      </c>
      <c r="I1582" s="1">
        <v>0.0</v>
      </c>
      <c r="J1582" s="1">
        <v>68.4928</v>
      </c>
      <c r="K1582" s="1">
        <v>545.0</v>
      </c>
    </row>
    <row r="1583">
      <c r="A1583" s="1" t="s">
        <v>22</v>
      </c>
      <c r="B1583" s="1" t="s">
        <v>1192</v>
      </c>
      <c r="C1583" s="1" t="s">
        <v>55</v>
      </c>
      <c r="D1583" s="1">
        <v>7.0</v>
      </c>
      <c r="E1583" s="1">
        <v>114556.0</v>
      </c>
      <c r="F1583" s="1">
        <v>1.0</v>
      </c>
      <c r="G1583" s="1">
        <v>1536.0</v>
      </c>
      <c r="H1583" s="1">
        <v>74.5807</v>
      </c>
      <c r="I1583" s="1">
        <v>7.0E-4</v>
      </c>
      <c r="J1583" s="1">
        <v>74.5801</v>
      </c>
      <c r="K1583" s="1">
        <v>578.0</v>
      </c>
    </row>
    <row r="1584">
      <c r="A1584" s="1" t="s">
        <v>22</v>
      </c>
      <c r="B1584" s="1" t="s">
        <v>1192</v>
      </c>
      <c r="C1584" s="1" t="s">
        <v>55</v>
      </c>
      <c r="D1584" s="1">
        <v>8.0</v>
      </c>
      <c r="E1584" s="1">
        <v>163106.0</v>
      </c>
      <c r="F1584" s="1">
        <v>0.0</v>
      </c>
      <c r="G1584" s="1">
        <v>1536.0</v>
      </c>
      <c r="H1584" s="1">
        <v>106.1888</v>
      </c>
      <c r="I1584" s="1">
        <v>0.0</v>
      </c>
      <c r="J1584" s="1">
        <v>106.1888</v>
      </c>
      <c r="K1584" s="1">
        <v>634.0</v>
      </c>
    </row>
    <row r="1585">
      <c r="A1585" s="1" t="s">
        <v>22</v>
      </c>
      <c r="B1585" s="1" t="s">
        <v>1192</v>
      </c>
      <c r="C1585" s="1" t="s">
        <v>55</v>
      </c>
      <c r="D1585" s="1">
        <v>9.0</v>
      </c>
      <c r="E1585" s="1">
        <v>144310.0</v>
      </c>
      <c r="F1585" s="1">
        <v>0.0</v>
      </c>
      <c r="G1585" s="1">
        <v>1536.0</v>
      </c>
      <c r="H1585" s="1">
        <v>93.9518</v>
      </c>
      <c r="I1585" s="1">
        <v>0.0</v>
      </c>
      <c r="J1585" s="1">
        <v>93.9518</v>
      </c>
      <c r="K1585" s="1">
        <v>646.0</v>
      </c>
    </row>
    <row r="1586">
      <c r="A1586" s="1" t="s">
        <v>22</v>
      </c>
      <c r="B1586" s="1" t="s">
        <v>1192</v>
      </c>
      <c r="C1586" s="1" t="s">
        <v>55</v>
      </c>
      <c r="D1586" s="1">
        <v>10.0</v>
      </c>
      <c r="E1586" s="1">
        <v>120549.0</v>
      </c>
      <c r="F1586" s="1">
        <v>0.0</v>
      </c>
      <c r="G1586" s="1">
        <v>1536.0</v>
      </c>
      <c r="H1586" s="1">
        <v>78.4824</v>
      </c>
      <c r="I1586" s="1">
        <v>0.0</v>
      </c>
      <c r="J1586" s="1">
        <v>78.4824</v>
      </c>
      <c r="K1586" s="1">
        <v>601.0</v>
      </c>
    </row>
    <row r="1587">
      <c r="A1587" s="1" t="s">
        <v>22</v>
      </c>
      <c r="B1587" s="1" t="s">
        <v>1192</v>
      </c>
      <c r="C1587" s="1" t="s">
        <v>55</v>
      </c>
      <c r="D1587" s="1">
        <v>11.0</v>
      </c>
      <c r="E1587" s="1">
        <v>127545.0</v>
      </c>
      <c r="F1587" s="1">
        <v>0.0</v>
      </c>
      <c r="G1587" s="1">
        <v>1536.0</v>
      </c>
      <c r="H1587" s="1">
        <v>83.0371</v>
      </c>
      <c r="I1587" s="1">
        <v>0.0</v>
      </c>
      <c r="J1587" s="1">
        <v>83.0371</v>
      </c>
      <c r="K1587" s="1">
        <v>611.0</v>
      </c>
    </row>
    <row r="1588">
      <c r="A1588" s="1" t="s">
        <v>22</v>
      </c>
      <c r="B1588" s="1" t="s">
        <v>1192</v>
      </c>
      <c r="C1588" s="1" t="s">
        <v>55</v>
      </c>
      <c r="D1588" s="1">
        <v>12.0</v>
      </c>
      <c r="E1588" s="1">
        <v>112645.0</v>
      </c>
      <c r="F1588" s="1">
        <v>0.0</v>
      </c>
      <c r="G1588" s="1">
        <v>1536.0</v>
      </c>
      <c r="H1588" s="1">
        <v>73.3366</v>
      </c>
      <c r="I1588" s="1">
        <v>0.0</v>
      </c>
      <c r="J1588" s="1">
        <v>73.3366</v>
      </c>
      <c r="K1588" s="1">
        <v>590.0</v>
      </c>
    </row>
    <row r="1589">
      <c r="A1589" s="1" t="s">
        <v>22</v>
      </c>
      <c r="B1589" s="1" t="s">
        <v>1192</v>
      </c>
      <c r="C1589" s="1" t="s">
        <v>55</v>
      </c>
      <c r="D1589" s="1">
        <v>13.0</v>
      </c>
      <c r="E1589" s="1">
        <v>94562.0</v>
      </c>
      <c r="F1589" s="1">
        <v>0.0</v>
      </c>
      <c r="G1589" s="1">
        <v>1536.0</v>
      </c>
      <c r="H1589" s="1">
        <v>61.5638</v>
      </c>
      <c r="I1589" s="1">
        <v>0.0</v>
      </c>
      <c r="J1589" s="1">
        <v>61.5638</v>
      </c>
      <c r="K1589" s="1">
        <v>580.0</v>
      </c>
    </row>
    <row r="1590">
      <c r="A1590" s="1" t="s">
        <v>22</v>
      </c>
      <c r="B1590" s="1" t="s">
        <v>1192</v>
      </c>
      <c r="C1590" s="1" t="s">
        <v>55</v>
      </c>
      <c r="D1590" s="1">
        <v>14.0</v>
      </c>
      <c r="E1590" s="1">
        <v>97880.0</v>
      </c>
      <c r="F1590" s="1">
        <v>0.0</v>
      </c>
      <c r="G1590" s="1">
        <v>1536.0</v>
      </c>
      <c r="H1590" s="1">
        <v>63.724</v>
      </c>
      <c r="I1590" s="1">
        <v>0.0</v>
      </c>
      <c r="J1590" s="1">
        <v>63.724</v>
      </c>
      <c r="K1590" s="1">
        <v>576.0</v>
      </c>
    </row>
    <row r="1591">
      <c r="A1591" s="1" t="s">
        <v>22</v>
      </c>
      <c r="B1591" s="1" t="s">
        <v>1192</v>
      </c>
      <c r="C1591" s="1" t="s">
        <v>55</v>
      </c>
      <c r="D1591" s="1">
        <v>15.0</v>
      </c>
      <c r="E1591" s="1">
        <v>161920.0</v>
      </c>
      <c r="F1591" s="1">
        <v>0.0</v>
      </c>
      <c r="G1591" s="1">
        <v>1536.0</v>
      </c>
      <c r="H1591" s="1">
        <v>105.4167</v>
      </c>
      <c r="I1591" s="1">
        <v>0.0</v>
      </c>
      <c r="J1591" s="1">
        <v>105.4167</v>
      </c>
      <c r="K1591" s="1">
        <v>677.0</v>
      </c>
    </row>
    <row r="1592">
      <c r="A1592" s="1" t="s">
        <v>22</v>
      </c>
      <c r="B1592" s="1" t="s">
        <v>1192</v>
      </c>
      <c r="C1592" s="1" t="s">
        <v>55</v>
      </c>
      <c r="D1592" s="1">
        <v>16.0</v>
      </c>
      <c r="E1592" s="1">
        <v>127315.0</v>
      </c>
      <c r="F1592" s="1">
        <v>0.0</v>
      </c>
      <c r="G1592" s="1">
        <v>1536.0</v>
      </c>
      <c r="H1592" s="1">
        <v>82.8874</v>
      </c>
      <c r="I1592" s="1">
        <v>0.0</v>
      </c>
      <c r="J1592" s="1">
        <v>82.8874</v>
      </c>
      <c r="K1592" s="1">
        <v>649.0</v>
      </c>
    </row>
    <row r="1593">
      <c r="A1593" s="1" t="s">
        <v>22</v>
      </c>
      <c r="B1593" s="1" t="s">
        <v>1192</v>
      </c>
      <c r="C1593" s="1" t="s">
        <v>55</v>
      </c>
      <c r="D1593" s="1">
        <v>17.0</v>
      </c>
      <c r="E1593" s="1">
        <v>118745.0</v>
      </c>
      <c r="F1593" s="1">
        <v>0.0</v>
      </c>
      <c r="G1593" s="1">
        <v>1536.0</v>
      </c>
      <c r="H1593" s="1">
        <v>77.3079</v>
      </c>
      <c r="I1593" s="1">
        <v>0.0</v>
      </c>
      <c r="J1593" s="1">
        <v>77.3079</v>
      </c>
      <c r="K1593" s="1">
        <v>626.0</v>
      </c>
    </row>
    <row r="1594">
      <c r="A1594" s="1" t="s">
        <v>22</v>
      </c>
      <c r="B1594" s="1" t="s">
        <v>1192</v>
      </c>
      <c r="C1594" s="1" t="s">
        <v>55</v>
      </c>
      <c r="D1594" s="1">
        <v>18.0</v>
      </c>
      <c r="E1594" s="1">
        <v>107330.0</v>
      </c>
      <c r="F1594" s="1">
        <v>0.0</v>
      </c>
      <c r="G1594" s="1">
        <v>1536.0</v>
      </c>
      <c r="H1594" s="1">
        <v>69.8763</v>
      </c>
      <c r="I1594" s="1">
        <v>0.0</v>
      </c>
      <c r="J1594" s="1">
        <v>69.8763</v>
      </c>
      <c r="K1594" s="1">
        <v>603.0</v>
      </c>
    </row>
    <row r="1595">
      <c r="A1595" s="1" t="s">
        <v>22</v>
      </c>
      <c r="B1595" s="1" t="s">
        <v>1192</v>
      </c>
      <c r="C1595" s="1" t="s">
        <v>55</v>
      </c>
      <c r="D1595" s="1">
        <v>19.0</v>
      </c>
      <c r="E1595" s="1">
        <v>98750.0</v>
      </c>
      <c r="F1595" s="1">
        <v>0.0</v>
      </c>
      <c r="G1595" s="1">
        <v>1536.0</v>
      </c>
      <c r="H1595" s="1">
        <v>64.2904</v>
      </c>
      <c r="I1595" s="1">
        <v>0.0</v>
      </c>
      <c r="J1595" s="1">
        <v>64.2904</v>
      </c>
      <c r="K1595" s="1">
        <v>582.0</v>
      </c>
    </row>
    <row r="1596">
      <c r="A1596" s="1" t="s">
        <v>22</v>
      </c>
      <c r="B1596" s="1" t="s">
        <v>1192</v>
      </c>
      <c r="C1596" s="1" t="s">
        <v>55</v>
      </c>
      <c r="D1596" s="1">
        <v>20.0</v>
      </c>
      <c r="E1596" s="1">
        <v>92240.0</v>
      </c>
      <c r="F1596" s="1">
        <v>0.0</v>
      </c>
      <c r="G1596" s="1">
        <v>1536.0</v>
      </c>
      <c r="H1596" s="1">
        <v>60.0521</v>
      </c>
      <c r="I1596" s="1">
        <v>0.0</v>
      </c>
      <c r="J1596" s="1">
        <v>60.0521</v>
      </c>
      <c r="K1596" s="1">
        <v>558.0</v>
      </c>
    </row>
    <row r="1597">
      <c r="A1597" s="1" t="s">
        <v>22</v>
      </c>
      <c r="B1597" s="1" t="s">
        <v>1192</v>
      </c>
      <c r="C1597" s="1" t="s">
        <v>55</v>
      </c>
      <c r="D1597" s="1">
        <v>21.0</v>
      </c>
      <c r="E1597" s="1">
        <v>88690.0</v>
      </c>
      <c r="F1597" s="1">
        <v>0.0</v>
      </c>
      <c r="G1597" s="1">
        <v>1536.0</v>
      </c>
      <c r="H1597" s="1">
        <v>57.7409</v>
      </c>
      <c r="I1597" s="1">
        <v>0.0</v>
      </c>
      <c r="J1597" s="1">
        <v>57.7409</v>
      </c>
      <c r="K1597" s="1">
        <v>568.0</v>
      </c>
    </row>
    <row r="1598">
      <c r="A1598" s="1" t="s">
        <v>22</v>
      </c>
      <c r="B1598" s="1" t="s">
        <v>1192</v>
      </c>
      <c r="C1598" s="1" t="s">
        <v>46</v>
      </c>
      <c r="D1598" s="1">
        <v>1.0</v>
      </c>
      <c r="E1598" s="1">
        <v>166583.0</v>
      </c>
      <c r="F1598" s="1">
        <v>0.0</v>
      </c>
      <c r="G1598" s="1">
        <v>1501.0</v>
      </c>
      <c r="H1598" s="1">
        <v>110.9813</v>
      </c>
      <c r="I1598" s="1">
        <v>0.0</v>
      </c>
      <c r="J1598" s="1">
        <v>110.9813</v>
      </c>
      <c r="K1598" s="1">
        <v>595.0</v>
      </c>
    </row>
    <row r="1599">
      <c r="A1599" s="1" t="s">
        <v>22</v>
      </c>
      <c r="B1599" s="1" t="s">
        <v>1192</v>
      </c>
      <c r="C1599" s="1" t="s">
        <v>46</v>
      </c>
      <c r="D1599" s="1">
        <v>2.0</v>
      </c>
      <c r="E1599" s="1">
        <v>151796.0</v>
      </c>
      <c r="F1599" s="1">
        <v>0.0</v>
      </c>
      <c r="G1599" s="1">
        <v>1501.0</v>
      </c>
      <c r="H1599" s="1">
        <v>101.1299</v>
      </c>
      <c r="I1599" s="1">
        <v>0.0</v>
      </c>
      <c r="J1599" s="1">
        <v>101.1299</v>
      </c>
      <c r="K1599" s="1">
        <v>613.0</v>
      </c>
    </row>
    <row r="1600">
      <c r="A1600" s="1" t="s">
        <v>22</v>
      </c>
      <c r="B1600" s="1" t="s">
        <v>1192</v>
      </c>
      <c r="C1600" s="1" t="s">
        <v>46</v>
      </c>
      <c r="D1600" s="1">
        <v>3.0</v>
      </c>
      <c r="E1600" s="1">
        <v>106972.0</v>
      </c>
      <c r="F1600" s="1">
        <v>0.0</v>
      </c>
      <c r="G1600" s="1">
        <v>1501.0</v>
      </c>
      <c r="H1600" s="1">
        <v>71.2672</v>
      </c>
      <c r="I1600" s="1">
        <v>0.0</v>
      </c>
      <c r="J1600" s="1">
        <v>71.2672</v>
      </c>
      <c r="K1600" s="1">
        <v>571.0</v>
      </c>
    </row>
    <row r="1601">
      <c r="A1601" s="1" t="s">
        <v>22</v>
      </c>
      <c r="B1601" s="1" t="s">
        <v>1192</v>
      </c>
      <c r="C1601" s="1" t="s">
        <v>46</v>
      </c>
      <c r="D1601" s="1">
        <v>4.0</v>
      </c>
      <c r="E1601" s="1">
        <v>158336.0</v>
      </c>
      <c r="F1601" s="1">
        <v>0.0</v>
      </c>
      <c r="G1601" s="1">
        <v>1501.0</v>
      </c>
      <c r="H1601" s="1">
        <v>105.487</v>
      </c>
      <c r="I1601" s="1">
        <v>0.0</v>
      </c>
      <c r="J1601" s="1">
        <v>105.487</v>
      </c>
      <c r="K1601" s="1">
        <v>567.0</v>
      </c>
    </row>
    <row r="1602">
      <c r="A1602" s="1" t="s">
        <v>22</v>
      </c>
      <c r="B1602" s="1" t="s">
        <v>1192</v>
      </c>
      <c r="C1602" s="1" t="s">
        <v>46</v>
      </c>
      <c r="D1602" s="1">
        <v>5.0</v>
      </c>
      <c r="E1602" s="1">
        <v>187638.0</v>
      </c>
      <c r="F1602" s="1">
        <v>0.0</v>
      </c>
      <c r="G1602" s="1">
        <v>1501.0</v>
      </c>
      <c r="H1602" s="1">
        <v>125.0087</v>
      </c>
      <c r="I1602" s="1">
        <v>0.0</v>
      </c>
      <c r="J1602" s="1">
        <v>125.0087</v>
      </c>
      <c r="K1602" s="1">
        <v>570.0</v>
      </c>
    </row>
    <row r="1603">
      <c r="A1603" s="1" t="s">
        <v>22</v>
      </c>
      <c r="B1603" s="1" t="s">
        <v>1192</v>
      </c>
      <c r="C1603" s="1" t="s">
        <v>46</v>
      </c>
      <c r="D1603" s="1">
        <v>6.0</v>
      </c>
      <c r="E1603" s="1">
        <v>153617.0</v>
      </c>
      <c r="F1603" s="1">
        <v>0.0</v>
      </c>
      <c r="G1603" s="1">
        <v>1501.0</v>
      </c>
      <c r="H1603" s="1">
        <v>102.3431</v>
      </c>
      <c r="I1603" s="1">
        <v>0.0</v>
      </c>
      <c r="J1603" s="1">
        <v>102.3431</v>
      </c>
      <c r="K1603" s="1">
        <v>545.0</v>
      </c>
    </row>
    <row r="1604">
      <c r="A1604" s="1" t="s">
        <v>22</v>
      </c>
      <c r="B1604" s="1" t="s">
        <v>1192</v>
      </c>
      <c r="C1604" s="1" t="s">
        <v>46</v>
      </c>
      <c r="D1604" s="1">
        <v>7.0</v>
      </c>
      <c r="E1604" s="1">
        <v>162996.0</v>
      </c>
      <c r="F1604" s="1">
        <v>0.0</v>
      </c>
      <c r="G1604" s="1">
        <v>1501.0</v>
      </c>
      <c r="H1604" s="1">
        <v>108.5916</v>
      </c>
      <c r="I1604" s="1">
        <v>0.0</v>
      </c>
      <c r="J1604" s="1">
        <v>108.5916</v>
      </c>
      <c r="K1604" s="1">
        <v>578.0</v>
      </c>
    </row>
    <row r="1605">
      <c r="A1605" s="1" t="s">
        <v>22</v>
      </c>
      <c r="B1605" s="1" t="s">
        <v>1192</v>
      </c>
      <c r="C1605" s="1" t="s">
        <v>46</v>
      </c>
      <c r="D1605" s="1">
        <v>8.0</v>
      </c>
      <c r="E1605" s="1">
        <v>253275.0</v>
      </c>
      <c r="F1605" s="1">
        <v>0.0</v>
      </c>
      <c r="G1605" s="1">
        <v>1501.0</v>
      </c>
      <c r="H1605" s="1">
        <v>168.7375</v>
      </c>
      <c r="I1605" s="1">
        <v>0.0</v>
      </c>
      <c r="J1605" s="1">
        <v>168.7375</v>
      </c>
      <c r="K1605" s="1">
        <v>634.0</v>
      </c>
    </row>
    <row r="1606">
      <c r="A1606" s="1" t="s">
        <v>22</v>
      </c>
      <c r="B1606" s="1" t="s">
        <v>1192</v>
      </c>
      <c r="C1606" s="1" t="s">
        <v>46</v>
      </c>
      <c r="D1606" s="1">
        <v>9.0</v>
      </c>
      <c r="E1606" s="1">
        <v>169863.0</v>
      </c>
      <c r="F1606" s="1">
        <v>0.0</v>
      </c>
      <c r="G1606" s="1">
        <v>1501.0</v>
      </c>
      <c r="H1606" s="1">
        <v>113.1666</v>
      </c>
      <c r="I1606" s="1">
        <v>0.0</v>
      </c>
      <c r="J1606" s="1">
        <v>113.1666</v>
      </c>
      <c r="K1606" s="1">
        <v>646.0</v>
      </c>
    </row>
    <row r="1607">
      <c r="A1607" s="1" t="s">
        <v>22</v>
      </c>
      <c r="B1607" s="1" t="s">
        <v>1192</v>
      </c>
      <c r="C1607" s="1" t="s">
        <v>46</v>
      </c>
      <c r="D1607" s="1">
        <v>10.0</v>
      </c>
      <c r="E1607" s="1">
        <v>143712.0</v>
      </c>
      <c r="F1607" s="1">
        <v>0.0</v>
      </c>
      <c r="G1607" s="1">
        <v>1501.0</v>
      </c>
      <c r="H1607" s="1">
        <v>95.7442</v>
      </c>
      <c r="I1607" s="1">
        <v>0.0</v>
      </c>
      <c r="J1607" s="1">
        <v>95.7442</v>
      </c>
      <c r="K1607" s="1">
        <v>601.0</v>
      </c>
    </row>
    <row r="1608">
      <c r="A1608" s="1" t="s">
        <v>22</v>
      </c>
      <c r="B1608" s="1" t="s">
        <v>1192</v>
      </c>
      <c r="C1608" s="1" t="s">
        <v>46</v>
      </c>
      <c r="D1608" s="1">
        <v>11.0</v>
      </c>
      <c r="E1608" s="1">
        <v>180768.0</v>
      </c>
      <c r="F1608" s="1">
        <v>0.0</v>
      </c>
      <c r="G1608" s="1">
        <v>1501.0</v>
      </c>
      <c r="H1608" s="1">
        <v>120.4317</v>
      </c>
      <c r="I1608" s="1">
        <v>0.0</v>
      </c>
      <c r="J1608" s="1">
        <v>120.4317</v>
      </c>
      <c r="K1608" s="1">
        <v>611.0</v>
      </c>
    </row>
    <row r="1609">
      <c r="A1609" s="1" t="s">
        <v>22</v>
      </c>
      <c r="B1609" s="1" t="s">
        <v>1192</v>
      </c>
      <c r="C1609" s="1" t="s">
        <v>46</v>
      </c>
      <c r="D1609" s="1">
        <v>12.0</v>
      </c>
      <c r="E1609" s="1">
        <v>169939.0</v>
      </c>
      <c r="F1609" s="1">
        <v>0.0</v>
      </c>
      <c r="G1609" s="1">
        <v>1501.0</v>
      </c>
      <c r="H1609" s="1">
        <v>113.2172</v>
      </c>
      <c r="I1609" s="1">
        <v>0.0</v>
      </c>
      <c r="J1609" s="1">
        <v>113.2172</v>
      </c>
      <c r="K1609" s="1">
        <v>590.0</v>
      </c>
    </row>
    <row r="1610">
      <c r="A1610" s="1" t="s">
        <v>22</v>
      </c>
      <c r="B1610" s="1" t="s">
        <v>1192</v>
      </c>
      <c r="C1610" s="1" t="s">
        <v>46</v>
      </c>
      <c r="D1610" s="1">
        <v>13.0</v>
      </c>
      <c r="E1610" s="1">
        <v>143679.0</v>
      </c>
      <c r="F1610" s="1">
        <v>0.0</v>
      </c>
      <c r="G1610" s="1">
        <v>1501.0</v>
      </c>
      <c r="H1610" s="1">
        <v>95.7222</v>
      </c>
      <c r="I1610" s="1">
        <v>0.0</v>
      </c>
      <c r="J1610" s="1">
        <v>95.7222</v>
      </c>
      <c r="K1610" s="1">
        <v>580.0</v>
      </c>
    </row>
    <row r="1611">
      <c r="A1611" s="1" t="s">
        <v>22</v>
      </c>
      <c r="B1611" s="1" t="s">
        <v>1192</v>
      </c>
      <c r="C1611" s="1" t="s">
        <v>46</v>
      </c>
      <c r="D1611" s="1">
        <v>14.0</v>
      </c>
      <c r="E1611" s="1">
        <v>139726.0</v>
      </c>
      <c r="F1611" s="1">
        <v>0.0</v>
      </c>
      <c r="G1611" s="1">
        <v>1501.0</v>
      </c>
      <c r="H1611" s="1">
        <v>93.0886</v>
      </c>
      <c r="I1611" s="1">
        <v>0.0</v>
      </c>
      <c r="J1611" s="1">
        <v>93.0886</v>
      </c>
      <c r="K1611" s="1">
        <v>576.0</v>
      </c>
    </row>
    <row r="1612">
      <c r="A1612" s="1" t="s">
        <v>22</v>
      </c>
      <c r="B1612" s="1" t="s">
        <v>1192</v>
      </c>
      <c r="C1612" s="1" t="s">
        <v>46</v>
      </c>
      <c r="D1612" s="1">
        <v>15.0</v>
      </c>
      <c r="E1612" s="1">
        <v>226779.0</v>
      </c>
      <c r="F1612" s="1">
        <v>0.0</v>
      </c>
      <c r="G1612" s="1">
        <v>1501.0</v>
      </c>
      <c r="H1612" s="1">
        <v>151.0853</v>
      </c>
      <c r="I1612" s="1">
        <v>0.0</v>
      </c>
      <c r="J1612" s="1">
        <v>151.0853</v>
      </c>
      <c r="K1612" s="1">
        <v>677.0</v>
      </c>
    </row>
    <row r="1613">
      <c r="A1613" s="1" t="s">
        <v>22</v>
      </c>
      <c r="B1613" s="1" t="s">
        <v>1192</v>
      </c>
      <c r="C1613" s="1" t="s">
        <v>46</v>
      </c>
      <c r="D1613" s="1">
        <v>16.0</v>
      </c>
      <c r="E1613" s="1">
        <v>188313.0</v>
      </c>
      <c r="F1613" s="1">
        <v>0.0</v>
      </c>
      <c r="G1613" s="1">
        <v>1501.0</v>
      </c>
      <c r="H1613" s="1">
        <v>125.4584</v>
      </c>
      <c r="I1613" s="1">
        <v>0.0</v>
      </c>
      <c r="J1613" s="1">
        <v>125.4584</v>
      </c>
      <c r="K1613" s="1">
        <v>649.0</v>
      </c>
    </row>
    <row r="1614">
      <c r="A1614" s="1" t="s">
        <v>22</v>
      </c>
      <c r="B1614" s="1" t="s">
        <v>1192</v>
      </c>
      <c r="C1614" s="1" t="s">
        <v>46</v>
      </c>
      <c r="D1614" s="1">
        <v>17.0</v>
      </c>
      <c r="E1614" s="1">
        <v>163075.0</v>
      </c>
      <c r="F1614" s="1">
        <v>0.0</v>
      </c>
      <c r="G1614" s="1">
        <v>1501.0</v>
      </c>
      <c r="H1614" s="1">
        <v>108.6442</v>
      </c>
      <c r="I1614" s="1">
        <v>0.0</v>
      </c>
      <c r="J1614" s="1">
        <v>108.6442</v>
      </c>
      <c r="K1614" s="1">
        <v>626.0</v>
      </c>
    </row>
    <row r="1615">
      <c r="A1615" s="1" t="s">
        <v>22</v>
      </c>
      <c r="B1615" s="1" t="s">
        <v>1192</v>
      </c>
      <c r="C1615" s="1" t="s">
        <v>46</v>
      </c>
      <c r="D1615" s="1">
        <v>18.0</v>
      </c>
      <c r="E1615" s="1">
        <v>157296.0</v>
      </c>
      <c r="F1615" s="1">
        <v>0.0</v>
      </c>
      <c r="G1615" s="1">
        <v>1501.0</v>
      </c>
      <c r="H1615" s="1">
        <v>104.7941</v>
      </c>
      <c r="I1615" s="1">
        <v>0.0</v>
      </c>
      <c r="J1615" s="1">
        <v>104.7941</v>
      </c>
      <c r="K1615" s="1">
        <v>603.0</v>
      </c>
    </row>
    <row r="1616">
      <c r="A1616" s="1" t="s">
        <v>22</v>
      </c>
      <c r="B1616" s="1" t="s">
        <v>1192</v>
      </c>
      <c r="C1616" s="1" t="s">
        <v>46</v>
      </c>
      <c r="D1616" s="1">
        <v>19.0</v>
      </c>
      <c r="E1616" s="1">
        <v>139885.0</v>
      </c>
      <c r="F1616" s="1">
        <v>0.0</v>
      </c>
      <c r="G1616" s="1">
        <v>1501.0</v>
      </c>
      <c r="H1616" s="1">
        <v>93.1945</v>
      </c>
      <c r="I1616" s="1">
        <v>0.0</v>
      </c>
      <c r="J1616" s="1">
        <v>93.1945</v>
      </c>
      <c r="K1616" s="1">
        <v>582.0</v>
      </c>
    </row>
    <row r="1617">
      <c r="A1617" s="1" t="s">
        <v>22</v>
      </c>
      <c r="B1617" s="1" t="s">
        <v>1192</v>
      </c>
      <c r="C1617" s="1" t="s">
        <v>46</v>
      </c>
      <c r="D1617" s="1">
        <v>20.0</v>
      </c>
      <c r="E1617" s="1">
        <v>128308.0</v>
      </c>
      <c r="F1617" s="1">
        <v>0.0</v>
      </c>
      <c r="G1617" s="1">
        <v>1501.0</v>
      </c>
      <c r="H1617" s="1">
        <v>85.4817</v>
      </c>
      <c r="I1617" s="1">
        <v>0.0</v>
      </c>
      <c r="J1617" s="1">
        <v>85.4817</v>
      </c>
      <c r="K1617" s="1">
        <v>558.0</v>
      </c>
    </row>
    <row r="1618">
      <c r="A1618" s="1" t="s">
        <v>22</v>
      </c>
      <c r="B1618" s="1" t="s">
        <v>1192</v>
      </c>
      <c r="C1618" s="1" t="s">
        <v>46</v>
      </c>
      <c r="D1618" s="1">
        <v>21.0</v>
      </c>
      <c r="E1618" s="1">
        <v>119480.0</v>
      </c>
      <c r="F1618" s="1">
        <v>0.0</v>
      </c>
      <c r="G1618" s="1">
        <v>1501.0</v>
      </c>
      <c r="H1618" s="1">
        <v>79.6003</v>
      </c>
      <c r="I1618" s="1">
        <v>0.0</v>
      </c>
      <c r="J1618" s="1">
        <v>79.6003</v>
      </c>
      <c r="K1618" s="1">
        <v>568.0</v>
      </c>
    </row>
    <row r="1619">
      <c r="A1619" s="1" t="s">
        <v>22</v>
      </c>
      <c r="B1619" s="1" t="s">
        <v>1192</v>
      </c>
      <c r="C1619" s="1" t="s">
        <v>1213</v>
      </c>
      <c r="D1619" s="1">
        <v>1.0</v>
      </c>
      <c r="E1619" s="1">
        <v>0.0</v>
      </c>
      <c r="F1619" s="1">
        <v>0.0</v>
      </c>
      <c r="G1619" s="1">
        <v>1090.0</v>
      </c>
      <c r="H1619" s="1">
        <v>0.0</v>
      </c>
      <c r="I1619" s="1">
        <v>0.0</v>
      </c>
      <c r="J1619" s="1">
        <v>0.0</v>
      </c>
      <c r="K1619" s="1">
        <v>595.0</v>
      </c>
    </row>
    <row r="1620">
      <c r="A1620" s="1" t="s">
        <v>22</v>
      </c>
      <c r="B1620" s="1" t="s">
        <v>1192</v>
      </c>
      <c r="C1620" s="1" t="s">
        <v>1213</v>
      </c>
      <c r="D1620" s="1">
        <v>2.0</v>
      </c>
      <c r="E1620" s="1">
        <v>0.0</v>
      </c>
      <c r="F1620" s="1">
        <v>0.0</v>
      </c>
      <c r="G1620" s="1">
        <v>1090.0</v>
      </c>
      <c r="H1620" s="1">
        <v>0.0</v>
      </c>
      <c r="I1620" s="1">
        <v>0.0</v>
      </c>
      <c r="J1620" s="1">
        <v>0.0</v>
      </c>
      <c r="K1620" s="1">
        <v>613.0</v>
      </c>
    </row>
    <row r="1621">
      <c r="A1621" s="1" t="s">
        <v>22</v>
      </c>
      <c r="B1621" s="1" t="s">
        <v>1192</v>
      </c>
      <c r="C1621" s="1" t="s">
        <v>1213</v>
      </c>
      <c r="D1621" s="1">
        <v>3.0</v>
      </c>
      <c r="E1621" s="1">
        <v>0.0</v>
      </c>
      <c r="F1621" s="1">
        <v>0.0</v>
      </c>
      <c r="G1621" s="1">
        <v>1090.0</v>
      </c>
      <c r="H1621" s="1">
        <v>0.0</v>
      </c>
      <c r="I1621" s="1">
        <v>0.0</v>
      </c>
      <c r="J1621" s="1">
        <v>0.0</v>
      </c>
      <c r="K1621" s="1">
        <v>571.0</v>
      </c>
    </row>
    <row r="1622">
      <c r="A1622" s="1" t="s">
        <v>22</v>
      </c>
      <c r="B1622" s="1" t="s">
        <v>1192</v>
      </c>
      <c r="C1622" s="1" t="s">
        <v>1213</v>
      </c>
      <c r="D1622" s="1">
        <v>4.0</v>
      </c>
      <c r="E1622" s="1">
        <v>0.0</v>
      </c>
      <c r="F1622" s="1">
        <v>0.0</v>
      </c>
      <c r="G1622" s="1">
        <v>1090.0</v>
      </c>
      <c r="H1622" s="1">
        <v>0.0</v>
      </c>
      <c r="I1622" s="1">
        <v>0.0</v>
      </c>
      <c r="J1622" s="1">
        <v>0.0</v>
      </c>
      <c r="K1622" s="1">
        <v>567.0</v>
      </c>
    </row>
    <row r="1623">
      <c r="A1623" s="1" t="s">
        <v>22</v>
      </c>
      <c r="B1623" s="1" t="s">
        <v>1192</v>
      </c>
      <c r="C1623" s="1" t="s">
        <v>1213</v>
      </c>
      <c r="D1623" s="1">
        <v>5.0</v>
      </c>
      <c r="E1623" s="1">
        <v>0.0</v>
      </c>
      <c r="F1623" s="1">
        <v>0.0</v>
      </c>
      <c r="G1623" s="1">
        <v>1090.0</v>
      </c>
      <c r="H1623" s="1">
        <v>0.0</v>
      </c>
      <c r="I1623" s="1">
        <v>0.0</v>
      </c>
      <c r="J1623" s="1">
        <v>0.0</v>
      </c>
      <c r="K1623" s="1">
        <v>570.0</v>
      </c>
    </row>
    <row r="1624">
      <c r="A1624" s="1" t="s">
        <v>22</v>
      </c>
      <c r="B1624" s="1" t="s">
        <v>1192</v>
      </c>
      <c r="C1624" s="1" t="s">
        <v>1213</v>
      </c>
      <c r="D1624" s="1">
        <v>6.0</v>
      </c>
      <c r="E1624" s="1">
        <v>0.0</v>
      </c>
      <c r="F1624" s="1">
        <v>0.0</v>
      </c>
      <c r="G1624" s="1">
        <v>1090.0</v>
      </c>
      <c r="H1624" s="1">
        <v>0.0</v>
      </c>
      <c r="I1624" s="1">
        <v>0.0</v>
      </c>
      <c r="J1624" s="1">
        <v>0.0</v>
      </c>
      <c r="K1624" s="1">
        <v>545.0</v>
      </c>
    </row>
    <row r="1625">
      <c r="A1625" s="1" t="s">
        <v>22</v>
      </c>
      <c r="B1625" s="1" t="s">
        <v>1192</v>
      </c>
      <c r="C1625" s="1" t="s">
        <v>1213</v>
      </c>
      <c r="D1625" s="1">
        <v>7.0</v>
      </c>
      <c r="E1625" s="1">
        <v>0.0</v>
      </c>
      <c r="F1625" s="1">
        <v>0.0</v>
      </c>
      <c r="G1625" s="1">
        <v>1090.0</v>
      </c>
      <c r="H1625" s="1">
        <v>0.0</v>
      </c>
      <c r="I1625" s="1">
        <v>0.0</v>
      </c>
      <c r="J1625" s="1">
        <v>0.0</v>
      </c>
      <c r="K1625" s="1">
        <v>578.0</v>
      </c>
    </row>
    <row r="1626">
      <c r="A1626" s="1" t="s">
        <v>22</v>
      </c>
      <c r="B1626" s="1" t="s">
        <v>1192</v>
      </c>
      <c r="C1626" s="1" t="s">
        <v>1213</v>
      </c>
      <c r="D1626" s="1">
        <v>8.0</v>
      </c>
      <c r="E1626" s="1">
        <v>5600.0</v>
      </c>
      <c r="F1626" s="1">
        <v>0.0</v>
      </c>
      <c r="G1626" s="1">
        <v>1090.0</v>
      </c>
      <c r="H1626" s="1">
        <v>5.1376</v>
      </c>
      <c r="I1626" s="1">
        <v>0.0</v>
      </c>
      <c r="J1626" s="1">
        <v>5.1376</v>
      </c>
      <c r="K1626" s="1">
        <v>634.0</v>
      </c>
    </row>
    <row r="1627">
      <c r="A1627" s="1" t="s">
        <v>22</v>
      </c>
      <c r="B1627" s="1" t="s">
        <v>1192</v>
      </c>
      <c r="C1627" s="1" t="s">
        <v>1213</v>
      </c>
      <c r="D1627" s="1">
        <v>9.0</v>
      </c>
      <c r="E1627" s="1">
        <v>2405.0</v>
      </c>
      <c r="F1627" s="1">
        <v>0.0</v>
      </c>
      <c r="G1627" s="1">
        <v>1090.0</v>
      </c>
      <c r="H1627" s="1">
        <v>2.2064</v>
      </c>
      <c r="I1627" s="1">
        <v>0.0</v>
      </c>
      <c r="J1627" s="1">
        <v>2.2064</v>
      </c>
      <c r="K1627" s="1">
        <v>646.0</v>
      </c>
    </row>
    <row r="1628">
      <c r="A1628" s="1" t="s">
        <v>22</v>
      </c>
      <c r="B1628" s="1" t="s">
        <v>1192</v>
      </c>
      <c r="C1628" s="1" t="s">
        <v>1213</v>
      </c>
      <c r="D1628" s="1">
        <v>10.0</v>
      </c>
      <c r="E1628" s="1">
        <v>2245.0</v>
      </c>
      <c r="F1628" s="1">
        <v>0.0</v>
      </c>
      <c r="G1628" s="1">
        <v>1090.0</v>
      </c>
      <c r="H1628" s="1">
        <v>2.0596</v>
      </c>
      <c r="I1628" s="1">
        <v>0.0</v>
      </c>
      <c r="J1628" s="1">
        <v>2.0596</v>
      </c>
      <c r="K1628" s="1">
        <v>601.0</v>
      </c>
    </row>
    <row r="1629">
      <c r="A1629" s="1" t="s">
        <v>22</v>
      </c>
      <c r="B1629" s="1" t="s">
        <v>1192</v>
      </c>
      <c r="C1629" s="1" t="s">
        <v>1213</v>
      </c>
      <c r="D1629" s="1">
        <v>11.0</v>
      </c>
      <c r="E1629" s="1">
        <v>2620.0</v>
      </c>
      <c r="F1629" s="1">
        <v>0.0</v>
      </c>
      <c r="G1629" s="1">
        <v>1090.0</v>
      </c>
      <c r="H1629" s="1">
        <v>2.4037</v>
      </c>
      <c r="I1629" s="1">
        <v>0.0</v>
      </c>
      <c r="J1629" s="1">
        <v>2.4037</v>
      </c>
      <c r="K1629" s="1">
        <v>611.0</v>
      </c>
    </row>
    <row r="1630">
      <c r="A1630" s="1" t="s">
        <v>22</v>
      </c>
      <c r="B1630" s="1" t="s">
        <v>1192</v>
      </c>
      <c r="C1630" s="1" t="s">
        <v>1213</v>
      </c>
      <c r="D1630" s="1">
        <v>12.0</v>
      </c>
      <c r="E1630" s="1">
        <v>170.0</v>
      </c>
      <c r="F1630" s="1">
        <v>0.0</v>
      </c>
      <c r="G1630" s="1">
        <v>1090.0</v>
      </c>
      <c r="H1630" s="1">
        <v>0.156</v>
      </c>
      <c r="I1630" s="1">
        <v>0.0</v>
      </c>
      <c r="J1630" s="1">
        <v>0.156</v>
      </c>
      <c r="K1630" s="1">
        <v>590.0</v>
      </c>
    </row>
    <row r="1631">
      <c r="A1631" s="1" t="s">
        <v>22</v>
      </c>
      <c r="B1631" s="1" t="s">
        <v>1192</v>
      </c>
      <c r="C1631" s="1" t="s">
        <v>1213</v>
      </c>
      <c r="D1631" s="1">
        <v>13.0</v>
      </c>
      <c r="E1631" s="1">
        <v>0.0</v>
      </c>
      <c r="F1631" s="1">
        <v>0.0</v>
      </c>
      <c r="G1631" s="1">
        <v>1090.0</v>
      </c>
      <c r="H1631" s="1">
        <v>0.0</v>
      </c>
      <c r="I1631" s="1">
        <v>0.0</v>
      </c>
      <c r="J1631" s="1">
        <v>0.0</v>
      </c>
      <c r="K1631" s="1">
        <v>580.0</v>
      </c>
    </row>
    <row r="1632">
      <c r="A1632" s="1" t="s">
        <v>22</v>
      </c>
      <c r="B1632" s="1" t="s">
        <v>1192</v>
      </c>
      <c r="C1632" s="1" t="s">
        <v>1213</v>
      </c>
      <c r="D1632" s="1">
        <v>14.0</v>
      </c>
      <c r="E1632" s="1">
        <v>15.0</v>
      </c>
      <c r="F1632" s="1">
        <v>0.0</v>
      </c>
      <c r="G1632" s="1">
        <v>1090.0</v>
      </c>
      <c r="H1632" s="1">
        <v>0.0138</v>
      </c>
      <c r="I1632" s="1">
        <v>0.0</v>
      </c>
      <c r="J1632" s="1">
        <v>0.0138</v>
      </c>
      <c r="K1632" s="1">
        <v>576.0</v>
      </c>
    </row>
    <row r="1633">
      <c r="A1633" s="1" t="s">
        <v>22</v>
      </c>
      <c r="B1633" s="1" t="s">
        <v>1192</v>
      </c>
      <c r="C1633" s="1" t="s">
        <v>1213</v>
      </c>
      <c r="D1633" s="1">
        <v>15.0</v>
      </c>
      <c r="E1633" s="1">
        <v>5170.0</v>
      </c>
      <c r="F1633" s="1">
        <v>0.0</v>
      </c>
      <c r="G1633" s="1">
        <v>1090.0</v>
      </c>
      <c r="H1633" s="1">
        <v>4.7431</v>
      </c>
      <c r="I1633" s="1">
        <v>0.0</v>
      </c>
      <c r="J1633" s="1">
        <v>4.7431</v>
      </c>
      <c r="K1633" s="1">
        <v>677.0</v>
      </c>
    </row>
    <row r="1634">
      <c r="A1634" s="1" t="s">
        <v>22</v>
      </c>
      <c r="B1634" s="1" t="s">
        <v>1192</v>
      </c>
      <c r="C1634" s="1" t="s">
        <v>1213</v>
      </c>
      <c r="D1634" s="1">
        <v>16.0</v>
      </c>
      <c r="E1634" s="1">
        <v>2980.0</v>
      </c>
      <c r="F1634" s="1">
        <v>0.0</v>
      </c>
      <c r="G1634" s="1">
        <v>1090.0</v>
      </c>
      <c r="H1634" s="1">
        <v>2.7339</v>
      </c>
      <c r="I1634" s="1">
        <v>0.0</v>
      </c>
      <c r="J1634" s="1">
        <v>2.7339</v>
      </c>
      <c r="K1634" s="1">
        <v>649.0</v>
      </c>
    </row>
    <row r="1635">
      <c r="A1635" s="1" t="s">
        <v>22</v>
      </c>
      <c r="B1635" s="1" t="s">
        <v>1192</v>
      </c>
      <c r="C1635" s="1" t="s">
        <v>1213</v>
      </c>
      <c r="D1635" s="1">
        <v>17.0</v>
      </c>
      <c r="E1635" s="1">
        <v>1990.0</v>
      </c>
      <c r="F1635" s="1">
        <v>0.0</v>
      </c>
      <c r="G1635" s="1">
        <v>1090.0</v>
      </c>
      <c r="H1635" s="1">
        <v>1.8257</v>
      </c>
      <c r="I1635" s="1">
        <v>0.0</v>
      </c>
      <c r="J1635" s="1">
        <v>1.8257</v>
      </c>
      <c r="K1635" s="1">
        <v>626.0</v>
      </c>
    </row>
    <row r="1636">
      <c r="A1636" s="1" t="s">
        <v>22</v>
      </c>
      <c r="B1636" s="1" t="s">
        <v>1192</v>
      </c>
      <c r="C1636" s="1" t="s">
        <v>1213</v>
      </c>
      <c r="D1636" s="1">
        <v>18.0</v>
      </c>
      <c r="E1636" s="1">
        <v>2420.0</v>
      </c>
      <c r="F1636" s="1">
        <v>0.0</v>
      </c>
      <c r="G1636" s="1">
        <v>1090.0</v>
      </c>
      <c r="H1636" s="1">
        <v>2.2202</v>
      </c>
      <c r="I1636" s="1">
        <v>0.0</v>
      </c>
      <c r="J1636" s="1">
        <v>2.2202</v>
      </c>
      <c r="K1636" s="1">
        <v>603.0</v>
      </c>
    </row>
    <row r="1637">
      <c r="A1637" s="1" t="s">
        <v>22</v>
      </c>
      <c r="B1637" s="1" t="s">
        <v>1192</v>
      </c>
      <c r="C1637" s="1" t="s">
        <v>1213</v>
      </c>
      <c r="D1637" s="1">
        <v>19.0</v>
      </c>
      <c r="E1637" s="1">
        <v>120.0</v>
      </c>
      <c r="F1637" s="1">
        <v>0.0</v>
      </c>
      <c r="G1637" s="1">
        <v>1090.0</v>
      </c>
      <c r="H1637" s="1">
        <v>0.1101</v>
      </c>
      <c r="I1637" s="1">
        <v>0.0</v>
      </c>
      <c r="J1637" s="1">
        <v>0.1101</v>
      </c>
      <c r="K1637" s="1">
        <v>582.0</v>
      </c>
    </row>
    <row r="1638">
      <c r="A1638" s="1" t="s">
        <v>22</v>
      </c>
      <c r="B1638" s="1" t="s">
        <v>1192</v>
      </c>
      <c r="C1638" s="1" t="s">
        <v>1213</v>
      </c>
      <c r="D1638" s="1">
        <v>20.0</v>
      </c>
      <c r="E1638" s="1">
        <v>0.0</v>
      </c>
      <c r="F1638" s="1">
        <v>0.0</v>
      </c>
      <c r="G1638" s="1">
        <v>1090.0</v>
      </c>
      <c r="H1638" s="1">
        <v>0.0</v>
      </c>
      <c r="I1638" s="1">
        <v>0.0</v>
      </c>
      <c r="J1638" s="1">
        <v>0.0</v>
      </c>
      <c r="K1638" s="1">
        <v>558.0</v>
      </c>
    </row>
    <row r="1639">
      <c r="A1639" s="1" t="s">
        <v>22</v>
      </c>
      <c r="B1639" s="1" t="s">
        <v>1192</v>
      </c>
      <c r="C1639" s="1" t="s">
        <v>1213</v>
      </c>
      <c r="D1639" s="1">
        <v>21.0</v>
      </c>
      <c r="E1639" s="1">
        <v>15.0</v>
      </c>
      <c r="F1639" s="1">
        <v>0.0</v>
      </c>
      <c r="G1639" s="1">
        <v>1090.0</v>
      </c>
      <c r="H1639" s="1">
        <v>0.0138</v>
      </c>
      <c r="I1639" s="1">
        <v>0.0</v>
      </c>
      <c r="J1639" s="1">
        <v>0.0138</v>
      </c>
      <c r="K1639" s="1">
        <v>568.0</v>
      </c>
    </row>
    <row r="1640">
      <c r="A1640" s="1" t="s">
        <v>24</v>
      </c>
      <c r="B1640" s="1" t="s">
        <v>180</v>
      </c>
      <c r="C1640" s="1" t="s">
        <v>1205</v>
      </c>
      <c r="D1640" s="1">
        <v>1.0</v>
      </c>
      <c r="E1640" s="1">
        <v>734782.8025</v>
      </c>
      <c r="F1640" s="1">
        <v>652400.0</v>
      </c>
      <c r="G1640" s="1">
        <v>10448.0</v>
      </c>
      <c r="H1640" s="1">
        <v>70.3276</v>
      </c>
      <c r="I1640" s="1">
        <v>62.4426</v>
      </c>
      <c r="J1640" s="1">
        <v>7.885</v>
      </c>
      <c r="K1640" s="1">
        <v>2110.0</v>
      </c>
    </row>
    <row r="1641">
      <c r="A1641" s="1" t="s">
        <v>24</v>
      </c>
      <c r="B1641" s="1" t="s">
        <v>180</v>
      </c>
      <c r="C1641" s="1" t="s">
        <v>1205</v>
      </c>
      <c r="D1641" s="1">
        <v>2.0</v>
      </c>
      <c r="E1641" s="1">
        <v>492331.573</v>
      </c>
      <c r="F1641" s="1">
        <v>530300.0</v>
      </c>
      <c r="G1641" s="1">
        <v>10448.0</v>
      </c>
      <c r="H1641" s="1">
        <v>47.1221</v>
      </c>
      <c r="I1641" s="1">
        <v>50.7561</v>
      </c>
      <c r="J1641" s="1">
        <v>-3.634</v>
      </c>
      <c r="K1641" s="1">
        <v>2190.0</v>
      </c>
    </row>
    <row r="1642">
      <c r="A1642" s="1" t="s">
        <v>24</v>
      </c>
      <c r="B1642" s="1" t="s">
        <v>180</v>
      </c>
      <c r="C1642" s="1" t="s">
        <v>1205</v>
      </c>
      <c r="D1642" s="1">
        <v>3.0</v>
      </c>
      <c r="E1642" s="1">
        <v>626941.4935</v>
      </c>
      <c r="F1642" s="1">
        <v>602950.0</v>
      </c>
      <c r="G1642" s="1">
        <v>10448.0</v>
      </c>
      <c r="H1642" s="1">
        <v>60.0059</v>
      </c>
      <c r="I1642" s="1">
        <v>57.7096</v>
      </c>
      <c r="J1642" s="1">
        <v>2.2963</v>
      </c>
      <c r="K1642" s="1">
        <v>2312.0</v>
      </c>
    </row>
    <row r="1643">
      <c r="A1643" s="1" t="s">
        <v>24</v>
      </c>
      <c r="B1643" s="1" t="s">
        <v>180</v>
      </c>
      <c r="C1643" s="1" t="s">
        <v>1205</v>
      </c>
      <c r="D1643" s="1">
        <v>4.0</v>
      </c>
      <c r="E1643" s="1">
        <v>554206.8784</v>
      </c>
      <c r="F1643" s="1">
        <v>512400.0</v>
      </c>
      <c r="G1643" s="1">
        <v>10448.0</v>
      </c>
      <c r="H1643" s="1">
        <v>53.0443</v>
      </c>
      <c r="I1643" s="1">
        <v>49.0429</v>
      </c>
      <c r="J1643" s="1">
        <v>4.0014</v>
      </c>
      <c r="K1643" s="1">
        <v>2314.0</v>
      </c>
    </row>
    <row r="1644">
      <c r="A1644" s="1" t="s">
        <v>24</v>
      </c>
      <c r="B1644" s="1" t="s">
        <v>180</v>
      </c>
      <c r="C1644" s="1" t="s">
        <v>1205</v>
      </c>
      <c r="D1644" s="1">
        <v>5.0</v>
      </c>
      <c r="E1644" s="1">
        <v>761886.8405</v>
      </c>
      <c r="F1644" s="1">
        <v>655150.0</v>
      </c>
      <c r="G1644" s="1">
        <v>10448.0</v>
      </c>
      <c r="H1644" s="1">
        <v>72.9218</v>
      </c>
      <c r="I1644" s="1">
        <v>62.7058</v>
      </c>
      <c r="J1644" s="1">
        <v>10.216</v>
      </c>
      <c r="K1644" s="1">
        <v>2330.0</v>
      </c>
    </row>
    <row r="1645">
      <c r="A1645" s="1" t="s">
        <v>24</v>
      </c>
      <c r="B1645" s="1" t="s">
        <v>180</v>
      </c>
      <c r="C1645" s="1" t="s">
        <v>1205</v>
      </c>
      <c r="D1645" s="1">
        <v>6.0</v>
      </c>
      <c r="E1645" s="1">
        <v>537859.0</v>
      </c>
      <c r="F1645" s="1">
        <v>547650.0</v>
      </c>
      <c r="G1645" s="1">
        <v>10448.0</v>
      </c>
      <c r="H1645" s="1">
        <v>51.4796</v>
      </c>
      <c r="I1645" s="1">
        <v>52.4167</v>
      </c>
      <c r="J1645" s="1">
        <v>-0.9371</v>
      </c>
      <c r="K1645" s="1">
        <v>2338.0</v>
      </c>
    </row>
    <row r="1646">
      <c r="A1646" s="1" t="s">
        <v>24</v>
      </c>
      <c r="B1646" s="1" t="s">
        <v>180</v>
      </c>
      <c r="C1646" s="1" t="s">
        <v>1205</v>
      </c>
      <c r="D1646" s="1">
        <v>7.0</v>
      </c>
      <c r="E1646" s="1">
        <v>555261.7143</v>
      </c>
      <c r="F1646" s="1">
        <v>558050.0</v>
      </c>
      <c r="G1646" s="1">
        <v>10448.0</v>
      </c>
      <c r="H1646" s="1">
        <v>53.1453</v>
      </c>
      <c r="I1646" s="1">
        <v>53.4121</v>
      </c>
      <c r="J1646" s="1">
        <v>-0.2669</v>
      </c>
      <c r="K1646" s="1">
        <v>2434.0</v>
      </c>
    </row>
    <row r="1647">
      <c r="A1647" s="1" t="s">
        <v>24</v>
      </c>
      <c r="B1647" s="1" t="s">
        <v>180</v>
      </c>
      <c r="C1647" s="1" t="s">
        <v>1205</v>
      </c>
      <c r="D1647" s="1">
        <v>8.0</v>
      </c>
      <c r="E1647" s="1">
        <v>810284.9001</v>
      </c>
      <c r="F1647" s="1">
        <v>704950.0</v>
      </c>
      <c r="G1647" s="1">
        <v>10448.0</v>
      </c>
      <c r="H1647" s="1">
        <v>77.5541</v>
      </c>
      <c r="I1647" s="1">
        <v>67.4722</v>
      </c>
      <c r="J1647" s="1">
        <v>10.0818</v>
      </c>
      <c r="K1647" s="1">
        <v>2628.0</v>
      </c>
    </row>
    <row r="1648">
      <c r="A1648" s="1" t="s">
        <v>24</v>
      </c>
      <c r="B1648" s="1" t="s">
        <v>180</v>
      </c>
      <c r="C1648" s="1" t="s">
        <v>1205</v>
      </c>
      <c r="D1648" s="1">
        <v>9.0</v>
      </c>
      <c r="E1648" s="1">
        <v>530083.5626</v>
      </c>
      <c r="F1648" s="1">
        <v>570800.0</v>
      </c>
      <c r="G1648" s="1">
        <v>10448.0</v>
      </c>
      <c r="H1648" s="1">
        <v>50.7354</v>
      </c>
      <c r="I1648" s="1">
        <v>54.6325</v>
      </c>
      <c r="J1648" s="1">
        <v>-3.8971</v>
      </c>
      <c r="K1648" s="1">
        <v>2626.0</v>
      </c>
    </row>
    <row r="1649">
      <c r="A1649" s="1" t="s">
        <v>24</v>
      </c>
      <c r="B1649" s="1" t="s">
        <v>180</v>
      </c>
      <c r="C1649" s="1" t="s">
        <v>1205</v>
      </c>
      <c r="D1649" s="1">
        <v>10.0</v>
      </c>
      <c r="E1649" s="1">
        <v>669562.2984</v>
      </c>
      <c r="F1649" s="1">
        <v>677000.0</v>
      </c>
      <c r="G1649" s="1">
        <v>10448.0</v>
      </c>
      <c r="H1649" s="1">
        <v>64.0852</v>
      </c>
      <c r="I1649" s="1">
        <v>64.7971</v>
      </c>
      <c r="J1649" s="1">
        <v>-0.7119</v>
      </c>
      <c r="K1649" s="1">
        <v>2688.0</v>
      </c>
    </row>
    <row r="1650">
      <c r="A1650" s="1" t="s">
        <v>24</v>
      </c>
      <c r="B1650" s="1" t="s">
        <v>180</v>
      </c>
      <c r="C1650" s="1" t="s">
        <v>1205</v>
      </c>
      <c r="D1650" s="1">
        <v>11.0</v>
      </c>
      <c r="E1650" s="1">
        <v>520815.1685</v>
      </c>
      <c r="F1650" s="1">
        <v>599500.0</v>
      </c>
      <c r="G1650" s="1">
        <v>10448.0</v>
      </c>
      <c r="H1650" s="1">
        <v>49.8483</v>
      </c>
      <c r="I1650" s="1">
        <v>57.3794</v>
      </c>
      <c r="J1650" s="1">
        <v>-7.5311</v>
      </c>
      <c r="K1650" s="1">
        <v>2784.0</v>
      </c>
    </row>
    <row r="1651">
      <c r="A1651" s="1" t="s">
        <v>24</v>
      </c>
      <c r="B1651" s="1" t="s">
        <v>180</v>
      </c>
      <c r="C1651" s="1" t="s">
        <v>1205</v>
      </c>
      <c r="D1651" s="1">
        <v>12.0</v>
      </c>
      <c r="E1651" s="1">
        <v>844806.2786</v>
      </c>
      <c r="F1651" s="1">
        <v>713150.0</v>
      </c>
      <c r="G1651" s="1">
        <v>10448.0</v>
      </c>
      <c r="H1651" s="1">
        <v>80.8582</v>
      </c>
      <c r="I1651" s="1">
        <v>68.2571</v>
      </c>
      <c r="J1651" s="1">
        <v>12.6011</v>
      </c>
      <c r="K1651" s="1">
        <v>2877.0</v>
      </c>
    </row>
    <row r="1652">
      <c r="A1652" s="1" t="s">
        <v>24</v>
      </c>
      <c r="B1652" s="1" t="s">
        <v>180</v>
      </c>
      <c r="C1652" s="1" t="s">
        <v>1205</v>
      </c>
      <c r="D1652" s="1">
        <v>13.0</v>
      </c>
      <c r="E1652" s="1">
        <v>669909.0</v>
      </c>
      <c r="F1652" s="1">
        <v>669250.0</v>
      </c>
      <c r="G1652" s="1">
        <v>10448.0</v>
      </c>
      <c r="H1652" s="1">
        <v>64.1184</v>
      </c>
      <c r="I1652" s="1">
        <v>64.0553</v>
      </c>
      <c r="J1652" s="1">
        <v>0.0631</v>
      </c>
      <c r="K1652" s="1">
        <v>3082.0</v>
      </c>
    </row>
    <row r="1653">
      <c r="A1653" s="1" t="s">
        <v>24</v>
      </c>
      <c r="B1653" s="1" t="s">
        <v>180</v>
      </c>
      <c r="C1653" s="1" t="s">
        <v>1205</v>
      </c>
      <c r="D1653" s="1">
        <v>14.0</v>
      </c>
      <c r="E1653" s="1">
        <v>682142.0</v>
      </c>
      <c r="F1653" s="1">
        <v>672950.0</v>
      </c>
      <c r="G1653" s="1">
        <v>10448.0</v>
      </c>
      <c r="H1653" s="1">
        <v>65.2892</v>
      </c>
      <c r="I1653" s="1">
        <v>64.4095</v>
      </c>
      <c r="J1653" s="1">
        <v>0.8798</v>
      </c>
      <c r="K1653" s="1">
        <v>3182.0</v>
      </c>
    </row>
    <row r="1654">
      <c r="A1654" s="1" t="s">
        <v>24</v>
      </c>
      <c r="B1654" s="1" t="s">
        <v>180</v>
      </c>
      <c r="C1654" s="1" t="s">
        <v>1205</v>
      </c>
      <c r="D1654" s="1">
        <v>15.0</v>
      </c>
      <c r="E1654" s="1">
        <v>984652.0336</v>
      </c>
      <c r="F1654" s="1">
        <v>844500.0</v>
      </c>
      <c r="G1654" s="1">
        <v>10448.0</v>
      </c>
      <c r="H1654" s="1">
        <v>94.2431</v>
      </c>
      <c r="I1654" s="1">
        <v>80.8289</v>
      </c>
      <c r="J1654" s="1">
        <v>13.4142</v>
      </c>
      <c r="K1654" s="1">
        <v>3439.0</v>
      </c>
    </row>
    <row r="1655">
      <c r="A1655" s="1" t="s">
        <v>24</v>
      </c>
      <c r="B1655" s="1" t="s">
        <v>180</v>
      </c>
      <c r="C1655" s="1" t="s">
        <v>1205</v>
      </c>
      <c r="D1655" s="1">
        <v>16.0</v>
      </c>
      <c r="E1655" s="1">
        <v>662399.9516</v>
      </c>
      <c r="F1655" s="1">
        <v>734550.0</v>
      </c>
      <c r="G1655" s="1">
        <v>10448.0</v>
      </c>
      <c r="H1655" s="1">
        <v>63.3997</v>
      </c>
      <c r="I1655" s="1">
        <v>70.3053</v>
      </c>
      <c r="J1655" s="1">
        <v>-6.9056</v>
      </c>
      <c r="K1655" s="1">
        <v>3482.0</v>
      </c>
    </row>
    <row r="1656">
      <c r="A1656" s="1" t="s">
        <v>24</v>
      </c>
      <c r="B1656" s="1" t="s">
        <v>180</v>
      </c>
      <c r="C1656" s="1" t="s">
        <v>1205</v>
      </c>
      <c r="D1656" s="1">
        <v>17.0</v>
      </c>
      <c r="E1656" s="1">
        <v>734356.1795</v>
      </c>
      <c r="F1656" s="1">
        <v>748750.0</v>
      </c>
      <c r="G1656" s="1">
        <v>10448.0</v>
      </c>
      <c r="H1656" s="1">
        <v>70.2868</v>
      </c>
      <c r="I1656" s="1">
        <v>71.6644</v>
      </c>
      <c r="J1656" s="1">
        <v>-1.3777</v>
      </c>
      <c r="K1656" s="1">
        <v>3548.0</v>
      </c>
    </row>
    <row r="1657">
      <c r="A1657" s="1" t="s">
        <v>24</v>
      </c>
      <c r="B1657" s="1" t="s">
        <v>180</v>
      </c>
      <c r="C1657" s="1" t="s">
        <v>1205</v>
      </c>
      <c r="D1657" s="1">
        <v>18.0</v>
      </c>
      <c r="E1657" s="1">
        <v>571869.8665</v>
      </c>
      <c r="F1657" s="1">
        <v>629700.0</v>
      </c>
      <c r="G1657" s="1">
        <v>10448.0</v>
      </c>
      <c r="H1657" s="1">
        <v>54.7349</v>
      </c>
      <c r="I1657" s="1">
        <v>60.2699</v>
      </c>
      <c r="J1657" s="1">
        <v>-5.535</v>
      </c>
      <c r="K1657" s="1">
        <v>3641.0</v>
      </c>
    </row>
    <row r="1658">
      <c r="A1658" s="1" t="s">
        <v>24</v>
      </c>
      <c r="B1658" s="1" t="s">
        <v>180</v>
      </c>
      <c r="C1658" s="1" t="s">
        <v>1205</v>
      </c>
      <c r="D1658" s="1">
        <v>19.0</v>
      </c>
      <c r="E1658" s="1">
        <v>900218.9362</v>
      </c>
      <c r="F1658" s="1">
        <v>782050.0</v>
      </c>
      <c r="G1658" s="1">
        <v>10448.0</v>
      </c>
      <c r="H1658" s="1">
        <v>86.1618</v>
      </c>
      <c r="I1658" s="1">
        <v>74.8516</v>
      </c>
      <c r="J1658" s="1">
        <v>11.3102</v>
      </c>
      <c r="K1658" s="1">
        <v>3502.0</v>
      </c>
    </row>
    <row r="1659">
      <c r="A1659" s="1" t="s">
        <v>24</v>
      </c>
      <c r="B1659" s="1" t="s">
        <v>180</v>
      </c>
      <c r="C1659" s="1" t="s">
        <v>1205</v>
      </c>
      <c r="D1659" s="1">
        <v>20.0</v>
      </c>
      <c r="E1659" s="1">
        <v>604901.0</v>
      </c>
      <c r="F1659" s="1">
        <v>638650.0</v>
      </c>
      <c r="G1659" s="1">
        <v>10448.0</v>
      </c>
      <c r="H1659" s="1">
        <v>57.8963</v>
      </c>
      <c r="I1659" s="1">
        <v>61.1265</v>
      </c>
      <c r="J1659" s="1">
        <v>-3.2302</v>
      </c>
      <c r="K1659" s="1">
        <v>3312.0</v>
      </c>
    </row>
    <row r="1660">
      <c r="A1660" s="1" t="s">
        <v>24</v>
      </c>
      <c r="B1660" s="1" t="s">
        <v>180</v>
      </c>
      <c r="C1660" s="1" t="s">
        <v>1205</v>
      </c>
      <c r="D1660" s="1">
        <v>21.0</v>
      </c>
      <c r="E1660" s="1">
        <v>585304.3333</v>
      </c>
      <c r="F1660" s="1">
        <v>595400.0</v>
      </c>
      <c r="G1660" s="1">
        <v>10448.0</v>
      </c>
      <c r="H1660" s="1">
        <v>56.0207</v>
      </c>
      <c r="I1660" s="1">
        <v>56.987</v>
      </c>
      <c r="J1660" s="1">
        <v>-0.9663</v>
      </c>
      <c r="K1660" s="1">
        <v>3296.0</v>
      </c>
    </row>
    <row r="1661">
      <c r="A1661" s="1" t="s">
        <v>24</v>
      </c>
      <c r="B1661" s="1" t="s">
        <v>180</v>
      </c>
      <c r="C1661" s="1" t="s">
        <v>52</v>
      </c>
      <c r="D1661" s="1">
        <v>1.0</v>
      </c>
      <c r="E1661" s="1">
        <v>9546.0</v>
      </c>
      <c r="F1661" s="1">
        <v>7532.0</v>
      </c>
      <c r="G1661" s="1">
        <v>10353.0</v>
      </c>
      <c r="H1661" s="1">
        <v>0.9221</v>
      </c>
      <c r="I1661" s="1">
        <v>0.7275</v>
      </c>
      <c r="J1661" s="1">
        <v>0.1945</v>
      </c>
      <c r="K1661" s="1">
        <v>2110.0</v>
      </c>
    </row>
    <row r="1662">
      <c r="A1662" s="1" t="s">
        <v>24</v>
      </c>
      <c r="B1662" s="1" t="s">
        <v>180</v>
      </c>
      <c r="C1662" s="1" t="s">
        <v>52</v>
      </c>
      <c r="D1662" s="1">
        <v>2.0</v>
      </c>
      <c r="E1662" s="1">
        <v>6963.0</v>
      </c>
      <c r="F1662" s="1">
        <v>7005.0</v>
      </c>
      <c r="G1662" s="1">
        <v>10353.0</v>
      </c>
      <c r="H1662" s="1">
        <v>0.6726</v>
      </c>
      <c r="I1662" s="1">
        <v>0.6766</v>
      </c>
      <c r="J1662" s="1">
        <v>-0.0041</v>
      </c>
      <c r="K1662" s="1">
        <v>2190.0</v>
      </c>
    </row>
    <row r="1663">
      <c r="A1663" s="1" t="s">
        <v>24</v>
      </c>
      <c r="B1663" s="1" t="s">
        <v>180</v>
      </c>
      <c r="C1663" s="1" t="s">
        <v>52</v>
      </c>
      <c r="D1663" s="1">
        <v>3.0</v>
      </c>
      <c r="E1663" s="1">
        <v>7137.0</v>
      </c>
      <c r="F1663" s="1">
        <v>6750.0</v>
      </c>
      <c r="G1663" s="1">
        <v>10353.0</v>
      </c>
      <c r="H1663" s="1">
        <v>0.6894</v>
      </c>
      <c r="I1663" s="1">
        <v>0.652</v>
      </c>
      <c r="J1663" s="1">
        <v>0.0374</v>
      </c>
      <c r="K1663" s="1">
        <v>2312.0</v>
      </c>
    </row>
    <row r="1664">
      <c r="A1664" s="1" t="s">
        <v>24</v>
      </c>
      <c r="B1664" s="1" t="s">
        <v>180</v>
      </c>
      <c r="C1664" s="1" t="s">
        <v>52</v>
      </c>
      <c r="D1664" s="1">
        <v>4.0</v>
      </c>
      <c r="E1664" s="1">
        <v>6422.0</v>
      </c>
      <c r="F1664" s="1">
        <v>5861.0</v>
      </c>
      <c r="G1664" s="1">
        <v>10353.0</v>
      </c>
      <c r="H1664" s="1">
        <v>0.6203</v>
      </c>
      <c r="I1664" s="1">
        <v>0.5661</v>
      </c>
      <c r="J1664" s="1">
        <v>0.0542</v>
      </c>
      <c r="K1664" s="1">
        <v>2314.0</v>
      </c>
    </row>
    <row r="1665">
      <c r="A1665" s="1" t="s">
        <v>24</v>
      </c>
      <c r="B1665" s="1" t="s">
        <v>180</v>
      </c>
      <c r="C1665" s="1" t="s">
        <v>52</v>
      </c>
      <c r="D1665" s="1">
        <v>5.0</v>
      </c>
      <c r="E1665" s="1">
        <v>6234.0</v>
      </c>
      <c r="F1665" s="1">
        <v>5882.0</v>
      </c>
      <c r="G1665" s="1">
        <v>10353.0</v>
      </c>
      <c r="H1665" s="1">
        <v>0.6021</v>
      </c>
      <c r="I1665" s="1">
        <v>0.5681</v>
      </c>
      <c r="J1665" s="1">
        <v>0.034</v>
      </c>
      <c r="K1665" s="1">
        <v>2330.0</v>
      </c>
    </row>
    <row r="1666">
      <c r="A1666" s="1" t="s">
        <v>24</v>
      </c>
      <c r="B1666" s="1" t="s">
        <v>180</v>
      </c>
      <c r="C1666" s="1" t="s">
        <v>52</v>
      </c>
      <c r="D1666" s="1">
        <v>6.0</v>
      </c>
      <c r="E1666" s="1">
        <v>4652.0</v>
      </c>
      <c r="F1666" s="1">
        <v>5412.0</v>
      </c>
      <c r="G1666" s="1">
        <v>10353.0</v>
      </c>
      <c r="H1666" s="1">
        <v>0.4493</v>
      </c>
      <c r="I1666" s="1">
        <v>0.5227</v>
      </c>
      <c r="J1666" s="1">
        <v>-0.0734</v>
      </c>
      <c r="K1666" s="1">
        <v>2338.0</v>
      </c>
    </row>
    <row r="1667">
      <c r="A1667" s="1" t="s">
        <v>24</v>
      </c>
      <c r="B1667" s="1" t="s">
        <v>180</v>
      </c>
      <c r="C1667" s="1" t="s">
        <v>52</v>
      </c>
      <c r="D1667" s="1">
        <v>7.0</v>
      </c>
      <c r="E1667" s="1">
        <v>4919.0</v>
      </c>
      <c r="F1667" s="1">
        <v>5717.0</v>
      </c>
      <c r="G1667" s="1">
        <v>10353.0</v>
      </c>
      <c r="H1667" s="1">
        <v>0.4751</v>
      </c>
      <c r="I1667" s="1">
        <v>0.5522</v>
      </c>
      <c r="J1667" s="1">
        <v>-0.0771</v>
      </c>
      <c r="K1667" s="1">
        <v>2434.0</v>
      </c>
    </row>
    <row r="1668">
      <c r="A1668" s="1" t="s">
        <v>24</v>
      </c>
      <c r="B1668" s="1" t="s">
        <v>180</v>
      </c>
      <c r="C1668" s="1" t="s">
        <v>52</v>
      </c>
      <c r="D1668" s="1">
        <v>8.0</v>
      </c>
      <c r="E1668" s="1">
        <v>10778.0</v>
      </c>
      <c r="F1668" s="1">
        <v>7965.0</v>
      </c>
      <c r="G1668" s="1">
        <v>10353.0</v>
      </c>
      <c r="H1668" s="1">
        <v>1.0411</v>
      </c>
      <c r="I1668" s="1">
        <v>0.7693</v>
      </c>
      <c r="J1668" s="1">
        <v>0.2717</v>
      </c>
      <c r="K1668" s="1">
        <v>2628.0</v>
      </c>
    </row>
    <row r="1669">
      <c r="A1669" s="1" t="s">
        <v>24</v>
      </c>
      <c r="B1669" s="1" t="s">
        <v>180</v>
      </c>
      <c r="C1669" s="1" t="s">
        <v>52</v>
      </c>
      <c r="D1669" s="1">
        <v>9.0</v>
      </c>
      <c r="E1669" s="1">
        <v>7549.0</v>
      </c>
      <c r="F1669" s="1">
        <v>7225.0</v>
      </c>
      <c r="G1669" s="1">
        <v>10353.0</v>
      </c>
      <c r="H1669" s="1">
        <v>0.7292</v>
      </c>
      <c r="I1669" s="1">
        <v>0.6979</v>
      </c>
      <c r="J1669" s="1">
        <v>0.0313</v>
      </c>
      <c r="K1669" s="1">
        <v>2626.0</v>
      </c>
    </row>
    <row r="1670">
      <c r="A1670" s="1" t="s">
        <v>24</v>
      </c>
      <c r="B1670" s="1" t="s">
        <v>180</v>
      </c>
      <c r="C1670" s="1" t="s">
        <v>52</v>
      </c>
      <c r="D1670" s="1">
        <v>10.0</v>
      </c>
      <c r="E1670" s="1">
        <v>7352.0</v>
      </c>
      <c r="F1670" s="1">
        <v>6992.0</v>
      </c>
      <c r="G1670" s="1">
        <v>10353.0</v>
      </c>
      <c r="H1670" s="1">
        <v>0.7101</v>
      </c>
      <c r="I1670" s="1">
        <v>0.6754</v>
      </c>
      <c r="J1670" s="1">
        <v>0.0348</v>
      </c>
      <c r="K1670" s="1">
        <v>2688.0</v>
      </c>
    </row>
    <row r="1671">
      <c r="A1671" s="1" t="s">
        <v>24</v>
      </c>
      <c r="B1671" s="1" t="s">
        <v>180</v>
      </c>
      <c r="C1671" s="1" t="s">
        <v>52</v>
      </c>
      <c r="D1671" s="1">
        <v>11.0</v>
      </c>
      <c r="E1671" s="1">
        <v>6951.0</v>
      </c>
      <c r="F1671" s="1">
        <v>6552.0</v>
      </c>
      <c r="G1671" s="1">
        <v>10353.0</v>
      </c>
      <c r="H1671" s="1">
        <v>0.6714</v>
      </c>
      <c r="I1671" s="1">
        <v>0.6329</v>
      </c>
      <c r="J1671" s="1">
        <v>0.0385</v>
      </c>
      <c r="K1671" s="1">
        <v>2784.0</v>
      </c>
    </row>
    <row r="1672">
      <c r="A1672" s="1" t="s">
        <v>24</v>
      </c>
      <c r="B1672" s="1" t="s">
        <v>180</v>
      </c>
      <c r="C1672" s="1" t="s">
        <v>52</v>
      </c>
      <c r="D1672" s="1">
        <v>12.0</v>
      </c>
      <c r="E1672" s="1">
        <v>7132.0</v>
      </c>
      <c r="F1672" s="1">
        <v>7120.0</v>
      </c>
      <c r="G1672" s="1">
        <v>10353.0</v>
      </c>
      <c r="H1672" s="1">
        <v>0.6889</v>
      </c>
      <c r="I1672" s="1">
        <v>0.6877</v>
      </c>
      <c r="J1672" s="1">
        <v>0.0012</v>
      </c>
      <c r="K1672" s="1">
        <v>2877.0</v>
      </c>
    </row>
    <row r="1673">
      <c r="A1673" s="1" t="s">
        <v>24</v>
      </c>
      <c r="B1673" s="1" t="s">
        <v>180</v>
      </c>
      <c r="C1673" s="1" t="s">
        <v>52</v>
      </c>
      <c r="D1673" s="1">
        <v>13.0</v>
      </c>
      <c r="E1673" s="1">
        <v>6029.0</v>
      </c>
      <c r="F1673" s="1">
        <v>6771.0</v>
      </c>
      <c r="G1673" s="1">
        <v>10353.0</v>
      </c>
      <c r="H1673" s="1">
        <v>0.5823</v>
      </c>
      <c r="I1673" s="1">
        <v>0.654</v>
      </c>
      <c r="J1673" s="1">
        <v>-0.0717</v>
      </c>
      <c r="K1673" s="1">
        <v>3082.0</v>
      </c>
    </row>
    <row r="1674">
      <c r="A1674" s="1" t="s">
        <v>24</v>
      </c>
      <c r="B1674" s="1" t="s">
        <v>180</v>
      </c>
      <c r="C1674" s="1" t="s">
        <v>52</v>
      </c>
      <c r="D1674" s="1">
        <v>14.0</v>
      </c>
      <c r="E1674" s="1">
        <v>6346.0</v>
      </c>
      <c r="F1674" s="1">
        <v>7187.0</v>
      </c>
      <c r="G1674" s="1">
        <v>10353.0</v>
      </c>
      <c r="H1674" s="1">
        <v>0.613</v>
      </c>
      <c r="I1674" s="1">
        <v>0.6942</v>
      </c>
      <c r="J1674" s="1">
        <v>-0.0812</v>
      </c>
      <c r="K1674" s="1">
        <v>3182.0</v>
      </c>
    </row>
    <row r="1675">
      <c r="A1675" s="1" t="s">
        <v>24</v>
      </c>
      <c r="B1675" s="1" t="s">
        <v>180</v>
      </c>
      <c r="C1675" s="1" t="s">
        <v>52</v>
      </c>
      <c r="D1675" s="1">
        <v>15.0</v>
      </c>
      <c r="E1675" s="1">
        <v>13429.0</v>
      </c>
      <c r="F1675" s="1">
        <v>9955.0</v>
      </c>
      <c r="G1675" s="1">
        <v>10353.0</v>
      </c>
      <c r="H1675" s="1">
        <v>1.2971</v>
      </c>
      <c r="I1675" s="1">
        <v>0.9616</v>
      </c>
      <c r="J1675" s="1">
        <v>0.3356</v>
      </c>
      <c r="K1675" s="1">
        <v>3439.0</v>
      </c>
    </row>
    <row r="1676">
      <c r="A1676" s="1" t="s">
        <v>24</v>
      </c>
      <c r="B1676" s="1" t="s">
        <v>180</v>
      </c>
      <c r="C1676" s="1" t="s">
        <v>52</v>
      </c>
      <c r="D1676" s="1">
        <v>16.0</v>
      </c>
      <c r="E1676" s="1">
        <v>9530.0</v>
      </c>
      <c r="F1676" s="1">
        <v>9097.0</v>
      </c>
      <c r="G1676" s="1">
        <v>10353.0</v>
      </c>
      <c r="H1676" s="1">
        <v>0.9205</v>
      </c>
      <c r="I1676" s="1">
        <v>0.8787</v>
      </c>
      <c r="J1676" s="1">
        <v>0.0418</v>
      </c>
      <c r="K1676" s="1">
        <v>3482.0</v>
      </c>
    </row>
    <row r="1677">
      <c r="A1677" s="1" t="s">
        <v>24</v>
      </c>
      <c r="B1677" s="1" t="s">
        <v>180</v>
      </c>
      <c r="C1677" s="1" t="s">
        <v>52</v>
      </c>
      <c r="D1677" s="1">
        <v>17.0</v>
      </c>
      <c r="E1677" s="1">
        <v>9389.0</v>
      </c>
      <c r="F1677" s="1">
        <v>8763.0</v>
      </c>
      <c r="G1677" s="1">
        <v>10353.0</v>
      </c>
      <c r="H1677" s="1">
        <v>0.9069</v>
      </c>
      <c r="I1677" s="1">
        <v>0.8464</v>
      </c>
      <c r="J1677" s="1">
        <v>0.0605</v>
      </c>
      <c r="K1677" s="1">
        <v>3548.0</v>
      </c>
    </row>
    <row r="1678">
      <c r="A1678" s="1" t="s">
        <v>24</v>
      </c>
      <c r="B1678" s="1" t="s">
        <v>180</v>
      </c>
      <c r="C1678" s="1" t="s">
        <v>52</v>
      </c>
      <c r="D1678" s="1">
        <v>18.0</v>
      </c>
      <c r="E1678" s="1">
        <v>7950.0</v>
      </c>
      <c r="F1678" s="1">
        <v>7913.0</v>
      </c>
      <c r="G1678" s="1">
        <v>10353.0</v>
      </c>
      <c r="H1678" s="1">
        <v>0.7679</v>
      </c>
      <c r="I1678" s="1">
        <v>0.7643</v>
      </c>
      <c r="J1678" s="1">
        <v>0.0036</v>
      </c>
      <c r="K1678" s="1">
        <v>3641.0</v>
      </c>
    </row>
    <row r="1679">
      <c r="A1679" s="1" t="s">
        <v>24</v>
      </c>
      <c r="B1679" s="1" t="s">
        <v>180</v>
      </c>
      <c r="C1679" s="1" t="s">
        <v>52</v>
      </c>
      <c r="D1679" s="1">
        <v>19.0</v>
      </c>
      <c r="E1679" s="1">
        <v>8435.0</v>
      </c>
      <c r="F1679" s="1">
        <v>7874.0</v>
      </c>
      <c r="G1679" s="1">
        <v>10353.0</v>
      </c>
      <c r="H1679" s="1">
        <v>0.8147</v>
      </c>
      <c r="I1679" s="1">
        <v>0.7606</v>
      </c>
      <c r="J1679" s="1">
        <v>0.0542</v>
      </c>
      <c r="K1679" s="1">
        <v>3502.0</v>
      </c>
    </row>
    <row r="1680">
      <c r="A1680" s="1" t="s">
        <v>24</v>
      </c>
      <c r="B1680" s="1" t="s">
        <v>180</v>
      </c>
      <c r="C1680" s="1" t="s">
        <v>52</v>
      </c>
      <c r="D1680" s="1">
        <v>20.0</v>
      </c>
      <c r="E1680" s="1">
        <v>5218.0</v>
      </c>
      <c r="F1680" s="1">
        <v>6125.0</v>
      </c>
      <c r="G1680" s="1">
        <v>10353.0</v>
      </c>
      <c r="H1680" s="1">
        <v>0.504</v>
      </c>
      <c r="I1680" s="1">
        <v>0.5916</v>
      </c>
      <c r="J1680" s="1">
        <v>-0.0876</v>
      </c>
      <c r="K1680" s="1">
        <v>3312.0</v>
      </c>
    </row>
    <row r="1681">
      <c r="A1681" s="1" t="s">
        <v>24</v>
      </c>
      <c r="B1681" s="1" t="s">
        <v>180</v>
      </c>
      <c r="C1681" s="1" t="s">
        <v>52</v>
      </c>
      <c r="D1681" s="1">
        <v>21.0</v>
      </c>
      <c r="E1681" s="1">
        <v>4870.0</v>
      </c>
      <c r="F1681" s="1">
        <v>5876.0</v>
      </c>
      <c r="G1681" s="1">
        <v>10353.0</v>
      </c>
      <c r="H1681" s="1">
        <v>0.4704</v>
      </c>
      <c r="I1681" s="1">
        <v>0.5676</v>
      </c>
      <c r="J1681" s="1">
        <v>-0.0972</v>
      </c>
      <c r="K1681" s="1">
        <v>3296.0</v>
      </c>
    </row>
    <row r="1682">
      <c r="A1682" s="1" t="s">
        <v>24</v>
      </c>
      <c r="B1682" s="1" t="s">
        <v>180</v>
      </c>
      <c r="C1682" s="1" t="s">
        <v>53</v>
      </c>
      <c r="D1682" s="1">
        <v>1.0</v>
      </c>
      <c r="E1682" s="1">
        <v>7388.0</v>
      </c>
      <c r="F1682" s="1">
        <v>7121.0</v>
      </c>
      <c r="G1682" s="1">
        <v>9976.0</v>
      </c>
      <c r="H1682" s="1">
        <v>0.7406</v>
      </c>
      <c r="I1682" s="1">
        <v>0.7138</v>
      </c>
      <c r="J1682" s="1">
        <v>0.0268</v>
      </c>
      <c r="K1682" s="1">
        <v>2110.0</v>
      </c>
    </row>
    <row r="1683">
      <c r="A1683" s="1" t="s">
        <v>24</v>
      </c>
      <c r="B1683" s="1" t="s">
        <v>180</v>
      </c>
      <c r="C1683" s="1" t="s">
        <v>53</v>
      </c>
      <c r="D1683" s="1">
        <v>2.0</v>
      </c>
      <c r="E1683" s="1">
        <v>5440.0</v>
      </c>
      <c r="F1683" s="1">
        <v>5904.0</v>
      </c>
      <c r="G1683" s="1">
        <v>9976.0</v>
      </c>
      <c r="H1683" s="1">
        <v>0.5453</v>
      </c>
      <c r="I1683" s="1">
        <v>0.5918</v>
      </c>
      <c r="J1683" s="1">
        <v>-0.0465</v>
      </c>
      <c r="K1683" s="1">
        <v>2190.0</v>
      </c>
    </row>
    <row r="1684">
      <c r="A1684" s="1" t="s">
        <v>24</v>
      </c>
      <c r="B1684" s="1" t="s">
        <v>180</v>
      </c>
      <c r="C1684" s="1" t="s">
        <v>53</v>
      </c>
      <c r="D1684" s="1">
        <v>3.0</v>
      </c>
      <c r="E1684" s="1">
        <v>6497.0</v>
      </c>
      <c r="F1684" s="1">
        <v>6271.0</v>
      </c>
      <c r="G1684" s="1">
        <v>9976.0</v>
      </c>
      <c r="H1684" s="1">
        <v>0.6513</v>
      </c>
      <c r="I1684" s="1">
        <v>0.6286</v>
      </c>
      <c r="J1684" s="1">
        <v>0.0227</v>
      </c>
      <c r="K1684" s="1">
        <v>2312.0</v>
      </c>
    </row>
    <row r="1685">
      <c r="A1685" s="1" t="s">
        <v>24</v>
      </c>
      <c r="B1685" s="1" t="s">
        <v>180</v>
      </c>
      <c r="C1685" s="1" t="s">
        <v>53</v>
      </c>
      <c r="D1685" s="1">
        <v>4.0</v>
      </c>
      <c r="E1685" s="1">
        <v>5786.0</v>
      </c>
      <c r="F1685" s="1">
        <v>5387.0</v>
      </c>
      <c r="G1685" s="1">
        <v>9976.0</v>
      </c>
      <c r="H1685" s="1">
        <v>0.58</v>
      </c>
      <c r="I1685" s="1">
        <v>0.54</v>
      </c>
      <c r="J1685" s="1">
        <v>0.04</v>
      </c>
      <c r="K1685" s="1">
        <v>2314.0</v>
      </c>
    </row>
    <row r="1686">
      <c r="A1686" s="1" t="s">
        <v>24</v>
      </c>
      <c r="B1686" s="1" t="s">
        <v>180</v>
      </c>
      <c r="C1686" s="1" t="s">
        <v>53</v>
      </c>
      <c r="D1686" s="1">
        <v>5.0</v>
      </c>
      <c r="E1686" s="1">
        <v>6100.0</v>
      </c>
      <c r="F1686" s="1">
        <v>6166.0</v>
      </c>
      <c r="G1686" s="1">
        <v>9976.0</v>
      </c>
      <c r="H1686" s="1">
        <v>0.6115</v>
      </c>
      <c r="I1686" s="1">
        <v>0.6181</v>
      </c>
      <c r="J1686" s="1">
        <v>-0.0066</v>
      </c>
      <c r="K1686" s="1">
        <v>2330.0</v>
      </c>
    </row>
    <row r="1687">
      <c r="A1687" s="1" t="s">
        <v>24</v>
      </c>
      <c r="B1687" s="1" t="s">
        <v>180</v>
      </c>
      <c r="C1687" s="1" t="s">
        <v>53</v>
      </c>
      <c r="D1687" s="1">
        <v>6.0</v>
      </c>
      <c r="E1687" s="1">
        <v>4471.0</v>
      </c>
      <c r="F1687" s="1">
        <v>5235.0</v>
      </c>
      <c r="G1687" s="1">
        <v>9976.0</v>
      </c>
      <c r="H1687" s="1">
        <v>0.4482</v>
      </c>
      <c r="I1687" s="1">
        <v>0.5248</v>
      </c>
      <c r="J1687" s="1">
        <v>-0.0766</v>
      </c>
      <c r="K1687" s="1">
        <v>2338.0</v>
      </c>
    </row>
    <row r="1688">
      <c r="A1688" s="1" t="s">
        <v>24</v>
      </c>
      <c r="B1688" s="1" t="s">
        <v>180</v>
      </c>
      <c r="C1688" s="1" t="s">
        <v>53</v>
      </c>
      <c r="D1688" s="1">
        <v>7.0</v>
      </c>
      <c r="E1688" s="1">
        <v>4524.0</v>
      </c>
      <c r="F1688" s="1">
        <v>5252.0</v>
      </c>
      <c r="G1688" s="1">
        <v>9976.0</v>
      </c>
      <c r="H1688" s="1">
        <v>0.4535</v>
      </c>
      <c r="I1688" s="1">
        <v>0.5265</v>
      </c>
      <c r="J1688" s="1">
        <v>-0.073</v>
      </c>
      <c r="K1688" s="1">
        <v>2434.0</v>
      </c>
    </row>
    <row r="1689">
      <c r="A1689" s="1" t="s">
        <v>24</v>
      </c>
      <c r="B1689" s="1" t="s">
        <v>180</v>
      </c>
      <c r="C1689" s="1" t="s">
        <v>53</v>
      </c>
      <c r="D1689" s="1">
        <v>8.0</v>
      </c>
      <c r="E1689" s="1">
        <v>7727.0</v>
      </c>
      <c r="F1689" s="1">
        <v>6723.0</v>
      </c>
      <c r="G1689" s="1">
        <v>9976.0</v>
      </c>
      <c r="H1689" s="1">
        <v>0.7746</v>
      </c>
      <c r="I1689" s="1">
        <v>0.6739</v>
      </c>
      <c r="J1689" s="1">
        <v>0.1006</v>
      </c>
      <c r="K1689" s="1">
        <v>2628.0</v>
      </c>
    </row>
    <row r="1690">
      <c r="A1690" s="1" t="s">
        <v>24</v>
      </c>
      <c r="B1690" s="1" t="s">
        <v>180</v>
      </c>
      <c r="C1690" s="1" t="s">
        <v>53</v>
      </c>
      <c r="D1690" s="1">
        <v>9.0</v>
      </c>
      <c r="E1690" s="1">
        <v>5919.0</v>
      </c>
      <c r="F1690" s="1">
        <v>5796.0</v>
      </c>
      <c r="G1690" s="1">
        <v>9976.0</v>
      </c>
      <c r="H1690" s="1">
        <v>0.5933</v>
      </c>
      <c r="I1690" s="1">
        <v>0.581</v>
      </c>
      <c r="J1690" s="1">
        <v>0.0123</v>
      </c>
      <c r="K1690" s="1">
        <v>2626.0</v>
      </c>
    </row>
    <row r="1691">
      <c r="A1691" s="1" t="s">
        <v>24</v>
      </c>
      <c r="B1691" s="1" t="s">
        <v>180</v>
      </c>
      <c r="C1691" s="1" t="s">
        <v>53</v>
      </c>
      <c r="D1691" s="1">
        <v>10.0</v>
      </c>
      <c r="E1691" s="1">
        <v>6838.0</v>
      </c>
      <c r="F1691" s="1">
        <v>6598.0</v>
      </c>
      <c r="G1691" s="1">
        <v>9976.0</v>
      </c>
      <c r="H1691" s="1">
        <v>0.6854</v>
      </c>
      <c r="I1691" s="1">
        <v>0.6614</v>
      </c>
      <c r="J1691" s="1">
        <v>0.0241</v>
      </c>
      <c r="K1691" s="1">
        <v>2688.0</v>
      </c>
    </row>
    <row r="1692">
      <c r="A1692" s="1" t="s">
        <v>24</v>
      </c>
      <c r="B1692" s="1" t="s">
        <v>180</v>
      </c>
      <c r="C1692" s="1" t="s">
        <v>53</v>
      </c>
      <c r="D1692" s="1">
        <v>11.0</v>
      </c>
      <c r="E1692" s="1">
        <v>5910.0</v>
      </c>
      <c r="F1692" s="1">
        <v>5849.0</v>
      </c>
      <c r="G1692" s="1">
        <v>9976.0</v>
      </c>
      <c r="H1692" s="1">
        <v>0.5924</v>
      </c>
      <c r="I1692" s="1">
        <v>0.5863</v>
      </c>
      <c r="J1692" s="1">
        <v>0.0061</v>
      </c>
      <c r="K1692" s="1">
        <v>2784.0</v>
      </c>
    </row>
    <row r="1693">
      <c r="A1693" s="1" t="s">
        <v>24</v>
      </c>
      <c r="B1693" s="1" t="s">
        <v>180</v>
      </c>
      <c r="C1693" s="1" t="s">
        <v>53</v>
      </c>
      <c r="D1693" s="1">
        <v>12.0</v>
      </c>
      <c r="E1693" s="1">
        <v>6717.0</v>
      </c>
      <c r="F1693" s="1">
        <v>6467.0</v>
      </c>
      <c r="G1693" s="1">
        <v>9976.0</v>
      </c>
      <c r="H1693" s="1">
        <v>0.6733</v>
      </c>
      <c r="I1693" s="1">
        <v>0.6483</v>
      </c>
      <c r="J1693" s="1">
        <v>0.0251</v>
      </c>
      <c r="K1693" s="1">
        <v>2877.0</v>
      </c>
    </row>
    <row r="1694">
      <c r="A1694" s="1" t="s">
        <v>24</v>
      </c>
      <c r="B1694" s="1" t="s">
        <v>180</v>
      </c>
      <c r="C1694" s="1" t="s">
        <v>53</v>
      </c>
      <c r="D1694" s="1">
        <v>13.0</v>
      </c>
      <c r="E1694" s="1">
        <v>5527.0</v>
      </c>
      <c r="F1694" s="1">
        <v>6294.0</v>
      </c>
      <c r="G1694" s="1">
        <v>9976.0</v>
      </c>
      <c r="H1694" s="1">
        <v>0.554</v>
      </c>
      <c r="I1694" s="1">
        <v>0.6309</v>
      </c>
      <c r="J1694" s="1">
        <v>-0.0769</v>
      </c>
      <c r="K1694" s="1">
        <v>3082.0</v>
      </c>
    </row>
    <row r="1695">
      <c r="A1695" s="1" t="s">
        <v>24</v>
      </c>
      <c r="B1695" s="1" t="s">
        <v>180</v>
      </c>
      <c r="C1695" s="1" t="s">
        <v>53</v>
      </c>
      <c r="D1695" s="1">
        <v>14.0</v>
      </c>
      <c r="E1695" s="1">
        <v>5631.0</v>
      </c>
      <c r="F1695" s="1">
        <v>6461.0</v>
      </c>
      <c r="G1695" s="1">
        <v>9976.0</v>
      </c>
      <c r="H1695" s="1">
        <v>0.5645</v>
      </c>
      <c r="I1695" s="1">
        <v>0.6477</v>
      </c>
      <c r="J1695" s="1">
        <v>-0.0832</v>
      </c>
      <c r="K1695" s="1">
        <v>3182.0</v>
      </c>
    </row>
    <row r="1696">
      <c r="A1696" s="1" t="s">
        <v>24</v>
      </c>
      <c r="B1696" s="1" t="s">
        <v>180</v>
      </c>
      <c r="C1696" s="1" t="s">
        <v>53</v>
      </c>
      <c r="D1696" s="1">
        <v>15.0</v>
      </c>
      <c r="E1696" s="1">
        <v>9228.0</v>
      </c>
      <c r="F1696" s="1">
        <v>8211.0</v>
      </c>
      <c r="G1696" s="1">
        <v>9976.0</v>
      </c>
      <c r="H1696" s="1">
        <v>0.925</v>
      </c>
      <c r="I1696" s="1">
        <v>0.8231</v>
      </c>
      <c r="J1696" s="1">
        <v>0.1019</v>
      </c>
      <c r="K1696" s="1">
        <v>3439.0</v>
      </c>
    </row>
    <row r="1697">
      <c r="A1697" s="1" t="s">
        <v>24</v>
      </c>
      <c r="B1697" s="1" t="s">
        <v>180</v>
      </c>
      <c r="C1697" s="1" t="s">
        <v>53</v>
      </c>
      <c r="D1697" s="1">
        <v>16.0</v>
      </c>
      <c r="E1697" s="1">
        <v>7626.0</v>
      </c>
      <c r="F1697" s="1">
        <v>7466.0</v>
      </c>
      <c r="G1697" s="1">
        <v>9976.0</v>
      </c>
      <c r="H1697" s="1">
        <v>0.7644</v>
      </c>
      <c r="I1697" s="1">
        <v>0.7484</v>
      </c>
      <c r="J1697" s="1">
        <v>0.016</v>
      </c>
      <c r="K1697" s="1">
        <v>3482.0</v>
      </c>
    </row>
    <row r="1698">
      <c r="A1698" s="1" t="s">
        <v>24</v>
      </c>
      <c r="B1698" s="1" t="s">
        <v>180</v>
      </c>
      <c r="C1698" s="1" t="s">
        <v>53</v>
      </c>
      <c r="D1698" s="1">
        <v>17.0</v>
      </c>
      <c r="E1698" s="1">
        <v>8127.0</v>
      </c>
      <c r="F1698" s="1">
        <v>7708.0</v>
      </c>
      <c r="G1698" s="1">
        <v>9976.0</v>
      </c>
      <c r="H1698" s="1">
        <v>0.8147</v>
      </c>
      <c r="I1698" s="1">
        <v>0.7727</v>
      </c>
      <c r="J1698" s="1">
        <v>0.042</v>
      </c>
      <c r="K1698" s="1">
        <v>3548.0</v>
      </c>
    </row>
    <row r="1699">
      <c r="A1699" s="1" t="s">
        <v>24</v>
      </c>
      <c r="B1699" s="1" t="s">
        <v>180</v>
      </c>
      <c r="C1699" s="1" t="s">
        <v>53</v>
      </c>
      <c r="D1699" s="1">
        <v>18.0</v>
      </c>
      <c r="E1699" s="1">
        <v>6842.0</v>
      </c>
      <c r="F1699" s="1">
        <v>7245.0</v>
      </c>
      <c r="G1699" s="1">
        <v>9976.0</v>
      </c>
      <c r="H1699" s="1">
        <v>0.6858</v>
      </c>
      <c r="I1699" s="1">
        <v>0.7262</v>
      </c>
      <c r="J1699" s="1">
        <v>-0.0404</v>
      </c>
      <c r="K1699" s="1">
        <v>3641.0</v>
      </c>
    </row>
    <row r="1700">
      <c r="A1700" s="1" t="s">
        <v>24</v>
      </c>
      <c r="B1700" s="1" t="s">
        <v>180</v>
      </c>
      <c r="C1700" s="1" t="s">
        <v>53</v>
      </c>
      <c r="D1700" s="1">
        <v>19.0</v>
      </c>
      <c r="E1700" s="1">
        <v>7608.0</v>
      </c>
      <c r="F1700" s="1">
        <v>7327.0</v>
      </c>
      <c r="G1700" s="1">
        <v>9976.0</v>
      </c>
      <c r="H1700" s="1">
        <v>0.7626</v>
      </c>
      <c r="I1700" s="1">
        <v>0.7345</v>
      </c>
      <c r="J1700" s="1">
        <v>0.0282</v>
      </c>
      <c r="K1700" s="1">
        <v>3502.0</v>
      </c>
    </row>
    <row r="1701">
      <c r="A1701" s="1" t="s">
        <v>24</v>
      </c>
      <c r="B1701" s="1" t="s">
        <v>180</v>
      </c>
      <c r="C1701" s="1" t="s">
        <v>53</v>
      </c>
      <c r="D1701" s="1">
        <v>20.0</v>
      </c>
      <c r="E1701" s="1">
        <v>5125.0</v>
      </c>
      <c r="F1701" s="1">
        <v>5950.0</v>
      </c>
      <c r="G1701" s="1">
        <v>9976.0</v>
      </c>
      <c r="H1701" s="1">
        <v>0.5137</v>
      </c>
      <c r="I1701" s="1">
        <v>0.5964</v>
      </c>
      <c r="J1701" s="1">
        <v>-0.0827</v>
      </c>
      <c r="K1701" s="1">
        <v>3312.0</v>
      </c>
    </row>
    <row r="1702">
      <c r="A1702" s="1" t="s">
        <v>24</v>
      </c>
      <c r="B1702" s="1" t="s">
        <v>180</v>
      </c>
      <c r="C1702" s="1" t="s">
        <v>53</v>
      </c>
      <c r="D1702" s="1">
        <v>21.0</v>
      </c>
      <c r="E1702" s="1">
        <v>4984.0</v>
      </c>
      <c r="F1702" s="1">
        <v>5909.0</v>
      </c>
      <c r="G1702" s="1">
        <v>9976.0</v>
      </c>
      <c r="H1702" s="1">
        <v>0.4996</v>
      </c>
      <c r="I1702" s="1">
        <v>0.5923</v>
      </c>
      <c r="J1702" s="1">
        <v>-0.0927</v>
      </c>
      <c r="K1702" s="1">
        <v>3296.0</v>
      </c>
    </row>
    <row r="1703">
      <c r="A1703" s="1" t="s">
        <v>24</v>
      </c>
      <c r="B1703" s="1" t="s">
        <v>180</v>
      </c>
      <c r="C1703" s="1" t="s">
        <v>54</v>
      </c>
      <c r="D1703" s="1">
        <v>1.0</v>
      </c>
      <c r="E1703" s="1">
        <v>4188.0</v>
      </c>
      <c r="F1703" s="1">
        <v>4310.0</v>
      </c>
      <c r="G1703" s="1">
        <v>8194.0</v>
      </c>
      <c r="H1703" s="1">
        <v>0.5111</v>
      </c>
      <c r="I1703" s="1">
        <v>0.526</v>
      </c>
      <c r="J1703" s="1">
        <v>-0.0149</v>
      </c>
      <c r="K1703" s="1">
        <v>2110.0</v>
      </c>
    </row>
    <row r="1704">
      <c r="A1704" s="1" t="s">
        <v>24</v>
      </c>
      <c r="B1704" s="1" t="s">
        <v>180</v>
      </c>
      <c r="C1704" s="1" t="s">
        <v>54</v>
      </c>
      <c r="D1704" s="1">
        <v>2.0</v>
      </c>
      <c r="E1704" s="1">
        <v>2277.0</v>
      </c>
      <c r="F1704" s="1">
        <v>3490.0</v>
      </c>
      <c r="G1704" s="1">
        <v>8194.0</v>
      </c>
      <c r="H1704" s="1">
        <v>0.2779</v>
      </c>
      <c r="I1704" s="1">
        <v>0.4259</v>
      </c>
      <c r="J1704" s="1">
        <v>-0.148</v>
      </c>
      <c r="K1704" s="1">
        <v>2190.0</v>
      </c>
    </row>
    <row r="1705">
      <c r="A1705" s="1" t="s">
        <v>24</v>
      </c>
      <c r="B1705" s="1" t="s">
        <v>180</v>
      </c>
      <c r="C1705" s="1" t="s">
        <v>54</v>
      </c>
      <c r="D1705" s="1">
        <v>3.0</v>
      </c>
      <c r="E1705" s="1">
        <v>2483.0</v>
      </c>
      <c r="F1705" s="1">
        <v>3231.0</v>
      </c>
      <c r="G1705" s="1">
        <v>8194.0</v>
      </c>
      <c r="H1705" s="1">
        <v>0.303</v>
      </c>
      <c r="I1705" s="1">
        <v>0.3943</v>
      </c>
      <c r="J1705" s="1">
        <v>-0.0913</v>
      </c>
      <c r="K1705" s="1">
        <v>2312.0</v>
      </c>
    </row>
    <row r="1706">
      <c r="A1706" s="1" t="s">
        <v>24</v>
      </c>
      <c r="B1706" s="1" t="s">
        <v>180</v>
      </c>
      <c r="C1706" s="1" t="s">
        <v>54</v>
      </c>
      <c r="D1706" s="1">
        <v>4.0</v>
      </c>
      <c r="E1706" s="1">
        <v>2186.0</v>
      </c>
      <c r="F1706" s="1">
        <v>2684.0</v>
      </c>
      <c r="G1706" s="1">
        <v>8194.0</v>
      </c>
      <c r="H1706" s="1">
        <v>0.2668</v>
      </c>
      <c r="I1706" s="1">
        <v>0.3276</v>
      </c>
      <c r="J1706" s="1">
        <v>-0.0608</v>
      </c>
      <c r="K1706" s="1">
        <v>2314.0</v>
      </c>
    </row>
    <row r="1707">
      <c r="A1707" s="1" t="s">
        <v>24</v>
      </c>
      <c r="B1707" s="1" t="s">
        <v>180</v>
      </c>
      <c r="C1707" s="1" t="s">
        <v>54</v>
      </c>
      <c r="D1707" s="1">
        <v>5.0</v>
      </c>
      <c r="E1707" s="1">
        <v>2490.0</v>
      </c>
      <c r="F1707" s="1">
        <v>3086.0</v>
      </c>
      <c r="G1707" s="1">
        <v>8194.0</v>
      </c>
      <c r="H1707" s="1">
        <v>0.3039</v>
      </c>
      <c r="I1707" s="1">
        <v>0.3766</v>
      </c>
      <c r="J1707" s="1">
        <v>-0.0727</v>
      </c>
      <c r="K1707" s="1">
        <v>2330.0</v>
      </c>
    </row>
    <row r="1708">
      <c r="A1708" s="1" t="s">
        <v>24</v>
      </c>
      <c r="B1708" s="1" t="s">
        <v>180</v>
      </c>
      <c r="C1708" s="1" t="s">
        <v>54</v>
      </c>
      <c r="D1708" s="1">
        <v>6.0</v>
      </c>
      <c r="E1708" s="1">
        <v>1689.0</v>
      </c>
      <c r="F1708" s="1">
        <v>2651.0</v>
      </c>
      <c r="G1708" s="1">
        <v>8194.0</v>
      </c>
      <c r="H1708" s="1">
        <v>0.2061</v>
      </c>
      <c r="I1708" s="1">
        <v>0.3235</v>
      </c>
      <c r="J1708" s="1">
        <v>-0.1174</v>
      </c>
      <c r="K1708" s="1">
        <v>2338.0</v>
      </c>
    </row>
    <row r="1709">
      <c r="A1709" s="1" t="s">
        <v>24</v>
      </c>
      <c r="B1709" s="1" t="s">
        <v>180</v>
      </c>
      <c r="C1709" s="1" t="s">
        <v>54</v>
      </c>
      <c r="D1709" s="1">
        <v>7.0</v>
      </c>
      <c r="E1709" s="1">
        <v>1795.0</v>
      </c>
      <c r="F1709" s="1">
        <v>2879.0</v>
      </c>
      <c r="G1709" s="1">
        <v>8194.0</v>
      </c>
      <c r="H1709" s="1">
        <v>0.2191</v>
      </c>
      <c r="I1709" s="1">
        <v>0.3514</v>
      </c>
      <c r="J1709" s="1">
        <v>-0.1323</v>
      </c>
      <c r="K1709" s="1">
        <v>2434.0</v>
      </c>
    </row>
    <row r="1710">
      <c r="A1710" s="1" t="s">
        <v>24</v>
      </c>
      <c r="B1710" s="1" t="s">
        <v>180</v>
      </c>
      <c r="C1710" s="1" t="s">
        <v>54</v>
      </c>
      <c r="D1710" s="1">
        <v>8.0</v>
      </c>
      <c r="E1710" s="1">
        <v>4801.0</v>
      </c>
      <c r="F1710" s="1">
        <v>4510.0</v>
      </c>
      <c r="G1710" s="1">
        <v>8194.0</v>
      </c>
      <c r="H1710" s="1">
        <v>0.5859</v>
      </c>
      <c r="I1710" s="1">
        <v>0.5504</v>
      </c>
      <c r="J1710" s="1">
        <v>0.0355</v>
      </c>
      <c r="K1710" s="1">
        <v>2628.0</v>
      </c>
    </row>
    <row r="1711">
      <c r="A1711" s="1" t="s">
        <v>24</v>
      </c>
      <c r="B1711" s="1" t="s">
        <v>180</v>
      </c>
      <c r="C1711" s="1" t="s">
        <v>54</v>
      </c>
      <c r="D1711" s="1">
        <v>9.0</v>
      </c>
      <c r="E1711" s="1">
        <v>2601.0</v>
      </c>
      <c r="F1711" s="1">
        <v>3480.0</v>
      </c>
      <c r="G1711" s="1">
        <v>8194.0</v>
      </c>
      <c r="H1711" s="1">
        <v>0.3174</v>
      </c>
      <c r="I1711" s="1">
        <v>0.4247</v>
      </c>
      <c r="J1711" s="1">
        <v>-0.1073</v>
      </c>
      <c r="K1711" s="1">
        <v>2626.0</v>
      </c>
    </row>
    <row r="1712">
      <c r="A1712" s="1" t="s">
        <v>24</v>
      </c>
      <c r="B1712" s="1" t="s">
        <v>180</v>
      </c>
      <c r="C1712" s="1" t="s">
        <v>54</v>
      </c>
      <c r="D1712" s="1">
        <v>10.0</v>
      </c>
      <c r="E1712" s="1">
        <v>2546.0</v>
      </c>
      <c r="F1712" s="1">
        <v>3410.0</v>
      </c>
      <c r="G1712" s="1">
        <v>8194.0</v>
      </c>
      <c r="H1712" s="1">
        <v>0.3107</v>
      </c>
      <c r="I1712" s="1">
        <v>0.4162</v>
      </c>
      <c r="J1712" s="1">
        <v>-0.1054</v>
      </c>
      <c r="K1712" s="1">
        <v>2688.0</v>
      </c>
    </row>
    <row r="1713">
      <c r="A1713" s="1" t="s">
        <v>24</v>
      </c>
      <c r="B1713" s="1" t="s">
        <v>180</v>
      </c>
      <c r="C1713" s="1" t="s">
        <v>54</v>
      </c>
      <c r="D1713" s="1">
        <v>11.0</v>
      </c>
      <c r="E1713" s="1">
        <v>2281.0</v>
      </c>
      <c r="F1713" s="1">
        <v>2915.0</v>
      </c>
      <c r="G1713" s="1">
        <v>8194.0</v>
      </c>
      <c r="H1713" s="1">
        <v>0.2784</v>
      </c>
      <c r="I1713" s="1">
        <v>0.3557</v>
      </c>
      <c r="J1713" s="1">
        <v>-0.0774</v>
      </c>
      <c r="K1713" s="1">
        <v>2784.0</v>
      </c>
    </row>
    <row r="1714">
      <c r="A1714" s="1" t="s">
        <v>24</v>
      </c>
      <c r="B1714" s="1" t="s">
        <v>180</v>
      </c>
      <c r="C1714" s="1" t="s">
        <v>54</v>
      </c>
      <c r="D1714" s="1">
        <v>12.0</v>
      </c>
      <c r="E1714" s="1">
        <v>2713.0</v>
      </c>
      <c r="F1714" s="1">
        <v>3521.0</v>
      </c>
      <c r="G1714" s="1">
        <v>8194.0</v>
      </c>
      <c r="H1714" s="1">
        <v>0.3311</v>
      </c>
      <c r="I1714" s="1">
        <v>0.4297</v>
      </c>
      <c r="J1714" s="1">
        <v>-0.0986</v>
      </c>
      <c r="K1714" s="1">
        <v>2877.0</v>
      </c>
    </row>
    <row r="1715">
      <c r="A1715" s="1" t="s">
        <v>24</v>
      </c>
      <c r="B1715" s="1" t="s">
        <v>180</v>
      </c>
      <c r="C1715" s="1" t="s">
        <v>54</v>
      </c>
      <c r="D1715" s="1">
        <v>13.0</v>
      </c>
      <c r="E1715" s="1">
        <v>2049.0</v>
      </c>
      <c r="F1715" s="1">
        <v>3634.0</v>
      </c>
      <c r="G1715" s="1">
        <v>8194.0</v>
      </c>
      <c r="H1715" s="1">
        <v>0.2501</v>
      </c>
      <c r="I1715" s="1">
        <v>0.4435</v>
      </c>
      <c r="J1715" s="1">
        <v>-0.1934</v>
      </c>
      <c r="K1715" s="1">
        <v>3082.0</v>
      </c>
    </row>
    <row r="1716">
      <c r="A1716" s="1" t="s">
        <v>24</v>
      </c>
      <c r="B1716" s="1" t="s">
        <v>180</v>
      </c>
      <c r="C1716" s="1" t="s">
        <v>54</v>
      </c>
      <c r="D1716" s="1">
        <v>14.0</v>
      </c>
      <c r="E1716" s="1">
        <v>2273.0</v>
      </c>
      <c r="F1716" s="1">
        <v>3748.0</v>
      </c>
      <c r="G1716" s="1">
        <v>8194.0</v>
      </c>
      <c r="H1716" s="1">
        <v>0.2774</v>
      </c>
      <c r="I1716" s="1">
        <v>0.4574</v>
      </c>
      <c r="J1716" s="1">
        <v>-0.18</v>
      </c>
      <c r="K1716" s="1">
        <v>3182.0</v>
      </c>
    </row>
    <row r="1717">
      <c r="A1717" s="1" t="s">
        <v>24</v>
      </c>
      <c r="B1717" s="1" t="s">
        <v>180</v>
      </c>
      <c r="C1717" s="1" t="s">
        <v>54</v>
      </c>
      <c r="D1717" s="1">
        <v>15.0</v>
      </c>
      <c r="E1717" s="1">
        <v>5589.0</v>
      </c>
      <c r="F1717" s="1">
        <v>5343.0</v>
      </c>
      <c r="G1717" s="1">
        <v>8194.0</v>
      </c>
      <c r="H1717" s="1">
        <v>0.6821</v>
      </c>
      <c r="I1717" s="1">
        <v>0.6521</v>
      </c>
      <c r="J1717" s="1">
        <v>0.03</v>
      </c>
      <c r="K1717" s="1">
        <v>3439.0</v>
      </c>
    </row>
    <row r="1718">
      <c r="A1718" s="1" t="s">
        <v>24</v>
      </c>
      <c r="B1718" s="1" t="s">
        <v>180</v>
      </c>
      <c r="C1718" s="1" t="s">
        <v>54</v>
      </c>
      <c r="D1718" s="1">
        <v>16.0</v>
      </c>
      <c r="E1718" s="1">
        <v>3371.0</v>
      </c>
      <c r="F1718" s="1">
        <v>4547.0</v>
      </c>
      <c r="G1718" s="1">
        <v>8194.0</v>
      </c>
      <c r="H1718" s="1">
        <v>0.4114</v>
      </c>
      <c r="I1718" s="1">
        <v>0.5549</v>
      </c>
      <c r="J1718" s="1">
        <v>-0.1435</v>
      </c>
      <c r="K1718" s="1">
        <v>3482.0</v>
      </c>
    </row>
    <row r="1719">
      <c r="A1719" s="1" t="s">
        <v>24</v>
      </c>
      <c r="B1719" s="1" t="s">
        <v>180</v>
      </c>
      <c r="C1719" s="1" t="s">
        <v>54</v>
      </c>
      <c r="D1719" s="1">
        <v>17.0</v>
      </c>
      <c r="E1719" s="1">
        <v>2972.0</v>
      </c>
      <c r="F1719" s="1">
        <v>4195.0</v>
      </c>
      <c r="G1719" s="1">
        <v>8194.0</v>
      </c>
      <c r="H1719" s="1">
        <v>0.3627</v>
      </c>
      <c r="I1719" s="1">
        <v>0.512</v>
      </c>
      <c r="J1719" s="1">
        <v>-0.1493</v>
      </c>
      <c r="K1719" s="1">
        <v>3548.0</v>
      </c>
    </row>
    <row r="1720">
      <c r="A1720" s="1" t="s">
        <v>24</v>
      </c>
      <c r="B1720" s="1" t="s">
        <v>180</v>
      </c>
      <c r="C1720" s="1" t="s">
        <v>54</v>
      </c>
      <c r="D1720" s="1">
        <v>18.0</v>
      </c>
      <c r="E1720" s="1">
        <v>2350.0</v>
      </c>
      <c r="F1720" s="1">
        <v>3724.0</v>
      </c>
      <c r="G1720" s="1">
        <v>8194.0</v>
      </c>
      <c r="H1720" s="1">
        <v>0.2868</v>
      </c>
      <c r="I1720" s="1">
        <v>0.4545</v>
      </c>
      <c r="J1720" s="1">
        <v>-0.1677</v>
      </c>
      <c r="K1720" s="1">
        <v>3641.0</v>
      </c>
    </row>
    <row r="1721">
      <c r="A1721" s="1" t="s">
        <v>24</v>
      </c>
      <c r="B1721" s="1" t="s">
        <v>180</v>
      </c>
      <c r="C1721" s="1" t="s">
        <v>54</v>
      </c>
      <c r="D1721" s="1">
        <v>19.0</v>
      </c>
      <c r="E1721" s="1">
        <v>3076.0</v>
      </c>
      <c r="F1721" s="1">
        <v>3580.0</v>
      </c>
      <c r="G1721" s="1">
        <v>8194.0</v>
      </c>
      <c r="H1721" s="1">
        <v>0.3754</v>
      </c>
      <c r="I1721" s="1">
        <v>0.4369</v>
      </c>
      <c r="J1721" s="1">
        <v>-0.0615</v>
      </c>
      <c r="K1721" s="1">
        <v>3502.0</v>
      </c>
    </row>
    <row r="1722">
      <c r="A1722" s="1" t="s">
        <v>24</v>
      </c>
      <c r="B1722" s="1" t="s">
        <v>180</v>
      </c>
      <c r="C1722" s="1" t="s">
        <v>54</v>
      </c>
      <c r="D1722" s="1">
        <v>20.0</v>
      </c>
      <c r="E1722" s="1">
        <v>1932.0</v>
      </c>
      <c r="F1722" s="1">
        <v>2986.0</v>
      </c>
      <c r="G1722" s="1">
        <v>8194.0</v>
      </c>
      <c r="H1722" s="1">
        <v>0.2358</v>
      </c>
      <c r="I1722" s="1">
        <v>0.3644</v>
      </c>
      <c r="J1722" s="1">
        <v>-0.1286</v>
      </c>
      <c r="K1722" s="1">
        <v>3312.0</v>
      </c>
    </row>
    <row r="1723">
      <c r="A1723" s="1" t="s">
        <v>24</v>
      </c>
      <c r="B1723" s="1" t="s">
        <v>180</v>
      </c>
      <c r="C1723" s="1" t="s">
        <v>54</v>
      </c>
      <c r="D1723" s="1">
        <v>21.0</v>
      </c>
      <c r="E1723" s="1">
        <v>1807.0</v>
      </c>
      <c r="F1723" s="1">
        <v>2823.0</v>
      </c>
      <c r="G1723" s="1">
        <v>8194.0</v>
      </c>
      <c r="H1723" s="1">
        <v>0.2205</v>
      </c>
      <c r="I1723" s="1">
        <v>0.3445</v>
      </c>
      <c r="J1723" s="1">
        <v>-0.124</v>
      </c>
      <c r="K1723" s="1">
        <v>3296.0</v>
      </c>
    </row>
    <row r="1724">
      <c r="A1724" s="1" t="s">
        <v>24</v>
      </c>
      <c r="B1724" s="1" t="s">
        <v>180</v>
      </c>
      <c r="C1724" s="1" t="s">
        <v>47</v>
      </c>
      <c r="D1724" s="1">
        <v>1.0</v>
      </c>
      <c r="E1724" s="1">
        <v>7772.0</v>
      </c>
      <c r="F1724" s="1">
        <v>6781.0</v>
      </c>
      <c r="G1724" s="1">
        <v>10371.0</v>
      </c>
      <c r="H1724" s="1">
        <v>0.7494</v>
      </c>
      <c r="I1724" s="1">
        <v>0.6538</v>
      </c>
      <c r="J1724" s="1">
        <v>0.0956</v>
      </c>
      <c r="K1724" s="1">
        <v>2110.0</v>
      </c>
    </row>
    <row r="1725">
      <c r="A1725" s="1" t="s">
        <v>24</v>
      </c>
      <c r="B1725" s="1" t="s">
        <v>180</v>
      </c>
      <c r="C1725" s="1" t="s">
        <v>47</v>
      </c>
      <c r="D1725" s="1">
        <v>2.0</v>
      </c>
      <c r="E1725" s="1">
        <v>6195.0</v>
      </c>
      <c r="F1725" s="1">
        <v>5898.0</v>
      </c>
      <c r="G1725" s="1">
        <v>10371.0</v>
      </c>
      <c r="H1725" s="1">
        <v>0.5973</v>
      </c>
      <c r="I1725" s="1">
        <v>0.5687</v>
      </c>
      <c r="J1725" s="1">
        <v>0.0286</v>
      </c>
      <c r="K1725" s="1">
        <v>2190.0</v>
      </c>
    </row>
    <row r="1726">
      <c r="A1726" s="1" t="s">
        <v>24</v>
      </c>
      <c r="B1726" s="1" t="s">
        <v>180</v>
      </c>
      <c r="C1726" s="1" t="s">
        <v>47</v>
      </c>
      <c r="D1726" s="1">
        <v>3.0</v>
      </c>
      <c r="E1726" s="1">
        <v>6228.0</v>
      </c>
      <c r="F1726" s="1">
        <v>5617.0</v>
      </c>
      <c r="G1726" s="1">
        <v>10371.0</v>
      </c>
      <c r="H1726" s="1">
        <v>0.6005</v>
      </c>
      <c r="I1726" s="1">
        <v>0.5416</v>
      </c>
      <c r="J1726" s="1">
        <v>0.0589</v>
      </c>
      <c r="K1726" s="1">
        <v>2312.0</v>
      </c>
    </row>
    <row r="1727">
      <c r="A1727" s="1" t="s">
        <v>24</v>
      </c>
      <c r="B1727" s="1" t="s">
        <v>180</v>
      </c>
      <c r="C1727" s="1" t="s">
        <v>47</v>
      </c>
      <c r="D1727" s="1">
        <v>4.0</v>
      </c>
      <c r="E1727" s="1">
        <v>5647.0</v>
      </c>
      <c r="F1727" s="1">
        <v>5182.0</v>
      </c>
      <c r="G1727" s="1">
        <v>10371.0</v>
      </c>
      <c r="H1727" s="1">
        <v>0.5445</v>
      </c>
      <c r="I1727" s="1">
        <v>0.4997</v>
      </c>
      <c r="J1727" s="1">
        <v>0.0448</v>
      </c>
      <c r="K1727" s="1">
        <v>2314.0</v>
      </c>
    </row>
    <row r="1728">
      <c r="A1728" s="1" t="s">
        <v>24</v>
      </c>
      <c r="B1728" s="1" t="s">
        <v>180</v>
      </c>
      <c r="C1728" s="1" t="s">
        <v>47</v>
      </c>
      <c r="D1728" s="1">
        <v>5.0</v>
      </c>
      <c r="E1728" s="1">
        <v>6388.0</v>
      </c>
      <c r="F1728" s="1">
        <v>5573.0</v>
      </c>
      <c r="G1728" s="1">
        <v>10371.0</v>
      </c>
      <c r="H1728" s="1">
        <v>0.6159</v>
      </c>
      <c r="I1728" s="1">
        <v>0.5374</v>
      </c>
      <c r="J1728" s="1">
        <v>0.0786</v>
      </c>
      <c r="K1728" s="1">
        <v>2330.0</v>
      </c>
    </row>
    <row r="1729">
      <c r="A1729" s="1" t="s">
        <v>24</v>
      </c>
      <c r="B1729" s="1" t="s">
        <v>180</v>
      </c>
      <c r="C1729" s="1" t="s">
        <v>47</v>
      </c>
      <c r="D1729" s="1">
        <v>6.0</v>
      </c>
      <c r="E1729" s="1">
        <v>4863.0</v>
      </c>
      <c r="F1729" s="1">
        <v>5052.0</v>
      </c>
      <c r="G1729" s="1">
        <v>10371.0</v>
      </c>
      <c r="H1729" s="1">
        <v>0.4689</v>
      </c>
      <c r="I1729" s="1">
        <v>0.4871</v>
      </c>
      <c r="J1729" s="1">
        <v>-0.0182</v>
      </c>
      <c r="K1729" s="1">
        <v>2338.0</v>
      </c>
    </row>
    <row r="1730">
      <c r="A1730" s="1" t="s">
        <v>24</v>
      </c>
      <c r="B1730" s="1" t="s">
        <v>180</v>
      </c>
      <c r="C1730" s="1" t="s">
        <v>47</v>
      </c>
      <c r="D1730" s="1">
        <v>7.0</v>
      </c>
      <c r="E1730" s="1">
        <v>4855.0</v>
      </c>
      <c r="F1730" s="1">
        <v>4973.0</v>
      </c>
      <c r="G1730" s="1">
        <v>10371.0</v>
      </c>
      <c r="H1730" s="1">
        <v>0.4681</v>
      </c>
      <c r="I1730" s="1">
        <v>0.4795</v>
      </c>
      <c r="J1730" s="1">
        <v>-0.0114</v>
      </c>
      <c r="K1730" s="1">
        <v>2434.0</v>
      </c>
    </row>
    <row r="1731">
      <c r="A1731" s="1" t="s">
        <v>24</v>
      </c>
      <c r="B1731" s="1" t="s">
        <v>180</v>
      </c>
      <c r="C1731" s="1" t="s">
        <v>47</v>
      </c>
      <c r="D1731" s="1">
        <v>8.0</v>
      </c>
      <c r="E1731" s="1">
        <v>9003.0</v>
      </c>
      <c r="F1731" s="1">
        <v>7343.0</v>
      </c>
      <c r="G1731" s="1">
        <v>10371.0</v>
      </c>
      <c r="H1731" s="1">
        <v>0.8681</v>
      </c>
      <c r="I1731" s="1">
        <v>0.708</v>
      </c>
      <c r="J1731" s="1">
        <v>0.1601</v>
      </c>
      <c r="K1731" s="1">
        <v>2628.0</v>
      </c>
    </row>
    <row r="1732">
      <c r="A1732" s="1" t="s">
        <v>24</v>
      </c>
      <c r="B1732" s="1" t="s">
        <v>180</v>
      </c>
      <c r="C1732" s="1" t="s">
        <v>47</v>
      </c>
      <c r="D1732" s="1">
        <v>9.0</v>
      </c>
      <c r="E1732" s="1">
        <v>6388.0</v>
      </c>
      <c r="F1732" s="1">
        <v>6318.0</v>
      </c>
      <c r="G1732" s="1">
        <v>10371.0</v>
      </c>
      <c r="H1732" s="1">
        <v>0.6159</v>
      </c>
      <c r="I1732" s="1">
        <v>0.6092</v>
      </c>
      <c r="J1732" s="1">
        <v>0.0067</v>
      </c>
      <c r="K1732" s="1">
        <v>2626.0</v>
      </c>
    </row>
    <row r="1733">
      <c r="A1733" s="1" t="s">
        <v>24</v>
      </c>
      <c r="B1733" s="1" t="s">
        <v>180</v>
      </c>
      <c r="C1733" s="1" t="s">
        <v>47</v>
      </c>
      <c r="D1733" s="1">
        <v>10.0</v>
      </c>
      <c r="E1733" s="1">
        <v>6464.0</v>
      </c>
      <c r="F1733" s="1">
        <v>5968.0</v>
      </c>
      <c r="G1733" s="1">
        <v>10371.0</v>
      </c>
      <c r="H1733" s="1">
        <v>0.6233</v>
      </c>
      <c r="I1733" s="1">
        <v>0.5755</v>
      </c>
      <c r="J1733" s="1">
        <v>0.0478</v>
      </c>
      <c r="K1733" s="1">
        <v>2688.0</v>
      </c>
    </row>
    <row r="1734">
      <c r="A1734" s="1" t="s">
        <v>24</v>
      </c>
      <c r="B1734" s="1" t="s">
        <v>180</v>
      </c>
      <c r="C1734" s="1" t="s">
        <v>47</v>
      </c>
      <c r="D1734" s="1">
        <v>11.0</v>
      </c>
      <c r="E1734" s="1">
        <v>6269.0</v>
      </c>
      <c r="F1734" s="1">
        <v>5869.0</v>
      </c>
      <c r="G1734" s="1">
        <v>10371.0</v>
      </c>
      <c r="H1734" s="1">
        <v>0.6045</v>
      </c>
      <c r="I1734" s="1">
        <v>0.5659</v>
      </c>
      <c r="J1734" s="1">
        <v>0.0386</v>
      </c>
      <c r="K1734" s="1">
        <v>2784.0</v>
      </c>
    </row>
    <row r="1735">
      <c r="A1735" s="1" t="s">
        <v>24</v>
      </c>
      <c r="B1735" s="1" t="s">
        <v>180</v>
      </c>
      <c r="C1735" s="1" t="s">
        <v>47</v>
      </c>
      <c r="D1735" s="1">
        <v>12.0</v>
      </c>
      <c r="E1735" s="1">
        <v>6951.0</v>
      </c>
      <c r="F1735" s="1">
        <v>6360.0</v>
      </c>
      <c r="G1735" s="1">
        <v>10371.0</v>
      </c>
      <c r="H1735" s="1">
        <v>0.6702</v>
      </c>
      <c r="I1735" s="1">
        <v>0.6132</v>
      </c>
      <c r="J1735" s="1">
        <v>0.057</v>
      </c>
      <c r="K1735" s="1">
        <v>2877.0</v>
      </c>
    </row>
    <row r="1736">
      <c r="A1736" s="1" t="s">
        <v>24</v>
      </c>
      <c r="B1736" s="1" t="s">
        <v>180</v>
      </c>
      <c r="C1736" s="1" t="s">
        <v>47</v>
      </c>
      <c r="D1736" s="1">
        <v>13.0</v>
      </c>
      <c r="E1736" s="1">
        <v>6334.0</v>
      </c>
      <c r="F1736" s="1">
        <v>6193.0</v>
      </c>
      <c r="G1736" s="1">
        <v>10371.0</v>
      </c>
      <c r="H1736" s="1">
        <v>0.6107</v>
      </c>
      <c r="I1736" s="1">
        <v>0.5971</v>
      </c>
      <c r="J1736" s="1">
        <v>0.0136</v>
      </c>
      <c r="K1736" s="1">
        <v>3082.0</v>
      </c>
    </row>
    <row r="1737">
      <c r="A1737" s="1" t="s">
        <v>24</v>
      </c>
      <c r="B1737" s="1" t="s">
        <v>180</v>
      </c>
      <c r="C1737" s="1" t="s">
        <v>47</v>
      </c>
      <c r="D1737" s="1">
        <v>14.0</v>
      </c>
      <c r="E1737" s="1">
        <v>6282.0</v>
      </c>
      <c r="F1737" s="1">
        <v>6236.0</v>
      </c>
      <c r="G1737" s="1">
        <v>10371.0</v>
      </c>
      <c r="H1737" s="1">
        <v>0.6057</v>
      </c>
      <c r="I1737" s="1">
        <v>0.6013</v>
      </c>
      <c r="J1737" s="1">
        <v>0.0044</v>
      </c>
      <c r="K1737" s="1">
        <v>3182.0</v>
      </c>
    </row>
    <row r="1738">
      <c r="A1738" s="1" t="s">
        <v>24</v>
      </c>
      <c r="B1738" s="1" t="s">
        <v>180</v>
      </c>
      <c r="C1738" s="1" t="s">
        <v>47</v>
      </c>
      <c r="D1738" s="1">
        <v>15.0</v>
      </c>
      <c r="E1738" s="1">
        <v>11735.0</v>
      </c>
      <c r="F1738" s="1">
        <v>8929.0</v>
      </c>
      <c r="G1738" s="1">
        <v>10371.0</v>
      </c>
      <c r="H1738" s="1">
        <v>1.1315</v>
      </c>
      <c r="I1738" s="1">
        <v>0.861</v>
      </c>
      <c r="J1738" s="1">
        <v>0.2706</v>
      </c>
      <c r="K1738" s="1">
        <v>3439.0</v>
      </c>
    </row>
    <row r="1739">
      <c r="A1739" s="1" t="s">
        <v>24</v>
      </c>
      <c r="B1739" s="1" t="s">
        <v>180</v>
      </c>
      <c r="C1739" s="1" t="s">
        <v>47</v>
      </c>
      <c r="D1739" s="1">
        <v>16.0</v>
      </c>
      <c r="E1739" s="1">
        <v>8505.0</v>
      </c>
      <c r="F1739" s="1">
        <v>8015.0</v>
      </c>
      <c r="G1739" s="1">
        <v>10371.0</v>
      </c>
      <c r="H1739" s="1">
        <v>0.8201</v>
      </c>
      <c r="I1739" s="1">
        <v>0.7728</v>
      </c>
      <c r="J1739" s="1">
        <v>0.0472</v>
      </c>
      <c r="K1739" s="1">
        <v>3482.0</v>
      </c>
    </row>
    <row r="1740">
      <c r="A1740" s="1" t="s">
        <v>24</v>
      </c>
      <c r="B1740" s="1" t="s">
        <v>180</v>
      </c>
      <c r="C1740" s="1" t="s">
        <v>47</v>
      </c>
      <c r="D1740" s="1">
        <v>17.0</v>
      </c>
      <c r="E1740" s="1">
        <v>7907.0</v>
      </c>
      <c r="F1740" s="1">
        <v>7671.0</v>
      </c>
      <c r="G1740" s="1">
        <v>10371.0</v>
      </c>
      <c r="H1740" s="1">
        <v>0.7624</v>
      </c>
      <c r="I1740" s="1">
        <v>0.7397</v>
      </c>
      <c r="J1740" s="1">
        <v>0.0228</v>
      </c>
      <c r="K1740" s="1">
        <v>3548.0</v>
      </c>
    </row>
    <row r="1741">
      <c r="A1741" s="1" t="s">
        <v>24</v>
      </c>
      <c r="B1741" s="1" t="s">
        <v>180</v>
      </c>
      <c r="C1741" s="1" t="s">
        <v>47</v>
      </c>
      <c r="D1741" s="1">
        <v>18.0</v>
      </c>
      <c r="E1741" s="1">
        <v>7098.0</v>
      </c>
      <c r="F1741" s="1">
        <v>6929.0</v>
      </c>
      <c r="G1741" s="1">
        <v>10371.0</v>
      </c>
      <c r="H1741" s="1">
        <v>0.6844</v>
      </c>
      <c r="I1741" s="1">
        <v>0.6681</v>
      </c>
      <c r="J1741" s="1">
        <v>0.0163</v>
      </c>
      <c r="K1741" s="1">
        <v>3641.0</v>
      </c>
    </row>
    <row r="1742">
      <c r="A1742" s="1" t="s">
        <v>24</v>
      </c>
      <c r="B1742" s="1" t="s">
        <v>180</v>
      </c>
      <c r="C1742" s="1" t="s">
        <v>47</v>
      </c>
      <c r="D1742" s="1">
        <v>19.0</v>
      </c>
      <c r="E1742" s="1">
        <v>7776.0</v>
      </c>
      <c r="F1742" s="1">
        <v>6597.0</v>
      </c>
      <c r="G1742" s="1">
        <v>10371.0</v>
      </c>
      <c r="H1742" s="1">
        <v>0.7498</v>
      </c>
      <c r="I1742" s="1">
        <v>0.6361</v>
      </c>
      <c r="J1742" s="1">
        <v>0.1137</v>
      </c>
      <c r="K1742" s="1">
        <v>3502.0</v>
      </c>
    </row>
    <row r="1743">
      <c r="A1743" s="1" t="s">
        <v>24</v>
      </c>
      <c r="B1743" s="1" t="s">
        <v>180</v>
      </c>
      <c r="C1743" s="1" t="s">
        <v>47</v>
      </c>
      <c r="D1743" s="1">
        <v>20.0</v>
      </c>
      <c r="E1743" s="1">
        <v>5073.0</v>
      </c>
      <c r="F1743" s="1">
        <v>5442.0</v>
      </c>
      <c r="G1743" s="1">
        <v>10371.0</v>
      </c>
      <c r="H1743" s="1">
        <v>0.4892</v>
      </c>
      <c r="I1743" s="1">
        <v>0.5247</v>
      </c>
      <c r="J1743" s="1">
        <v>-0.0356</v>
      </c>
      <c r="K1743" s="1">
        <v>3312.0</v>
      </c>
    </row>
    <row r="1744">
      <c r="A1744" s="1" t="s">
        <v>24</v>
      </c>
      <c r="B1744" s="1" t="s">
        <v>180</v>
      </c>
      <c r="C1744" s="1" t="s">
        <v>47</v>
      </c>
      <c r="D1744" s="1">
        <v>21.0</v>
      </c>
      <c r="E1744" s="1">
        <v>4682.0</v>
      </c>
      <c r="F1744" s="1">
        <v>5225.0</v>
      </c>
      <c r="G1744" s="1">
        <v>10371.0</v>
      </c>
      <c r="H1744" s="1">
        <v>0.4515</v>
      </c>
      <c r="I1744" s="1">
        <v>0.5038</v>
      </c>
      <c r="J1744" s="1">
        <v>-0.0524</v>
      </c>
      <c r="K1744" s="1">
        <v>3296.0</v>
      </c>
    </row>
    <row r="1745">
      <c r="A1745" s="1" t="s">
        <v>24</v>
      </c>
      <c r="B1745" s="1" t="s">
        <v>180</v>
      </c>
      <c r="C1745" s="1" t="s">
        <v>48</v>
      </c>
      <c r="D1745" s="1">
        <v>1.0</v>
      </c>
      <c r="E1745" s="1">
        <v>8090.0</v>
      </c>
      <c r="F1745" s="1">
        <v>5922.0</v>
      </c>
      <c r="G1745" s="1">
        <v>10360.0</v>
      </c>
      <c r="H1745" s="1">
        <v>0.7809</v>
      </c>
      <c r="I1745" s="1">
        <v>0.5716</v>
      </c>
      <c r="J1745" s="1">
        <v>0.2093</v>
      </c>
      <c r="K1745" s="1">
        <v>2110.0</v>
      </c>
    </row>
    <row r="1746">
      <c r="A1746" s="1" t="s">
        <v>24</v>
      </c>
      <c r="B1746" s="1" t="s">
        <v>180</v>
      </c>
      <c r="C1746" s="1" t="s">
        <v>48</v>
      </c>
      <c r="D1746" s="1">
        <v>2.0</v>
      </c>
      <c r="E1746" s="1">
        <v>6522.0</v>
      </c>
      <c r="F1746" s="1">
        <v>5350.0</v>
      </c>
      <c r="G1746" s="1">
        <v>10360.0</v>
      </c>
      <c r="H1746" s="1">
        <v>0.6295</v>
      </c>
      <c r="I1746" s="1">
        <v>0.5164</v>
      </c>
      <c r="J1746" s="1">
        <v>0.1131</v>
      </c>
      <c r="K1746" s="1">
        <v>2190.0</v>
      </c>
    </row>
    <row r="1747">
      <c r="A1747" s="1" t="s">
        <v>24</v>
      </c>
      <c r="B1747" s="1" t="s">
        <v>180</v>
      </c>
      <c r="C1747" s="1" t="s">
        <v>48</v>
      </c>
      <c r="D1747" s="1">
        <v>3.0</v>
      </c>
      <c r="E1747" s="1">
        <v>6500.0</v>
      </c>
      <c r="F1747" s="1">
        <v>5436.0</v>
      </c>
      <c r="G1747" s="1">
        <v>10360.0</v>
      </c>
      <c r="H1747" s="1">
        <v>0.6274</v>
      </c>
      <c r="I1747" s="1">
        <v>0.5247</v>
      </c>
      <c r="J1747" s="1">
        <v>0.1027</v>
      </c>
      <c r="K1747" s="1">
        <v>2312.0</v>
      </c>
    </row>
    <row r="1748">
      <c r="A1748" s="1" t="s">
        <v>24</v>
      </c>
      <c r="B1748" s="1" t="s">
        <v>180</v>
      </c>
      <c r="C1748" s="1" t="s">
        <v>48</v>
      </c>
      <c r="D1748" s="1">
        <v>4.0</v>
      </c>
      <c r="E1748" s="1">
        <v>6091.0</v>
      </c>
      <c r="F1748" s="1">
        <v>5170.0</v>
      </c>
      <c r="G1748" s="1">
        <v>10360.0</v>
      </c>
      <c r="H1748" s="1">
        <v>0.5879</v>
      </c>
      <c r="I1748" s="1">
        <v>0.499</v>
      </c>
      <c r="J1748" s="1">
        <v>0.0889</v>
      </c>
      <c r="K1748" s="1">
        <v>2314.0</v>
      </c>
    </row>
    <row r="1749">
      <c r="A1749" s="1" t="s">
        <v>24</v>
      </c>
      <c r="B1749" s="1" t="s">
        <v>180</v>
      </c>
      <c r="C1749" s="1" t="s">
        <v>48</v>
      </c>
      <c r="D1749" s="1">
        <v>5.0</v>
      </c>
      <c r="E1749" s="1">
        <v>7789.0</v>
      </c>
      <c r="F1749" s="1">
        <v>5822.0</v>
      </c>
      <c r="G1749" s="1">
        <v>10360.0</v>
      </c>
      <c r="H1749" s="1">
        <v>0.7518</v>
      </c>
      <c r="I1749" s="1">
        <v>0.562</v>
      </c>
      <c r="J1749" s="1">
        <v>0.1899</v>
      </c>
      <c r="K1749" s="1">
        <v>2330.0</v>
      </c>
    </row>
    <row r="1750">
      <c r="A1750" s="1" t="s">
        <v>24</v>
      </c>
      <c r="B1750" s="1" t="s">
        <v>180</v>
      </c>
      <c r="C1750" s="1" t="s">
        <v>48</v>
      </c>
      <c r="D1750" s="1">
        <v>6.0</v>
      </c>
      <c r="E1750" s="1">
        <v>5464.0</v>
      </c>
      <c r="F1750" s="1">
        <v>4954.0</v>
      </c>
      <c r="G1750" s="1">
        <v>10360.0</v>
      </c>
      <c r="H1750" s="1">
        <v>0.5274</v>
      </c>
      <c r="I1750" s="1">
        <v>0.4782</v>
      </c>
      <c r="J1750" s="1">
        <v>0.0492</v>
      </c>
      <c r="K1750" s="1">
        <v>2338.0</v>
      </c>
    </row>
    <row r="1751">
      <c r="A1751" s="1" t="s">
        <v>24</v>
      </c>
      <c r="B1751" s="1" t="s">
        <v>180</v>
      </c>
      <c r="C1751" s="1" t="s">
        <v>48</v>
      </c>
      <c r="D1751" s="1">
        <v>7.0</v>
      </c>
      <c r="E1751" s="1">
        <v>5510.0</v>
      </c>
      <c r="F1751" s="1">
        <v>5095.0</v>
      </c>
      <c r="G1751" s="1">
        <v>10360.0</v>
      </c>
      <c r="H1751" s="1">
        <v>0.5319</v>
      </c>
      <c r="I1751" s="1">
        <v>0.4918</v>
      </c>
      <c r="J1751" s="1">
        <v>0.0401</v>
      </c>
      <c r="K1751" s="1">
        <v>2434.0</v>
      </c>
    </row>
    <row r="1752">
      <c r="A1752" s="1" t="s">
        <v>24</v>
      </c>
      <c r="B1752" s="1" t="s">
        <v>180</v>
      </c>
      <c r="C1752" s="1" t="s">
        <v>48</v>
      </c>
      <c r="D1752" s="1">
        <v>8.0</v>
      </c>
      <c r="E1752" s="1">
        <v>9353.0</v>
      </c>
      <c r="F1752" s="1">
        <v>6479.0</v>
      </c>
      <c r="G1752" s="1">
        <v>10360.0</v>
      </c>
      <c r="H1752" s="1">
        <v>0.9028</v>
      </c>
      <c r="I1752" s="1">
        <v>0.6254</v>
      </c>
      <c r="J1752" s="1">
        <v>0.2774</v>
      </c>
      <c r="K1752" s="1">
        <v>2628.0</v>
      </c>
    </row>
    <row r="1753">
      <c r="A1753" s="1" t="s">
        <v>24</v>
      </c>
      <c r="B1753" s="1" t="s">
        <v>180</v>
      </c>
      <c r="C1753" s="1" t="s">
        <v>48</v>
      </c>
      <c r="D1753" s="1">
        <v>9.0</v>
      </c>
      <c r="E1753" s="1">
        <v>6666.0</v>
      </c>
      <c r="F1753" s="1">
        <v>5704.0</v>
      </c>
      <c r="G1753" s="1">
        <v>10360.0</v>
      </c>
      <c r="H1753" s="1">
        <v>0.6434</v>
      </c>
      <c r="I1753" s="1">
        <v>0.5506</v>
      </c>
      <c r="J1753" s="1">
        <v>0.0929</v>
      </c>
      <c r="K1753" s="1">
        <v>2626.0</v>
      </c>
    </row>
    <row r="1754">
      <c r="A1754" s="1" t="s">
        <v>24</v>
      </c>
      <c r="B1754" s="1" t="s">
        <v>180</v>
      </c>
      <c r="C1754" s="1" t="s">
        <v>48</v>
      </c>
      <c r="D1754" s="1">
        <v>10.0</v>
      </c>
      <c r="E1754" s="1">
        <v>6457.0</v>
      </c>
      <c r="F1754" s="1">
        <v>5695.0</v>
      </c>
      <c r="G1754" s="1">
        <v>10360.0</v>
      </c>
      <c r="H1754" s="1">
        <v>0.6233</v>
      </c>
      <c r="I1754" s="1">
        <v>0.5497</v>
      </c>
      <c r="J1754" s="1">
        <v>0.0736</v>
      </c>
      <c r="K1754" s="1">
        <v>2688.0</v>
      </c>
    </row>
    <row r="1755">
      <c r="A1755" s="1" t="s">
        <v>24</v>
      </c>
      <c r="B1755" s="1" t="s">
        <v>180</v>
      </c>
      <c r="C1755" s="1" t="s">
        <v>48</v>
      </c>
      <c r="D1755" s="1">
        <v>11.0</v>
      </c>
      <c r="E1755" s="1">
        <v>6612.0</v>
      </c>
      <c r="F1755" s="1">
        <v>5740.0</v>
      </c>
      <c r="G1755" s="1">
        <v>10360.0</v>
      </c>
      <c r="H1755" s="1">
        <v>0.6382</v>
      </c>
      <c r="I1755" s="1">
        <v>0.5541</v>
      </c>
      <c r="J1755" s="1">
        <v>0.0842</v>
      </c>
      <c r="K1755" s="1">
        <v>2784.0</v>
      </c>
    </row>
    <row r="1756">
      <c r="A1756" s="1" t="s">
        <v>24</v>
      </c>
      <c r="B1756" s="1" t="s">
        <v>180</v>
      </c>
      <c r="C1756" s="1" t="s">
        <v>48</v>
      </c>
      <c r="D1756" s="1">
        <v>12.0</v>
      </c>
      <c r="E1756" s="1">
        <v>8823.0</v>
      </c>
      <c r="F1756" s="1">
        <v>6532.0</v>
      </c>
      <c r="G1756" s="1">
        <v>10360.0</v>
      </c>
      <c r="H1756" s="1">
        <v>0.8516</v>
      </c>
      <c r="I1756" s="1">
        <v>0.6305</v>
      </c>
      <c r="J1756" s="1">
        <v>0.2211</v>
      </c>
      <c r="K1756" s="1">
        <v>2877.0</v>
      </c>
    </row>
    <row r="1757">
      <c r="A1757" s="1" t="s">
        <v>24</v>
      </c>
      <c r="B1757" s="1" t="s">
        <v>180</v>
      </c>
      <c r="C1757" s="1" t="s">
        <v>48</v>
      </c>
      <c r="D1757" s="1">
        <v>13.0</v>
      </c>
      <c r="E1757" s="1">
        <v>7419.0</v>
      </c>
      <c r="F1757" s="1">
        <v>6154.0</v>
      </c>
      <c r="G1757" s="1">
        <v>10360.0</v>
      </c>
      <c r="H1757" s="1">
        <v>0.7161</v>
      </c>
      <c r="I1757" s="1">
        <v>0.594</v>
      </c>
      <c r="J1757" s="1">
        <v>0.1221</v>
      </c>
      <c r="K1757" s="1">
        <v>3082.0</v>
      </c>
    </row>
    <row r="1758">
      <c r="A1758" s="1" t="s">
        <v>24</v>
      </c>
      <c r="B1758" s="1" t="s">
        <v>180</v>
      </c>
      <c r="C1758" s="1" t="s">
        <v>48</v>
      </c>
      <c r="D1758" s="1">
        <v>14.0</v>
      </c>
      <c r="E1758" s="1">
        <v>7211.0</v>
      </c>
      <c r="F1758" s="1">
        <v>6203.0</v>
      </c>
      <c r="G1758" s="1">
        <v>10360.0</v>
      </c>
      <c r="H1758" s="1">
        <v>0.696</v>
      </c>
      <c r="I1758" s="1">
        <v>0.5987</v>
      </c>
      <c r="J1758" s="1">
        <v>0.0973</v>
      </c>
      <c r="K1758" s="1">
        <v>3182.0</v>
      </c>
    </row>
    <row r="1759">
      <c r="A1759" s="1" t="s">
        <v>24</v>
      </c>
      <c r="B1759" s="1" t="s">
        <v>180</v>
      </c>
      <c r="C1759" s="1" t="s">
        <v>48</v>
      </c>
      <c r="D1759" s="1">
        <v>15.0</v>
      </c>
      <c r="E1759" s="1">
        <v>12001.0</v>
      </c>
      <c r="F1759" s="1">
        <v>7850.0</v>
      </c>
      <c r="G1759" s="1">
        <v>10360.0</v>
      </c>
      <c r="H1759" s="1">
        <v>1.1584</v>
      </c>
      <c r="I1759" s="1">
        <v>0.7577</v>
      </c>
      <c r="J1759" s="1">
        <v>0.4007</v>
      </c>
      <c r="K1759" s="1">
        <v>3439.0</v>
      </c>
    </row>
    <row r="1760">
      <c r="A1760" s="1" t="s">
        <v>24</v>
      </c>
      <c r="B1760" s="1" t="s">
        <v>180</v>
      </c>
      <c r="C1760" s="1" t="s">
        <v>48</v>
      </c>
      <c r="D1760" s="1">
        <v>16.0</v>
      </c>
      <c r="E1760" s="1">
        <v>8932.0</v>
      </c>
      <c r="F1760" s="1">
        <v>7388.0</v>
      </c>
      <c r="G1760" s="1">
        <v>10360.0</v>
      </c>
      <c r="H1760" s="1">
        <v>0.8622</v>
      </c>
      <c r="I1760" s="1">
        <v>0.7131</v>
      </c>
      <c r="J1760" s="1">
        <v>0.149</v>
      </c>
      <c r="K1760" s="1">
        <v>3482.0</v>
      </c>
    </row>
    <row r="1761">
      <c r="A1761" s="1" t="s">
        <v>24</v>
      </c>
      <c r="B1761" s="1" t="s">
        <v>180</v>
      </c>
      <c r="C1761" s="1" t="s">
        <v>48</v>
      </c>
      <c r="D1761" s="1">
        <v>17.0</v>
      </c>
      <c r="E1761" s="1">
        <v>8186.0</v>
      </c>
      <c r="F1761" s="1">
        <v>7341.0</v>
      </c>
      <c r="G1761" s="1">
        <v>10360.0</v>
      </c>
      <c r="H1761" s="1">
        <v>0.7902</v>
      </c>
      <c r="I1761" s="1">
        <v>0.7086</v>
      </c>
      <c r="J1761" s="1">
        <v>0.0816</v>
      </c>
      <c r="K1761" s="1">
        <v>3548.0</v>
      </c>
    </row>
    <row r="1762">
      <c r="A1762" s="1" t="s">
        <v>24</v>
      </c>
      <c r="B1762" s="1" t="s">
        <v>180</v>
      </c>
      <c r="C1762" s="1" t="s">
        <v>48</v>
      </c>
      <c r="D1762" s="1">
        <v>18.0</v>
      </c>
      <c r="E1762" s="1">
        <v>7560.0</v>
      </c>
      <c r="F1762" s="1">
        <v>6626.0</v>
      </c>
      <c r="G1762" s="1">
        <v>10360.0</v>
      </c>
      <c r="H1762" s="1">
        <v>0.7297</v>
      </c>
      <c r="I1762" s="1">
        <v>0.6396</v>
      </c>
      <c r="J1762" s="1">
        <v>0.0902</v>
      </c>
      <c r="K1762" s="1">
        <v>3641.0</v>
      </c>
    </row>
    <row r="1763">
      <c r="A1763" s="1" t="s">
        <v>24</v>
      </c>
      <c r="B1763" s="1" t="s">
        <v>180</v>
      </c>
      <c r="C1763" s="1" t="s">
        <v>48</v>
      </c>
      <c r="D1763" s="1">
        <v>19.0</v>
      </c>
      <c r="E1763" s="1">
        <v>9359.0</v>
      </c>
      <c r="F1763" s="1">
        <v>6939.0</v>
      </c>
      <c r="G1763" s="1">
        <v>10360.0</v>
      </c>
      <c r="H1763" s="1">
        <v>0.9034</v>
      </c>
      <c r="I1763" s="1">
        <v>0.6698</v>
      </c>
      <c r="J1763" s="1">
        <v>0.2336</v>
      </c>
      <c r="K1763" s="1">
        <v>3502.0</v>
      </c>
    </row>
    <row r="1764">
      <c r="A1764" s="1" t="s">
        <v>24</v>
      </c>
      <c r="B1764" s="1" t="s">
        <v>180</v>
      </c>
      <c r="C1764" s="1" t="s">
        <v>48</v>
      </c>
      <c r="D1764" s="1">
        <v>20.0</v>
      </c>
      <c r="E1764" s="1">
        <v>5676.0</v>
      </c>
      <c r="F1764" s="1">
        <v>5430.0</v>
      </c>
      <c r="G1764" s="1">
        <v>10360.0</v>
      </c>
      <c r="H1764" s="1">
        <v>0.5479</v>
      </c>
      <c r="I1764" s="1">
        <v>0.5241</v>
      </c>
      <c r="J1764" s="1">
        <v>0.0237</v>
      </c>
      <c r="K1764" s="1">
        <v>3312.0</v>
      </c>
    </row>
    <row r="1765">
      <c r="A1765" s="1" t="s">
        <v>24</v>
      </c>
      <c r="B1765" s="1" t="s">
        <v>180</v>
      </c>
      <c r="C1765" s="1" t="s">
        <v>48</v>
      </c>
      <c r="D1765" s="1">
        <v>21.0</v>
      </c>
      <c r="E1765" s="1">
        <v>5084.0</v>
      </c>
      <c r="F1765" s="1">
        <v>5238.0</v>
      </c>
      <c r="G1765" s="1">
        <v>10360.0</v>
      </c>
      <c r="H1765" s="1">
        <v>0.4907</v>
      </c>
      <c r="I1765" s="1">
        <v>0.5056</v>
      </c>
      <c r="J1765" s="1">
        <v>-0.0149</v>
      </c>
      <c r="K1765" s="1">
        <v>3296.0</v>
      </c>
    </row>
    <row r="1766">
      <c r="A1766" s="1" t="s">
        <v>24</v>
      </c>
      <c r="B1766" s="1" t="s">
        <v>180</v>
      </c>
      <c r="C1766" s="1" t="s">
        <v>50</v>
      </c>
      <c r="D1766" s="1">
        <v>1.0</v>
      </c>
      <c r="E1766" s="1">
        <v>5106.0</v>
      </c>
      <c r="F1766" s="1">
        <v>3631.0</v>
      </c>
      <c r="G1766" s="1">
        <v>10295.0</v>
      </c>
      <c r="H1766" s="1">
        <v>0.496</v>
      </c>
      <c r="I1766" s="1">
        <v>0.3527</v>
      </c>
      <c r="J1766" s="1">
        <v>0.1433</v>
      </c>
      <c r="K1766" s="1">
        <v>2110.0</v>
      </c>
    </row>
    <row r="1767">
      <c r="A1767" s="1" t="s">
        <v>24</v>
      </c>
      <c r="B1767" s="1" t="s">
        <v>180</v>
      </c>
      <c r="C1767" s="1" t="s">
        <v>50</v>
      </c>
      <c r="D1767" s="1">
        <v>2.0</v>
      </c>
      <c r="E1767" s="1">
        <v>4889.0</v>
      </c>
      <c r="F1767" s="1">
        <v>3481.0</v>
      </c>
      <c r="G1767" s="1">
        <v>10295.0</v>
      </c>
      <c r="H1767" s="1">
        <v>0.4749</v>
      </c>
      <c r="I1767" s="1">
        <v>0.3381</v>
      </c>
      <c r="J1767" s="1">
        <v>0.1368</v>
      </c>
      <c r="K1767" s="1">
        <v>2190.0</v>
      </c>
    </row>
    <row r="1768">
      <c r="A1768" s="1" t="s">
        <v>24</v>
      </c>
      <c r="B1768" s="1" t="s">
        <v>180</v>
      </c>
      <c r="C1768" s="1" t="s">
        <v>50</v>
      </c>
      <c r="D1768" s="1">
        <v>3.0</v>
      </c>
      <c r="E1768" s="1">
        <v>4555.0</v>
      </c>
      <c r="F1768" s="1">
        <v>3387.0</v>
      </c>
      <c r="G1768" s="1">
        <v>10295.0</v>
      </c>
      <c r="H1768" s="1">
        <v>0.4424</v>
      </c>
      <c r="I1768" s="1">
        <v>0.329</v>
      </c>
      <c r="J1768" s="1">
        <v>0.1135</v>
      </c>
      <c r="K1768" s="1">
        <v>2312.0</v>
      </c>
    </row>
    <row r="1769">
      <c r="A1769" s="1" t="s">
        <v>24</v>
      </c>
      <c r="B1769" s="1" t="s">
        <v>180</v>
      </c>
      <c r="C1769" s="1" t="s">
        <v>50</v>
      </c>
      <c r="D1769" s="1">
        <v>4.0</v>
      </c>
      <c r="E1769" s="1">
        <v>4265.0</v>
      </c>
      <c r="F1769" s="1">
        <v>3212.0</v>
      </c>
      <c r="G1769" s="1">
        <v>10295.0</v>
      </c>
      <c r="H1769" s="1">
        <v>0.4143</v>
      </c>
      <c r="I1769" s="1">
        <v>0.312</v>
      </c>
      <c r="J1769" s="1">
        <v>0.1023</v>
      </c>
      <c r="K1769" s="1">
        <v>2314.0</v>
      </c>
    </row>
    <row r="1770">
      <c r="A1770" s="1" t="s">
        <v>24</v>
      </c>
      <c r="B1770" s="1" t="s">
        <v>180</v>
      </c>
      <c r="C1770" s="1" t="s">
        <v>50</v>
      </c>
      <c r="D1770" s="1">
        <v>5.0</v>
      </c>
      <c r="E1770" s="1">
        <v>4973.0</v>
      </c>
      <c r="F1770" s="1">
        <v>3607.0</v>
      </c>
      <c r="G1770" s="1">
        <v>10295.0</v>
      </c>
      <c r="H1770" s="1">
        <v>0.4831</v>
      </c>
      <c r="I1770" s="1">
        <v>0.3504</v>
      </c>
      <c r="J1770" s="1">
        <v>0.1327</v>
      </c>
      <c r="K1770" s="1">
        <v>2330.0</v>
      </c>
    </row>
    <row r="1771">
      <c r="A1771" s="1" t="s">
        <v>24</v>
      </c>
      <c r="B1771" s="1" t="s">
        <v>180</v>
      </c>
      <c r="C1771" s="1" t="s">
        <v>50</v>
      </c>
      <c r="D1771" s="1">
        <v>6.0</v>
      </c>
      <c r="E1771" s="1">
        <v>3602.0</v>
      </c>
      <c r="F1771" s="1">
        <v>3499.0</v>
      </c>
      <c r="G1771" s="1">
        <v>10295.0</v>
      </c>
      <c r="H1771" s="1">
        <v>0.3499</v>
      </c>
      <c r="I1771" s="1">
        <v>0.3399</v>
      </c>
      <c r="J1771" s="1">
        <v>0.01</v>
      </c>
      <c r="K1771" s="1">
        <v>2338.0</v>
      </c>
    </row>
    <row r="1772">
      <c r="A1772" s="1" t="s">
        <v>24</v>
      </c>
      <c r="B1772" s="1" t="s">
        <v>180</v>
      </c>
      <c r="C1772" s="1" t="s">
        <v>50</v>
      </c>
      <c r="D1772" s="1">
        <v>7.0</v>
      </c>
      <c r="E1772" s="1">
        <v>3669.0</v>
      </c>
      <c r="F1772" s="1">
        <v>3660.0</v>
      </c>
      <c r="G1772" s="1">
        <v>10295.0</v>
      </c>
      <c r="H1772" s="1">
        <v>0.3564</v>
      </c>
      <c r="I1772" s="1">
        <v>0.3555</v>
      </c>
      <c r="J1772" s="1">
        <v>9.0E-4</v>
      </c>
      <c r="K1772" s="1">
        <v>2434.0</v>
      </c>
    </row>
    <row r="1773">
      <c r="A1773" s="1" t="s">
        <v>24</v>
      </c>
      <c r="B1773" s="1" t="s">
        <v>180</v>
      </c>
      <c r="C1773" s="1" t="s">
        <v>50</v>
      </c>
      <c r="D1773" s="1">
        <v>8.0</v>
      </c>
      <c r="E1773" s="1">
        <v>5635.0</v>
      </c>
      <c r="F1773" s="1">
        <v>4198.0</v>
      </c>
      <c r="G1773" s="1">
        <v>10295.0</v>
      </c>
      <c r="H1773" s="1">
        <v>0.5474</v>
      </c>
      <c r="I1773" s="1">
        <v>0.4078</v>
      </c>
      <c r="J1773" s="1">
        <v>0.1396</v>
      </c>
      <c r="K1773" s="1">
        <v>2628.0</v>
      </c>
    </row>
    <row r="1774">
      <c r="A1774" s="1" t="s">
        <v>24</v>
      </c>
      <c r="B1774" s="1" t="s">
        <v>180</v>
      </c>
      <c r="C1774" s="1" t="s">
        <v>50</v>
      </c>
      <c r="D1774" s="1">
        <v>9.0</v>
      </c>
      <c r="E1774" s="1">
        <v>5111.0</v>
      </c>
      <c r="F1774" s="1">
        <v>3812.0</v>
      </c>
      <c r="G1774" s="1">
        <v>10295.0</v>
      </c>
      <c r="H1774" s="1">
        <v>0.4965</v>
      </c>
      <c r="I1774" s="1">
        <v>0.3703</v>
      </c>
      <c r="J1774" s="1">
        <v>0.1262</v>
      </c>
      <c r="K1774" s="1">
        <v>2626.0</v>
      </c>
    </row>
    <row r="1775">
      <c r="A1775" s="1" t="s">
        <v>24</v>
      </c>
      <c r="B1775" s="1" t="s">
        <v>180</v>
      </c>
      <c r="C1775" s="1" t="s">
        <v>50</v>
      </c>
      <c r="D1775" s="1">
        <v>10.0</v>
      </c>
      <c r="E1775" s="1">
        <v>4783.0</v>
      </c>
      <c r="F1775" s="1">
        <v>3650.0</v>
      </c>
      <c r="G1775" s="1">
        <v>10295.0</v>
      </c>
      <c r="H1775" s="1">
        <v>0.4646</v>
      </c>
      <c r="I1775" s="1">
        <v>0.3545</v>
      </c>
      <c r="J1775" s="1">
        <v>0.1101</v>
      </c>
      <c r="K1775" s="1">
        <v>2688.0</v>
      </c>
    </row>
    <row r="1776">
      <c r="A1776" s="1" t="s">
        <v>24</v>
      </c>
      <c r="B1776" s="1" t="s">
        <v>180</v>
      </c>
      <c r="C1776" s="1" t="s">
        <v>50</v>
      </c>
      <c r="D1776" s="1">
        <v>11.0</v>
      </c>
      <c r="E1776" s="1">
        <v>4466.0</v>
      </c>
      <c r="F1776" s="1">
        <v>3725.0</v>
      </c>
      <c r="G1776" s="1">
        <v>10295.0</v>
      </c>
      <c r="H1776" s="1">
        <v>0.4338</v>
      </c>
      <c r="I1776" s="1">
        <v>0.3618</v>
      </c>
      <c r="J1776" s="1">
        <v>0.072</v>
      </c>
      <c r="K1776" s="1">
        <v>2784.0</v>
      </c>
    </row>
    <row r="1777">
      <c r="A1777" s="1" t="s">
        <v>24</v>
      </c>
      <c r="B1777" s="1" t="s">
        <v>180</v>
      </c>
      <c r="C1777" s="1" t="s">
        <v>50</v>
      </c>
      <c r="D1777" s="1">
        <v>12.0</v>
      </c>
      <c r="E1777" s="1">
        <v>5546.0</v>
      </c>
      <c r="F1777" s="1">
        <v>3999.0</v>
      </c>
      <c r="G1777" s="1">
        <v>10295.0</v>
      </c>
      <c r="H1777" s="1">
        <v>0.5387</v>
      </c>
      <c r="I1777" s="1">
        <v>0.3884</v>
      </c>
      <c r="J1777" s="1">
        <v>0.1503</v>
      </c>
      <c r="K1777" s="1">
        <v>2877.0</v>
      </c>
    </row>
    <row r="1778">
      <c r="A1778" s="1" t="s">
        <v>24</v>
      </c>
      <c r="B1778" s="1" t="s">
        <v>180</v>
      </c>
      <c r="C1778" s="1" t="s">
        <v>50</v>
      </c>
      <c r="D1778" s="1">
        <v>13.0</v>
      </c>
      <c r="E1778" s="1">
        <v>4835.0</v>
      </c>
      <c r="F1778" s="1">
        <v>4337.0</v>
      </c>
      <c r="G1778" s="1">
        <v>10295.0</v>
      </c>
      <c r="H1778" s="1">
        <v>0.4696</v>
      </c>
      <c r="I1778" s="1">
        <v>0.4213</v>
      </c>
      <c r="J1778" s="1">
        <v>0.0484</v>
      </c>
      <c r="K1778" s="1">
        <v>3082.0</v>
      </c>
    </row>
    <row r="1779">
      <c r="A1779" s="1" t="s">
        <v>24</v>
      </c>
      <c r="B1779" s="1" t="s">
        <v>180</v>
      </c>
      <c r="C1779" s="1" t="s">
        <v>50</v>
      </c>
      <c r="D1779" s="1">
        <v>14.0</v>
      </c>
      <c r="E1779" s="1">
        <v>4801.0</v>
      </c>
      <c r="F1779" s="1">
        <v>4542.0</v>
      </c>
      <c r="G1779" s="1">
        <v>10295.0</v>
      </c>
      <c r="H1779" s="1">
        <v>0.4663</v>
      </c>
      <c r="I1779" s="1">
        <v>0.4412</v>
      </c>
      <c r="J1779" s="1">
        <v>0.0252</v>
      </c>
      <c r="K1779" s="1">
        <v>3182.0</v>
      </c>
    </row>
    <row r="1780">
      <c r="A1780" s="1" t="s">
        <v>24</v>
      </c>
      <c r="B1780" s="1" t="s">
        <v>180</v>
      </c>
      <c r="C1780" s="1" t="s">
        <v>50</v>
      </c>
      <c r="D1780" s="1">
        <v>15.0</v>
      </c>
      <c r="E1780" s="1">
        <v>6749.0</v>
      </c>
      <c r="F1780" s="1">
        <v>5103.0</v>
      </c>
      <c r="G1780" s="1">
        <v>10295.0</v>
      </c>
      <c r="H1780" s="1">
        <v>0.6556</v>
      </c>
      <c r="I1780" s="1">
        <v>0.4957</v>
      </c>
      <c r="J1780" s="1">
        <v>0.1599</v>
      </c>
      <c r="K1780" s="1">
        <v>3439.0</v>
      </c>
    </row>
    <row r="1781">
      <c r="A1781" s="1" t="s">
        <v>24</v>
      </c>
      <c r="B1781" s="1" t="s">
        <v>180</v>
      </c>
      <c r="C1781" s="1" t="s">
        <v>50</v>
      </c>
      <c r="D1781" s="1">
        <v>16.0</v>
      </c>
      <c r="E1781" s="1">
        <v>6506.0</v>
      </c>
      <c r="F1781" s="1">
        <v>5002.0</v>
      </c>
      <c r="G1781" s="1">
        <v>10295.0</v>
      </c>
      <c r="H1781" s="1">
        <v>0.632</v>
      </c>
      <c r="I1781" s="1">
        <v>0.4859</v>
      </c>
      <c r="J1781" s="1">
        <v>0.1461</v>
      </c>
      <c r="K1781" s="1">
        <v>3482.0</v>
      </c>
    </row>
    <row r="1782">
      <c r="A1782" s="1" t="s">
        <v>24</v>
      </c>
      <c r="B1782" s="1" t="s">
        <v>180</v>
      </c>
      <c r="C1782" s="1" t="s">
        <v>50</v>
      </c>
      <c r="D1782" s="1">
        <v>17.0</v>
      </c>
      <c r="E1782" s="1">
        <v>5867.0</v>
      </c>
      <c r="F1782" s="1">
        <v>4891.0</v>
      </c>
      <c r="G1782" s="1">
        <v>10295.0</v>
      </c>
      <c r="H1782" s="1">
        <v>0.5699</v>
      </c>
      <c r="I1782" s="1">
        <v>0.4751</v>
      </c>
      <c r="J1782" s="1">
        <v>0.0948</v>
      </c>
      <c r="K1782" s="1">
        <v>3548.0</v>
      </c>
    </row>
    <row r="1783">
      <c r="A1783" s="1" t="s">
        <v>24</v>
      </c>
      <c r="B1783" s="1" t="s">
        <v>180</v>
      </c>
      <c r="C1783" s="1" t="s">
        <v>50</v>
      </c>
      <c r="D1783" s="1">
        <v>18.0</v>
      </c>
      <c r="E1783" s="1">
        <v>5399.0</v>
      </c>
      <c r="F1783" s="1">
        <v>4460.0</v>
      </c>
      <c r="G1783" s="1">
        <v>10295.0</v>
      </c>
      <c r="H1783" s="1">
        <v>0.5244</v>
      </c>
      <c r="I1783" s="1">
        <v>0.4332</v>
      </c>
      <c r="J1783" s="1">
        <v>0.0912</v>
      </c>
      <c r="K1783" s="1">
        <v>3641.0</v>
      </c>
    </row>
    <row r="1784">
      <c r="A1784" s="1" t="s">
        <v>24</v>
      </c>
      <c r="B1784" s="1" t="s">
        <v>180</v>
      </c>
      <c r="C1784" s="1" t="s">
        <v>50</v>
      </c>
      <c r="D1784" s="1">
        <v>19.0</v>
      </c>
      <c r="E1784" s="1">
        <v>6290.0</v>
      </c>
      <c r="F1784" s="1">
        <v>4625.0</v>
      </c>
      <c r="G1784" s="1">
        <v>10295.0</v>
      </c>
      <c r="H1784" s="1">
        <v>0.611</v>
      </c>
      <c r="I1784" s="1">
        <v>0.4492</v>
      </c>
      <c r="J1784" s="1">
        <v>0.1617</v>
      </c>
      <c r="K1784" s="1">
        <v>3502.0</v>
      </c>
    </row>
    <row r="1785">
      <c r="A1785" s="1" t="s">
        <v>24</v>
      </c>
      <c r="B1785" s="1" t="s">
        <v>180</v>
      </c>
      <c r="C1785" s="1" t="s">
        <v>50</v>
      </c>
      <c r="D1785" s="1">
        <v>20.0</v>
      </c>
      <c r="E1785" s="1">
        <v>3906.0</v>
      </c>
      <c r="F1785" s="1">
        <v>3942.0</v>
      </c>
      <c r="G1785" s="1">
        <v>10295.0</v>
      </c>
      <c r="H1785" s="1">
        <v>0.3794</v>
      </c>
      <c r="I1785" s="1">
        <v>0.3829</v>
      </c>
      <c r="J1785" s="1">
        <v>-0.0035</v>
      </c>
      <c r="K1785" s="1">
        <v>3312.0</v>
      </c>
    </row>
    <row r="1786">
      <c r="A1786" s="1" t="s">
        <v>24</v>
      </c>
      <c r="B1786" s="1" t="s">
        <v>180</v>
      </c>
      <c r="C1786" s="1" t="s">
        <v>50</v>
      </c>
      <c r="D1786" s="1">
        <v>21.0</v>
      </c>
      <c r="E1786" s="1">
        <v>3670.0</v>
      </c>
      <c r="F1786" s="1">
        <v>3658.0</v>
      </c>
      <c r="G1786" s="1">
        <v>10295.0</v>
      </c>
      <c r="H1786" s="1">
        <v>0.3565</v>
      </c>
      <c r="I1786" s="1">
        <v>0.3553</v>
      </c>
      <c r="J1786" s="1">
        <v>0.0012</v>
      </c>
      <c r="K1786" s="1">
        <v>3296.0</v>
      </c>
    </row>
    <row r="1787">
      <c r="A1787" s="1" t="s">
        <v>24</v>
      </c>
      <c r="B1787" s="1" t="s">
        <v>180</v>
      </c>
      <c r="C1787" s="1" t="s">
        <v>1209</v>
      </c>
      <c r="D1787" s="1">
        <v>1.0</v>
      </c>
      <c r="E1787" s="1">
        <v>1175.0</v>
      </c>
      <c r="F1787" s="1">
        <v>697.0</v>
      </c>
      <c r="G1787" s="1">
        <v>3606.0</v>
      </c>
      <c r="H1787" s="1">
        <v>0.3258</v>
      </c>
      <c r="I1787" s="1">
        <v>0.1933</v>
      </c>
      <c r="J1787" s="1">
        <v>0.1326</v>
      </c>
      <c r="K1787" s="1">
        <v>2110.0</v>
      </c>
    </row>
    <row r="1788">
      <c r="A1788" s="1" t="s">
        <v>24</v>
      </c>
      <c r="B1788" s="1" t="s">
        <v>180</v>
      </c>
      <c r="C1788" s="1" t="s">
        <v>1209</v>
      </c>
      <c r="D1788" s="1">
        <v>2.0</v>
      </c>
      <c r="E1788" s="1">
        <v>660.0</v>
      </c>
      <c r="F1788" s="1">
        <v>380.0</v>
      </c>
      <c r="G1788" s="1">
        <v>3606.0</v>
      </c>
      <c r="H1788" s="1">
        <v>0.183</v>
      </c>
      <c r="I1788" s="1">
        <v>0.1054</v>
      </c>
      <c r="J1788" s="1">
        <v>0.0776</v>
      </c>
      <c r="K1788" s="1">
        <v>2190.0</v>
      </c>
    </row>
    <row r="1789">
      <c r="A1789" s="1" t="s">
        <v>24</v>
      </c>
      <c r="B1789" s="1" t="s">
        <v>180</v>
      </c>
      <c r="C1789" s="1" t="s">
        <v>1209</v>
      </c>
      <c r="D1789" s="1">
        <v>3.0</v>
      </c>
      <c r="E1789" s="1">
        <v>795.0</v>
      </c>
      <c r="F1789" s="1">
        <v>530.0</v>
      </c>
      <c r="G1789" s="1">
        <v>3606.0</v>
      </c>
      <c r="H1789" s="1">
        <v>0.2205</v>
      </c>
      <c r="I1789" s="1">
        <v>0.147</v>
      </c>
      <c r="J1789" s="1">
        <v>0.0735</v>
      </c>
      <c r="K1789" s="1">
        <v>2312.0</v>
      </c>
    </row>
    <row r="1790">
      <c r="A1790" s="1" t="s">
        <v>24</v>
      </c>
      <c r="B1790" s="1" t="s">
        <v>180</v>
      </c>
      <c r="C1790" s="1" t="s">
        <v>1209</v>
      </c>
      <c r="D1790" s="1">
        <v>4.0</v>
      </c>
      <c r="E1790" s="1">
        <v>865.0</v>
      </c>
      <c r="F1790" s="1">
        <v>456.0</v>
      </c>
      <c r="G1790" s="1">
        <v>3606.0</v>
      </c>
      <c r="H1790" s="1">
        <v>0.2399</v>
      </c>
      <c r="I1790" s="1">
        <v>0.1265</v>
      </c>
      <c r="J1790" s="1">
        <v>0.1134</v>
      </c>
      <c r="K1790" s="1">
        <v>2314.0</v>
      </c>
    </row>
    <row r="1791">
      <c r="A1791" s="1" t="s">
        <v>24</v>
      </c>
      <c r="B1791" s="1" t="s">
        <v>180</v>
      </c>
      <c r="C1791" s="1" t="s">
        <v>1209</v>
      </c>
      <c r="D1791" s="1">
        <v>5.0</v>
      </c>
      <c r="E1791" s="1">
        <v>6555.0</v>
      </c>
      <c r="F1791" s="1">
        <v>4418.0</v>
      </c>
      <c r="G1791" s="1">
        <v>3606.0</v>
      </c>
      <c r="H1791" s="1">
        <v>1.8178</v>
      </c>
      <c r="I1791" s="1">
        <v>1.2252</v>
      </c>
      <c r="J1791" s="1">
        <v>0.5926</v>
      </c>
      <c r="K1791" s="1">
        <v>2330.0</v>
      </c>
    </row>
    <row r="1792">
      <c r="A1792" s="1" t="s">
        <v>24</v>
      </c>
      <c r="B1792" s="1" t="s">
        <v>180</v>
      </c>
      <c r="C1792" s="1" t="s">
        <v>1209</v>
      </c>
      <c r="D1792" s="1">
        <v>6.0</v>
      </c>
      <c r="E1792" s="1">
        <v>9080.0</v>
      </c>
      <c r="F1792" s="1">
        <v>6042.0</v>
      </c>
      <c r="G1792" s="1">
        <v>3606.0</v>
      </c>
      <c r="H1792" s="1">
        <v>2.518</v>
      </c>
      <c r="I1792" s="1">
        <v>1.6755</v>
      </c>
      <c r="J1792" s="1">
        <v>0.8425</v>
      </c>
      <c r="K1792" s="1">
        <v>2338.0</v>
      </c>
    </row>
    <row r="1793">
      <c r="A1793" s="1" t="s">
        <v>24</v>
      </c>
      <c r="B1793" s="1" t="s">
        <v>180</v>
      </c>
      <c r="C1793" s="1" t="s">
        <v>1209</v>
      </c>
      <c r="D1793" s="1">
        <v>7.0</v>
      </c>
      <c r="E1793" s="1">
        <v>10020.0</v>
      </c>
      <c r="F1793" s="1">
        <v>6500.0</v>
      </c>
      <c r="G1793" s="1">
        <v>3606.0</v>
      </c>
      <c r="H1793" s="1">
        <v>2.7787</v>
      </c>
      <c r="I1793" s="1">
        <v>1.8026</v>
      </c>
      <c r="J1793" s="1">
        <v>0.9762</v>
      </c>
      <c r="K1793" s="1">
        <v>2434.0</v>
      </c>
    </row>
    <row r="1794">
      <c r="A1794" s="1" t="s">
        <v>24</v>
      </c>
      <c r="B1794" s="1" t="s">
        <v>180</v>
      </c>
      <c r="C1794" s="1" t="s">
        <v>1209</v>
      </c>
      <c r="D1794" s="1">
        <v>8.0</v>
      </c>
      <c r="E1794" s="1">
        <v>4665.0</v>
      </c>
      <c r="F1794" s="1">
        <v>2789.0</v>
      </c>
      <c r="G1794" s="1">
        <v>3606.0</v>
      </c>
      <c r="H1794" s="1">
        <v>1.2937</v>
      </c>
      <c r="I1794" s="1">
        <v>0.7734</v>
      </c>
      <c r="J1794" s="1">
        <v>0.5202</v>
      </c>
      <c r="K1794" s="1">
        <v>2628.0</v>
      </c>
    </row>
    <row r="1795">
      <c r="A1795" s="1" t="s">
        <v>24</v>
      </c>
      <c r="B1795" s="1" t="s">
        <v>180</v>
      </c>
      <c r="C1795" s="1" t="s">
        <v>1209</v>
      </c>
      <c r="D1795" s="1">
        <v>9.0</v>
      </c>
      <c r="E1795" s="1">
        <v>1045.0</v>
      </c>
      <c r="F1795" s="1">
        <v>602.0</v>
      </c>
      <c r="G1795" s="1">
        <v>3606.0</v>
      </c>
      <c r="H1795" s="1">
        <v>0.2898</v>
      </c>
      <c r="I1795" s="1">
        <v>0.1669</v>
      </c>
      <c r="J1795" s="1">
        <v>0.1229</v>
      </c>
      <c r="K1795" s="1">
        <v>2626.0</v>
      </c>
    </row>
    <row r="1796">
      <c r="A1796" s="1" t="s">
        <v>24</v>
      </c>
      <c r="B1796" s="1" t="s">
        <v>180</v>
      </c>
      <c r="C1796" s="1" t="s">
        <v>1209</v>
      </c>
      <c r="D1796" s="1">
        <v>10.0</v>
      </c>
      <c r="E1796" s="1">
        <v>970.0</v>
      </c>
      <c r="F1796" s="1">
        <v>503.0</v>
      </c>
      <c r="G1796" s="1">
        <v>3606.0</v>
      </c>
      <c r="H1796" s="1">
        <v>0.269</v>
      </c>
      <c r="I1796" s="1">
        <v>0.1395</v>
      </c>
      <c r="J1796" s="1">
        <v>0.1295</v>
      </c>
      <c r="K1796" s="1">
        <v>2688.0</v>
      </c>
    </row>
    <row r="1797">
      <c r="A1797" s="1" t="s">
        <v>24</v>
      </c>
      <c r="B1797" s="1" t="s">
        <v>180</v>
      </c>
      <c r="C1797" s="1" t="s">
        <v>1209</v>
      </c>
      <c r="D1797" s="1">
        <v>11.0</v>
      </c>
      <c r="E1797" s="1">
        <v>945.0</v>
      </c>
      <c r="F1797" s="1">
        <v>449.0</v>
      </c>
      <c r="G1797" s="1">
        <v>3606.0</v>
      </c>
      <c r="H1797" s="1">
        <v>0.2621</v>
      </c>
      <c r="I1797" s="1">
        <v>0.1245</v>
      </c>
      <c r="J1797" s="1">
        <v>0.1375</v>
      </c>
      <c r="K1797" s="1">
        <v>2784.0</v>
      </c>
    </row>
    <row r="1798">
      <c r="A1798" s="1" t="s">
        <v>24</v>
      </c>
      <c r="B1798" s="1" t="s">
        <v>180</v>
      </c>
      <c r="C1798" s="1" t="s">
        <v>1209</v>
      </c>
      <c r="D1798" s="1">
        <v>12.0</v>
      </c>
      <c r="E1798" s="1">
        <v>5980.0</v>
      </c>
      <c r="F1798" s="1">
        <v>3795.0</v>
      </c>
      <c r="G1798" s="1">
        <v>3606.0</v>
      </c>
      <c r="H1798" s="1">
        <v>1.6583</v>
      </c>
      <c r="I1798" s="1">
        <v>1.0524</v>
      </c>
      <c r="J1798" s="1">
        <v>0.6059</v>
      </c>
      <c r="K1798" s="1">
        <v>2877.0</v>
      </c>
    </row>
    <row r="1799">
      <c r="A1799" s="1" t="s">
        <v>24</v>
      </c>
      <c r="B1799" s="1" t="s">
        <v>180</v>
      </c>
      <c r="C1799" s="1" t="s">
        <v>1209</v>
      </c>
      <c r="D1799" s="1">
        <v>13.0</v>
      </c>
      <c r="E1799" s="1">
        <v>9775.0</v>
      </c>
      <c r="F1799" s="1">
        <v>6116.0</v>
      </c>
      <c r="G1799" s="1">
        <v>3606.0</v>
      </c>
      <c r="H1799" s="1">
        <v>2.7108</v>
      </c>
      <c r="I1799" s="1">
        <v>1.6961</v>
      </c>
      <c r="J1799" s="1">
        <v>1.0147</v>
      </c>
      <c r="K1799" s="1">
        <v>3082.0</v>
      </c>
    </row>
    <row r="1800">
      <c r="A1800" s="1" t="s">
        <v>24</v>
      </c>
      <c r="B1800" s="1" t="s">
        <v>180</v>
      </c>
      <c r="C1800" s="1" t="s">
        <v>1209</v>
      </c>
      <c r="D1800" s="1">
        <v>14.0</v>
      </c>
      <c r="E1800" s="1">
        <v>10955.0</v>
      </c>
      <c r="F1800" s="1">
        <v>6879.0</v>
      </c>
      <c r="G1800" s="1">
        <v>3606.0</v>
      </c>
      <c r="H1800" s="1">
        <v>3.038</v>
      </c>
      <c r="I1800" s="1">
        <v>1.9077</v>
      </c>
      <c r="J1800" s="1">
        <v>1.1303</v>
      </c>
      <c r="K1800" s="1">
        <v>3182.0</v>
      </c>
    </row>
    <row r="1801">
      <c r="A1801" s="1" t="s">
        <v>24</v>
      </c>
      <c r="B1801" s="1" t="s">
        <v>180</v>
      </c>
      <c r="C1801" s="1" t="s">
        <v>1209</v>
      </c>
      <c r="D1801" s="1">
        <v>15.0</v>
      </c>
      <c r="E1801" s="1">
        <v>8925.0</v>
      </c>
      <c r="F1801" s="1">
        <v>4419.0</v>
      </c>
      <c r="G1801" s="1">
        <v>3606.0</v>
      </c>
      <c r="H1801" s="1">
        <v>2.475</v>
      </c>
      <c r="I1801" s="1">
        <v>1.2255</v>
      </c>
      <c r="J1801" s="1">
        <v>1.2496</v>
      </c>
      <c r="K1801" s="1">
        <v>3439.0</v>
      </c>
    </row>
    <row r="1802">
      <c r="A1802" s="1" t="s">
        <v>24</v>
      </c>
      <c r="B1802" s="1" t="s">
        <v>180</v>
      </c>
      <c r="C1802" s="1" t="s">
        <v>1209</v>
      </c>
      <c r="D1802" s="1">
        <v>16.0</v>
      </c>
      <c r="E1802" s="1">
        <v>1725.0</v>
      </c>
      <c r="F1802" s="1">
        <v>860.0</v>
      </c>
      <c r="G1802" s="1">
        <v>3606.0</v>
      </c>
      <c r="H1802" s="1">
        <v>0.4784</v>
      </c>
      <c r="I1802" s="1">
        <v>0.2385</v>
      </c>
      <c r="J1802" s="1">
        <v>0.2399</v>
      </c>
      <c r="K1802" s="1">
        <v>3482.0</v>
      </c>
    </row>
    <row r="1803">
      <c r="A1803" s="1" t="s">
        <v>24</v>
      </c>
      <c r="B1803" s="1" t="s">
        <v>180</v>
      </c>
      <c r="C1803" s="1" t="s">
        <v>1209</v>
      </c>
      <c r="D1803" s="1">
        <v>17.0</v>
      </c>
      <c r="E1803" s="1">
        <v>1150.0</v>
      </c>
      <c r="F1803" s="1">
        <v>529.0</v>
      </c>
      <c r="G1803" s="1">
        <v>3606.0</v>
      </c>
      <c r="H1803" s="1">
        <v>0.3189</v>
      </c>
      <c r="I1803" s="1">
        <v>0.1467</v>
      </c>
      <c r="J1803" s="1">
        <v>0.1722</v>
      </c>
      <c r="K1803" s="1">
        <v>3548.0</v>
      </c>
    </row>
    <row r="1804">
      <c r="A1804" s="1" t="s">
        <v>24</v>
      </c>
      <c r="B1804" s="1" t="s">
        <v>180</v>
      </c>
      <c r="C1804" s="1" t="s">
        <v>1209</v>
      </c>
      <c r="D1804" s="1">
        <v>18.0</v>
      </c>
      <c r="E1804" s="1">
        <v>1510.0</v>
      </c>
      <c r="F1804" s="1">
        <v>747.0</v>
      </c>
      <c r="G1804" s="1">
        <v>3606.0</v>
      </c>
      <c r="H1804" s="1">
        <v>0.4187</v>
      </c>
      <c r="I1804" s="1">
        <v>0.2072</v>
      </c>
      <c r="J1804" s="1">
        <v>0.2116</v>
      </c>
      <c r="K1804" s="1">
        <v>3641.0</v>
      </c>
    </row>
    <row r="1805">
      <c r="A1805" s="1" t="s">
        <v>24</v>
      </c>
      <c r="B1805" s="1" t="s">
        <v>180</v>
      </c>
      <c r="C1805" s="1" t="s">
        <v>1209</v>
      </c>
      <c r="D1805" s="1">
        <v>19.0</v>
      </c>
      <c r="E1805" s="1">
        <v>1975.0</v>
      </c>
      <c r="F1805" s="1">
        <v>987.0</v>
      </c>
      <c r="G1805" s="1">
        <v>3606.0</v>
      </c>
      <c r="H1805" s="1">
        <v>0.5477</v>
      </c>
      <c r="I1805" s="1">
        <v>0.2737</v>
      </c>
      <c r="J1805" s="1">
        <v>0.274</v>
      </c>
      <c r="K1805" s="1">
        <v>3502.0</v>
      </c>
    </row>
    <row r="1806">
      <c r="A1806" s="1" t="s">
        <v>24</v>
      </c>
      <c r="B1806" s="1" t="s">
        <v>180</v>
      </c>
      <c r="C1806" s="1" t="s">
        <v>1209</v>
      </c>
      <c r="D1806" s="1">
        <v>20.0</v>
      </c>
      <c r="E1806" s="1">
        <v>3755.0</v>
      </c>
      <c r="F1806" s="1">
        <v>2322.0</v>
      </c>
      <c r="G1806" s="1">
        <v>3606.0</v>
      </c>
      <c r="H1806" s="1">
        <v>1.0413</v>
      </c>
      <c r="I1806" s="1">
        <v>0.6439</v>
      </c>
      <c r="J1806" s="1">
        <v>0.3974</v>
      </c>
      <c r="K1806" s="1">
        <v>3312.0</v>
      </c>
    </row>
    <row r="1807">
      <c r="A1807" s="1" t="s">
        <v>24</v>
      </c>
      <c r="B1807" s="1" t="s">
        <v>180</v>
      </c>
      <c r="C1807" s="1" t="s">
        <v>1209</v>
      </c>
      <c r="D1807" s="1">
        <v>21.0</v>
      </c>
      <c r="E1807" s="1">
        <v>4185.0</v>
      </c>
      <c r="F1807" s="1">
        <v>2771.0</v>
      </c>
      <c r="G1807" s="1">
        <v>3606.0</v>
      </c>
      <c r="H1807" s="1">
        <v>1.1606</v>
      </c>
      <c r="I1807" s="1">
        <v>0.7684</v>
      </c>
      <c r="J1807" s="1">
        <v>0.3921</v>
      </c>
      <c r="K1807" s="1">
        <v>3296.0</v>
      </c>
    </row>
    <row r="1808">
      <c r="A1808" s="1" t="s">
        <v>24</v>
      </c>
      <c r="B1808" s="1" t="s">
        <v>180</v>
      </c>
      <c r="C1808" s="1" t="s">
        <v>1210</v>
      </c>
      <c r="D1808" s="1">
        <v>1.0</v>
      </c>
      <c r="E1808" s="1">
        <v>9900.0</v>
      </c>
      <c r="F1808" s="1">
        <v>5663.0</v>
      </c>
      <c r="G1808" s="1">
        <v>8061.0</v>
      </c>
      <c r="H1808" s="1">
        <v>1.2281</v>
      </c>
      <c r="I1808" s="1">
        <v>0.7025</v>
      </c>
      <c r="J1808" s="1">
        <v>0.5256</v>
      </c>
      <c r="K1808" s="1">
        <v>2110.0</v>
      </c>
    </row>
    <row r="1809">
      <c r="A1809" s="1" t="s">
        <v>24</v>
      </c>
      <c r="B1809" s="1" t="s">
        <v>180</v>
      </c>
      <c r="C1809" s="1" t="s">
        <v>1210</v>
      </c>
      <c r="D1809" s="1">
        <v>2.0</v>
      </c>
      <c r="E1809" s="1">
        <v>12525.0</v>
      </c>
      <c r="F1809" s="1">
        <v>7005.0</v>
      </c>
      <c r="G1809" s="1">
        <v>8061.0</v>
      </c>
      <c r="H1809" s="1">
        <v>1.5538</v>
      </c>
      <c r="I1809" s="1">
        <v>0.869</v>
      </c>
      <c r="J1809" s="1">
        <v>0.6848</v>
      </c>
      <c r="K1809" s="1">
        <v>2190.0</v>
      </c>
    </row>
    <row r="1810">
      <c r="A1810" s="1" t="s">
        <v>24</v>
      </c>
      <c r="B1810" s="1" t="s">
        <v>180</v>
      </c>
      <c r="C1810" s="1" t="s">
        <v>1210</v>
      </c>
      <c r="D1810" s="1">
        <v>3.0</v>
      </c>
      <c r="E1810" s="1">
        <v>13790.0</v>
      </c>
      <c r="F1810" s="1">
        <v>7655.0</v>
      </c>
      <c r="G1810" s="1">
        <v>8061.0</v>
      </c>
      <c r="H1810" s="1">
        <v>1.7107</v>
      </c>
      <c r="I1810" s="1">
        <v>0.9496</v>
      </c>
      <c r="J1810" s="1">
        <v>0.7611</v>
      </c>
      <c r="K1810" s="1">
        <v>2312.0</v>
      </c>
    </row>
    <row r="1811">
      <c r="A1811" s="1" t="s">
        <v>24</v>
      </c>
      <c r="B1811" s="1" t="s">
        <v>180</v>
      </c>
      <c r="C1811" s="1" t="s">
        <v>1210</v>
      </c>
      <c r="D1811" s="1">
        <v>4.0</v>
      </c>
      <c r="E1811" s="1">
        <v>12575.0</v>
      </c>
      <c r="F1811" s="1">
        <v>6537.0</v>
      </c>
      <c r="G1811" s="1">
        <v>8061.0</v>
      </c>
      <c r="H1811" s="1">
        <v>1.56</v>
      </c>
      <c r="I1811" s="1">
        <v>0.8109</v>
      </c>
      <c r="J1811" s="1">
        <v>0.749</v>
      </c>
      <c r="K1811" s="1">
        <v>2314.0</v>
      </c>
    </row>
    <row r="1812">
      <c r="A1812" s="1" t="s">
        <v>24</v>
      </c>
      <c r="B1812" s="1" t="s">
        <v>180</v>
      </c>
      <c r="C1812" s="1" t="s">
        <v>1210</v>
      </c>
      <c r="D1812" s="1">
        <v>5.0</v>
      </c>
      <c r="E1812" s="1">
        <v>21520.0</v>
      </c>
      <c r="F1812" s="1">
        <v>12708.0</v>
      </c>
      <c r="G1812" s="1">
        <v>8061.0</v>
      </c>
      <c r="H1812" s="1">
        <v>2.6696</v>
      </c>
      <c r="I1812" s="1">
        <v>1.5765</v>
      </c>
      <c r="J1812" s="1">
        <v>1.0932</v>
      </c>
      <c r="K1812" s="1">
        <v>2330.0</v>
      </c>
    </row>
    <row r="1813">
      <c r="A1813" s="1" t="s">
        <v>24</v>
      </c>
      <c r="B1813" s="1" t="s">
        <v>180</v>
      </c>
      <c r="C1813" s="1" t="s">
        <v>1210</v>
      </c>
      <c r="D1813" s="1">
        <v>6.0</v>
      </c>
      <c r="E1813" s="1">
        <v>15540.0</v>
      </c>
      <c r="F1813" s="1">
        <v>9118.0</v>
      </c>
      <c r="G1813" s="1">
        <v>8061.0</v>
      </c>
      <c r="H1813" s="1">
        <v>1.9278</v>
      </c>
      <c r="I1813" s="1">
        <v>1.1311</v>
      </c>
      <c r="J1813" s="1">
        <v>0.7967</v>
      </c>
      <c r="K1813" s="1">
        <v>2338.0</v>
      </c>
    </row>
    <row r="1814">
      <c r="A1814" s="1" t="s">
        <v>24</v>
      </c>
      <c r="B1814" s="1" t="s">
        <v>180</v>
      </c>
      <c r="C1814" s="1" t="s">
        <v>1210</v>
      </c>
      <c r="D1814" s="1">
        <v>7.0</v>
      </c>
      <c r="E1814" s="1">
        <v>17540.0</v>
      </c>
      <c r="F1814" s="1">
        <v>9806.0</v>
      </c>
      <c r="G1814" s="1">
        <v>8061.0</v>
      </c>
      <c r="H1814" s="1">
        <v>2.1759</v>
      </c>
      <c r="I1814" s="1">
        <v>1.2165</v>
      </c>
      <c r="J1814" s="1">
        <v>0.9594</v>
      </c>
      <c r="K1814" s="1">
        <v>2434.0</v>
      </c>
    </row>
    <row r="1815">
      <c r="A1815" s="1" t="s">
        <v>24</v>
      </c>
      <c r="B1815" s="1" t="s">
        <v>180</v>
      </c>
      <c r="C1815" s="1" t="s">
        <v>1210</v>
      </c>
      <c r="D1815" s="1">
        <v>8.0</v>
      </c>
      <c r="E1815" s="1">
        <v>12505.0</v>
      </c>
      <c r="F1815" s="1">
        <v>7172.0</v>
      </c>
      <c r="G1815" s="1">
        <v>8061.0</v>
      </c>
      <c r="H1815" s="1">
        <v>1.5513</v>
      </c>
      <c r="I1815" s="1">
        <v>0.8897</v>
      </c>
      <c r="J1815" s="1">
        <v>0.6616</v>
      </c>
      <c r="K1815" s="1">
        <v>2628.0</v>
      </c>
    </row>
    <row r="1816">
      <c r="A1816" s="1" t="s">
        <v>24</v>
      </c>
      <c r="B1816" s="1" t="s">
        <v>180</v>
      </c>
      <c r="C1816" s="1" t="s">
        <v>1210</v>
      </c>
      <c r="D1816" s="1">
        <v>9.0</v>
      </c>
      <c r="E1816" s="1">
        <v>12185.0</v>
      </c>
      <c r="F1816" s="1">
        <v>7199.0</v>
      </c>
      <c r="G1816" s="1">
        <v>8061.0</v>
      </c>
      <c r="H1816" s="1">
        <v>1.5116</v>
      </c>
      <c r="I1816" s="1">
        <v>0.8931</v>
      </c>
      <c r="J1816" s="1">
        <v>0.6185</v>
      </c>
      <c r="K1816" s="1">
        <v>2626.0</v>
      </c>
    </row>
    <row r="1817">
      <c r="A1817" s="1" t="s">
        <v>24</v>
      </c>
      <c r="B1817" s="1" t="s">
        <v>180</v>
      </c>
      <c r="C1817" s="1" t="s">
        <v>1210</v>
      </c>
      <c r="D1817" s="1">
        <v>10.0</v>
      </c>
      <c r="E1817" s="1">
        <v>14305.0</v>
      </c>
      <c r="F1817" s="1">
        <v>7749.0</v>
      </c>
      <c r="G1817" s="1">
        <v>8061.0</v>
      </c>
      <c r="H1817" s="1">
        <v>1.7746</v>
      </c>
      <c r="I1817" s="1">
        <v>0.9613</v>
      </c>
      <c r="J1817" s="1">
        <v>0.8133</v>
      </c>
      <c r="K1817" s="1">
        <v>2688.0</v>
      </c>
    </row>
    <row r="1818">
      <c r="A1818" s="1" t="s">
        <v>24</v>
      </c>
      <c r="B1818" s="1" t="s">
        <v>180</v>
      </c>
      <c r="C1818" s="1" t="s">
        <v>1210</v>
      </c>
      <c r="D1818" s="1">
        <v>11.0</v>
      </c>
      <c r="E1818" s="1">
        <v>14830.0</v>
      </c>
      <c r="F1818" s="1">
        <v>7805.0</v>
      </c>
      <c r="G1818" s="1">
        <v>8061.0</v>
      </c>
      <c r="H1818" s="1">
        <v>1.8397</v>
      </c>
      <c r="I1818" s="1">
        <v>0.9682</v>
      </c>
      <c r="J1818" s="1">
        <v>0.8715</v>
      </c>
      <c r="K1818" s="1">
        <v>2784.0</v>
      </c>
    </row>
    <row r="1819">
      <c r="A1819" s="1" t="s">
        <v>24</v>
      </c>
      <c r="B1819" s="1" t="s">
        <v>180</v>
      </c>
      <c r="C1819" s="1" t="s">
        <v>1210</v>
      </c>
      <c r="D1819" s="1">
        <v>12.0</v>
      </c>
      <c r="E1819" s="1">
        <v>23140.0</v>
      </c>
      <c r="F1819" s="1">
        <v>13405.0</v>
      </c>
      <c r="G1819" s="1">
        <v>8061.0</v>
      </c>
      <c r="H1819" s="1">
        <v>2.8706</v>
      </c>
      <c r="I1819" s="1">
        <v>1.6629</v>
      </c>
      <c r="J1819" s="1">
        <v>1.2077</v>
      </c>
      <c r="K1819" s="1">
        <v>2877.0</v>
      </c>
    </row>
    <row r="1820">
      <c r="A1820" s="1" t="s">
        <v>24</v>
      </c>
      <c r="B1820" s="1" t="s">
        <v>180</v>
      </c>
      <c r="C1820" s="1" t="s">
        <v>1210</v>
      </c>
      <c r="D1820" s="1">
        <v>13.0</v>
      </c>
      <c r="E1820" s="1">
        <v>20250.0</v>
      </c>
      <c r="F1820" s="1">
        <v>11797.0</v>
      </c>
      <c r="G1820" s="1">
        <v>8061.0</v>
      </c>
      <c r="H1820" s="1">
        <v>2.5121</v>
      </c>
      <c r="I1820" s="1">
        <v>1.4635</v>
      </c>
      <c r="J1820" s="1">
        <v>1.0486</v>
      </c>
      <c r="K1820" s="1">
        <v>3082.0</v>
      </c>
    </row>
    <row r="1821">
      <c r="A1821" s="1" t="s">
        <v>24</v>
      </c>
      <c r="B1821" s="1" t="s">
        <v>180</v>
      </c>
      <c r="C1821" s="1" t="s">
        <v>1210</v>
      </c>
      <c r="D1821" s="1">
        <v>14.0</v>
      </c>
      <c r="E1821" s="1">
        <v>20615.0</v>
      </c>
      <c r="F1821" s="1">
        <v>12044.0</v>
      </c>
      <c r="G1821" s="1">
        <v>8061.0</v>
      </c>
      <c r="H1821" s="1">
        <v>2.5574</v>
      </c>
      <c r="I1821" s="1">
        <v>1.4941</v>
      </c>
      <c r="J1821" s="1">
        <v>1.0633</v>
      </c>
      <c r="K1821" s="1">
        <v>3182.0</v>
      </c>
    </row>
    <row r="1822">
      <c r="A1822" s="1" t="s">
        <v>24</v>
      </c>
      <c r="B1822" s="1" t="s">
        <v>180</v>
      </c>
      <c r="C1822" s="1" t="s">
        <v>1210</v>
      </c>
      <c r="D1822" s="1">
        <v>15.0</v>
      </c>
      <c r="E1822" s="1">
        <v>22045.0</v>
      </c>
      <c r="F1822" s="1">
        <v>10507.0</v>
      </c>
      <c r="G1822" s="1">
        <v>8061.0</v>
      </c>
      <c r="H1822" s="1">
        <v>2.7348</v>
      </c>
      <c r="I1822" s="1">
        <v>1.3034</v>
      </c>
      <c r="J1822" s="1">
        <v>1.4313</v>
      </c>
      <c r="K1822" s="1">
        <v>3439.0</v>
      </c>
    </row>
    <row r="1823">
      <c r="A1823" s="1" t="s">
        <v>24</v>
      </c>
      <c r="B1823" s="1" t="s">
        <v>180</v>
      </c>
      <c r="C1823" s="1" t="s">
        <v>1210</v>
      </c>
      <c r="D1823" s="1">
        <v>16.0</v>
      </c>
      <c r="E1823" s="1">
        <v>16950.0</v>
      </c>
      <c r="F1823" s="1">
        <v>9263.0</v>
      </c>
      <c r="G1823" s="1">
        <v>8061.0</v>
      </c>
      <c r="H1823" s="1">
        <v>2.1027</v>
      </c>
      <c r="I1823" s="1">
        <v>1.1491</v>
      </c>
      <c r="J1823" s="1">
        <v>0.9536</v>
      </c>
      <c r="K1823" s="1">
        <v>3482.0</v>
      </c>
    </row>
    <row r="1824">
      <c r="A1824" s="1" t="s">
        <v>24</v>
      </c>
      <c r="B1824" s="1" t="s">
        <v>180</v>
      </c>
      <c r="C1824" s="1" t="s">
        <v>1210</v>
      </c>
      <c r="D1824" s="1">
        <v>17.0</v>
      </c>
      <c r="E1824" s="1">
        <v>17200.0</v>
      </c>
      <c r="F1824" s="1">
        <v>9162.0</v>
      </c>
      <c r="G1824" s="1">
        <v>8061.0</v>
      </c>
      <c r="H1824" s="1">
        <v>2.1337</v>
      </c>
      <c r="I1824" s="1">
        <v>1.1366</v>
      </c>
      <c r="J1824" s="1">
        <v>0.9971</v>
      </c>
      <c r="K1824" s="1">
        <v>3548.0</v>
      </c>
    </row>
    <row r="1825">
      <c r="A1825" s="1" t="s">
        <v>24</v>
      </c>
      <c r="B1825" s="1" t="s">
        <v>180</v>
      </c>
      <c r="C1825" s="1" t="s">
        <v>1210</v>
      </c>
      <c r="D1825" s="1">
        <v>18.0</v>
      </c>
      <c r="E1825" s="1">
        <v>16665.0</v>
      </c>
      <c r="F1825" s="1">
        <v>8402.0</v>
      </c>
      <c r="G1825" s="1">
        <v>8061.0</v>
      </c>
      <c r="H1825" s="1">
        <v>2.0674</v>
      </c>
      <c r="I1825" s="1">
        <v>1.0423</v>
      </c>
      <c r="J1825" s="1">
        <v>1.0251</v>
      </c>
      <c r="K1825" s="1">
        <v>3641.0</v>
      </c>
    </row>
    <row r="1826">
      <c r="A1826" s="1" t="s">
        <v>24</v>
      </c>
      <c r="B1826" s="1" t="s">
        <v>180</v>
      </c>
      <c r="C1826" s="1" t="s">
        <v>1210</v>
      </c>
      <c r="D1826" s="1">
        <v>19.0</v>
      </c>
      <c r="E1826" s="1">
        <v>11755.0</v>
      </c>
      <c r="F1826" s="1">
        <v>6413.0</v>
      </c>
      <c r="G1826" s="1">
        <v>8061.0</v>
      </c>
      <c r="H1826" s="1">
        <v>1.4583</v>
      </c>
      <c r="I1826" s="1">
        <v>0.7956</v>
      </c>
      <c r="J1826" s="1">
        <v>0.6627</v>
      </c>
      <c r="K1826" s="1">
        <v>3502.0</v>
      </c>
    </row>
    <row r="1827">
      <c r="A1827" s="1" t="s">
        <v>24</v>
      </c>
      <c r="B1827" s="1" t="s">
        <v>180</v>
      </c>
      <c r="C1827" s="1" t="s">
        <v>1210</v>
      </c>
      <c r="D1827" s="1">
        <v>20.0</v>
      </c>
      <c r="E1827" s="1">
        <v>11540.0</v>
      </c>
      <c r="F1827" s="1">
        <v>5728.0</v>
      </c>
      <c r="G1827" s="1">
        <v>8061.0</v>
      </c>
      <c r="H1827" s="1">
        <v>1.4316</v>
      </c>
      <c r="I1827" s="1">
        <v>0.7106</v>
      </c>
      <c r="J1827" s="1">
        <v>0.721</v>
      </c>
      <c r="K1827" s="1">
        <v>3312.0</v>
      </c>
    </row>
    <row r="1828">
      <c r="A1828" s="1" t="s">
        <v>24</v>
      </c>
      <c r="B1828" s="1" t="s">
        <v>180</v>
      </c>
      <c r="C1828" s="1" t="s">
        <v>1210</v>
      </c>
      <c r="D1828" s="1">
        <v>21.0</v>
      </c>
      <c r="E1828" s="1">
        <v>11630.0</v>
      </c>
      <c r="F1828" s="1">
        <v>6359.0</v>
      </c>
      <c r="G1828" s="1">
        <v>8061.0</v>
      </c>
      <c r="H1828" s="1">
        <v>1.4427</v>
      </c>
      <c r="I1828" s="1">
        <v>0.7889</v>
      </c>
      <c r="J1828" s="1">
        <v>0.6539</v>
      </c>
      <c r="K1828" s="1">
        <v>3296.0</v>
      </c>
    </row>
    <row r="1829">
      <c r="A1829" s="1" t="s">
        <v>24</v>
      </c>
      <c r="B1829" s="1" t="s">
        <v>180</v>
      </c>
      <c r="C1829" s="1" t="s">
        <v>1211</v>
      </c>
      <c r="D1829" s="1">
        <v>1.0</v>
      </c>
      <c r="E1829" s="1">
        <v>27625.0</v>
      </c>
      <c r="F1829" s="1">
        <v>13376.0</v>
      </c>
      <c r="G1829" s="1">
        <v>8681.0</v>
      </c>
      <c r="H1829" s="1">
        <v>3.1822</v>
      </c>
      <c r="I1829" s="1">
        <v>1.5408</v>
      </c>
      <c r="J1829" s="1">
        <v>1.6414</v>
      </c>
      <c r="K1829" s="1">
        <v>2110.0</v>
      </c>
    </row>
    <row r="1830">
      <c r="A1830" s="1" t="s">
        <v>24</v>
      </c>
      <c r="B1830" s="1" t="s">
        <v>180</v>
      </c>
      <c r="C1830" s="1" t="s">
        <v>1211</v>
      </c>
      <c r="D1830" s="1">
        <v>2.0</v>
      </c>
      <c r="E1830" s="1">
        <v>24270.0</v>
      </c>
      <c r="F1830" s="1">
        <v>12251.0</v>
      </c>
      <c r="G1830" s="1">
        <v>8681.0</v>
      </c>
      <c r="H1830" s="1">
        <v>2.7958</v>
      </c>
      <c r="I1830" s="1">
        <v>1.4112</v>
      </c>
      <c r="J1830" s="1">
        <v>1.3845</v>
      </c>
      <c r="K1830" s="1">
        <v>2190.0</v>
      </c>
    </row>
    <row r="1831">
      <c r="A1831" s="1" t="s">
        <v>24</v>
      </c>
      <c r="B1831" s="1" t="s">
        <v>180</v>
      </c>
      <c r="C1831" s="1" t="s">
        <v>1211</v>
      </c>
      <c r="D1831" s="1">
        <v>3.0</v>
      </c>
      <c r="E1831" s="1">
        <v>20215.0</v>
      </c>
      <c r="F1831" s="1">
        <v>10031.0</v>
      </c>
      <c r="G1831" s="1">
        <v>8681.0</v>
      </c>
      <c r="H1831" s="1">
        <v>2.3286</v>
      </c>
      <c r="I1831" s="1">
        <v>1.1555</v>
      </c>
      <c r="J1831" s="1">
        <v>1.1731</v>
      </c>
      <c r="K1831" s="1">
        <v>2312.0</v>
      </c>
    </row>
    <row r="1832">
      <c r="A1832" s="1" t="s">
        <v>24</v>
      </c>
      <c r="B1832" s="1" t="s">
        <v>180</v>
      </c>
      <c r="C1832" s="1" t="s">
        <v>1211</v>
      </c>
      <c r="D1832" s="1">
        <v>4.0</v>
      </c>
      <c r="E1832" s="1">
        <v>18665.0</v>
      </c>
      <c r="F1832" s="1">
        <v>8864.0</v>
      </c>
      <c r="G1832" s="1">
        <v>8681.0</v>
      </c>
      <c r="H1832" s="1">
        <v>2.1501</v>
      </c>
      <c r="I1832" s="1">
        <v>1.0211</v>
      </c>
      <c r="J1832" s="1">
        <v>1.129</v>
      </c>
      <c r="K1832" s="1">
        <v>2314.0</v>
      </c>
    </row>
    <row r="1833">
      <c r="A1833" s="1" t="s">
        <v>24</v>
      </c>
      <c r="B1833" s="1" t="s">
        <v>180</v>
      </c>
      <c r="C1833" s="1" t="s">
        <v>1211</v>
      </c>
      <c r="D1833" s="1">
        <v>5.0</v>
      </c>
      <c r="E1833" s="1">
        <v>30185.0</v>
      </c>
      <c r="F1833" s="1">
        <v>16309.0</v>
      </c>
      <c r="G1833" s="1">
        <v>8681.0</v>
      </c>
      <c r="H1833" s="1">
        <v>3.4771</v>
      </c>
      <c r="I1833" s="1">
        <v>1.8787</v>
      </c>
      <c r="J1833" s="1">
        <v>1.5984</v>
      </c>
      <c r="K1833" s="1">
        <v>2330.0</v>
      </c>
    </row>
    <row r="1834">
      <c r="A1834" s="1" t="s">
        <v>24</v>
      </c>
      <c r="B1834" s="1" t="s">
        <v>180</v>
      </c>
      <c r="C1834" s="1" t="s">
        <v>1211</v>
      </c>
      <c r="D1834" s="1">
        <v>6.0</v>
      </c>
      <c r="E1834" s="1">
        <v>22735.0</v>
      </c>
      <c r="F1834" s="1">
        <v>12864.0</v>
      </c>
      <c r="G1834" s="1">
        <v>8681.0</v>
      </c>
      <c r="H1834" s="1">
        <v>2.6189</v>
      </c>
      <c r="I1834" s="1">
        <v>1.4819</v>
      </c>
      <c r="J1834" s="1">
        <v>1.1371</v>
      </c>
      <c r="K1834" s="1">
        <v>2338.0</v>
      </c>
    </row>
    <row r="1835">
      <c r="A1835" s="1" t="s">
        <v>24</v>
      </c>
      <c r="B1835" s="1" t="s">
        <v>180</v>
      </c>
      <c r="C1835" s="1" t="s">
        <v>1211</v>
      </c>
      <c r="D1835" s="1">
        <v>7.0</v>
      </c>
      <c r="E1835" s="1">
        <v>23210.0</v>
      </c>
      <c r="F1835" s="1">
        <v>12641.0</v>
      </c>
      <c r="G1835" s="1">
        <v>8681.0</v>
      </c>
      <c r="H1835" s="1">
        <v>2.6737</v>
      </c>
      <c r="I1835" s="1">
        <v>1.4562</v>
      </c>
      <c r="J1835" s="1">
        <v>1.2175</v>
      </c>
      <c r="K1835" s="1">
        <v>2434.0</v>
      </c>
    </row>
    <row r="1836">
      <c r="A1836" s="1" t="s">
        <v>24</v>
      </c>
      <c r="B1836" s="1" t="s">
        <v>180</v>
      </c>
      <c r="C1836" s="1" t="s">
        <v>1211</v>
      </c>
      <c r="D1836" s="1">
        <v>8.0</v>
      </c>
      <c r="E1836" s="1">
        <v>34095.0</v>
      </c>
      <c r="F1836" s="1">
        <v>16210.0</v>
      </c>
      <c r="G1836" s="1">
        <v>8681.0</v>
      </c>
      <c r="H1836" s="1">
        <v>3.9275</v>
      </c>
      <c r="I1836" s="1">
        <v>1.8673</v>
      </c>
      <c r="J1836" s="1">
        <v>2.0602</v>
      </c>
      <c r="K1836" s="1">
        <v>2628.0</v>
      </c>
    </row>
    <row r="1837">
      <c r="A1837" s="1" t="s">
        <v>24</v>
      </c>
      <c r="B1837" s="1" t="s">
        <v>180</v>
      </c>
      <c r="C1837" s="1" t="s">
        <v>1211</v>
      </c>
      <c r="D1837" s="1">
        <v>9.0</v>
      </c>
      <c r="E1837" s="1">
        <v>28480.0</v>
      </c>
      <c r="F1837" s="1">
        <v>13969.0</v>
      </c>
      <c r="G1837" s="1">
        <v>8681.0</v>
      </c>
      <c r="H1837" s="1">
        <v>3.2807</v>
      </c>
      <c r="I1837" s="1">
        <v>1.6091</v>
      </c>
      <c r="J1837" s="1">
        <v>1.6716</v>
      </c>
      <c r="K1837" s="1">
        <v>2626.0</v>
      </c>
    </row>
    <row r="1838">
      <c r="A1838" s="1" t="s">
        <v>24</v>
      </c>
      <c r="B1838" s="1" t="s">
        <v>180</v>
      </c>
      <c r="C1838" s="1" t="s">
        <v>1211</v>
      </c>
      <c r="D1838" s="1">
        <v>10.0</v>
      </c>
      <c r="E1838" s="1">
        <v>22580.0</v>
      </c>
      <c r="F1838" s="1">
        <v>11041.0</v>
      </c>
      <c r="G1838" s="1">
        <v>8681.0</v>
      </c>
      <c r="H1838" s="1">
        <v>2.6011</v>
      </c>
      <c r="I1838" s="1">
        <v>1.2719</v>
      </c>
      <c r="J1838" s="1">
        <v>1.3292</v>
      </c>
      <c r="K1838" s="1">
        <v>2688.0</v>
      </c>
    </row>
    <row r="1839">
      <c r="A1839" s="1" t="s">
        <v>24</v>
      </c>
      <c r="B1839" s="1" t="s">
        <v>180</v>
      </c>
      <c r="C1839" s="1" t="s">
        <v>1211</v>
      </c>
      <c r="D1839" s="1">
        <v>11.0</v>
      </c>
      <c r="E1839" s="1">
        <v>20885.0</v>
      </c>
      <c r="F1839" s="1">
        <v>10227.0</v>
      </c>
      <c r="G1839" s="1">
        <v>8681.0</v>
      </c>
      <c r="H1839" s="1">
        <v>2.4058</v>
      </c>
      <c r="I1839" s="1">
        <v>1.1781</v>
      </c>
      <c r="J1839" s="1">
        <v>1.2277</v>
      </c>
      <c r="K1839" s="1">
        <v>2784.0</v>
      </c>
    </row>
    <row r="1840">
      <c r="A1840" s="1" t="s">
        <v>24</v>
      </c>
      <c r="B1840" s="1" t="s">
        <v>180</v>
      </c>
      <c r="C1840" s="1" t="s">
        <v>1211</v>
      </c>
      <c r="D1840" s="1">
        <v>12.0</v>
      </c>
      <c r="E1840" s="1">
        <v>31850.0</v>
      </c>
      <c r="F1840" s="1">
        <v>17910.0</v>
      </c>
      <c r="G1840" s="1">
        <v>8681.0</v>
      </c>
      <c r="H1840" s="1">
        <v>3.6689</v>
      </c>
      <c r="I1840" s="1">
        <v>2.0631</v>
      </c>
      <c r="J1840" s="1">
        <v>1.6058</v>
      </c>
      <c r="K1840" s="1">
        <v>2877.0</v>
      </c>
    </row>
    <row r="1841">
      <c r="A1841" s="1" t="s">
        <v>24</v>
      </c>
      <c r="B1841" s="1" t="s">
        <v>180</v>
      </c>
      <c r="C1841" s="1" t="s">
        <v>1211</v>
      </c>
      <c r="D1841" s="1">
        <v>13.0</v>
      </c>
      <c r="E1841" s="1">
        <v>30840.0</v>
      </c>
      <c r="F1841" s="1">
        <v>16436.0</v>
      </c>
      <c r="G1841" s="1">
        <v>8681.0</v>
      </c>
      <c r="H1841" s="1">
        <v>3.5526</v>
      </c>
      <c r="I1841" s="1">
        <v>1.8933</v>
      </c>
      <c r="J1841" s="1">
        <v>1.6593</v>
      </c>
      <c r="K1841" s="1">
        <v>3082.0</v>
      </c>
    </row>
    <row r="1842">
      <c r="A1842" s="1" t="s">
        <v>24</v>
      </c>
      <c r="B1842" s="1" t="s">
        <v>180</v>
      </c>
      <c r="C1842" s="1" t="s">
        <v>1211</v>
      </c>
      <c r="D1842" s="1">
        <v>14.0</v>
      </c>
      <c r="E1842" s="1">
        <v>28845.0</v>
      </c>
      <c r="F1842" s="1">
        <v>15242.0</v>
      </c>
      <c r="G1842" s="1">
        <v>8681.0</v>
      </c>
      <c r="H1842" s="1">
        <v>3.3228</v>
      </c>
      <c r="I1842" s="1">
        <v>1.7558</v>
      </c>
      <c r="J1842" s="1">
        <v>1.567</v>
      </c>
      <c r="K1842" s="1">
        <v>3182.0</v>
      </c>
    </row>
    <row r="1843">
      <c r="A1843" s="1" t="s">
        <v>24</v>
      </c>
      <c r="B1843" s="1" t="s">
        <v>180</v>
      </c>
      <c r="C1843" s="1" t="s">
        <v>1211</v>
      </c>
      <c r="D1843" s="1">
        <v>15.0</v>
      </c>
      <c r="E1843" s="1">
        <v>49870.0</v>
      </c>
      <c r="F1843" s="1">
        <v>22536.0</v>
      </c>
      <c r="G1843" s="1">
        <v>8681.0</v>
      </c>
      <c r="H1843" s="1">
        <v>5.7447</v>
      </c>
      <c r="I1843" s="1">
        <v>2.596</v>
      </c>
      <c r="J1843" s="1">
        <v>3.1487</v>
      </c>
      <c r="K1843" s="1">
        <v>3439.0</v>
      </c>
    </row>
    <row r="1844">
      <c r="A1844" s="1" t="s">
        <v>24</v>
      </c>
      <c r="B1844" s="1" t="s">
        <v>180</v>
      </c>
      <c r="C1844" s="1" t="s">
        <v>1211</v>
      </c>
      <c r="D1844" s="1">
        <v>16.0</v>
      </c>
      <c r="E1844" s="1">
        <v>36450.0</v>
      </c>
      <c r="F1844" s="1">
        <v>17474.0</v>
      </c>
      <c r="G1844" s="1">
        <v>8681.0</v>
      </c>
      <c r="H1844" s="1">
        <v>4.1988</v>
      </c>
      <c r="I1844" s="1">
        <v>2.0129</v>
      </c>
      <c r="J1844" s="1">
        <v>2.1859</v>
      </c>
      <c r="K1844" s="1">
        <v>3482.0</v>
      </c>
    </row>
    <row r="1845">
      <c r="A1845" s="1" t="s">
        <v>24</v>
      </c>
      <c r="B1845" s="1" t="s">
        <v>180</v>
      </c>
      <c r="C1845" s="1" t="s">
        <v>1211</v>
      </c>
      <c r="D1845" s="1">
        <v>17.0</v>
      </c>
      <c r="E1845" s="1">
        <v>30120.0</v>
      </c>
      <c r="F1845" s="1">
        <v>14220.0</v>
      </c>
      <c r="G1845" s="1">
        <v>8681.0</v>
      </c>
      <c r="H1845" s="1">
        <v>3.4696</v>
      </c>
      <c r="I1845" s="1">
        <v>1.6381</v>
      </c>
      <c r="J1845" s="1">
        <v>1.8316</v>
      </c>
      <c r="K1845" s="1">
        <v>3548.0</v>
      </c>
    </row>
    <row r="1846">
      <c r="A1846" s="1" t="s">
        <v>24</v>
      </c>
      <c r="B1846" s="1" t="s">
        <v>180</v>
      </c>
      <c r="C1846" s="1" t="s">
        <v>1211</v>
      </c>
      <c r="D1846" s="1">
        <v>18.0</v>
      </c>
      <c r="E1846" s="1">
        <v>27950.0</v>
      </c>
      <c r="F1846" s="1">
        <v>12694.0</v>
      </c>
      <c r="G1846" s="1">
        <v>8681.0</v>
      </c>
      <c r="H1846" s="1">
        <v>3.2197</v>
      </c>
      <c r="I1846" s="1">
        <v>1.4623</v>
      </c>
      <c r="J1846" s="1">
        <v>1.7574</v>
      </c>
      <c r="K1846" s="1">
        <v>3641.0</v>
      </c>
    </row>
    <row r="1847">
      <c r="A1847" s="1" t="s">
        <v>24</v>
      </c>
      <c r="B1847" s="1" t="s">
        <v>180</v>
      </c>
      <c r="C1847" s="1" t="s">
        <v>1211</v>
      </c>
      <c r="D1847" s="1">
        <v>19.0</v>
      </c>
      <c r="E1847" s="1">
        <v>25525.0</v>
      </c>
      <c r="F1847" s="1">
        <v>11868.0</v>
      </c>
      <c r="G1847" s="1">
        <v>8681.0</v>
      </c>
      <c r="H1847" s="1">
        <v>2.9403</v>
      </c>
      <c r="I1847" s="1">
        <v>1.3671</v>
      </c>
      <c r="J1847" s="1">
        <v>1.5732</v>
      </c>
      <c r="K1847" s="1">
        <v>3502.0</v>
      </c>
    </row>
    <row r="1848">
      <c r="A1848" s="1" t="s">
        <v>24</v>
      </c>
      <c r="B1848" s="1" t="s">
        <v>180</v>
      </c>
      <c r="C1848" s="1" t="s">
        <v>1211</v>
      </c>
      <c r="D1848" s="1">
        <v>20.0</v>
      </c>
      <c r="E1848" s="1">
        <v>19495.0</v>
      </c>
      <c r="F1848" s="1">
        <v>8975.0</v>
      </c>
      <c r="G1848" s="1">
        <v>8681.0</v>
      </c>
      <c r="H1848" s="1">
        <v>2.2457</v>
      </c>
      <c r="I1848" s="1">
        <v>1.0339</v>
      </c>
      <c r="J1848" s="1">
        <v>1.2118</v>
      </c>
      <c r="K1848" s="1">
        <v>3312.0</v>
      </c>
    </row>
    <row r="1849">
      <c r="A1849" s="1" t="s">
        <v>24</v>
      </c>
      <c r="B1849" s="1" t="s">
        <v>180</v>
      </c>
      <c r="C1849" s="1" t="s">
        <v>1211</v>
      </c>
      <c r="D1849" s="1">
        <v>21.0</v>
      </c>
      <c r="E1849" s="1">
        <v>19315.0</v>
      </c>
      <c r="F1849" s="1">
        <v>8598.0</v>
      </c>
      <c r="G1849" s="1">
        <v>8681.0</v>
      </c>
      <c r="H1849" s="1">
        <v>2.225</v>
      </c>
      <c r="I1849" s="1">
        <v>0.9904</v>
      </c>
      <c r="J1849" s="1">
        <v>1.2345</v>
      </c>
      <c r="K1849" s="1">
        <v>3296.0</v>
      </c>
    </row>
    <row r="1850">
      <c r="A1850" s="1" t="s">
        <v>24</v>
      </c>
      <c r="B1850" s="1" t="s">
        <v>180</v>
      </c>
      <c r="C1850" s="1" t="s">
        <v>55</v>
      </c>
      <c r="D1850" s="1">
        <v>1.0</v>
      </c>
      <c r="E1850" s="1">
        <v>765380.0</v>
      </c>
      <c r="F1850" s="1">
        <v>0.0</v>
      </c>
      <c r="G1850" s="1">
        <v>10426.0</v>
      </c>
      <c r="H1850" s="1">
        <v>73.4107</v>
      </c>
      <c r="I1850" s="1">
        <v>0.0</v>
      </c>
      <c r="J1850" s="1">
        <v>73.4107</v>
      </c>
      <c r="K1850" s="1">
        <v>2110.0</v>
      </c>
    </row>
    <row r="1851">
      <c r="A1851" s="1" t="s">
        <v>24</v>
      </c>
      <c r="B1851" s="1" t="s">
        <v>180</v>
      </c>
      <c r="C1851" s="1" t="s">
        <v>55</v>
      </c>
      <c r="D1851" s="1">
        <v>2.0</v>
      </c>
      <c r="E1851" s="1">
        <v>713133.0</v>
      </c>
      <c r="F1851" s="1">
        <v>0.0</v>
      </c>
      <c r="G1851" s="1">
        <v>10426.0</v>
      </c>
      <c r="H1851" s="1">
        <v>68.3995</v>
      </c>
      <c r="I1851" s="1">
        <v>0.0</v>
      </c>
      <c r="J1851" s="1">
        <v>68.3995</v>
      </c>
      <c r="K1851" s="1">
        <v>2190.0</v>
      </c>
    </row>
    <row r="1852">
      <c r="A1852" s="1" t="s">
        <v>24</v>
      </c>
      <c r="B1852" s="1" t="s">
        <v>180</v>
      </c>
      <c r="C1852" s="1" t="s">
        <v>55</v>
      </c>
      <c r="D1852" s="1">
        <v>3.0</v>
      </c>
      <c r="E1852" s="1">
        <v>781086.0</v>
      </c>
      <c r="F1852" s="1">
        <v>91.0</v>
      </c>
      <c r="G1852" s="1">
        <v>10426.0</v>
      </c>
      <c r="H1852" s="1">
        <v>74.9171</v>
      </c>
      <c r="I1852" s="1">
        <v>0.0087</v>
      </c>
      <c r="J1852" s="1">
        <v>74.9084</v>
      </c>
      <c r="K1852" s="1">
        <v>2312.0</v>
      </c>
    </row>
    <row r="1853">
      <c r="A1853" s="1" t="s">
        <v>24</v>
      </c>
      <c r="B1853" s="1" t="s">
        <v>180</v>
      </c>
      <c r="C1853" s="1" t="s">
        <v>55</v>
      </c>
      <c r="D1853" s="1">
        <v>4.0</v>
      </c>
      <c r="E1853" s="1">
        <v>717270.0</v>
      </c>
      <c r="F1853" s="1">
        <v>1.0</v>
      </c>
      <c r="G1853" s="1">
        <v>10426.0</v>
      </c>
      <c r="H1853" s="1">
        <v>68.7963</v>
      </c>
      <c r="I1853" s="1">
        <v>1.0E-4</v>
      </c>
      <c r="J1853" s="1">
        <v>68.7962</v>
      </c>
      <c r="K1853" s="1">
        <v>2314.0</v>
      </c>
    </row>
    <row r="1854">
      <c r="A1854" s="1" t="s">
        <v>24</v>
      </c>
      <c r="B1854" s="1" t="s">
        <v>180</v>
      </c>
      <c r="C1854" s="1" t="s">
        <v>55</v>
      </c>
      <c r="D1854" s="1">
        <v>5.0</v>
      </c>
      <c r="E1854" s="1">
        <v>665782.0</v>
      </c>
      <c r="F1854" s="1">
        <v>13.0</v>
      </c>
      <c r="G1854" s="1">
        <v>10426.0</v>
      </c>
      <c r="H1854" s="1">
        <v>63.8579</v>
      </c>
      <c r="I1854" s="1">
        <v>0.0012</v>
      </c>
      <c r="J1854" s="1">
        <v>63.8566</v>
      </c>
      <c r="K1854" s="1">
        <v>2330.0</v>
      </c>
    </row>
    <row r="1855">
      <c r="A1855" s="1" t="s">
        <v>24</v>
      </c>
      <c r="B1855" s="1" t="s">
        <v>180</v>
      </c>
      <c r="C1855" s="1" t="s">
        <v>55</v>
      </c>
      <c r="D1855" s="1">
        <v>6.0</v>
      </c>
      <c r="E1855" s="1">
        <v>593335.0</v>
      </c>
      <c r="F1855" s="1">
        <v>0.0</v>
      </c>
      <c r="G1855" s="1">
        <v>10426.0</v>
      </c>
      <c r="H1855" s="1">
        <v>56.9092</v>
      </c>
      <c r="I1855" s="1">
        <v>0.0</v>
      </c>
      <c r="J1855" s="1">
        <v>56.9092</v>
      </c>
      <c r="K1855" s="1">
        <v>2338.0</v>
      </c>
    </row>
    <row r="1856">
      <c r="A1856" s="1" t="s">
        <v>24</v>
      </c>
      <c r="B1856" s="1" t="s">
        <v>180</v>
      </c>
      <c r="C1856" s="1" t="s">
        <v>55</v>
      </c>
      <c r="D1856" s="1">
        <v>7.0</v>
      </c>
      <c r="E1856" s="1">
        <v>618250.0</v>
      </c>
      <c r="F1856" s="1">
        <v>0.0</v>
      </c>
      <c r="G1856" s="1">
        <v>10426.0</v>
      </c>
      <c r="H1856" s="1">
        <v>59.2989</v>
      </c>
      <c r="I1856" s="1">
        <v>0.0</v>
      </c>
      <c r="J1856" s="1">
        <v>59.2989</v>
      </c>
      <c r="K1856" s="1">
        <v>2434.0</v>
      </c>
    </row>
    <row r="1857">
      <c r="A1857" s="1" t="s">
        <v>24</v>
      </c>
      <c r="B1857" s="1" t="s">
        <v>180</v>
      </c>
      <c r="C1857" s="1" t="s">
        <v>55</v>
      </c>
      <c r="D1857" s="1">
        <v>8.0</v>
      </c>
      <c r="E1857" s="1">
        <v>842252.0</v>
      </c>
      <c r="F1857" s="1">
        <v>0.0</v>
      </c>
      <c r="G1857" s="1">
        <v>10426.0</v>
      </c>
      <c r="H1857" s="1">
        <v>80.7838</v>
      </c>
      <c r="I1857" s="1">
        <v>0.0</v>
      </c>
      <c r="J1857" s="1">
        <v>80.7838</v>
      </c>
      <c r="K1857" s="1">
        <v>2628.0</v>
      </c>
    </row>
    <row r="1858">
      <c r="A1858" s="1" t="s">
        <v>24</v>
      </c>
      <c r="B1858" s="1" t="s">
        <v>180</v>
      </c>
      <c r="C1858" s="1" t="s">
        <v>55</v>
      </c>
      <c r="D1858" s="1">
        <v>9.0</v>
      </c>
      <c r="E1858" s="1">
        <v>785520.0</v>
      </c>
      <c r="F1858" s="1">
        <v>19.0</v>
      </c>
      <c r="G1858" s="1">
        <v>10426.0</v>
      </c>
      <c r="H1858" s="1">
        <v>75.3424</v>
      </c>
      <c r="I1858" s="1">
        <v>0.0018</v>
      </c>
      <c r="J1858" s="1">
        <v>75.3406</v>
      </c>
      <c r="K1858" s="1">
        <v>2626.0</v>
      </c>
    </row>
    <row r="1859">
      <c r="A1859" s="1" t="s">
        <v>24</v>
      </c>
      <c r="B1859" s="1" t="s">
        <v>180</v>
      </c>
      <c r="C1859" s="1" t="s">
        <v>55</v>
      </c>
      <c r="D1859" s="1">
        <v>10.0</v>
      </c>
      <c r="E1859" s="1">
        <v>768740.0</v>
      </c>
      <c r="F1859" s="1">
        <v>0.0</v>
      </c>
      <c r="G1859" s="1">
        <v>10426.0</v>
      </c>
      <c r="H1859" s="1">
        <v>73.733</v>
      </c>
      <c r="I1859" s="1">
        <v>0.0</v>
      </c>
      <c r="J1859" s="1">
        <v>73.733</v>
      </c>
      <c r="K1859" s="1">
        <v>2688.0</v>
      </c>
    </row>
    <row r="1860">
      <c r="A1860" s="1" t="s">
        <v>24</v>
      </c>
      <c r="B1860" s="1" t="s">
        <v>180</v>
      </c>
      <c r="C1860" s="1" t="s">
        <v>55</v>
      </c>
      <c r="D1860" s="1">
        <v>11.0</v>
      </c>
      <c r="E1860" s="1">
        <v>725825.0</v>
      </c>
      <c r="F1860" s="1">
        <v>0.0</v>
      </c>
      <c r="G1860" s="1">
        <v>10426.0</v>
      </c>
      <c r="H1860" s="1">
        <v>69.6168</v>
      </c>
      <c r="I1860" s="1">
        <v>0.0</v>
      </c>
      <c r="J1860" s="1">
        <v>69.6168</v>
      </c>
      <c r="K1860" s="1">
        <v>2784.0</v>
      </c>
    </row>
    <row r="1861">
      <c r="A1861" s="1" t="s">
        <v>24</v>
      </c>
      <c r="B1861" s="1" t="s">
        <v>180</v>
      </c>
      <c r="C1861" s="1" t="s">
        <v>55</v>
      </c>
      <c r="D1861" s="1">
        <v>12.0</v>
      </c>
      <c r="E1861" s="1">
        <v>736830.0</v>
      </c>
      <c r="F1861" s="1">
        <v>0.0</v>
      </c>
      <c r="G1861" s="1">
        <v>10426.0</v>
      </c>
      <c r="H1861" s="1">
        <v>70.6724</v>
      </c>
      <c r="I1861" s="1">
        <v>0.0</v>
      </c>
      <c r="J1861" s="1">
        <v>70.6724</v>
      </c>
      <c r="K1861" s="1">
        <v>2877.0</v>
      </c>
    </row>
    <row r="1862">
      <c r="A1862" s="1" t="s">
        <v>24</v>
      </c>
      <c r="B1862" s="1" t="s">
        <v>180</v>
      </c>
      <c r="C1862" s="1" t="s">
        <v>55</v>
      </c>
      <c r="D1862" s="1">
        <v>13.0</v>
      </c>
      <c r="E1862" s="1">
        <v>750165.0</v>
      </c>
      <c r="F1862" s="1">
        <v>58.0</v>
      </c>
      <c r="G1862" s="1">
        <v>10426.0</v>
      </c>
      <c r="H1862" s="1">
        <v>71.9514</v>
      </c>
      <c r="I1862" s="1">
        <v>0.0056</v>
      </c>
      <c r="J1862" s="1">
        <v>71.9458</v>
      </c>
      <c r="K1862" s="1">
        <v>3082.0</v>
      </c>
    </row>
    <row r="1863">
      <c r="A1863" s="1" t="s">
        <v>24</v>
      </c>
      <c r="B1863" s="1" t="s">
        <v>180</v>
      </c>
      <c r="C1863" s="1" t="s">
        <v>55</v>
      </c>
      <c r="D1863" s="1">
        <v>14.0</v>
      </c>
      <c r="E1863" s="1">
        <v>770710.0</v>
      </c>
      <c r="F1863" s="1">
        <v>0.0</v>
      </c>
      <c r="G1863" s="1">
        <v>10426.0</v>
      </c>
      <c r="H1863" s="1">
        <v>73.9219</v>
      </c>
      <c r="I1863" s="1">
        <v>0.0</v>
      </c>
      <c r="J1863" s="1">
        <v>73.9219</v>
      </c>
      <c r="K1863" s="1">
        <v>3182.0</v>
      </c>
    </row>
    <row r="1864">
      <c r="A1864" s="1" t="s">
        <v>24</v>
      </c>
      <c r="B1864" s="1" t="s">
        <v>180</v>
      </c>
      <c r="C1864" s="1" t="s">
        <v>55</v>
      </c>
      <c r="D1864" s="1">
        <v>15.0</v>
      </c>
      <c r="E1864" s="1">
        <v>1088364.0</v>
      </c>
      <c r="F1864" s="1">
        <v>0.0</v>
      </c>
      <c r="G1864" s="1">
        <v>10426.0</v>
      </c>
      <c r="H1864" s="1">
        <v>104.3894</v>
      </c>
      <c r="I1864" s="1">
        <v>0.0</v>
      </c>
      <c r="J1864" s="1">
        <v>104.3894</v>
      </c>
      <c r="K1864" s="1">
        <v>3439.0</v>
      </c>
    </row>
    <row r="1865">
      <c r="A1865" s="1" t="s">
        <v>24</v>
      </c>
      <c r="B1865" s="1" t="s">
        <v>180</v>
      </c>
      <c r="C1865" s="1" t="s">
        <v>55</v>
      </c>
      <c r="D1865" s="1">
        <v>16.0</v>
      </c>
      <c r="E1865" s="1">
        <v>940598.0</v>
      </c>
      <c r="F1865" s="1">
        <v>0.0</v>
      </c>
      <c r="G1865" s="1">
        <v>10426.0</v>
      </c>
      <c r="H1865" s="1">
        <v>90.2166</v>
      </c>
      <c r="I1865" s="1">
        <v>0.0</v>
      </c>
      <c r="J1865" s="1">
        <v>90.2166</v>
      </c>
      <c r="K1865" s="1">
        <v>3482.0</v>
      </c>
    </row>
    <row r="1866">
      <c r="A1866" s="1" t="s">
        <v>24</v>
      </c>
      <c r="B1866" s="1" t="s">
        <v>180</v>
      </c>
      <c r="C1866" s="1" t="s">
        <v>55</v>
      </c>
      <c r="D1866" s="1">
        <v>17.0</v>
      </c>
      <c r="E1866" s="1">
        <v>879085.0</v>
      </c>
      <c r="F1866" s="1">
        <v>0.0</v>
      </c>
      <c r="G1866" s="1">
        <v>10426.0</v>
      </c>
      <c r="H1866" s="1">
        <v>84.3166</v>
      </c>
      <c r="I1866" s="1">
        <v>0.0</v>
      </c>
      <c r="J1866" s="1">
        <v>84.3166</v>
      </c>
      <c r="K1866" s="1">
        <v>3548.0</v>
      </c>
    </row>
    <row r="1867">
      <c r="A1867" s="1" t="s">
        <v>24</v>
      </c>
      <c r="B1867" s="1" t="s">
        <v>180</v>
      </c>
      <c r="C1867" s="1" t="s">
        <v>55</v>
      </c>
      <c r="D1867" s="1">
        <v>18.0</v>
      </c>
      <c r="E1867" s="1">
        <v>849415.0</v>
      </c>
      <c r="F1867" s="1">
        <v>33.0</v>
      </c>
      <c r="G1867" s="1">
        <v>10426.0</v>
      </c>
      <c r="H1867" s="1">
        <v>81.4708</v>
      </c>
      <c r="I1867" s="1">
        <v>0.0032</v>
      </c>
      <c r="J1867" s="1">
        <v>81.4677</v>
      </c>
      <c r="K1867" s="1">
        <v>3641.0</v>
      </c>
    </row>
    <row r="1868">
      <c r="A1868" s="1" t="s">
        <v>24</v>
      </c>
      <c r="B1868" s="1" t="s">
        <v>180</v>
      </c>
      <c r="C1868" s="1" t="s">
        <v>55</v>
      </c>
      <c r="D1868" s="1">
        <v>19.0</v>
      </c>
      <c r="E1868" s="1">
        <v>811915.0</v>
      </c>
      <c r="F1868" s="1">
        <v>0.0</v>
      </c>
      <c r="G1868" s="1">
        <v>10426.0</v>
      </c>
      <c r="H1868" s="1">
        <v>77.8741</v>
      </c>
      <c r="I1868" s="1">
        <v>0.0</v>
      </c>
      <c r="J1868" s="1">
        <v>77.8741</v>
      </c>
      <c r="K1868" s="1">
        <v>3502.0</v>
      </c>
    </row>
    <row r="1869">
      <c r="A1869" s="1" t="s">
        <v>24</v>
      </c>
      <c r="B1869" s="1" t="s">
        <v>180</v>
      </c>
      <c r="C1869" s="1" t="s">
        <v>55</v>
      </c>
      <c r="D1869" s="1">
        <v>20.0</v>
      </c>
      <c r="E1869" s="1">
        <v>664946.0</v>
      </c>
      <c r="F1869" s="1">
        <v>0.0</v>
      </c>
      <c r="G1869" s="1">
        <v>10426.0</v>
      </c>
      <c r="H1869" s="1">
        <v>63.7777</v>
      </c>
      <c r="I1869" s="1">
        <v>0.0</v>
      </c>
      <c r="J1869" s="1">
        <v>63.7777</v>
      </c>
      <c r="K1869" s="1">
        <v>3312.0</v>
      </c>
    </row>
    <row r="1870">
      <c r="A1870" s="1" t="s">
        <v>24</v>
      </c>
      <c r="B1870" s="1" t="s">
        <v>180</v>
      </c>
      <c r="C1870" s="1" t="s">
        <v>55</v>
      </c>
      <c r="D1870" s="1">
        <v>21.0</v>
      </c>
      <c r="E1870" s="1">
        <v>667705.0</v>
      </c>
      <c r="F1870" s="1">
        <v>3.0</v>
      </c>
      <c r="G1870" s="1">
        <v>10426.0</v>
      </c>
      <c r="H1870" s="1">
        <v>64.0423</v>
      </c>
      <c r="I1870" s="1">
        <v>3.0E-4</v>
      </c>
      <c r="J1870" s="1">
        <v>64.042</v>
      </c>
      <c r="K1870" s="1">
        <v>3296.0</v>
      </c>
    </row>
    <row r="1871">
      <c r="A1871" s="1" t="s">
        <v>24</v>
      </c>
      <c r="B1871" s="1" t="s">
        <v>180</v>
      </c>
      <c r="C1871" s="1" t="s">
        <v>46</v>
      </c>
      <c r="D1871" s="1">
        <v>1.0</v>
      </c>
      <c r="E1871" s="1">
        <v>899610.0</v>
      </c>
      <c r="F1871" s="1">
        <v>0.0</v>
      </c>
      <c r="G1871" s="1">
        <v>10229.0</v>
      </c>
      <c r="H1871" s="1">
        <v>87.947</v>
      </c>
      <c r="I1871" s="1">
        <v>0.0</v>
      </c>
      <c r="J1871" s="1">
        <v>87.947</v>
      </c>
      <c r="K1871" s="1">
        <v>2110.0</v>
      </c>
    </row>
    <row r="1872">
      <c r="A1872" s="1" t="s">
        <v>24</v>
      </c>
      <c r="B1872" s="1" t="s">
        <v>180</v>
      </c>
      <c r="C1872" s="1" t="s">
        <v>46</v>
      </c>
      <c r="D1872" s="1">
        <v>2.0</v>
      </c>
      <c r="E1872" s="1">
        <v>854787.0</v>
      </c>
      <c r="F1872" s="1">
        <v>0.0</v>
      </c>
      <c r="G1872" s="1">
        <v>10229.0</v>
      </c>
      <c r="H1872" s="1">
        <v>83.5651</v>
      </c>
      <c r="I1872" s="1">
        <v>0.0</v>
      </c>
      <c r="J1872" s="1">
        <v>83.5651</v>
      </c>
      <c r="K1872" s="1">
        <v>2190.0</v>
      </c>
    </row>
    <row r="1873">
      <c r="A1873" s="1" t="s">
        <v>24</v>
      </c>
      <c r="B1873" s="1" t="s">
        <v>180</v>
      </c>
      <c r="C1873" s="1" t="s">
        <v>46</v>
      </c>
      <c r="D1873" s="1">
        <v>3.0</v>
      </c>
      <c r="E1873" s="1">
        <v>710132.0</v>
      </c>
      <c r="F1873" s="1">
        <v>0.0</v>
      </c>
      <c r="G1873" s="1">
        <v>10229.0</v>
      </c>
      <c r="H1873" s="1">
        <v>69.4234</v>
      </c>
      <c r="I1873" s="1">
        <v>0.0</v>
      </c>
      <c r="J1873" s="1">
        <v>69.4234</v>
      </c>
      <c r="K1873" s="1">
        <v>2312.0</v>
      </c>
    </row>
    <row r="1874">
      <c r="A1874" s="1" t="s">
        <v>24</v>
      </c>
      <c r="B1874" s="1" t="s">
        <v>180</v>
      </c>
      <c r="C1874" s="1" t="s">
        <v>46</v>
      </c>
      <c r="D1874" s="1">
        <v>4.0</v>
      </c>
      <c r="E1874" s="1">
        <v>1093225.0</v>
      </c>
      <c r="F1874" s="1">
        <v>0.0</v>
      </c>
      <c r="G1874" s="1">
        <v>10229.0</v>
      </c>
      <c r="H1874" s="1">
        <v>106.8751</v>
      </c>
      <c r="I1874" s="1">
        <v>0.0</v>
      </c>
      <c r="J1874" s="1">
        <v>106.8751</v>
      </c>
      <c r="K1874" s="1">
        <v>2314.0</v>
      </c>
    </row>
    <row r="1875">
      <c r="A1875" s="1" t="s">
        <v>24</v>
      </c>
      <c r="B1875" s="1" t="s">
        <v>180</v>
      </c>
      <c r="C1875" s="1" t="s">
        <v>46</v>
      </c>
      <c r="D1875" s="1">
        <v>5.0</v>
      </c>
      <c r="E1875" s="1">
        <v>1041920.0</v>
      </c>
      <c r="F1875" s="1">
        <v>0.0</v>
      </c>
      <c r="G1875" s="1">
        <v>10229.0</v>
      </c>
      <c r="H1875" s="1">
        <v>101.8594</v>
      </c>
      <c r="I1875" s="1">
        <v>0.0</v>
      </c>
      <c r="J1875" s="1">
        <v>101.8594</v>
      </c>
      <c r="K1875" s="1">
        <v>2330.0</v>
      </c>
    </row>
    <row r="1876">
      <c r="A1876" s="1" t="s">
        <v>24</v>
      </c>
      <c r="B1876" s="1" t="s">
        <v>180</v>
      </c>
      <c r="C1876" s="1" t="s">
        <v>46</v>
      </c>
      <c r="D1876" s="1">
        <v>6.0</v>
      </c>
      <c r="E1876" s="1">
        <v>947333.0</v>
      </c>
      <c r="F1876" s="1">
        <v>0.0</v>
      </c>
      <c r="G1876" s="1">
        <v>10229.0</v>
      </c>
      <c r="H1876" s="1">
        <v>92.6125</v>
      </c>
      <c r="I1876" s="1">
        <v>0.0</v>
      </c>
      <c r="J1876" s="1">
        <v>92.6125</v>
      </c>
      <c r="K1876" s="1">
        <v>2338.0</v>
      </c>
    </row>
    <row r="1877">
      <c r="A1877" s="1" t="s">
        <v>24</v>
      </c>
      <c r="B1877" s="1" t="s">
        <v>180</v>
      </c>
      <c r="C1877" s="1" t="s">
        <v>46</v>
      </c>
      <c r="D1877" s="1">
        <v>7.0</v>
      </c>
      <c r="E1877" s="1">
        <v>969015.0</v>
      </c>
      <c r="F1877" s="1">
        <v>0.0</v>
      </c>
      <c r="G1877" s="1">
        <v>10229.0</v>
      </c>
      <c r="H1877" s="1">
        <v>94.7321</v>
      </c>
      <c r="I1877" s="1">
        <v>0.0</v>
      </c>
      <c r="J1877" s="1">
        <v>94.7321</v>
      </c>
      <c r="K1877" s="1">
        <v>2434.0</v>
      </c>
    </row>
    <row r="1878">
      <c r="A1878" s="1" t="s">
        <v>24</v>
      </c>
      <c r="B1878" s="1" t="s">
        <v>180</v>
      </c>
      <c r="C1878" s="1" t="s">
        <v>46</v>
      </c>
      <c r="D1878" s="1">
        <v>8.0</v>
      </c>
      <c r="E1878" s="1">
        <v>1376063.0</v>
      </c>
      <c r="F1878" s="1">
        <v>0.0</v>
      </c>
      <c r="G1878" s="1">
        <v>10229.0</v>
      </c>
      <c r="H1878" s="1">
        <v>134.5257</v>
      </c>
      <c r="I1878" s="1">
        <v>0.0</v>
      </c>
      <c r="J1878" s="1">
        <v>134.5257</v>
      </c>
      <c r="K1878" s="1">
        <v>2628.0</v>
      </c>
    </row>
    <row r="1879">
      <c r="A1879" s="1" t="s">
        <v>24</v>
      </c>
      <c r="B1879" s="1" t="s">
        <v>180</v>
      </c>
      <c r="C1879" s="1" t="s">
        <v>46</v>
      </c>
      <c r="D1879" s="1">
        <v>9.0</v>
      </c>
      <c r="E1879" s="1">
        <v>1073967.0</v>
      </c>
      <c r="F1879" s="1">
        <v>0.0</v>
      </c>
      <c r="G1879" s="1">
        <v>10229.0</v>
      </c>
      <c r="H1879" s="1">
        <v>104.9924</v>
      </c>
      <c r="I1879" s="1">
        <v>0.0</v>
      </c>
      <c r="J1879" s="1">
        <v>104.9924</v>
      </c>
      <c r="K1879" s="1">
        <v>2626.0</v>
      </c>
    </row>
    <row r="1880">
      <c r="A1880" s="1" t="s">
        <v>24</v>
      </c>
      <c r="B1880" s="1" t="s">
        <v>180</v>
      </c>
      <c r="C1880" s="1" t="s">
        <v>46</v>
      </c>
      <c r="D1880" s="1">
        <v>10.0</v>
      </c>
      <c r="E1880" s="1">
        <v>1229777.0</v>
      </c>
      <c r="F1880" s="1">
        <v>0.0</v>
      </c>
      <c r="G1880" s="1">
        <v>10229.0</v>
      </c>
      <c r="H1880" s="1">
        <v>120.2246</v>
      </c>
      <c r="I1880" s="1">
        <v>0.0</v>
      </c>
      <c r="J1880" s="1">
        <v>120.2246</v>
      </c>
      <c r="K1880" s="1">
        <v>2688.0</v>
      </c>
    </row>
    <row r="1881">
      <c r="A1881" s="1" t="s">
        <v>24</v>
      </c>
      <c r="B1881" s="1" t="s">
        <v>180</v>
      </c>
      <c r="C1881" s="1" t="s">
        <v>46</v>
      </c>
      <c r="D1881" s="1">
        <v>11.0</v>
      </c>
      <c r="E1881" s="1">
        <v>1347413.0</v>
      </c>
      <c r="F1881" s="1">
        <v>0.0</v>
      </c>
      <c r="G1881" s="1">
        <v>10229.0</v>
      </c>
      <c r="H1881" s="1">
        <v>131.7248</v>
      </c>
      <c r="I1881" s="1">
        <v>0.0</v>
      </c>
      <c r="J1881" s="1">
        <v>131.7248</v>
      </c>
      <c r="K1881" s="1">
        <v>2784.0</v>
      </c>
    </row>
    <row r="1882">
      <c r="A1882" s="1" t="s">
        <v>24</v>
      </c>
      <c r="B1882" s="1" t="s">
        <v>180</v>
      </c>
      <c r="C1882" s="1" t="s">
        <v>46</v>
      </c>
      <c r="D1882" s="1">
        <v>12.0</v>
      </c>
      <c r="E1882" s="1">
        <v>1282616.0</v>
      </c>
      <c r="F1882" s="1">
        <v>0.0</v>
      </c>
      <c r="G1882" s="1">
        <v>10229.0</v>
      </c>
      <c r="H1882" s="1">
        <v>125.3902</v>
      </c>
      <c r="I1882" s="1">
        <v>0.0</v>
      </c>
      <c r="J1882" s="1">
        <v>125.3902</v>
      </c>
      <c r="K1882" s="1">
        <v>2877.0</v>
      </c>
    </row>
    <row r="1883">
      <c r="A1883" s="1" t="s">
        <v>24</v>
      </c>
      <c r="B1883" s="1" t="s">
        <v>180</v>
      </c>
      <c r="C1883" s="1" t="s">
        <v>46</v>
      </c>
      <c r="D1883" s="1">
        <v>13.0</v>
      </c>
      <c r="E1883" s="1">
        <v>1306870.0</v>
      </c>
      <c r="F1883" s="1">
        <v>0.0</v>
      </c>
      <c r="G1883" s="1">
        <v>10229.0</v>
      </c>
      <c r="H1883" s="1">
        <v>127.7613</v>
      </c>
      <c r="I1883" s="1">
        <v>0.0</v>
      </c>
      <c r="J1883" s="1">
        <v>127.7613</v>
      </c>
      <c r="K1883" s="1">
        <v>3082.0</v>
      </c>
    </row>
    <row r="1884">
      <c r="A1884" s="1" t="s">
        <v>24</v>
      </c>
      <c r="B1884" s="1" t="s">
        <v>180</v>
      </c>
      <c r="C1884" s="1" t="s">
        <v>46</v>
      </c>
      <c r="D1884" s="1">
        <v>14.0</v>
      </c>
      <c r="E1884" s="1">
        <v>1366291.0</v>
      </c>
      <c r="F1884" s="1">
        <v>0.0</v>
      </c>
      <c r="G1884" s="1">
        <v>10229.0</v>
      </c>
      <c r="H1884" s="1">
        <v>133.5703</v>
      </c>
      <c r="I1884" s="1">
        <v>0.0</v>
      </c>
      <c r="J1884" s="1">
        <v>133.5703</v>
      </c>
      <c r="K1884" s="1">
        <v>3182.0</v>
      </c>
    </row>
    <row r="1885">
      <c r="A1885" s="1" t="s">
        <v>24</v>
      </c>
      <c r="B1885" s="1" t="s">
        <v>180</v>
      </c>
      <c r="C1885" s="1" t="s">
        <v>46</v>
      </c>
      <c r="D1885" s="1">
        <v>15.0</v>
      </c>
      <c r="E1885" s="1">
        <v>1883521.0</v>
      </c>
      <c r="F1885" s="1">
        <v>0.0</v>
      </c>
      <c r="G1885" s="1">
        <v>10229.0</v>
      </c>
      <c r="H1885" s="1">
        <v>184.1354</v>
      </c>
      <c r="I1885" s="1">
        <v>0.0</v>
      </c>
      <c r="J1885" s="1">
        <v>184.1354</v>
      </c>
      <c r="K1885" s="1">
        <v>3439.0</v>
      </c>
    </row>
    <row r="1886">
      <c r="A1886" s="1" t="s">
        <v>24</v>
      </c>
      <c r="B1886" s="1" t="s">
        <v>180</v>
      </c>
      <c r="C1886" s="1" t="s">
        <v>46</v>
      </c>
      <c r="D1886" s="1">
        <v>16.0</v>
      </c>
      <c r="E1886" s="1">
        <v>1679224.0</v>
      </c>
      <c r="F1886" s="1">
        <v>0.0</v>
      </c>
      <c r="G1886" s="1">
        <v>10229.0</v>
      </c>
      <c r="H1886" s="1">
        <v>164.1631</v>
      </c>
      <c r="I1886" s="1">
        <v>0.0</v>
      </c>
      <c r="J1886" s="1">
        <v>164.1631</v>
      </c>
      <c r="K1886" s="1">
        <v>3482.0</v>
      </c>
    </row>
    <row r="1887">
      <c r="A1887" s="1" t="s">
        <v>24</v>
      </c>
      <c r="B1887" s="1" t="s">
        <v>180</v>
      </c>
      <c r="C1887" s="1" t="s">
        <v>46</v>
      </c>
      <c r="D1887" s="1">
        <v>17.0</v>
      </c>
      <c r="E1887" s="1">
        <v>1632484.0</v>
      </c>
      <c r="F1887" s="1">
        <v>0.0</v>
      </c>
      <c r="G1887" s="1">
        <v>10229.0</v>
      </c>
      <c r="H1887" s="1">
        <v>159.5937</v>
      </c>
      <c r="I1887" s="1">
        <v>0.0</v>
      </c>
      <c r="J1887" s="1">
        <v>159.5937</v>
      </c>
      <c r="K1887" s="1">
        <v>3548.0</v>
      </c>
    </row>
    <row r="1888">
      <c r="A1888" s="1" t="s">
        <v>24</v>
      </c>
      <c r="B1888" s="1" t="s">
        <v>180</v>
      </c>
      <c r="C1888" s="1" t="s">
        <v>46</v>
      </c>
      <c r="D1888" s="1">
        <v>18.0</v>
      </c>
      <c r="E1888" s="1">
        <v>1606854.0</v>
      </c>
      <c r="F1888" s="1">
        <v>0.0</v>
      </c>
      <c r="G1888" s="1">
        <v>10229.0</v>
      </c>
      <c r="H1888" s="1">
        <v>157.0881</v>
      </c>
      <c r="I1888" s="1">
        <v>0.0</v>
      </c>
      <c r="J1888" s="1">
        <v>157.0881</v>
      </c>
      <c r="K1888" s="1">
        <v>3641.0</v>
      </c>
    </row>
    <row r="1889">
      <c r="A1889" s="1" t="s">
        <v>24</v>
      </c>
      <c r="B1889" s="1" t="s">
        <v>180</v>
      </c>
      <c r="C1889" s="1" t="s">
        <v>46</v>
      </c>
      <c r="D1889" s="1">
        <v>19.0</v>
      </c>
      <c r="E1889" s="1">
        <v>1423749.0</v>
      </c>
      <c r="F1889" s="1">
        <v>0.0</v>
      </c>
      <c r="G1889" s="1">
        <v>10229.0</v>
      </c>
      <c r="H1889" s="1">
        <v>139.1875</v>
      </c>
      <c r="I1889" s="1">
        <v>0.0</v>
      </c>
      <c r="J1889" s="1">
        <v>139.1875</v>
      </c>
      <c r="K1889" s="1">
        <v>3502.0</v>
      </c>
    </row>
    <row r="1890">
      <c r="A1890" s="1" t="s">
        <v>24</v>
      </c>
      <c r="B1890" s="1" t="s">
        <v>180</v>
      </c>
      <c r="C1890" s="1" t="s">
        <v>46</v>
      </c>
      <c r="D1890" s="1">
        <v>20.0</v>
      </c>
      <c r="E1890" s="1">
        <v>1170471.0</v>
      </c>
      <c r="F1890" s="1">
        <v>0.0</v>
      </c>
      <c r="G1890" s="1">
        <v>10229.0</v>
      </c>
      <c r="H1890" s="1">
        <v>114.4267</v>
      </c>
      <c r="I1890" s="1">
        <v>0.0</v>
      </c>
      <c r="J1890" s="1">
        <v>114.4267</v>
      </c>
      <c r="K1890" s="1">
        <v>3312.0</v>
      </c>
    </row>
    <row r="1891">
      <c r="A1891" s="1" t="s">
        <v>24</v>
      </c>
      <c r="B1891" s="1" t="s">
        <v>180</v>
      </c>
      <c r="C1891" s="1" t="s">
        <v>46</v>
      </c>
      <c r="D1891" s="1">
        <v>21.0</v>
      </c>
      <c r="E1891" s="1">
        <v>1137008.0</v>
      </c>
      <c r="F1891" s="1">
        <v>0.0</v>
      </c>
      <c r="G1891" s="1">
        <v>10229.0</v>
      </c>
      <c r="H1891" s="1">
        <v>111.1553</v>
      </c>
      <c r="I1891" s="1">
        <v>0.0</v>
      </c>
      <c r="J1891" s="1">
        <v>111.1553</v>
      </c>
      <c r="K1891" s="1">
        <v>3296.0</v>
      </c>
    </row>
    <row r="1892">
      <c r="A1892" s="1" t="s">
        <v>24</v>
      </c>
      <c r="B1892" s="1" t="s">
        <v>180</v>
      </c>
      <c r="C1892" s="1" t="s">
        <v>1213</v>
      </c>
      <c r="D1892" s="1">
        <v>1.0</v>
      </c>
      <c r="E1892" s="1">
        <v>45.0</v>
      </c>
      <c r="F1892" s="1">
        <v>0.0</v>
      </c>
      <c r="G1892" s="1">
        <v>6023.0</v>
      </c>
      <c r="H1892" s="1">
        <v>0.0075</v>
      </c>
      <c r="I1892" s="1">
        <v>0.0</v>
      </c>
      <c r="J1892" s="1">
        <v>0.0075</v>
      </c>
      <c r="K1892" s="1">
        <v>2110.0</v>
      </c>
    </row>
    <row r="1893">
      <c r="A1893" s="1" t="s">
        <v>24</v>
      </c>
      <c r="B1893" s="1" t="s">
        <v>180</v>
      </c>
      <c r="C1893" s="1" t="s">
        <v>1213</v>
      </c>
      <c r="D1893" s="1">
        <v>2.0</v>
      </c>
      <c r="E1893" s="1">
        <v>0.0</v>
      </c>
      <c r="F1893" s="1">
        <v>0.0</v>
      </c>
      <c r="G1893" s="1">
        <v>6023.0</v>
      </c>
      <c r="H1893" s="1">
        <v>0.0</v>
      </c>
      <c r="I1893" s="1">
        <v>0.0</v>
      </c>
      <c r="J1893" s="1">
        <v>0.0</v>
      </c>
      <c r="K1893" s="1">
        <v>2190.0</v>
      </c>
    </row>
    <row r="1894">
      <c r="A1894" s="1" t="s">
        <v>24</v>
      </c>
      <c r="B1894" s="1" t="s">
        <v>180</v>
      </c>
      <c r="C1894" s="1" t="s">
        <v>1213</v>
      </c>
      <c r="D1894" s="1">
        <v>3.0</v>
      </c>
      <c r="E1894" s="1">
        <v>30.0</v>
      </c>
      <c r="F1894" s="1">
        <v>0.0</v>
      </c>
      <c r="G1894" s="1">
        <v>6023.0</v>
      </c>
      <c r="H1894" s="1">
        <v>0.005</v>
      </c>
      <c r="I1894" s="1">
        <v>0.0</v>
      </c>
      <c r="J1894" s="1">
        <v>0.005</v>
      </c>
      <c r="K1894" s="1">
        <v>2312.0</v>
      </c>
    </row>
    <row r="1895">
      <c r="A1895" s="1" t="s">
        <v>24</v>
      </c>
      <c r="B1895" s="1" t="s">
        <v>180</v>
      </c>
      <c r="C1895" s="1" t="s">
        <v>1213</v>
      </c>
      <c r="D1895" s="1">
        <v>4.0</v>
      </c>
      <c r="E1895" s="1">
        <v>15.0</v>
      </c>
      <c r="F1895" s="1">
        <v>0.0</v>
      </c>
      <c r="G1895" s="1">
        <v>6023.0</v>
      </c>
      <c r="H1895" s="1">
        <v>0.0025</v>
      </c>
      <c r="I1895" s="1">
        <v>0.0</v>
      </c>
      <c r="J1895" s="1">
        <v>0.0025</v>
      </c>
      <c r="K1895" s="1">
        <v>2314.0</v>
      </c>
    </row>
    <row r="1896">
      <c r="A1896" s="1" t="s">
        <v>24</v>
      </c>
      <c r="B1896" s="1" t="s">
        <v>180</v>
      </c>
      <c r="C1896" s="1" t="s">
        <v>1213</v>
      </c>
      <c r="D1896" s="1">
        <v>5.0</v>
      </c>
      <c r="E1896" s="1">
        <v>15.0</v>
      </c>
      <c r="F1896" s="1">
        <v>0.0</v>
      </c>
      <c r="G1896" s="1">
        <v>6023.0</v>
      </c>
      <c r="H1896" s="1">
        <v>0.0025</v>
      </c>
      <c r="I1896" s="1">
        <v>0.0</v>
      </c>
      <c r="J1896" s="1">
        <v>0.0025</v>
      </c>
      <c r="K1896" s="1">
        <v>2330.0</v>
      </c>
    </row>
    <row r="1897">
      <c r="A1897" s="1" t="s">
        <v>24</v>
      </c>
      <c r="B1897" s="1" t="s">
        <v>180</v>
      </c>
      <c r="C1897" s="1" t="s">
        <v>1213</v>
      </c>
      <c r="D1897" s="1">
        <v>6.0</v>
      </c>
      <c r="E1897" s="1">
        <v>0.0</v>
      </c>
      <c r="F1897" s="1">
        <v>0.0</v>
      </c>
      <c r="G1897" s="1">
        <v>6023.0</v>
      </c>
      <c r="H1897" s="1">
        <v>0.0</v>
      </c>
      <c r="I1897" s="1">
        <v>0.0</v>
      </c>
      <c r="J1897" s="1">
        <v>0.0</v>
      </c>
      <c r="K1897" s="1">
        <v>2338.0</v>
      </c>
    </row>
    <row r="1898">
      <c r="A1898" s="1" t="s">
        <v>24</v>
      </c>
      <c r="B1898" s="1" t="s">
        <v>180</v>
      </c>
      <c r="C1898" s="1" t="s">
        <v>1213</v>
      </c>
      <c r="D1898" s="1">
        <v>7.0</v>
      </c>
      <c r="E1898" s="1">
        <v>10.0</v>
      </c>
      <c r="F1898" s="1">
        <v>0.0</v>
      </c>
      <c r="G1898" s="1">
        <v>6023.0</v>
      </c>
      <c r="H1898" s="1">
        <v>0.0017</v>
      </c>
      <c r="I1898" s="1">
        <v>0.0</v>
      </c>
      <c r="J1898" s="1">
        <v>0.0017</v>
      </c>
      <c r="K1898" s="1">
        <v>2434.0</v>
      </c>
    </row>
    <row r="1899">
      <c r="A1899" s="1" t="s">
        <v>24</v>
      </c>
      <c r="B1899" s="1" t="s">
        <v>180</v>
      </c>
      <c r="C1899" s="1" t="s">
        <v>1213</v>
      </c>
      <c r="D1899" s="1">
        <v>8.0</v>
      </c>
      <c r="E1899" s="1">
        <v>23145.0</v>
      </c>
      <c r="F1899" s="1">
        <v>0.0</v>
      </c>
      <c r="G1899" s="1">
        <v>6023.0</v>
      </c>
      <c r="H1899" s="1">
        <v>3.8428</v>
      </c>
      <c r="I1899" s="1">
        <v>0.0</v>
      </c>
      <c r="J1899" s="1">
        <v>3.8428</v>
      </c>
      <c r="K1899" s="1">
        <v>2628.0</v>
      </c>
    </row>
    <row r="1900">
      <c r="A1900" s="1" t="s">
        <v>24</v>
      </c>
      <c r="B1900" s="1" t="s">
        <v>180</v>
      </c>
      <c r="C1900" s="1" t="s">
        <v>1213</v>
      </c>
      <c r="D1900" s="1">
        <v>9.0</v>
      </c>
      <c r="E1900" s="1">
        <v>16130.0</v>
      </c>
      <c r="F1900" s="1">
        <v>0.0</v>
      </c>
      <c r="G1900" s="1">
        <v>6023.0</v>
      </c>
      <c r="H1900" s="1">
        <v>2.6781</v>
      </c>
      <c r="I1900" s="1">
        <v>0.0</v>
      </c>
      <c r="J1900" s="1">
        <v>2.6781</v>
      </c>
      <c r="K1900" s="1">
        <v>2626.0</v>
      </c>
    </row>
    <row r="1901">
      <c r="A1901" s="1" t="s">
        <v>24</v>
      </c>
      <c r="B1901" s="1" t="s">
        <v>180</v>
      </c>
      <c r="C1901" s="1" t="s">
        <v>1213</v>
      </c>
      <c r="D1901" s="1">
        <v>10.0</v>
      </c>
      <c r="E1901" s="1">
        <v>17880.0</v>
      </c>
      <c r="F1901" s="1">
        <v>0.0</v>
      </c>
      <c r="G1901" s="1">
        <v>6023.0</v>
      </c>
      <c r="H1901" s="1">
        <v>2.9686</v>
      </c>
      <c r="I1901" s="1">
        <v>0.0</v>
      </c>
      <c r="J1901" s="1">
        <v>2.9686</v>
      </c>
      <c r="K1901" s="1">
        <v>2688.0</v>
      </c>
    </row>
    <row r="1902">
      <c r="A1902" s="1" t="s">
        <v>24</v>
      </c>
      <c r="B1902" s="1" t="s">
        <v>180</v>
      </c>
      <c r="C1902" s="1" t="s">
        <v>1213</v>
      </c>
      <c r="D1902" s="1">
        <v>11.0</v>
      </c>
      <c r="E1902" s="1">
        <v>15290.0</v>
      </c>
      <c r="F1902" s="1">
        <v>0.0</v>
      </c>
      <c r="G1902" s="1">
        <v>6023.0</v>
      </c>
      <c r="H1902" s="1">
        <v>2.5386</v>
      </c>
      <c r="I1902" s="1">
        <v>0.0</v>
      </c>
      <c r="J1902" s="1">
        <v>2.5386</v>
      </c>
      <c r="K1902" s="1">
        <v>2784.0</v>
      </c>
    </row>
    <row r="1903">
      <c r="A1903" s="1" t="s">
        <v>24</v>
      </c>
      <c r="B1903" s="1" t="s">
        <v>180</v>
      </c>
      <c r="C1903" s="1" t="s">
        <v>1213</v>
      </c>
      <c r="D1903" s="1">
        <v>12.0</v>
      </c>
      <c r="E1903" s="1">
        <v>855.0</v>
      </c>
      <c r="F1903" s="1">
        <v>0.0</v>
      </c>
      <c r="G1903" s="1">
        <v>6023.0</v>
      </c>
      <c r="H1903" s="1">
        <v>0.142</v>
      </c>
      <c r="I1903" s="1">
        <v>0.0</v>
      </c>
      <c r="J1903" s="1">
        <v>0.142</v>
      </c>
      <c r="K1903" s="1">
        <v>2877.0</v>
      </c>
    </row>
    <row r="1904">
      <c r="A1904" s="1" t="s">
        <v>24</v>
      </c>
      <c r="B1904" s="1" t="s">
        <v>180</v>
      </c>
      <c r="C1904" s="1" t="s">
        <v>1213</v>
      </c>
      <c r="D1904" s="1">
        <v>13.0</v>
      </c>
      <c r="E1904" s="1">
        <v>45.0</v>
      </c>
      <c r="F1904" s="1">
        <v>0.0</v>
      </c>
      <c r="G1904" s="1">
        <v>6023.0</v>
      </c>
      <c r="H1904" s="1">
        <v>0.0075</v>
      </c>
      <c r="I1904" s="1">
        <v>0.0</v>
      </c>
      <c r="J1904" s="1">
        <v>0.0075</v>
      </c>
      <c r="K1904" s="1">
        <v>3082.0</v>
      </c>
    </row>
    <row r="1905">
      <c r="A1905" s="1" t="s">
        <v>24</v>
      </c>
      <c r="B1905" s="1" t="s">
        <v>180</v>
      </c>
      <c r="C1905" s="1" t="s">
        <v>1213</v>
      </c>
      <c r="D1905" s="1">
        <v>14.0</v>
      </c>
      <c r="E1905" s="1">
        <v>10.0</v>
      </c>
      <c r="F1905" s="1">
        <v>0.0</v>
      </c>
      <c r="G1905" s="1">
        <v>6023.0</v>
      </c>
      <c r="H1905" s="1">
        <v>0.0017</v>
      </c>
      <c r="I1905" s="1">
        <v>0.0</v>
      </c>
      <c r="J1905" s="1">
        <v>0.0017</v>
      </c>
      <c r="K1905" s="1">
        <v>3182.0</v>
      </c>
    </row>
    <row r="1906">
      <c r="A1906" s="1" t="s">
        <v>24</v>
      </c>
      <c r="B1906" s="1" t="s">
        <v>180</v>
      </c>
      <c r="C1906" s="1" t="s">
        <v>1213</v>
      </c>
      <c r="D1906" s="1">
        <v>15.0</v>
      </c>
      <c r="E1906" s="1">
        <v>28120.0</v>
      </c>
      <c r="F1906" s="1">
        <v>0.0</v>
      </c>
      <c r="G1906" s="1">
        <v>6023.0</v>
      </c>
      <c r="H1906" s="1">
        <v>4.6688</v>
      </c>
      <c r="I1906" s="1">
        <v>0.0</v>
      </c>
      <c r="J1906" s="1">
        <v>4.6688</v>
      </c>
      <c r="K1906" s="1">
        <v>3439.0</v>
      </c>
    </row>
    <row r="1907">
      <c r="A1907" s="1" t="s">
        <v>24</v>
      </c>
      <c r="B1907" s="1" t="s">
        <v>180</v>
      </c>
      <c r="C1907" s="1" t="s">
        <v>1213</v>
      </c>
      <c r="D1907" s="1">
        <v>16.0</v>
      </c>
      <c r="E1907" s="1">
        <v>20340.0</v>
      </c>
      <c r="F1907" s="1">
        <v>0.0</v>
      </c>
      <c r="G1907" s="1">
        <v>6023.0</v>
      </c>
      <c r="H1907" s="1">
        <v>3.3771</v>
      </c>
      <c r="I1907" s="1">
        <v>0.0</v>
      </c>
      <c r="J1907" s="1">
        <v>3.3771</v>
      </c>
      <c r="K1907" s="1">
        <v>3482.0</v>
      </c>
    </row>
    <row r="1908">
      <c r="A1908" s="1" t="s">
        <v>24</v>
      </c>
      <c r="B1908" s="1" t="s">
        <v>180</v>
      </c>
      <c r="C1908" s="1" t="s">
        <v>1213</v>
      </c>
      <c r="D1908" s="1">
        <v>17.0</v>
      </c>
      <c r="E1908" s="1">
        <v>19765.0</v>
      </c>
      <c r="F1908" s="1">
        <v>0.0</v>
      </c>
      <c r="G1908" s="1">
        <v>6023.0</v>
      </c>
      <c r="H1908" s="1">
        <v>3.2816</v>
      </c>
      <c r="I1908" s="1">
        <v>0.0</v>
      </c>
      <c r="J1908" s="1">
        <v>3.2816</v>
      </c>
      <c r="K1908" s="1">
        <v>3548.0</v>
      </c>
    </row>
    <row r="1909">
      <c r="A1909" s="1" t="s">
        <v>24</v>
      </c>
      <c r="B1909" s="1" t="s">
        <v>180</v>
      </c>
      <c r="C1909" s="1" t="s">
        <v>1213</v>
      </c>
      <c r="D1909" s="1">
        <v>18.0</v>
      </c>
      <c r="E1909" s="1">
        <v>18600.0</v>
      </c>
      <c r="F1909" s="1">
        <v>0.0</v>
      </c>
      <c r="G1909" s="1">
        <v>6023.0</v>
      </c>
      <c r="H1909" s="1">
        <v>3.0882</v>
      </c>
      <c r="I1909" s="1">
        <v>0.0</v>
      </c>
      <c r="J1909" s="1">
        <v>3.0882</v>
      </c>
      <c r="K1909" s="1">
        <v>3641.0</v>
      </c>
    </row>
    <row r="1910">
      <c r="A1910" s="1" t="s">
        <v>24</v>
      </c>
      <c r="B1910" s="1" t="s">
        <v>180</v>
      </c>
      <c r="C1910" s="1" t="s">
        <v>1213</v>
      </c>
      <c r="D1910" s="1">
        <v>19.0</v>
      </c>
      <c r="E1910" s="1">
        <v>775.0</v>
      </c>
      <c r="F1910" s="1">
        <v>0.0</v>
      </c>
      <c r="G1910" s="1">
        <v>6023.0</v>
      </c>
      <c r="H1910" s="1">
        <v>0.1287</v>
      </c>
      <c r="I1910" s="1">
        <v>0.0</v>
      </c>
      <c r="J1910" s="1">
        <v>0.1287</v>
      </c>
      <c r="K1910" s="1">
        <v>3502.0</v>
      </c>
    </row>
    <row r="1911">
      <c r="A1911" s="1" t="s">
        <v>24</v>
      </c>
      <c r="B1911" s="1" t="s">
        <v>180</v>
      </c>
      <c r="C1911" s="1" t="s">
        <v>1213</v>
      </c>
      <c r="D1911" s="1">
        <v>20.0</v>
      </c>
      <c r="E1911" s="1">
        <v>50.0</v>
      </c>
      <c r="F1911" s="1">
        <v>0.0</v>
      </c>
      <c r="G1911" s="1">
        <v>6023.0</v>
      </c>
      <c r="H1911" s="1">
        <v>0.0083</v>
      </c>
      <c r="I1911" s="1">
        <v>0.0</v>
      </c>
      <c r="J1911" s="1">
        <v>0.0083</v>
      </c>
      <c r="K1911" s="1">
        <v>3312.0</v>
      </c>
    </row>
    <row r="1912">
      <c r="A1912" s="1" t="s">
        <v>24</v>
      </c>
      <c r="B1912" s="1" t="s">
        <v>180</v>
      </c>
      <c r="C1912" s="1" t="s">
        <v>1213</v>
      </c>
      <c r="D1912" s="1">
        <v>21.0</v>
      </c>
      <c r="E1912" s="1">
        <v>50.0</v>
      </c>
      <c r="F1912" s="1">
        <v>0.0</v>
      </c>
      <c r="G1912" s="1">
        <v>6023.0</v>
      </c>
      <c r="H1912" s="1">
        <v>0.0083</v>
      </c>
      <c r="I1912" s="1">
        <v>0.0</v>
      </c>
      <c r="J1912" s="1">
        <v>0.0083</v>
      </c>
      <c r="K1912" s="1">
        <v>3296.0</v>
      </c>
    </row>
    <row r="1913">
      <c r="A1913" s="1" t="s">
        <v>24</v>
      </c>
      <c r="B1913" s="1" t="s">
        <v>1192</v>
      </c>
      <c r="C1913" s="1" t="s">
        <v>1205</v>
      </c>
      <c r="D1913" s="1">
        <v>1.0</v>
      </c>
      <c r="E1913" s="1">
        <v>224786.0831</v>
      </c>
      <c r="F1913" s="1">
        <v>215250.0</v>
      </c>
      <c r="G1913" s="1">
        <v>1156.0</v>
      </c>
      <c r="H1913" s="1">
        <v>194.4516</v>
      </c>
      <c r="I1913" s="1">
        <v>186.2024</v>
      </c>
      <c r="J1913" s="1">
        <v>8.2492</v>
      </c>
      <c r="K1913" s="1">
        <v>413.0</v>
      </c>
    </row>
    <row r="1914">
      <c r="A1914" s="1" t="s">
        <v>24</v>
      </c>
      <c r="B1914" s="1" t="s">
        <v>1192</v>
      </c>
      <c r="C1914" s="1" t="s">
        <v>1205</v>
      </c>
      <c r="D1914" s="1">
        <v>2.0</v>
      </c>
      <c r="E1914" s="1">
        <v>133892.3353</v>
      </c>
      <c r="F1914" s="1">
        <v>141100.0</v>
      </c>
      <c r="G1914" s="1">
        <v>1156.0</v>
      </c>
      <c r="H1914" s="1">
        <v>115.8238</v>
      </c>
      <c r="I1914" s="1">
        <v>122.0588</v>
      </c>
      <c r="J1914" s="1">
        <v>-6.235</v>
      </c>
      <c r="K1914" s="1">
        <v>382.0</v>
      </c>
    </row>
    <row r="1915">
      <c r="A1915" s="1" t="s">
        <v>24</v>
      </c>
      <c r="B1915" s="1" t="s">
        <v>1192</v>
      </c>
      <c r="C1915" s="1" t="s">
        <v>1205</v>
      </c>
      <c r="D1915" s="1">
        <v>3.0</v>
      </c>
      <c r="E1915" s="1">
        <v>180140.8825</v>
      </c>
      <c r="F1915" s="1">
        <v>172850.0</v>
      </c>
      <c r="G1915" s="1">
        <v>1156.0</v>
      </c>
      <c r="H1915" s="1">
        <v>155.8312</v>
      </c>
      <c r="I1915" s="1">
        <v>149.5242</v>
      </c>
      <c r="J1915" s="1">
        <v>6.307</v>
      </c>
      <c r="K1915" s="1">
        <v>403.0</v>
      </c>
    </row>
    <row r="1916">
      <c r="A1916" s="1" t="s">
        <v>24</v>
      </c>
      <c r="B1916" s="1" t="s">
        <v>1192</v>
      </c>
      <c r="C1916" s="1" t="s">
        <v>1205</v>
      </c>
      <c r="D1916" s="1">
        <v>4.0</v>
      </c>
      <c r="E1916" s="1">
        <v>145908.5561</v>
      </c>
      <c r="F1916" s="1">
        <v>154950.0</v>
      </c>
      <c r="G1916" s="1">
        <v>1156.0</v>
      </c>
      <c r="H1916" s="1">
        <v>126.2185</v>
      </c>
      <c r="I1916" s="1">
        <v>134.0398</v>
      </c>
      <c r="J1916" s="1">
        <v>-7.8213</v>
      </c>
      <c r="K1916" s="1">
        <v>411.0</v>
      </c>
    </row>
    <row r="1917">
      <c r="A1917" s="1" t="s">
        <v>24</v>
      </c>
      <c r="B1917" s="1" t="s">
        <v>1192</v>
      </c>
      <c r="C1917" s="1" t="s">
        <v>1205</v>
      </c>
      <c r="D1917" s="1">
        <v>5.0</v>
      </c>
      <c r="E1917" s="1">
        <v>218580.081</v>
      </c>
      <c r="F1917" s="1">
        <v>208250.0</v>
      </c>
      <c r="G1917" s="1">
        <v>1156.0</v>
      </c>
      <c r="H1917" s="1">
        <v>189.0831</v>
      </c>
      <c r="I1917" s="1">
        <v>180.1471</v>
      </c>
      <c r="J1917" s="1">
        <v>8.9361</v>
      </c>
      <c r="K1917" s="1">
        <v>429.0</v>
      </c>
    </row>
    <row r="1918">
      <c r="A1918" s="1" t="s">
        <v>24</v>
      </c>
      <c r="B1918" s="1" t="s">
        <v>1192</v>
      </c>
      <c r="C1918" s="1" t="s">
        <v>1205</v>
      </c>
      <c r="D1918" s="1">
        <v>6.0</v>
      </c>
      <c r="E1918" s="1">
        <v>168476.0</v>
      </c>
      <c r="F1918" s="1">
        <v>169350.0</v>
      </c>
      <c r="G1918" s="1">
        <v>1156.0</v>
      </c>
      <c r="H1918" s="1">
        <v>145.7405</v>
      </c>
      <c r="I1918" s="1">
        <v>146.4965</v>
      </c>
      <c r="J1918" s="1">
        <v>-0.7561</v>
      </c>
      <c r="K1918" s="1">
        <v>419.0</v>
      </c>
    </row>
    <row r="1919">
      <c r="A1919" s="1" t="s">
        <v>24</v>
      </c>
      <c r="B1919" s="1" t="s">
        <v>1192</v>
      </c>
      <c r="C1919" s="1" t="s">
        <v>1205</v>
      </c>
      <c r="D1919" s="1">
        <v>7.0</v>
      </c>
      <c r="E1919" s="1">
        <v>165282.0</v>
      </c>
      <c r="F1919" s="1">
        <v>166200.0</v>
      </c>
      <c r="G1919" s="1">
        <v>1156.0</v>
      </c>
      <c r="H1919" s="1">
        <v>142.9775</v>
      </c>
      <c r="I1919" s="1">
        <v>143.7716</v>
      </c>
      <c r="J1919" s="1">
        <v>-0.7941</v>
      </c>
      <c r="K1919" s="1">
        <v>427.0</v>
      </c>
    </row>
    <row r="1920">
      <c r="A1920" s="1" t="s">
        <v>24</v>
      </c>
      <c r="B1920" s="1" t="s">
        <v>1192</v>
      </c>
      <c r="C1920" s="1" t="s">
        <v>1205</v>
      </c>
      <c r="D1920" s="1">
        <v>8.0</v>
      </c>
      <c r="E1920" s="1">
        <v>215117.2629</v>
      </c>
      <c r="F1920" s="1">
        <v>214150.0</v>
      </c>
      <c r="G1920" s="1">
        <v>1156.0</v>
      </c>
      <c r="H1920" s="1">
        <v>186.0876</v>
      </c>
      <c r="I1920" s="1">
        <v>185.2509</v>
      </c>
      <c r="J1920" s="1">
        <v>0.8367</v>
      </c>
      <c r="K1920" s="1">
        <v>479.0</v>
      </c>
    </row>
    <row r="1921">
      <c r="A1921" s="1" t="s">
        <v>24</v>
      </c>
      <c r="B1921" s="1" t="s">
        <v>1192</v>
      </c>
      <c r="C1921" s="1" t="s">
        <v>1205</v>
      </c>
      <c r="D1921" s="1">
        <v>9.0</v>
      </c>
      <c r="E1921" s="1">
        <v>157946.8516</v>
      </c>
      <c r="F1921" s="1">
        <v>167750.0</v>
      </c>
      <c r="G1921" s="1">
        <v>1156.0</v>
      </c>
      <c r="H1921" s="1">
        <v>136.6322</v>
      </c>
      <c r="I1921" s="1">
        <v>145.1125</v>
      </c>
      <c r="J1921" s="1">
        <v>-8.4802</v>
      </c>
      <c r="K1921" s="1">
        <v>474.0</v>
      </c>
    </row>
    <row r="1922">
      <c r="A1922" s="1" t="s">
        <v>24</v>
      </c>
      <c r="B1922" s="1" t="s">
        <v>1192</v>
      </c>
      <c r="C1922" s="1" t="s">
        <v>1205</v>
      </c>
      <c r="D1922" s="1">
        <v>10.0</v>
      </c>
      <c r="E1922" s="1">
        <v>157483.4867</v>
      </c>
      <c r="F1922" s="1">
        <v>158800.0</v>
      </c>
      <c r="G1922" s="1">
        <v>1156.0</v>
      </c>
      <c r="H1922" s="1">
        <v>136.2314</v>
      </c>
      <c r="I1922" s="1">
        <v>137.3702</v>
      </c>
      <c r="J1922" s="1">
        <v>-1.1389</v>
      </c>
      <c r="K1922" s="1">
        <v>455.0</v>
      </c>
    </row>
    <row r="1923">
      <c r="A1923" s="1" t="s">
        <v>24</v>
      </c>
      <c r="B1923" s="1" t="s">
        <v>1192</v>
      </c>
      <c r="C1923" s="1" t="s">
        <v>1205</v>
      </c>
      <c r="D1923" s="1">
        <v>11.0</v>
      </c>
      <c r="E1923" s="1">
        <v>149328.7745</v>
      </c>
      <c r="F1923" s="1">
        <v>150550.0</v>
      </c>
      <c r="G1923" s="1">
        <v>1156.0</v>
      </c>
      <c r="H1923" s="1">
        <v>129.1771</v>
      </c>
      <c r="I1923" s="1">
        <v>130.2336</v>
      </c>
      <c r="J1923" s="1">
        <v>-1.0564</v>
      </c>
      <c r="K1923" s="1">
        <v>467.0</v>
      </c>
    </row>
    <row r="1924">
      <c r="A1924" s="1" t="s">
        <v>24</v>
      </c>
      <c r="B1924" s="1" t="s">
        <v>1192</v>
      </c>
      <c r="C1924" s="1" t="s">
        <v>1205</v>
      </c>
      <c r="D1924" s="1">
        <v>12.0</v>
      </c>
      <c r="E1924" s="1">
        <v>216142.1905</v>
      </c>
      <c r="F1924" s="1">
        <v>195800.0</v>
      </c>
      <c r="G1924" s="1">
        <v>1156.0</v>
      </c>
      <c r="H1924" s="1">
        <v>186.9742</v>
      </c>
      <c r="I1924" s="1">
        <v>169.3772</v>
      </c>
      <c r="J1924" s="1">
        <v>17.5971</v>
      </c>
      <c r="K1924" s="1">
        <v>499.0</v>
      </c>
    </row>
    <row r="1925">
      <c r="A1925" s="1" t="s">
        <v>24</v>
      </c>
      <c r="B1925" s="1" t="s">
        <v>1192</v>
      </c>
      <c r="C1925" s="1" t="s">
        <v>1205</v>
      </c>
      <c r="D1925" s="1">
        <v>13.0</v>
      </c>
      <c r="E1925" s="1">
        <v>189897.5714</v>
      </c>
      <c r="F1925" s="1">
        <v>199750.0</v>
      </c>
      <c r="G1925" s="1">
        <v>1156.0</v>
      </c>
      <c r="H1925" s="1">
        <v>164.2713</v>
      </c>
      <c r="I1925" s="1">
        <v>172.7941</v>
      </c>
      <c r="J1925" s="1">
        <v>-8.5229</v>
      </c>
      <c r="K1925" s="1">
        <v>504.0</v>
      </c>
    </row>
    <row r="1926">
      <c r="A1926" s="1" t="s">
        <v>24</v>
      </c>
      <c r="B1926" s="1" t="s">
        <v>1192</v>
      </c>
      <c r="C1926" s="1" t="s">
        <v>1205</v>
      </c>
      <c r="D1926" s="1">
        <v>14.0</v>
      </c>
      <c r="E1926" s="1">
        <v>169575.7143</v>
      </c>
      <c r="F1926" s="1">
        <v>171000.0</v>
      </c>
      <c r="G1926" s="1">
        <v>1156.0</v>
      </c>
      <c r="H1926" s="1">
        <v>146.6918</v>
      </c>
      <c r="I1926" s="1">
        <v>147.9239</v>
      </c>
      <c r="J1926" s="1">
        <v>-1.2321</v>
      </c>
      <c r="K1926" s="1">
        <v>521.0</v>
      </c>
    </row>
    <row r="1927">
      <c r="A1927" s="1" t="s">
        <v>24</v>
      </c>
      <c r="B1927" s="1" t="s">
        <v>1192</v>
      </c>
      <c r="C1927" s="1" t="s">
        <v>1205</v>
      </c>
      <c r="D1927" s="1">
        <v>15.0</v>
      </c>
      <c r="E1927" s="1">
        <v>258694.0742</v>
      </c>
      <c r="F1927" s="1">
        <v>252000.0</v>
      </c>
      <c r="G1927" s="1">
        <v>1156.0</v>
      </c>
      <c r="H1927" s="1">
        <v>223.7838</v>
      </c>
      <c r="I1927" s="1">
        <v>217.9931</v>
      </c>
      <c r="J1927" s="1">
        <v>5.7907</v>
      </c>
      <c r="K1927" s="1">
        <v>588.0</v>
      </c>
    </row>
    <row r="1928">
      <c r="A1928" s="1" t="s">
        <v>24</v>
      </c>
      <c r="B1928" s="1" t="s">
        <v>1192</v>
      </c>
      <c r="C1928" s="1" t="s">
        <v>1205</v>
      </c>
      <c r="D1928" s="1">
        <v>16.0</v>
      </c>
      <c r="E1928" s="1">
        <v>192803.3294</v>
      </c>
      <c r="F1928" s="1">
        <v>203250.0</v>
      </c>
      <c r="G1928" s="1">
        <v>1156.0</v>
      </c>
      <c r="H1928" s="1">
        <v>166.7849</v>
      </c>
      <c r="I1928" s="1">
        <v>175.8218</v>
      </c>
      <c r="J1928" s="1">
        <v>-9.0369</v>
      </c>
      <c r="K1928" s="1">
        <v>567.0</v>
      </c>
    </row>
    <row r="1929">
      <c r="A1929" s="1" t="s">
        <v>24</v>
      </c>
      <c r="B1929" s="1" t="s">
        <v>1192</v>
      </c>
      <c r="C1929" s="1" t="s">
        <v>1205</v>
      </c>
      <c r="D1929" s="1">
        <v>17.0</v>
      </c>
      <c r="E1929" s="1">
        <v>176328.175</v>
      </c>
      <c r="F1929" s="1">
        <v>179850.0</v>
      </c>
      <c r="G1929" s="1">
        <v>1156.0</v>
      </c>
      <c r="H1929" s="1">
        <v>152.533</v>
      </c>
      <c r="I1929" s="1">
        <v>155.5796</v>
      </c>
      <c r="J1929" s="1">
        <v>-3.0466</v>
      </c>
      <c r="K1929" s="1">
        <v>513.0</v>
      </c>
    </row>
    <row r="1930">
      <c r="A1930" s="1" t="s">
        <v>24</v>
      </c>
      <c r="B1930" s="1" t="s">
        <v>1192</v>
      </c>
      <c r="C1930" s="1" t="s">
        <v>1205</v>
      </c>
      <c r="D1930" s="1">
        <v>18.0</v>
      </c>
      <c r="E1930" s="1">
        <v>161617.4474</v>
      </c>
      <c r="F1930" s="1">
        <v>179550.0</v>
      </c>
      <c r="G1930" s="1">
        <v>1156.0</v>
      </c>
      <c r="H1930" s="1">
        <v>139.8075</v>
      </c>
      <c r="I1930" s="1">
        <v>155.3201</v>
      </c>
      <c r="J1930" s="1">
        <v>-15.5126</v>
      </c>
      <c r="K1930" s="1">
        <v>549.0</v>
      </c>
    </row>
    <row r="1931">
      <c r="A1931" s="1" t="s">
        <v>24</v>
      </c>
      <c r="B1931" s="1" t="s">
        <v>1192</v>
      </c>
      <c r="C1931" s="1" t="s">
        <v>1205</v>
      </c>
      <c r="D1931" s="1">
        <v>19.0</v>
      </c>
      <c r="E1931" s="1">
        <v>237659.816</v>
      </c>
      <c r="F1931" s="1">
        <v>211650.0</v>
      </c>
      <c r="G1931" s="1">
        <v>1156.0</v>
      </c>
      <c r="H1931" s="1">
        <v>205.5881</v>
      </c>
      <c r="I1931" s="1">
        <v>183.0882</v>
      </c>
      <c r="J1931" s="1">
        <v>22.4998</v>
      </c>
      <c r="K1931" s="1">
        <v>538.0</v>
      </c>
    </row>
    <row r="1932">
      <c r="A1932" s="1" t="s">
        <v>24</v>
      </c>
      <c r="B1932" s="1" t="s">
        <v>1192</v>
      </c>
      <c r="C1932" s="1" t="s">
        <v>1205</v>
      </c>
      <c r="D1932" s="1">
        <v>20.0</v>
      </c>
      <c r="E1932" s="1">
        <v>174168.0</v>
      </c>
      <c r="F1932" s="1">
        <v>180650.0</v>
      </c>
      <c r="G1932" s="1">
        <v>1156.0</v>
      </c>
      <c r="H1932" s="1">
        <v>150.6644</v>
      </c>
      <c r="I1932" s="1">
        <v>156.2716</v>
      </c>
      <c r="J1932" s="1">
        <v>-5.6073</v>
      </c>
      <c r="K1932" s="1">
        <v>520.0</v>
      </c>
    </row>
    <row r="1933">
      <c r="A1933" s="1" t="s">
        <v>24</v>
      </c>
      <c r="B1933" s="1" t="s">
        <v>1192</v>
      </c>
      <c r="C1933" s="1" t="s">
        <v>1205</v>
      </c>
      <c r="D1933" s="1">
        <v>21.0</v>
      </c>
      <c r="E1933" s="1">
        <v>152574.0</v>
      </c>
      <c r="F1933" s="1">
        <v>159100.0</v>
      </c>
      <c r="G1933" s="1">
        <v>1156.0</v>
      </c>
      <c r="H1933" s="1">
        <v>131.9844</v>
      </c>
      <c r="I1933" s="1">
        <v>137.6298</v>
      </c>
      <c r="J1933" s="1">
        <v>-5.6453</v>
      </c>
      <c r="K1933" s="1">
        <v>494.0</v>
      </c>
    </row>
    <row r="1934">
      <c r="A1934" s="1" t="s">
        <v>24</v>
      </c>
      <c r="B1934" s="1" t="s">
        <v>1192</v>
      </c>
      <c r="C1934" s="1" t="s">
        <v>52</v>
      </c>
      <c r="D1934" s="1">
        <v>1.0</v>
      </c>
      <c r="E1934" s="1">
        <v>2062.0</v>
      </c>
      <c r="F1934" s="1">
        <v>1836.0</v>
      </c>
      <c r="G1934" s="1">
        <v>1151.0</v>
      </c>
      <c r="H1934" s="1">
        <v>1.7915</v>
      </c>
      <c r="I1934" s="1">
        <v>1.5951</v>
      </c>
      <c r="J1934" s="1">
        <v>0.1964</v>
      </c>
      <c r="K1934" s="1">
        <v>413.0</v>
      </c>
    </row>
    <row r="1935">
      <c r="A1935" s="1" t="s">
        <v>24</v>
      </c>
      <c r="B1935" s="1" t="s">
        <v>1192</v>
      </c>
      <c r="C1935" s="1" t="s">
        <v>52</v>
      </c>
      <c r="D1935" s="1">
        <v>2.0</v>
      </c>
      <c r="E1935" s="1">
        <v>1231.0</v>
      </c>
      <c r="F1935" s="1">
        <v>1300.0</v>
      </c>
      <c r="G1935" s="1">
        <v>1151.0</v>
      </c>
      <c r="H1935" s="1">
        <v>1.0695</v>
      </c>
      <c r="I1935" s="1">
        <v>1.1295</v>
      </c>
      <c r="J1935" s="1">
        <v>-0.0599</v>
      </c>
      <c r="K1935" s="1">
        <v>382.0</v>
      </c>
    </row>
    <row r="1936">
      <c r="A1936" s="1" t="s">
        <v>24</v>
      </c>
      <c r="B1936" s="1" t="s">
        <v>1192</v>
      </c>
      <c r="C1936" s="1" t="s">
        <v>52</v>
      </c>
      <c r="D1936" s="1">
        <v>3.0</v>
      </c>
      <c r="E1936" s="1">
        <v>1273.0</v>
      </c>
      <c r="F1936" s="1">
        <v>1333.0</v>
      </c>
      <c r="G1936" s="1">
        <v>1151.0</v>
      </c>
      <c r="H1936" s="1">
        <v>1.106</v>
      </c>
      <c r="I1936" s="1">
        <v>1.1581</v>
      </c>
      <c r="J1936" s="1">
        <v>-0.0521</v>
      </c>
      <c r="K1936" s="1">
        <v>403.0</v>
      </c>
    </row>
    <row r="1937">
      <c r="A1937" s="1" t="s">
        <v>24</v>
      </c>
      <c r="B1937" s="1" t="s">
        <v>1192</v>
      </c>
      <c r="C1937" s="1" t="s">
        <v>52</v>
      </c>
      <c r="D1937" s="1">
        <v>4.0</v>
      </c>
      <c r="E1937" s="1">
        <v>1146.0</v>
      </c>
      <c r="F1937" s="1">
        <v>1157.0</v>
      </c>
      <c r="G1937" s="1">
        <v>1151.0</v>
      </c>
      <c r="H1937" s="1">
        <v>0.9957</v>
      </c>
      <c r="I1937" s="1">
        <v>1.0052</v>
      </c>
      <c r="J1937" s="1">
        <v>-0.0096</v>
      </c>
      <c r="K1937" s="1">
        <v>411.0</v>
      </c>
    </row>
    <row r="1938">
      <c r="A1938" s="1" t="s">
        <v>24</v>
      </c>
      <c r="B1938" s="1" t="s">
        <v>1192</v>
      </c>
      <c r="C1938" s="1" t="s">
        <v>52</v>
      </c>
      <c r="D1938" s="1">
        <v>5.0</v>
      </c>
      <c r="E1938" s="1">
        <v>1362.0</v>
      </c>
      <c r="F1938" s="1">
        <v>1522.0</v>
      </c>
      <c r="G1938" s="1">
        <v>1151.0</v>
      </c>
      <c r="H1938" s="1">
        <v>1.1833</v>
      </c>
      <c r="I1938" s="1">
        <v>1.3223</v>
      </c>
      <c r="J1938" s="1">
        <v>-0.139</v>
      </c>
      <c r="K1938" s="1">
        <v>429.0</v>
      </c>
    </row>
    <row r="1939">
      <c r="A1939" s="1" t="s">
        <v>24</v>
      </c>
      <c r="B1939" s="1" t="s">
        <v>1192</v>
      </c>
      <c r="C1939" s="1" t="s">
        <v>52</v>
      </c>
      <c r="D1939" s="1">
        <v>6.0</v>
      </c>
      <c r="E1939" s="1">
        <v>937.0</v>
      </c>
      <c r="F1939" s="1">
        <v>1140.0</v>
      </c>
      <c r="G1939" s="1">
        <v>1151.0</v>
      </c>
      <c r="H1939" s="1">
        <v>0.8141</v>
      </c>
      <c r="I1939" s="1">
        <v>0.9904</v>
      </c>
      <c r="J1939" s="1">
        <v>-0.1764</v>
      </c>
      <c r="K1939" s="1">
        <v>419.0</v>
      </c>
    </row>
    <row r="1940">
      <c r="A1940" s="1" t="s">
        <v>24</v>
      </c>
      <c r="B1940" s="1" t="s">
        <v>1192</v>
      </c>
      <c r="C1940" s="1" t="s">
        <v>52</v>
      </c>
      <c r="D1940" s="1">
        <v>7.0</v>
      </c>
      <c r="E1940" s="1">
        <v>920.0</v>
      </c>
      <c r="F1940" s="1">
        <v>1197.0</v>
      </c>
      <c r="G1940" s="1">
        <v>1151.0</v>
      </c>
      <c r="H1940" s="1">
        <v>0.7993</v>
      </c>
      <c r="I1940" s="1">
        <v>1.04</v>
      </c>
      <c r="J1940" s="1">
        <v>-0.2407</v>
      </c>
      <c r="K1940" s="1">
        <v>427.0</v>
      </c>
    </row>
    <row r="1941">
      <c r="A1941" s="1" t="s">
        <v>24</v>
      </c>
      <c r="B1941" s="1" t="s">
        <v>1192</v>
      </c>
      <c r="C1941" s="1" t="s">
        <v>52</v>
      </c>
      <c r="D1941" s="1">
        <v>8.0</v>
      </c>
      <c r="E1941" s="1">
        <v>2271.0</v>
      </c>
      <c r="F1941" s="1">
        <v>2041.0</v>
      </c>
      <c r="G1941" s="1">
        <v>1151.0</v>
      </c>
      <c r="H1941" s="1">
        <v>1.9731</v>
      </c>
      <c r="I1941" s="1">
        <v>1.7732</v>
      </c>
      <c r="J1941" s="1">
        <v>0.1998</v>
      </c>
      <c r="K1941" s="1">
        <v>479.0</v>
      </c>
    </row>
    <row r="1942">
      <c r="A1942" s="1" t="s">
        <v>24</v>
      </c>
      <c r="B1942" s="1" t="s">
        <v>1192</v>
      </c>
      <c r="C1942" s="1" t="s">
        <v>52</v>
      </c>
      <c r="D1942" s="1">
        <v>9.0</v>
      </c>
      <c r="E1942" s="1">
        <v>1456.0</v>
      </c>
      <c r="F1942" s="1">
        <v>1512.0</v>
      </c>
      <c r="G1942" s="1">
        <v>1151.0</v>
      </c>
      <c r="H1942" s="1">
        <v>1.265</v>
      </c>
      <c r="I1942" s="1">
        <v>1.3136</v>
      </c>
      <c r="J1942" s="1">
        <v>-0.0487</v>
      </c>
      <c r="K1942" s="1">
        <v>474.0</v>
      </c>
    </row>
    <row r="1943">
      <c r="A1943" s="1" t="s">
        <v>24</v>
      </c>
      <c r="B1943" s="1" t="s">
        <v>1192</v>
      </c>
      <c r="C1943" s="1" t="s">
        <v>52</v>
      </c>
      <c r="D1943" s="1">
        <v>10.0</v>
      </c>
      <c r="E1943" s="1">
        <v>1302.0</v>
      </c>
      <c r="F1943" s="1">
        <v>1391.0</v>
      </c>
      <c r="G1943" s="1">
        <v>1151.0</v>
      </c>
      <c r="H1943" s="1">
        <v>1.1312</v>
      </c>
      <c r="I1943" s="1">
        <v>1.2085</v>
      </c>
      <c r="J1943" s="1">
        <v>-0.0773</v>
      </c>
      <c r="K1943" s="1">
        <v>455.0</v>
      </c>
    </row>
    <row r="1944">
      <c r="A1944" s="1" t="s">
        <v>24</v>
      </c>
      <c r="B1944" s="1" t="s">
        <v>1192</v>
      </c>
      <c r="C1944" s="1" t="s">
        <v>52</v>
      </c>
      <c r="D1944" s="1">
        <v>11.0</v>
      </c>
      <c r="E1944" s="1">
        <v>1124.0</v>
      </c>
      <c r="F1944" s="1">
        <v>1238.0</v>
      </c>
      <c r="G1944" s="1">
        <v>1151.0</v>
      </c>
      <c r="H1944" s="1">
        <v>0.9765</v>
      </c>
      <c r="I1944" s="1">
        <v>1.0756</v>
      </c>
      <c r="J1944" s="1">
        <v>-0.099</v>
      </c>
      <c r="K1944" s="1">
        <v>467.0</v>
      </c>
    </row>
    <row r="1945">
      <c r="A1945" s="1" t="s">
        <v>24</v>
      </c>
      <c r="B1945" s="1" t="s">
        <v>1192</v>
      </c>
      <c r="C1945" s="1" t="s">
        <v>52</v>
      </c>
      <c r="D1945" s="1">
        <v>12.0</v>
      </c>
      <c r="E1945" s="1">
        <v>1352.0</v>
      </c>
      <c r="F1945" s="1">
        <v>1461.0</v>
      </c>
      <c r="G1945" s="1">
        <v>1151.0</v>
      </c>
      <c r="H1945" s="1">
        <v>1.1746</v>
      </c>
      <c r="I1945" s="1">
        <v>1.2693</v>
      </c>
      <c r="J1945" s="1">
        <v>-0.0947</v>
      </c>
      <c r="K1945" s="1">
        <v>499.0</v>
      </c>
    </row>
    <row r="1946">
      <c r="A1946" s="1" t="s">
        <v>24</v>
      </c>
      <c r="B1946" s="1" t="s">
        <v>1192</v>
      </c>
      <c r="C1946" s="1" t="s">
        <v>52</v>
      </c>
      <c r="D1946" s="1">
        <v>13.0</v>
      </c>
      <c r="E1946" s="1">
        <v>1117.0</v>
      </c>
      <c r="F1946" s="1">
        <v>1343.0</v>
      </c>
      <c r="G1946" s="1">
        <v>1151.0</v>
      </c>
      <c r="H1946" s="1">
        <v>0.9705</v>
      </c>
      <c r="I1946" s="1">
        <v>1.1668</v>
      </c>
      <c r="J1946" s="1">
        <v>-0.1964</v>
      </c>
      <c r="K1946" s="1">
        <v>504.0</v>
      </c>
    </row>
    <row r="1947">
      <c r="A1947" s="1" t="s">
        <v>24</v>
      </c>
      <c r="B1947" s="1" t="s">
        <v>1192</v>
      </c>
      <c r="C1947" s="1" t="s">
        <v>52</v>
      </c>
      <c r="D1947" s="1">
        <v>14.0</v>
      </c>
      <c r="E1947" s="1">
        <v>1088.0</v>
      </c>
      <c r="F1947" s="1">
        <v>1334.0</v>
      </c>
      <c r="G1947" s="1">
        <v>1151.0</v>
      </c>
      <c r="H1947" s="1">
        <v>0.9453</v>
      </c>
      <c r="I1947" s="1">
        <v>1.159</v>
      </c>
      <c r="J1947" s="1">
        <v>-0.2137</v>
      </c>
      <c r="K1947" s="1">
        <v>521.0</v>
      </c>
    </row>
    <row r="1948">
      <c r="A1948" s="1" t="s">
        <v>24</v>
      </c>
      <c r="B1948" s="1" t="s">
        <v>1192</v>
      </c>
      <c r="C1948" s="1" t="s">
        <v>52</v>
      </c>
      <c r="D1948" s="1">
        <v>15.0</v>
      </c>
      <c r="E1948" s="1">
        <v>2667.0</v>
      </c>
      <c r="F1948" s="1">
        <v>2285.0</v>
      </c>
      <c r="G1948" s="1">
        <v>1151.0</v>
      </c>
      <c r="H1948" s="1">
        <v>2.3171</v>
      </c>
      <c r="I1948" s="1">
        <v>1.9852</v>
      </c>
      <c r="J1948" s="1">
        <v>0.3319</v>
      </c>
      <c r="K1948" s="1">
        <v>588.0</v>
      </c>
    </row>
    <row r="1949">
      <c r="A1949" s="1" t="s">
        <v>24</v>
      </c>
      <c r="B1949" s="1" t="s">
        <v>1192</v>
      </c>
      <c r="C1949" s="1" t="s">
        <v>52</v>
      </c>
      <c r="D1949" s="1">
        <v>16.0</v>
      </c>
      <c r="E1949" s="1">
        <v>1663.0</v>
      </c>
      <c r="F1949" s="1">
        <v>1845.0</v>
      </c>
      <c r="G1949" s="1">
        <v>1151.0</v>
      </c>
      <c r="H1949" s="1">
        <v>1.4448</v>
      </c>
      <c r="I1949" s="1">
        <v>1.603</v>
      </c>
      <c r="J1949" s="1">
        <v>-0.1581</v>
      </c>
      <c r="K1949" s="1">
        <v>567.0</v>
      </c>
    </row>
    <row r="1950">
      <c r="A1950" s="1" t="s">
        <v>24</v>
      </c>
      <c r="B1950" s="1" t="s">
        <v>1192</v>
      </c>
      <c r="C1950" s="1" t="s">
        <v>52</v>
      </c>
      <c r="D1950" s="1">
        <v>17.0</v>
      </c>
      <c r="E1950" s="1">
        <v>1224.0</v>
      </c>
      <c r="F1950" s="1">
        <v>1394.0</v>
      </c>
      <c r="G1950" s="1">
        <v>1151.0</v>
      </c>
      <c r="H1950" s="1">
        <v>1.0634</v>
      </c>
      <c r="I1950" s="1">
        <v>1.2111</v>
      </c>
      <c r="J1950" s="1">
        <v>-0.1477</v>
      </c>
      <c r="K1950" s="1">
        <v>513.0</v>
      </c>
    </row>
    <row r="1951">
      <c r="A1951" s="1" t="s">
        <v>24</v>
      </c>
      <c r="B1951" s="1" t="s">
        <v>1192</v>
      </c>
      <c r="C1951" s="1" t="s">
        <v>52</v>
      </c>
      <c r="D1951" s="1">
        <v>18.0</v>
      </c>
      <c r="E1951" s="1">
        <v>2273.0</v>
      </c>
      <c r="F1951" s="1">
        <v>1419.0</v>
      </c>
      <c r="G1951" s="1">
        <v>1151.0</v>
      </c>
      <c r="H1951" s="1">
        <v>1.9748</v>
      </c>
      <c r="I1951" s="1">
        <v>1.2328</v>
      </c>
      <c r="J1951" s="1">
        <v>0.742</v>
      </c>
      <c r="K1951" s="1">
        <v>549.0</v>
      </c>
    </row>
    <row r="1952">
      <c r="A1952" s="1" t="s">
        <v>24</v>
      </c>
      <c r="B1952" s="1" t="s">
        <v>1192</v>
      </c>
      <c r="C1952" s="1" t="s">
        <v>52</v>
      </c>
      <c r="D1952" s="1">
        <v>19.0</v>
      </c>
      <c r="E1952" s="1">
        <v>1508.0</v>
      </c>
      <c r="F1952" s="1">
        <v>1498.0</v>
      </c>
      <c r="G1952" s="1">
        <v>1151.0</v>
      </c>
      <c r="H1952" s="1">
        <v>1.3102</v>
      </c>
      <c r="I1952" s="1">
        <v>1.3015</v>
      </c>
      <c r="J1952" s="1">
        <v>0.0087</v>
      </c>
      <c r="K1952" s="1">
        <v>538.0</v>
      </c>
    </row>
    <row r="1953">
      <c r="A1953" s="1" t="s">
        <v>24</v>
      </c>
      <c r="B1953" s="1" t="s">
        <v>1192</v>
      </c>
      <c r="C1953" s="1" t="s">
        <v>52</v>
      </c>
      <c r="D1953" s="1">
        <v>20.0</v>
      </c>
      <c r="E1953" s="1">
        <v>863.0</v>
      </c>
      <c r="F1953" s="1">
        <v>1188.0</v>
      </c>
      <c r="G1953" s="1">
        <v>1151.0</v>
      </c>
      <c r="H1953" s="1">
        <v>0.7498</v>
      </c>
      <c r="I1953" s="1">
        <v>1.0321</v>
      </c>
      <c r="J1953" s="1">
        <v>-0.2824</v>
      </c>
      <c r="K1953" s="1">
        <v>520.0</v>
      </c>
    </row>
    <row r="1954">
      <c r="A1954" s="1" t="s">
        <v>24</v>
      </c>
      <c r="B1954" s="1" t="s">
        <v>1192</v>
      </c>
      <c r="C1954" s="1" t="s">
        <v>52</v>
      </c>
      <c r="D1954" s="1">
        <v>21.0</v>
      </c>
      <c r="E1954" s="1">
        <v>777.0</v>
      </c>
      <c r="F1954" s="1">
        <v>973.0</v>
      </c>
      <c r="G1954" s="1">
        <v>1151.0</v>
      </c>
      <c r="H1954" s="1">
        <v>0.6751</v>
      </c>
      <c r="I1954" s="1">
        <v>0.8454</v>
      </c>
      <c r="J1954" s="1">
        <v>-0.1703</v>
      </c>
      <c r="K1954" s="1">
        <v>494.0</v>
      </c>
    </row>
    <row r="1955">
      <c r="A1955" s="1" t="s">
        <v>24</v>
      </c>
      <c r="B1955" s="1" t="s">
        <v>1192</v>
      </c>
      <c r="C1955" s="1" t="s">
        <v>53</v>
      </c>
      <c r="D1955" s="1">
        <v>1.0</v>
      </c>
      <c r="E1955" s="1">
        <v>1664.0</v>
      </c>
      <c r="F1955" s="1">
        <v>1505.0</v>
      </c>
      <c r="G1955" s="1">
        <v>1146.0</v>
      </c>
      <c r="H1955" s="1">
        <v>1.452</v>
      </c>
      <c r="I1955" s="1">
        <v>1.3133</v>
      </c>
      <c r="J1955" s="1">
        <v>0.1387</v>
      </c>
      <c r="K1955" s="1">
        <v>413.0</v>
      </c>
    </row>
    <row r="1956">
      <c r="A1956" s="1" t="s">
        <v>24</v>
      </c>
      <c r="B1956" s="1" t="s">
        <v>1192</v>
      </c>
      <c r="C1956" s="1" t="s">
        <v>53</v>
      </c>
      <c r="D1956" s="1">
        <v>2.0</v>
      </c>
      <c r="E1956" s="1">
        <v>980.0</v>
      </c>
      <c r="F1956" s="1">
        <v>1171.0</v>
      </c>
      <c r="G1956" s="1">
        <v>1146.0</v>
      </c>
      <c r="H1956" s="1">
        <v>0.8551</v>
      </c>
      <c r="I1956" s="1">
        <v>1.0218</v>
      </c>
      <c r="J1956" s="1">
        <v>-0.1667</v>
      </c>
      <c r="K1956" s="1">
        <v>382.0</v>
      </c>
    </row>
    <row r="1957">
      <c r="A1957" s="1" t="s">
        <v>24</v>
      </c>
      <c r="B1957" s="1" t="s">
        <v>1192</v>
      </c>
      <c r="C1957" s="1" t="s">
        <v>53</v>
      </c>
      <c r="D1957" s="1">
        <v>3.0</v>
      </c>
      <c r="E1957" s="1">
        <v>1217.0</v>
      </c>
      <c r="F1957" s="1">
        <v>1190.0</v>
      </c>
      <c r="G1957" s="1">
        <v>1146.0</v>
      </c>
      <c r="H1957" s="1">
        <v>1.062</v>
      </c>
      <c r="I1957" s="1">
        <v>1.0384</v>
      </c>
      <c r="J1957" s="1">
        <v>0.0236</v>
      </c>
      <c r="K1957" s="1">
        <v>403.0</v>
      </c>
    </row>
    <row r="1958">
      <c r="A1958" s="1" t="s">
        <v>24</v>
      </c>
      <c r="B1958" s="1" t="s">
        <v>1192</v>
      </c>
      <c r="C1958" s="1" t="s">
        <v>53</v>
      </c>
      <c r="D1958" s="1">
        <v>4.0</v>
      </c>
      <c r="E1958" s="1">
        <v>1068.0</v>
      </c>
      <c r="F1958" s="1">
        <v>1091.0</v>
      </c>
      <c r="G1958" s="1">
        <v>1146.0</v>
      </c>
      <c r="H1958" s="1">
        <v>0.9319</v>
      </c>
      <c r="I1958" s="1">
        <v>0.952</v>
      </c>
      <c r="J1958" s="1">
        <v>-0.0201</v>
      </c>
      <c r="K1958" s="1">
        <v>411.0</v>
      </c>
    </row>
    <row r="1959">
      <c r="A1959" s="1" t="s">
        <v>24</v>
      </c>
      <c r="B1959" s="1" t="s">
        <v>1192</v>
      </c>
      <c r="C1959" s="1" t="s">
        <v>53</v>
      </c>
      <c r="D1959" s="1">
        <v>5.0</v>
      </c>
      <c r="E1959" s="1">
        <v>1334.0</v>
      </c>
      <c r="F1959" s="1">
        <v>1375.0</v>
      </c>
      <c r="G1959" s="1">
        <v>1146.0</v>
      </c>
      <c r="H1959" s="1">
        <v>1.164</v>
      </c>
      <c r="I1959" s="1">
        <v>1.1998</v>
      </c>
      <c r="J1959" s="1">
        <v>-0.0358</v>
      </c>
      <c r="K1959" s="1">
        <v>429.0</v>
      </c>
    </row>
    <row r="1960">
      <c r="A1960" s="1" t="s">
        <v>24</v>
      </c>
      <c r="B1960" s="1" t="s">
        <v>1192</v>
      </c>
      <c r="C1960" s="1" t="s">
        <v>53</v>
      </c>
      <c r="D1960" s="1">
        <v>6.0</v>
      </c>
      <c r="E1960" s="1">
        <v>848.0</v>
      </c>
      <c r="F1960" s="1">
        <v>1062.0</v>
      </c>
      <c r="G1960" s="1">
        <v>1146.0</v>
      </c>
      <c r="H1960" s="1">
        <v>0.74</v>
      </c>
      <c r="I1960" s="1">
        <v>0.9267</v>
      </c>
      <c r="J1960" s="1">
        <v>-0.1867</v>
      </c>
      <c r="K1960" s="1">
        <v>419.0</v>
      </c>
    </row>
    <row r="1961">
      <c r="A1961" s="1" t="s">
        <v>24</v>
      </c>
      <c r="B1961" s="1" t="s">
        <v>1192</v>
      </c>
      <c r="C1961" s="1" t="s">
        <v>53</v>
      </c>
      <c r="D1961" s="1">
        <v>7.0</v>
      </c>
      <c r="E1961" s="1">
        <v>865.0</v>
      </c>
      <c r="F1961" s="1">
        <v>1063.0</v>
      </c>
      <c r="G1961" s="1">
        <v>1146.0</v>
      </c>
      <c r="H1961" s="1">
        <v>0.7548</v>
      </c>
      <c r="I1961" s="1">
        <v>0.9276</v>
      </c>
      <c r="J1961" s="1">
        <v>-0.1728</v>
      </c>
      <c r="K1961" s="1">
        <v>427.0</v>
      </c>
    </row>
    <row r="1962">
      <c r="A1962" s="1" t="s">
        <v>24</v>
      </c>
      <c r="B1962" s="1" t="s">
        <v>1192</v>
      </c>
      <c r="C1962" s="1" t="s">
        <v>53</v>
      </c>
      <c r="D1962" s="1">
        <v>8.0</v>
      </c>
      <c r="E1962" s="1">
        <v>1710.0</v>
      </c>
      <c r="F1962" s="1">
        <v>1555.0</v>
      </c>
      <c r="G1962" s="1">
        <v>1146.0</v>
      </c>
      <c r="H1962" s="1">
        <v>1.4921</v>
      </c>
      <c r="I1962" s="1">
        <v>1.3569</v>
      </c>
      <c r="J1962" s="1">
        <v>0.1353</v>
      </c>
      <c r="K1962" s="1">
        <v>479.0</v>
      </c>
    </row>
    <row r="1963">
      <c r="A1963" s="1" t="s">
        <v>24</v>
      </c>
      <c r="B1963" s="1" t="s">
        <v>1192</v>
      </c>
      <c r="C1963" s="1" t="s">
        <v>53</v>
      </c>
      <c r="D1963" s="1">
        <v>9.0</v>
      </c>
      <c r="E1963" s="1">
        <v>1141.0</v>
      </c>
      <c r="F1963" s="1">
        <v>1295.0</v>
      </c>
      <c r="G1963" s="1">
        <v>1146.0</v>
      </c>
      <c r="H1963" s="1">
        <v>0.9956</v>
      </c>
      <c r="I1963" s="1">
        <v>1.13</v>
      </c>
      <c r="J1963" s="1">
        <v>-0.1344</v>
      </c>
      <c r="K1963" s="1">
        <v>474.0</v>
      </c>
    </row>
    <row r="1964">
      <c r="A1964" s="1" t="s">
        <v>24</v>
      </c>
      <c r="B1964" s="1" t="s">
        <v>1192</v>
      </c>
      <c r="C1964" s="1" t="s">
        <v>53</v>
      </c>
      <c r="D1964" s="1">
        <v>10.0</v>
      </c>
      <c r="E1964" s="1">
        <v>1174.0</v>
      </c>
      <c r="F1964" s="1">
        <v>1238.0</v>
      </c>
      <c r="G1964" s="1">
        <v>1146.0</v>
      </c>
      <c r="H1964" s="1">
        <v>1.0244</v>
      </c>
      <c r="I1964" s="1">
        <v>1.0803</v>
      </c>
      <c r="J1964" s="1">
        <v>-0.0558</v>
      </c>
      <c r="K1964" s="1">
        <v>455.0</v>
      </c>
    </row>
    <row r="1965">
      <c r="A1965" s="1" t="s">
        <v>24</v>
      </c>
      <c r="B1965" s="1" t="s">
        <v>1192</v>
      </c>
      <c r="C1965" s="1" t="s">
        <v>53</v>
      </c>
      <c r="D1965" s="1">
        <v>11.0</v>
      </c>
      <c r="E1965" s="1">
        <v>970.0</v>
      </c>
      <c r="F1965" s="1">
        <v>1079.0</v>
      </c>
      <c r="G1965" s="1">
        <v>1146.0</v>
      </c>
      <c r="H1965" s="1">
        <v>0.8464</v>
      </c>
      <c r="I1965" s="1">
        <v>0.9415</v>
      </c>
      <c r="J1965" s="1">
        <v>-0.0951</v>
      </c>
      <c r="K1965" s="1">
        <v>467.0</v>
      </c>
    </row>
    <row r="1966">
      <c r="A1966" s="1" t="s">
        <v>24</v>
      </c>
      <c r="B1966" s="1" t="s">
        <v>1192</v>
      </c>
      <c r="C1966" s="1" t="s">
        <v>53</v>
      </c>
      <c r="D1966" s="1">
        <v>12.0</v>
      </c>
      <c r="E1966" s="1">
        <v>1273.0</v>
      </c>
      <c r="F1966" s="1">
        <v>1291.0</v>
      </c>
      <c r="G1966" s="1">
        <v>1146.0</v>
      </c>
      <c r="H1966" s="1">
        <v>1.1108</v>
      </c>
      <c r="I1966" s="1">
        <v>1.1265</v>
      </c>
      <c r="J1966" s="1">
        <v>-0.0157</v>
      </c>
      <c r="K1966" s="1">
        <v>499.0</v>
      </c>
    </row>
    <row r="1967">
      <c r="A1967" s="1" t="s">
        <v>24</v>
      </c>
      <c r="B1967" s="1" t="s">
        <v>1192</v>
      </c>
      <c r="C1967" s="1" t="s">
        <v>53</v>
      </c>
      <c r="D1967" s="1">
        <v>13.0</v>
      </c>
      <c r="E1967" s="1">
        <v>1039.0</v>
      </c>
      <c r="F1967" s="1">
        <v>1282.0</v>
      </c>
      <c r="G1967" s="1">
        <v>1146.0</v>
      </c>
      <c r="H1967" s="1">
        <v>0.9066</v>
      </c>
      <c r="I1967" s="1">
        <v>1.1187</v>
      </c>
      <c r="J1967" s="1">
        <v>-0.212</v>
      </c>
      <c r="K1967" s="1">
        <v>504.0</v>
      </c>
    </row>
    <row r="1968">
      <c r="A1968" s="1" t="s">
        <v>24</v>
      </c>
      <c r="B1968" s="1" t="s">
        <v>1192</v>
      </c>
      <c r="C1968" s="1" t="s">
        <v>53</v>
      </c>
      <c r="D1968" s="1">
        <v>14.0</v>
      </c>
      <c r="E1968" s="1">
        <v>951.0</v>
      </c>
      <c r="F1968" s="1">
        <v>1178.0</v>
      </c>
      <c r="G1968" s="1">
        <v>1146.0</v>
      </c>
      <c r="H1968" s="1">
        <v>0.8298</v>
      </c>
      <c r="I1968" s="1">
        <v>1.0279</v>
      </c>
      <c r="J1968" s="1">
        <v>-0.1981</v>
      </c>
      <c r="K1968" s="1">
        <v>521.0</v>
      </c>
    </row>
    <row r="1969">
      <c r="A1969" s="1" t="s">
        <v>24</v>
      </c>
      <c r="B1969" s="1" t="s">
        <v>1192</v>
      </c>
      <c r="C1969" s="1" t="s">
        <v>53</v>
      </c>
      <c r="D1969" s="1">
        <v>15.0</v>
      </c>
      <c r="E1969" s="1">
        <v>2002.0</v>
      </c>
      <c r="F1969" s="1">
        <v>1739.0</v>
      </c>
      <c r="G1969" s="1">
        <v>1146.0</v>
      </c>
      <c r="H1969" s="1">
        <v>1.7469</v>
      </c>
      <c r="I1969" s="1">
        <v>1.5175</v>
      </c>
      <c r="J1969" s="1">
        <v>0.2295</v>
      </c>
      <c r="K1969" s="1">
        <v>588.0</v>
      </c>
    </row>
    <row r="1970">
      <c r="A1970" s="1" t="s">
        <v>24</v>
      </c>
      <c r="B1970" s="1" t="s">
        <v>1192</v>
      </c>
      <c r="C1970" s="1" t="s">
        <v>53</v>
      </c>
      <c r="D1970" s="1">
        <v>16.0</v>
      </c>
      <c r="E1970" s="1">
        <v>1361.0</v>
      </c>
      <c r="F1970" s="1">
        <v>1527.0</v>
      </c>
      <c r="G1970" s="1">
        <v>1146.0</v>
      </c>
      <c r="H1970" s="1">
        <v>1.1876</v>
      </c>
      <c r="I1970" s="1">
        <v>1.3325</v>
      </c>
      <c r="J1970" s="1">
        <v>-0.1449</v>
      </c>
      <c r="K1970" s="1">
        <v>567.0</v>
      </c>
    </row>
    <row r="1971">
      <c r="A1971" s="1" t="s">
        <v>24</v>
      </c>
      <c r="B1971" s="1" t="s">
        <v>1192</v>
      </c>
      <c r="C1971" s="1" t="s">
        <v>53</v>
      </c>
      <c r="D1971" s="1">
        <v>17.0</v>
      </c>
      <c r="E1971" s="1">
        <v>1198.0</v>
      </c>
      <c r="F1971" s="1">
        <v>1349.0</v>
      </c>
      <c r="G1971" s="1">
        <v>1146.0</v>
      </c>
      <c r="H1971" s="1">
        <v>1.0454</v>
      </c>
      <c r="I1971" s="1">
        <v>1.1771</v>
      </c>
      <c r="J1971" s="1">
        <v>-0.1318</v>
      </c>
      <c r="K1971" s="1">
        <v>513.0</v>
      </c>
    </row>
    <row r="1972">
      <c r="A1972" s="1" t="s">
        <v>24</v>
      </c>
      <c r="B1972" s="1" t="s">
        <v>1192</v>
      </c>
      <c r="C1972" s="1" t="s">
        <v>53</v>
      </c>
      <c r="D1972" s="1">
        <v>18.0</v>
      </c>
      <c r="E1972" s="1">
        <v>2202.0</v>
      </c>
      <c r="F1972" s="1">
        <v>1379.0</v>
      </c>
      <c r="G1972" s="1">
        <v>1146.0</v>
      </c>
      <c r="H1972" s="1">
        <v>1.9215</v>
      </c>
      <c r="I1972" s="1">
        <v>1.2033</v>
      </c>
      <c r="J1972" s="1">
        <v>0.7182</v>
      </c>
      <c r="K1972" s="1">
        <v>549.0</v>
      </c>
    </row>
    <row r="1973">
      <c r="A1973" s="1" t="s">
        <v>24</v>
      </c>
      <c r="B1973" s="1" t="s">
        <v>1192</v>
      </c>
      <c r="C1973" s="1" t="s">
        <v>53</v>
      </c>
      <c r="D1973" s="1">
        <v>19.0</v>
      </c>
      <c r="E1973" s="1">
        <v>1353.0</v>
      </c>
      <c r="F1973" s="1">
        <v>1357.0</v>
      </c>
      <c r="G1973" s="1">
        <v>1146.0</v>
      </c>
      <c r="H1973" s="1">
        <v>1.1806</v>
      </c>
      <c r="I1973" s="1">
        <v>1.1841</v>
      </c>
      <c r="J1973" s="1">
        <v>-0.0035</v>
      </c>
      <c r="K1973" s="1">
        <v>538.0</v>
      </c>
    </row>
    <row r="1974">
      <c r="A1974" s="1" t="s">
        <v>24</v>
      </c>
      <c r="B1974" s="1" t="s">
        <v>1192</v>
      </c>
      <c r="C1974" s="1" t="s">
        <v>53</v>
      </c>
      <c r="D1974" s="1">
        <v>20.0</v>
      </c>
      <c r="E1974" s="1">
        <v>855.0</v>
      </c>
      <c r="F1974" s="1">
        <v>1232.0</v>
      </c>
      <c r="G1974" s="1">
        <v>1146.0</v>
      </c>
      <c r="H1974" s="1">
        <v>0.7461</v>
      </c>
      <c r="I1974" s="1">
        <v>1.075</v>
      </c>
      <c r="J1974" s="1">
        <v>-0.329</v>
      </c>
      <c r="K1974" s="1">
        <v>520.0</v>
      </c>
    </row>
    <row r="1975">
      <c r="A1975" s="1" t="s">
        <v>24</v>
      </c>
      <c r="B1975" s="1" t="s">
        <v>1192</v>
      </c>
      <c r="C1975" s="1" t="s">
        <v>53</v>
      </c>
      <c r="D1975" s="1">
        <v>21.0</v>
      </c>
      <c r="E1975" s="1">
        <v>752.0</v>
      </c>
      <c r="F1975" s="1">
        <v>1012.0</v>
      </c>
      <c r="G1975" s="1">
        <v>1146.0</v>
      </c>
      <c r="H1975" s="1">
        <v>0.6562</v>
      </c>
      <c r="I1975" s="1">
        <v>0.8831</v>
      </c>
      <c r="J1975" s="1">
        <v>-0.2269</v>
      </c>
      <c r="K1975" s="1">
        <v>494.0</v>
      </c>
    </row>
    <row r="1976">
      <c r="A1976" s="1" t="s">
        <v>24</v>
      </c>
      <c r="B1976" s="1" t="s">
        <v>1192</v>
      </c>
      <c r="C1976" s="1" t="s">
        <v>54</v>
      </c>
      <c r="D1976" s="1">
        <v>1.0</v>
      </c>
      <c r="E1976" s="1">
        <v>1114.0</v>
      </c>
      <c r="F1976" s="1">
        <v>1129.0</v>
      </c>
      <c r="G1976" s="1">
        <v>1106.0</v>
      </c>
      <c r="H1976" s="1">
        <v>1.0072</v>
      </c>
      <c r="I1976" s="1">
        <v>1.0208</v>
      </c>
      <c r="J1976" s="1">
        <v>-0.0136</v>
      </c>
      <c r="K1976" s="1">
        <v>413.0</v>
      </c>
    </row>
    <row r="1977">
      <c r="A1977" s="1" t="s">
        <v>24</v>
      </c>
      <c r="B1977" s="1" t="s">
        <v>1192</v>
      </c>
      <c r="C1977" s="1" t="s">
        <v>54</v>
      </c>
      <c r="D1977" s="1">
        <v>2.0</v>
      </c>
      <c r="E1977" s="1">
        <v>439.0</v>
      </c>
      <c r="F1977" s="1">
        <v>625.0</v>
      </c>
      <c r="G1977" s="1">
        <v>1106.0</v>
      </c>
      <c r="H1977" s="1">
        <v>0.3969</v>
      </c>
      <c r="I1977" s="1">
        <v>0.5651</v>
      </c>
      <c r="J1977" s="1">
        <v>-0.1682</v>
      </c>
      <c r="K1977" s="1">
        <v>382.0</v>
      </c>
    </row>
    <row r="1978">
      <c r="A1978" s="1" t="s">
        <v>24</v>
      </c>
      <c r="B1978" s="1" t="s">
        <v>1192</v>
      </c>
      <c r="C1978" s="1" t="s">
        <v>54</v>
      </c>
      <c r="D1978" s="1">
        <v>3.0</v>
      </c>
      <c r="E1978" s="1">
        <v>493.0</v>
      </c>
      <c r="F1978" s="1">
        <v>665.0</v>
      </c>
      <c r="G1978" s="1">
        <v>1106.0</v>
      </c>
      <c r="H1978" s="1">
        <v>0.4458</v>
      </c>
      <c r="I1978" s="1">
        <v>0.6013</v>
      </c>
      <c r="J1978" s="1">
        <v>-0.1555</v>
      </c>
      <c r="K1978" s="1">
        <v>403.0</v>
      </c>
    </row>
    <row r="1979">
      <c r="A1979" s="1" t="s">
        <v>24</v>
      </c>
      <c r="B1979" s="1" t="s">
        <v>1192</v>
      </c>
      <c r="C1979" s="1" t="s">
        <v>54</v>
      </c>
      <c r="D1979" s="1">
        <v>4.0</v>
      </c>
      <c r="E1979" s="1">
        <v>450.0</v>
      </c>
      <c r="F1979" s="1">
        <v>526.0</v>
      </c>
      <c r="G1979" s="1">
        <v>1106.0</v>
      </c>
      <c r="H1979" s="1">
        <v>0.4069</v>
      </c>
      <c r="I1979" s="1">
        <v>0.4756</v>
      </c>
      <c r="J1979" s="1">
        <v>-0.0687</v>
      </c>
      <c r="K1979" s="1">
        <v>411.0</v>
      </c>
    </row>
    <row r="1980">
      <c r="A1980" s="1" t="s">
        <v>24</v>
      </c>
      <c r="B1980" s="1" t="s">
        <v>1192</v>
      </c>
      <c r="C1980" s="1" t="s">
        <v>54</v>
      </c>
      <c r="D1980" s="1">
        <v>5.0</v>
      </c>
      <c r="E1980" s="1">
        <v>592.0</v>
      </c>
      <c r="F1980" s="1">
        <v>719.0</v>
      </c>
      <c r="G1980" s="1">
        <v>1106.0</v>
      </c>
      <c r="H1980" s="1">
        <v>0.5353</v>
      </c>
      <c r="I1980" s="1">
        <v>0.6501</v>
      </c>
      <c r="J1980" s="1">
        <v>-0.1148</v>
      </c>
      <c r="K1980" s="1">
        <v>429.0</v>
      </c>
    </row>
    <row r="1981">
      <c r="A1981" s="1" t="s">
        <v>24</v>
      </c>
      <c r="B1981" s="1" t="s">
        <v>1192</v>
      </c>
      <c r="C1981" s="1" t="s">
        <v>54</v>
      </c>
      <c r="D1981" s="1">
        <v>6.0</v>
      </c>
      <c r="E1981" s="1">
        <v>395.0</v>
      </c>
      <c r="F1981" s="1">
        <v>560.0</v>
      </c>
      <c r="G1981" s="1">
        <v>1106.0</v>
      </c>
      <c r="H1981" s="1">
        <v>0.3571</v>
      </c>
      <c r="I1981" s="1">
        <v>0.5063</v>
      </c>
      <c r="J1981" s="1">
        <v>-0.1492</v>
      </c>
      <c r="K1981" s="1">
        <v>419.0</v>
      </c>
    </row>
    <row r="1982">
      <c r="A1982" s="1" t="s">
        <v>24</v>
      </c>
      <c r="B1982" s="1" t="s">
        <v>1192</v>
      </c>
      <c r="C1982" s="1" t="s">
        <v>54</v>
      </c>
      <c r="D1982" s="1">
        <v>7.0</v>
      </c>
      <c r="E1982" s="1">
        <v>395.0</v>
      </c>
      <c r="F1982" s="1">
        <v>582.0</v>
      </c>
      <c r="G1982" s="1">
        <v>1106.0</v>
      </c>
      <c r="H1982" s="1">
        <v>0.3571</v>
      </c>
      <c r="I1982" s="1">
        <v>0.5262</v>
      </c>
      <c r="J1982" s="1">
        <v>-0.1691</v>
      </c>
      <c r="K1982" s="1">
        <v>427.0</v>
      </c>
    </row>
    <row r="1983">
      <c r="A1983" s="1" t="s">
        <v>24</v>
      </c>
      <c r="B1983" s="1" t="s">
        <v>1192</v>
      </c>
      <c r="C1983" s="1" t="s">
        <v>54</v>
      </c>
      <c r="D1983" s="1">
        <v>8.0</v>
      </c>
      <c r="E1983" s="1">
        <v>1163.0</v>
      </c>
      <c r="F1983" s="1">
        <v>1094.0</v>
      </c>
      <c r="G1983" s="1">
        <v>1106.0</v>
      </c>
      <c r="H1983" s="1">
        <v>1.0515</v>
      </c>
      <c r="I1983" s="1">
        <v>0.9892</v>
      </c>
      <c r="J1983" s="1">
        <v>0.0624</v>
      </c>
      <c r="K1983" s="1">
        <v>479.0</v>
      </c>
    </row>
    <row r="1984">
      <c r="A1984" s="1" t="s">
        <v>24</v>
      </c>
      <c r="B1984" s="1" t="s">
        <v>1192</v>
      </c>
      <c r="C1984" s="1" t="s">
        <v>54</v>
      </c>
      <c r="D1984" s="1">
        <v>9.0</v>
      </c>
      <c r="E1984" s="1">
        <v>554.0</v>
      </c>
      <c r="F1984" s="1">
        <v>762.0</v>
      </c>
      <c r="G1984" s="1">
        <v>1106.0</v>
      </c>
      <c r="H1984" s="1">
        <v>0.5009</v>
      </c>
      <c r="I1984" s="1">
        <v>0.689</v>
      </c>
      <c r="J1984" s="1">
        <v>-0.1881</v>
      </c>
      <c r="K1984" s="1">
        <v>474.0</v>
      </c>
    </row>
    <row r="1985">
      <c r="A1985" s="1" t="s">
        <v>24</v>
      </c>
      <c r="B1985" s="1" t="s">
        <v>1192</v>
      </c>
      <c r="C1985" s="1" t="s">
        <v>54</v>
      </c>
      <c r="D1985" s="1">
        <v>10.0</v>
      </c>
      <c r="E1985" s="1">
        <v>487.0</v>
      </c>
      <c r="F1985" s="1">
        <v>610.0</v>
      </c>
      <c r="G1985" s="1">
        <v>1106.0</v>
      </c>
      <c r="H1985" s="1">
        <v>0.4403</v>
      </c>
      <c r="I1985" s="1">
        <v>0.5515</v>
      </c>
      <c r="J1985" s="1">
        <v>-0.1112</v>
      </c>
      <c r="K1985" s="1">
        <v>455.0</v>
      </c>
    </row>
    <row r="1986">
      <c r="A1986" s="1" t="s">
        <v>24</v>
      </c>
      <c r="B1986" s="1" t="s">
        <v>1192</v>
      </c>
      <c r="C1986" s="1" t="s">
        <v>54</v>
      </c>
      <c r="D1986" s="1">
        <v>11.0</v>
      </c>
      <c r="E1986" s="1">
        <v>407.0</v>
      </c>
      <c r="F1986" s="1">
        <v>589.0</v>
      </c>
      <c r="G1986" s="1">
        <v>1106.0</v>
      </c>
      <c r="H1986" s="1">
        <v>0.368</v>
      </c>
      <c r="I1986" s="1">
        <v>0.5325</v>
      </c>
      <c r="J1986" s="1">
        <v>-0.1646</v>
      </c>
      <c r="K1986" s="1">
        <v>467.0</v>
      </c>
    </row>
    <row r="1987">
      <c r="A1987" s="1" t="s">
        <v>24</v>
      </c>
      <c r="B1987" s="1" t="s">
        <v>1192</v>
      </c>
      <c r="C1987" s="1" t="s">
        <v>54</v>
      </c>
      <c r="D1987" s="1">
        <v>12.0</v>
      </c>
      <c r="E1987" s="1">
        <v>567.0</v>
      </c>
      <c r="F1987" s="1">
        <v>687.0</v>
      </c>
      <c r="G1987" s="1">
        <v>1106.0</v>
      </c>
      <c r="H1987" s="1">
        <v>0.5127</v>
      </c>
      <c r="I1987" s="1">
        <v>0.6212</v>
      </c>
      <c r="J1987" s="1">
        <v>-0.1085</v>
      </c>
      <c r="K1987" s="1">
        <v>499.0</v>
      </c>
    </row>
    <row r="1988">
      <c r="A1988" s="1" t="s">
        <v>24</v>
      </c>
      <c r="B1988" s="1" t="s">
        <v>1192</v>
      </c>
      <c r="C1988" s="1" t="s">
        <v>54</v>
      </c>
      <c r="D1988" s="1">
        <v>13.0</v>
      </c>
      <c r="E1988" s="1">
        <v>450.0</v>
      </c>
      <c r="F1988" s="1">
        <v>690.0</v>
      </c>
      <c r="G1988" s="1">
        <v>1106.0</v>
      </c>
      <c r="H1988" s="1">
        <v>0.4069</v>
      </c>
      <c r="I1988" s="1">
        <v>0.6239</v>
      </c>
      <c r="J1988" s="1">
        <v>-0.217</v>
      </c>
      <c r="K1988" s="1">
        <v>504.0</v>
      </c>
    </row>
    <row r="1989">
      <c r="A1989" s="1" t="s">
        <v>24</v>
      </c>
      <c r="B1989" s="1" t="s">
        <v>1192</v>
      </c>
      <c r="C1989" s="1" t="s">
        <v>54</v>
      </c>
      <c r="D1989" s="1">
        <v>14.0</v>
      </c>
      <c r="E1989" s="1">
        <v>471.0</v>
      </c>
      <c r="F1989" s="1">
        <v>640.0</v>
      </c>
      <c r="G1989" s="1">
        <v>1106.0</v>
      </c>
      <c r="H1989" s="1">
        <v>0.4259</v>
      </c>
      <c r="I1989" s="1">
        <v>0.5787</v>
      </c>
      <c r="J1989" s="1">
        <v>-0.1528</v>
      </c>
      <c r="K1989" s="1">
        <v>521.0</v>
      </c>
    </row>
    <row r="1990">
      <c r="A1990" s="1" t="s">
        <v>24</v>
      </c>
      <c r="B1990" s="1" t="s">
        <v>1192</v>
      </c>
      <c r="C1990" s="1" t="s">
        <v>54</v>
      </c>
      <c r="D1990" s="1">
        <v>15.0</v>
      </c>
      <c r="E1990" s="1">
        <v>1384.0</v>
      </c>
      <c r="F1990" s="1">
        <v>1285.0</v>
      </c>
      <c r="G1990" s="1">
        <v>1106.0</v>
      </c>
      <c r="H1990" s="1">
        <v>1.2514</v>
      </c>
      <c r="I1990" s="1">
        <v>1.1618</v>
      </c>
      <c r="J1990" s="1">
        <v>0.0895</v>
      </c>
      <c r="K1990" s="1">
        <v>588.0</v>
      </c>
    </row>
    <row r="1991">
      <c r="A1991" s="1" t="s">
        <v>24</v>
      </c>
      <c r="B1991" s="1" t="s">
        <v>1192</v>
      </c>
      <c r="C1991" s="1" t="s">
        <v>54</v>
      </c>
      <c r="D1991" s="1">
        <v>16.0</v>
      </c>
      <c r="E1991" s="1">
        <v>615.0</v>
      </c>
      <c r="F1991" s="1">
        <v>907.0</v>
      </c>
      <c r="G1991" s="1">
        <v>1106.0</v>
      </c>
      <c r="H1991" s="1">
        <v>0.5561</v>
      </c>
      <c r="I1991" s="1">
        <v>0.8201</v>
      </c>
      <c r="J1991" s="1">
        <v>-0.264</v>
      </c>
      <c r="K1991" s="1">
        <v>567.0</v>
      </c>
    </row>
    <row r="1992">
      <c r="A1992" s="1" t="s">
        <v>24</v>
      </c>
      <c r="B1992" s="1" t="s">
        <v>1192</v>
      </c>
      <c r="C1992" s="1" t="s">
        <v>54</v>
      </c>
      <c r="D1992" s="1">
        <v>17.0</v>
      </c>
      <c r="E1992" s="1">
        <v>518.0</v>
      </c>
      <c r="F1992" s="1">
        <v>677.0</v>
      </c>
      <c r="G1992" s="1">
        <v>1106.0</v>
      </c>
      <c r="H1992" s="1">
        <v>0.4684</v>
      </c>
      <c r="I1992" s="1">
        <v>0.6121</v>
      </c>
      <c r="J1992" s="1">
        <v>-0.1438</v>
      </c>
      <c r="K1992" s="1">
        <v>513.0</v>
      </c>
    </row>
    <row r="1993">
      <c r="A1993" s="1" t="s">
        <v>24</v>
      </c>
      <c r="B1993" s="1" t="s">
        <v>1192</v>
      </c>
      <c r="C1993" s="1" t="s">
        <v>54</v>
      </c>
      <c r="D1993" s="1">
        <v>18.0</v>
      </c>
      <c r="E1993" s="1">
        <v>1557.0</v>
      </c>
      <c r="F1993" s="1">
        <v>701.0</v>
      </c>
      <c r="G1993" s="1">
        <v>1106.0</v>
      </c>
      <c r="H1993" s="1">
        <v>1.4078</v>
      </c>
      <c r="I1993" s="1">
        <v>0.6338</v>
      </c>
      <c r="J1993" s="1">
        <v>0.774</v>
      </c>
      <c r="K1993" s="1">
        <v>549.0</v>
      </c>
    </row>
    <row r="1994">
      <c r="A1994" s="1" t="s">
        <v>24</v>
      </c>
      <c r="B1994" s="1" t="s">
        <v>1192</v>
      </c>
      <c r="C1994" s="1" t="s">
        <v>54</v>
      </c>
      <c r="D1994" s="1">
        <v>19.0</v>
      </c>
      <c r="E1994" s="1">
        <v>685.0</v>
      </c>
      <c r="F1994" s="1">
        <v>719.0</v>
      </c>
      <c r="G1994" s="1">
        <v>1106.0</v>
      </c>
      <c r="H1994" s="1">
        <v>0.6193</v>
      </c>
      <c r="I1994" s="1">
        <v>0.6501</v>
      </c>
      <c r="J1994" s="1">
        <v>-0.0307</v>
      </c>
      <c r="K1994" s="1">
        <v>538.0</v>
      </c>
    </row>
    <row r="1995">
      <c r="A1995" s="1" t="s">
        <v>24</v>
      </c>
      <c r="B1995" s="1" t="s">
        <v>1192</v>
      </c>
      <c r="C1995" s="1" t="s">
        <v>54</v>
      </c>
      <c r="D1995" s="1">
        <v>20.0</v>
      </c>
      <c r="E1995" s="1">
        <v>369.0</v>
      </c>
      <c r="F1995" s="1">
        <v>595.0</v>
      </c>
      <c r="G1995" s="1">
        <v>1106.0</v>
      </c>
      <c r="H1995" s="1">
        <v>0.3336</v>
      </c>
      <c r="I1995" s="1">
        <v>0.538</v>
      </c>
      <c r="J1995" s="1">
        <v>-0.2043</v>
      </c>
      <c r="K1995" s="1">
        <v>520.0</v>
      </c>
    </row>
    <row r="1996">
      <c r="A1996" s="1" t="s">
        <v>24</v>
      </c>
      <c r="B1996" s="1" t="s">
        <v>1192</v>
      </c>
      <c r="C1996" s="1" t="s">
        <v>54</v>
      </c>
      <c r="D1996" s="1">
        <v>21.0</v>
      </c>
      <c r="E1996" s="1">
        <v>291.0</v>
      </c>
      <c r="F1996" s="1">
        <v>496.0</v>
      </c>
      <c r="G1996" s="1">
        <v>1106.0</v>
      </c>
      <c r="H1996" s="1">
        <v>0.2631</v>
      </c>
      <c r="I1996" s="1">
        <v>0.4485</v>
      </c>
      <c r="J1996" s="1">
        <v>-0.1854</v>
      </c>
      <c r="K1996" s="1">
        <v>494.0</v>
      </c>
    </row>
    <row r="1997">
      <c r="A1997" s="1" t="s">
        <v>24</v>
      </c>
      <c r="B1997" s="1" t="s">
        <v>1192</v>
      </c>
      <c r="C1997" s="1" t="s">
        <v>47</v>
      </c>
      <c r="D1997" s="1">
        <v>1.0</v>
      </c>
      <c r="E1997" s="1">
        <v>1672.0</v>
      </c>
      <c r="F1997" s="1">
        <v>1932.0</v>
      </c>
      <c r="G1997" s="1">
        <v>1152.0</v>
      </c>
      <c r="H1997" s="1">
        <v>1.4514</v>
      </c>
      <c r="I1997" s="1">
        <v>1.6771</v>
      </c>
      <c r="J1997" s="1">
        <v>-0.2257</v>
      </c>
      <c r="K1997" s="1">
        <v>413.0</v>
      </c>
    </row>
    <row r="1998">
      <c r="A1998" s="1" t="s">
        <v>24</v>
      </c>
      <c r="B1998" s="1" t="s">
        <v>1192</v>
      </c>
      <c r="C1998" s="1" t="s">
        <v>47</v>
      </c>
      <c r="D1998" s="1">
        <v>2.0</v>
      </c>
      <c r="E1998" s="1">
        <v>1026.0</v>
      </c>
      <c r="F1998" s="1">
        <v>1245.0</v>
      </c>
      <c r="G1998" s="1">
        <v>1152.0</v>
      </c>
      <c r="H1998" s="1">
        <v>0.8906</v>
      </c>
      <c r="I1998" s="1">
        <v>1.0807</v>
      </c>
      <c r="J1998" s="1">
        <v>-0.1901</v>
      </c>
      <c r="K1998" s="1">
        <v>382.0</v>
      </c>
    </row>
    <row r="1999">
      <c r="A1999" s="1" t="s">
        <v>24</v>
      </c>
      <c r="B1999" s="1" t="s">
        <v>1192</v>
      </c>
      <c r="C1999" s="1" t="s">
        <v>47</v>
      </c>
      <c r="D1999" s="1">
        <v>3.0</v>
      </c>
      <c r="E1999" s="1">
        <v>1082.0</v>
      </c>
      <c r="F1999" s="1">
        <v>1455.0</v>
      </c>
      <c r="G1999" s="1">
        <v>1152.0</v>
      </c>
      <c r="H1999" s="1">
        <v>0.9392</v>
      </c>
      <c r="I1999" s="1">
        <v>1.263</v>
      </c>
      <c r="J1999" s="1">
        <v>-0.3238</v>
      </c>
      <c r="K1999" s="1">
        <v>403.0</v>
      </c>
    </row>
    <row r="2000">
      <c r="A2000" s="1" t="s">
        <v>24</v>
      </c>
      <c r="B2000" s="1" t="s">
        <v>1192</v>
      </c>
      <c r="C2000" s="1" t="s">
        <v>47</v>
      </c>
      <c r="D2000" s="1">
        <v>4.0</v>
      </c>
      <c r="E2000" s="1">
        <v>965.0</v>
      </c>
      <c r="F2000" s="1">
        <v>1268.0</v>
      </c>
      <c r="G2000" s="1">
        <v>1152.0</v>
      </c>
      <c r="H2000" s="1">
        <v>0.8377</v>
      </c>
      <c r="I2000" s="1">
        <v>1.1007</v>
      </c>
      <c r="J2000" s="1">
        <v>-0.263</v>
      </c>
      <c r="K2000" s="1">
        <v>411.0</v>
      </c>
    </row>
    <row r="2001">
      <c r="A2001" s="1" t="s">
        <v>24</v>
      </c>
      <c r="B2001" s="1" t="s">
        <v>1192</v>
      </c>
      <c r="C2001" s="1" t="s">
        <v>47</v>
      </c>
      <c r="D2001" s="1">
        <v>5.0</v>
      </c>
      <c r="E2001" s="1">
        <v>1247.0</v>
      </c>
      <c r="F2001" s="1">
        <v>1597.0</v>
      </c>
      <c r="G2001" s="1">
        <v>1152.0</v>
      </c>
      <c r="H2001" s="1">
        <v>1.0825</v>
      </c>
      <c r="I2001" s="1">
        <v>1.3863</v>
      </c>
      <c r="J2001" s="1">
        <v>-0.3038</v>
      </c>
      <c r="K2001" s="1">
        <v>429.0</v>
      </c>
    </row>
    <row r="2002">
      <c r="A2002" s="1" t="s">
        <v>24</v>
      </c>
      <c r="B2002" s="1" t="s">
        <v>1192</v>
      </c>
      <c r="C2002" s="1" t="s">
        <v>47</v>
      </c>
      <c r="D2002" s="1">
        <v>6.0</v>
      </c>
      <c r="E2002" s="1">
        <v>938.0</v>
      </c>
      <c r="F2002" s="1">
        <v>1331.0</v>
      </c>
      <c r="G2002" s="1">
        <v>1152.0</v>
      </c>
      <c r="H2002" s="1">
        <v>0.8142</v>
      </c>
      <c r="I2002" s="1">
        <v>1.1554</v>
      </c>
      <c r="J2002" s="1">
        <v>-0.3411</v>
      </c>
      <c r="K2002" s="1">
        <v>419.0</v>
      </c>
    </row>
    <row r="2003">
      <c r="A2003" s="1" t="s">
        <v>24</v>
      </c>
      <c r="B2003" s="1" t="s">
        <v>1192</v>
      </c>
      <c r="C2003" s="1" t="s">
        <v>47</v>
      </c>
      <c r="D2003" s="1">
        <v>7.0</v>
      </c>
      <c r="E2003" s="1">
        <v>886.0</v>
      </c>
      <c r="F2003" s="1">
        <v>1227.0</v>
      </c>
      <c r="G2003" s="1">
        <v>1152.0</v>
      </c>
      <c r="H2003" s="1">
        <v>0.7691</v>
      </c>
      <c r="I2003" s="1">
        <v>1.0651</v>
      </c>
      <c r="J2003" s="1">
        <v>-0.296</v>
      </c>
      <c r="K2003" s="1">
        <v>427.0</v>
      </c>
    </row>
    <row r="2004">
      <c r="A2004" s="1" t="s">
        <v>24</v>
      </c>
      <c r="B2004" s="1" t="s">
        <v>1192</v>
      </c>
      <c r="C2004" s="1" t="s">
        <v>47</v>
      </c>
      <c r="D2004" s="1">
        <v>8.0</v>
      </c>
      <c r="E2004" s="1">
        <v>1852.0</v>
      </c>
      <c r="F2004" s="1">
        <v>1927.0</v>
      </c>
      <c r="G2004" s="1">
        <v>1152.0</v>
      </c>
      <c r="H2004" s="1">
        <v>1.6076</v>
      </c>
      <c r="I2004" s="1">
        <v>1.6727</v>
      </c>
      <c r="J2004" s="1">
        <v>-0.0651</v>
      </c>
      <c r="K2004" s="1">
        <v>479.0</v>
      </c>
    </row>
    <row r="2005">
      <c r="A2005" s="1" t="s">
        <v>24</v>
      </c>
      <c r="B2005" s="1" t="s">
        <v>1192</v>
      </c>
      <c r="C2005" s="1" t="s">
        <v>47</v>
      </c>
      <c r="D2005" s="1">
        <v>9.0</v>
      </c>
      <c r="E2005" s="1">
        <v>1240.0</v>
      </c>
      <c r="F2005" s="1">
        <v>1648.0</v>
      </c>
      <c r="G2005" s="1">
        <v>1152.0</v>
      </c>
      <c r="H2005" s="1">
        <v>1.0764</v>
      </c>
      <c r="I2005" s="1">
        <v>1.4306</v>
      </c>
      <c r="J2005" s="1">
        <v>-0.3542</v>
      </c>
      <c r="K2005" s="1">
        <v>474.0</v>
      </c>
    </row>
    <row r="2006">
      <c r="A2006" s="1" t="s">
        <v>24</v>
      </c>
      <c r="B2006" s="1" t="s">
        <v>1192</v>
      </c>
      <c r="C2006" s="1" t="s">
        <v>47</v>
      </c>
      <c r="D2006" s="1">
        <v>10.0</v>
      </c>
      <c r="E2006" s="1">
        <v>1048.0</v>
      </c>
      <c r="F2006" s="1">
        <v>1281.0</v>
      </c>
      <c r="G2006" s="1">
        <v>1152.0</v>
      </c>
      <c r="H2006" s="1">
        <v>0.9097</v>
      </c>
      <c r="I2006" s="1">
        <v>1.112</v>
      </c>
      <c r="J2006" s="1">
        <v>-0.2023</v>
      </c>
      <c r="K2006" s="1">
        <v>455.0</v>
      </c>
    </row>
    <row r="2007">
      <c r="A2007" s="1" t="s">
        <v>24</v>
      </c>
      <c r="B2007" s="1" t="s">
        <v>1192</v>
      </c>
      <c r="C2007" s="1" t="s">
        <v>47</v>
      </c>
      <c r="D2007" s="1">
        <v>11.0</v>
      </c>
      <c r="E2007" s="1">
        <v>1050.0</v>
      </c>
      <c r="F2007" s="1">
        <v>1245.0</v>
      </c>
      <c r="G2007" s="1">
        <v>1152.0</v>
      </c>
      <c r="H2007" s="1">
        <v>0.9115</v>
      </c>
      <c r="I2007" s="1">
        <v>1.0807</v>
      </c>
      <c r="J2007" s="1">
        <v>-0.1693</v>
      </c>
      <c r="K2007" s="1">
        <v>467.0</v>
      </c>
    </row>
    <row r="2008">
      <c r="A2008" s="1" t="s">
        <v>24</v>
      </c>
      <c r="B2008" s="1" t="s">
        <v>1192</v>
      </c>
      <c r="C2008" s="1" t="s">
        <v>47</v>
      </c>
      <c r="D2008" s="1">
        <v>12.0</v>
      </c>
      <c r="E2008" s="1">
        <v>1298.0</v>
      </c>
      <c r="F2008" s="1">
        <v>1560.0</v>
      </c>
      <c r="G2008" s="1">
        <v>1152.0</v>
      </c>
      <c r="H2008" s="1">
        <v>1.1267</v>
      </c>
      <c r="I2008" s="1">
        <v>1.3542</v>
      </c>
      <c r="J2008" s="1">
        <v>-0.2274</v>
      </c>
      <c r="K2008" s="1">
        <v>499.0</v>
      </c>
    </row>
    <row r="2009">
      <c r="A2009" s="1" t="s">
        <v>24</v>
      </c>
      <c r="B2009" s="1" t="s">
        <v>1192</v>
      </c>
      <c r="C2009" s="1" t="s">
        <v>47</v>
      </c>
      <c r="D2009" s="1">
        <v>13.0</v>
      </c>
      <c r="E2009" s="1">
        <v>1135.0</v>
      </c>
      <c r="F2009" s="1">
        <v>1552.0</v>
      </c>
      <c r="G2009" s="1">
        <v>1152.0</v>
      </c>
      <c r="H2009" s="1">
        <v>0.9852</v>
      </c>
      <c r="I2009" s="1">
        <v>1.3472</v>
      </c>
      <c r="J2009" s="1">
        <v>-0.362</v>
      </c>
      <c r="K2009" s="1">
        <v>504.0</v>
      </c>
    </row>
    <row r="2010">
      <c r="A2010" s="1" t="s">
        <v>24</v>
      </c>
      <c r="B2010" s="1" t="s">
        <v>1192</v>
      </c>
      <c r="C2010" s="1" t="s">
        <v>47</v>
      </c>
      <c r="D2010" s="1">
        <v>14.0</v>
      </c>
      <c r="E2010" s="1">
        <v>964.0</v>
      </c>
      <c r="F2010" s="1">
        <v>1373.0</v>
      </c>
      <c r="G2010" s="1">
        <v>1152.0</v>
      </c>
      <c r="H2010" s="1">
        <v>0.8368</v>
      </c>
      <c r="I2010" s="1">
        <v>1.1918</v>
      </c>
      <c r="J2010" s="1">
        <v>-0.355</v>
      </c>
      <c r="K2010" s="1">
        <v>521.0</v>
      </c>
    </row>
    <row r="2011">
      <c r="A2011" s="1" t="s">
        <v>24</v>
      </c>
      <c r="B2011" s="1" t="s">
        <v>1192</v>
      </c>
      <c r="C2011" s="1" t="s">
        <v>47</v>
      </c>
      <c r="D2011" s="1">
        <v>15.0</v>
      </c>
      <c r="E2011" s="1">
        <v>2227.0</v>
      </c>
      <c r="F2011" s="1">
        <v>2235.0</v>
      </c>
      <c r="G2011" s="1">
        <v>1152.0</v>
      </c>
      <c r="H2011" s="1">
        <v>1.9332</v>
      </c>
      <c r="I2011" s="1">
        <v>1.9401</v>
      </c>
      <c r="J2011" s="1">
        <v>-0.0069</v>
      </c>
      <c r="K2011" s="1">
        <v>588.0</v>
      </c>
    </row>
    <row r="2012">
      <c r="A2012" s="1" t="s">
        <v>24</v>
      </c>
      <c r="B2012" s="1" t="s">
        <v>1192</v>
      </c>
      <c r="C2012" s="1" t="s">
        <v>47</v>
      </c>
      <c r="D2012" s="1">
        <v>16.0</v>
      </c>
      <c r="E2012" s="1">
        <v>1354.0</v>
      </c>
      <c r="F2012" s="1">
        <v>1837.0</v>
      </c>
      <c r="G2012" s="1">
        <v>1152.0</v>
      </c>
      <c r="H2012" s="1">
        <v>1.1753</v>
      </c>
      <c r="I2012" s="1">
        <v>1.5946</v>
      </c>
      <c r="J2012" s="1">
        <v>-0.4193</v>
      </c>
      <c r="K2012" s="1">
        <v>567.0</v>
      </c>
    </row>
    <row r="2013">
      <c r="A2013" s="1" t="s">
        <v>24</v>
      </c>
      <c r="B2013" s="1" t="s">
        <v>1192</v>
      </c>
      <c r="C2013" s="1" t="s">
        <v>47</v>
      </c>
      <c r="D2013" s="1">
        <v>17.0</v>
      </c>
      <c r="E2013" s="1">
        <v>1021.0</v>
      </c>
      <c r="F2013" s="1">
        <v>1374.0</v>
      </c>
      <c r="G2013" s="1">
        <v>1152.0</v>
      </c>
      <c r="H2013" s="1">
        <v>0.8863</v>
      </c>
      <c r="I2013" s="1">
        <v>1.1927</v>
      </c>
      <c r="J2013" s="1">
        <v>-0.3064</v>
      </c>
      <c r="K2013" s="1">
        <v>513.0</v>
      </c>
    </row>
    <row r="2014">
      <c r="A2014" s="1" t="s">
        <v>24</v>
      </c>
      <c r="B2014" s="1" t="s">
        <v>1192</v>
      </c>
      <c r="C2014" s="1" t="s">
        <v>47</v>
      </c>
      <c r="D2014" s="1">
        <v>18.0</v>
      </c>
      <c r="E2014" s="1">
        <v>1056.0</v>
      </c>
      <c r="F2014" s="1">
        <v>1462.0</v>
      </c>
      <c r="G2014" s="1">
        <v>1152.0</v>
      </c>
      <c r="H2014" s="1">
        <v>0.9167</v>
      </c>
      <c r="I2014" s="1">
        <v>1.2691</v>
      </c>
      <c r="J2014" s="1">
        <v>-0.3524</v>
      </c>
      <c r="K2014" s="1">
        <v>549.0</v>
      </c>
    </row>
    <row r="2015">
      <c r="A2015" s="1" t="s">
        <v>24</v>
      </c>
      <c r="B2015" s="1" t="s">
        <v>1192</v>
      </c>
      <c r="C2015" s="1" t="s">
        <v>47</v>
      </c>
      <c r="D2015" s="1">
        <v>19.0</v>
      </c>
      <c r="E2015" s="1">
        <v>1193.0</v>
      </c>
      <c r="F2015" s="1">
        <v>1423.0</v>
      </c>
      <c r="G2015" s="1">
        <v>1152.0</v>
      </c>
      <c r="H2015" s="1">
        <v>1.0356</v>
      </c>
      <c r="I2015" s="1">
        <v>1.2352</v>
      </c>
      <c r="J2015" s="1">
        <v>-0.1997</v>
      </c>
      <c r="K2015" s="1">
        <v>538.0</v>
      </c>
    </row>
    <row r="2016">
      <c r="A2016" s="1" t="s">
        <v>24</v>
      </c>
      <c r="B2016" s="1" t="s">
        <v>1192</v>
      </c>
      <c r="C2016" s="1" t="s">
        <v>47</v>
      </c>
      <c r="D2016" s="1">
        <v>20.0</v>
      </c>
      <c r="E2016" s="1">
        <v>809.0</v>
      </c>
      <c r="F2016" s="1">
        <v>1179.0</v>
      </c>
      <c r="G2016" s="1">
        <v>1152.0</v>
      </c>
      <c r="H2016" s="1">
        <v>0.7023</v>
      </c>
      <c r="I2016" s="1">
        <v>1.0234</v>
      </c>
      <c r="J2016" s="1">
        <v>-0.3212</v>
      </c>
      <c r="K2016" s="1">
        <v>520.0</v>
      </c>
    </row>
    <row r="2017">
      <c r="A2017" s="1" t="s">
        <v>24</v>
      </c>
      <c r="B2017" s="1" t="s">
        <v>1192</v>
      </c>
      <c r="C2017" s="1" t="s">
        <v>47</v>
      </c>
      <c r="D2017" s="1">
        <v>21.0</v>
      </c>
      <c r="E2017" s="1">
        <v>722.0</v>
      </c>
      <c r="F2017" s="1">
        <v>1141.0</v>
      </c>
      <c r="G2017" s="1">
        <v>1152.0</v>
      </c>
      <c r="H2017" s="1">
        <v>0.6267</v>
      </c>
      <c r="I2017" s="1">
        <v>0.9905</v>
      </c>
      <c r="J2017" s="1">
        <v>-0.3637</v>
      </c>
      <c r="K2017" s="1">
        <v>494.0</v>
      </c>
    </row>
    <row r="2018">
      <c r="A2018" s="1" t="s">
        <v>24</v>
      </c>
      <c r="B2018" s="1" t="s">
        <v>1192</v>
      </c>
      <c r="C2018" s="1" t="s">
        <v>48</v>
      </c>
      <c r="D2018" s="1">
        <v>1.0</v>
      </c>
      <c r="E2018" s="1">
        <v>1586.0</v>
      </c>
      <c r="F2018" s="1">
        <v>1725.0</v>
      </c>
      <c r="G2018" s="1">
        <v>1150.0</v>
      </c>
      <c r="H2018" s="1">
        <v>1.3791</v>
      </c>
      <c r="I2018" s="1">
        <v>1.5</v>
      </c>
      <c r="J2018" s="1">
        <v>-0.1209</v>
      </c>
      <c r="K2018" s="1">
        <v>413.0</v>
      </c>
    </row>
    <row r="2019">
      <c r="A2019" s="1" t="s">
        <v>24</v>
      </c>
      <c r="B2019" s="1" t="s">
        <v>1192</v>
      </c>
      <c r="C2019" s="1" t="s">
        <v>48</v>
      </c>
      <c r="D2019" s="1">
        <v>2.0</v>
      </c>
      <c r="E2019" s="1">
        <v>995.0</v>
      </c>
      <c r="F2019" s="1">
        <v>1143.0</v>
      </c>
      <c r="G2019" s="1">
        <v>1150.0</v>
      </c>
      <c r="H2019" s="1">
        <v>0.8652</v>
      </c>
      <c r="I2019" s="1">
        <v>0.9939</v>
      </c>
      <c r="J2019" s="1">
        <v>-0.1287</v>
      </c>
      <c r="K2019" s="1">
        <v>382.0</v>
      </c>
    </row>
    <row r="2020">
      <c r="A2020" s="1" t="s">
        <v>24</v>
      </c>
      <c r="B2020" s="1" t="s">
        <v>1192</v>
      </c>
      <c r="C2020" s="1" t="s">
        <v>48</v>
      </c>
      <c r="D2020" s="1">
        <v>3.0</v>
      </c>
      <c r="E2020" s="1">
        <v>1018.0</v>
      </c>
      <c r="F2020" s="1">
        <v>1346.0</v>
      </c>
      <c r="G2020" s="1">
        <v>1150.0</v>
      </c>
      <c r="H2020" s="1">
        <v>0.8852</v>
      </c>
      <c r="I2020" s="1">
        <v>1.1704</v>
      </c>
      <c r="J2020" s="1">
        <v>-0.2852</v>
      </c>
      <c r="K2020" s="1">
        <v>403.0</v>
      </c>
    </row>
    <row r="2021">
      <c r="A2021" s="1" t="s">
        <v>24</v>
      </c>
      <c r="B2021" s="1" t="s">
        <v>1192</v>
      </c>
      <c r="C2021" s="1" t="s">
        <v>48</v>
      </c>
      <c r="D2021" s="1">
        <v>4.0</v>
      </c>
      <c r="E2021" s="1">
        <v>967.0</v>
      </c>
      <c r="F2021" s="1">
        <v>1232.0</v>
      </c>
      <c r="G2021" s="1">
        <v>1150.0</v>
      </c>
      <c r="H2021" s="1">
        <v>0.8409</v>
      </c>
      <c r="I2021" s="1">
        <v>1.0713</v>
      </c>
      <c r="J2021" s="1">
        <v>-0.2304</v>
      </c>
      <c r="K2021" s="1">
        <v>411.0</v>
      </c>
    </row>
    <row r="2022">
      <c r="A2022" s="1" t="s">
        <v>24</v>
      </c>
      <c r="B2022" s="1" t="s">
        <v>1192</v>
      </c>
      <c r="C2022" s="1" t="s">
        <v>48</v>
      </c>
      <c r="D2022" s="1">
        <v>5.0</v>
      </c>
      <c r="E2022" s="1">
        <v>1494.0</v>
      </c>
      <c r="F2022" s="1">
        <v>1730.0</v>
      </c>
      <c r="G2022" s="1">
        <v>1150.0</v>
      </c>
      <c r="H2022" s="1">
        <v>1.2991</v>
      </c>
      <c r="I2022" s="1">
        <v>1.5043</v>
      </c>
      <c r="J2022" s="1">
        <v>-0.2052</v>
      </c>
      <c r="K2022" s="1">
        <v>429.0</v>
      </c>
    </row>
    <row r="2023">
      <c r="A2023" s="1" t="s">
        <v>24</v>
      </c>
      <c r="B2023" s="1" t="s">
        <v>1192</v>
      </c>
      <c r="C2023" s="1" t="s">
        <v>48</v>
      </c>
      <c r="D2023" s="1">
        <v>6.0</v>
      </c>
      <c r="E2023" s="1">
        <v>952.0</v>
      </c>
      <c r="F2023" s="1">
        <v>1300.0</v>
      </c>
      <c r="G2023" s="1">
        <v>1150.0</v>
      </c>
      <c r="H2023" s="1">
        <v>0.8278</v>
      </c>
      <c r="I2023" s="1">
        <v>1.1304</v>
      </c>
      <c r="J2023" s="1">
        <v>-0.3026</v>
      </c>
      <c r="K2023" s="1">
        <v>419.0</v>
      </c>
    </row>
    <row r="2024">
      <c r="A2024" s="1" t="s">
        <v>24</v>
      </c>
      <c r="B2024" s="1" t="s">
        <v>1192</v>
      </c>
      <c r="C2024" s="1" t="s">
        <v>48</v>
      </c>
      <c r="D2024" s="1">
        <v>7.0</v>
      </c>
      <c r="E2024" s="1">
        <v>857.0</v>
      </c>
      <c r="F2024" s="1">
        <v>1202.0</v>
      </c>
      <c r="G2024" s="1">
        <v>1150.0</v>
      </c>
      <c r="H2024" s="1">
        <v>0.7452</v>
      </c>
      <c r="I2024" s="1">
        <v>1.0452</v>
      </c>
      <c r="J2024" s="1">
        <v>-0.3</v>
      </c>
      <c r="K2024" s="1">
        <v>427.0</v>
      </c>
    </row>
    <row r="2025">
      <c r="A2025" s="1" t="s">
        <v>24</v>
      </c>
      <c r="B2025" s="1" t="s">
        <v>1192</v>
      </c>
      <c r="C2025" s="1" t="s">
        <v>48</v>
      </c>
      <c r="D2025" s="1">
        <v>8.0</v>
      </c>
      <c r="E2025" s="1">
        <v>1855.0</v>
      </c>
      <c r="F2025" s="1">
        <v>1675.0</v>
      </c>
      <c r="G2025" s="1">
        <v>1150.0</v>
      </c>
      <c r="H2025" s="1">
        <v>1.613</v>
      </c>
      <c r="I2025" s="1">
        <v>1.4565</v>
      </c>
      <c r="J2025" s="1">
        <v>0.1565</v>
      </c>
      <c r="K2025" s="1">
        <v>479.0</v>
      </c>
    </row>
    <row r="2026">
      <c r="A2026" s="1" t="s">
        <v>24</v>
      </c>
      <c r="B2026" s="1" t="s">
        <v>1192</v>
      </c>
      <c r="C2026" s="1" t="s">
        <v>48</v>
      </c>
      <c r="D2026" s="1">
        <v>9.0</v>
      </c>
      <c r="E2026" s="1">
        <v>1199.0</v>
      </c>
      <c r="F2026" s="1">
        <v>1478.0</v>
      </c>
      <c r="G2026" s="1">
        <v>1150.0</v>
      </c>
      <c r="H2026" s="1">
        <v>1.0426</v>
      </c>
      <c r="I2026" s="1">
        <v>1.2852</v>
      </c>
      <c r="J2026" s="1">
        <v>-0.2426</v>
      </c>
      <c r="K2026" s="1">
        <v>474.0</v>
      </c>
    </row>
    <row r="2027">
      <c r="A2027" s="1" t="s">
        <v>24</v>
      </c>
      <c r="B2027" s="1" t="s">
        <v>1192</v>
      </c>
      <c r="C2027" s="1" t="s">
        <v>48</v>
      </c>
      <c r="D2027" s="1">
        <v>10.0</v>
      </c>
      <c r="E2027" s="1">
        <v>1019.0</v>
      </c>
      <c r="F2027" s="1">
        <v>1204.0</v>
      </c>
      <c r="G2027" s="1">
        <v>1150.0</v>
      </c>
      <c r="H2027" s="1">
        <v>0.8861</v>
      </c>
      <c r="I2027" s="1">
        <v>1.047</v>
      </c>
      <c r="J2027" s="1">
        <v>-0.1609</v>
      </c>
      <c r="K2027" s="1">
        <v>455.0</v>
      </c>
    </row>
    <row r="2028">
      <c r="A2028" s="1" t="s">
        <v>24</v>
      </c>
      <c r="B2028" s="1" t="s">
        <v>1192</v>
      </c>
      <c r="C2028" s="1" t="s">
        <v>48</v>
      </c>
      <c r="D2028" s="1">
        <v>11.0</v>
      </c>
      <c r="E2028" s="1">
        <v>1033.0</v>
      </c>
      <c r="F2028" s="1">
        <v>1252.0</v>
      </c>
      <c r="G2028" s="1">
        <v>1150.0</v>
      </c>
      <c r="H2028" s="1">
        <v>0.8983</v>
      </c>
      <c r="I2028" s="1">
        <v>1.0887</v>
      </c>
      <c r="J2028" s="1">
        <v>-0.1904</v>
      </c>
      <c r="K2028" s="1">
        <v>467.0</v>
      </c>
    </row>
    <row r="2029">
      <c r="A2029" s="1" t="s">
        <v>24</v>
      </c>
      <c r="B2029" s="1" t="s">
        <v>1192</v>
      </c>
      <c r="C2029" s="1" t="s">
        <v>48</v>
      </c>
      <c r="D2029" s="1">
        <v>12.0</v>
      </c>
      <c r="E2029" s="1">
        <v>1556.0</v>
      </c>
      <c r="F2029" s="1">
        <v>1648.0</v>
      </c>
      <c r="G2029" s="1">
        <v>1150.0</v>
      </c>
      <c r="H2029" s="1">
        <v>1.353</v>
      </c>
      <c r="I2029" s="1">
        <v>1.433</v>
      </c>
      <c r="J2029" s="1">
        <v>-0.08</v>
      </c>
      <c r="K2029" s="1">
        <v>499.0</v>
      </c>
    </row>
    <row r="2030">
      <c r="A2030" s="1" t="s">
        <v>24</v>
      </c>
      <c r="B2030" s="1" t="s">
        <v>1192</v>
      </c>
      <c r="C2030" s="1" t="s">
        <v>48</v>
      </c>
      <c r="D2030" s="1">
        <v>13.0</v>
      </c>
      <c r="E2030" s="1">
        <v>1152.0</v>
      </c>
      <c r="F2030" s="1">
        <v>1529.0</v>
      </c>
      <c r="G2030" s="1">
        <v>1150.0</v>
      </c>
      <c r="H2030" s="1">
        <v>1.0017</v>
      </c>
      <c r="I2030" s="1">
        <v>1.3296</v>
      </c>
      <c r="J2030" s="1">
        <v>-0.3278</v>
      </c>
      <c r="K2030" s="1">
        <v>504.0</v>
      </c>
    </row>
    <row r="2031">
      <c r="A2031" s="1" t="s">
        <v>24</v>
      </c>
      <c r="B2031" s="1" t="s">
        <v>1192</v>
      </c>
      <c r="C2031" s="1" t="s">
        <v>48</v>
      </c>
      <c r="D2031" s="1">
        <v>14.0</v>
      </c>
      <c r="E2031" s="1">
        <v>1025.0</v>
      </c>
      <c r="F2031" s="1">
        <v>1328.0</v>
      </c>
      <c r="G2031" s="1">
        <v>1150.0</v>
      </c>
      <c r="H2031" s="1">
        <v>0.8913</v>
      </c>
      <c r="I2031" s="1">
        <v>1.1548</v>
      </c>
      <c r="J2031" s="1">
        <v>-0.2635</v>
      </c>
      <c r="K2031" s="1">
        <v>521.0</v>
      </c>
    </row>
    <row r="2032">
      <c r="A2032" s="1" t="s">
        <v>24</v>
      </c>
      <c r="B2032" s="1" t="s">
        <v>1192</v>
      </c>
      <c r="C2032" s="1" t="s">
        <v>48</v>
      </c>
      <c r="D2032" s="1">
        <v>15.0</v>
      </c>
      <c r="E2032" s="1">
        <v>2167.0</v>
      </c>
      <c r="F2032" s="1">
        <v>1970.0</v>
      </c>
      <c r="G2032" s="1">
        <v>1150.0</v>
      </c>
      <c r="H2032" s="1">
        <v>1.8843</v>
      </c>
      <c r="I2032" s="1">
        <v>1.713</v>
      </c>
      <c r="J2032" s="1">
        <v>0.1713</v>
      </c>
      <c r="K2032" s="1">
        <v>588.0</v>
      </c>
    </row>
    <row r="2033">
      <c r="A2033" s="1" t="s">
        <v>24</v>
      </c>
      <c r="B2033" s="1" t="s">
        <v>1192</v>
      </c>
      <c r="C2033" s="1" t="s">
        <v>48</v>
      </c>
      <c r="D2033" s="1">
        <v>16.0</v>
      </c>
      <c r="E2033" s="1">
        <v>1275.0</v>
      </c>
      <c r="F2033" s="1">
        <v>1609.0</v>
      </c>
      <c r="G2033" s="1">
        <v>1150.0</v>
      </c>
      <c r="H2033" s="1">
        <v>1.1087</v>
      </c>
      <c r="I2033" s="1">
        <v>1.3991</v>
      </c>
      <c r="J2033" s="1">
        <v>-0.2904</v>
      </c>
      <c r="K2033" s="1">
        <v>567.0</v>
      </c>
    </row>
    <row r="2034">
      <c r="A2034" s="1" t="s">
        <v>24</v>
      </c>
      <c r="B2034" s="1" t="s">
        <v>1192</v>
      </c>
      <c r="C2034" s="1" t="s">
        <v>48</v>
      </c>
      <c r="D2034" s="1">
        <v>17.0</v>
      </c>
      <c r="E2034" s="1">
        <v>960.0</v>
      </c>
      <c r="F2034" s="1">
        <v>1311.0</v>
      </c>
      <c r="G2034" s="1">
        <v>1150.0</v>
      </c>
      <c r="H2034" s="1">
        <v>0.8348</v>
      </c>
      <c r="I2034" s="1">
        <v>1.14</v>
      </c>
      <c r="J2034" s="1">
        <v>-0.3052</v>
      </c>
      <c r="K2034" s="1">
        <v>513.0</v>
      </c>
    </row>
    <row r="2035">
      <c r="A2035" s="1" t="s">
        <v>24</v>
      </c>
      <c r="B2035" s="1" t="s">
        <v>1192</v>
      </c>
      <c r="C2035" s="1" t="s">
        <v>48</v>
      </c>
      <c r="D2035" s="1">
        <v>18.0</v>
      </c>
      <c r="E2035" s="1">
        <v>1007.0</v>
      </c>
      <c r="F2035" s="1">
        <v>1461.0</v>
      </c>
      <c r="G2035" s="1">
        <v>1150.0</v>
      </c>
      <c r="H2035" s="1">
        <v>0.8757</v>
      </c>
      <c r="I2035" s="1">
        <v>1.2704</v>
      </c>
      <c r="J2035" s="1">
        <v>-0.3948</v>
      </c>
      <c r="K2035" s="1">
        <v>549.0</v>
      </c>
    </row>
    <row r="2036">
      <c r="A2036" s="1" t="s">
        <v>24</v>
      </c>
      <c r="B2036" s="1" t="s">
        <v>1192</v>
      </c>
      <c r="C2036" s="1" t="s">
        <v>48</v>
      </c>
      <c r="D2036" s="1">
        <v>19.0</v>
      </c>
      <c r="E2036" s="1">
        <v>1447.0</v>
      </c>
      <c r="F2036" s="1">
        <v>1525.0</v>
      </c>
      <c r="G2036" s="1">
        <v>1150.0</v>
      </c>
      <c r="H2036" s="1">
        <v>1.2583</v>
      </c>
      <c r="I2036" s="1">
        <v>1.3261</v>
      </c>
      <c r="J2036" s="1">
        <v>-0.0678</v>
      </c>
      <c r="K2036" s="1">
        <v>538.0</v>
      </c>
    </row>
    <row r="2037">
      <c r="A2037" s="1" t="s">
        <v>24</v>
      </c>
      <c r="B2037" s="1" t="s">
        <v>1192</v>
      </c>
      <c r="C2037" s="1" t="s">
        <v>48</v>
      </c>
      <c r="D2037" s="1">
        <v>20.0</v>
      </c>
      <c r="E2037" s="1">
        <v>921.0</v>
      </c>
      <c r="F2037" s="1">
        <v>1204.0</v>
      </c>
      <c r="G2037" s="1">
        <v>1150.0</v>
      </c>
      <c r="H2037" s="1">
        <v>0.8009</v>
      </c>
      <c r="I2037" s="1">
        <v>1.047</v>
      </c>
      <c r="J2037" s="1">
        <v>-0.2461</v>
      </c>
      <c r="K2037" s="1">
        <v>520.0</v>
      </c>
    </row>
    <row r="2038">
      <c r="A2038" s="1" t="s">
        <v>24</v>
      </c>
      <c r="B2038" s="1" t="s">
        <v>1192</v>
      </c>
      <c r="C2038" s="1" t="s">
        <v>48</v>
      </c>
      <c r="D2038" s="1">
        <v>21.0</v>
      </c>
      <c r="E2038" s="1">
        <v>645.0</v>
      </c>
      <c r="F2038" s="1">
        <v>1135.0</v>
      </c>
      <c r="G2038" s="1">
        <v>1150.0</v>
      </c>
      <c r="H2038" s="1">
        <v>0.5609</v>
      </c>
      <c r="I2038" s="1">
        <v>0.987</v>
      </c>
      <c r="J2038" s="1">
        <v>-0.4261</v>
      </c>
      <c r="K2038" s="1">
        <v>494.0</v>
      </c>
    </row>
    <row r="2039">
      <c r="A2039" s="1" t="s">
        <v>24</v>
      </c>
      <c r="B2039" s="1" t="s">
        <v>1192</v>
      </c>
      <c r="C2039" s="1" t="s">
        <v>50</v>
      </c>
      <c r="D2039" s="1">
        <v>1.0</v>
      </c>
      <c r="E2039" s="1">
        <v>1133.0</v>
      </c>
      <c r="F2039" s="1">
        <v>1191.0</v>
      </c>
      <c r="G2039" s="1">
        <v>1143.0</v>
      </c>
      <c r="H2039" s="1">
        <v>0.9913</v>
      </c>
      <c r="I2039" s="1">
        <v>1.042</v>
      </c>
      <c r="J2039" s="1">
        <v>-0.0507</v>
      </c>
      <c r="K2039" s="1">
        <v>413.0</v>
      </c>
    </row>
    <row r="2040">
      <c r="A2040" s="1" t="s">
        <v>24</v>
      </c>
      <c r="B2040" s="1" t="s">
        <v>1192</v>
      </c>
      <c r="C2040" s="1" t="s">
        <v>50</v>
      </c>
      <c r="D2040" s="1">
        <v>2.0</v>
      </c>
      <c r="E2040" s="1">
        <v>785.0</v>
      </c>
      <c r="F2040" s="1">
        <v>848.0</v>
      </c>
      <c r="G2040" s="1">
        <v>1143.0</v>
      </c>
      <c r="H2040" s="1">
        <v>0.6868</v>
      </c>
      <c r="I2040" s="1">
        <v>0.7419</v>
      </c>
      <c r="J2040" s="1">
        <v>-0.0551</v>
      </c>
      <c r="K2040" s="1">
        <v>382.0</v>
      </c>
    </row>
    <row r="2041">
      <c r="A2041" s="1" t="s">
        <v>24</v>
      </c>
      <c r="B2041" s="1" t="s">
        <v>1192</v>
      </c>
      <c r="C2041" s="1" t="s">
        <v>50</v>
      </c>
      <c r="D2041" s="1">
        <v>3.0</v>
      </c>
      <c r="E2041" s="1">
        <v>843.0</v>
      </c>
      <c r="F2041" s="1">
        <v>921.0</v>
      </c>
      <c r="G2041" s="1">
        <v>1143.0</v>
      </c>
      <c r="H2041" s="1">
        <v>0.7375</v>
      </c>
      <c r="I2041" s="1">
        <v>0.8058</v>
      </c>
      <c r="J2041" s="1">
        <v>-0.0682</v>
      </c>
      <c r="K2041" s="1">
        <v>403.0</v>
      </c>
    </row>
    <row r="2042">
      <c r="A2042" s="1" t="s">
        <v>24</v>
      </c>
      <c r="B2042" s="1" t="s">
        <v>1192</v>
      </c>
      <c r="C2042" s="1" t="s">
        <v>50</v>
      </c>
      <c r="D2042" s="1">
        <v>4.0</v>
      </c>
      <c r="E2042" s="1">
        <v>729.0</v>
      </c>
      <c r="F2042" s="1">
        <v>855.0</v>
      </c>
      <c r="G2042" s="1">
        <v>1143.0</v>
      </c>
      <c r="H2042" s="1">
        <v>0.6378</v>
      </c>
      <c r="I2042" s="1">
        <v>0.748</v>
      </c>
      <c r="J2042" s="1">
        <v>-0.1102</v>
      </c>
      <c r="K2042" s="1">
        <v>411.0</v>
      </c>
    </row>
    <row r="2043">
      <c r="A2043" s="1" t="s">
        <v>24</v>
      </c>
      <c r="B2043" s="1" t="s">
        <v>1192</v>
      </c>
      <c r="C2043" s="1" t="s">
        <v>50</v>
      </c>
      <c r="D2043" s="1">
        <v>5.0</v>
      </c>
      <c r="E2043" s="1">
        <v>929.0</v>
      </c>
      <c r="F2043" s="1">
        <v>1115.0</v>
      </c>
      <c r="G2043" s="1">
        <v>1143.0</v>
      </c>
      <c r="H2043" s="1">
        <v>0.8128</v>
      </c>
      <c r="I2043" s="1">
        <v>0.9755</v>
      </c>
      <c r="J2043" s="1">
        <v>-0.1627</v>
      </c>
      <c r="K2043" s="1">
        <v>429.0</v>
      </c>
    </row>
    <row r="2044">
      <c r="A2044" s="1" t="s">
        <v>24</v>
      </c>
      <c r="B2044" s="1" t="s">
        <v>1192</v>
      </c>
      <c r="C2044" s="1" t="s">
        <v>50</v>
      </c>
      <c r="D2044" s="1">
        <v>6.0</v>
      </c>
      <c r="E2044" s="1">
        <v>679.0</v>
      </c>
      <c r="F2044" s="1">
        <v>974.0</v>
      </c>
      <c r="G2044" s="1">
        <v>1143.0</v>
      </c>
      <c r="H2044" s="1">
        <v>0.5941</v>
      </c>
      <c r="I2044" s="1">
        <v>0.8521</v>
      </c>
      <c r="J2044" s="1">
        <v>-0.2581</v>
      </c>
      <c r="K2044" s="1">
        <v>419.0</v>
      </c>
    </row>
    <row r="2045">
      <c r="A2045" s="1" t="s">
        <v>24</v>
      </c>
      <c r="B2045" s="1" t="s">
        <v>1192</v>
      </c>
      <c r="C2045" s="1" t="s">
        <v>50</v>
      </c>
      <c r="D2045" s="1">
        <v>7.0</v>
      </c>
      <c r="E2045" s="1">
        <v>639.0</v>
      </c>
      <c r="F2045" s="1">
        <v>928.0</v>
      </c>
      <c r="G2045" s="1">
        <v>1143.0</v>
      </c>
      <c r="H2045" s="1">
        <v>0.5591</v>
      </c>
      <c r="I2045" s="1">
        <v>0.8119</v>
      </c>
      <c r="J2045" s="1">
        <v>-0.2528</v>
      </c>
      <c r="K2045" s="1">
        <v>427.0</v>
      </c>
    </row>
    <row r="2046">
      <c r="A2046" s="1" t="s">
        <v>24</v>
      </c>
      <c r="B2046" s="1" t="s">
        <v>1192</v>
      </c>
      <c r="C2046" s="1" t="s">
        <v>50</v>
      </c>
      <c r="D2046" s="1">
        <v>8.0</v>
      </c>
      <c r="E2046" s="1">
        <v>1265.0</v>
      </c>
      <c r="F2046" s="1">
        <v>1136.0</v>
      </c>
      <c r="G2046" s="1">
        <v>1143.0</v>
      </c>
      <c r="H2046" s="1">
        <v>1.1067</v>
      </c>
      <c r="I2046" s="1">
        <v>0.9939</v>
      </c>
      <c r="J2046" s="1">
        <v>0.1129</v>
      </c>
      <c r="K2046" s="1">
        <v>479.0</v>
      </c>
    </row>
    <row r="2047">
      <c r="A2047" s="1" t="s">
        <v>24</v>
      </c>
      <c r="B2047" s="1" t="s">
        <v>1192</v>
      </c>
      <c r="C2047" s="1" t="s">
        <v>50</v>
      </c>
      <c r="D2047" s="1">
        <v>9.0</v>
      </c>
      <c r="E2047" s="1">
        <v>952.0</v>
      </c>
      <c r="F2047" s="1">
        <v>1054.0</v>
      </c>
      <c r="G2047" s="1">
        <v>1143.0</v>
      </c>
      <c r="H2047" s="1">
        <v>0.8329</v>
      </c>
      <c r="I2047" s="1">
        <v>0.9221</v>
      </c>
      <c r="J2047" s="1">
        <v>-0.0892</v>
      </c>
      <c r="K2047" s="1">
        <v>474.0</v>
      </c>
    </row>
    <row r="2048">
      <c r="A2048" s="1" t="s">
        <v>24</v>
      </c>
      <c r="B2048" s="1" t="s">
        <v>1192</v>
      </c>
      <c r="C2048" s="1" t="s">
        <v>50</v>
      </c>
      <c r="D2048" s="1">
        <v>10.0</v>
      </c>
      <c r="E2048" s="1">
        <v>791.0</v>
      </c>
      <c r="F2048" s="1">
        <v>804.0</v>
      </c>
      <c r="G2048" s="1">
        <v>1143.0</v>
      </c>
      <c r="H2048" s="1">
        <v>0.692</v>
      </c>
      <c r="I2048" s="1">
        <v>0.7034</v>
      </c>
      <c r="J2048" s="1">
        <v>-0.0114</v>
      </c>
      <c r="K2048" s="1">
        <v>455.0</v>
      </c>
    </row>
    <row r="2049">
      <c r="A2049" s="1" t="s">
        <v>24</v>
      </c>
      <c r="B2049" s="1" t="s">
        <v>1192</v>
      </c>
      <c r="C2049" s="1" t="s">
        <v>50</v>
      </c>
      <c r="D2049" s="1">
        <v>11.0</v>
      </c>
      <c r="E2049" s="1">
        <v>851.0</v>
      </c>
      <c r="F2049" s="1">
        <v>892.0</v>
      </c>
      <c r="G2049" s="1">
        <v>1143.0</v>
      </c>
      <c r="H2049" s="1">
        <v>0.7445</v>
      </c>
      <c r="I2049" s="1">
        <v>0.7804</v>
      </c>
      <c r="J2049" s="1">
        <v>-0.0359</v>
      </c>
      <c r="K2049" s="1">
        <v>467.0</v>
      </c>
    </row>
    <row r="2050">
      <c r="A2050" s="1" t="s">
        <v>24</v>
      </c>
      <c r="B2050" s="1" t="s">
        <v>1192</v>
      </c>
      <c r="C2050" s="1" t="s">
        <v>50</v>
      </c>
      <c r="D2050" s="1">
        <v>12.0</v>
      </c>
      <c r="E2050" s="1">
        <v>1018.0</v>
      </c>
      <c r="F2050" s="1">
        <v>1118.0</v>
      </c>
      <c r="G2050" s="1">
        <v>1143.0</v>
      </c>
      <c r="H2050" s="1">
        <v>0.8906</v>
      </c>
      <c r="I2050" s="1">
        <v>0.9781</v>
      </c>
      <c r="J2050" s="1">
        <v>-0.0875</v>
      </c>
      <c r="K2050" s="1">
        <v>499.0</v>
      </c>
    </row>
    <row r="2051">
      <c r="A2051" s="1" t="s">
        <v>24</v>
      </c>
      <c r="B2051" s="1" t="s">
        <v>1192</v>
      </c>
      <c r="C2051" s="1" t="s">
        <v>50</v>
      </c>
      <c r="D2051" s="1">
        <v>13.0</v>
      </c>
      <c r="E2051" s="1">
        <v>809.0</v>
      </c>
      <c r="F2051" s="1">
        <v>1087.0</v>
      </c>
      <c r="G2051" s="1">
        <v>1143.0</v>
      </c>
      <c r="H2051" s="1">
        <v>0.7078</v>
      </c>
      <c r="I2051" s="1">
        <v>0.951</v>
      </c>
      <c r="J2051" s="1">
        <v>-0.2432</v>
      </c>
      <c r="K2051" s="1">
        <v>504.0</v>
      </c>
    </row>
    <row r="2052">
      <c r="A2052" s="1" t="s">
        <v>24</v>
      </c>
      <c r="B2052" s="1" t="s">
        <v>1192</v>
      </c>
      <c r="C2052" s="1" t="s">
        <v>50</v>
      </c>
      <c r="D2052" s="1">
        <v>14.0</v>
      </c>
      <c r="E2052" s="1">
        <v>757.0</v>
      </c>
      <c r="F2052" s="1">
        <v>1015.0</v>
      </c>
      <c r="G2052" s="1">
        <v>1143.0</v>
      </c>
      <c r="H2052" s="1">
        <v>0.6623</v>
      </c>
      <c r="I2052" s="1">
        <v>0.888</v>
      </c>
      <c r="J2052" s="1">
        <v>-0.2257</v>
      </c>
      <c r="K2052" s="1">
        <v>521.0</v>
      </c>
    </row>
    <row r="2053">
      <c r="A2053" s="1" t="s">
        <v>24</v>
      </c>
      <c r="B2053" s="1" t="s">
        <v>1192</v>
      </c>
      <c r="C2053" s="1" t="s">
        <v>50</v>
      </c>
      <c r="D2053" s="1">
        <v>15.0</v>
      </c>
      <c r="E2053" s="1">
        <v>1437.0</v>
      </c>
      <c r="F2053" s="1">
        <v>1375.0</v>
      </c>
      <c r="G2053" s="1">
        <v>1143.0</v>
      </c>
      <c r="H2053" s="1">
        <v>1.2572</v>
      </c>
      <c r="I2053" s="1">
        <v>1.203</v>
      </c>
      <c r="J2053" s="1">
        <v>0.0542</v>
      </c>
      <c r="K2053" s="1">
        <v>588.0</v>
      </c>
    </row>
    <row r="2054">
      <c r="A2054" s="1" t="s">
        <v>24</v>
      </c>
      <c r="B2054" s="1" t="s">
        <v>1192</v>
      </c>
      <c r="C2054" s="1" t="s">
        <v>50</v>
      </c>
      <c r="D2054" s="1">
        <v>16.0</v>
      </c>
      <c r="E2054" s="1">
        <v>1091.0</v>
      </c>
      <c r="F2054" s="1">
        <v>1231.0</v>
      </c>
      <c r="G2054" s="1">
        <v>1143.0</v>
      </c>
      <c r="H2054" s="1">
        <v>0.9545</v>
      </c>
      <c r="I2054" s="1">
        <v>1.077</v>
      </c>
      <c r="J2054" s="1">
        <v>-0.1225</v>
      </c>
      <c r="K2054" s="1">
        <v>567.0</v>
      </c>
    </row>
    <row r="2055">
      <c r="A2055" s="1" t="s">
        <v>24</v>
      </c>
      <c r="B2055" s="1" t="s">
        <v>1192</v>
      </c>
      <c r="C2055" s="1" t="s">
        <v>50</v>
      </c>
      <c r="D2055" s="1">
        <v>17.0</v>
      </c>
      <c r="E2055" s="1">
        <v>837.0</v>
      </c>
      <c r="F2055" s="1">
        <v>994.0</v>
      </c>
      <c r="G2055" s="1">
        <v>1143.0</v>
      </c>
      <c r="H2055" s="1">
        <v>0.7323</v>
      </c>
      <c r="I2055" s="1">
        <v>0.8696</v>
      </c>
      <c r="J2055" s="1">
        <v>-0.1374</v>
      </c>
      <c r="K2055" s="1">
        <v>513.0</v>
      </c>
    </row>
    <row r="2056">
      <c r="A2056" s="1" t="s">
        <v>24</v>
      </c>
      <c r="B2056" s="1" t="s">
        <v>1192</v>
      </c>
      <c r="C2056" s="1" t="s">
        <v>50</v>
      </c>
      <c r="D2056" s="1">
        <v>18.0</v>
      </c>
      <c r="E2056" s="1">
        <v>801.0</v>
      </c>
      <c r="F2056" s="1">
        <v>1117.0</v>
      </c>
      <c r="G2056" s="1">
        <v>1143.0</v>
      </c>
      <c r="H2056" s="1">
        <v>0.7008</v>
      </c>
      <c r="I2056" s="1">
        <v>0.9773</v>
      </c>
      <c r="J2056" s="1">
        <v>-0.2765</v>
      </c>
      <c r="K2056" s="1">
        <v>549.0</v>
      </c>
    </row>
    <row r="2057">
      <c r="A2057" s="1" t="s">
        <v>24</v>
      </c>
      <c r="B2057" s="1" t="s">
        <v>1192</v>
      </c>
      <c r="C2057" s="1" t="s">
        <v>50</v>
      </c>
      <c r="D2057" s="1">
        <v>19.0</v>
      </c>
      <c r="E2057" s="1">
        <v>1050.0</v>
      </c>
      <c r="F2057" s="1">
        <v>1113.0</v>
      </c>
      <c r="G2057" s="1">
        <v>1143.0</v>
      </c>
      <c r="H2057" s="1">
        <v>0.9186</v>
      </c>
      <c r="I2057" s="1">
        <v>0.9738</v>
      </c>
      <c r="J2057" s="1">
        <v>-0.0551</v>
      </c>
      <c r="K2057" s="1">
        <v>538.0</v>
      </c>
    </row>
    <row r="2058">
      <c r="A2058" s="1" t="s">
        <v>24</v>
      </c>
      <c r="B2058" s="1" t="s">
        <v>1192</v>
      </c>
      <c r="C2058" s="1" t="s">
        <v>50</v>
      </c>
      <c r="D2058" s="1">
        <v>20.0</v>
      </c>
      <c r="E2058" s="1">
        <v>603.0</v>
      </c>
      <c r="F2058" s="1">
        <v>847.0</v>
      </c>
      <c r="G2058" s="1">
        <v>1143.0</v>
      </c>
      <c r="H2058" s="1">
        <v>0.5276</v>
      </c>
      <c r="I2058" s="1">
        <v>0.741</v>
      </c>
      <c r="J2058" s="1">
        <v>-0.2135</v>
      </c>
      <c r="K2058" s="1">
        <v>520.0</v>
      </c>
    </row>
    <row r="2059">
      <c r="A2059" s="1" t="s">
        <v>24</v>
      </c>
      <c r="B2059" s="1" t="s">
        <v>1192</v>
      </c>
      <c r="C2059" s="1" t="s">
        <v>50</v>
      </c>
      <c r="D2059" s="1">
        <v>21.0</v>
      </c>
      <c r="E2059" s="1">
        <v>503.0</v>
      </c>
      <c r="F2059" s="1">
        <v>869.0</v>
      </c>
      <c r="G2059" s="1">
        <v>1143.0</v>
      </c>
      <c r="H2059" s="1">
        <v>0.4401</v>
      </c>
      <c r="I2059" s="1">
        <v>0.7603</v>
      </c>
      <c r="J2059" s="1">
        <v>-0.3202</v>
      </c>
      <c r="K2059" s="1">
        <v>494.0</v>
      </c>
    </row>
    <row r="2060">
      <c r="A2060" s="1" t="s">
        <v>24</v>
      </c>
      <c r="B2060" s="1" t="s">
        <v>1192</v>
      </c>
      <c r="C2060" s="1" t="s">
        <v>1209</v>
      </c>
      <c r="D2060" s="1">
        <v>1.0</v>
      </c>
      <c r="E2060" s="1">
        <v>630.0</v>
      </c>
      <c r="F2060" s="1">
        <v>1139.0</v>
      </c>
      <c r="G2060" s="1">
        <v>732.0</v>
      </c>
      <c r="H2060" s="1">
        <v>0.8607</v>
      </c>
      <c r="I2060" s="1">
        <v>1.556</v>
      </c>
      <c r="J2060" s="1">
        <v>-0.6954</v>
      </c>
      <c r="K2060" s="1">
        <v>413.0</v>
      </c>
    </row>
    <row r="2061">
      <c r="A2061" s="1" t="s">
        <v>24</v>
      </c>
      <c r="B2061" s="1" t="s">
        <v>1192</v>
      </c>
      <c r="C2061" s="1" t="s">
        <v>1209</v>
      </c>
      <c r="D2061" s="1">
        <v>2.0</v>
      </c>
      <c r="E2061" s="1">
        <v>540.0</v>
      </c>
      <c r="F2061" s="1">
        <v>810.0</v>
      </c>
      <c r="G2061" s="1">
        <v>732.0</v>
      </c>
      <c r="H2061" s="1">
        <v>0.7377</v>
      </c>
      <c r="I2061" s="1">
        <v>1.1066</v>
      </c>
      <c r="J2061" s="1">
        <v>-0.3689</v>
      </c>
      <c r="K2061" s="1">
        <v>382.0</v>
      </c>
    </row>
    <row r="2062">
      <c r="A2062" s="1" t="s">
        <v>24</v>
      </c>
      <c r="B2062" s="1" t="s">
        <v>1192</v>
      </c>
      <c r="C2062" s="1" t="s">
        <v>1209</v>
      </c>
      <c r="D2062" s="1">
        <v>3.0</v>
      </c>
      <c r="E2062" s="1">
        <v>620.0</v>
      </c>
      <c r="F2062" s="1">
        <v>834.0</v>
      </c>
      <c r="G2062" s="1">
        <v>732.0</v>
      </c>
      <c r="H2062" s="1">
        <v>0.847</v>
      </c>
      <c r="I2062" s="1">
        <v>1.1393</v>
      </c>
      <c r="J2062" s="1">
        <v>-0.2923</v>
      </c>
      <c r="K2062" s="1">
        <v>403.0</v>
      </c>
    </row>
    <row r="2063">
      <c r="A2063" s="1" t="s">
        <v>24</v>
      </c>
      <c r="B2063" s="1" t="s">
        <v>1192</v>
      </c>
      <c r="C2063" s="1" t="s">
        <v>1209</v>
      </c>
      <c r="D2063" s="1">
        <v>4.0</v>
      </c>
      <c r="E2063" s="1">
        <v>610.0</v>
      </c>
      <c r="F2063" s="1">
        <v>806.0</v>
      </c>
      <c r="G2063" s="1">
        <v>732.0</v>
      </c>
      <c r="H2063" s="1">
        <v>0.8333</v>
      </c>
      <c r="I2063" s="1">
        <v>1.1011</v>
      </c>
      <c r="J2063" s="1">
        <v>-0.2678</v>
      </c>
      <c r="K2063" s="1">
        <v>411.0</v>
      </c>
    </row>
    <row r="2064">
      <c r="A2064" s="1" t="s">
        <v>24</v>
      </c>
      <c r="B2064" s="1" t="s">
        <v>1192</v>
      </c>
      <c r="C2064" s="1" t="s">
        <v>1209</v>
      </c>
      <c r="D2064" s="1">
        <v>5.0</v>
      </c>
      <c r="E2064" s="1">
        <v>2030.0</v>
      </c>
      <c r="F2064" s="1">
        <v>2140.0</v>
      </c>
      <c r="G2064" s="1">
        <v>732.0</v>
      </c>
      <c r="H2064" s="1">
        <v>2.7732</v>
      </c>
      <c r="I2064" s="1">
        <v>2.9235</v>
      </c>
      <c r="J2064" s="1">
        <v>-0.1503</v>
      </c>
      <c r="K2064" s="1">
        <v>429.0</v>
      </c>
    </row>
    <row r="2065">
      <c r="A2065" s="1" t="s">
        <v>24</v>
      </c>
      <c r="B2065" s="1" t="s">
        <v>1192</v>
      </c>
      <c r="C2065" s="1" t="s">
        <v>1209</v>
      </c>
      <c r="D2065" s="1">
        <v>6.0</v>
      </c>
      <c r="E2065" s="1">
        <v>2430.0</v>
      </c>
      <c r="F2065" s="1">
        <v>2518.0</v>
      </c>
      <c r="G2065" s="1">
        <v>732.0</v>
      </c>
      <c r="H2065" s="1">
        <v>3.3197</v>
      </c>
      <c r="I2065" s="1">
        <v>3.4399</v>
      </c>
      <c r="J2065" s="1">
        <v>-0.1202</v>
      </c>
      <c r="K2065" s="1">
        <v>419.0</v>
      </c>
    </row>
    <row r="2066">
      <c r="A2066" s="1" t="s">
        <v>24</v>
      </c>
      <c r="B2066" s="1" t="s">
        <v>1192</v>
      </c>
      <c r="C2066" s="1" t="s">
        <v>1209</v>
      </c>
      <c r="D2066" s="1">
        <v>7.0</v>
      </c>
      <c r="E2066" s="1">
        <v>2505.0</v>
      </c>
      <c r="F2066" s="1">
        <v>2589.0</v>
      </c>
      <c r="G2066" s="1">
        <v>732.0</v>
      </c>
      <c r="H2066" s="1">
        <v>3.4221</v>
      </c>
      <c r="I2066" s="1">
        <v>3.5369</v>
      </c>
      <c r="J2066" s="1">
        <v>-0.1148</v>
      </c>
      <c r="K2066" s="1">
        <v>427.0</v>
      </c>
    </row>
    <row r="2067">
      <c r="A2067" s="1" t="s">
        <v>24</v>
      </c>
      <c r="B2067" s="1" t="s">
        <v>1192</v>
      </c>
      <c r="C2067" s="1" t="s">
        <v>1209</v>
      </c>
      <c r="D2067" s="1">
        <v>8.0</v>
      </c>
      <c r="E2067" s="1">
        <v>1000.0</v>
      </c>
      <c r="F2067" s="1">
        <v>1624.0</v>
      </c>
      <c r="G2067" s="1">
        <v>732.0</v>
      </c>
      <c r="H2067" s="1">
        <v>1.3661</v>
      </c>
      <c r="I2067" s="1">
        <v>2.2186</v>
      </c>
      <c r="J2067" s="1">
        <v>-0.8525</v>
      </c>
      <c r="K2067" s="1">
        <v>479.0</v>
      </c>
    </row>
    <row r="2068">
      <c r="A2068" s="1" t="s">
        <v>24</v>
      </c>
      <c r="B2068" s="1" t="s">
        <v>1192</v>
      </c>
      <c r="C2068" s="1" t="s">
        <v>1209</v>
      </c>
      <c r="D2068" s="1">
        <v>9.0</v>
      </c>
      <c r="E2068" s="1">
        <v>450.0</v>
      </c>
      <c r="F2068" s="1">
        <v>795.0</v>
      </c>
      <c r="G2068" s="1">
        <v>732.0</v>
      </c>
      <c r="H2068" s="1">
        <v>0.6148</v>
      </c>
      <c r="I2068" s="1">
        <v>1.0861</v>
      </c>
      <c r="J2068" s="1">
        <v>-0.4713</v>
      </c>
      <c r="K2068" s="1">
        <v>474.0</v>
      </c>
    </row>
    <row r="2069">
      <c r="A2069" s="1" t="s">
        <v>24</v>
      </c>
      <c r="B2069" s="1" t="s">
        <v>1192</v>
      </c>
      <c r="C2069" s="1" t="s">
        <v>1209</v>
      </c>
      <c r="D2069" s="1">
        <v>10.0</v>
      </c>
      <c r="E2069" s="1">
        <v>580.0</v>
      </c>
      <c r="F2069" s="1">
        <v>1100.0</v>
      </c>
      <c r="G2069" s="1">
        <v>732.0</v>
      </c>
      <c r="H2069" s="1">
        <v>0.7923</v>
      </c>
      <c r="I2069" s="1">
        <v>1.5027</v>
      </c>
      <c r="J2069" s="1">
        <v>-0.7104</v>
      </c>
      <c r="K2069" s="1">
        <v>455.0</v>
      </c>
    </row>
    <row r="2070">
      <c r="A2070" s="1" t="s">
        <v>24</v>
      </c>
      <c r="B2070" s="1" t="s">
        <v>1192</v>
      </c>
      <c r="C2070" s="1" t="s">
        <v>1209</v>
      </c>
      <c r="D2070" s="1">
        <v>11.0</v>
      </c>
      <c r="E2070" s="1">
        <v>565.0</v>
      </c>
      <c r="F2070" s="1">
        <v>1377.0</v>
      </c>
      <c r="G2070" s="1">
        <v>732.0</v>
      </c>
      <c r="H2070" s="1">
        <v>0.7719</v>
      </c>
      <c r="I2070" s="1">
        <v>1.8811</v>
      </c>
      <c r="J2070" s="1">
        <v>-1.1093</v>
      </c>
      <c r="K2070" s="1">
        <v>467.0</v>
      </c>
    </row>
    <row r="2071">
      <c r="A2071" s="1" t="s">
        <v>24</v>
      </c>
      <c r="B2071" s="1" t="s">
        <v>1192</v>
      </c>
      <c r="C2071" s="1" t="s">
        <v>1209</v>
      </c>
      <c r="D2071" s="1">
        <v>12.0</v>
      </c>
      <c r="E2071" s="1">
        <v>1745.0</v>
      </c>
      <c r="F2071" s="1">
        <v>1692.0</v>
      </c>
      <c r="G2071" s="1">
        <v>732.0</v>
      </c>
      <c r="H2071" s="1">
        <v>2.3839</v>
      </c>
      <c r="I2071" s="1">
        <v>2.3115</v>
      </c>
      <c r="J2071" s="1">
        <v>0.0724</v>
      </c>
      <c r="K2071" s="1">
        <v>499.0</v>
      </c>
    </row>
    <row r="2072">
      <c r="A2072" s="1" t="s">
        <v>24</v>
      </c>
      <c r="B2072" s="1" t="s">
        <v>1192</v>
      </c>
      <c r="C2072" s="1" t="s">
        <v>1209</v>
      </c>
      <c r="D2072" s="1">
        <v>13.0</v>
      </c>
      <c r="E2072" s="1">
        <v>2675.0</v>
      </c>
      <c r="F2072" s="1">
        <v>2690.0</v>
      </c>
      <c r="G2072" s="1">
        <v>732.0</v>
      </c>
      <c r="H2072" s="1">
        <v>3.6544</v>
      </c>
      <c r="I2072" s="1">
        <v>3.6749</v>
      </c>
      <c r="J2072" s="1">
        <v>-0.0205</v>
      </c>
      <c r="K2072" s="1">
        <v>504.0</v>
      </c>
    </row>
    <row r="2073">
      <c r="A2073" s="1" t="s">
        <v>24</v>
      </c>
      <c r="B2073" s="1" t="s">
        <v>1192</v>
      </c>
      <c r="C2073" s="1" t="s">
        <v>1209</v>
      </c>
      <c r="D2073" s="1">
        <v>14.0</v>
      </c>
      <c r="E2073" s="1">
        <v>2400.0</v>
      </c>
      <c r="F2073" s="1">
        <v>2962.0</v>
      </c>
      <c r="G2073" s="1">
        <v>732.0</v>
      </c>
      <c r="H2073" s="1">
        <v>3.2787</v>
      </c>
      <c r="I2073" s="1">
        <v>4.0464</v>
      </c>
      <c r="J2073" s="1">
        <v>-0.7678</v>
      </c>
      <c r="K2073" s="1">
        <v>521.0</v>
      </c>
    </row>
    <row r="2074">
      <c r="A2074" s="1" t="s">
        <v>24</v>
      </c>
      <c r="B2074" s="1" t="s">
        <v>1192</v>
      </c>
      <c r="C2074" s="1" t="s">
        <v>1209</v>
      </c>
      <c r="D2074" s="1">
        <v>15.0</v>
      </c>
      <c r="E2074" s="1">
        <v>1370.0</v>
      </c>
      <c r="F2074" s="1">
        <v>1852.0</v>
      </c>
      <c r="G2074" s="1">
        <v>732.0</v>
      </c>
      <c r="H2074" s="1">
        <v>1.8716</v>
      </c>
      <c r="I2074" s="1">
        <v>2.5301</v>
      </c>
      <c r="J2074" s="1">
        <v>-0.6585</v>
      </c>
      <c r="K2074" s="1">
        <v>588.0</v>
      </c>
    </row>
    <row r="2075">
      <c r="A2075" s="1" t="s">
        <v>24</v>
      </c>
      <c r="B2075" s="1" t="s">
        <v>1192</v>
      </c>
      <c r="C2075" s="1" t="s">
        <v>1209</v>
      </c>
      <c r="D2075" s="1">
        <v>16.0</v>
      </c>
      <c r="E2075" s="1">
        <v>650.0</v>
      </c>
      <c r="F2075" s="1">
        <v>1142.0</v>
      </c>
      <c r="G2075" s="1">
        <v>732.0</v>
      </c>
      <c r="H2075" s="1">
        <v>0.888</v>
      </c>
      <c r="I2075" s="1">
        <v>1.5601</v>
      </c>
      <c r="J2075" s="1">
        <v>-0.6721</v>
      </c>
      <c r="K2075" s="1">
        <v>567.0</v>
      </c>
    </row>
    <row r="2076">
      <c r="A2076" s="1" t="s">
        <v>24</v>
      </c>
      <c r="B2076" s="1" t="s">
        <v>1192</v>
      </c>
      <c r="C2076" s="1" t="s">
        <v>1209</v>
      </c>
      <c r="D2076" s="1">
        <v>17.0</v>
      </c>
      <c r="E2076" s="1">
        <v>660.0</v>
      </c>
      <c r="F2076" s="1">
        <v>1066.0</v>
      </c>
      <c r="G2076" s="1">
        <v>732.0</v>
      </c>
      <c r="H2076" s="1">
        <v>0.9016</v>
      </c>
      <c r="I2076" s="1">
        <v>1.4563</v>
      </c>
      <c r="J2076" s="1">
        <v>-0.5546</v>
      </c>
      <c r="K2076" s="1">
        <v>513.0</v>
      </c>
    </row>
    <row r="2077">
      <c r="A2077" s="1" t="s">
        <v>24</v>
      </c>
      <c r="B2077" s="1" t="s">
        <v>1192</v>
      </c>
      <c r="C2077" s="1" t="s">
        <v>1209</v>
      </c>
      <c r="D2077" s="1">
        <v>18.0</v>
      </c>
      <c r="E2077" s="1">
        <v>605.0</v>
      </c>
      <c r="F2077" s="1">
        <v>1701.0</v>
      </c>
      <c r="G2077" s="1">
        <v>732.0</v>
      </c>
      <c r="H2077" s="1">
        <v>0.8265</v>
      </c>
      <c r="I2077" s="1">
        <v>2.3238</v>
      </c>
      <c r="J2077" s="1">
        <v>-1.4973</v>
      </c>
      <c r="K2077" s="1">
        <v>549.0</v>
      </c>
    </row>
    <row r="2078">
      <c r="A2078" s="1" t="s">
        <v>24</v>
      </c>
      <c r="B2078" s="1" t="s">
        <v>1192</v>
      </c>
      <c r="C2078" s="1" t="s">
        <v>1209</v>
      </c>
      <c r="D2078" s="1">
        <v>19.0</v>
      </c>
      <c r="E2078" s="1">
        <v>725.0</v>
      </c>
      <c r="F2078" s="1">
        <v>1748.0</v>
      </c>
      <c r="G2078" s="1">
        <v>732.0</v>
      </c>
      <c r="H2078" s="1">
        <v>0.9904</v>
      </c>
      <c r="I2078" s="1">
        <v>2.388</v>
      </c>
      <c r="J2078" s="1">
        <v>-1.3975</v>
      </c>
      <c r="K2078" s="1">
        <v>538.0</v>
      </c>
    </row>
    <row r="2079">
      <c r="A2079" s="1" t="s">
        <v>24</v>
      </c>
      <c r="B2079" s="1" t="s">
        <v>1192</v>
      </c>
      <c r="C2079" s="1" t="s">
        <v>1209</v>
      </c>
      <c r="D2079" s="1">
        <v>20.0</v>
      </c>
      <c r="E2079" s="1">
        <v>1105.0</v>
      </c>
      <c r="F2079" s="1">
        <v>1628.0</v>
      </c>
      <c r="G2079" s="1">
        <v>732.0</v>
      </c>
      <c r="H2079" s="1">
        <v>1.5096</v>
      </c>
      <c r="I2079" s="1">
        <v>2.224</v>
      </c>
      <c r="J2079" s="1">
        <v>-0.7145</v>
      </c>
      <c r="K2079" s="1">
        <v>520.0</v>
      </c>
    </row>
    <row r="2080">
      <c r="A2080" s="1" t="s">
        <v>24</v>
      </c>
      <c r="B2080" s="1" t="s">
        <v>1192</v>
      </c>
      <c r="C2080" s="1" t="s">
        <v>1209</v>
      </c>
      <c r="D2080" s="1">
        <v>21.0</v>
      </c>
      <c r="E2080" s="1">
        <v>830.0</v>
      </c>
      <c r="F2080" s="1">
        <v>2018.0</v>
      </c>
      <c r="G2080" s="1">
        <v>732.0</v>
      </c>
      <c r="H2080" s="1">
        <v>1.1339</v>
      </c>
      <c r="I2080" s="1">
        <v>2.7568</v>
      </c>
      <c r="J2080" s="1">
        <v>-1.623</v>
      </c>
      <c r="K2080" s="1">
        <v>494.0</v>
      </c>
    </row>
    <row r="2081">
      <c r="A2081" s="1" t="s">
        <v>24</v>
      </c>
      <c r="B2081" s="1" t="s">
        <v>1192</v>
      </c>
      <c r="C2081" s="1" t="s">
        <v>1210</v>
      </c>
      <c r="D2081" s="1">
        <v>1.0</v>
      </c>
      <c r="E2081" s="1">
        <v>2770.0</v>
      </c>
      <c r="F2081" s="1">
        <v>2442.0</v>
      </c>
      <c r="G2081" s="1">
        <v>1074.0</v>
      </c>
      <c r="H2081" s="1">
        <v>2.5791</v>
      </c>
      <c r="I2081" s="1">
        <v>2.2737</v>
      </c>
      <c r="J2081" s="1">
        <v>0.3054</v>
      </c>
      <c r="K2081" s="1">
        <v>413.0</v>
      </c>
    </row>
    <row r="2082">
      <c r="A2082" s="1" t="s">
        <v>24</v>
      </c>
      <c r="B2082" s="1" t="s">
        <v>1192</v>
      </c>
      <c r="C2082" s="1" t="s">
        <v>1210</v>
      </c>
      <c r="D2082" s="1">
        <v>2.0</v>
      </c>
      <c r="E2082" s="1">
        <v>2715.0</v>
      </c>
      <c r="F2082" s="1">
        <v>2127.0</v>
      </c>
      <c r="G2082" s="1">
        <v>1074.0</v>
      </c>
      <c r="H2082" s="1">
        <v>2.5279</v>
      </c>
      <c r="I2082" s="1">
        <v>1.9804</v>
      </c>
      <c r="J2082" s="1">
        <v>0.5475</v>
      </c>
      <c r="K2082" s="1">
        <v>382.0</v>
      </c>
    </row>
    <row r="2083">
      <c r="A2083" s="1" t="s">
        <v>24</v>
      </c>
      <c r="B2083" s="1" t="s">
        <v>1192</v>
      </c>
      <c r="C2083" s="1" t="s">
        <v>1210</v>
      </c>
      <c r="D2083" s="1">
        <v>3.0</v>
      </c>
      <c r="E2083" s="1">
        <v>3625.0</v>
      </c>
      <c r="F2083" s="1">
        <v>2523.0</v>
      </c>
      <c r="G2083" s="1">
        <v>1074.0</v>
      </c>
      <c r="H2083" s="1">
        <v>3.3752</v>
      </c>
      <c r="I2083" s="1">
        <v>2.3492</v>
      </c>
      <c r="J2083" s="1">
        <v>1.0261</v>
      </c>
      <c r="K2083" s="1">
        <v>403.0</v>
      </c>
    </row>
    <row r="2084">
      <c r="A2084" s="1" t="s">
        <v>24</v>
      </c>
      <c r="B2084" s="1" t="s">
        <v>1192</v>
      </c>
      <c r="C2084" s="1" t="s">
        <v>1210</v>
      </c>
      <c r="D2084" s="1">
        <v>4.0</v>
      </c>
      <c r="E2084" s="1">
        <v>3190.0</v>
      </c>
      <c r="F2084" s="1">
        <v>2057.0</v>
      </c>
      <c r="G2084" s="1">
        <v>1074.0</v>
      </c>
      <c r="H2084" s="1">
        <v>2.9702</v>
      </c>
      <c r="I2084" s="1">
        <v>1.9153</v>
      </c>
      <c r="J2084" s="1">
        <v>1.0549</v>
      </c>
      <c r="K2084" s="1">
        <v>411.0</v>
      </c>
    </row>
    <row r="2085">
      <c r="A2085" s="1" t="s">
        <v>24</v>
      </c>
      <c r="B2085" s="1" t="s">
        <v>1192</v>
      </c>
      <c r="C2085" s="1" t="s">
        <v>1210</v>
      </c>
      <c r="D2085" s="1">
        <v>5.0</v>
      </c>
      <c r="E2085" s="1">
        <v>5110.0</v>
      </c>
      <c r="F2085" s="1">
        <v>3862.0</v>
      </c>
      <c r="G2085" s="1">
        <v>1074.0</v>
      </c>
      <c r="H2085" s="1">
        <v>4.7579</v>
      </c>
      <c r="I2085" s="1">
        <v>3.5959</v>
      </c>
      <c r="J2085" s="1">
        <v>1.162</v>
      </c>
      <c r="K2085" s="1">
        <v>429.0</v>
      </c>
    </row>
    <row r="2086">
      <c r="A2086" s="1" t="s">
        <v>24</v>
      </c>
      <c r="B2086" s="1" t="s">
        <v>1192</v>
      </c>
      <c r="C2086" s="1" t="s">
        <v>1210</v>
      </c>
      <c r="D2086" s="1">
        <v>6.0</v>
      </c>
      <c r="E2086" s="1">
        <v>3890.0</v>
      </c>
      <c r="F2086" s="1">
        <v>3104.0</v>
      </c>
      <c r="G2086" s="1">
        <v>1074.0</v>
      </c>
      <c r="H2086" s="1">
        <v>3.622</v>
      </c>
      <c r="I2086" s="1">
        <v>2.8901</v>
      </c>
      <c r="J2086" s="1">
        <v>0.7318</v>
      </c>
      <c r="K2086" s="1">
        <v>419.0</v>
      </c>
    </row>
    <row r="2087">
      <c r="A2087" s="1" t="s">
        <v>24</v>
      </c>
      <c r="B2087" s="1" t="s">
        <v>1192</v>
      </c>
      <c r="C2087" s="1" t="s">
        <v>1210</v>
      </c>
      <c r="D2087" s="1">
        <v>7.0</v>
      </c>
      <c r="E2087" s="1">
        <v>3520.0</v>
      </c>
      <c r="F2087" s="1">
        <v>2891.0</v>
      </c>
      <c r="G2087" s="1">
        <v>1074.0</v>
      </c>
      <c r="H2087" s="1">
        <v>3.2775</v>
      </c>
      <c r="I2087" s="1">
        <v>2.6918</v>
      </c>
      <c r="J2087" s="1">
        <v>0.5857</v>
      </c>
      <c r="K2087" s="1">
        <v>427.0</v>
      </c>
    </row>
    <row r="2088">
      <c r="A2088" s="1" t="s">
        <v>24</v>
      </c>
      <c r="B2088" s="1" t="s">
        <v>1192</v>
      </c>
      <c r="C2088" s="1" t="s">
        <v>1210</v>
      </c>
      <c r="D2088" s="1">
        <v>8.0</v>
      </c>
      <c r="E2088" s="1">
        <v>2430.0</v>
      </c>
      <c r="F2088" s="1">
        <v>2547.0</v>
      </c>
      <c r="G2088" s="1">
        <v>1074.0</v>
      </c>
      <c r="H2088" s="1">
        <v>2.2626</v>
      </c>
      <c r="I2088" s="1">
        <v>2.3715</v>
      </c>
      <c r="J2088" s="1">
        <v>-0.1089</v>
      </c>
      <c r="K2088" s="1">
        <v>479.0</v>
      </c>
    </row>
    <row r="2089">
      <c r="A2089" s="1" t="s">
        <v>24</v>
      </c>
      <c r="B2089" s="1" t="s">
        <v>1192</v>
      </c>
      <c r="C2089" s="1" t="s">
        <v>1210</v>
      </c>
      <c r="D2089" s="1">
        <v>9.0</v>
      </c>
      <c r="E2089" s="1">
        <v>2885.0</v>
      </c>
      <c r="F2089" s="1">
        <v>2251.0</v>
      </c>
      <c r="G2089" s="1">
        <v>1074.0</v>
      </c>
      <c r="H2089" s="1">
        <v>2.6862</v>
      </c>
      <c r="I2089" s="1">
        <v>2.0959</v>
      </c>
      <c r="J2089" s="1">
        <v>0.5903</v>
      </c>
      <c r="K2089" s="1">
        <v>474.0</v>
      </c>
    </row>
    <row r="2090">
      <c r="A2090" s="1" t="s">
        <v>24</v>
      </c>
      <c r="B2090" s="1" t="s">
        <v>1192</v>
      </c>
      <c r="C2090" s="1" t="s">
        <v>1210</v>
      </c>
      <c r="D2090" s="1">
        <v>10.0</v>
      </c>
      <c r="E2090" s="1">
        <v>3210.0</v>
      </c>
      <c r="F2090" s="1">
        <v>2642.0</v>
      </c>
      <c r="G2090" s="1">
        <v>1074.0</v>
      </c>
      <c r="H2090" s="1">
        <v>2.9888</v>
      </c>
      <c r="I2090" s="1">
        <v>2.46</v>
      </c>
      <c r="J2090" s="1">
        <v>0.5289</v>
      </c>
      <c r="K2090" s="1">
        <v>455.0</v>
      </c>
    </row>
    <row r="2091">
      <c r="A2091" s="1" t="s">
        <v>24</v>
      </c>
      <c r="B2091" s="1" t="s">
        <v>1192</v>
      </c>
      <c r="C2091" s="1" t="s">
        <v>1210</v>
      </c>
      <c r="D2091" s="1">
        <v>11.0</v>
      </c>
      <c r="E2091" s="1">
        <v>2890.0</v>
      </c>
      <c r="F2091" s="1">
        <v>2717.0</v>
      </c>
      <c r="G2091" s="1">
        <v>1074.0</v>
      </c>
      <c r="H2091" s="1">
        <v>2.6909</v>
      </c>
      <c r="I2091" s="1">
        <v>2.5298</v>
      </c>
      <c r="J2091" s="1">
        <v>0.1611</v>
      </c>
      <c r="K2091" s="1">
        <v>467.0</v>
      </c>
    </row>
    <row r="2092">
      <c r="A2092" s="1" t="s">
        <v>24</v>
      </c>
      <c r="B2092" s="1" t="s">
        <v>1192</v>
      </c>
      <c r="C2092" s="1" t="s">
        <v>1210</v>
      </c>
      <c r="D2092" s="1">
        <v>12.0</v>
      </c>
      <c r="E2092" s="1">
        <v>5545.0</v>
      </c>
      <c r="F2092" s="1">
        <v>3719.0</v>
      </c>
      <c r="G2092" s="1">
        <v>1074.0</v>
      </c>
      <c r="H2092" s="1">
        <v>5.1629</v>
      </c>
      <c r="I2092" s="1">
        <v>3.4628</v>
      </c>
      <c r="J2092" s="1">
        <v>1.7002</v>
      </c>
      <c r="K2092" s="1">
        <v>499.0</v>
      </c>
    </row>
    <row r="2093">
      <c r="A2093" s="1" t="s">
        <v>24</v>
      </c>
      <c r="B2093" s="1" t="s">
        <v>1192</v>
      </c>
      <c r="C2093" s="1" t="s">
        <v>1210</v>
      </c>
      <c r="D2093" s="1">
        <v>13.0</v>
      </c>
      <c r="E2093" s="1">
        <v>4205.0</v>
      </c>
      <c r="F2093" s="1">
        <v>3376.0</v>
      </c>
      <c r="G2093" s="1">
        <v>1074.0</v>
      </c>
      <c r="H2093" s="1">
        <v>3.9153</v>
      </c>
      <c r="I2093" s="1">
        <v>3.1434</v>
      </c>
      <c r="J2093" s="1">
        <v>0.7719</v>
      </c>
      <c r="K2093" s="1">
        <v>504.0</v>
      </c>
    </row>
    <row r="2094">
      <c r="A2094" s="1" t="s">
        <v>24</v>
      </c>
      <c r="B2094" s="1" t="s">
        <v>1192</v>
      </c>
      <c r="C2094" s="1" t="s">
        <v>1210</v>
      </c>
      <c r="D2094" s="1">
        <v>14.0</v>
      </c>
      <c r="E2094" s="1">
        <v>3695.0</v>
      </c>
      <c r="F2094" s="1">
        <v>3659.0</v>
      </c>
      <c r="G2094" s="1">
        <v>1074.0</v>
      </c>
      <c r="H2094" s="1">
        <v>3.4404</v>
      </c>
      <c r="I2094" s="1">
        <v>3.4069</v>
      </c>
      <c r="J2094" s="1">
        <v>0.0335</v>
      </c>
      <c r="K2094" s="1">
        <v>521.0</v>
      </c>
    </row>
    <row r="2095">
      <c r="A2095" s="1" t="s">
        <v>24</v>
      </c>
      <c r="B2095" s="1" t="s">
        <v>1192</v>
      </c>
      <c r="C2095" s="1" t="s">
        <v>1210</v>
      </c>
      <c r="D2095" s="1">
        <v>15.0</v>
      </c>
      <c r="E2095" s="1">
        <v>3770.0</v>
      </c>
      <c r="F2095" s="1">
        <v>3221.0</v>
      </c>
      <c r="G2095" s="1">
        <v>1074.0</v>
      </c>
      <c r="H2095" s="1">
        <v>3.5102</v>
      </c>
      <c r="I2095" s="1">
        <v>2.9991</v>
      </c>
      <c r="J2095" s="1">
        <v>0.5112</v>
      </c>
      <c r="K2095" s="1">
        <v>588.0</v>
      </c>
    </row>
    <row r="2096">
      <c r="A2096" s="1" t="s">
        <v>24</v>
      </c>
      <c r="B2096" s="1" t="s">
        <v>1192</v>
      </c>
      <c r="C2096" s="1" t="s">
        <v>1210</v>
      </c>
      <c r="D2096" s="1">
        <v>16.0</v>
      </c>
      <c r="E2096" s="1">
        <v>3370.0</v>
      </c>
      <c r="F2096" s="1">
        <v>2621.0</v>
      </c>
      <c r="G2096" s="1">
        <v>1074.0</v>
      </c>
      <c r="H2096" s="1">
        <v>3.1378</v>
      </c>
      <c r="I2096" s="1">
        <v>2.4404</v>
      </c>
      <c r="J2096" s="1">
        <v>0.6974</v>
      </c>
      <c r="K2096" s="1">
        <v>567.0</v>
      </c>
    </row>
    <row r="2097">
      <c r="A2097" s="1" t="s">
        <v>24</v>
      </c>
      <c r="B2097" s="1" t="s">
        <v>1192</v>
      </c>
      <c r="C2097" s="1" t="s">
        <v>1210</v>
      </c>
      <c r="D2097" s="1">
        <v>17.0</v>
      </c>
      <c r="E2097" s="1">
        <v>3110.0</v>
      </c>
      <c r="F2097" s="1">
        <v>2439.0</v>
      </c>
      <c r="G2097" s="1">
        <v>1074.0</v>
      </c>
      <c r="H2097" s="1">
        <v>2.8957</v>
      </c>
      <c r="I2097" s="1">
        <v>2.2709</v>
      </c>
      <c r="J2097" s="1">
        <v>0.6248</v>
      </c>
      <c r="K2097" s="1">
        <v>513.0</v>
      </c>
    </row>
    <row r="2098">
      <c r="A2098" s="1" t="s">
        <v>24</v>
      </c>
      <c r="B2098" s="1" t="s">
        <v>1192</v>
      </c>
      <c r="C2098" s="1" t="s">
        <v>1210</v>
      </c>
      <c r="D2098" s="1">
        <v>18.0</v>
      </c>
      <c r="E2098" s="1">
        <v>3210.0</v>
      </c>
      <c r="F2098" s="1">
        <v>3091.0</v>
      </c>
      <c r="G2098" s="1">
        <v>1074.0</v>
      </c>
      <c r="H2098" s="1">
        <v>2.9888</v>
      </c>
      <c r="I2098" s="1">
        <v>2.878</v>
      </c>
      <c r="J2098" s="1">
        <v>0.1108</v>
      </c>
      <c r="K2098" s="1">
        <v>549.0</v>
      </c>
    </row>
    <row r="2099">
      <c r="A2099" s="1" t="s">
        <v>24</v>
      </c>
      <c r="B2099" s="1" t="s">
        <v>1192</v>
      </c>
      <c r="C2099" s="1" t="s">
        <v>1210</v>
      </c>
      <c r="D2099" s="1">
        <v>19.0</v>
      </c>
      <c r="E2099" s="1">
        <v>2135.0</v>
      </c>
      <c r="F2099" s="1">
        <v>2459.0</v>
      </c>
      <c r="G2099" s="1">
        <v>1074.0</v>
      </c>
      <c r="H2099" s="1">
        <v>1.9879</v>
      </c>
      <c r="I2099" s="1">
        <v>2.2896</v>
      </c>
      <c r="J2099" s="1">
        <v>-0.3017</v>
      </c>
      <c r="K2099" s="1">
        <v>538.0</v>
      </c>
    </row>
    <row r="2100">
      <c r="A2100" s="1" t="s">
        <v>24</v>
      </c>
      <c r="B2100" s="1" t="s">
        <v>1192</v>
      </c>
      <c r="C2100" s="1" t="s">
        <v>1210</v>
      </c>
      <c r="D2100" s="1">
        <v>20.0</v>
      </c>
      <c r="E2100" s="1">
        <v>2725.0</v>
      </c>
      <c r="F2100" s="1">
        <v>2326.0</v>
      </c>
      <c r="G2100" s="1">
        <v>1074.0</v>
      </c>
      <c r="H2100" s="1">
        <v>2.5372</v>
      </c>
      <c r="I2100" s="1">
        <v>2.1657</v>
      </c>
      <c r="J2100" s="1">
        <v>0.3715</v>
      </c>
      <c r="K2100" s="1">
        <v>520.0</v>
      </c>
    </row>
    <row r="2101">
      <c r="A2101" s="1" t="s">
        <v>24</v>
      </c>
      <c r="B2101" s="1" t="s">
        <v>1192</v>
      </c>
      <c r="C2101" s="1" t="s">
        <v>1210</v>
      </c>
      <c r="D2101" s="1">
        <v>21.0</v>
      </c>
      <c r="E2101" s="1">
        <v>1970.0</v>
      </c>
      <c r="F2101" s="1">
        <v>2724.0</v>
      </c>
      <c r="G2101" s="1">
        <v>1074.0</v>
      </c>
      <c r="H2101" s="1">
        <v>1.8343</v>
      </c>
      <c r="I2101" s="1">
        <v>2.5363</v>
      </c>
      <c r="J2101" s="1">
        <v>-0.702</v>
      </c>
      <c r="K2101" s="1">
        <v>494.0</v>
      </c>
    </row>
    <row r="2102">
      <c r="A2102" s="1" t="s">
        <v>24</v>
      </c>
      <c r="B2102" s="1" t="s">
        <v>1192</v>
      </c>
      <c r="C2102" s="1" t="s">
        <v>1211</v>
      </c>
      <c r="D2102" s="1">
        <v>1.0</v>
      </c>
      <c r="E2102" s="1">
        <v>6710.0</v>
      </c>
      <c r="F2102" s="1">
        <v>4552.0</v>
      </c>
      <c r="G2102" s="1">
        <v>1125.0</v>
      </c>
      <c r="H2102" s="1">
        <v>5.9644</v>
      </c>
      <c r="I2102" s="1">
        <v>4.0462</v>
      </c>
      <c r="J2102" s="1">
        <v>1.9182</v>
      </c>
      <c r="K2102" s="1">
        <v>413.0</v>
      </c>
    </row>
    <row r="2103">
      <c r="A2103" s="1" t="s">
        <v>24</v>
      </c>
      <c r="B2103" s="1" t="s">
        <v>1192</v>
      </c>
      <c r="C2103" s="1" t="s">
        <v>1211</v>
      </c>
      <c r="D2103" s="1">
        <v>2.0</v>
      </c>
      <c r="E2103" s="1">
        <v>5015.0</v>
      </c>
      <c r="F2103" s="1">
        <v>3255.0</v>
      </c>
      <c r="G2103" s="1">
        <v>1125.0</v>
      </c>
      <c r="H2103" s="1">
        <v>4.4578</v>
      </c>
      <c r="I2103" s="1">
        <v>2.8933</v>
      </c>
      <c r="J2103" s="1">
        <v>1.5644</v>
      </c>
      <c r="K2103" s="1">
        <v>382.0</v>
      </c>
    </row>
    <row r="2104">
      <c r="A2104" s="1" t="s">
        <v>24</v>
      </c>
      <c r="B2104" s="1" t="s">
        <v>1192</v>
      </c>
      <c r="C2104" s="1" t="s">
        <v>1211</v>
      </c>
      <c r="D2104" s="1">
        <v>3.0</v>
      </c>
      <c r="E2104" s="1">
        <v>3875.0</v>
      </c>
      <c r="F2104" s="1">
        <v>2607.0</v>
      </c>
      <c r="G2104" s="1">
        <v>1125.0</v>
      </c>
      <c r="H2104" s="1">
        <v>3.4444</v>
      </c>
      <c r="I2104" s="1">
        <v>2.3173</v>
      </c>
      <c r="J2104" s="1">
        <v>1.1271</v>
      </c>
      <c r="K2104" s="1">
        <v>403.0</v>
      </c>
    </row>
    <row r="2105">
      <c r="A2105" s="1" t="s">
        <v>24</v>
      </c>
      <c r="B2105" s="1" t="s">
        <v>1192</v>
      </c>
      <c r="C2105" s="1" t="s">
        <v>1211</v>
      </c>
      <c r="D2105" s="1">
        <v>4.0</v>
      </c>
      <c r="E2105" s="1">
        <v>3615.0</v>
      </c>
      <c r="F2105" s="1">
        <v>2406.0</v>
      </c>
      <c r="G2105" s="1">
        <v>1125.0</v>
      </c>
      <c r="H2105" s="1">
        <v>3.2133</v>
      </c>
      <c r="I2105" s="1">
        <v>2.1387</v>
      </c>
      <c r="J2105" s="1">
        <v>1.0747</v>
      </c>
      <c r="K2105" s="1">
        <v>411.0</v>
      </c>
    </row>
    <row r="2106">
      <c r="A2106" s="1" t="s">
        <v>24</v>
      </c>
      <c r="B2106" s="1" t="s">
        <v>1192</v>
      </c>
      <c r="C2106" s="1" t="s">
        <v>1211</v>
      </c>
      <c r="D2106" s="1">
        <v>5.0</v>
      </c>
      <c r="E2106" s="1">
        <v>7355.0</v>
      </c>
      <c r="F2106" s="1">
        <v>4811.0</v>
      </c>
      <c r="G2106" s="1">
        <v>1125.0</v>
      </c>
      <c r="H2106" s="1">
        <v>6.5378</v>
      </c>
      <c r="I2106" s="1">
        <v>4.2764</v>
      </c>
      <c r="J2106" s="1">
        <v>2.2613</v>
      </c>
      <c r="K2106" s="1">
        <v>429.0</v>
      </c>
    </row>
    <row r="2107">
      <c r="A2107" s="1" t="s">
        <v>24</v>
      </c>
      <c r="B2107" s="1" t="s">
        <v>1192</v>
      </c>
      <c r="C2107" s="1" t="s">
        <v>1211</v>
      </c>
      <c r="D2107" s="1">
        <v>6.0</v>
      </c>
      <c r="E2107" s="1">
        <v>5460.0</v>
      </c>
      <c r="F2107" s="1">
        <v>3842.0</v>
      </c>
      <c r="G2107" s="1">
        <v>1125.0</v>
      </c>
      <c r="H2107" s="1">
        <v>4.8533</v>
      </c>
      <c r="I2107" s="1">
        <v>3.4151</v>
      </c>
      <c r="J2107" s="1">
        <v>1.4382</v>
      </c>
      <c r="K2107" s="1">
        <v>419.0</v>
      </c>
    </row>
    <row r="2108">
      <c r="A2108" s="1" t="s">
        <v>24</v>
      </c>
      <c r="B2108" s="1" t="s">
        <v>1192</v>
      </c>
      <c r="C2108" s="1" t="s">
        <v>1211</v>
      </c>
      <c r="D2108" s="1">
        <v>7.0</v>
      </c>
      <c r="E2108" s="1">
        <v>4000.0</v>
      </c>
      <c r="F2108" s="1">
        <v>3256.0</v>
      </c>
      <c r="G2108" s="1">
        <v>1125.0</v>
      </c>
      <c r="H2108" s="1">
        <v>3.5556</v>
      </c>
      <c r="I2108" s="1">
        <v>2.8942</v>
      </c>
      <c r="J2108" s="1">
        <v>0.6613</v>
      </c>
      <c r="K2108" s="1">
        <v>427.0</v>
      </c>
    </row>
    <row r="2109">
      <c r="A2109" s="1" t="s">
        <v>24</v>
      </c>
      <c r="B2109" s="1" t="s">
        <v>1192</v>
      </c>
      <c r="C2109" s="1" t="s">
        <v>1211</v>
      </c>
      <c r="D2109" s="1">
        <v>8.0</v>
      </c>
      <c r="E2109" s="1">
        <v>7465.0</v>
      </c>
      <c r="F2109" s="1">
        <v>4849.0</v>
      </c>
      <c r="G2109" s="1">
        <v>1125.0</v>
      </c>
      <c r="H2109" s="1">
        <v>6.6356</v>
      </c>
      <c r="I2109" s="1">
        <v>4.3102</v>
      </c>
      <c r="J2109" s="1">
        <v>2.3253</v>
      </c>
      <c r="K2109" s="1">
        <v>479.0</v>
      </c>
    </row>
    <row r="2110">
      <c r="A2110" s="1" t="s">
        <v>24</v>
      </c>
      <c r="B2110" s="1" t="s">
        <v>1192</v>
      </c>
      <c r="C2110" s="1" t="s">
        <v>1211</v>
      </c>
      <c r="D2110" s="1">
        <v>9.0</v>
      </c>
      <c r="E2110" s="1">
        <v>5995.0</v>
      </c>
      <c r="F2110" s="1">
        <v>3462.0</v>
      </c>
      <c r="G2110" s="1">
        <v>1125.0</v>
      </c>
      <c r="H2110" s="1">
        <v>5.3289</v>
      </c>
      <c r="I2110" s="1">
        <v>3.0773</v>
      </c>
      <c r="J2110" s="1">
        <v>2.2516</v>
      </c>
      <c r="K2110" s="1">
        <v>474.0</v>
      </c>
    </row>
    <row r="2111">
      <c r="A2111" s="1" t="s">
        <v>24</v>
      </c>
      <c r="B2111" s="1" t="s">
        <v>1192</v>
      </c>
      <c r="C2111" s="1" t="s">
        <v>1211</v>
      </c>
      <c r="D2111" s="1">
        <v>10.0</v>
      </c>
      <c r="E2111" s="1">
        <v>4325.0</v>
      </c>
      <c r="F2111" s="1">
        <v>2949.0</v>
      </c>
      <c r="G2111" s="1">
        <v>1125.0</v>
      </c>
      <c r="H2111" s="1">
        <v>3.8444</v>
      </c>
      <c r="I2111" s="1">
        <v>2.6213</v>
      </c>
      <c r="J2111" s="1">
        <v>1.2231</v>
      </c>
      <c r="K2111" s="1">
        <v>455.0</v>
      </c>
    </row>
    <row r="2112">
      <c r="A2112" s="1" t="s">
        <v>24</v>
      </c>
      <c r="B2112" s="1" t="s">
        <v>1192</v>
      </c>
      <c r="C2112" s="1" t="s">
        <v>1211</v>
      </c>
      <c r="D2112" s="1">
        <v>11.0</v>
      </c>
      <c r="E2112" s="1">
        <v>3450.0</v>
      </c>
      <c r="F2112" s="1">
        <v>2947.0</v>
      </c>
      <c r="G2112" s="1">
        <v>1125.0</v>
      </c>
      <c r="H2112" s="1">
        <v>3.0667</v>
      </c>
      <c r="I2112" s="1">
        <v>2.6196</v>
      </c>
      <c r="J2112" s="1">
        <v>0.4471</v>
      </c>
      <c r="K2112" s="1">
        <v>467.0</v>
      </c>
    </row>
    <row r="2113">
      <c r="A2113" s="1" t="s">
        <v>24</v>
      </c>
      <c r="B2113" s="1" t="s">
        <v>1192</v>
      </c>
      <c r="C2113" s="1" t="s">
        <v>1211</v>
      </c>
      <c r="D2113" s="1">
        <v>12.0</v>
      </c>
      <c r="E2113" s="1">
        <v>7100.0</v>
      </c>
      <c r="F2113" s="1">
        <v>4587.0</v>
      </c>
      <c r="G2113" s="1">
        <v>1125.0</v>
      </c>
      <c r="H2113" s="1">
        <v>6.3111</v>
      </c>
      <c r="I2113" s="1">
        <v>4.0773</v>
      </c>
      <c r="J2113" s="1">
        <v>2.2338</v>
      </c>
      <c r="K2113" s="1">
        <v>499.0</v>
      </c>
    </row>
    <row r="2114">
      <c r="A2114" s="1" t="s">
        <v>24</v>
      </c>
      <c r="B2114" s="1" t="s">
        <v>1192</v>
      </c>
      <c r="C2114" s="1" t="s">
        <v>1211</v>
      </c>
      <c r="D2114" s="1">
        <v>13.0</v>
      </c>
      <c r="E2114" s="1">
        <v>5200.0</v>
      </c>
      <c r="F2114" s="1">
        <v>4078.0</v>
      </c>
      <c r="G2114" s="1">
        <v>1125.0</v>
      </c>
      <c r="H2114" s="1">
        <v>4.6222</v>
      </c>
      <c r="I2114" s="1">
        <v>3.6249</v>
      </c>
      <c r="J2114" s="1">
        <v>0.9973</v>
      </c>
      <c r="K2114" s="1">
        <v>504.0</v>
      </c>
    </row>
    <row r="2115">
      <c r="A2115" s="1" t="s">
        <v>24</v>
      </c>
      <c r="B2115" s="1" t="s">
        <v>1192</v>
      </c>
      <c r="C2115" s="1" t="s">
        <v>1211</v>
      </c>
      <c r="D2115" s="1">
        <v>14.0</v>
      </c>
      <c r="E2115" s="1">
        <v>4780.0</v>
      </c>
      <c r="F2115" s="1">
        <v>4301.0</v>
      </c>
      <c r="G2115" s="1">
        <v>1125.0</v>
      </c>
      <c r="H2115" s="1">
        <v>4.2489</v>
      </c>
      <c r="I2115" s="1">
        <v>3.8231</v>
      </c>
      <c r="J2115" s="1">
        <v>0.4258</v>
      </c>
      <c r="K2115" s="1">
        <v>521.0</v>
      </c>
    </row>
    <row r="2116">
      <c r="A2116" s="1" t="s">
        <v>24</v>
      </c>
      <c r="B2116" s="1" t="s">
        <v>1192</v>
      </c>
      <c r="C2116" s="1" t="s">
        <v>1211</v>
      </c>
      <c r="D2116" s="1">
        <v>15.0</v>
      </c>
      <c r="E2116" s="1">
        <v>9065.0</v>
      </c>
      <c r="F2116" s="1">
        <v>5776.0</v>
      </c>
      <c r="G2116" s="1">
        <v>1125.0</v>
      </c>
      <c r="H2116" s="1">
        <v>8.0578</v>
      </c>
      <c r="I2116" s="1">
        <v>5.1342</v>
      </c>
      <c r="J2116" s="1">
        <v>2.9236</v>
      </c>
      <c r="K2116" s="1">
        <v>588.0</v>
      </c>
    </row>
    <row r="2117">
      <c r="A2117" s="1" t="s">
        <v>24</v>
      </c>
      <c r="B2117" s="1" t="s">
        <v>1192</v>
      </c>
      <c r="C2117" s="1" t="s">
        <v>1211</v>
      </c>
      <c r="D2117" s="1">
        <v>16.0</v>
      </c>
      <c r="E2117" s="1">
        <v>6485.0</v>
      </c>
      <c r="F2117" s="1">
        <v>4018.0</v>
      </c>
      <c r="G2117" s="1">
        <v>1125.0</v>
      </c>
      <c r="H2117" s="1">
        <v>5.7644</v>
      </c>
      <c r="I2117" s="1">
        <v>3.5716</v>
      </c>
      <c r="J2117" s="1">
        <v>2.1929</v>
      </c>
      <c r="K2117" s="1">
        <v>567.0</v>
      </c>
    </row>
    <row r="2118">
      <c r="A2118" s="1" t="s">
        <v>24</v>
      </c>
      <c r="B2118" s="1" t="s">
        <v>1192</v>
      </c>
      <c r="C2118" s="1" t="s">
        <v>1211</v>
      </c>
      <c r="D2118" s="1">
        <v>17.0</v>
      </c>
      <c r="E2118" s="1">
        <v>4115.0</v>
      </c>
      <c r="F2118" s="1">
        <v>2880.0</v>
      </c>
      <c r="G2118" s="1">
        <v>1125.0</v>
      </c>
      <c r="H2118" s="1">
        <v>3.6578</v>
      </c>
      <c r="I2118" s="1">
        <v>2.56</v>
      </c>
      <c r="J2118" s="1">
        <v>1.0978</v>
      </c>
      <c r="K2118" s="1">
        <v>513.0</v>
      </c>
    </row>
    <row r="2119">
      <c r="A2119" s="1" t="s">
        <v>24</v>
      </c>
      <c r="B2119" s="1" t="s">
        <v>1192</v>
      </c>
      <c r="C2119" s="1" t="s">
        <v>1211</v>
      </c>
      <c r="D2119" s="1">
        <v>18.0</v>
      </c>
      <c r="E2119" s="1">
        <v>4460.0</v>
      </c>
      <c r="F2119" s="1">
        <v>3504.0</v>
      </c>
      <c r="G2119" s="1">
        <v>1125.0</v>
      </c>
      <c r="H2119" s="1">
        <v>3.9644</v>
      </c>
      <c r="I2119" s="1">
        <v>3.1147</v>
      </c>
      <c r="J2119" s="1">
        <v>0.8498</v>
      </c>
      <c r="K2119" s="1">
        <v>549.0</v>
      </c>
    </row>
    <row r="2120">
      <c r="A2120" s="1" t="s">
        <v>24</v>
      </c>
      <c r="B2120" s="1" t="s">
        <v>1192</v>
      </c>
      <c r="C2120" s="1" t="s">
        <v>1211</v>
      </c>
      <c r="D2120" s="1">
        <v>19.0</v>
      </c>
      <c r="E2120" s="1">
        <v>4165.0</v>
      </c>
      <c r="F2120" s="1">
        <v>3381.0</v>
      </c>
      <c r="G2120" s="1">
        <v>1125.0</v>
      </c>
      <c r="H2120" s="1">
        <v>3.7022</v>
      </c>
      <c r="I2120" s="1">
        <v>3.0053</v>
      </c>
      <c r="J2120" s="1">
        <v>0.6969</v>
      </c>
      <c r="K2120" s="1">
        <v>538.0</v>
      </c>
    </row>
    <row r="2121">
      <c r="A2121" s="1" t="s">
        <v>24</v>
      </c>
      <c r="B2121" s="1" t="s">
        <v>1192</v>
      </c>
      <c r="C2121" s="1" t="s">
        <v>1211</v>
      </c>
      <c r="D2121" s="1">
        <v>20.0</v>
      </c>
      <c r="E2121" s="1">
        <v>3875.0</v>
      </c>
      <c r="F2121" s="1">
        <v>2863.0</v>
      </c>
      <c r="G2121" s="1">
        <v>1125.0</v>
      </c>
      <c r="H2121" s="1">
        <v>3.4444</v>
      </c>
      <c r="I2121" s="1">
        <v>2.5449</v>
      </c>
      <c r="J2121" s="1">
        <v>0.8996</v>
      </c>
      <c r="K2121" s="1">
        <v>520.0</v>
      </c>
    </row>
    <row r="2122">
      <c r="A2122" s="1" t="s">
        <v>24</v>
      </c>
      <c r="B2122" s="1" t="s">
        <v>1192</v>
      </c>
      <c r="C2122" s="1" t="s">
        <v>1211</v>
      </c>
      <c r="D2122" s="1">
        <v>21.0</v>
      </c>
      <c r="E2122" s="1">
        <v>3480.0</v>
      </c>
      <c r="F2122" s="1">
        <v>2901.0</v>
      </c>
      <c r="G2122" s="1">
        <v>1125.0</v>
      </c>
      <c r="H2122" s="1">
        <v>3.0933</v>
      </c>
      <c r="I2122" s="1">
        <v>2.5787</v>
      </c>
      <c r="J2122" s="1">
        <v>0.5147</v>
      </c>
      <c r="K2122" s="1">
        <v>494.0</v>
      </c>
    </row>
    <row r="2123">
      <c r="A2123" s="1" t="s">
        <v>24</v>
      </c>
      <c r="B2123" s="1" t="s">
        <v>1192</v>
      </c>
      <c r="C2123" s="1" t="s">
        <v>55</v>
      </c>
      <c r="D2123" s="1">
        <v>1.0</v>
      </c>
      <c r="E2123" s="1">
        <v>165085.0</v>
      </c>
      <c r="F2123" s="1">
        <v>0.0</v>
      </c>
      <c r="G2123" s="1">
        <v>1155.0</v>
      </c>
      <c r="H2123" s="1">
        <v>142.9307</v>
      </c>
      <c r="I2123" s="1">
        <v>0.0</v>
      </c>
      <c r="J2123" s="1">
        <v>142.9307</v>
      </c>
      <c r="K2123" s="1">
        <v>413.0</v>
      </c>
    </row>
    <row r="2124">
      <c r="A2124" s="1" t="s">
        <v>24</v>
      </c>
      <c r="B2124" s="1" t="s">
        <v>1192</v>
      </c>
      <c r="C2124" s="1" t="s">
        <v>55</v>
      </c>
      <c r="D2124" s="1">
        <v>2.0</v>
      </c>
      <c r="E2124" s="1">
        <v>123766.0</v>
      </c>
      <c r="F2124" s="1">
        <v>0.0</v>
      </c>
      <c r="G2124" s="1">
        <v>1155.0</v>
      </c>
      <c r="H2124" s="1">
        <v>107.1567</v>
      </c>
      <c r="I2124" s="1">
        <v>0.0</v>
      </c>
      <c r="J2124" s="1">
        <v>107.1567</v>
      </c>
      <c r="K2124" s="1">
        <v>382.0</v>
      </c>
    </row>
    <row r="2125">
      <c r="A2125" s="1" t="s">
        <v>24</v>
      </c>
      <c r="B2125" s="1" t="s">
        <v>1192</v>
      </c>
      <c r="C2125" s="1" t="s">
        <v>55</v>
      </c>
      <c r="D2125" s="1">
        <v>3.0</v>
      </c>
      <c r="E2125" s="1">
        <v>150630.0</v>
      </c>
      <c r="F2125" s="1">
        <v>0.0</v>
      </c>
      <c r="G2125" s="1">
        <v>1155.0</v>
      </c>
      <c r="H2125" s="1">
        <v>130.4156</v>
      </c>
      <c r="I2125" s="1">
        <v>0.0</v>
      </c>
      <c r="J2125" s="1">
        <v>130.4156</v>
      </c>
      <c r="K2125" s="1">
        <v>403.0</v>
      </c>
    </row>
    <row r="2126">
      <c r="A2126" s="1" t="s">
        <v>24</v>
      </c>
      <c r="B2126" s="1" t="s">
        <v>1192</v>
      </c>
      <c r="C2126" s="1" t="s">
        <v>55</v>
      </c>
      <c r="D2126" s="1">
        <v>4.0</v>
      </c>
      <c r="E2126" s="1">
        <v>134125.0</v>
      </c>
      <c r="F2126" s="1">
        <v>0.0</v>
      </c>
      <c r="G2126" s="1">
        <v>1155.0</v>
      </c>
      <c r="H2126" s="1">
        <v>116.1255</v>
      </c>
      <c r="I2126" s="1">
        <v>0.0</v>
      </c>
      <c r="J2126" s="1">
        <v>116.1255</v>
      </c>
      <c r="K2126" s="1">
        <v>411.0</v>
      </c>
    </row>
    <row r="2127">
      <c r="A2127" s="1" t="s">
        <v>24</v>
      </c>
      <c r="B2127" s="1" t="s">
        <v>1192</v>
      </c>
      <c r="C2127" s="1" t="s">
        <v>55</v>
      </c>
      <c r="D2127" s="1">
        <v>5.0</v>
      </c>
      <c r="E2127" s="1">
        <v>137535.0</v>
      </c>
      <c r="F2127" s="1">
        <v>0.0</v>
      </c>
      <c r="G2127" s="1">
        <v>1155.0</v>
      </c>
      <c r="H2127" s="1">
        <v>119.0779</v>
      </c>
      <c r="I2127" s="1">
        <v>0.0</v>
      </c>
      <c r="J2127" s="1">
        <v>119.0779</v>
      </c>
      <c r="K2127" s="1">
        <v>429.0</v>
      </c>
    </row>
    <row r="2128">
      <c r="A2128" s="1" t="s">
        <v>24</v>
      </c>
      <c r="B2128" s="1" t="s">
        <v>1192</v>
      </c>
      <c r="C2128" s="1" t="s">
        <v>55</v>
      </c>
      <c r="D2128" s="1">
        <v>6.0</v>
      </c>
      <c r="E2128" s="1">
        <v>122437.0</v>
      </c>
      <c r="F2128" s="1">
        <v>0.0</v>
      </c>
      <c r="G2128" s="1">
        <v>1155.0</v>
      </c>
      <c r="H2128" s="1">
        <v>106.0061</v>
      </c>
      <c r="I2128" s="1">
        <v>0.0</v>
      </c>
      <c r="J2128" s="1">
        <v>106.0061</v>
      </c>
      <c r="K2128" s="1">
        <v>419.0</v>
      </c>
    </row>
    <row r="2129">
      <c r="A2129" s="1" t="s">
        <v>24</v>
      </c>
      <c r="B2129" s="1" t="s">
        <v>1192</v>
      </c>
      <c r="C2129" s="1" t="s">
        <v>55</v>
      </c>
      <c r="D2129" s="1">
        <v>7.0</v>
      </c>
      <c r="E2129" s="1">
        <v>121492.0</v>
      </c>
      <c r="F2129" s="1">
        <v>0.0</v>
      </c>
      <c r="G2129" s="1">
        <v>1155.0</v>
      </c>
      <c r="H2129" s="1">
        <v>105.1879</v>
      </c>
      <c r="I2129" s="1">
        <v>0.0</v>
      </c>
      <c r="J2129" s="1">
        <v>105.1879</v>
      </c>
      <c r="K2129" s="1">
        <v>427.0</v>
      </c>
    </row>
    <row r="2130">
      <c r="A2130" s="1" t="s">
        <v>24</v>
      </c>
      <c r="B2130" s="1" t="s">
        <v>1192</v>
      </c>
      <c r="C2130" s="1" t="s">
        <v>55</v>
      </c>
      <c r="D2130" s="1">
        <v>8.0</v>
      </c>
      <c r="E2130" s="1">
        <v>172820.0</v>
      </c>
      <c r="F2130" s="1">
        <v>0.0</v>
      </c>
      <c r="G2130" s="1">
        <v>1155.0</v>
      </c>
      <c r="H2130" s="1">
        <v>149.6277</v>
      </c>
      <c r="I2130" s="1">
        <v>0.0</v>
      </c>
      <c r="J2130" s="1">
        <v>149.6277</v>
      </c>
      <c r="K2130" s="1">
        <v>479.0</v>
      </c>
    </row>
    <row r="2131">
      <c r="A2131" s="1" t="s">
        <v>24</v>
      </c>
      <c r="B2131" s="1" t="s">
        <v>1192</v>
      </c>
      <c r="C2131" s="1" t="s">
        <v>55</v>
      </c>
      <c r="D2131" s="1">
        <v>9.0</v>
      </c>
      <c r="E2131" s="1">
        <v>152315.0</v>
      </c>
      <c r="F2131" s="1">
        <v>0.0</v>
      </c>
      <c r="G2131" s="1">
        <v>1155.0</v>
      </c>
      <c r="H2131" s="1">
        <v>131.8745</v>
      </c>
      <c r="I2131" s="1">
        <v>0.0</v>
      </c>
      <c r="J2131" s="1">
        <v>131.8745</v>
      </c>
      <c r="K2131" s="1">
        <v>474.0</v>
      </c>
    </row>
    <row r="2132">
      <c r="A2132" s="1" t="s">
        <v>24</v>
      </c>
      <c r="B2132" s="1" t="s">
        <v>1192</v>
      </c>
      <c r="C2132" s="1" t="s">
        <v>55</v>
      </c>
      <c r="D2132" s="1">
        <v>10.0</v>
      </c>
      <c r="E2132" s="1">
        <v>135350.0</v>
      </c>
      <c r="F2132" s="1">
        <v>0.0</v>
      </c>
      <c r="G2132" s="1">
        <v>1155.0</v>
      </c>
      <c r="H2132" s="1">
        <v>117.1861</v>
      </c>
      <c r="I2132" s="1">
        <v>0.0</v>
      </c>
      <c r="J2132" s="1">
        <v>117.1861</v>
      </c>
      <c r="K2132" s="1">
        <v>455.0</v>
      </c>
    </row>
    <row r="2133">
      <c r="A2133" s="1" t="s">
        <v>24</v>
      </c>
      <c r="B2133" s="1" t="s">
        <v>1192</v>
      </c>
      <c r="C2133" s="1" t="s">
        <v>55</v>
      </c>
      <c r="D2133" s="1">
        <v>11.0</v>
      </c>
      <c r="E2133" s="1">
        <v>134518.0</v>
      </c>
      <c r="F2133" s="1">
        <v>0.0</v>
      </c>
      <c r="G2133" s="1">
        <v>1155.0</v>
      </c>
      <c r="H2133" s="1">
        <v>116.4658</v>
      </c>
      <c r="I2133" s="1">
        <v>0.0</v>
      </c>
      <c r="J2133" s="1">
        <v>116.4658</v>
      </c>
      <c r="K2133" s="1">
        <v>467.0</v>
      </c>
    </row>
    <row r="2134">
      <c r="A2134" s="1" t="s">
        <v>24</v>
      </c>
      <c r="B2134" s="1" t="s">
        <v>1192</v>
      </c>
      <c r="C2134" s="1" t="s">
        <v>55</v>
      </c>
      <c r="D2134" s="1">
        <v>12.0</v>
      </c>
      <c r="E2134" s="1">
        <v>144795.0</v>
      </c>
      <c r="F2134" s="1">
        <v>0.0</v>
      </c>
      <c r="G2134" s="1">
        <v>1155.0</v>
      </c>
      <c r="H2134" s="1">
        <v>125.3636</v>
      </c>
      <c r="I2134" s="1">
        <v>0.0</v>
      </c>
      <c r="J2134" s="1">
        <v>125.3636</v>
      </c>
      <c r="K2134" s="1">
        <v>499.0</v>
      </c>
    </row>
    <row r="2135">
      <c r="A2135" s="1" t="s">
        <v>24</v>
      </c>
      <c r="B2135" s="1" t="s">
        <v>1192</v>
      </c>
      <c r="C2135" s="1" t="s">
        <v>55</v>
      </c>
      <c r="D2135" s="1">
        <v>13.0</v>
      </c>
      <c r="E2135" s="1">
        <v>143545.0</v>
      </c>
      <c r="F2135" s="1">
        <v>0.0</v>
      </c>
      <c r="G2135" s="1">
        <v>1155.0</v>
      </c>
      <c r="H2135" s="1">
        <v>124.2814</v>
      </c>
      <c r="I2135" s="1">
        <v>0.0</v>
      </c>
      <c r="J2135" s="1">
        <v>124.2814</v>
      </c>
      <c r="K2135" s="1">
        <v>504.0</v>
      </c>
    </row>
    <row r="2136">
      <c r="A2136" s="1" t="s">
        <v>24</v>
      </c>
      <c r="B2136" s="1" t="s">
        <v>1192</v>
      </c>
      <c r="C2136" s="1" t="s">
        <v>55</v>
      </c>
      <c r="D2136" s="1">
        <v>14.0</v>
      </c>
      <c r="E2136" s="1">
        <v>134985.0</v>
      </c>
      <c r="F2136" s="1">
        <v>0.0</v>
      </c>
      <c r="G2136" s="1">
        <v>1155.0</v>
      </c>
      <c r="H2136" s="1">
        <v>116.8701</v>
      </c>
      <c r="I2136" s="1">
        <v>0.0</v>
      </c>
      <c r="J2136" s="1">
        <v>116.8701</v>
      </c>
      <c r="K2136" s="1">
        <v>521.0</v>
      </c>
    </row>
    <row r="2137">
      <c r="A2137" s="1" t="s">
        <v>24</v>
      </c>
      <c r="B2137" s="1" t="s">
        <v>1192</v>
      </c>
      <c r="C2137" s="1" t="s">
        <v>55</v>
      </c>
      <c r="D2137" s="1">
        <v>15.0</v>
      </c>
      <c r="E2137" s="1">
        <v>215300.0</v>
      </c>
      <c r="F2137" s="1">
        <v>0.0</v>
      </c>
      <c r="G2137" s="1">
        <v>1155.0</v>
      </c>
      <c r="H2137" s="1">
        <v>186.4069</v>
      </c>
      <c r="I2137" s="1">
        <v>0.0</v>
      </c>
      <c r="J2137" s="1">
        <v>186.4069</v>
      </c>
      <c r="K2137" s="1">
        <v>588.0</v>
      </c>
    </row>
    <row r="2138">
      <c r="A2138" s="1" t="s">
        <v>24</v>
      </c>
      <c r="B2138" s="1" t="s">
        <v>1192</v>
      </c>
      <c r="C2138" s="1" t="s">
        <v>55</v>
      </c>
      <c r="D2138" s="1">
        <v>16.0</v>
      </c>
      <c r="E2138" s="1">
        <v>163885.0</v>
      </c>
      <c r="F2138" s="1">
        <v>0.0</v>
      </c>
      <c r="G2138" s="1">
        <v>1155.0</v>
      </c>
      <c r="H2138" s="1">
        <v>141.8918</v>
      </c>
      <c r="I2138" s="1">
        <v>0.0</v>
      </c>
      <c r="J2138" s="1">
        <v>141.8918</v>
      </c>
      <c r="K2138" s="1">
        <v>567.0</v>
      </c>
    </row>
    <row r="2139">
      <c r="A2139" s="1" t="s">
        <v>24</v>
      </c>
      <c r="B2139" s="1" t="s">
        <v>1192</v>
      </c>
      <c r="C2139" s="1" t="s">
        <v>55</v>
      </c>
      <c r="D2139" s="1">
        <v>17.0</v>
      </c>
      <c r="E2139" s="1">
        <v>132240.0</v>
      </c>
      <c r="F2139" s="1">
        <v>0.0</v>
      </c>
      <c r="G2139" s="1">
        <v>1155.0</v>
      </c>
      <c r="H2139" s="1">
        <v>114.4935</v>
      </c>
      <c r="I2139" s="1">
        <v>0.0</v>
      </c>
      <c r="J2139" s="1">
        <v>114.4935</v>
      </c>
      <c r="K2139" s="1">
        <v>513.0</v>
      </c>
    </row>
    <row r="2140">
      <c r="A2140" s="1" t="s">
        <v>24</v>
      </c>
      <c r="B2140" s="1" t="s">
        <v>1192</v>
      </c>
      <c r="C2140" s="1" t="s">
        <v>55</v>
      </c>
      <c r="D2140" s="1">
        <v>18.0</v>
      </c>
      <c r="E2140" s="1">
        <v>137882.0</v>
      </c>
      <c r="F2140" s="1">
        <v>0.0</v>
      </c>
      <c r="G2140" s="1">
        <v>1155.0</v>
      </c>
      <c r="H2140" s="1">
        <v>119.3784</v>
      </c>
      <c r="I2140" s="1">
        <v>0.0</v>
      </c>
      <c r="J2140" s="1">
        <v>119.3784</v>
      </c>
      <c r="K2140" s="1">
        <v>549.0</v>
      </c>
    </row>
    <row r="2141">
      <c r="A2141" s="1" t="s">
        <v>24</v>
      </c>
      <c r="B2141" s="1" t="s">
        <v>1192</v>
      </c>
      <c r="C2141" s="1" t="s">
        <v>55</v>
      </c>
      <c r="D2141" s="1">
        <v>19.0</v>
      </c>
      <c r="E2141" s="1">
        <v>136688.0</v>
      </c>
      <c r="F2141" s="1">
        <v>0.0</v>
      </c>
      <c r="G2141" s="1">
        <v>1155.0</v>
      </c>
      <c r="H2141" s="1">
        <v>118.3446</v>
      </c>
      <c r="I2141" s="1">
        <v>0.0</v>
      </c>
      <c r="J2141" s="1">
        <v>118.3446</v>
      </c>
      <c r="K2141" s="1">
        <v>538.0</v>
      </c>
    </row>
    <row r="2142">
      <c r="A2142" s="1" t="s">
        <v>24</v>
      </c>
      <c r="B2142" s="1" t="s">
        <v>1192</v>
      </c>
      <c r="C2142" s="1" t="s">
        <v>55</v>
      </c>
      <c r="D2142" s="1">
        <v>20.0</v>
      </c>
      <c r="E2142" s="1">
        <v>118925.0</v>
      </c>
      <c r="F2142" s="1">
        <v>0.0</v>
      </c>
      <c r="G2142" s="1">
        <v>1155.0</v>
      </c>
      <c r="H2142" s="1">
        <v>102.9654</v>
      </c>
      <c r="I2142" s="1">
        <v>0.0</v>
      </c>
      <c r="J2142" s="1">
        <v>102.9654</v>
      </c>
      <c r="K2142" s="1">
        <v>520.0</v>
      </c>
    </row>
    <row r="2143">
      <c r="A2143" s="1" t="s">
        <v>24</v>
      </c>
      <c r="B2143" s="1" t="s">
        <v>1192</v>
      </c>
      <c r="C2143" s="1" t="s">
        <v>55</v>
      </c>
      <c r="D2143" s="1">
        <v>21.0</v>
      </c>
      <c r="E2143" s="1">
        <v>107340.0</v>
      </c>
      <c r="F2143" s="1">
        <v>0.0</v>
      </c>
      <c r="G2143" s="1">
        <v>1155.0</v>
      </c>
      <c r="H2143" s="1">
        <v>92.9351</v>
      </c>
      <c r="I2143" s="1">
        <v>0.0</v>
      </c>
      <c r="J2143" s="1">
        <v>92.9351</v>
      </c>
      <c r="K2143" s="1">
        <v>494.0</v>
      </c>
    </row>
    <row r="2144">
      <c r="A2144" s="1" t="s">
        <v>24</v>
      </c>
      <c r="B2144" s="1" t="s">
        <v>1192</v>
      </c>
      <c r="C2144" s="1" t="s">
        <v>46</v>
      </c>
      <c r="D2144" s="1">
        <v>1.0</v>
      </c>
      <c r="E2144" s="1">
        <v>197597.0</v>
      </c>
      <c r="F2144" s="1">
        <v>0.0</v>
      </c>
      <c r="G2144" s="1">
        <v>1149.0</v>
      </c>
      <c r="H2144" s="1">
        <v>171.973</v>
      </c>
      <c r="I2144" s="1">
        <v>0.0</v>
      </c>
      <c r="J2144" s="1">
        <v>171.973</v>
      </c>
      <c r="K2144" s="1">
        <v>413.0</v>
      </c>
    </row>
    <row r="2145">
      <c r="A2145" s="1" t="s">
        <v>24</v>
      </c>
      <c r="B2145" s="1" t="s">
        <v>1192</v>
      </c>
      <c r="C2145" s="1" t="s">
        <v>46</v>
      </c>
      <c r="D2145" s="1">
        <v>2.0</v>
      </c>
      <c r="E2145" s="1">
        <v>149486.0</v>
      </c>
      <c r="F2145" s="1">
        <v>0.0</v>
      </c>
      <c r="G2145" s="1">
        <v>1149.0</v>
      </c>
      <c r="H2145" s="1">
        <v>130.101</v>
      </c>
      <c r="I2145" s="1">
        <v>0.0</v>
      </c>
      <c r="J2145" s="1">
        <v>130.101</v>
      </c>
      <c r="K2145" s="1">
        <v>382.0</v>
      </c>
    </row>
    <row r="2146">
      <c r="A2146" s="1" t="s">
        <v>24</v>
      </c>
      <c r="B2146" s="1" t="s">
        <v>1192</v>
      </c>
      <c r="C2146" s="1" t="s">
        <v>46</v>
      </c>
      <c r="D2146" s="1">
        <v>3.0</v>
      </c>
      <c r="E2146" s="1">
        <v>125471.0</v>
      </c>
      <c r="F2146" s="1">
        <v>0.0</v>
      </c>
      <c r="G2146" s="1">
        <v>1149.0</v>
      </c>
      <c r="H2146" s="1">
        <v>109.2002</v>
      </c>
      <c r="I2146" s="1">
        <v>0.0</v>
      </c>
      <c r="J2146" s="1">
        <v>109.2002</v>
      </c>
      <c r="K2146" s="1">
        <v>403.0</v>
      </c>
    </row>
    <row r="2147">
      <c r="A2147" s="1" t="s">
        <v>24</v>
      </c>
      <c r="B2147" s="1" t="s">
        <v>1192</v>
      </c>
      <c r="C2147" s="1" t="s">
        <v>46</v>
      </c>
      <c r="D2147" s="1">
        <v>4.0</v>
      </c>
      <c r="E2147" s="1">
        <v>195529.0</v>
      </c>
      <c r="F2147" s="1">
        <v>0.0</v>
      </c>
      <c r="G2147" s="1">
        <v>1149.0</v>
      </c>
      <c r="H2147" s="1">
        <v>170.1732</v>
      </c>
      <c r="I2147" s="1">
        <v>0.0</v>
      </c>
      <c r="J2147" s="1">
        <v>170.1732</v>
      </c>
      <c r="K2147" s="1">
        <v>411.0</v>
      </c>
    </row>
    <row r="2148">
      <c r="A2148" s="1" t="s">
        <v>24</v>
      </c>
      <c r="B2148" s="1" t="s">
        <v>1192</v>
      </c>
      <c r="C2148" s="1" t="s">
        <v>46</v>
      </c>
      <c r="D2148" s="1">
        <v>5.0</v>
      </c>
      <c r="E2148" s="1">
        <v>203484.0</v>
      </c>
      <c r="F2148" s="1">
        <v>0.0</v>
      </c>
      <c r="G2148" s="1">
        <v>1149.0</v>
      </c>
      <c r="H2148" s="1">
        <v>177.0966</v>
      </c>
      <c r="I2148" s="1">
        <v>0.0</v>
      </c>
      <c r="J2148" s="1">
        <v>177.0966</v>
      </c>
      <c r="K2148" s="1">
        <v>429.0</v>
      </c>
    </row>
    <row r="2149">
      <c r="A2149" s="1" t="s">
        <v>24</v>
      </c>
      <c r="B2149" s="1" t="s">
        <v>1192</v>
      </c>
      <c r="C2149" s="1" t="s">
        <v>46</v>
      </c>
      <c r="D2149" s="1">
        <v>6.0</v>
      </c>
      <c r="E2149" s="1">
        <v>162229.0</v>
      </c>
      <c r="F2149" s="1">
        <v>0.0</v>
      </c>
      <c r="G2149" s="1">
        <v>1149.0</v>
      </c>
      <c r="H2149" s="1">
        <v>141.1915</v>
      </c>
      <c r="I2149" s="1">
        <v>0.0</v>
      </c>
      <c r="J2149" s="1">
        <v>141.1915</v>
      </c>
      <c r="K2149" s="1">
        <v>419.0</v>
      </c>
    </row>
    <row r="2150">
      <c r="A2150" s="1" t="s">
        <v>24</v>
      </c>
      <c r="B2150" s="1" t="s">
        <v>1192</v>
      </c>
      <c r="C2150" s="1" t="s">
        <v>46</v>
      </c>
      <c r="D2150" s="1">
        <v>7.0</v>
      </c>
      <c r="E2150" s="1">
        <v>166491.0</v>
      </c>
      <c r="F2150" s="1">
        <v>0.0</v>
      </c>
      <c r="G2150" s="1">
        <v>1149.0</v>
      </c>
      <c r="H2150" s="1">
        <v>144.9008</v>
      </c>
      <c r="I2150" s="1">
        <v>0.0</v>
      </c>
      <c r="J2150" s="1">
        <v>144.9008</v>
      </c>
      <c r="K2150" s="1">
        <v>427.0</v>
      </c>
    </row>
    <row r="2151">
      <c r="A2151" s="1" t="s">
        <v>24</v>
      </c>
      <c r="B2151" s="1" t="s">
        <v>1192</v>
      </c>
      <c r="C2151" s="1" t="s">
        <v>46</v>
      </c>
      <c r="D2151" s="1">
        <v>8.0</v>
      </c>
      <c r="E2151" s="1">
        <v>273204.0</v>
      </c>
      <c r="F2151" s="1">
        <v>0.0</v>
      </c>
      <c r="G2151" s="1">
        <v>1149.0</v>
      </c>
      <c r="H2151" s="1">
        <v>237.7755</v>
      </c>
      <c r="I2151" s="1">
        <v>0.0</v>
      </c>
      <c r="J2151" s="1">
        <v>237.7755</v>
      </c>
      <c r="K2151" s="1">
        <v>479.0</v>
      </c>
    </row>
    <row r="2152">
      <c r="A2152" s="1" t="s">
        <v>24</v>
      </c>
      <c r="B2152" s="1" t="s">
        <v>1192</v>
      </c>
      <c r="C2152" s="1" t="s">
        <v>46</v>
      </c>
      <c r="D2152" s="1">
        <v>9.0</v>
      </c>
      <c r="E2152" s="1">
        <v>196109.0</v>
      </c>
      <c r="F2152" s="1">
        <v>0.0</v>
      </c>
      <c r="G2152" s="1">
        <v>1149.0</v>
      </c>
      <c r="H2152" s="1">
        <v>170.678</v>
      </c>
      <c r="I2152" s="1">
        <v>0.0</v>
      </c>
      <c r="J2152" s="1">
        <v>170.678</v>
      </c>
      <c r="K2152" s="1">
        <v>474.0</v>
      </c>
    </row>
    <row r="2153">
      <c r="A2153" s="1" t="s">
        <v>24</v>
      </c>
      <c r="B2153" s="1" t="s">
        <v>1192</v>
      </c>
      <c r="C2153" s="1" t="s">
        <v>46</v>
      </c>
      <c r="D2153" s="1">
        <v>10.0</v>
      </c>
      <c r="E2153" s="1">
        <v>208475.0</v>
      </c>
      <c r="F2153" s="1">
        <v>0.0</v>
      </c>
      <c r="G2153" s="1">
        <v>1149.0</v>
      </c>
      <c r="H2153" s="1">
        <v>181.4404</v>
      </c>
      <c r="I2153" s="1">
        <v>0.0</v>
      </c>
      <c r="J2153" s="1">
        <v>181.4404</v>
      </c>
      <c r="K2153" s="1">
        <v>455.0</v>
      </c>
    </row>
    <row r="2154">
      <c r="A2154" s="1" t="s">
        <v>24</v>
      </c>
      <c r="B2154" s="1" t="s">
        <v>1192</v>
      </c>
      <c r="C2154" s="1" t="s">
        <v>46</v>
      </c>
      <c r="D2154" s="1">
        <v>11.0</v>
      </c>
      <c r="E2154" s="1">
        <v>227741.0</v>
      </c>
      <c r="F2154" s="1">
        <v>0.0</v>
      </c>
      <c r="G2154" s="1">
        <v>1149.0</v>
      </c>
      <c r="H2154" s="1">
        <v>198.208</v>
      </c>
      <c r="I2154" s="1">
        <v>0.0</v>
      </c>
      <c r="J2154" s="1">
        <v>198.208</v>
      </c>
      <c r="K2154" s="1">
        <v>467.0</v>
      </c>
    </row>
    <row r="2155">
      <c r="A2155" s="1" t="s">
        <v>24</v>
      </c>
      <c r="B2155" s="1" t="s">
        <v>1192</v>
      </c>
      <c r="C2155" s="1" t="s">
        <v>46</v>
      </c>
      <c r="D2155" s="1">
        <v>12.0</v>
      </c>
      <c r="E2155" s="1">
        <v>212148.0</v>
      </c>
      <c r="F2155" s="1">
        <v>0.0</v>
      </c>
      <c r="G2155" s="1">
        <v>1149.0</v>
      </c>
      <c r="H2155" s="1">
        <v>184.6371</v>
      </c>
      <c r="I2155" s="1">
        <v>0.0</v>
      </c>
      <c r="J2155" s="1">
        <v>184.6371</v>
      </c>
      <c r="K2155" s="1">
        <v>499.0</v>
      </c>
    </row>
    <row r="2156">
      <c r="A2156" s="1" t="s">
        <v>24</v>
      </c>
      <c r="B2156" s="1" t="s">
        <v>1192</v>
      </c>
      <c r="C2156" s="1" t="s">
        <v>46</v>
      </c>
      <c r="D2156" s="1">
        <v>13.0</v>
      </c>
      <c r="E2156" s="1">
        <v>220654.0</v>
      </c>
      <c r="F2156" s="1">
        <v>0.0</v>
      </c>
      <c r="G2156" s="1">
        <v>1149.0</v>
      </c>
      <c r="H2156" s="1">
        <v>192.04</v>
      </c>
      <c r="I2156" s="1">
        <v>0.0</v>
      </c>
      <c r="J2156" s="1">
        <v>192.04</v>
      </c>
      <c r="K2156" s="1">
        <v>504.0</v>
      </c>
    </row>
    <row r="2157">
      <c r="A2157" s="1" t="s">
        <v>24</v>
      </c>
      <c r="B2157" s="1" t="s">
        <v>1192</v>
      </c>
      <c r="C2157" s="1" t="s">
        <v>46</v>
      </c>
      <c r="D2157" s="1">
        <v>14.0</v>
      </c>
      <c r="E2157" s="1">
        <v>206445.0</v>
      </c>
      <c r="F2157" s="1">
        <v>0.0</v>
      </c>
      <c r="G2157" s="1">
        <v>1149.0</v>
      </c>
      <c r="H2157" s="1">
        <v>179.6736</v>
      </c>
      <c r="I2157" s="1">
        <v>0.0</v>
      </c>
      <c r="J2157" s="1">
        <v>179.6736</v>
      </c>
      <c r="K2157" s="1">
        <v>521.0</v>
      </c>
    </row>
    <row r="2158">
      <c r="A2158" s="1" t="s">
        <v>24</v>
      </c>
      <c r="B2158" s="1" t="s">
        <v>1192</v>
      </c>
      <c r="C2158" s="1" t="s">
        <v>46</v>
      </c>
      <c r="D2158" s="1">
        <v>15.0</v>
      </c>
      <c r="E2158" s="1">
        <v>349348.0</v>
      </c>
      <c r="F2158" s="1">
        <v>0.0</v>
      </c>
      <c r="G2158" s="1">
        <v>1149.0</v>
      </c>
      <c r="H2158" s="1">
        <v>304.0453</v>
      </c>
      <c r="I2158" s="1">
        <v>0.0</v>
      </c>
      <c r="J2158" s="1">
        <v>304.0453</v>
      </c>
      <c r="K2158" s="1">
        <v>588.0</v>
      </c>
    </row>
    <row r="2159">
      <c r="A2159" s="1" t="s">
        <v>24</v>
      </c>
      <c r="B2159" s="1" t="s">
        <v>1192</v>
      </c>
      <c r="C2159" s="1" t="s">
        <v>46</v>
      </c>
      <c r="D2159" s="1">
        <v>16.0</v>
      </c>
      <c r="E2159" s="1">
        <v>265689.0</v>
      </c>
      <c r="F2159" s="1">
        <v>0.0</v>
      </c>
      <c r="G2159" s="1">
        <v>1149.0</v>
      </c>
      <c r="H2159" s="1">
        <v>231.235</v>
      </c>
      <c r="I2159" s="1">
        <v>0.0</v>
      </c>
      <c r="J2159" s="1">
        <v>231.235</v>
      </c>
      <c r="K2159" s="1">
        <v>567.0</v>
      </c>
    </row>
    <row r="2160">
      <c r="A2160" s="1" t="s">
        <v>24</v>
      </c>
      <c r="B2160" s="1" t="s">
        <v>1192</v>
      </c>
      <c r="C2160" s="1" t="s">
        <v>46</v>
      </c>
      <c r="D2160" s="1">
        <v>17.0</v>
      </c>
      <c r="E2160" s="1">
        <v>212719.0</v>
      </c>
      <c r="F2160" s="1">
        <v>0.0</v>
      </c>
      <c r="G2160" s="1">
        <v>1149.0</v>
      </c>
      <c r="H2160" s="1">
        <v>185.134</v>
      </c>
      <c r="I2160" s="1">
        <v>0.0</v>
      </c>
      <c r="J2160" s="1">
        <v>185.134</v>
      </c>
      <c r="K2160" s="1">
        <v>513.0</v>
      </c>
    </row>
    <row r="2161">
      <c r="A2161" s="1" t="s">
        <v>24</v>
      </c>
      <c r="B2161" s="1" t="s">
        <v>1192</v>
      </c>
      <c r="C2161" s="1" t="s">
        <v>46</v>
      </c>
      <c r="D2161" s="1">
        <v>18.0</v>
      </c>
      <c r="E2161" s="1">
        <v>215002.0</v>
      </c>
      <c r="F2161" s="1">
        <v>0.0</v>
      </c>
      <c r="G2161" s="1">
        <v>1149.0</v>
      </c>
      <c r="H2161" s="1">
        <v>187.121</v>
      </c>
      <c r="I2161" s="1">
        <v>0.0</v>
      </c>
      <c r="J2161" s="1">
        <v>187.121</v>
      </c>
      <c r="K2161" s="1">
        <v>549.0</v>
      </c>
    </row>
    <row r="2162">
      <c r="A2162" s="1" t="s">
        <v>24</v>
      </c>
      <c r="B2162" s="1" t="s">
        <v>1192</v>
      </c>
      <c r="C2162" s="1" t="s">
        <v>46</v>
      </c>
      <c r="D2162" s="1">
        <v>19.0</v>
      </c>
      <c r="E2162" s="1">
        <v>190562.0</v>
      </c>
      <c r="F2162" s="1">
        <v>0.0</v>
      </c>
      <c r="G2162" s="1">
        <v>1149.0</v>
      </c>
      <c r="H2162" s="1">
        <v>165.8503</v>
      </c>
      <c r="I2162" s="1">
        <v>0.0</v>
      </c>
      <c r="J2162" s="1">
        <v>165.8503</v>
      </c>
      <c r="K2162" s="1">
        <v>538.0</v>
      </c>
    </row>
    <row r="2163">
      <c r="A2163" s="1" t="s">
        <v>24</v>
      </c>
      <c r="B2163" s="1" t="s">
        <v>1192</v>
      </c>
      <c r="C2163" s="1" t="s">
        <v>46</v>
      </c>
      <c r="D2163" s="1">
        <v>20.0</v>
      </c>
      <c r="E2163" s="1">
        <v>166503.0</v>
      </c>
      <c r="F2163" s="1">
        <v>0.0</v>
      </c>
      <c r="G2163" s="1">
        <v>1149.0</v>
      </c>
      <c r="H2163" s="1">
        <v>144.9112</v>
      </c>
      <c r="I2163" s="1">
        <v>0.0</v>
      </c>
      <c r="J2163" s="1">
        <v>144.9112</v>
      </c>
      <c r="K2163" s="1">
        <v>520.0</v>
      </c>
    </row>
    <row r="2164">
      <c r="A2164" s="1" t="s">
        <v>24</v>
      </c>
      <c r="B2164" s="1" t="s">
        <v>1192</v>
      </c>
      <c r="C2164" s="1" t="s">
        <v>46</v>
      </c>
      <c r="D2164" s="1">
        <v>21.0</v>
      </c>
      <c r="E2164" s="1">
        <v>154805.0</v>
      </c>
      <c r="F2164" s="1">
        <v>0.0</v>
      </c>
      <c r="G2164" s="1">
        <v>1149.0</v>
      </c>
      <c r="H2164" s="1">
        <v>134.7302</v>
      </c>
      <c r="I2164" s="1">
        <v>0.0</v>
      </c>
      <c r="J2164" s="1">
        <v>134.7302</v>
      </c>
      <c r="K2164" s="1">
        <v>494.0</v>
      </c>
    </row>
    <row r="2165">
      <c r="A2165" s="1" t="s">
        <v>24</v>
      </c>
      <c r="B2165" s="1" t="s">
        <v>1192</v>
      </c>
      <c r="C2165" s="1" t="s">
        <v>1213</v>
      </c>
      <c r="D2165" s="1">
        <v>1.0</v>
      </c>
      <c r="E2165" s="1">
        <v>0.0</v>
      </c>
      <c r="F2165" s="1">
        <v>0.0</v>
      </c>
      <c r="G2165" s="1">
        <v>905.0</v>
      </c>
      <c r="H2165" s="1">
        <v>0.0</v>
      </c>
      <c r="I2165" s="1">
        <v>0.0</v>
      </c>
      <c r="J2165" s="1">
        <v>0.0</v>
      </c>
      <c r="K2165" s="1">
        <v>413.0</v>
      </c>
    </row>
    <row r="2166">
      <c r="A2166" s="1" t="s">
        <v>24</v>
      </c>
      <c r="B2166" s="1" t="s">
        <v>1192</v>
      </c>
      <c r="C2166" s="1" t="s">
        <v>1213</v>
      </c>
      <c r="D2166" s="1">
        <v>2.0</v>
      </c>
      <c r="E2166" s="1">
        <v>15.0</v>
      </c>
      <c r="F2166" s="1">
        <v>0.0</v>
      </c>
      <c r="G2166" s="1">
        <v>905.0</v>
      </c>
      <c r="H2166" s="1">
        <v>0.0166</v>
      </c>
      <c r="I2166" s="1">
        <v>0.0</v>
      </c>
      <c r="J2166" s="1">
        <v>0.0166</v>
      </c>
      <c r="K2166" s="1">
        <v>382.0</v>
      </c>
    </row>
    <row r="2167">
      <c r="A2167" s="1" t="s">
        <v>24</v>
      </c>
      <c r="B2167" s="1" t="s">
        <v>1192</v>
      </c>
      <c r="C2167" s="1" t="s">
        <v>1213</v>
      </c>
      <c r="D2167" s="1">
        <v>3.0</v>
      </c>
      <c r="E2167" s="1">
        <v>15.0</v>
      </c>
      <c r="F2167" s="1">
        <v>0.0</v>
      </c>
      <c r="G2167" s="1">
        <v>905.0</v>
      </c>
      <c r="H2167" s="1">
        <v>0.0166</v>
      </c>
      <c r="I2167" s="1">
        <v>0.0</v>
      </c>
      <c r="J2167" s="1">
        <v>0.0166</v>
      </c>
      <c r="K2167" s="1">
        <v>403.0</v>
      </c>
    </row>
    <row r="2168">
      <c r="A2168" s="1" t="s">
        <v>24</v>
      </c>
      <c r="B2168" s="1" t="s">
        <v>1192</v>
      </c>
      <c r="C2168" s="1" t="s">
        <v>1213</v>
      </c>
      <c r="D2168" s="1">
        <v>4.0</v>
      </c>
      <c r="E2168" s="1">
        <v>15.0</v>
      </c>
      <c r="F2168" s="1">
        <v>0.0</v>
      </c>
      <c r="G2168" s="1">
        <v>905.0</v>
      </c>
      <c r="H2168" s="1">
        <v>0.0166</v>
      </c>
      <c r="I2168" s="1">
        <v>0.0</v>
      </c>
      <c r="J2168" s="1">
        <v>0.0166</v>
      </c>
      <c r="K2168" s="1">
        <v>411.0</v>
      </c>
    </row>
    <row r="2169">
      <c r="A2169" s="1" t="s">
        <v>24</v>
      </c>
      <c r="B2169" s="1" t="s">
        <v>1192</v>
      </c>
      <c r="C2169" s="1" t="s">
        <v>1213</v>
      </c>
      <c r="D2169" s="1">
        <v>5.0</v>
      </c>
      <c r="E2169" s="1">
        <v>0.0</v>
      </c>
      <c r="F2169" s="1">
        <v>0.0</v>
      </c>
      <c r="G2169" s="1">
        <v>905.0</v>
      </c>
      <c r="H2169" s="1">
        <v>0.0</v>
      </c>
      <c r="I2169" s="1">
        <v>0.0</v>
      </c>
      <c r="J2169" s="1">
        <v>0.0</v>
      </c>
      <c r="K2169" s="1">
        <v>429.0</v>
      </c>
    </row>
    <row r="2170">
      <c r="A2170" s="1" t="s">
        <v>24</v>
      </c>
      <c r="B2170" s="1" t="s">
        <v>1192</v>
      </c>
      <c r="C2170" s="1" t="s">
        <v>1213</v>
      </c>
      <c r="D2170" s="1">
        <v>6.0</v>
      </c>
      <c r="E2170" s="1">
        <v>15.0</v>
      </c>
      <c r="F2170" s="1">
        <v>0.0</v>
      </c>
      <c r="G2170" s="1">
        <v>905.0</v>
      </c>
      <c r="H2170" s="1">
        <v>0.0166</v>
      </c>
      <c r="I2170" s="1">
        <v>0.0</v>
      </c>
      <c r="J2170" s="1">
        <v>0.0166</v>
      </c>
      <c r="K2170" s="1">
        <v>419.0</v>
      </c>
    </row>
    <row r="2171">
      <c r="A2171" s="1" t="s">
        <v>24</v>
      </c>
      <c r="B2171" s="1" t="s">
        <v>1192</v>
      </c>
      <c r="C2171" s="1" t="s">
        <v>1213</v>
      </c>
      <c r="D2171" s="1">
        <v>7.0</v>
      </c>
      <c r="E2171" s="1">
        <v>0.0</v>
      </c>
      <c r="F2171" s="1">
        <v>0.0</v>
      </c>
      <c r="G2171" s="1">
        <v>905.0</v>
      </c>
      <c r="H2171" s="1">
        <v>0.0</v>
      </c>
      <c r="I2171" s="1">
        <v>0.0</v>
      </c>
      <c r="J2171" s="1">
        <v>0.0</v>
      </c>
      <c r="K2171" s="1">
        <v>427.0</v>
      </c>
    </row>
    <row r="2172">
      <c r="A2172" s="1" t="s">
        <v>24</v>
      </c>
      <c r="B2172" s="1" t="s">
        <v>1192</v>
      </c>
      <c r="C2172" s="1" t="s">
        <v>1213</v>
      </c>
      <c r="D2172" s="1">
        <v>8.0</v>
      </c>
      <c r="E2172" s="1">
        <v>5100.0</v>
      </c>
      <c r="F2172" s="1">
        <v>0.0</v>
      </c>
      <c r="G2172" s="1">
        <v>905.0</v>
      </c>
      <c r="H2172" s="1">
        <v>5.6354</v>
      </c>
      <c r="I2172" s="1">
        <v>0.0</v>
      </c>
      <c r="J2172" s="1">
        <v>5.6354</v>
      </c>
      <c r="K2172" s="1">
        <v>479.0</v>
      </c>
    </row>
    <row r="2173">
      <c r="A2173" s="1" t="s">
        <v>24</v>
      </c>
      <c r="B2173" s="1" t="s">
        <v>1192</v>
      </c>
      <c r="C2173" s="1" t="s">
        <v>1213</v>
      </c>
      <c r="D2173" s="1">
        <v>9.0</v>
      </c>
      <c r="E2173" s="1">
        <v>3895.0</v>
      </c>
      <c r="F2173" s="1">
        <v>0.0</v>
      </c>
      <c r="G2173" s="1">
        <v>905.0</v>
      </c>
      <c r="H2173" s="1">
        <v>4.3039</v>
      </c>
      <c r="I2173" s="1">
        <v>0.0</v>
      </c>
      <c r="J2173" s="1">
        <v>4.3039</v>
      </c>
      <c r="K2173" s="1">
        <v>474.0</v>
      </c>
    </row>
    <row r="2174">
      <c r="A2174" s="1" t="s">
        <v>24</v>
      </c>
      <c r="B2174" s="1" t="s">
        <v>1192</v>
      </c>
      <c r="C2174" s="1" t="s">
        <v>1213</v>
      </c>
      <c r="D2174" s="1">
        <v>10.0</v>
      </c>
      <c r="E2174" s="1">
        <v>3085.0</v>
      </c>
      <c r="F2174" s="1">
        <v>0.0</v>
      </c>
      <c r="G2174" s="1">
        <v>905.0</v>
      </c>
      <c r="H2174" s="1">
        <v>3.4088</v>
      </c>
      <c r="I2174" s="1">
        <v>0.0</v>
      </c>
      <c r="J2174" s="1">
        <v>3.4088</v>
      </c>
      <c r="K2174" s="1">
        <v>455.0</v>
      </c>
    </row>
    <row r="2175">
      <c r="A2175" s="1" t="s">
        <v>24</v>
      </c>
      <c r="B2175" s="1" t="s">
        <v>1192</v>
      </c>
      <c r="C2175" s="1" t="s">
        <v>1213</v>
      </c>
      <c r="D2175" s="1">
        <v>11.0</v>
      </c>
      <c r="E2175" s="1">
        <v>2350.0</v>
      </c>
      <c r="F2175" s="1">
        <v>0.0</v>
      </c>
      <c r="G2175" s="1">
        <v>905.0</v>
      </c>
      <c r="H2175" s="1">
        <v>2.5967</v>
      </c>
      <c r="I2175" s="1">
        <v>0.0</v>
      </c>
      <c r="J2175" s="1">
        <v>2.5967</v>
      </c>
      <c r="K2175" s="1">
        <v>467.0</v>
      </c>
    </row>
    <row r="2176">
      <c r="A2176" s="1" t="s">
        <v>24</v>
      </c>
      <c r="B2176" s="1" t="s">
        <v>1192</v>
      </c>
      <c r="C2176" s="1" t="s">
        <v>1213</v>
      </c>
      <c r="D2176" s="1">
        <v>12.0</v>
      </c>
      <c r="E2176" s="1">
        <v>130.0</v>
      </c>
      <c r="F2176" s="1">
        <v>0.0</v>
      </c>
      <c r="G2176" s="1">
        <v>905.0</v>
      </c>
      <c r="H2176" s="1">
        <v>0.1436</v>
      </c>
      <c r="I2176" s="1">
        <v>0.0</v>
      </c>
      <c r="J2176" s="1">
        <v>0.1436</v>
      </c>
      <c r="K2176" s="1">
        <v>499.0</v>
      </c>
    </row>
    <row r="2177">
      <c r="A2177" s="1" t="s">
        <v>24</v>
      </c>
      <c r="B2177" s="1" t="s">
        <v>1192</v>
      </c>
      <c r="C2177" s="1" t="s">
        <v>1213</v>
      </c>
      <c r="D2177" s="1">
        <v>13.0</v>
      </c>
      <c r="E2177" s="1">
        <v>0.0</v>
      </c>
      <c r="F2177" s="1">
        <v>0.0</v>
      </c>
      <c r="G2177" s="1">
        <v>905.0</v>
      </c>
      <c r="H2177" s="1">
        <v>0.0</v>
      </c>
      <c r="I2177" s="1">
        <v>0.0</v>
      </c>
      <c r="J2177" s="1">
        <v>0.0</v>
      </c>
      <c r="K2177" s="1">
        <v>504.0</v>
      </c>
    </row>
    <row r="2178">
      <c r="A2178" s="1" t="s">
        <v>24</v>
      </c>
      <c r="B2178" s="1" t="s">
        <v>1192</v>
      </c>
      <c r="C2178" s="1" t="s">
        <v>1213</v>
      </c>
      <c r="D2178" s="1">
        <v>14.0</v>
      </c>
      <c r="E2178" s="1">
        <v>0.0</v>
      </c>
      <c r="F2178" s="1">
        <v>0.0</v>
      </c>
      <c r="G2178" s="1">
        <v>905.0</v>
      </c>
      <c r="H2178" s="1">
        <v>0.0</v>
      </c>
      <c r="I2178" s="1">
        <v>0.0</v>
      </c>
      <c r="J2178" s="1">
        <v>0.0</v>
      </c>
      <c r="K2178" s="1">
        <v>521.0</v>
      </c>
    </row>
    <row r="2179">
      <c r="A2179" s="1" t="s">
        <v>24</v>
      </c>
      <c r="B2179" s="1" t="s">
        <v>1192</v>
      </c>
      <c r="C2179" s="1" t="s">
        <v>1213</v>
      </c>
      <c r="D2179" s="1">
        <v>15.0</v>
      </c>
      <c r="E2179" s="1">
        <v>6035.0</v>
      </c>
      <c r="F2179" s="1">
        <v>0.0</v>
      </c>
      <c r="G2179" s="1">
        <v>905.0</v>
      </c>
      <c r="H2179" s="1">
        <v>6.6685</v>
      </c>
      <c r="I2179" s="1">
        <v>0.0</v>
      </c>
      <c r="J2179" s="1">
        <v>6.6685</v>
      </c>
      <c r="K2179" s="1">
        <v>588.0</v>
      </c>
    </row>
    <row r="2180">
      <c r="A2180" s="1" t="s">
        <v>24</v>
      </c>
      <c r="B2180" s="1" t="s">
        <v>1192</v>
      </c>
      <c r="C2180" s="1" t="s">
        <v>1213</v>
      </c>
      <c r="D2180" s="1">
        <v>16.0</v>
      </c>
      <c r="E2180" s="1">
        <v>3740.0</v>
      </c>
      <c r="F2180" s="1">
        <v>0.0</v>
      </c>
      <c r="G2180" s="1">
        <v>905.0</v>
      </c>
      <c r="H2180" s="1">
        <v>4.1326</v>
      </c>
      <c r="I2180" s="1">
        <v>0.0</v>
      </c>
      <c r="J2180" s="1">
        <v>4.1326</v>
      </c>
      <c r="K2180" s="1">
        <v>567.0</v>
      </c>
    </row>
    <row r="2181">
      <c r="A2181" s="1" t="s">
        <v>24</v>
      </c>
      <c r="B2181" s="1" t="s">
        <v>1192</v>
      </c>
      <c r="C2181" s="1" t="s">
        <v>1213</v>
      </c>
      <c r="D2181" s="1">
        <v>17.0</v>
      </c>
      <c r="E2181" s="1">
        <v>2760.0</v>
      </c>
      <c r="F2181" s="1">
        <v>0.0</v>
      </c>
      <c r="G2181" s="1">
        <v>905.0</v>
      </c>
      <c r="H2181" s="1">
        <v>3.0497</v>
      </c>
      <c r="I2181" s="1">
        <v>0.0</v>
      </c>
      <c r="J2181" s="1">
        <v>3.0497</v>
      </c>
      <c r="K2181" s="1">
        <v>513.0</v>
      </c>
    </row>
    <row r="2182">
      <c r="A2182" s="1" t="s">
        <v>24</v>
      </c>
      <c r="B2182" s="1" t="s">
        <v>1192</v>
      </c>
      <c r="C2182" s="1" t="s">
        <v>1213</v>
      </c>
      <c r="D2182" s="1">
        <v>18.0</v>
      </c>
      <c r="E2182" s="1">
        <v>2980.0</v>
      </c>
      <c r="F2182" s="1">
        <v>0.0</v>
      </c>
      <c r="G2182" s="1">
        <v>905.0</v>
      </c>
      <c r="H2182" s="1">
        <v>3.2928</v>
      </c>
      <c r="I2182" s="1">
        <v>0.0</v>
      </c>
      <c r="J2182" s="1">
        <v>3.2928</v>
      </c>
      <c r="K2182" s="1">
        <v>549.0</v>
      </c>
    </row>
    <row r="2183">
      <c r="A2183" s="1" t="s">
        <v>24</v>
      </c>
      <c r="B2183" s="1" t="s">
        <v>1192</v>
      </c>
      <c r="C2183" s="1" t="s">
        <v>1213</v>
      </c>
      <c r="D2183" s="1">
        <v>19.0</v>
      </c>
      <c r="E2183" s="1">
        <v>60.0</v>
      </c>
      <c r="F2183" s="1">
        <v>0.0</v>
      </c>
      <c r="G2183" s="1">
        <v>905.0</v>
      </c>
      <c r="H2183" s="1">
        <v>0.0663</v>
      </c>
      <c r="I2183" s="1">
        <v>0.0</v>
      </c>
      <c r="J2183" s="1">
        <v>0.0663</v>
      </c>
      <c r="K2183" s="1">
        <v>538.0</v>
      </c>
    </row>
    <row r="2184">
      <c r="A2184" s="1" t="s">
        <v>24</v>
      </c>
      <c r="B2184" s="1" t="s">
        <v>1192</v>
      </c>
      <c r="C2184" s="1" t="s">
        <v>1213</v>
      </c>
      <c r="D2184" s="1">
        <v>20.0</v>
      </c>
      <c r="E2184" s="1">
        <v>60.0</v>
      </c>
      <c r="F2184" s="1">
        <v>0.0</v>
      </c>
      <c r="G2184" s="1">
        <v>905.0</v>
      </c>
      <c r="H2184" s="1">
        <v>0.0663</v>
      </c>
      <c r="I2184" s="1">
        <v>0.0</v>
      </c>
      <c r="J2184" s="1">
        <v>0.0663</v>
      </c>
      <c r="K2184" s="1">
        <v>520.0</v>
      </c>
    </row>
    <row r="2185">
      <c r="A2185" s="1" t="s">
        <v>24</v>
      </c>
      <c r="B2185" s="1" t="s">
        <v>1192</v>
      </c>
      <c r="C2185" s="1" t="s">
        <v>1213</v>
      </c>
      <c r="D2185" s="1">
        <v>21.0</v>
      </c>
      <c r="E2185" s="1">
        <v>0.0</v>
      </c>
      <c r="F2185" s="1">
        <v>0.0</v>
      </c>
      <c r="G2185" s="1">
        <v>905.0</v>
      </c>
      <c r="H2185" s="1">
        <v>0.0</v>
      </c>
      <c r="I2185" s="1">
        <v>0.0</v>
      </c>
      <c r="J2185" s="1">
        <v>0.0</v>
      </c>
      <c r="K2185" s="1">
        <v>494.0</v>
      </c>
    </row>
    <row r="2186">
      <c r="A2186" s="1" t="s">
        <v>26</v>
      </c>
      <c r="B2186" s="1" t="s">
        <v>180</v>
      </c>
      <c r="C2186" s="1" t="s">
        <v>1205</v>
      </c>
      <c r="D2186" s="1">
        <v>1.0</v>
      </c>
      <c r="E2186" s="1">
        <v>116533.0194</v>
      </c>
      <c r="F2186" s="1">
        <v>111300.0</v>
      </c>
      <c r="G2186" s="1">
        <v>1207.0</v>
      </c>
      <c r="H2186" s="1">
        <v>96.5477</v>
      </c>
      <c r="I2186" s="1">
        <v>92.2121</v>
      </c>
      <c r="J2186" s="1">
        <v>4.3356</v>
      </c>
      <c r="K2186" s="1">
        <v>188.0</v>
      </c>
    </row>
    <row r="2187">
      <c r="A2187" s="1" t="s">
        <v>26</v>
      </c>
      <c r="B2187" s="1" t="s">
        <v>180</v>
      </c>
      <c r="C2187" s="1" t="s">
        <v>1205</v>
      </c>
      <c r="D2187" s="1">
        <v>2.0</v>
      </c>
      <c r="E2187" s="1">
        <v>94438.4878</v>
      </c>
      <c r="F2187" s="1">
        <v>104750.0</v>
      </c>
      <c r="G2187" s="1">
        <v>1207.0</v>
      </c>
      <c r="H2187" s="1">
        <v>78.2423</v>
      </c>
      <c r="I2187" s="1">
        <v>86.7854</v>
      </c>
      <c r="J2187" s="1">
        <v>-8.5431</v>
      </c>
      <c r="K2187" s="1">
        <v>216.0</v>
      </c>
    </row>
    <row r="2188">
      <c r="A2188" s="1" t="s">
        <v>26</v>
      </c>
      <c r="B2188" s="1" t="s">
        <v>180</v>
      </c>
      <c r="C2188" s="1" t="s">
        <v>1205</v>
      </c>
      <c r="D2188" s="1">
        <v>3.0</v>
      </c>
      <c r="E2188" s="1">
        <v>123528.309</v>
      </c>
      <c r="F2188" s="1">
        <v>114400.0</v>
      </c>
      <c r="G2188" s="1">
        <v>1207.0</v>
      </c>
      <c r="H2188" s="1">
        <v>102.3433</v>
      </c>
      <c r="I2188" s="1">
        <v>94.7804</v>
      </c>
      <c r="J2188" s="1">
        <v>7.5628</v>
      </c>
      <c r="K2188" s="1">
        <v>235.0</v>
      </c>
    </row>
    <row r="2189">
      <c r="A2189" s="1" t="s">
        <v>26</v>
      </c>
      <c r="B2189" s="1" t="s">
        <v>180</v>
      </c>
      <c r="C2189" s="1" t="s">
        <v>1205</v>
      </c>
      <c r="D2189" s="1">
        <v>4.0</v>
      </c>
      <c r="E2189" s="1">
        <v>120346.4042</v>
      </c>
      <c r="F2189" s="1">
        <v>105400.0</v>
      </c>
      <c r="G2189" s="1">
        <v>1207.0</v>
      </c>
      <c r="H2189" s="1">
        <v>99.707</v>
      </c>
      <c r="I2189" s="1">
        <v>87.3239</v>
      </c>
      <c r="J2189" s="1">
        <v>12.3831</v>
      </c>
      <c r="K2189" s="1">
        <v>242.0</v>
      </c>
    </row>
    <row r="2190">
      <c r="A2190" s="1" t="s">
        <v>26</v>
      </c>
      <c r="B2190" s="1" t="s">
        <v>180</v>
      </c>
      <c r="C2190" s="1" t="s">
        <v>1205</v>
      </c>
      <c r="D2190" s="1">
        <v>5.0</v>
      </c>
      <c r="E2190" s="1">
        <v>146968.7796</v>
      </c>
      <c r="F2190" s="1">
        <v>133100.0</v>
      </c>
      <c r="G2190" s="1">
        <v>1207.0</v>
      </c>
      <c r="H2190" s="1">
        <v>121.7637</v>
      </c>
      <c r="I2190" s="1">
        <v>110.2734</v>
      </c>
      <c r="J2190" s="1">
        <v>11.4903</v>
      </c>
      <c r="K2190" s="1">
        <v>239.0</v>
      </c>
    </row>
    <row r="2191">
      <c r="A2191" s="1" t="s">
        <v>26</v>
      </c>
      <c r="B2191" s="1" t="s">
        <v>180</v>
      </c>
      <c r="C2191" s="1" t="s">
        <v>1205</v>
      </c>
      <c r="D2191" s="1">
        <v>6.0</v>
      </c>
      <c r="E2191" s="1">
        <v>103370.0</v>
      </c>
      <c r="F2191" s="1">
        <v>99850.0</v>
      </c>
      <c r="G2191" s="1">
        <v>1207.0</v>
      </c>
      <c r="H2191" s="1">
        <v>85.6421</v>
      </c>
      <c r="I2191" s="1">
        <v>82.7258</v>
      </c>
      <c r="J2191" s="1">
        <v>2.9163</v>
      </c>
      <c r="K2191" s="1">
        <v>232.0</v>
      </c>
    </row>
    <row r="2192">
      <c r="A2192" s="1" t="s">
        <v>26</v>
      </c>
      <c r="B2192" s="1" t="s">
        <v>180</v>
      </c>
      <c r="C2192" s="1" t="s">
        <v>1205</v>
      </c>
      <c r="D2192" s="1">
        <v>7.0</v>
      </c>
      <c r="E2192" s="1">
        <v>91401.0</v>
      </c>
      <c r="F2192" s="1">
        <v>89200.0</v>
      </c>
      <c r="G2192" s="1">
        <v>1207.0</v>
      </c>
      <c r="H2192" s="1">
        <v>75.7258</v>
      </c>
      <c r="I2192" s="1">
        <v>73.9022</v>
      </c>
      <c r="J2192" s="1">
        <v>1.8235</v>
      </c>
      <c r="K2192" s="1">
        <v>235.0</v>
      </c>
    </row>
    <row r="2193">
      <c r="A2193" s="1" t="s">
        <v>26</v>
      </c>
      <c r="B2193" s="1" t="s">
        <v>180</v>
      </c>
      <c r="C2193" s="1" t="s">
        <v>1205</v>
      </c>
      <c r="D2193" s="1">
        <v>8.0</v>
      </c>
      <c r="E2193" s="1">
        <v>125516.0188</v>
      </c>
      <c r="F2193" s="1">
        <v>102900.0</v>
      </c>
      <c r="G2193" s="1">
        <v>1207.0</v>
      </c>
      <c r="H2193" s="1">
        <v>103.9901</v>
      </c>
      <c r="I2193" s="1">
        <v>85.2527</v>
      </c>
      <c r="J2193" s="1">
        <v>18.7374</v>
      </c>
      <c r="K2193" s="1">
        <v>229.0</v>
      </c>
    </row>
    <row r="2194">
      <c r="A2194" s="1" t="s">
        <v>26</v>
      </c>
      <c r="B2194" s="1" t="s">
        <v>180</v>
      </c>
      <c r="C2194" s="1" t="s">
        <v>1205</v>
      </c>
      <c r="D2194" s="1">
        <v>9.0</v>
      </c>
      <c r="E2194" s="1">
        <v>88395.913</v>
      </c>
      <c r="F2194" s="1">
        <v>84950.0</v>
      </c>
      <c r="G2194" s="1">
        <v>1207.0</v>
      </c>
      <c r="H2194" s="1">
        <v>73.2361</v>
      </c>
      <c r="I2194" s="1">
        <v>70.3811</v>
      </c>
      <c r="J2194" s="1">
        <v>2.8549</v>
      </c>
      <c r="K2194" s="1">
        <v>234.0</v>
      </c>
    </row>
    <row r="2195">
      <c r="A2195" s="1" t="s">
        <v>26</v>
      </c>
      <c r="B2195" s="1" t="s">
        <v>180</v>
      </c>
      <c r="C2195" s="1" t="s">
        <v>1205</v>
      </c>
      <c r="D2195" s="1">
        <v>10.0</v>
      </c>
      <c r="E2195" s="1">
        <v>118033.8868</v>
      </c>
      <c r="F2195" s="1">
        <v>107500.0</v>
      </c>
      <c r="G2195" s="1">
        <v>1207.0</v>
      </c>
      <c r="H2195" s="1">
        <v>97.7911</v>
      </c>
      <c r="I2195" s="1">
        <v>89.0638</v>
      </c>
      <c r="J2195" s="1">
        <v>8.7273</v>
      </c>
      <c r="K2195" s="1">
        <v>255.0</v>
      </c>
    </row>
    <row r="2196">
      <c r="A2196" s="1" t="s">
        <v>26</v>
      </c>
      <c r="B2196" s="1" t="s">
        <v>180</v>
      </c>
      <c r="C2196" s="1" t="s">
        <v>1205</v>
      </c>
      <c r="D2196" s="1">
        <v>11.0</v>
      </c>
      <c r="E2196" s="1">
        <v>108439.9868</v>
      </c>
      <c r="F2196" s="1">
        <v>98600.0</v>
      </c>
      <c r="G2196" s="1">
        <v>1207.0</v>
      </c>
      <c r="H2196" s="1">
        <v>89.8426</v>
      </c>
      <c r="I2196" s="1">
        <v>81.6901</v>
      </c>
      <c r="J2196" s="1">
        <v>8.1524</v>
      </c>
      <c r="K2196" s="1">
        <v>277.0</v>
      </c>
    </row>
    <row r="2197">
      <c r="A2197" s="1" t="s">
        <v>26</v>
      </c>
      <c r="B2197" s="1" t="s">
        <v>180</v>
      </c>
      <c r="C2197" s="1" t="s">
        <v>1205</v>
      </c>
      <c r="D2197" s="1">
        <v>12.0</v>
      </c>
      <c r="E2197" s="1">
        <v>165329.1945</v>
      </c>
      <c r="F2197" s="1">
        <v>136700.0</v>
      </c>
      <c r="G2197" s="1">
        <v>1207.0</v>
      </c>
      <c r="H2197" s="1">
        <v>136.9753</v>
      </c>
      <c r="I2197" s="1">
        <v>113.256</v>
      </c>
      <c r="J2197" s="1">
        <v>23.7193</v>
      </c>
      <c r="K2197" s="1">
        <v>292.0</v>
      </c>
    </row>
    <row r="2198">
      <c r="A2198" s="1" t="s">
        <v>26</v>
      </c>
      <c r="B2198" s="1" t="s">
        <v>180</v>
      </c>
      <c r="C2198" s="1" t="s">
        <v>1205</v>
      </c>
      <c r="D2198" s="1">
        <v>13.0</v>
      </c>
      <c r="E2198" s="1">
        <v>137602.0</v>
      </c>
      <c r="F2198" s="1">
        <v>128950.0</v>
      </c>
      <c r="G2198" s="1">
        <v>1207.0</v>
      </c>
      <c r="H2198" s="1">
        <v>114.0033</v>
      </c>
      <c r="I2198" s="1">
        <v>106.8351</v>
      </c>
      <c r="J2198" s="1">
        <v>7.1682</v>
      </c>
      <c r="K2198" s="1">
        <v>318.0</v>
      </c>
    </row>
    <row r="2199">
      <c r="A2199" s="1" t="s">
        <v>26</v>
      </c>
      <c r="B2199" s="1" t="s">
        <v>180</v>
      </c>
      <c r="C2199" s="1" t="s">
        <v>1205</v>
      </c>
      <c r="D2199" s="1">
        <v>14.0</v>
      </c>
      <c r="E2199" s="1">
        <v>137495.0</v>
      </c>
      <c r="F2199" s="1">
        <v>131950.0</v>
      </c>
      <c r="G2199" s="1">
        <v>1207.0</v>
      </c>
      <c r="H2199" s="1">
        <v>113.9147</v>
      </c>
      <c r="I2199" s="1">
        <v>109.3206</v>
      </c>
      <c r="J2199" s="1">
        <v>4.594</v>
      </c>
      <c r="K2199" s="1">
        <v>331.0</v>
      </c>
    </row>
    <row r="2200">
      <c r="A2200" s="1" t="s">
        <v>26</v>
      </c>
      <c r="B2200" s="1" t="s">
        <v>180</v>
      </c>
      <c r="C2200" s="1" t="s">
        <v>1205</v>
      </c>
      <c r="D2200" s="1">
        <v>15.0</v>
      </c>
      <c r="E2200" s="1">
        <v>184248.1269</v>
      </c>
      <c r="F2200" s="1">
        <v>159750.0</v>
      </c>
      <c r="G2200" s="1">
        <v>1207.0</v>
      </c>
      <c r="H2200" s="1">
        <v>152.6496</v>
      </c>
      <c r="I2200" s="1">
        <v>132.3529</v>
      </c>
      <c r="J2200" s="1">
        <v>20.2967</v>
      </c>
      <c r="K2200" s="1">
        <v>342.0</v>
      </c>
    </row>
    <row r="2201">
      <c r="A2201" s="1" t="s">
        <v>26</v>
      </c>
      <c r="B2201" s="1" t="s">
        <v>180</v>
      </c>
      <c r="C2201" s="1" t="s">
        <v>1205</v>
      </c>
      <c r="D2201" s="1">
        <v>16.0</v>
      </c>
      <c r="E2201" s="1">
        <v>123271.3909</v>
      </c>
      <c r="F2201" s="1">
        <v>138950.0</v>
      </c>
      <c r="G2201" s="1">
        <v>1207.0</v>
      </c>
      <c r="H2201" s="1">
        <v>102.1304</v>
      </c>
      <c r="I2201" s="1">
        <v>115.1201</v>
      </c>
      <c r="J2201" s="1">
        <v>-12.9897</v>
      </c>
      <c r="K2201" s="1">
        <v>360.0</v>
      </c>
    </row>
    <row r="2202">
      <c r="A2202" s="1" t="s">
        <v>26</v>
      </c>
      <c r="B2202" s="1" t="s">
        <v>180</v>
      </c>
      <c r="C2202" s="1" t="s">
        <v>1205</v>
      </c>
      <c r="D2202" s="1">
        <v>17.0</v>
      </c>
      <c r="E2202" s="1">
        <v>152807.041</v>
      </c>
      <c r="F2202" s="1">
        <v>153000.0</v>
      </c>
      <c r="G2202" s="1">
        <v>1207.0</v>
      </c>
      <c r="H2202" s="1">
        <v>126.6007</v>
      </c>
      <c r="I2202" s="1">
        <v>126.7606</v>
      </c>
      <c r="J2202" s="1">
        <v>-0.1599</v>
      </c>
      <c r="K2202" s="1">
        <v>373.0</v>
      </c>
    </row>
    <row r="2203">
      <c r="A2203" s="1" t="s">
        <v>26</v>
      </c>
      <c r="B2203" s="1" t="s">
        <v>180</v>
      </c>
      <c r="C2203" s="1" t="s">
        <v>1205</v>
      </c>
      <c r="D2203" s="1">
        <v>18.0</v>
      </c>
      <c r="E2203" s="1">
        <v>142507.948</v>
      </c>
      <c r="F2203" s="1">
        <v>144050.0</v>
      </c>
      <c r="G2203" s="1">
        <v>1207.0</v>
      </c>
      <c r="H2203" s="1">
        <v>118.0679</v>
      </c>
      <c r="I2203" s="1">
        <v>119.3455</v>
      </c>
      <c r="J2203" s="1">
        <v>-1.2776</v>
      </c>
      <c r="K2203" s="1">
        <v>419.0</v>
      </c>
    </row>
    <row r="2204">
      <c r="A2204" s="1" t="s">
        <v>26</v>
      </c>
      <c r="B2204" s="1" t="s">
        <v>180</v>
      </c>
      <c r="C2204" s="1" t="s">
        <v>1205</v>
      </c>
      <c r="D2204" s="1">
        <v>19.0</v>
      </c>
      <c r="E2204" s="1">
        <v>199278.4932</v>
      </c>
      <c r="F2204" s="1">
        <v>187300.0</v>
      </c>
      <c r="G2204" s="1">
        <v>1207.0</v>
      </c>
      <c r="H2204" s="1">
        <v>165.1023</v>
      </c>
      <c r="I2204" s="1">
        <v>155.1781</v>
      </c>
      <c r="J2204" s="1">
        <v>9.9242</v>
      </c>
      <c r="K2204" s="1">
        <v>431.0</v>
      </c>
    </row>
    <row r="2205">
      <c r="A2205" s="1" t="s">
        <v>26</v>
      </c>
      <c r="B2205" s="1" t="s">
        <v>180</v>
      </c>
      <c r="C2205" s="1" t="s">
        <v>1205</v>
      </c>
      <c r="D2205" s="1">
        <v>20.0</v>
      </c>
      <c r="E2205" s="1">
        <v>140154.0</v>
      </c>
      <c r="F2205" s="1">
        <v>139800.0</v>
      </c>
      <c r="G2205" s="1">
        <v>1207.0</v>
      </c>
      <c r="H2205" s="1">
        <v>116.1176</v>
      </c>
      <c r="I2205" s="1">
        <v>115.8244</v>
      </c>
      <c r="J2205" s="1">
        <v>0.2933</v>
      </c>
      <c r="K2205" s="1">
        <v>430.0</v>
      </c>
    </row>
    <row r="2206">
      <c r="A2206" s="1" t="s">
        <v>26</v>
      </c>
      <c r="B2206" s="1" t="s">
        <v>180</v>
      </c>
      <c r="C2206" s="1" t="s">
        <v>1205</v>
      </c>
      <c r="D2206" s="1">
        <v>21.0</v>
      </c>
      <c r="E2206" s="1">
        <v>116901.0</v>
      </c>
      <c r="F2206" s="1">
        <v>119100.0</v>
      </c>
      <c r="G2206" s="1">
        <v>1207.0</v>
      </c>
      <c r="H2206" s="1">
        <v>96.8525</v>
      </c>
      <c r="I2206" s="1">
        <v>98.6744</v>
      </c>
      <c r="J2206" s="1">
        <v>-1.8219</v>
      </c>
      <c r="K2206" s="1">
        <v>416.0</v>
      </c>
    </row>
    <row r="2207">
      <c r="A2207" s="1" t="s">
        <v>26</v>
      </c>
      <c r="B2207" s="1" t="s">
        <v>180</v>
      </c>
      <c r="C2207" s="1" t="s">
        <v>52</v>
      </c>
      <c r="D2207" s="1">
        <v>1.0</v>
      </c>
      <c r="E2207" s="1">
        <v>1385.0</v>
      </c>
      <c r="F2207" s="1">
        <v>1107.0</v>
      </c>
      <c r="G2207" s="1">
        <v>1207.0</v>
      </c>
      <c r="H2207" s="1">
        <v>1.1475</v>
      </c>
      <c r="I2207" s="1">
        <v>0.9171</v>
      </c>
      <c r="J2207" s="1">
        <v>0.2303</v>
      </c>
      <c r="K2207" s="1">
        <v>188.0</v>
      </c>
    </row>
    <row r="2208">
      <c r="A2208" s="1" t="s">
        <v>26</v>
      </c>
      <c r="B2208" s="1" t="s">
        <v>180</v>
      </c>
      <c r="C2208" s="1" t="s">
        <v>52</v>
      </c>
      <c r="D2208" s="1">
        <v>2.0</v>
      </c>
      <c r="E2208" s="1">
        <v>1110.0</v>
      </c>
      <c r="F2208" s="1">
        <v>1201.0</v>
      </c>
      <c r="G2208" s="1">
        <v>1207.0</v>
      </c>
      <c r="H2208" s="1">
        <v>0.9196</v>
      </c>
      <c r="I2208" s="1">
        <v>0.995</v>
      </c>
      <c r="J2208" s="1">
        <v>-0.0754</v>
      </c>
      <c r="K2208" s="1">
        <v>216.0</v>
      </c>
    </row>
    <row r="2209">
      <c r="A2209" s="1" t="s">
        <v>26</v>
      </c>
      <c r="B2209" s="1" t="s">
        <v>180</v>
      </c>
      <c r="C2209" s="1" t="s">
        <v>52</v>
      </c>
      <c r="D2209" s="1">
        <v>3.0</v>
      </c>
      <c r="E2209" s="1">
        <v>2225.0</v>
      </c>
      <c r="F2209" s="1">
        <v>1138.0</v>
      </c>
      <c r="G2209" s="1">
        <v>1207.0</v>
      </c>
      <c r="H2209" s="1">
        <v>1.8434</v>
      </c>
      <c r="I2209" s="1">
        <v>0.9428</v>
      </c>
      <c r="J2209" s="1">
        <v>0.9006</v>
      </c>
      <c r="K2209" s="1">
        <v>235.0</v>
      </c>
    </row>
    <row r="2210">
      <c r="A2210" s="1" t="s">
        <v>26</v>
      </c>
      <c r="B2210" s="1" t="s">
        <v>180</v>
      </c>
      <c r="C2210" s="1" t="s">
        <v>52</v>
      </c>
      <c r="D2210" s="1">
        <v>4.0</v>
      </c>
      <c r="E2210" s="1">
        <v>4991.0</v>
      </c>
      <c r="F2210" s="1">
        <v>1159.0</v>
      </c>
      <c r="G2210" s="1">
        <v>1207.0</v>
      </c>
      <c r="H2210" s="1">
        <v>4.135</v>
      </c>
      <c r="I2210" s="1">
        <v>0.9602</v>
      </c>
      <c r="J2210" s="1">
        <v>3.1748</v>
      </c>
      <c r="K2210" s="1">
        <v>242.0</v>
      </c>
    </row>
    <row r="2211">
      <c r="A2211" s="1" t="s">
        <v>26</v>
      </c>
      <c r="B2211" s="1" t="s">
        <v>180</v>
      </c>
      <c r="C2211" s="1" t="s">
        <v>52</v>
      </c>
      <c r="D2211" s="1">
        <v>5.0</v>
      </c>
      <c r="E2211" s="1">
        <v>1262.0</v>
      </c>
      <c r="F2211" s="1">
        <v>1147.0</v>
      </c>
      <c r="G2211" s="1">
        <v>1207.0</v>
      </c>
      <c r="H2211" s="1">
        <v>1.0456</v>
      </c>
      <c r="I2211" s="1">
        <v>0.9503</v>
      </c>
      <c r="J2211" s="1">
        <v>0.0953</v>
      </c>
      <c r="K2211" s="1">
        <v>239.0</v>
      </c>
    </row>
    <row r="2212">
      <c r="A2212" s="1" t="s">
        <v>26</v>
      </c>
      <c r="B2212" s="1" t="s">
        <v>180</v>
      </c>
      <c r="C2212" s="1" t="s">
        <v>52</v>
      </c>
      <c r="D2212" s="1">
        <v>6.0</v>
      </c>
      <c r="E2212" s="1">
        <v>849.0</v>
      </c>
      <c r="F2212" s="1">
        <v>1032.0</v>
      </c>
      <c r="G2212" s="1">
        <v>1207.0</v>
      </c>
      <c r="H2212" s="1">
        <v>0.7034</v>
      </c>
      <c r="I2212" s="1">
        <v>0.855</v>
      </c>
      <c r="J2212" s="1">
        <v>-0.1516</v>
      </c>
      <c r="K2212" s="1">
        <v>232.0</v>
      </c>
    </row>
    <row r="2213">
      <c r="A2213" s="1" t="s">
        <v>26</v>
      </c>
      <c r="B2213" s="1" t="s">
        <v>180</v>
      </c>
      <c r="C2213" s="1" t="s">
        <v>52</v>
      </c>
      <c r="D2213" s="1">
        <v>7.0</v>
      </c>
      <c r="E2213" s="1">
        <v>816.0</v>
      </c>
      <c r="F2213" s="1">
        <v>996.0</v>
      </c>
      <c r="G2213" s="1">
        <v>1207.0</v>
      </c>
      <c r="H2213" s="1">
        <v>0.6761</v>
      </c>
      <c r="I2213" s="1">
        <v>0.8252</v>
      </c>
      <c r="J2213" s="1">
        <v>-0.1491</v>
      </c>
      <c r="K2213" s="1">
        <v>235.0</v>
      </c>
    </row>
    <row r="2214">
      <c r="A2214" s="1" t="s">
        <v>26</v>
      </c>
      <c r="B2214" s="1" t="s">
        <v>180</v>
      </c>
      <c r="C2214" s="1" t="s">
        <v>52</v>
      </c>
      <c r="D2214" s="1">
        <v>8.0</v>
      </c>
      <c r="E2214" s="1">
        <v>1492.0</v>
      </c>
      <c r="F2214" s="1">
        <v>1128.0</v>
      </c>
      <c r="G2214" s="1">
        <v>1207.0</v>
      </c>
      <c r="H2214" s="1">
        <v>1.2361</v>
      </c>
      <c r="I2214" s="1">
        <v>0.9345</v>
      </c>
      <c r="J2214" s="1">
        <v>0.3016</v>
      </c>
      <c r="K2214" s="1">
        <v>229.0</v>
      </c>
    </row>
    <row r="2215">
      <c r="A2215" s="1" t="s">
        <v>26</v>
      </c>
      <c r="B2215" s="1" t="s">
        <v>180</v>
      </c>
      <c r="C2215" s="1" t="s">
        <v>52</v>
      </c>
      <c r="D2215" s="1">
        <v>9.0</v>
      </c>
      <c r="E2215" s="1">
        <v>1057.0</v>
      </c>
      <c r="F2215" s="1">
        <v>1119.0</v>
      </c>
      <c r="G2215" s="1">
        <v>1207.0</v>
      </c>
      <c r="H2215" s="1">
        <v>0.8757</v>
      </c>
      <c r="I2215" s="1">
        <v>0.9271</v>
      </c>
      <c r="J2215" s="1">
        <v>-0.0514</v>
      </c>
      <c r="K2215" s="1">
        <v>234.0</v>
      </c>
    </row>
    <row r="2216">
      <c r="A2216" s="1" t="s">
        <v>26</v>
      </c>
      <c r="B2216" s="1" t="s">
        <v>180</v>
      </c>
      <c r="C2216" s="1" t="s">
        <v>52</v>
      </c>
      <c r="D2216" s="1">
        <v>10.0</v>
      </c>
      <c r="E2216" s="1">
        <v>1392.0</v>
      </c>
      <c r="F2216" s="1">
        <v>1083.0</v>
      </c>
      <c r="G2216" s="1">
        <v>1207.0</v>
      </c>
      <c r="H2216" s="1">
        <v>1.1533</v>
      </c>
      <c r="I2216" s="1">
        <v>0.8973</v>
      </c>
      <c r="J2216" s="1">
        <v>0.256</v>
      </c>
      <c r="K2216" s="1">
        <v>255.0</v>
      </c>
    </row>
    <row r="2217">
      <c r="A2217" s="1" t="s">
        <v>26</v>
      </c>
      <c r="B2217" s="1" t="s">
        <v>180</v>
      </c>
      <c r="C2217" s="1" t="s">
        <v>52</v>
      </c>
      <c r="D2217" s="1">
        <v>11.0</v>
      </c>
      <c r="E2217" s="1">
        <v>2876.0</v>
      </c>
      <c r="F2217" s="1">
        <v>1275.0</v>
      </c>
      <c r="G2217" s="1">
        <v>1207.0</v>
      </c>
      <c r="H2217" s="1">
        <v>2.3828</v>
      </c>
      <c r="I2217" s="1">
        <v>1.0563</v>
      </c>
      <c r="J2217" s="1">
        <v>1.3264</v>
      </c>
      <c r="K2217" s="1">
        <v>277.0</v>
      </c>
    </row>
    <row r="2218">
      <c r="A2218" s="1" t="s">
        <v>26</v>
      </c>
      <c r="B2218" s="1" t="s">
        <v>180</v>
      </c>
      <c r="C2218" s="1" t="s">
        <v>52</v>
      </c>
      <c r="D2218" s="1">
        <v>12.0</v>
      </c>
      <c r="E2218" s="1">
        <v>1368.0</v>
      </c>
      <c r="F2218" s="1">
        <v>1374.0</v>
      </c>
      <c r="G2218" s="1">
        <v>1207.0</v>
      </c>
      <c r="H2218" s="1">
        <v>1.1334</v>
      </c>
      <c r="I2218" s="1">
        <v>1.1384</v>
      </c>
      <c r="J2218" s="1">
        <v>-0.005</v>
      </c>
      <c r="K2218" s="1">
        <v>292.0</v>
      </c>
    </row>
    <row r="2219">
      <c r="A2219" s="1" t="s">
        <v>26</v>
      </c>
      <c r="B2219" s="1" t="s">
        <v>180</v>
      </c>
      <c r="C2219" s="1" t="s">
        <v>52</v>
      </c>
      <c r="D2219" s="1">
        <v>13.0</v>
      </c>
      <c r="E2219" s="1">
        <v>1197.0</v>
      </c>
      <c r="F2219" s="1">
        <v>1440.0</v>
      </c>
      <c r="G2219" s="1">
        <v>1207.0</v>
      </c>
      <c r="H2219" s="1">
        <v>0.9917</v>
      </c>
      <c r="I2219" s="1">
        <v>1.193</v>
      </c>
      <c r="J2219" s="1">
        <v>-0.2013</v>
      </c>
      <c r="K2219" s="1">
        <v>318.0</v>
      </c>
    </row>
    <row r="2220">
      <c r="A2220" s="1" t="s">
        <v>26</v>
      </c>
      <c r="B2220" s="1" t="s">
        <v>180</v>
      </c>
      <c r="C2220" s="1" t="s">
        <v>52</v>
      </c>
      <c r="D2220" s="1">
        <v>14.0</v>
      </c>
      <c r="E2220" s="1">
        <v>1142.0</v>
      </c>
      <c r="F2220" s="1">
        <v>1369.0</v>
      </c>
      <c r="G2220" s="1">
        <v>1207.0</v>
      </c>
      <c r="H2220" s="1">
        <v>0.9461</v>
      </c>
      <c r="I2220" s="1">
        <v>1.1342</v>
      </c>
      <c r="J2220" s="1">
        <v>-0.1881</v>
      </c>
      <c r="K2220" s="1">
        <v>331.0</v>
      </c>
    </row>
    <row r="2221">
      <c r="A2221" s="1" t="s">
        <v>26</v>
      </c>
      <c r="B2221" s="1" t="s">
        <v>180</v>
      </c>
      <c r="C2221" s="1" t="s">
        <v>52</v>
      </c>
      <c r="D2221" s="1">
        <v>15.0</v>
      </c>
      <c r="E2221" s="1">
        <v>2239.0</v>
      </c>
      <c r="F2221" s="1">
        <v>1777.0</v>
      </c>
      <c r="G2221" s="1">
        <v>1207.0</v>
      </c>
      <c r="H2221" s="1">
        <v>1.855</v>
      </c>
      <c r="I2221" s="1">
        <v>1.4722</v>
      </c>
      <c r="J2221" s="1">
        <v>0.3828</v>
      </c>
      <c r="K2221" s="1">
        <v>342.0</v>
      </c>
    </row>
    <row r="2222">
      <c r="A2222" s="1" t="s">
        <v>26</v>
      </c>
      <c r="B2222" s="1" t="s">
        <v>180</v>
      </c>
      <c r="C2222" s="1" t="s">
        <v>52</v>
      </c>
      <c r="D2222" s="1">
        <v>16.0</v>
      </c>
      <c r="E2222" s="1">
        <v>1587.0</v>
      </c>
      <c r="F2222" s="1">
        <v>1620.0</v>
      </c>
      <c r="G2222" s="1">
        <v>1207.0</v>
      </c>
      <c r="H2222" s="1">
        <v>1.3148</v>
      </c>
      <c r="I2222" s="1">
        <v>1.3422</v>
      </c>
      <c r="J2222" s="1">
        <v>-0.0273</v>
      </c>
      <c r="K2222" s="1">
        <v>360.0</v>
      </c>
    </row>
    <row r="2223">
      <c r="A2223" s="1" t="s">
        <v>26</v>
      </c>
      <c r="B2223" s="1" t="s">
        <v>180</v>
      </c>
      <c r="C2223" s="1" t="s">
        <v>52</v>
      </c>
      <c r="D2223" s="1">
        <v>17.0</v>
      </c>
      <c r="E2223" s="1">
        <v>2162.0</v>
      </c>
      <c r="F2223" s="1">
        <v>1476.0</v>
      </c>
      <c r="G2223" s="1">
        <v>1207.0</v>
      </c>
      <c r="H2223" s="1">
        <v>1.7912</v>
      </c>
      <c r="I2223" s="1">
        <v>1.2229</v>
      </c>
      <c r="J2223" s="1">
        <v>0.5684</v>
      </c>
      <c r="K2223" s="1">
        <v>373.0</v>
      </c>
    </row>
    <row r="2224">
      <c r="A2224" s="1" t="s">
        <v>26</v>
      </c>
      <c r="B2224" s="1" t="s">
        <v>180</v>
      </c>
      <c r="C2224" s="1" t="s">
        <v>52</v>
      </c>
      <c r="D2224" s="1">
        <v>18.0</v>
      </c>
      <c r="E2224" s="1">
        <v>3926.0</v>
      </c>
      <c r="F2224" s="1">
        <v>1754.0</v>
      </c>
      <c r="G2224" s="1">
        <v>1207.0</v>
      </c>
      <c r="H2224" s="1">
        <v>3.2527</v>
      </c>
      <c r="I2224" s="1">
        <v>1.4532</v>
      </c>
      <c r="J2224" s="1">
        <v>1.7995</v>
      </c>
      <c r="K2224" s="1">
        <v>419.0</v>
      </c>
    </row>
    <row r="2225">
      <c r="A2225" s="1" t="s">
        <v>26</v>
      </c>
      <c r="B2225" s="1" t="s">
        <v>180</v>
      </c>
      <c r="C2225" s="1" t="s">
        <v>52</v>
      </c>
      <c r="D2225" s="1">
        <v>19.0</v>
      </c>
      <c r="E2225" s="1">
        <v>1738.0</v>
      </c>
      <c r="F2225" s="1">
        <v>1810.0</v>
      </c>
      <c r="G2225" s="1">
        <v>1207.0</v>
      </c>
      <c r="H2225" s="1">
        <v>1.4399</v>
      </c>
      <c r="I2225" s="1">
        <v>1.4996</v>
      </c>
      <c r="J2225" s="1">
        <v>-0.0597</v>
      </c>
      <c r="K2225" s="1">
        <v>431.0</v>
      </c>
    </row>
    <row r="2226">
      <c r="A2226" s="1" t="s">
        <v>26</v>
      </c>
      <c r="B2226" s="1" t="s">
        <v>180</v>
      </c>
      <c r="C2226" s="1" t="s">
        <v>52</v>
      </c>
      <c r="D2226" s="1">
        <v>20.0</v>
      </c>
      <c r="E2226" s="1">
        <v>1152.0</v>
      </c>
      <c r="F2226" s="1">
        <v>1403.0</v>
      </c>
      <c r="G2226" s="1">
        <v>1207.0</v>
      </c>
      <c r="H2226" s="1">
        <v>0.9544</v>
      </c>
      <c r="I2226" s="1">
        <v>1.1624</v>
      </c>
      <c r="J2226" s="1">
        <v>-0.208</v>
      </c>
      <c r="K2226" s="1">
        <v>430.0</v>
      </c>
    </row>
    <row r="2227">
      <c r="A2227" s="1" t="s">
        <v>26</v>
      </c>
      <c r="B2227" s="1" t="s">
        <v>180</v>
      </c>
      <c r="C2227" s="1" t="s">
        <v>52</v>
      </c>
      <c r="D2227" s="1">
        <v>21.0</v>
      </c>
      <c r="E2227" s="1">
        <v>1012.0</v>
      </c>
      <c r="F2227" s="1">
        <v>1240.0</v>
      </c>
      <c r="G2227" s="1">
        <v>1207.0</v>
      </c>
      <c r="H2227" s="1">
        <v>0.8384</v>
      </c>
      <c r="I2227" s="1">
        <v>1.0273</v>
      </c>
      <c r="J2227" s="1">
        <v>-0.1889</v>
      </c>
      <c r="K2227" s="1">
        <v>416.0</v>
      </c>
    </row>
    <row r="2228">
      <c r="A2228" s="1" t="s">
        <v>26</v>
      </c>
      <c r="B2228" s="1" t="s">
        <v>180</v>
      </c>
      <c r="C2228" s="1" t="s">
        <v>53</v>
      </c>
      <c r="D2228" s="1">
        <v>1.0</v>
      </c>
      <c r="E2228" s="1">
        <v>1180.0</v>
      </c>
      <c r="F2228" s="1">
        <v>1321.0</v>
      </c>
      <c r="G2228" s="1">
        <v>1207.0</v>
      </c>
      <c r="H2228" s="1">
        <v>0.9776</v>
      </c>
      <c r="I2228" s="1">
        <v>1.0944</v>
      </c>
      <c r="J2228" s="1">
        <v>-0.1168</v>
      </c>
      <c r="K2228" s="1">
        <v>188.0</v>
      </c>
    </row>
    <row r="2229">
      <c r="A2229" s="1" t="s">
        <v>26</v>
      </c>
      <c r="B2229" s="1" t="s">
        <v>180</v>
      </c>
      <c r="C2229" s="1" t="s">
        <v>53</v>
      </c>
      <c r="D2229" s="1">
        <v>2.0</v>
      </c>
      <c r="E2229" s="1">
        <v>1047.0</v>
      </c>
      <c r="F2229" s="1">
        <v>1554.0</v>
      </c>
      <c r="G2229" s="1">
        <v>1207.0</v>
      </c>
      <c r="H2229" s="1">
        <v>0.8674</v>
      </c>
      <c r="I2229" s="1">
        <v>1.2875</v>
      </c>
      <c r="J2229" s="1">
        <v>-0.42</v>
      </c>
      <c r="K2229" s="1">
        <v>216.0</v>
      </c>
    </row>
    <row r="2230">
      <c r="A2230" s="1" t="s">
        <v>26</v>
      </c>
      <c r="B2230" s="1" t="s">
        <v>180</v>
      </c>
      <c r="C2230" s="1" t="s">
        <v>53</v>
      </c>
      <c r="D2230" s="1">
        <v>3.0</v>
      </c>
      <c r="E2230" s="1">
        <v>2184.0</v>
      </c>
      <c r="F2230" s="1">
        <v>1557.0</v>
      </c>
      <c r="G2230" s="1">
        <v>1207.0</v>
      </c>
      <c r="H2230" s="1">
        <v>1.8094</v>
      </c>
      <c r="I2230" s="1">
        <v>1.29</v>
      </c>
      <c r="J2230" s="1">
        <v>0.5195</v>
      </c>
      <c r="K2230" s="1">
        <v>235.0</v>
      </c>
    </row>
    <row r="2231">
      <c r="A2231" s="1" t="s">
        <v>26</v>
      </c>
      <c r="B2231" s="1" t="s">
        <v>180</v>
      </c>
      <c r="C2231" s="1" t="s">
        <v>53</v>
      </c>
      <c r="D2231" s="1">
        <v>4.0</v>
      </c>
      <c r="E2231" s="1">
        <v>4892.0</v>
      </c>
      <c r="F2231" s="1">
        <v>1696.0</v>
      </c>
      <c r="G2231" s="1">
        <v>1207.0</v>
      </c>
      <c r="H2231" s="1">
        <v>4.053</v>
      </c>
      <c r="I2231" s="1">
        <v>1.4051</v>
      </c>
      <c r="J2231" s="1">
        <v>2.6479</v>
      </c>
      <c r="K2231" s="1">
        <v>242.0</v>
      </c>
    </row>
    <row r="2232">
      <c r="A2232" s="1" t="s">
        <v>26</v>
      </c>
      <c r="B2232" s="1" t="s">
        <v>180</v>
      </c>
      <c r="C2232" s="1" t="s">
        <v>53</v>
      </c>
      <c r="D2232" s="1">
        <v>5.0</v>
      </c>
      <c r="E2232" s="1">
        <v>1247.0</v>
      </c>
      <c r="F2232" s="1">
        <v>1296.0</v>
      </c>
      <c r="G2232" s="1">
        <v>1207.0</v>
      </c>
      <c r="H2232" s="1">
        <v>1.0331</v>
      </c>
      <c r="I2232" s="1">
        <v>1.0737</v>
      </c>
      <c r="J2232" s="1">
        <v>-0.0406</v>
      </c>
      <c r="K2232" s="1">
        <v>239.0</v>
      </c>
    </row>
    <row r="2233">
      <c r="A2233" s="1" t="s">
        <v>26</v>
      </c>
      <c r="B2233" s="1" t="s">
        <v>180</v>
      </c>
      <c r="C2233" s="1" t="s">
        <v>53</v>
      </c>
      <c r="D2233" s="1">
        <v>6.0</v>
      </c>
      <c r="E2233" s="1">
        <v>843.0</v>
      </c>
      <c r="F2233" s="1">
        <v>948.0</v>
      </c>
      <c r="G2233" s="1">
        <v>1207.0</v>
      </c>
      <c r="H2233" s="1">
        <v>0.6984</v>
      </c>
      <c r="I2233" s="1">
        <v>0.7854</v>
      </c>
      <c r="J2233" s="1">
        <v>-0.087</v>
      </c>
      <c r="K2233" s="1">
        <v>232.0</v>
      </c>
    </row>
    <row r="2234">
      <c r="A2234" s="1" t="s">
        <v>26</v>
      </c>
      <c r="B2234" s="1" t="s">
        <v>180</v>
      </c>
      <c r="C2234" s="1" t="s">
        <v>53</v>
      </c>
      <c r="D2234" s="1">
        <v>7.0</v>
      </c>
      <c r="E2234" s="1">
        <v>806.0</v>
      </c>
      <c r="F2234" s="1">
        <v>859.0</v>
      </c>
      <c r="G2234" s="1">
        <v>1207.0</v>
      </c>
      <c r="H2234" s="1">
        <v>0.6678</v>
      </c>
      <c r="I2234" s="1">
        <v>0.7117</v>
      </c>
      <c r="J2234" s="1">
        <v>-0.0439</v>
      </c>
      <c r="K2234" s="1">
        <v>235.0</v>
      </c>
    </row>
    <row r="2235">
      <c r="A2235" s="1" t="s">
        <v>26</v>
      </c>
      <c r="B2235" s="1" t="s">
        <v>180</v>
      </c>
      <c r="C2235" s="1" t="s">
        <v>53</v>
      </c>
      <c r="D2235" s="1">
        <v>8.0</v>
      </c>
      <c r="E2235" s="1">
        <v>1238.0</v>
      </c>
      <c r="F2235" s="1">
        <v>956.0</v>
      </c>
      <c r="G2235" s="1">
        <v>1207.0</v>
      </c>
      <c r="H2235" s="1">
        <v>1.0257</v>
      </c>
      <c r="I2235" s="1">
        <v>0.792</v>
      </c>
      <c r="J2235" s="1">
        <v>0.2336</v>
      </c>
      <c r="K2235" s="1">
        <v>229.0</v>
      </c>
    </row>
    <row r="2236">
      <c r="A2236" s="1" t="s">
        <v>26</v>
      </c>
      <c r="B2236" s="1" t="s">
        <v>180</v>
      </c>
      <c r="C2236" s="1" t="s">
        <v>53</v>
      </c>
      <c r="D2236" s="1">
        <v>9.0</v>
      </c>
      <c r="E2236" s="1">
        <v>1006.0</v>
      </c>
      <c r="F2236" s="1">
        <v>1005.0</v>
      </c>
      <c r="G2236" s="1">
        <v>1207.0</v>
      </c>
      <c r="H2236" s="1">
        <v>0.8335</v>
      </c>
      <c r="I2236" s="1">
        <v>0.8326</v>
      </c>
      <c r="J2236" s="1">
        <v>8.0E-4</v>
      </c>
      <c r="K2236" s="1">
        <v>234.0</v>
      </c>
    </row>
    <row r="2237">
      <c r="A2237" s="1" t="s">
        <v>26</v>
      </c>
      <c r="B2237" s="1" t="s">
        <v>180</v>
      </c>
      <c r="C2237" s="1" t="s">
        <v>53</v>
      </c>
      <c r="D2237" s="1">
        <v>10.0</v>
      </c>
      <c r="E2237" s="1">
        <v>1348.0</v>
      </c>
      <c r="F2237" s="1">
        <v>1671.0</v>
      </c>
      <c r="G2237" s="1">
        <v>1207.0</v>
      </c>
      <c r="H2237" s="1">
        <v>1.1168</v>
      </c>
      <c r="I2237" s="1">
        <v>1.3844</v>
      </c>
      <c r="J2237" s="1">
        <v>-0.2676</v>
      </c>
      <c r="K2237" s="1">
        <v>255.0</v>
      </c>
    </row>
    <row r="2238">
      <c r="A2238" s="1" t="s">
        <v>26</v>
      </c>
      <c r="B2238" s="1" t="s">
        <v>180</v>
      </c>
      <c r="C2238" s="1" t="s">
        <v>53</v>
      </c>
      <c r="D2238" s="1">
        <v>11.0</v>
      </c>
      <c r="E2238" s="1">
        <v>2758.0</v>
      </c>
      <c r="F2238" s="1">
        <v>1839.0</v>
      </c>
      <c r="G2238" s="1">
        <v>1207.0</v>
      </c>
      <c r="H2238" s="1">
        <v>2.285</v>
      </c>
      <c r="I2238" s="1">
        <v>1.5236</v>
      </c>
      <c r="J2238" s="1">
        <v>0.7614</v>
      </c>
      <c r="K2238" s="1">
        <v>277.0</v>
      </c>
    </row>
    <row r="2239">
      <c r="A2239" s="1" t="s">
        <v>26</v>
      </c>
      <c r="B2239" s="1" t="s">
        <v>180</v>
      </c>
      <c r="C2239" s="1" t="s">
        <v>53</v>
      </c>
      <c r="D2239" s="1">
        <v>12.0</v>
      </c>
      <c r="E2239" s="1">
        <v>1368.0</v>
      </c>
      <c r="F2239" s="1">
        <v>1683.0</v>
      </c>
      <c r="G2239" s="1">
        <v>1207.0</v>
      </c>
      <c r="H2239" s="1">
        <v>1.1334</v>
      </c>
      <c r="I2239" s="1">
        <v>1.3944</v>
      </c>
      <c r="J2239" s="1">
        <v>-0.261</v>
      </c>
      <c r="K2239" s="1">
        <v>292.0</v>
      </c>
    </row>
    <row r="2240">
      <c r="A2240" s="1" t="s">
        <v>26</v>
      </c>
      <c r="B2240" s="1" t="s">
        <v>180</v>
      </c>
      <c r="C2240" s="1" t="s">
        <v>53</v>
      </c>
      <c r="D2240" s="1">
        <v>13.0</v>
      </c>
      <c r="E2240" s="1">
        <v>1070.0</v>
      </c>
      <c r="F2240" s="1">
        <v>1672.0</v>
      </c>
      <c r="G2240" s="1">
        <v>1207.0</v>
      </c>
      <c r="H2240" s="1">
        <v>0.8865</v>
      </c>
      <c r="I2240" s="1">
        <v>1.3853</v>
      </c>
      <c r="J2240" s="1">
        <v>-0.4988</v>
      </c>
      <c r="K2240" s="1">
        <v>318.0</v>
      </c>
    </row>
    <row r="2241">
      <c r="A2241" s="1" t="s">
        <v>26</v>
      </c>
      <c r="B2241" s="1" t="s">
        <v>180</v>
      </c>
      <c r="C2241" s="1" t="s">
        <v>53</v>
      </c>
      <c r="D2241" s="1">
        <v>14.0</v>
      </c>
      <c r="E2241" s="1">
        <v>1168.0</v>
      </c>
      <c r="F2241" s="1">
        <v>1427.0</v>
      </c>
      <c r="G2241" s="1">
        <v>1207.0</v>
      </c>
      <c r="H2241" s="1">
        <v>0.9677</v>
      </c>
      <c r="I2241" s="1">
        <v>1.1823</v>
      </c>
      <c r="J2241" s="1">
        <v>-0.2146</v>
      </c>
      <c r="K2241" s="1">
        <v>331.0</v>
      </c>
    </row>
    <row r="2242">
      <c r="A2242" s="1" t="s">
        <v>26</v>
      </c>
      <c r="B2242" s="1" t="s">
        <v>180</v>
      </c>
      <c r="C2242" s="1" t="s">
        <v>53</v>
      </c>
      <c r="D2242" s="1">
        <v>15.0</v>
      </c>
      <c r="E2242" s="1">
        <v>1806.0</v>
      </c>
      <c r="F2242" s="1">
        <v>1744.0</v>
      </c>
      <c r="G2242" s="1">
        <v>1207.0</v>
      </c>
      <c r="H2242" s="1">
        <v>1.4963</v>
      </c>
      <c r="I2242" s="1">
        <v>1.4449</v>
      </c>
      <c r="J2242" s="1">
        <v>0.0514</v>
      </c>
      <c r="K2242" s="1">
        <v>342.0</v>
      </c>
    </row>
    <row r="2243">
      <c r="A2243" s="1" t="s">
        <v>26</v>
      </c>
      <c r="B2243" s="1" t="s">
        <v>180</v>
      </c>
      <c r="C2243" s="1" t="s">
        <v>53</v>
      </c>
      <c r="D2243" s="1">
        <v>16.0</v>
      </c>
      <c r="E2243" s="1">
        <v>1413.0</v>
      </c>
      <c r="F2243" s="1">
        <v>1807.0</v>
      </c>
      <c r="G2243" s="1">
        <v>1207.0</v>
      </c>
      <c r="H2243" s="1">
        <v>1.1707</v>
      </c>
      <c r="I2243" s="1">
        <v>1.4971</v>
      </c>
      <c r="J2243" s="1">
        <v>-0.3264</v>
      </c>
      <c r="K2243" s="1">
        <v>360.0</v>
      </c>
    </row>
    <row r="2244">
      <c r="A2244" s="1" t="s">
        <v>26</v>
      </c>
      <c r="B2244" s="1" t="s">
        <v>180</v>
      </c>
      <c r="C2244" s="1" t="s">
        <v>53</v>
      </c>
      <c r="D2244" s="1">
        <v>17.0</v>
      </c>
      <c r="E2244" s="1">
        <v>2094.0</v>
      </c>
      <c r="F2244" s="1">
        <v>1677.0</v>
      </c>
      <c r="G2244" s="1">
        <v>1207.0</v>
      </c>
      <c r="H2244" s="1">
        <v>1.7349</v>
      </c>
      <c r="I2244" s="1">
        <v>1.3894</v>
      </c>
      <c r="J2244" s="1">
        <v>0.3455</v>
      </c>
      <c r="K2244" s="1">
        <v>373.0</v>
      </c>
    </row>
    <row r="2245">
      <c r="A2245" s="1" t="s">
        <v>26</v>
      </c>
      <c r="B2245" s="1" t="s">
        <v>180</v>
      </c>
      <c r="C2245" s="1" t="s">
        <v>53</v>
      </c>
      <c r="D2245" s="1">
        <v>18.0</v>
      </c>
      <c r="E2245" s="1">
        <v>3743.0</v>
      </c>
      <c r="F2245" s="1">
        <v>1919.0</v>
      </c>
      <c r="G2245" s="1">
        <v>1207.0</v>
      </c>
      <c r="H2245" s="1">
        <v>3.1011</v>
      </c>
      <c r="I2245" s="1">
        <v>1.5899</v>
      </c>
      <c r="J2245" s="1">
        <v>1.5112</v>
      </c>
      <c r="K2245" s="1">
        <v>419.0</v>
      </c>
    </row>
    <row r="2246">
      <c r="A2246" s="1" t="s">
        <v>26</v>
      </c>
      <c r="B2246" s="1" t="s">
        <v>180</v>
      </c>
      <c r="C2246" s="1" t="s">
        <v>53</v>
      </c>
      <c r="D2246" s="1">
        <v>19.0</v>
      </c>
      <c r="E2246" s="1">
        <v>1752.0</v>
      </c>
      <c r="F2246" s="1">
        <v>1648.0</v>
      </c>
      <c r="G2246" s="1">
        <v>1207.0</v>
      </c>
      <c r="H2246" s="1">
        <v>1.4515</v>
      </c>
      <c r="I2246" s="1">
        <v>1.3654</v>
      </c>
      <c r="J2246" s="1">
        <v>0.0862</v>
      </c>
      <c r="K2246" s="1">
        <v>431.0</v>
      </c>
    </row>
    <row r="2247">
      <c r="A2247" s="1" t="s">
        <v>26</v>
      </c>
      <c r="B2247" s="1" t="s">
        <v>180</v>
      </c>
      <c r="C2247" s="1" t="s">
        <v>53</v>
      </c>
      <c r="D2247" s="1">
        <v>20.0</v>
      </c>
      <c r="E2247" s="1">
        <v>1224.0</v>
      </c>
      <c r="F2247" s="1">
        <v>1410.0</v>
      </c>
      <c r="G2247" s="1">
        <v>1207.0</v>
      </c>
      <c r="H2247" s="1">
        <v>1.0141</v>
      </c>
      <c r="I2247" s="1">
        <v>1.1682</v>
      </c>
      <c r="J2247" s="1">
        <v>-0.1541</v>
      </c>
      <c r="K2247" s="1">
        <v>430.0</v>
      </c>
    </row>
    <row r="2248">
      <c r="A2248" s="1" t="s">
        <v>26</v>
      </c>
      <c r="B2248" s="1" t="s">
        <v>180</v>
      </c>
      <c r="C2248" s="1" t="s">
        <v>53</v>
      </c>
      <c r="D2248" s="1">
        <v>21.0</v>
      </c>
      <c r="E2248" s="1">
        <v>1080.0</v>
      </c>
      <c r="F2248" s="1">
        <v>1275.0</v>
      </c>
      <c r="G2248" s="1">
        <v>1207.0</v>
      </c>
      <c r="H2248" s="1">
        <v>0.8948</v>
      </c>
      <c r="I2248" s="1">
        <v>1.0563</v>
      </c>
      <c r="J2248" s="1">
        <v>-0.1616</v>
      </c>
      <c r="K2248" s="1">
        <v>416.0</v>
      </c>
    </row>
    <row r="2249">
      <c r="A2249" s="1" t="s">
        <v>26</v>
      </c>
      <c r="B2249" s="1" t="s">
        <v>180</v>
      </c>
      <c r="C2249" s="1" t="s">
        <v>54</v>
      </c>
      <c r="D2249" s="1">
        <v>1.0</v>
      </c>
      <c r="E2249" s="1">
        <v>670.0</v>
      </c>
      <c r="F2249" s="1">
        <v>935.0</v>
      </c>
      <c r="G2249" s="1">
        <v>1198.0</v>
      </c>
      <c r="H2249" s="1">
        <v>0.5593</v>
      </c>
      <c r="I2249" s="1">
        <v>0.7805</v>
      </c>
      <c r="J2249" s="1">
        <v>-0.2212</v>
      </c>
      <c r="K2249" s="1">
        <v>188.0</v>
      </c>
    </row>
    <row r="2250">
      <c r="A2250" s="1" t="s">
        <v>26</v>
      </c>
      <c r="B2250" s="1" t="s">
        <v>180</v>
      </c>
      <c r="C2250" s="1" t="s">
        <v>54</v>
      </c>
      <c r="D2250" s="1">
        <v>2.0</v>
      </c>
      <c r="E2250" s="1">
        <v>386.0</v>
      </c>
      <c r="F2250" s="1">
        <v>1278.0</v>
      </c>
      <c r="G2250" s="1">
        <v>1198.0</v>
      </c>
      <c r="H2250" s="1">
        <v>0.3222</v>
      </c>
      <c r="I2250" s="1">
        <v>1.0668</v>
      </c>
      <c r="J2250" s="1">
        <v>-0.7446</v>
      </c>
      <c r="K2250" s="1">
        <v>216.0</v>
      </c>
    </row>
    <row r="2251">
      <c r="A2251" s="1" t="s">
        <v>26</v>
      </c>
      <c r="B2251" s="1" t="s">
        <v>180</v>
      </c>
      <c r="C2251" s="1" t="s">
        <v>54</v>
      </c>
      <c r="D2251" s="1">
        <v>3.0</v>
      </c>
      <c r="E2251" s="1">
        <v>1607.0</v>
      </c>
      <c r="F2251" s="1">
        <v>997.0</v>
      </c>
      <c r="G2251" s="1">
        <v>1198.0</v>
      </c>
      <c r="H2251" s="1">
        <v>1.3414</v>
      </c>
      <c r="I2251" s="1">
        <v>0.8322</v>
      </c>
      <c r="J2251" s="1">
        <v>0.5092</v>
      </c>
      <c r="K2251" s="1">
        <v>235.0</v>
      </c>
    </row>
    <row r="2252">
      <c r="A2252" s="1" t="s">
        <v>26</v>
      </c>
      <c r="B2252" s="1" t="s">
        <v>180</v>
      </c>
      <c r="C2252" s="1" t="s">
        <v>54</v>
      </c>
      <c r="D2252" s="1">
        <v>4.0</v>
      </c>
      <c r="E2252" s="1">
        <v>4260.0</v>
      </c>
      <c r="F2252" s="1">
        <v>1047.0</v>
      </c>
      <c r="G2252" s="1">
        <v>1198.0</v>
      </c>
      <c r="H2252" s="1">
        <v>3.5559</v>
      </c>
      <c r="I2252" s="1">
        <v>0.874</v>
      </c>
      <c r="J2252" s="1">
        <v>2.682</v>
      </c>
      <c r="K2252" s="1">
        <v>242.0</v>
      </c>
    </row>
    <row r="2253">
      <c r="A2253" s="1" t="s">
        <v>26</v>
      </c>
      <c r="B2253" s="1" t="s">
        <v>180</v>
      </c>
      <c r="C2253" s="1" t="s">
        <v>54</v>
      </c>
      <c r="D2253" s="1">
        <v>5.0</v>
      </c>
      <c r="E2253" s="1">
        <v>732.0</v>
      </c>
      <c r="F2253" s="1">
        <v>1275.0</v>
      </c>
      <c r="G2253" s="1">
        <v>1198.0</v>
      </c>
      <c r="H2253" s="1">
        <v>0.611</v>
      </c>
      <c r="I2253" s="1">
        <v>1.0643</v>
      </c>
      <c r="J2253" s="1">
        <v>-0.4533</v>
      </c>
      <c r="K2253" s="1">
        <v>239.0</v>
      </c>
    </row>
    <row r="2254">
      <c r="A2254" s="1" t="s">
        <v>26</v>
      </c>
      <c r="B2254" s="1" t="s">
        <v>180</v>
      </c>
      <c r="C2254" s="1" t="s">
        <v>54</v>
      </c>
      <c r="D2254" s="1">
        <v>6.0</v>
      </c>
      <c r="E2254" s="1">
        <v>412.0</v>
      </c>
      <c r="F2254" s="1">
        <v>1216.0</v>
      </c>
      <c r="G2254" s="1">
        <v>1198.0</v>
      </c>
      <c r="H2254" s="1">
        <v>0.3439</v>
      </c>
      <c r="I2254" s="1">
        <v>1.015</v>
      </c>
      <c r="J2254" s="1">
        <v>-0.6711</v>
      </c>
      <c r="K2254" s="1">
        <v>232.0</v>
      </c>
    </row>
    <row r="2255">
      <c r="A2255" s="1" t="s">
        <v>26</v>
      </c>
      <c r="B2255" s="1" t="s">
        <v>180</v>
      </c>
      <c r="C2255" s="1" t="s">
        <v>54</v>
      </c>
      <c r="D2255" s="1">
        <v>7.0</v>
      </c>
      <c r="E2255" s="1">
        <v>360.0</v>
      </c>
      <c r="F2255" s="1">
        <v>819.0</v>
      </c>
      <c r="G2255" s="1">
        <v>1198.0</v>
      </c>
      <c r="H2255" s="1">
        <v>0.3005</v>
      </c>
      <c r="I2255" s="1">
        <v>0.6836</v>
      </c>
      <c r="J2255" s="1">
        <v>-0.3831</v>
      </c>
      <c r="K2255" s="1">
        <v>235.0</v>
      </c>
    </row>
    <row r="2256">
      <c r="A2256" s="1" t="s">
        <v>26</v>
      </c>
      <c r="B2256" s="1" t="s">
        <v>180</v>
      </c>
      <c r="C2256" s="1" t="s">
        <v>54</v>
      </c>
      <c r="D2256" s="1">
        <v>8.0</v>
      </c>
      <c r="E2256" s="1">
        <v>790.0</v>
      </c>
      <c r="F2256" s="1">
        <v>803.0</v>
      </c>
      <c r="G2256" s="1">
        <v>1198.0</v>
      </c>
      <c r="H2256" s="1">
        <v>0.6594</v>
      </c>
      <c r="I2256" s="1">
        <v>0.6703</v>
      </c>
      <c r="J2256" s="1">
        <v>-0.0109</v>
      </c>
      <c r="K2256" s="1">
        <v>229.0</v>
      </c>
    </row>
    <row r="2257">
      <c r="A2257" s="1" t="s">
        <v>26</v>
      </c>
      <c r="B2257" s="1" t="s">
        <v>180</v>
      </c>
      <c r="C2257" s="1" t="s">
        <v>54</v>
      </c>
      <c r="D2257" s="1">
        <v>9.0</v>
      </c>
      <c r="E2257" s="1">
        <v>369.0</v>
      </c>
      <c r="F2257" s="1">
        <v>580.0</v>
      </c>
      <c r="G2257" s="1">
        <v>1198.0</v>
      </c>
      <c r="H2257" s="1">
        <v>0.308</v>
      </c>
      <c r="I2257" s="1">
        <v>0.4841</v>
      </c>
      <c r="J2257" s="1">
        <v>-0.1761</v>
      </c>
      <c r="K2257" s="1">
        <v>234.0</v>
      </c>
    </row>
    <row r="2258">
      <c r="A2258" s="1" t="s">
        <v>26</v>
      </c>
      <c r="B2258" s="1" t="s">
        <v>180</v>
      </c>
      <c r="C2258" s="1" t="s">
        <v>54</v>
      </c>
      <c r="D2258" s="1">
        <v>10.0</v>
      </c>
      <c r="E2258" s="1">
        <v>766.0</v>
      </c>
      <c r="F2258" s="1">
        <v>1196.0</v>
      </c>
      <c r="G2258" s="1">
        <v>1198.0</v>
      </c>
      <c r="H2258" s="1">
        <v>0.6394</v>
      </c>
      <c r="I2258" s="1">
        <v>0.9983</v>
      </c>
      <c r="J2258" s="1">
        <v>-0.3589</v>
      </c>
      <c r="K2258" s="1">
        <v>255.0</v>
      </c>
    </row>
    <row r="2259">
      <c r="A2259" s="1" t="s">
        <v>26</v>
      </c>
      <c r="B2259" s="1" t="s">
        <v>180</v>
      </c>
      <c r="C2259" s="1" t="s">
        <v>54</v>
      </c>
      <c r="D2259" s="1">
        <v>11.0</v>
      </c>
      <c r="E2259" s="1">
        <v>2103.0</v>
      </c>
      <c r="F2259" s="1">
        <v>1149.0</v>
      </c>
      <c r="G2259" s="1">
        <v>1198.0</v>
      </c>
      <c r="H2259" s="1">
        <v>1.7554</v>
      </c>
      <c r="I2259" s="1">
        <v>0.9591</v>
      </c>
      <c r="J2259" s="1">
        <v>0.7963</v>
      </c>
      <c r="K2259" s="1">
        <v>277.0</v>
      </c>
    </row>
    <row r="2260">
      <c r="A2260" s="1" t="s">
        <v>26</v>
      </c>
      <c r="B2260" s="1" t="s">
        <v>180</v>
      </c>
      <c r="C2260" s="1" t="s">
        <v>54</v>
      </c>
      <c r="D2260" s="1">
        <v>12.0</v>
      </c>
      <c r="E2260" s="1">
        <v>737.0</v>
      </c>
      <c r="F2260" s="1">
        <v>1639.0</v>
      </c>
      <c r="G2260" s="1">
        <v>1198.0</v>
      </c>
      <c r="H2260" s="1">
        <v>0.6152</v>
      </c>
      <c r="I2260" s="1">
        <v>1.3681</v>
      </c>
      <c r="J2260" s="1">
        <v>-0.7529</v>
      </c>
      <c r="K2260" s="1">
        <v>292.0</v>
      </c>
    </row>
    <row r="2261">
      <c r="A2261" s="1" t="s">
        <v>26</v>
      </c>
      <c r="B2261" s="1" t="s">
        <v>180</v>
      </c>
      <c r="C2261" s="1" t="s">
        <v>54</v>
      </c>
      <c r="D2261" s="1">
        <v>13.0</v>
      </c>
      <c r="E2261" s="1">
        <v>511.0</v>
      </c>
      <c r="F2261" s="1">
        <v>1609.0</v>
      </c>
      <c r="G2261" s="1">
        <v>1198.0</v>
      </c>
      <c r="H2261" s="1">
        <v>0.4265</v>
      </c>
      <c r="I2261" s="1">
        <v>1.3431</v>
      </c>
      <c r="J2261" s="1">
        <v>-0.9165</v>
      </c>
      <c r="K2261" s="1">
        <v>318.0</v>
      </c>
    </row>
    <row r="2262">
      <c r="A2262" s="1" t="s">
        <v>26</v>
      </c>
      <c r="B2262" s="1" t="s">
        <v>180</v>
      </c>
      <c r="C2262" s="1" t="s">
        <v>54</v>
      </c>
      <c r="D2262" s="1">
        <v>14.0</v>
      </c>
      <c r="E2262" s="1">
        <v>521.0</v>
      </c>
      <c r="F2262" s="1">
        <v>989.0</v>
      </c>
      <c r="G2262" s="1">
        <v>1198.0</v>
      </c>
      <c r="H2262" s="1">
        <v>0.4349</v>
      </c>
      <c r="I2262" s="1">
        <v>0.8255</v>
      </c>
      <c r="J2262" s="1">
        <v>-0.3907</v>
      </c>
      <c r="K2262" s="1">
        <v>331.0</v>
      </c>
    </row>
    <row r="2263">
      <c r="A2263" s="1" t="s">
        <v>26</v>
      </c>
      <c r="B2263" s="1" t="s">
        <v>180</v>
      </c>
      <c r="C2263" s="1" t="s">
        <v>54</v>
      </c>
      <c r="D2263" s="1">
        <v>15.0</v>
      </c>
      <c r="E2263" s="1">
        <v>1086.0</v>
      </c>
      <c r="F2263" s="1">
        <v>1005.0</v>
      </c>
      <c r="G2263" s="1">
        <v>1198.0</v>
      </c>
      <c r="H2263" s="1">
        <v>0.9065</v>
      </c>
      <c r="I2263" s="1">
        <v>0.8389</v>
      </c>
      <c r="J2263" s="1">
        <v>0.0676</v>
      </c>
      <c r="K2263" s="1">
        <v>342.0</v>
      </c>
    </row>
    <row r="2264">
      <c r="A2264" s="1" t="s">
        <v>26</v>
      </c>
      <c r="B2264" s="1" t="s">
        <v>180</v>
      </c>
      <c r="C2264" s="1" t="s">
        <v>54</v>
      </c>
      <c r="D2264" s="1">
        <v>16.0</v>
      </c>
      <c r="E2264" s="1">
        <v>534.0</v>
      </c>
      <c r="F2264" s="1">
        <v>866.0</v>
      </c>
      <c r="G2264" s="1">
        <v>1198.0</v>
      </c>
      <c r="H2264" s="1">
        <v>0.4457</v>
      </c>
      <c r="I2264" s="1">
        <v>0.7229</v>
      </c>
      <c r="J2264" s="1">
        <v>-0.2771</v>
      </c>
      <c r="K2264" s="1">
        <v>360.0</v>
      </c>
    </row>
    <row r="2265">
      <c r="A2265" s="1" t="s">
        <v>26</v>
      </c>
      <c r="B2265" s="1" t="s">
        <v>180</v>
      </c>
      <c r="C2265" s="1" t="s">
        <v>54</v>
      </c>
      <c r="D2265" s="1">
        <v>17.0</v>
      </c>
      <c r="E2265" s="1">
        <v>1213.0</v>
      </c>
      <c r="F2265" s="1">
        <v>796.0</v>
      </c>
      <c r="G2265" s="1">
        <v>1198.0</v>
      </c>
      <c r="H2265" s="1">
        <v>1.0125</v>
      </c>
      <c r="I2265" s="1">
        <v>0.6644</v>
      </c>
      <c r="J2265" s="1">
        <v>0.3481</v>
      </c>
      <c r="K2265" s="1">
        <v>373.0</v>
      </c>
    </row>
    <row r="2266">
      <c r="A2266" s="1" t="s">
        <v>26</v>
      </c>
      <c r="B2266" s="1" t="s">
        <v>180</v>
      </c>
      <c r="C2266" s="1" t="s">
        <v>54</v>
      </c>
      <c r="D2266" s="1">
        <v>18.0</v>
      </c>
      <c r="E2266" s="1">
        <v>2762.0</v>
      </c>
      <c r="F2266" s="1">
        <v>1211.0</v>
      </c>
      <c r="G2266" s="1">
        <v>1198.0</v>
      </c>
      <c r="H2266" s="1">
        <v>2.3055</v>
      </c>
      <c r="I2266" s="1">
        <v>1.0109</v>
      </c>
      <c r="J2266" s="1">
        <v>1.2947</v>
      </c>
      <c r="K2266" s="1">
        <v>419.0</v>
      </c>
    </row>
    <row r="2267">
      <c r="A2267" s="1" t="s">
        <v>26</v>
      </c>
      <c r="B2267" s="1" t="s">
        <v>180</v>
      </c>
      <c r="C2267" s="1" t="s">
        <v>54</v>
      </c>
      <c r="D2267" s="1">
        <v>19.0</v>
      </c>
      <c r="E2267" s="1">
        <v>770.0</v>
      </c>
      <c r="F2267" s="1">
        <v>1828.0</v>
      </c>
      <c r="G2267" s="1">
        <v>1198.0</v>
      </c>
      <c r="H2267" s="1">
        <v>0.6427</v>
      </c>
      <c r="I2267" s="1">
        <v>1.5259</v>
      </c>
      <c r="J2267" s="1">
        <v>-0.8831</v>
      </c>
      <c r="K2267" s="1">
        <v>431.0</v>
      </c>
    </row>
    <row r="2268">
      <c r="A2268" s="1" t="s">
        <v>26</v>
      </c>
      <c r="B2268" s="1" t="s">
        <v>180</v>
      </c>
      <c r="C2268" s="1" t="s">
        <v>54</v>
      </c>
      <c r="D2268" s="1">
        <v>20.0</v>
      </c>
      <c r="E2268" s="1">
        <v>504.0</v>
      </c>
      <c r="F2268" s="1">
        <v>1556.0</v>
      </c>
      <c r="G2268" s="1">
        <v>1198.0</v>
      </c>
      <c r="H2268" s="1">
        <v>0.4207</v>
      </c>
      <c r="I2268" s="1">
        <v>1.2988</v>
      </c>
      <c r="J2268" s="1">
        <v>-0.8781</v>
      </c>
      <c r="K2268" s="1">
        <v>430.0</v>
      </c>
    </row>
    <row r="2269">
      <c r="A2269" s="1" t="s">
        <v>26</v>
      </c>
      <c r="B2269" s="1" t="s">
        <v>180</v>
      </c>
      <c r="C2269" s="1" t="s">
        <v>54</v>
      </c>
      <c r="D2269" s="1">
        <v>21.0</v>
      </c>
      <c r="E2269" s="1">
        <v>436.0</v>
      </c>
      <c r="F2269" s="1">
        <v>901.0</v>
      </c>
      <c r="G2269" s="1">
        <v>1198.0</v>
      </c>
      <c r="H2269" s="1">
        <v>0.3639</v>
      </c>
      <c r="I2269" s="1">
        <v>0.7521</v>
      </c>
      <c r="J2269" s="1">
        <v>-0.3881</v>
      </c>
      <c r="K2269" s="1">
        <v>416.0</v>
      </c>
    </row>
    <row r="2270">
      <c r="A2270" s="1" t="s">
        <v>26</v>
      </c>
      <c r="B2270" s="1" t="s">
        <v>180</v>
      </c>
      <c r="C2270" s="1" t="s">
        <v>47</v>
      </c>
      <c r="D2270" s="1">
        <v>1.0</v>
      </c>
      <c r="E2270" s="1">
        <v>1117.0</v>
      </c>
      <c r="F2270" s="1">
        <v>942.0</v>
      </c>
      <c r="G2270" s="1">
        <v>1200.0</v>
      </c>
      <c r="H2270" s="1">
        <v>0.9308</v>
      </c>
      <c r="I2270" s="1">
        <v>0.785</v>
      </c>
      <c r="J2270" s="1">
        <v>0.1458</v>
      </c>
      <c r="K2270" s="1">
        <v>188.0</v>
      </c>
    </row>
    <row r="2271">
      <c r="A2271" s="1" t="s">
        <v>26</v>
      </c>
      <c r="B2271" s="1" t="s">
        <v>180</v>
      </c>
      <c r="C2271" s="1" t="s">
        <v>47</v>
      </c>
      <c r="D2271" s="1">
        <v>2.0</v>
      </c>
      <c r="E2271" s="1">
        <v>1096.0</v>
      </c>
      <c r="F2271" s="1">
        <v>994.0</v>
      </c>
      <c r="G2271" s="1">
        <v>1200.0</v>
      </c>
      <c r="H2271" s="1">
        <v>0.9133</v>
      </c>
      <c r="I2271" s="1">
        <v>0.8283</v>
      </c>
      <c r="J2271" s="1">
        <v>0.085</v>
      </c>
      <c r="K2271" s="1">
        <v>216.0</v>
      </c>
    </row>
    <row r="2272">
      <c r="A2272" s="1" t="s">
        <v>26</v>
      </c>
      <c r="B2272" s="1" t="s">
        <v>180</v>
      </c>
      <c r="C2272" s="1" t="s">
        <v>47</v>
      </c>
      <c r="D2272" s="1">
        <v>3.0</v>
      </c>
      <c r="E2272" s="1">
        <v>1066.0</v>
      </c>
      <c r="F2272" s="1">
        <v>1067.0</v>
      </c>
      <c r="G2272" s="1">
        <v>1200.0</v>
      </c>
      <c r="H2272" s="1">
        <v>0.8883</v>
      </c>
      <c r="I2272" s="1">
        <v>0.8892</v>
      </c>
      <c r="J2272" s="1">
        <v>-8.0E-4</v>
      </c>
      <c r="K2272" s="1">
        <v>235.0</v>
      </c>
    </row>
    <row r="2273">
      <c r="A2273" s="1" t="s">
        <v>26</v>
      </c>
      <c r="B2273" s="1" t="s">
        <v>180</v>
      </c>
      <c r="C2273" s="1" t="s">
        <v>47</v>
      </c>
      <c r="D2273" s="1">
        <v>4.0</v>
      </c>
      <c r="E2273" s="1">
        <v>929.0</v>
      </c>
      <c r="F2273" s="1">
        <v>943.0</v>
      </c>
      <c r="G2273" s="1">
        <v>1200.0</v>
      </c>
      <c r="H2273" s="1">
        <v>0.7742</v>
      </c>
      <c r="I2273" s="1">
        <v>0.7858</v>
      </c>
      <c r="J2273" s="1">
        <v>-0.0117</v>
      </c>
      <c r="K2273" s="1">
        <v>242.0</v>
      </c>
    </row>
    <row r="2274">
      <c r="A2274" s="1" t="s">
        <v>26</v>
      </c>
      <c r="B2274" s="1" t="s">
        <v>180</v>
      </c>
      <c r="C2274" s="1" t="s">
        <v>47</v>
      </c>
      <c r="D2274" s="1">
        <v>5.0</v>
      </c>
      <c r="E2274" s="1">
        <v>1046.0</v>
      </c>
      <c r="F2274" s="1">
        <v>1069.0</v>
      </c>
      <c r="G2274" s="1">
        <v>1200.0</v>
      </c>
      <c r="H2274" s="1">
        <v>0.8717</v>
      </c>
      <c r="I2274" s="1">
        <v>0.8908</v>
      </c>
      <c r="J2274" s="1">
        <v>-0.0192</v>
      </c>
      <c r="K2274" s="1">
        <v>239.0</v>
      </c>
    </row>
    <row r="2275">
      <c r="A2275" s="1" t="s">
        <v>26</v>
      </c>
      <c r="B2275" s="1" t="s">
        <v>180</v>
      </c>
      <c r="C2275" s="1" t="s">
        <v>47</v>
      </c>
      <c r="D2275" s="1">
        <v>6.0</v>
      </c>
      <c r="E2275" s="1">
        <v>710.0</v>
      </c>
      <c r="F2275" s="1">
        <v>764.0</v>
      </c>
      <c r="G2275" s="1">
        <v>1200.0</v>
      </c>
      <c r="H2275" s="1">
        <v>0.5917</v>
      </c>
      <c r="I2275" s="1">
        <v>0.6367</v>
      </c>
      <c r="J2275" s="1">
        <v>-0.045</v>
      </c>
      <c r="K2275" s="1">
        <v>232.0</v>
      </c>
    </row>
    <row r="2276">
      <c r="A2276" s="1" t="s">
        <v>26</v>
      </c>
      <c r="B2276" s="1" t="s">
        <v>180</v>
      </c>
      <c r="C2276" s="1" t="s">
        <v>47</v>
      </c>
      <c r="D2276" s="1">
        <v>7.0</v>
      </c>
      <c r="E2276" s="1">
        <v>673.0</v>
      </c>
      <c r="F2276" s="1">
        <v>758.0</v>
      </c>
      <c r="G2276" s="1">
        <v>1200.0</v>
      </c>
      <c r="H2276" s="1">
        <v>0.5608</v>
      </c>
      <c r="I2276" s="1">
        <v>0.6317</v>
      </c>
      <c r="J2276" s="1">
        <v>-0.0708</v>
      </c>
      <c r="K2276" s="1">
        <v>235.0</v>
      </c>
    </row>
    <row r="2277">
      <c r="A2277" s="1" t="s">
        <v>26</v>
      </c>
      <c r="B2277" s="1" t="s">
        <v>180</v>
      </c>
      <c r="C2277" s="1" t="s">
        <v>47</v>
      </c>
      <c r="D2277" s="1">
        <v>8.0</v>
      </c>
      <c r="E2277" s="1">
        <v>1132.0</v>
      </c>
      <c r="F2277" s="1">
        <v>907.0</v>
      </c>
      <c r="G2277" s="1">
        <v>1200.0</v>
      </c>
      <c r="H2277" s="1">
        <v>0.9433</v>
      </c>
      <c r="I2277" s="1">
        <v>0.7558</v>
      </c>
      <c r="J2277" s="1">
        <v>0.1875</v>
      </c>
      <c r="K2277" s="1">
        <v>229.0</v>
      </c>
    </row>
    <row r="2278">
      <c r="A2278" s="1" t="s">
        <v>26</v>
      </c>
      <c r="B2278" s="1" t="s">
        <v>180</v>
      </c>
      <c r="C2278" s="1" t="s">
        <v>47</v>
      </c>
      <c r="D2278" s="1">
        <v>9.0</v>
      </c>
      <c r="E2278" s="1">
        <v>982.0</v>
      </c>
      <c r="F2278" s="1">
        <v>838.0</v>
      </c>
      <c r="G2278" s="1">
        <v>1200.0</v>
      </c>
      <c r="H2278" s="1">
        <v>0.8183</v>
      </c>
      <c r="I2278" s="1">
        <v>0.6983</v>
      </c>
      <c r="J2278" s="1">
        <v>0.12</v>
      </c>
      <c r="K2278" s="1">
        <v>234.0</v>
      </c>
    </row>
    <row r="2279">
      <c r="A2279" s="1" t="s">
        <v>26</v>
      </c>
      <c r="B2279" s="1" t="s">
        <v>180</v>
      </c>
      <c r="C2279" s="1" t="s">
        <v>47</v>
      </c>
      <c r="D2279" s="1">
        <v>10.0</v>
      </c>
      <c r="E2279" s="1">
        <v>967.0</v>
      </c>
      <c r="F2279" s="1">
        <v>833.0</v>
      </c>
      <c r="G2279" s="1">
        <v>1200.0</v>
      </c>
      <c r="H2279" s="1">
        <v>0.8058</v>
      </c>
      <c r="I2279" s="1">
        <v>0.6942</v>
      </c>
      <c r="J2279" s="1">
        <v>0.1117</v>
      </c>
      <c r="K2279" s="1">
        <v>255.0</v>
      </c>
    </row>
    <row r="2280">
      <c r="A2280" s="1" t="s">
        <v>26</v>
      </c>
      <c r="B2280" s="1" t="s">
        <v>180</v>
      </c>
      <c r="C2280" s="1" t="s">
        <v>47</v>
      </c>
      <c r="D2280" s="1">
        <v>11.0</v>
      </c>
      <c r="E2280" s="1">
        <v>1039.0</v>
      </c>
      <c r="F2280" s="1">
        <v>829.0</v>
      </c>
      <c r="G2280" s="1">
        <v>1200.0</v>
      </c>
      <c r="H2280" s="1">
        <v>0.8658</v>
      </c>
      <c r="I2280" s="1">
        <v>0.6908</v>
      </c>
      <c r="J2280" s="1">
        <v>0.175</v>
      </c>
      <c r="K2280" s="1">
        <v>277.0</v>
      </c>
    </row>
    <row r="2281">
      <c r="A2281" s="1" t="s">
        <v>26</v>
      </c>
      <c r="B2281" s="1" t="s">
        <v>180</v>
      </c>
      <c r="C2281" s="1" t="s">
        <v>47</v>
      </c>
      <c r="D2281" s="1">
        <v>12.0</v>
      </c>
      <c r="E2281" s="1">
        <v>1190.0</v>
      </c>
      <c r="F2281" s="1">
        <v>1156.0</v>
      </c>
      <c r="G2281" s="1">
        <v>1200.0</v>
      </c>
      <c r="H2281" s="1">
        <v>0.9917</v>
      </c>
      <c r="I2281" s="1">
        <v>0.9633</v>
      </c>
      <c r="J2281" s="1">
        <v>0.0283</v>
      </c>
      <c r="K2281" s="1">
        <v>292.0</v>
      </c>
    </row>
    <row r="2282">
      <c r="A2282" s="1" t="s">
        <v>26</v>
      </c>
      <c r="B2282" s="1" t="s">
        <v>180</v>
      </c>
      <c r="C2282" s="1" t="s">
        <v>47</v>
      </c>
      <c r="D2282" s="1">
        <v>13.0</v>
      </c>
      <c r="E2282" s="1">
        <v>1057.0</v>
      </c>
      <c r="F2282" s="1">
        <v>1077.0</v>
      </c>
      <c r="G2282" s="1">
        <v>1200.0</v>
      </c>
      <c r="H2282" s="1">
        <v>0.8808</v>
      </c>
      <c r="I2282" s="1">
        <v>0.8975</v>
      </c>
      <c r="J2282" s="1">
        <v>-0.0167</v>
      </c>
      <c r="K2282" s="1">
        <v>318.0</v>
      </c>
    </row>
    <row r="2283">
      <c r="A2283" s="1" t="s">
        <v>26</v>
      </c>
      <c r="B2283" s="1" t="s">
        <v>180</v>
      </c>
      <c r="C2283" s="1" t="s">
        <v>47</v>
      </c>
      <c r="D2283" s="1">
        <v>14.0</v>
      </c>
      <c r="E2283" s="1">
        <v>1102.0</v>
      </c>
      <c r="F2283" s="1">
        <v>1059.0</v>
      </c>
      <c r="G2283" s="1">
        <v>1200.0</v>
      </c>
      <c r="H2283" s="1">
        <v>0.9183</v>
      </c>
      <c r="I2283" s="1">
        <v>0.8825</v>
      </c>
      <c r="J2283" s="1">
        <v>0.0358</v>
      </c>
      <c r="K2283" s="1">
        <v>331.0</v>
      </c>
    </row>
    <row r="2284">
      <c r="A2284" s="1" t="s">
        <v>26</v>
      </c>
      <c r="B2284" s="1" t="s">
        <v>180</v>
      </c>
      <c r="C2284" s="1" t="s">
        <v>47</v>
      </c>
      <c r="D2284" s="1">
        <v>15.0</v>
      </c>
      <c r="E2284" s="1">
        <v>1811.0</v>
      </c>
      <c r="F2284" s="1">
        <v>1472.0</v>
      </c>
      <c r="G2284" s="1">
        <v>1200.0</v>
      </c>
      <c r="H2284" s="1">
        <v>1.5092</v>
      </c>
      <c r="I2284" s="1">
        <v>1.2267</v>
      </c>
      <c r="J2284" s="1">
        <v>0.2825</v>
      </c>
      <c r="K2284" s="1">
        <v>342.0</v>
      </c>
    </row>
    <row r="2285">
      <c r="A2285" s="1" t="s">
        <v>26</v>
      </c>
      <c r="B2285" s="1" t="s">
        <v>180</v>
      </c>
      <c r="C2285" s="1" t="s">
        <v>47</v>
      </c>
      <c r="D2285" s="1">
        <v>16.0</v>
      </c>
      <c r="E2285" s="1">
        <v>1507.0</v>
      </c>
      <c r="F2285" s="1">
        <v>1339.0</v>
      </c>
      <c r="G2285" s="1">
        <v>1200.0</v>
      </c>
      <c r="H2285" s="1">
        <v>1.2558</v>
      </c>
      <c r="I2285" s="1">
        <v>1.1158</v>
      </c>
      <c r="J2285" s="1">
        <v>0.14</v>
      </c>
      <c r="K2285" s="1">
        <v>360.0</v>
      </c>
    </row>
    <row r="2286">
      <c r="A2286" s="1" t="s">
        <v>26</v>
      </c>
      <c r="B2286" s="1" t="s">
        <v>180</v>
      </c>
      <c r="C2286" s="1" t="s">
        <v>47</v>
      </c>
      <c r="D2286" s="1">
        <v>17.0</v>
      </c>
      <c r="E2286" s="1">
        <v>1370.0</v>
      </c>
      <c r="F2286" s="1">
        <v>1335.0</v>
      </c>
      <c r="G2286" s="1">
        <v>1200.0</v>
      </c>
      <c r="H2286" s="1">
        <v>1.1417</v>
      </c>
      <c r="I2286" s="1">
        <v>1.1125</v>
      </c>
      <c r="J2286" s="1">
        <v>0.0292</v>
      </c>
      <c r="K2286" s="1">
        <v>373.0</v>
      </c>
    </row>
    <row r="2287">
      <c r="A2287" s="1" t="s">
        <v>26</v>
      </c>
      <c r="B2287" s="1" t="s">
        <v>180</v>
      </c>
      <c r="C2287" s="1" t="s">
        <v>47</v>
      </c>
      <c r="D2287" s="1">
        <v>18.0</v>
      </c>
      <c r="E2287" s="1">
        <v>1491.0</v>
      </c>
      <c r="F2287" s="1">
        <v>1560.0</v>
      </c>
      <c r="G2287" s="1">
        <v>1200.0</v>
      </c>
      <c r="H2287" s="1">
        <v>1.2425</v>
      </c>
      <c r="I2287" s="1">
        <v>1.3</v>
      </c>
      <c r="J2287" s="1">
        <v>-0.0575</v>
      </c>
      <c r="K2287" s="1">
        <v>419.0</v>
      </c>
    </row>
    <row r="2288">
      <c r="A2288" s="1" t="s">
        <v>26</v>
      </c>
      <c r="B2288" s="1" t="s">
        <v>180</v>
      </c>
      <c r="C2288" s="1" t="s">
        <v>47</v>
      </c>
      <c r="D2288" s="1">
        <v>19.0</v>
      </c>
      <c r="E2288" s="1">
        <v>1593.0</v>
      </c>
      <c r="F2288" s="1">
        <v>1449.0</v>
      </c>
      <c r="G2288" s="1">
        <v>1200.0</v>
      </c>
      <c r="H2288" s="1">
        <v>1.3275</v>
      </c>
      <c r="I2288" s="1">
        <v>1.2075</v>
      </c>
      <c r="J2288" s="1">
        <v>0.12</v>
      </c>
      <c r="K2288" s="1">
        <v>431.0</v>
      </c>
    </row>
    <row r="2289">
      <c r="A2289" s="1" t="s">
        <v>26</v>
      </c>
      <c r="B2289" s="1" t="s">
        <v>180</v>
      </c>
      <c r="C2289" s="1" t="s">
        <v>47</v>
      </c>
      <c r="D2289" s="1">
        <v>20.0</v>
      </c>
      <c r="E2289" s="1">
        <v>1056.0</v>
      </c>
      <c r="F2289" s="1">
        <v>1157.0</v>
      </c>
      <c r="G2289" s="1">
        <v>1200.0</v>
      </c>
      <c r="H2289" s="1">
        <v>0.88</v>
      </c>
      <c r="I2289" s="1">
        <v>0.9642</v>
      </c>
      <c r="J2289" s="1">
        <v>-0.0842</v>
      </c>
      <c r="K2289" s="1">
        <v>430.0</v>
      </c>
    </row>
    <row r="2290">
      <c r="A2290" s="1" t="s">
        <v>26</v>
      </c>
      <c r="B2290" s="1" t="s">
        <v>180</v>
      </c>
      <c r="C2290" s="1" t="s">
        <v>47</v>
      </c>
      <c r="D2290" s="1">
        <v>21.0</v>
      </c>
      <c r="E2290" s="1">
        <v>935.0</v>
      </c>
      <c r="F2290" s="1">
        <v>962.0</v>
      </c>
      <c r="G2290" s="1">
        <v>1200.0</v>
      </c>
      <c r="H2290" s="1">
        <v>0.7792</v>
      </c>
      <c r="I2290" s="1">
        <v>0.8017</v>
      </c>
      <c r="J2290" s="1">
        <v>-0.0225</v>
      </c>
      <c r="K2290" s="1">
        <v>416.0</v>
      </c>
    </row>
    <row r="2291">
      <c r="A2291" s="1" t="s">
        <v>26</v>
      </c>
      <c r="B2291" s="1" t="s">
        <v>180</v>
      </c>
      <c r="C2291" s="1" t="s">
        <v>48</v>
      </c>
      <c r="D2291" s="1">
        <v>1.0</v>
      </c>
      <c r="E2291" s="1">
        <v>1139.0</v>
      </c>
      <c r="F2291" s="1">
        <v>832.0</v>
      </c>
      <c r="G2291" s="1">
        <v>1200.0</v>
      </c>
      <c r="H2291" s="1">
        <v>0.9492</v>
      </c>
      <c r="I2291" s="1">
        <v>0.6933</v>
      </c>
      <c r="J2291" s="1">
        <v>0.2558</v>
      </c>
      <c r="K2291" s="1">
        <v>188.0</v>
      </c>
    </row>
    <row r="2292">
      <c r="A2292" s="1" t="s">
        <v>26</v>
      </c>
      <c r="B2292" s="1" t="s">
        <v>180</v>
      </c>
      <c r="C2292" s="1" t="s">
        <v>48</v>
      </c>
      <c r="D2292" s="1">
        <v>2.0</v>
      </c>
      <c r="E2292" s="1">
        <v>1162.0</v>
      </c>
      <c r="F2292" s="1">
        <v>1019.0</v>
      </c>
      <c r="G2292" s="1">
        <v>1200.0</v>
      </c>
      <c r="H2292" s="1">
        <v>0.9683</v>
      </c>
      <c r="I2292" s="1">
        <v>0.8492</v>
      </c>
      <c r="J2292" s="1">
        <v>0.1192</v>
      </c>
      <c r="K2292" s="1">
        <v>216.0</v>
      </c>
    </row>
    <row r="2293">
      <c r="A2293" s="1" t="s">
        <v>26</v>
      </c>
      <c r="B2293" s="1" t="s">
        <v>180</v>
      </c>
      <c r="C2293" s="1" t="s">
        <v>48</v>
      </c>
      <c r="D2293" s="1">
        <v>3.0</v>
      </c>
      <c r="E2293" s="1">
        <v>1146.0</v>
      </c>
      <c r="F2293" s="1">
        <v>1089.0</v>
      </c>
      <c r="G2293" s="1">
        <v>1200.0</v>
      </c>
      <c r="H2293" s="1">
        <v>0.955</v>
      </c>
      <c r="I2293" s="1">
        <v>0.9075</v>
      </c>
      <c r="J2293" s="1">
        <v>0.0475</v>
      </c>
      <c r="K2293" s="1">
        <v>235.0</v>
      </c>
    </row>
    <row r="2294">
      <c r="A2294" s="1" t="s">
        <v>26</v>
      </c>
      <c r="B2294" s="1" t="s">
        <v>180</v>
      </c>
      <c r="C2294" s="1" t="s">
        <v>48</v>
      </c>
      <c r="D2294" s="1">
        <v>4.0</v>
      </c>
      <c r="E2294" s="1">
        <v>1047.0</v>
      </c>
      <c r="F2294" s="1">
        <v>928.0</v>
      </c>
      <c r="G2294" s="1">
        <v>1200.0</v>
      </c>
      <c r="H2294" s="1">
        <v>0.8725</v>
      </c>
      <c r="I2294" s="1">
        <v>0.7733</v>
      </c>
      <c r="J2294" s="1">
        <v>0.0992</v>
      </c>
      <c r="K2294" s="1">
        <v>242.0</v>
      </c>
    </row>
    <row r="2295">
      <c r="A2295" s="1" t="s">
        <v>26</v>
      </c>
      <c r="B2295" s="1" t="s">
        <v>180</v>
      </c>
      <c r="C2295" s="1" t="s">
        <v>48</v>
      </c>
      <c r="D2295" s="1">
        <v>5.0</v>
      </c>
      <c r="E2295" s="1">
        <v>1154.0</v>
      </c>
      <c r="F2295" s="1">
        <v>1018.0</v>
      </c>
      <c r="G2295" s="1">
        <v>1200.0</v>
      </c>
      <c r="H2295" s="1">
        <v>0.9617</v>
      </c>
      <c r="I2295" s="1">
        <v>0.8483</v>
      </c>
      <c r="J2295" s="1">
        <v>0.1133</v>
      </c>
      <c r="K2295" s="1">
        <v>239.0</v>
      </c>
    </row>
    <row r="2296">
      <c r="A2296" s="1" t="s">
        <v>26</v>
      </c>
      <c r="B2296" s="1" t="s">
        <v>180</v>
      </c>
      <c r="C2296" s="1" t="s">
        <v>48</v>
      </c>
      <c r="D2296" s="1">
        <v>6.0</v>
      </c>
      <c r="E2296" s="1">
        <v>776.0</v>
      </c>
      <c r="F2296" s="1">
        <v>795.0</v>
      </c>
      <c r="G2296" s="1">
        <v>1200.0</v>
      </c>
      <c r="H2296" s="1">
        <v>0.6467</v>
      </c>
      <c r="I2296" s="1">
        <v>0.6625</v>
      </c>
      <c r="J2296" s="1">
        <v>-0.0158</v>
      </c>
      <c r="K2296" s="1">
        <v>232.0</v>
      </c>
    </row>
    <row r="2297">
      <c r="A2297" s="1" t="s">
        <v>26</v>
      </c>
      <c r="B2297" s="1" t="s">
        <v>180</v>
      </c>
      <c r="C2297" s="1" t="s">
        <v>48</v>
      </c>
      <c r="D2297" s="1">
        <v>7.0</v>
      </c>
      <c r="E2297" s="1">
        <v>768.0</v>
      </c>
      <c r="F2297" s="1">
        <v>731.0</v>
      </c>
      <c r="G2297" s="1">
        <v>1200.0</v>
      </c>
      <c r="H2297" s="1">
        <v>0.64</v>
      </c>
      <c r="I2297" s="1">
        <v>0.6092</v>
      </c>
      <c r="J2297" s="1">
        <v>0.0308</v>
      </c>
      <c r="K2297" s="1">
        <v>235.0</v>
      </c>
    </row>
    <row r="2298">
      <c r="A2298" s="1" t="s">
        <v>26</v>
      </c>
      <c r="B2298" s="1" t="s">
        <v>180</v>
      </c>
      <c r="C2298" s="1" t="s">
        <v>48</v>
      </c>
      <c r="D2298" s="1">
        <v>8.0</v>
      </c>
      <c r="E2298" s="1">
        <v>1130.0</v>
      </c>
      <c r="F2298" s="1">
        <v>781.0</v>
      </c>
      <c r="G2298" s="1">
        <v>1200.0</v>
      </c>
      <c r="H2298" s="1">
        <v>0.9417</v>
      </c>
      <c r="I2298" s="1">
        <v>0.6508</v>
      </c>
      <c r="J2298" s="1">
        <v>0.2908</v>
      </c>
      <c r="K2298" s="1">
        <v>229.0</v>
      </c>
    </row>
    <row r="2299">
      <c r="A2299" s="1" t="s">
        <v>26</v>
      </c>
      <c r="B2299" s="1" t="s">
        <v>180</v>
      </c>
      <c r="C2299" s="1" t="s">
        <v>48</v>
      </c>
      <c r="D2299" s="1">
        <v>9.0</v>
      </c>
      <c r="E2299" s="1">
        <v>1094.0</v>
      </c>
      <c r="F2299" s="1">
        <v>857.0</v>
      </c>
      <c r="G2299" s="1">
        <v>1200.0</v>
      </c>
      <c r="H2299" s="1">
        <v>0.9117</v>
      </c>
      <c r="I2299" s="1">
        <v>0.7142</v>
      </c>
      <c r="J2299" s="1">
        <v>0.1975</v>
      </c>
      <c r="K2299" s="1">
        <v>234.0</v>
      </c>
    </row>
    <row r="2300">
      <c r="A2300" s="1" t="s">
        <v>26</v>
      </c>
      <c r="B2300" s="1" t="s">
        <v>180</v>
      </c>
      <c r="C2300" s="1" t="s">
        <v>48</v>
      </c>
      <c r="D2300" s="1">
        <v>10.0</v>
      </c>
      <c r="E2300" s="1">
        <v>1085.0</v>
      </c>
      <c r="F2300" s="1">
        <v>850.0</v>
      </c>
      <c r="G2300" s="1">
        <v>1200.0</v>
      </c>
      <c r="H2300" s="1">
        <v>0.9042</v>
      </c>
      <c r="I2300" s="1">
        <v>0.7083</v>
      </c>
      <c r="J2300" s="1">
        <v>0.1958</v>
      </c>
      <c r="K2300" s="1">
        <v>255.0</v>
      </c>
    </row>
    <row r="2301">
      <c r="A2301" s="1" t="s">
        <v>26</v>
      </c>
      <c r="B2301" s="1" t="s">
        <v>180</v>
      </c>
      <c r="C2301" s="1" t="s">
        <v>48</v>
      </c>
      <c r="D2301" s="1">
        <v>11.0</v>
      </c>
      <c r="E2301" s="1">
        <v>1138.0</v>
      </c>
      <c r="F2301" s="1">
        <v>828.0</v>
      </c>
      <c r="G2301" s="1">
        <v>1200.0</v>
      </c>
      <c r="H2301" s="1">
        <v>0.9483</v>
      </c>
      <c r="I2301" s="1">
        <v>0.69</v>
      </c>
      <c r="J2301" s="1">
        <v>0.2583</v>
      </c>
      <c r="K2301" s="1">
        <v>277.0</v>
      </c>
    </row>
    <row r="2302">
      <c r="A2302" s="1" t="s">
        <v>26</v>
      </c>
      <c r="B2302" s="1" t="s">
        <v>180</v>
      </c>
      <c r="C2302" s="1" t="s">
        <v>48</v>
      </c>
      <c r="D2302" s="1">
        <v>12.0</v>
      </c>
      <c r="E2302" s="1">
        <v>1352.0</v>
      </c>
      <c r="F2302" s="1">
        <v>1203.0</v>
      </c>
      <c r="G2302" s="1">
        <v>1200.0</v>
      </c>
      <c r="H2302" s="1">
        <v>1.1267</v>
      </c>
      <c r="I2302" s="1">
        <v>1.0025</v>
      </c>
      <c r="J2302" s="1">
        <v>0.1242</v>
      </c>
      <c r="K2302" s="1">
        <v>292.0</v>
      </c>
    </row>
    <row r="2303">
      <c r="A2303" s="1" t="s">
        <v>26</v>
      </c>
      <c r="B2303" s="1" t="s">
        <v>180</v>
      </c>
      <c r="C2303" s="1" t="s">
        <v>48</v>
      </c>
      <c r="D2303" s="1">
        <v>13.0</v>
      </c>
      <c r="E2303" s="1">
        <v>1192.0</v>
      </c>
      <c r="F2303" s="1">
        <v>1120.0</v>
      </c>
      <c r="G2303" s="1">
        <v>1200.0</v>
      </c>
      <c r="H2303" s="1">
        <v>0.9933</v>
      </c>
      <c r="I2303" s="1">
        <v>0.9333</v>
      </c>
      <c r="J2303" s="1">
        <v>0.06</v>
      </c>
      <c r="K2303" s="1">
        <v>318.0</v>
      </c>
    </row>
    <row r="2304">
      <c r="A2304" s="1" t="s">
        <v>26</v>
      </c>
      <c r="B2304" s="1" t="s">
        <v>180</v>
      </c>
      <c r="C2304" s="1" t="s">
        <v>48</v>
      </c>
      <c r="D2304" s="1">
        <v>14.0</v>
      </c>
      <c r="E2304" s="1">
        <v>1272.0</v>
      </c>
      <c r="F2304" s="1">
        <v>1145.0</v>
      </c>
      <c r="G2304" s="1">
        <v>1200.0</v>
      </c>
      <c r="H2304" s="1">
        <v>1.06</v>
      </c>
      <c r="I2304" s="1">
        <v>0.9542</v>
      </c>
      <c r="J2304" s="1">
        <v>0.1058</v>
      </c>
      <c r="K2304" s="1">
        <v>331.0</v>
      </c>
    </row>
    <row r="2305">
      <c r="A2305" s="1" t="s">
        <v>26</v>
      </c>
      <c r="B2305" s="1" t="s">
        <v>180</v>
      </c>
      <c r="C2305" s="1" t="s">
        <v>48</v>
      </c>
      <c r="D2305" s="1">
        <v>15.0</v>
      </c>
      <c r="E2305" s="1">
        <v>1865.0</v>
      </c>
      <c r="F2305" s="1">
        <v>1329.0</v>
      </c>
      <c r="G2305" s="1">
        <v>1200.0</v>
      </c>
      <c r="H2305" s="1">
        <v>1.5542</v>
      </c>
      <c r="I2305" s="1">
        <v>1.1075</v>
      </c>
      <c r="J2305" s="1">
        <v>0.4467</v>
      </c>
      <c r="K2305" s="1">
        <v>342.0</v>
      </c>
    </row>
    <row r="2306">
      <c r="A2306" s="1" t="s">
        <v>26</v>
      </c>
      <c r="B2306" s="1" t="s">
        <v>180</v>
      </c>
      <c r="C2306" s="1" t="s">
        <v>48</v>
      </c>
      <c r="D2306" s="1">
        <v>16.0</v>
      </c>
      <c r="E2306" s="1">
        <v>1509.0</v>
      </c>
      <c r="F2306" s="1">
        <v>1360.0</v>
      </c>
      <c r="G2306" s="1">
        <v>1200.0</v>
      </c>
      <c r="H2306" s="1">
        <v>1.2575</v>
      </c>
      <c r="I2306" s="1">
        <v>1.1333</v>
      </c>
      <c r="J2306" s="1">
        <v>0.1242</v>
      </c>
      <c r="K2306" s="1">
        <v>360.0</v>
      </c>
    </row>
    <row r="2307">
      <c r="A2307" s="1" t="s">
        <v>26</v>
      </c>
      <c r="B2307" s="1" t="s">
        <v>180</v>
      </c>
      <c r="C2307" s="1" t="s">
        <v>48</v>
      </c>
      <c r="D2307" s="1">
        <v>17.0</v>
      </c>
      <c r="E2307" s="1">
        <v>1578.0</v>
      </c>
      <c r="F2307" s="1">
        <v>1414.0</v>
      </c>
      <c r="G2307" s="1">
        <v>1200.0</v>
      </c>
      <c r="H2307" s="1">
        <v>1.315</v>
      </c>
      <c r="I2307" s="1">
        <v>1.1783</v>
      </c>
      <c r="J2307" s="1">
        <v>0.1367</v>
      </c>
      <c r="K2307" s="1">
        <v>373.0</v>
      </c>
    </row>
    <row r="2308">
      <c r="A2308" s="1" t="s">
        <v>26</v>
      </c>
      <c r="B2308" s="1" t="s">
        <v>180</v>
      </c>
      <c r="C2308" s="1" t="s">
        <v>48</v>
      </c>
      <c r="D2308" s="1">
        <v>18.0</v>
      </c>
      <c r="E2308" s="1">
        <v>1671.0</v>
      </c>
      <c r="F2308" s="1">
        <v>1538.0</v>
      </c>
      <c r="G2308" s="1">
        <v>1200.0</v>
      </c>
      <c r="H2308" s="1">
        <v>1.3925</v>
      </c>
      <c r="I2308" s="1">
        <v>1.2817</v>
      </c>
      <c r="J2308" s="1">
        <v>0.1108</v>
      </c>
      <c r="K2308" s="1">
        <v>419.0</v>
      </c>
    </row>
    <row r="2309">
      <c r="A2309" s="1" t="s">
        <v>26</v>
      </c>
      <c r="B2309" s="1" t="s">
        <v>180</v>
      </c>
      <c r="C2309" s="1" t="s">
        <v>48</v>
      </c>
      <c r="D2309" s="1">
        <v>19.0</v>
      </c>
      <c r="E2309" s="1">
        <v>1877.0</v>
      </c>
      <c r="F2309" s="1">
        <v>1555.0</v>
      </c>
      <c r="G2309" s="1">
        <v>1200.0</v>
      </c>
      <c r="H2309" s="1">
        <v>1.5642</v>
      </c>
      <c r="I2309" s="1">
        <v>1.2958</v>
      </c>
      <c r="J2309" s="1">
        <v>0.2683</v>
      </c>
      <c r="K2309" s="1">
        <v>431.0</v>
      </c>
    </row>
    <row r="2310">
      <c r="A2310" s="1" t="s">
        <v>26</v>
      </c>
      <c r="B2310" s="1" t="s">
        <v>180</v>
      </c>
      <c r="C2310" s="1" t="s">
        <v>48</v>
      </c>
      <c r="D2310" s="1">
        <v>20.0</v>
      </c>
      <c r="E2310" s="1">
        <v>1204.0</v>
      </c>
      <c r="F2310" s="1">
        <v>1210.0</v>
      </c>
      <c r="G2310" s="1">
        <v>1200.0</v>
      </c>
      <c r="H2310" s="1">
        <v>1.0033</v>
      </c>
      <c r="I2310" s="1">
        <v>1.0083</v>
      </c>
      <c r="J2310" s="1">
        <v>-0.005</v>
      </c>
      <c r="K2310" s="1">
        <v>430.0</v>
      </c>
    </row>
    <row r="2311">
      <c r="A2311" s="1" t="s">
        <v>26</v>
      </c>
      <c r="B2311" s="1" t="s">
        <v>180</v>
      </c>
      <c r="C2311" s="1" t="s">
        <v>48</v>
      </c>
      <c r="D2311" s="1">
        <v>21.0</v>
      </c>
      <c r="E2311" s="1">
        <v>1045.0</v>
      </c>
      <c r="F2311" s="1">
        <v>1052.0</v>
      </c>
      <c r="G2311" s="1">
        <v>1200.0</v>
      </c>
      <c r="H2311" s="1">
        <v>0.8708</v>
      </c>
      <c r="I2311" s="1">
        <v>0.8767</v>
      </c>
      <c r="J2311" s="1">
        <v>-0.0058</v>
      </c>
      <c r="K2311" s="1">
        <v>416.0</v>
      </c>
    </row>
    <row r="2312">
      <c r="A2312" s="1" t="s">
        <v>26</v>
      </c>
      <c r="B2312" s="1" t="s">
        <v>180</v>
      </c>
      <c r="C2312" s="1" t="s">
        <v>50</v>
      </c>
      <c r="D2312" s="1">
        <v>1.0</v>
      </c>
      <c r="E2312" s="1">
        <v>850.0</v>
      </c>
      <c r="F2312" s="1">
        <v>560.0</v>
      </c>
      <c r="G2312" s="1">
        <v>1199.0</v>
      </c>
      <c r="H2312" s="1">
        <v>0.7089</v>
      </c>
      <c r="I2312" s="1">
        <v>0.4671</v>
      </c>
      <c r="J2312" s="1">
        <v>0.2419</v>
      </c>
      <c r="K2312" s="1">
        <v>188.0</v>
      </c>
    </row>
    <row r="2313">
      <c r="A2313" s="1" t="s">
        <v>26</v>
      </c>
      <c r="B2313" s="1" t="s">
        <v>180</v>
      </c>
      <c r="C2313" s="1" t="s">
        <v>50</v>
      </c>
      <c r="D2313" s="1">
        <v>2.0</v>
      </c>
      <c r="E2313" s="1">
        <v>839.0</v>
      </c>
      <c r="F2313" s="1">
        <v>659.0</v>
      </c>
      <c r="G2313" s="1">
        <v>1199.0</v>
      </c>
      <c r="H2313" s="1">
        <v>0.6997</v>
      </c>
      <c r="I2313" s="1">
        <v>0.5496</v>
      </c>
      <c r="J2313" s="1">
        <v>0.1501</v>
      </c>
      <c r="K2313" s="1">
        <v>216.0</v>
      </c>
    </row>
    <row r="2314">
      <c r="A2314" s="1" t="s">
        <v>26</v>
      </c>
      <c r="B2314" s="1" t="s">
        <v>180</v>
      </c>
      <c r="C2314" s="1" t="s">
        <v>50</v>
      </c>
      <c r="D2314" s="1">
        <v>3.0</v>
      </c>
      <c r="E2314" s="1">
        <v>951.0</v>
      </c>
      <c r="F2314" s="1">
        <v>791.0</v>
      </c>
      <c r="G2314" s="1">
        <v>1199.0</v>
      </c>
      <c r="H2314" s="1">
        <v>0.7932</v>
      </c>
      <c r="I2314" s="1">
        <v>0.6597</v>
      </c>
      <c r="J2314" s="1">
        <v>0.1334</v>
      </c>
      <c r="K2314" s="1">
        <v>235.0</v>
      </c>
    </row>
    <row r="2315">
      <c r="A2315" s="1" t="s">
        <v>26</v>
      </c>
      <c r="B2315" s="1" t="s">
        <v>180</v>
      </c>
      <c r="C2315" s="1" t="s">
        <v>50</v>
      </c>
      <c r="D2315" s="1">
        <v>4.0</v>
      </c>
      <c r="E2315" s="1">
        <v>897.0</v>
      </c>
      <c r="F2315" s="1">
        <v>779.0</v>
      </c>
      <c r="G2315" s="1">
        <v>1199.0</v>
      </c>
      <c r="H2315" s="1">
        <v>0.7481</v>
      </c>
      <c r="I2315" s="1">
        <v>0.6497</v>
      </c>
      <c r="J2315" s="1">
        <v>0.0984</v>
      </c>
      <c r="K2315" s="1">
        <v>242.0</v>
      </c>
    </row>
    <row r="2316">
      <c r="A2316" s="1" t="s">
        <v>26</v>
      </c>
      <c r="B2316" s="1" t="s">
        <v>180</v>
      </c>
      <c r="C2316" s="1" t="s">
        <v>50</v>
      </c>
      <c r="D2316" s="1">
        <v>5.0</v>
      </c>
      <c r="E2316" s="1">
        <v>778.0</v>
      </c>
      <c r="F2316" s="1">
        <v>728.0</v>
      </c>
      <c r="G2316" s="1">
        <v>1199.0</v>
      </c>
      <c r="H2316" s="1">
        <v>0.6489</v>
      </c>
      <c r="I2316" s="1">
        <v>0.6072</v>
      </c>
      <c r="J2316" s="1">
        <v>0.0417</v>
      </c>
      <c r="K2316" s="1">
        <v>239.0</v>
      </c>
    </row>
    <row r="2317">
      <c r="A2317" s="1" t="s">
        <v>26</v>
      </c>
      <c r="B2317" s="1" t="s">
        <v>180</v>
      </c>
      <c r="C2317" s="1" t="s">
        <v>50</v>
      </c>
      <c r="D2317" s="1">
        <v>6.0</v>
      </c>
      <c r="E2317" s="1">
        <v>641.0</v>
      </c>
      <c r="F2317" s="1">
        <v>669.0</v>
      </c>
      <c r="G2317" s="1">
        <v>1199.0</v>
      </c>
      <c r="H2317" s="1">
        <v>0.5346</v>
      </c>
      <c r="I2317" s="1">
        <v>0.558</v>
      </c>
      <c r="J2317" s="1">
        <v>-0.0234</v>
      </c>
      <c r="K2317" s="1">
        <v>232.0</v>
      </c>
    </row>
    <row r="2318">
      <c r="A2318" s="1" t="s">
        <v>26</v>
      </c>
      <c r="B2318" s="1" t="s">
        <v>180</v>
      </c>
      <c r="C2318" s="1" t="s">
        <v>50</v>
      </c>
      <c r="D2318" s="1">
        <v>7.0</v>
      </c>
      <c r="E2318" s="1">
        <v>578.0</v>
      </c>
      <c r="F2318" s="1">
        <v>580.0</v>
      </c>
      <c r="G2318" s="1">
        <v>1199.0</v>
      </c>
      <c r="H2318" s="1">
        <v>0.4821</v>
      </c>
      <c r="I2318" s="1">
        <v>0.4837</v>
      </c>
      <c r="J2318" s="1">
        <v>-0.0017</v>
      </c>
      <c r="K2318" s="1">
        <v>235.0</v>
      </c>
    </row>
    <row r="2319">
      <c r="A2319" s="1" t="s">
        <v>26</v>
      </c>
      <c r="B2319" s="1" t="s">
        <v>180</v>
      </c>
      <c r="C2319" s="1" t="s">
        <v>50</v>
      </c>
      <c r="D2319" s="1">
        <v>8.0</v>
      </c>
      <c r="E2319" s="1">
        <v>922.0</v>
      </c>
      <c r="F2319" s="1">
        <v>588.0</v>
      </c>
      <c r="G2319" s="1">
        <v>1199.0</v>
      </c>
      <c r="H2319" s="1">
        <v>0.769</v>
      </c>
      <c r="I2319" s="1">
        <v>0.4904</v>
      </c>
      <c r="J2319" s="1">
        <v>0.2786</v>
      </c>
      <c r="K2319" s="1">
        <v>229.0</v>
      </c>
    </row>
    <row r="2320">
      <c r="A2320" s="1" t="s">
        <v>26</v>
      </c>
      <c r="B2320" s="1" t="s">
        <v>180</v>
      </c>
      <c r="C2320" s="1" t="s">
        <v>50</v>
      </c>
      <c r="D2320" s="1">
        <v>9.0</v>
      </c>
      <c r="E2320" s="1">
        <v>859.0</v>
      </c>
      <c r="F2320" s="1">
        <v>552.0</v>
      </c>
      <c r="G2320" s="1">
        <v>1199.0</v>
      </c>
      <c r="H2320" s="1">
        <v>0.7164</v>
      </c>
      <c r="I2320" s="1">
        <v>0.4604</v>
      </c>
      <c r="J2320" s="1">
        <v>0.256</v>
      </c>
      <c r="K2320" s="1">
        <v>234.0</v>
      </c>
    </row>
    <row r="2321">
      <c r="A2321" s="1" t="s">
        <v>26</v>
      </c>
      <c r="B2321" s="1" t="s">
        <v>180</v>
      </c>
      <c r="C2321" s="1" t="s">
        <v>50</v>
      </c>
      <c r="D2321" s="1">
        <v>10.0</v>
      </c>
      <c r="E2321" s="1">
        <v>879.0</v>
      </c>
      <c r="F2321" s="1">
        <v>642.0</v>
      </c>
      <c r="G2321" s="1">
        <v>1199.0</v>
      </c>
      <c r="H2321" s="1">
        <v>0.7331</v>
      </c>
      <c r="I2321" s="1">
        <v>0.5354</v>
      </c>
      <c r="J2321" s="1">
        <v>0.1977</v>
      </c>
      <c r="K2321" s="1">
        <v>255.0</v>
      </c>
    </row>
    <row r="2322">
      <c r="A2322" s="1" t="s">
        <v>26</v>
      </c>
      <c r="B2322" s="1" t="s">
        <v>180</v>
      </c>
      <c r="C2322" s="1" t="s">
        <v>50</v>
      </c>
      <c r="D2322" s="1">
        <v>11.0</v>
      </c>
      <c r="E2322" s="1">
        <v>1026.0</v>
      </c>
      <c r="F2322" s="1">
        <v>665.0</v>
      </c>
      <c r="G2322" s="1">
        <v>1199.0</v>
      </c>
      <c r="H2322" s="1">
        <v>0.8557</v>
      </c>
      <c r="I2322" s="1">
        <v>0.5546</v>
      </c>
      <c r="J2322" s="1">
        <v>0.3011</v>
      </c>
      <c r="K2322" s="1">
        <v>277.0</v>
      </c>
    </row>
    <row r="2323">
      <c r="A2323" s="1" t="s">
        <v>26</v>
      </c>
      <c r="B2323" s="1" t="s">
        <v>180</v>
      </c>
      <c r="C2323" s="1" t="s">
        <v>50</v>
      </c>
      <c r="D2323" s="1">
        <v>12.0</v>
      </c>
      <c r="E2323" s="1">
        <v>951.0</v>
      </c>
      <c r="F2323" s="1">
        <v>787.0</v>
      </c>
      <c r="G2323" s="1">
        <v>1199.0</v>
      </c>
      <c r="H2323" s="1">
        <v>0.7932</v>
      </c>
      <c r="I2323" s="1">
        <v>0.6564</v>
      </c>
      <c r="J2323" s="1">
        <v>0.1368</v>
      </c>
      <c r="K2323" s="1">
        <v>292.0</v>
      </c>
    </row>
    <row r="2324">
      <c r="A2324" s="1" t="s">
        <v>26</v>
      </c>
      <c r="B2324" s="1" t="s">
        <v>180</v>
      </c>
      <c r="C2324" s="1" t="s">
        <v>50</v>
      </c>
      <c r="D2324" s="1">
        <v>13.0</v>
      </c>
      <c r="E2324" s="1">
        <v>916.0</v>
      </c>
      <c r="F2324" s="1">
        <v>910.0</v>
      </c>
      <c r="G2324" s="1">
        <v>1199.0</v>
      </c>
      <c r="H2324" s="1">
        <v>0.764</v>
      </c>
      <c r="I2324" s="1">
        <v>0.759</v>
      </c>
      <c r="J2324" s="1">
        <v>0.005</v>
      </c>
      <c r="K2324" s="1">
        <v>318.0</v>
      </c>
    </row>
    <row r="2325">
      <c r="A2325" s="1" t="s">
        <v>26</v>
      </c>
      <c r="B2325" s="1" t="s">
        <v>180</v>
      </c>
      <c r="C2325" s="1" t="s">
        <v>50</v>
      </c>
      <c r="D2325" s="1">
        <v>14.0</v>
      </c>
      <c r="E2325" s="1">
        <v>952.0</v>
      </c>
      <c r="F2325" s="1">
        <v>893.0</v>
      </c>
      <c r="G2325" s="1">
        <v>1199.0</v>
      </c>
      <c r="H2325" s="1">
        <v>0.794</v>
      </c>
      <c r="I2325" s="1">
        <v>0.7448</v>
      </c>
      <c r="J2325" s="1">
        <v>0.0492</v>
      </c>
      <c r="K2325" s="1">
        <v>331.0</v>
      </c>
    </row>
    <row r="2326">
      <c r="A2326" s="1" t="s">
        <v>26</v>
      </c>
      <c r="B2326" s="1" t="s">
        <v>180</v>
      </c>
      <c r="C2326" s="1" t="s">
        <v>50</v>
      </c>
      <c r="D2326" s="1">
        <v>15.0</v>
      </c>
      <c r="E2326" s="1">
        <v>1385.0</v>
      </c>
      <c r="F2326" s="1">
        <v>910.0</v>
      </c>
      <c r="G2326" s="1">
        <v>1199.0</v>
      </c>
      <c r="H2326" s="1">
        <v>1.1551</v>
      </c>
      <c r="I2326" s="1">
        <v>0.759</v>
      </c>
      <c r="J2326" s="1">
        <v>0.3962</v>
      </c>
      <c r="K2326" s="1">
        <v>342.0</v>
      </c>
    </row>
    <row r="2327">
      <c r="A2327" s="1" t="s">
        <v>26</v>
      </c>
      <c r="B2327" s="1" t="s">
        <v>180</v>
      </c>
      <c r="C2327" s="1" t="s">
        <v>50</v>
      </c>
      <c r="D2327" s="1">
        <v>16.0</v>
      </c>
      <c r="E2327" s="1">
        <v>1152.0</v>
      </c>
      <c r="F2327" s="1">
        <v>907.0</v>
      </c>
      <c r="G2327" s="1">
        <v>1199.0</v>
      </c>
      <c r="H2327" s="1">
        <v>0.9608</v>
      </c>
      <c r="I2327" s="1">
        <v>0.7565</v>
      </c>
      <c r="J2327" s="1">
        <v>0.2043</v>
      </c>
      <c r="K2327" s="1">
        <v>360.0</v>
      </c>
    </row>
    <row r="2328">
      <c r="A2328" s="1" t="s">
        <v>26</v>
      </c>
      <c r="B2328" s="1" t="s">
        <v>180</v>
      </c>
      <c r="C2328" s="1" t="s">
        <v>50</v>
      </c>
      <c r="D2328" s="1">
        <v>17.0</v>
      </c>
      <c r="E2328" s="1">
        <v>1248.0</v>
      </c>
      <c r="F2328" s="1">
        <v>961.0</v>
      </c>
      <c r="G2328" s="1">
        <v>1199.0</v>
      </c>
      <c r="H2328" s="1">
        <v>1.0409</v>
      </c>
      <c r="I2328" s="1">
        <v>0.8015</v>
      </c>
      <c r="J2328" s="1">
        <v>0.2394</v>
      </c>
      <c r="K2328" s="1">
        <v>373.0</v>
      </c>
    </row>
    <row r="2329">
      <c r="A2329" s="1" t="s">
        <v>26</v>
      </c>
      <c r="B2329" s="1" t="s">
        <v>180</v>
      </c>
      <c r="C2329" s="1" t="s">
        <v>50</v>
      </c>
      <c r="D2329" s="1">
        <v>18.0</v>
      </c>
      <c r="E2329" s="1">
        <v>1350.0</v>
      </c>
      <c r="F2329" s="1">
        <v>1119.0</v>
      </c>
      <c r="G2329" s="1">
        <v>1199.0</v>
      </c>
      <c r="H2329" s="1">
        <v>1.1259</v>
      </c>
      <c r="I2329" s="1">
        <v>0.9333</v>
      </c>
      <c r="J2329" s="1">
        <v>0.1927</v>
      </c>
      <c r="K2329" s="1">
        <v>419.0</v>
      </c>
    </row>
    <row r="2330">
      <c r="A2330" s="1" t="s">
        <v>26</v>
      </c>
      <c r="B2330" s="1" t="s">
        <v>180</v>
      </c>
      <c r="C2330" s="1" t="s">
        <v>50</v>
      </c>
      <c r="D2330" s="1">
        <v>19.0</v>
      </c>
      <c r="E2330" s="1">
        <v>1272.0</v>
      </c>
      <c r="F2330" s="1">
        <v>1050.0</v>
      </c>
      <c r="G2330" s="1">
        <v>1199.0</v>
      </c>
      <c r="H2330" s="1">
        <v>1.0609</v>
      </c>
      <c r="I2330" s="1">
        <v>0.8757</v>
      </c>
      <c r="J2330" s="1">
        <v>0.1852</v>
      </c>
      <c r="K2330" s="1">
        <v>431.0</v>
      </c>
    </row>
    <row r="2331">
      <c r="A2331" s="1" t="s">
        <v>26</v>
      </c>
      <c r="B2331" s="1" t="s">
        <v>180</v>
      </c>
      <c r="C2331" s="1" t="s">
        <v>50</v>
      </c>
      <c r="D2331" s="1">
        <v>20.0</v>
      </c>
      <c r="E2331" s="1">
        <v>904.0</v>
      </c>
      <c r="F2331" s="1">
        <v>933.0</v>
      </c>
      <c r="G2331" s="1">
        <v>1199.0</v>
      </c>
      <c r="H2331" s="1">
        <v>0.754</v>
      </c>
      <c r="I2331" s="1">
        <v>0.7781</v>
      </c>
      <c r="J2331" s="1">
        <v>-0.0242</v>
      </c>
      <c r="K2331" s="1">
        <v>430.0</v>
      </c>
    </row>
    <row r="2332">
      <c r="A2332" s="1" t="s">
        <v>26</v>
      </c>
      <c r="B2332" s="1" t="s">
        <v>180</v>
      </c>
      <c r="C2332" s="1" t="s">
        <v>50</v>
      </c>
      <c r="D2332" s="1">
        <v>21.0</v>
      </c>
      <c r="E2332" s="1">
        <v>769.0</v>
      </c>
      <c r="F2332" s="1">
        <v>834.0</v>
      </c>
      <c r="G2332" s="1">
        <v>1199.0</v>
      </c>
      <c r="H2332" s="1">
        <v>0.6414</v>
      </c>
      <c r="I2332" s="1">
        <v>0.6956</v>
      </c>
      <c r="J2332" s="1">
        <v>-0.0542</v>
      </c>
      <c r="K2332" s="1">
        <v>416.0</v>
      </c>
    </row>
    <row r="2333">
      <c r="A2333" s="1" t="s">
        <v>26</v>
      </c>
      <c r="B2333" s="1" t="s">
        <v>180</v>
      </c>
      <c r="C2333" s="1" t="s">
        <v>1209</v>
      </c>
      <c r="D2333" s="1">
        <v>1.0</v>
      </c>
      <c r="E2333" s="1">
        <v>130.0</v>
      </c>
      <c r="F2333" s="1">
        <v>86.0</v>
      </c>
      <c r="G2333" s="1">
        <v>555.0</v>
      </c>
      <c r="H2333" s="1">
        <v>0.2342</v>
      </c>
      <c r="I2333" s="1">
        <v>0.155</v>
      </c>
      <c r="J2333" s="1">
        <v>0.0793</v>
      </c>
      <c r="K2333" s="1">
        <v>188.0</v>
      </c>
    </row>
    <row r="2334">
      <c r="A2334" s="1" t="s">
        <v>26</v>
      </c>
      <c r="B2334" s="1" t="s">
        <v>180</v>
      </c>
      <c r="C2334" s="1" t="s">
        <v>1209</v>
      </c>
      <c r="D2334" s="1">
        <v>2.0</v>
      </c>
      <c r="E2334" s="1">
        <v>70.0</v>
      </c>
      <c r="F2334" s="1">
        <v>44.0</v>
      </c>
      <c r="G2334" s="1">
        <v>555.0</v>
      </c>
      <c r="H2334" s="1">
        <v>0.1261</v>
      </c>
      <c r="I2334" s="1">
        <v>0.0793</v>
      </c>
      <c r="J2334" s="1">
        <v>0.0468</v>
      </c>
      <c r="K2334" s="1">
        <v>216.0</v>
      </c>
    </row>
    <row r="2335">
      <c r="A2335" s="1" t="s">
        <v>26</v>
      </c>
      <c r="B2335" s="1" t="s">
        <v>180</v>
      </c>
      <c r="C2335" s="1" t="s">
        <v>1209</v>
      </c>
      <c r="D2335" s="1">
        <v>3.0</v>
      </c>
      <c r="E2335" s="1">
        <v>90.0</v>
      </c>
      <c r="F2335" s="1">
        <v>37.0</v>
      </c>
      <c r="G2335" s="1">
        <v>555.0</v>
      </c>
      <c r="H2335" s="1">
        <v>0.1622</v>
      </c>
      <c r="I2335" s="1">
        <v>0.0667</v>
      </c>
      <c r="J2335" s="1">
        <v>0.0955</v>
      </c>
      <c r="K2335" s="1">
        <v>235.0</v>
      </c>
    </row>
    <row r="2336">
      <c r="A2336" s="1" t="s">
        <v>26</v>
      </c>
      <c r="B2336" s="1" t="s">
        <v>180</v>
      </c>
      <c r="C2336" s="1" t="s">
        <v>1209</v>
      </c>
      <c r="D2336" s="1">
        <v>4.0</v>
      </c>
      <c r="E2336" s="1">
        <v>60.0</v>
      </c>
      <c r="F2336" s="1">
        <v>40.0</v>
      </c>
      <c r="G2336" s="1">
        <v>555.0</v>
      </c>
      <c r="H2336" s="1">
        <v>0.1081</v>
      </c>
      <c r="I2336" s="1">
        <v>0.0721</v>
      </c>
      <c r="J2336" s="1">
        <v>0.036</v>
      </c>
      <c r="K2336" s="1">
        <v>242.0</v>
      </c>
    </row>
    <row r="2337">
      <c r="A2337" s="1" t="s">
        <v>26</v>
      </c>
      <c r="B2337" s="1" t="s">
        <v>180</v>
      </c>
      <c r="C2337" s="1" t="s">
        <v>1209</v>
      </c>
      <c r="D2337" s="1">
        <v>5.0</v>
      </c>
      <c r="E2337" s="1">
        <v>1960.0</v>
      </c>
      <c r="F2337" s="1">
        <v>1545.0</v>
      </c>
      <c r="G2337" s="1">
        <v>555.0</v>
      </c>
      <c r="H2337" s="1">
        <v>3.5315</v>
      </c>
      <c r="I2337" s="1">
        <v>2.7838</v>
      </c>
      <c r="J2337" s="1">
        <v>0.7477</v>
      </c>
      <c r="K2337" s="1">
        <v>239.0</v>
      </c>
    </row>
    <row r="2338">
      <c r="A2338" s="1" t="s">
        <v>26</v>
      </c>
      <c r="B2338" s="1" t="s">
        <v>180</v>
      </c>
      <c r="C2338" s="1" t="s">
        <v>1209</v>
      </c>
      <c r="D2338" s="1">
        <v>6.0</v>
      </c>
      <c r="E2338" s="1">
        <v>1695.0</v>
      </c>
      <c r="F2338" s="1">
        <v>1327.0</v>
      </c>
      <c r="G2338" s="1">
        <v>555.0</v>
      </c>
      <c r="H2338" s="1">
        <v>3.0541</v>
      </c>
      <c r="I2338" s="1">
        <v>2.391</v>
      </c>
      <c r="J2338" s="1">
        <v>0.6631</v>
      </c>
      <c r="K2338" s="1">
        <v>232.0</v>
      </c>
    </row>
    <row r="2339">
      <c r="A2339" s="1" t="s">
        <v>26</v>
      </c>
      <c r="B2339" s="1" t="s">
        <v>180</v>
      </c>
      <c r="C2339" s="1" t="s">
        <v>1209</v>
      </c>
      <c r="D2339" s="1">
        <v>7.0</v>
      </c>
      <c r="E2339" s="1">
        <v>1430.0</v>
      </c>
      <c r="F2339" s="1">
        <v>1119.0</v>
      </c>
      <c r="G2339" s="1">
        <v>555.0</v>
      </c>
      <c r="H2339" s="1">
        <v>2.5766</v>
      </c>
      <c r="I2339" s="1">
        <v>2.0162</v>
      </c>
      <c r="J2339" s="1">
        <v>0.5604</v>
      </c>
      <c r="K2339" s="1">
        <v>235.0</v>
      </c>
    </row>
    <row r="2340">
      <c r="A2340" s="1" t="s">
        <v>26</v>
      </c>
      <c r="B2340" s="1" t="s">
        <v>180</v>
      </c>
      <c r="C2340" s="1" t="s">
        <v>1209</v>
      </c>
      <c r="D2340" s="1">
        <v>8.0</v>
      </c>
      <c r="E2340" s="1">
        <v>465.0</v>
      </c>
      <c r="F2340" s="1">
        <v>300.0</v>
      </c>
      <c r="G2340" s="1">
        <v>555.0</v>
      </c>
      <c r="H2340" s="1">
        <v>0.8378</v>
      </c>
      <c r="I2340" s="1">
        <v>0.5405</v>
      </c>
      <c r="J2340" s="1">
        <v>0.2973</v>
      </c>
      <c r="K2340" s="1">
        <v>229.0</v>
      </c>
    </row>
    <row r="2341">
      <c r="A2341" s="1" t="s">
        <v>26</v>
      </c>
      <c r="B2341" s="1" t="s">
        <v>180</v>
      </c>
      <c r="C2341" s="1" t="s">
        <v>1209</v>
      </c>
      <c r="D2341" s="1">
        <v>9.0</v>
      </c>
      <c r="E2341" s="1">
        <v>30.0</v>
      </c>
      <c r="F2341" s="1">
        <v>14.0</v>
      </c>
      <c r="G2341" s="1">
        <v>555.0</v>
      </c>
      <c r="H2341" s="1">
        <v>0.0541</v>
      </c>
      <c r="I2341" s="1">
        <v>0.0252</v>
      </c>
      <c r="J2341" s="1">
        <v>0.0288</v>
      </c>
      <c r="K2341" s="1">
        <v>234.0</v>
      </c>
    </row>
    <row r="2342">
      <c r="A2342" s="1" t="s">
        <v>26</v>
      </c>
      <c r="B2342" s="1" t="s">
        <v>180</v>
      </c>
      <c r="C2342" s="1" t="s">
        <v>1209</v>
      </c>
      <c r="D2342" s="1">
        <v>10.0</v>
      </c>
      <c r="E2342" s="1">
        <v>220.0</v>
      </c>
      <c r="F2342" s="1">
        <v>145.0</v>
      </c>
      <c r="G2342" s="1">
        <v>555.0</v>
      </c>
      <c r="H2342" s="1">
        <v>0.3964</v>
      </c>
      <c r="I2342" s="1">
        <v>0.2613</v>
      </c>
      <c r="J2342" s="1">
        <v>0.1351</v>
      </c>
      <c r="K2342" s="1">
        <v>255.0</v>
      </c>
    </row>
    <row r="2343">
      <c r="A2343" s="1" t="s">
        <v>26</v>
      </c>
      <c r="B2343" s="1" t="s">
        <v>180</v>
      </c>
      <c r="C2343" s="1" t="s">
        <v>1209</v>
      </c>
      <c r="D2343" s="1">
        <v>11.0</v>
      </c>
      <c r="E2343" s="1">
        <v>130.0</v>
      </c>
      <c r="F2343" s="1">
        <v>97.0</v>
      </c>
      <c r="G2343" s="1">
        <v>555.0</v>
      </c>
      <c r="H2343" s="1">
        <v>0.2342</v>
      </c>
      <c r="I2343" s="1">
        <v>0.1748</v>
      </c>
      <c r="J2343" s="1">
        <v>0.0595</v>
      </c>
      <c r="K2343" s="1">
        <v>277.0</v>
      </c>
    </row>
    <row r="2344">
      <c r="A2344" s="1" t="s">
        <v>26</v>
      </c>
      <c r="B2344" s="1" t="s">
        <v>180</v>
      </c>
      <c r="C2344" s="1" t="s">
        <v>1209</v>
      </c>
      <c r="D2344" s="1">
        <v>12.0</v>
      </c>
      <c r="E2344" s="1">
        <v>1885.0</v>
      </c>
      <c r="F2344" s="1">
        <v>1371.0</v>
      </c>
      <c r="G2344" s="1">
        <v>555.0</v>
      </c>
      <c r="H2344" s="1">
        <v>3.3964</v>
      </c>
      <c r="I2344" s="1">
        <v>2.4703</v>
      </c>
      <c r="J2344" s="1">
        <v>0.9261</v>
      </c>
      <c r="K2344" s="1">
        <v>292.0</v>
      </c>
    </row>
    <row r="2345">
      <c r="A2345" s="1" t="s">
        <v>26</v>
      </c>
      <c r="B2345" s="1" t="s">
        <v>180</v>
      </c>
      <c r="C2345" s="1" t="s">
        <v>1209</v>
      </c>
      <c r="D2345" s="1">
        <v>13.0</v>
      </c>
      <c r="E2345" s="1">
        <v>2655.0</v>
      </c>
      <c r="F2345" s="1">
        <v>2047.0</v>
      </c>
      <c r="G2345" s="1">
        <v>555.0</v>
      </c>
      <c r="H2345" s="1">
        <v>4.7838</v>
      </c>
      <c r="I2345" s="1">
        <v>3.6883</v>
      </c>
      <c r="J2345" s="1">
        <v>1.0955</v>
      </c>
      <c r="K2345" s="1">
        <v>318.0</v>
      </c>
    </row>
    <row r="2346">
      <c r="A2346" s="1" t="s">
        <v>26</v>
      </c>
      <c r="B2346" s="1" t="s">
        <v>180</v>
      </c>
      <c r="C2346" s="1" t="s">
        <v>1209</v>
      </c>
      <c r="D2346" s="1">
        <v>14.0</v>
      </c>
      <c r="E2346" s="1">
        <v>1940.0</v>
      </c>
      <c r="F2346" s="1">
        <v>1442.0</v>
      </c>
      <c r="G2346" s="1">
        <v>555.0</v>
      </c>
      <c r="H2346" s="1">
        <v>3.4955</v>
      </c>
      <c r="I2346" s="1">
        <v>2.5982</v>
      </c>
      <c r="J2346" s="1">
        <v>0.8973</v>
      </c>
      <c r="K2346" s="1">
        <v>331.0</v>
      </c>
    </row>
    <row r="2347">
      <c r="A2347" s="1" t="s">
        <v>26</v>
      </c>
      <c r="B2347" s="1" t="s">
        <v>180</v>
      </c>
      <c r="C2347" s="1" t="s">
        <v>1209</v>
      </c>
      <c r="D2347" s="1">
        <v>15.0</v>
      </c>
      <c r="E2347" s="1">
        <v>680.0</v>
      </c>
      <c r="F2347" s="1">
        <v>435.0</v>
      </c>
      <c r="G2347" s="1">
        <v>555.0</v>
      </c>
      <c r="H2347" s="1">
        <v>1.2252</v>
      </c>
      <c r="I2347" s="1">
        <v>0.7838</v>
      </c>
      <c r="J2347" s="1">
        <v>0.4414</v>
      </c>
      <c r="K2347" s="1">
        <v>342.0</v>
      </c>
    </row>
    <row r="2348">
      <c r="A2348" s="1" t="s">
        <v>26</v>
      </c>
      <c r="B2348" s="1" t="s">
        <v>180</v>
      </c>
      <c r="C2348" s="1" t="s">
        <v>1209</v>
      </c>
      <c r="D2348" s="1">
        <v>16.0</v>
      </c>
      <c r="E2348" s="1">
        <v>215.0</v>
      </c>
      <c r="F2348" s="1">
        <v>121.0</v>
      </c>
      <c r="G2348" s="1">
        <v>555.0</v>
      </c>
      <c r="H2348" s="1">
        <v>0.3874</v>
      </c>
      <c r="I2348" s="1">
        <v>0.218</v>
      </c>
      <c r="J2348" s="1">
        <v>0.1694</v>
      </c>
      <c r="K2348" s="1">
        <v>360.0</v>
      </c>
    </row>
    <row r="2349">
      <c r="A2349" s="1" t="s">
        <v>26</v>
      </c>
      <c r="B2349" s="1" t="s">
        <v>180</v>
      </c>
      <c r="C2349" s="1" t="s">
        <v>1209</v>
      </c>
      <c r="D2349" s="1">
        <v>17.0</v>
      </c>
      <c r="E2349" s="1">
        <v>120.0</v>
      </c>
      <c r="F2349" s="1">
        <v>78.0</v>
      </c>
      <c r="G2349" s="1">
        <v>555.0</v>
      </c>
      <c r="H2349" s="1">
        <v>0.2162</v>
      </c>
      <c r="I2349" s="1">
        <v>0.1405</v>
      </c>
      <c r="J2349" s="1">
        <v>0.0757</v>
      </c>
      <c r="K2349" s="1">
        <v>373.0</v>
      </c>
    </row>
    <row r="2350">
      <c r="A2350" s="1" t="s">
        <v>26</v>
      </c>
      <c r="B2350" s="1" t="s">
        <v>180</v>
      </c>
      <c r="C2350" s="1" t="s">
        <v>1209</v>
      </c>
      <c r="D2350" s="1">
        <v>18.0</v>
      </c>
      <c r="E2350" s="1">
        <v>215.0</v>
      </c>
      <c r="F2350" s="1">
        <v>115.0</v>
      </c>
      <c r="G2350" s="1">
        <v>555.0</v>
      </c>
      <c r="H2350" s="1">
        <v>0.3874</v>
      </c>
      <c r="I2350" s="1">
        <v>0.2072</v>
      </c>
      <c r="J2350" s="1">
        <v>0.1802</v>
      </c>
      <c r="K2350" s="1">
        <v>419.0</v>
      </c>
    </row>
    <row r="2351">
      <c r="A2351" s="1" t="s">
        <v>26</v>
      </c>
      <c r="B2351" s="1" t="s">
        <v>180</v>
      </c>
      <c r="C2351" s="1" t="s">
        <v>1209</v>
      </c>
      <c r="D2351" s="1">
        <v>19.0</v>
      </c>
      <c r="E2351" s="1">
        <v>590.0</v>
      </c>
      <c r="F2351" s="1">
        <v>444.0</v>
      </c>
      <c r="G2351" s="1">
        <v>555.0</v>
      </c>
      <c r="H2351" s="1">
        <v>1.0631</v>
      </c>
      <c r="I2351" s="1">
        <v>0.8</v>
      </c>
      <c r="J2351" s="1">
        <v>0.2631</v>
      </c>
      <c r="K2351" s="1">
        <v>431.0</v>
      </c>
    </row>
    <row r="2352">
      <c r="A2352" s="1" t="s">
        <v>26</v>
      </c>
      <c r="B2352" s="1" t="s">
        <v>180</v>
      </c>
      <c r="C2352" s="1" t="s">
        <v>1209</v>
      </c>
      <c r="D2352" s="1">
        <v>20.0</v>
      </c>
      <c r="E2352" s="1">
        <v>1275.0</v>
      </c>
      <c r="F2352" s="1">
        <v>1130.0</v>
      </c>
      <c r="G2352" s="1">
        <v>555.0</v>
      </c>
      <c r="H2352" s="1">
        <v>2.2973</v>
      </c>
      <c r="I2352" s="1">
        <v>2.036</v>
      </c>
      <c r="J2352" s="1">
        <v>0.2613</v>
      </c>
      <c r="K2352" s="1">
        <v>430.0</v>
      </c>
    </row>
    <row r="2353">
      <c r="A2353" s="1" t="s">
        <v>26</v>
      </c>
      <c r="B2353" s="1" t="s">
        <v>180</v>
      </c>
      <c r="C2353" s="1" t="s">
        <v>1209</v>
      </c>
      <c r="D2353" s="1">
        <v>21.0</v>
      </c>
      <c r="E2353" s="1">
        <v>1055.0</v>
      </c>
      <c r="F2353" s="1">
        <v>939.0</v>
      </c>
      <c r="G2353" s="1">
        <v>555.0</v>
      </c>
      <c r="H2353" s="1">
        <v>1.9009</v>
      </c>
      <c r="I2353" s="1">
        <v>1.6919</v>
      </c>
      <c r="J2353" s="1">
        <v>0.209</v>
      </c>
      <c r="K2353" s="1">
        <v>416.0</v>
      </c>
    </row>
    <row r="2354">
      <c r="A2354" s="1" t="s">
        <v>26</v>
      </c>
      <c r="B2354" s="1" t="s">
        <v>180</v>
      </c>
      <c r="C2354" s="1" t="s">
        <v>1210</v>
      </c>
      <c r="D2354" s="1">
        <v>1.0</v>
      </c>
      <c r="E2354" s="1">
        <v>1680.0</v>
      </c>
      <c r="F2354" s="1">
        <v>1256.0</v>
      </c>
      <c r="G2354" s="1">
        <v>1059.0</v>
      </c>
      <c r="H2354" s="1">
        <v>1.5864</v>
      </c>
      <c r="I2354" s="1">
        <v>1.186</v>
      </c>
      <c r="J2354" s="1">
        <v>0.4004</v>
      </c>
      <c r="K2354" s="1">
        <v>188.0</v>
      </c>
    </row>
    <row r="2355">
      <c r="A2355" s="1" t="s">
        <v>26</v>
      </c>
      <c r="B2355" s="1" t="s">
        <v>180</v>
      </c>
      <c r="C2355" s="1" t="s">
        <v>1210</v>
      </c>
      <c r="D2355" s="1">
        <v>2.0</v>
      </c>
      <c r="E2355" s="1">
        <v>2505.0</v>
      </c>
      <c r="F2355" s="1">
        <v>1677.0</v>
      </c>
      <c r="G2355" s="1">
        <v>1059.0</v>
      </c>
      <c r="H2355" s="1">
        <v>2.3654</v>
      </c>
      <c r="I2355" s="1">
        <v>1.5836</v>
      </c>
      <c r="J2355" s="1">
        <v>0.7819</v>
      </c>
      <c r="K2355" s="1">
        <v>216.0</v>
      </c>
    </row>
    <row r="2356">
      <c r="A2356" s="1" t="s">
        <v>26</v>
      </c>
      <c r="B2356" s="1" t="s">
        <v>180</v>
      </c>
      <c r="C2356" s="1" t="s">
        <v>1210</v>
      </c>
      <c r="D2356" s="1">
        <v>3.0</v>
      </c>
      <c r="E2356" s="1">
        <v>2215.0</v>
      </c>
      <c r="F2356" s="1">
        <v>1314.0</v>
      </c>
      <c r="G2356" s="1">
        <v>1059.0</v>
      </c>
      <c r="H2356" s="1">
        <v>2.0916</v>
      </c>
      <c r="I2356" s="1">
        <v>1.2408</v>
      </c>
      <c r="J2356" s="1">
        <v>0.8508</v>
      </c>
      <c r="K2356" s="1">
        <v>235.0</v>
      </c>
    </row>
    <row r="2357">
      <c r="A2357" s="1" t="s">
        <v>26</v>
      </c>
      <c r="B2357" s="1" t="s">
        <v>180</v>
      </c>
      <c r="C2357" s="1" t="s">
        <v>1210</v>
      </c>
      <c r="D2357" s="1">
        <v>4.0</v>
      </c>
      <c r="E2357" s="1">
        <v>1535.0</v>
      </c>
      <c r="F2357" s="1">
        <v>1003.0</v>
      </c>
      <c r="G2357" s="1">
        <v>1059.0</v>
      </c>
      <c r="H2357" s="1">
        <v>1.4495</v>
      </c>
      <c r="I2357" s="1">
        <v>0.9471</v>
      </c>
      <c r="J2357" s="1">
        <v>0.5024</v>
      </c>
      <c r="K2357" s="1">
        <v>242.0</v>
      </c>
    </row>
    <row r="2358">
      <c r="A2358" s="1" t="s">
        <v>26</v>
      </c>
      <c r="B2358" s="1" t="s">
        <v>180</v>
      </c>
      <c r="C2358" s="1" t="s">
        <v>1210</v>
      </c>
      <c r="D2358" s="1">
        <v>5.0</v>
      </c>
      <c r="E2358" s="1">
        <v>3220.0</v>
      </c>
      <c r="F2358" s="1">
        <v>2368.0</v>
      </c>
      <c r="G2358" s="1">
        <v>1059.0</v>
      </c>
      <c r="H2358" s="1">
        <v>3.0406</v>
      </c>
      <c r="I2358" s="1">
        <v>2.2361</v>
      </c>
      <c r="J2358" s="1">
        <v>0.8045</v>
      </c>
      <c r="K2358" s="1">
        <v>239.0</v>
      </c>
    </row>
    <row r="2359">
      <c r="A2359" s="1" t="s">
        <v>26</v>
      </c>
      <c r="B2359" s="1" t="s">
        <v>180</v>
      </c>
      <c r="C2359" s="1" t="s">
        <v>1210</v>
      </c>
      <c r="D2359" s="1">
        <v>6.0</v>
      </c>
      <c r="E2359" s="1">
        <v>2155.0</v>
      </c>
      <c r="F2359" s="1">
        <v>1563.0</v>
      </c>
      <c r="G2359" s="1">
        <v>1059.0</v>
      </c>
      <c r="H2359" s="1">
        <v>2.0349</v>
      </c>
      <c r="I2359" s="1">
        <v>1.4759</v>
      </c>
      <c r="J2359" s="1">
        <v>0.559</v>
      </c>
      <c r="K2359" s="1">
        <v>232.0</v>
      </c>
    </row>
    <row r="2360">
      <c r="A2360" s="1" t="s">
        <v>26</v>
      </c>
      <c r="B2360" s="1" t="s">
        <v>180</v>
      </c>
      <c r="C2360" s="1" t="s">
        <v>1210</v>
      </c>
      <c r="D2360" s="1">
        <v>7.0</v>
      </c>
      <c r="E2360" s="1">
        <v>1925.0</v>
      </c>
      <c r="F2360" s="1">
        <v>1314.0</v>
      </c>
      <c r="G2360" s="1">
        <v>1059.0</v>
      </c>
      <c r="H2360" s="1">
        <v>1.8178</v>
      </c>
      <c r="I2360" s="1">
        <v>1.2408</v>
      </c>
      <c r="J2360" s="1">
        <v>0.577</v>
      </c>
      <c r="K2360" s="1">
        <v>235.0</v>
      </c>
    </row>
    <row r="2361">
      <c r="A2361" s="1" t="s">
        <v>26</v>
      </c>
      <c r="B2361" s="1" t="s">
        <v>180</v>
      </c>
      <c r="C2361" s="1" t="s">
        <v>1210</v>
      </c>
      <c r="D2361" s="1">
        <v>8.0</v>
      </c>
      <c r="E2361" s="1">
        <v>1860.0</v>
      </c>
      <c r="F2361" s="1">
        <v>1243.0</v>
      </c>
      <c r="G2361" s="1">
        <v>1059.0</v>
      </c>
      <c r="H2361" s="1">
        <v>1.7564</v>
      </c>
      <c r="I2361" s="1">
        <v>1.1737</v>
      </c>
      <c r="J2361" s="1">
        <v>0.5826</v>
      </c>
      <c r="K2361" s="1">
        <v>229.0</v>
      </c>
    </row>
    <row r="2362">
      <c r="A2362" s="1" t="s">
        <v>26</v>
      </c>
      <c r="B2362" s="1" t="s">
        <v>180</v>
      </c>
      <c r="C2362" s="1" t="s">
        <v>1210</v>
      </c>
      <c r="D2362" s="1">
        <v>9.0</v>
      </c>
      <c r="E2362" s="1">
        <v>2310.0</v>
      </c>
      <c r="F2362" s="1">
        <v>1436.0</v>
      </c>
      <c r="G2362" s="1">
        <v>1059.0</v>
      </c>
      <c r="H2362" s="1">
        <v>2.1813</v>
      </c>
      <c r="I2362" s="1">
        <v>1.356</v>
      </c>
      <c r="J2362" s="1">
        <v>0.8253</v>
      </c>
      <c r="K2362" s="1">
        <v>234.0</v>
      </c>
    </row>
    <row r="2363">
      <c r="A2363" s="1" t="s">
        <v>26</v>
      </c>
      <c r="B2363" s="1" t="s">
        <v>180</v>
      </c>
      <c r="C2363" s="1" t="s">
        <v>1210</v>
      </c>
      <c r="D2363" s="1">
        <v>10.0</v>
      </c>
      <c r="E2363" s="1">
        <v>1915.0</v>
      </c>
      <c r="F2363" s="1">
        <v>1179.0</v>
      </c>
      <c r="G2363" s="1">
        <v>1059.0</v>
      </c>
      <c r="H2363" s="1">
        <v>1.8083</v>
      </c>
      <c r="I2363" s="1">
        <v>1.1133</v>
      </c>
      <c r="J2363" s="1">
        <v>0.695</v>
      </c>
      <c r="K2363" s="1">
        <v>255.0</v>
      </c>
    </row>
    <row r="2364">
      <c r="A2364" s="1" t="s">
        <v>26</v>
      </c>
      <c r="B2364" s="1" t="s">
        <v>180</v>
      </c>
      <c r="C2364" s="1" t="s">
        <v>1210</v>
      </c>
      <c r="D2364" s="1">
        <v>11.0</v>
      </c>
      <c r="E2364" s="1">
        <v>1860.0</v>
      </c>
      <c r="F2364" s="1">
        <v>1208.0</v>
      </c>
      <c r="G2364" s="1">
        <v>1059.0</v>
      </c>
      <c r="H2364" s="1">
        <v>1.7564</v>
      </c>
      <c r="I2364" s="1">
        <v>1.1407</v>
      </c>
      <c r="J2364" s="1">
        <v>0.6157</v>
      </c>
      <c r="K2364" s="1">
        <v>277.0</v>
      </c>
    </row>
    <row r="2365">
      <c r="A2365" s="1" t="s">
        <v>26</v>
      </c>
      <c r="B2365" s="1" t="s">
        <v>180</v>
      </c>
      <c r="C2365" s="1" t="s">
        <v>1210</v>
      </c>
      <c r="D2365" s="1">
        <v>12.0</v>
      </c>
      <c r="E2365" s="1">
        <v>3740.0</v>
      </c>
      <c r="F2365" s="1">
        <v>2711.0</v>
      </c>
      <c r="G2365" s="1">
        <v>1059.0</v>
      </c>
      <c r="H2365" s="1">
        <v>3.5316</v>
      </c>
      <c r="I2365" s="1">
        <v>2.56</v>
      </c>
      <c r="J2365" s="1">
        <v>0.9717</v>
      </c>
      <c r="K2365" s="1">
        <v>292.0</v>
      </c>
    </row>
    <row r="2366">
      <c r="A2366" s="1" t="s">
        <v>26</v>
      </c>
      <c r="B2366" s="1" t="s">
        <v>180</v>
      </c>
      <c r="C2366" s="1" t="s">
        <v>1210</v>
      </c>
      <c r="D2366" s="1">
        <v>13.0</v>
      </c>
      <c r="E2366" s="1">
        <v>3835.0</v>
      </c>
      <c r="F2366" s="1">
        <v>2722.0</v>
      </c>
      <c r="G2366" s="1">
        <v>1059.0</v>
      </c>
      <c r="H2366" s="1">
        <v>3.6213</v>
      </c>
      <c r="I2366" s="1">
        <v>2.5703</v>
      </c>
      <c r="J2366" s="1">
        <v>1.051</v>
      </c>
      <c r="K2366" s="1">
        <v>318.0</v>
      </c>
    </row>
    <row r="2367">
      <c r="A2367" s="1" t="s">
        <v>26</v>
      </c>
      <c r="B2367" s="1" t="s">
        <v>180</v>
      </c>
      <c r="C2367" s="1" t="s">
        <v>1210</v>
      </c>
      <c r="D2367" s="1">
        <v>14.0</v>
      </c>
      <c r="E2367" s="1">
        <v>3285.0</v>
      </c>
      <c r="F2367" s="1">
        <v>2334.0</v>
      </c>
      <c r="G2367" s="1">
        <v>1059.0</v>
      </c>
      <c r="H2367" s="1">
        <v>3.102</v>
      </c>
      <c r="I2367" s="1">
        <v>2.204</v>
      </c>
      <c r="J2367" s="1">
        <v>0.898</v>
      </c>
      <c r="K2367" s="1">
        <v>331.0</v>
      </c>
    </row>
    <row r="2368">
      <c r="A2368" s="1" t="s">
        <v>26</v>
      </c>
      <c r="B2368" s="1" t="s">
        <v>180</v>
      </c>
      <c r="C2368" s="1" t="s">
        <v>1210</v>
      </c>
      <c r="D2368" s="1">
        <v>15.0</v>
      </c>
      <c r="E2368" s="1">
        <v>3150.0</v>
      </c>
      <c r="F2368" s="1">
        <v>1983.0</v>
      </c>
      <c r="G2368" s="1">
        <v>1059.0</v>
      </c>
      <c r="H2368" s="1">
        <v>2.9745</v>
      </c>
      <c r="I2368" s="1">
        <v>1.8725</v>
      </c>
      <c r="J2368" s="1">
        <v>1.102</v>
      </c>
      <c r="K2368" s="1">
        <v>342.0</v>
      </c>
    </row>
    <row r="2369">
      <c r="A2369" s="1" t="s">
        <v>26</v>
      </c>
      <c r="B2369" s="1" t="s">
        <v>180</v>
      </c>
      <c r="C2369" s="1" t="s">
        <v>1210</v>
      </c>
      <c r="D2369" s="1">
        <v>16.0</v>
      </c>
      <c r="E2369" s="1">
        <v>3405.0</v>
      </c>
      <c r="F2369" s="1">
        <v>1983.0</v>
      </c>
      <c r="G2369" s="1">
        <v>1059.0</v>
      </c>
      <c r="H2369" s="1">
        <v>3.2153</v>
      </c>
      <c r="I2369" s="1">
        <v>1.8725</v>
      </c>
      <c r="J2369" s="1">
        <v>1.3428</v>
      </c>
      <c r="K2369" s="1">
        <v>360.0</v>
      </c>
    </row>
    <row r="2370">
      <c r="A2370" s="1" t="s">
        <v>26</v>
      </c>
      <c r="B2370" s="1" t="s">
        <v>180</v>
      </c>
      <c r="C2370" s="1" t="s">
        <v>1210</v>
      </c>
      <c r="D2370" s="1">
        <v>17.0</v>
      </c>
      <c r="E2370" s="1">
        <v>3040.0</v>
      </c>
      <c r="F2370" s="1">
        <v>1831.0</v>
      </c>
      <c r="G2370" s="1">
        <v>1059.0</v>
      </c>
      <c r="H2370" s="1">
        <v>2.8706</v>
      </c>
      <c r="I2370" s="1">
        <v>1.729</v>
      </c>
      <c r="J2370" s="1">
        <v>1.1416</v>
      </c>
      <c r="K2370" s="1">
        <v>373.0</v>
      </c>
    </row>
    <row r="2371">
      <c r="A2371" s="1" t="s">
        <v>26</v>
      </c>
      <c r="B2371" s="1" t="s">
        <v>180</v>
      </c>
      <c r="C2371" s="1" t="s">
        <v>1210</v>
      </c>
      <c r="D2371" s="1">
        <v>18.0</v>
      </c>
      <c r="E2371" s="1">
        <v>2790.0</v>
      </c>
      <c r="F2371" s="1">
        <v>1794.0</v>
      </c>
      <c r="G2371" s="1">
        <v>1059.0</v>
      </c>
      <c r="H2371" s="1">
        <v>2.6346</v>
      </c>
      <c r="I2371" s="1">
        <v>1.6941</v>
      </c>
      <c r="J2371" s="1">
        <v>0.9405</v>
      </c>
      <c r="K2371" s="1">
        <v>419.0</v>
      </c>
    </row>
    <row r="2372">
      <c r="A2372" s="1" t="s">
        <v>26</v>
      </c>
      <c r="B2372" s="1" t="s">
        <v>180</v>
      </c>
      <c r="C2372" s="1" t="s">
        <v>1210</v>
      </c>
      <c r="D2372" s="1">
        <v>19.0</v>
      </c>
      <c r="E2372" s="1">
        <v>3120.0</v>
      </c>
      <c r="F2372" s="1">
        <v>2079.0</v>
      </c>
      <c r="G2372" s="1">
        <v>1059.0</v>
      </c>
      <c r="H2372" s="1">
        <v>2.9462</v>
      </c>
      <c r="I2372" s="1">
        <v>1.9632</v>
      </c>
      <c r="J2372" s="1">
        <v>0.983</v>
      </c>
      <c r="K2372" s="1">
        <v>431.0</v>
      </c>
    </row>
    <row r="2373">
      <c r="A2373" s="1" t="s">
        <v>26</v>
      </c>
      <c r="B2373" s="1" t="s">
        <v>180</v>
      </c>
      <c r="C2373" s="1" t="s">
        <v>1210</v>
      </c>
      <c r="D2373" s="1">
        <v>20.0</v>
      </c>
      <c r="E2373" s="1">
        <v>1995.0</v>
      </c>
      <c r="F2373" s="1">
        <v>1611.0</v>
      </c>
      <c r="G2373" s="1">
        <v>1059.0</v>
      </c>
      <c r="H2373" s="1">
        <v>1.8839</v>
      </c>
      <c r="I2373" s="1">
        <v>1.5212</v>
      </c>
      <c r="J2373" s="1">
        <v>0.3626</v>
      </c>
      <c r="K2373" s="1">
        <v>430.0</v>
      </c>
    </row>
    <row r="2374">
      <c r="A2374" s="1" t="s">
        <v>26</v>
      </c>
      <c r="B2374" s="1" t="s">
        <v>180</v>
      </c>
      <c r="C2374" s="1" t="s">
        <v>1210</v>
      </c>
      <c r="D2374" s="1">
        <v>21.0</v>
      </c>
      <c r="E2374" s="1">
        <v>1775.0</v>
      </c>
      <c r="F2374" s="1">
        <v>1430.0</v>
      </c>
      <c r="G2374" s="1">
        <v>1059.0</v>
      </c>
      <c r="H2374" s="1">
        <v>1.6761</v>
      </c>
      <c r="I2374" s="1">
        <v>1.3503</v>
      </c>
      <c r="J2374" s="1">
        <v>0.3258</v>
      </c>
      <c r="K2374" s="1">
        <v>416.0</v>
      </c>
    </row>
    <row r="2375">
      <c r="A2375" s="1" t="s">
        <v>26</v>
      </c>
      <c r="B2375" s="1" t="s">
        <v>180</v>
      </c>
      <c r="C2375" s="1" t="s">
        <v>1211</v>
      </c>
      <c r="D2375" s="1">
        <v>1.0</v>
      </c>
      <c r="E2375" s="1">
        <v>4490.0</v>
      </c>
      <c r="F2375" s="1">
        <v>2584.0</v>
      </c>
      <c r="G2375" s="1">
        <v>1133.0</v>
      </c>
      <c r="H2375" s="1">
        <v>3.9629</v>
      </c>
      <c r="I2375" s="1">
        <v>2.2807</v>
      </c>
      <c r="J2375" s="1">
        <v>1.6823</v>
      </c>
      <c r="K2375" s="1">
        <v>188.0</v>
      </c>
    </row>
    <row r="2376">
      <c r="A2376" s="1" t="s">
        <v>26</v>
      </c>
      <c r="B2376" s="1" t="s">
        <v>180</v>
      </c>
      <c r="C2376" s="1" t="s">
        <v>1211</v>
      </c>
      <c r="D2376" s="1">
        <v>2.0</v>
      </c>
      <c r="E2376" s="1">
        <v>2740.0</v>
      </c>
      <c r="F2376" s="1">
        <v>1693.0</v>
      </c>
      <c r="G2376" s="1">
        <v>1133.0</v>
      </c>
      <c r="H2376" s="1">
        <v>2.4184</v>
      </c>
      <c r="I2376" s="1">
        <v>1.4943</v>
      </c>
      <c r="J2376" s="1">
        <v>0.9241</v>
      </c>
      <c r="K2376" s="1">
        <v>216.0</v>
      </c>
    </row>
    <row r="2377">
      <c r="A2377" s="1" t="s">
        <v>26</v>
      </c>
      <c r="B2377" s="1" t="s">
        <v>180</v>
      </c>
      <c r="C2377" s="1" t="s">
        <v>1211</v>
      </c>
      <c r="D2377" s="1">
        <v>3.0</v>
      </c>
      <c r="E2377" s="1">
        <v>2770.0</v>
      </c>
      <c r="F2377" s="1">
        <v>1689.0</v>
      </c>
      <c r="G2377" s="1">
        <v>1133.0</v>
      </c>
      <c r="H2377" s="1">
        <v>2.4448</v>
      </c>
      <c r="I2377" s="1">
        <v>1.4907</v>
      </c>
      <c r="J2377" s="1">
        <v>0.9541</v>
      </c>
      <c r="K2377" s="1">
        <v>235.0</v>
      </c>
    </row>
    <row r="2378">
      <c r="A2378" s="1" t="s">
        <v>26</v>
      </c>
      <c r="B2378" s="1" t="s">
        <v>180</v>
      </c>
      <c r="C2378" s="1" t="s">
        <v>1211</v>
      </c>
      <c r="D2378" s="1">
        <v>4.0</v>
      </c>
      <c r="E2378" s="1">
        <v>2450.0</v>
      </c>
      <c r="F2378" s="1">
        <v>1423.0</v>
      </c>
      <c r="G2378" s="1">
        <v>1133.0</v>
      </c>
      <c r="H2378" s="1">
        <v>2.1624</v>
      </c>
      <c r="I2378" s="1">
        <v>1.256</v>
      </c>
      <c r="J2378" s="1">
        <v>0.9064</v>
      </c>
      <c r="K2378" s="1">
        <v>242.0</v>
      </c>
    </row>
    <row r="2379">
      <c r="A2379" s="1" t="s">
        <v>26</v>
      </c>
      <c r="B2379" s="1" t="s">
        <v>180</v>
      </c>
      <c r="C2379" s="1" t="s">
        <v>1211</v>
      </c>
      <c r="D2379" s="1">
        <v>5.0</v>
      </c>
      <c r="E2379" s="1">
        <v>4740.0</v>
      </c>
      <c r="F2379" s="1">
        <v>3276.0</v>
      </c>
      <c r="G2379" s="1">
        <v>1133.0</v>
      </c>
      <c r="H2379" s="1">
        <v>4.1836</v>
      </c>
      <c r="I2379" s="1">
        <v>2.8914</v>
      </c>
      <c r="J2379" s="1">
        <v>1.2921</v>
      </c>
      <c r="K2379" s="1">
        <v>239.0</v>
      </c>
    </row>
    <row r="2380">
      <c r="A2380" s="1" t="s">
        <v>26</v>
      </c>
      <c r="B2380" s="1" t="s">
        <v>180</v>
      </c>
      <c r="C2380" s="1" t="s">
        <v>1211</v>
      </c>
      <c r="D2380" s="1">
        <v>6.0</v>
      </c>
      <c r="E2380" s="1">
        <v>2850.0</v>
      </c>
      <c r="F2380" s="1">
        <v>1912.0</v>
      </c>
      <c r="G2380" s="1">
        <v>1133.0</v>
      </c>
      <c r="H2380" s="1">
        <v>2.5154</v>
      </c>
      <c r="I2380" s="1">
        <v>1.6876</v>
      </c>
      <c r="J2380" s="1">
        <v>0.8279</v>
      </c>
      <c r="K2380" s="1">
        <v>232.0</v>
      </c>
    </row>
    <row r="2381">
      <c r="A2381" s="1" t="s">
        <v>26</v>
      </c>
      <c r="B2381" s="1" t="s">
        <v>180</v>
      </c>
      <c r="C2381" s="1" t="s">
        <v>1211</v>
      </c>
      <c r="D2381" s="1">
        <v>7.0</v>
      </c>
      <c r="E2381" s="1">
        <v>2635.0</v>
      </c>
      <c r="F2381" s="1">
        <v>1697.0</v>
      </c>
      <c r="G2381" s="1">
        <v>1133.0</v>
      </c>
      <c r="H2381" s="1">
        <v>2.3257</v>
      </c>
      <c r="I2381" s="1">
        <v>1.4978</v>
      </c>
      <c r="J2381" s="1">
        <v>0.8279</v>
      </c>
      <c r="K2381" s="1">
        <v>235.0</v>
      </c>
    </row>
    <row r="2382">
      <c r="A2382" s="1" t="s">
        <v>26</v>
      </c>
      <c r="B2382" s="1" t="s">
        <v>180</v>
      </c>
      <c r="C2382" s="1" t="s">
        <v>1211</v>
      </c>
      <c r="D2382" s="1">
        <v>8.0</v>
      </c>
      <c r="E2382" s="1">
        <v>5070.0</v>
      </c>
      <c r="F2382" s="1">
        <v>2715.0</v>
      </c>
      <c r="G2382" s="1">
        <v>1133.0</v>
      </c>
      <c r="H2382" s="1">
        <v>4.4748</v>
      </c>
      <c r="I2382" s="1">
        <v>2.3963</v>
      </c>
      <c r="J2382" s="1">
        <v>2.0786</v>
      </c>
      <c r="K2382" s="1">
        <v>229.0</v>
      </c>
    </row>
    <row r="2383">
      <c r="A2383" s="1" t="s">
        <v>26</v>
      </c>
      <c r="B2383" s="1" t="s">
        <v>180</v>
      </c>
      <c r="C2383" s="1" t="s">
        <v>1211</v>
      </c>
      <c r="D2383" s="1">
        <v>9.0</v>
      </c>
      <c r="E2383" s="1">
        <v>3250.0</v>
      </c>
      <c r="F2383" s="1">
        <v>1713.0</v>
      </c>
      <c r="G2383" s="1">
        <v>1133.0</v>
      </c>
      <c r="H2383" s="1">
        <v>2.8685</v>
      </c>
      <c r="I2383" s="1">
        <v>1.5119</v>
      </c>
      <c r="J2383" s="1">
        <v>1.3566</v>
      </c>
      <c r="K2383" s="1">
        <v>234.0</v>
      </c>
    </row>
    <row r="2384">
      <c r="A2384" s="1" t="s">
        <v>26</v>
      </c>
      <c r="B2384" s="1" t="s">
        <v>180</v>
      </c>
      <c r="C2384" s="1" t="s">
        <v>1211</v>
      </c>
      <c r="D2384" s="1">
        <v>10.0</v>
      </c>
      <c r="E2384" s="1">
        <v>2720.0</v>
      </c>
      <c r="F2384" s="1">
        <v>1548.0</v>
      </c>
      <c r="G2384" s="1">
        <v>1133.0</v>
      </c>
      <c r="H2384" s="1">
        <v>2.4007</v>
      </c>
      <c r="I2384" s="1">
        <v>1.3663</v>
      </c>
      <c r="J2384" s="1">
        <v>1.0344</v>
      </c>
      <c r="K2384" s="1">
        <v>255.0</v>
      </c>
    </row>
    <row r="2385">
      <c r="A2385" s="1" t="s">
        <v>26</v>
      </c>
      <c r="B2385" s="1" t="s">
        <v>180</v>
      </c>
      <c r="C2385" s="1" t="s">
        <v>1211</v>
      </c>
      <c r="D2385" s="1">
        <v>11.0</v>
      </c>
      <c r="E2385" s="1">
        <v>2655.0</v>
      </c>
      <c r="F2385" s="1">
        <v>1616.0</v>
      </c>
      <c r="G2385" s="1">
        <v>1133.0</v>
      </c>
      <c r="H2385" s="1">
        <v>2.3433</v>
      </c>
      <c r="I2385" s="1">
        <v>1.4263</v>
      </c>
      <c r="J2385" s="1">
        <v>0.917</v>
      </c>
      <c r="K2385" s="1">
        <v>277.0</v>
      </c>
    </row>
    <row r="2386">
      <c r="A2386" s="1" t="s">
        <v>26</v>
      </c>
      <c r="B2386" s="1" t="s">
        <v>180</v>
      </c>
      <c r="C2386" s="1" t="s">
        <v>1211</v>
      </c>
      <c r="D2386" s="1">
        <v>12.0</v>
      </c>
      <c r="E2386" s="1">
        <v>5525.0</v>
      </c>
      <c r="F2386" s="1">
        <v>3698.0</v>
      </c>
      <c r="G2386" s="1">
        <v>1133.0</v>
      </c>
      <c r="H2386" s="1">
        <v>4.8764</v>
      </c>
      <c r="I2386" s="1">
        <v>3.2639</v>
      </c>
      <c r="J2386" s="1">
        <v>1.6125</v>
      </c>
      <c r="K2386" s="1">
        <v>292.0</v>
      </c>
    </row>
    <row r="2387">
      <c r="A2387" s="1" t="s">
        <v>26</v>
      </c>
      <c r="B2387" s="1" t="s">
        <v>180</v>
      </c>
      <c r="C2387" s="1" t="s">
        <v>1211</v>
      </c>
      <c r="D2387" s="1">
        <v>13.0</v>
      </c>
      <c r="E2387" s="1">
        <v>4050.0</v>
      </c>
      <c r="F2387" s="1">
        <v>2839.0</v>
      </c>
      <c r="G2387" s="1">
        <v>1133.0</v>
      </c>
      <c r="H2387" s="1">
        <v>3.5746</v>
      </c>
      <c r="I2387" s="1">
        <v>2.5057</v>
      </c>
      <c r="J2387" s="1">
        <v>1.0688</v>
      </c>
      <c r="K2387" s="1">
        <v>318.0</v>
      </c>
    </row>
    <row r="2388">
      <c r="A2388" s="1" t="s">
        <v>26</v>
      </c>
      <c r="B2388" s="1" t="s">
        <v>180</v>
      </c>
      <c r="C2388" s="1" t="s">
        <v>1211</v>
      </c>
      <c r="D2388" s="1">
        <v>14.0</v>
      </c>
      <c r="E2388" s="1">
        <v>3800.0</v>
      </c>
      <c r="F2388" s="1">
        <v>2613.0</v>
      </c>
      <c r="G2388" s="1">
        <v>1133.0</v>
      </c>
      <c r="H2388" s="1">
        <v>3.3539</v>
      </c>
      <c r="I2388" s="1">
        <v>2.3063</v>
      </c>
      <c r="J2388" s="1">
        <v>1.0477</v>
      </c>
      <c r="K2388" s="1">
        <v>331.0</v>
      </c>
    </row>
    <row r="2389">
      <c r="A2389" s="1" t="s">
        <v>26</v>
      </c>
      <c r="B2389" s="1" t="s">
        <v>180</v>
      </c>
      <c r="C2389" s="1" t="s">
        <v>1211</v>
      </c>
      <c r="D2389" s="1">
        <v>15.0</v>
      </c>
      <c r="E2389" s="1">
        <v>6910.0</v>
      </c>
      <c r="F2389" s="1">
        <v>3889.0</v>
      </c>
      <c r="G2389" s="1">
        <v>1133.0</v>
      </c>
      <c r="H2389" s="1">
        <v>6.0989</v>
      </c>
      <c r="I2389" s="1">
        <v>3.4325</v>
      </c>
      <c r="J2389" s="1">
        <v>2.6664</v>
      </c>
      <c r="K2389" s="1">
        <v>342.0</v>
      </c>
    </row>
    <row r="2390">
      <c r="A2390" s="1" t="s">
        <v>26</v>
      </c>
      <c r="B2390" s="1" t="s">
        <v>180</v>
      </c>
      <c r="C2390" s="1" t="s">
        <v>1211</v>
      </c>
      <c r="D2390" s="1">
        <v>16.0</v>
      </c>
      <c r="E2390" s="1">
        <v>4375.0</v>
      </c>
      <c r="F2390" s="1">
        <v>2445.0</v>
      </c>
      <c r="G2390" s="1">
        <v>1133.0</v>
      </c>
      <c r="H2390" s="1">
        <v>3.8614</v>
      </c>
      <c r="I2390" s="1">
        <v>2.158</v>
      </c>
      <c r="J2390" s="1">
        <v>1.7034</v>
      </c>
      <c r="K2390" s="1">
        <v>360.0</v>
      </c>
    </row>
    <row r="2391">
      <c r="A2391" s="1" t="s">
        <v>26</v>
      </c>
      <c r="B2391" s="1" t="s">
        <v>180</v>
      </c>
      <c r="C2391" s="1" t="s">
        <v>1211</v>
      </c>
      <c r="D2391" s="1">
        <v>17.0</v>
      </c>
      <c r="E2391" s="1">
        <v>4040.0</v>
      </c>
      <c r="F2391" s="1">
        <v>2475.0</v>
      </c>
      <c r="G2391" s="1">
        <v>1133.0</v>
      </c>
      <c r="H2391" s="1">
        <v>3.5658</v>
      </c>
      <c r="I2391" s="1">
        <v>2.1845</v>
      </c>
      <c r="J2391" s="1">
        <v>1.3813</v>
      </c>
      <c r="K2391" s="1">
        <v>373.0</v>
      </c>
    </row>
    <row r="2392">
      <c r="A2392" s="1" t="s">
        <v>26</v>
      </c>
      <c r="B2392" s="1" t="s">
        <v>180</v>
      </c>
      <c r="C2392" s="1" t="s">
        <v>1211</v>
      </c>
      <c r="D2392" s="1">
        <v>18.0</v>
      </c>
      <c r="E2392" s="1">
        <v>4690.0</v>
      </c>
      <c r="F2392" s="1">
        <v>2805.0</v>
      </c>
      <c r="G2392" s="1">
        <v>1133.0</v>
      </c>
      <c r="H2392" s="1">
        <v>4.1395</v>
      </c>
      <c r="I2392" s="1">
        <v>2.4757</v>
      </c>
      <c r="J2392" s="1">
        <v>1.6637</v>
      </c>
      <c r="K2392" s="1">
        <v>419.0</v>
      </c>
    </row>
    <row r="2393">
      <c r="A2393" s="1" t="s">
        <v>26</v>
      </c>
      <c r="B2393" s="1" t="s">
        <v>180</v>
      </c>
      <c r="C2393" s="1" t="s">
        <v>1211</v>
      </c>
      <c r="D2393" s="1">
        <v>19.0</v>
      </c>
      <c r="E2393" s="1">
        <v>4725.0</v>
      </c>
      <c r="F2393" s="1">
        <v>3053.0</v>
      </c>
      <c r="G2393" s="1">
        <v>1133.0</v>
      </c>
      <c r="H2393" s="1">
        <v>4.1703</v>
      </c>
      <c r="I2393" s="1">
        <v>2.6946</v>
      </c>
      <c r="J2393" s="1">
        <v>1.4757</v>
      </c>
      <c r="K2393" s="1">
        <v>431.0</v>
      </c>
    </row>
    <row r="2394">
      <c r="A2394" s="1" t="s">
        <v>26</v>
      </c>
      <c r="B2394" s="1" t="s">
        <v>180</v>
      </c>
      <c r="C2394" s="1" t="s">
        <v>1211</v>
      </c>
      <c r="D2394" s="1">
        <v>20.0</v>
      </c>
      <c r="E2394" s="1">
        <v>3815.0</v>
      </c>
      <c r="F2394" s="1">
        <v>2312.0</v>
      </c>
      <c r="G2394" s="1">
        <v>1133.0</v>
      </c>
      <c r="H2394" s="1">
        <v>3.3672</v>
      </c>
      <c r="I2394" s="1">
        <v>2.0406</v>
      </c>
      <c r="J2394" s="1">
        <v>1.3266</v>
      </c>
      <c r="K2394" s="1">
        <v>430.0</v>
      </c>
    </row>
    <row r="2395">
      <c r="A2395" s="1" t="s">
        <v>26</v>
      </c>
      <c r="B2395" s="1" t="s">
        <v>180</v>
      </c>
      <c r="C2395" s="1" t="s">
        <v>1211</v>
      </c>
      <c r="D2395" s="1">
        <v>21.0</v>
      </c>
      <c r="E2395" s="1">
        <v>2945.0</v>
      </c>
      <c r="F2395" s="1">
        <v>1903.0</v>
      </c>
      <c r="G2395" s="1">
        <v>1133.0</v>
      </c>
      <c r="H2395" s="1">
        <v>2.5993</v>
      </c>
      <c r="I2395" s="1">
        <v>1.6796</v>
      </c>
      <c r="J2395" s="1">
        <v>0.9197</v>
      </c>
      <c r="K2395" s="1">
        <v>416.0</v>
      </c>
    </row>
    <row r="2396">
      <c r="A2396" s="1" t="s">
        <v>26</v>
      </c>
      <c r="B2396" s="1" t="s">
        <v>180</v>
      </c>
      <c r="C2396" s="1" t="s">
        <v>55</v>
      </c>
      <c r="D2396" s="1">
        <v>1.0</v>
      </c>
      <c r="E2396" s="1">
        <v>129950.0</v>
      </c>
      <c r="F2396" s="1">
        <v>0.0</v>
      </c>
      <c r="G2396" s="1">
        <v>1199.0</v>
      </c>
      <c r="H2396" s="1">
        <v>108.382</v>
      </c>
      <c r="I2396" s="1">
        <v>0.0</v>
      </c>
      <c r="J2396" s="1">
        <v>108.382</v>
      </c>
      <c r="K2396" s="1">
        <v>188.0</v>
      </c>
    </row>
    <row r="2397">
      <c r="A2397" s="1" t="s">
        <v>26</v>
      </c>
      <c r="B2397" s="1" t="s">
        <v>180</v>
      </c>
      <c r="C2397" s="1" t="s">
        <v>55</v>
      </c>
      <c r="D2397" s="1">
        <v>2.0</v>
      </c>
      <c r="E2397" s="1">
        <v>132700.0</v>
      </c>
      <c r="F2397" s="1">
        <v>0.0</v>
      </c>
      <c r="G2397" s="1">
        <v>1199.0</v>
      </c>
      <c r="H2397" s="1">
        <v>110.6756</v>
      </c>
      <c r="I2397" s="1">
        <v>0.0</v>
      </c>
      <c r="J2397" s="1">
        <v>110.6756</v>
      </c>
      <c r="K2397" s="1">
        <v>216.0</v>
      </c>
    </row>
    <row r="2398">
      <c r="A2398" s="1" t="s">
        <v>26</v>
      </c>
      <c r="B2398" s="1" t="s">
        <v>180</v>
      </c>
      <c r="C2398" s="1" t="s">
        <v>55</v>
      </c>
      <c r="D2398" s="1">
        <v>3.0</v>
      </c>
      <c r="E2398" s="1">
        <v>154095.0</v>
      </c>
      <c r="F2398" s="1">
        <v>81.0</v>
      </c>
      <c r="G2398" s="1">
        <v>1199.0</v>
      </c>
      <c r="H2398" s="1">
        <v>128.5196</v>
      </c>
      <c r="I2398" s="1">
        <v>0.0676</v>
      </c>
      <c r="J2398" s="1">
        <v>128.452</v>
      </c>
      <c r="K2398" s="1">
        <v>235.0</v>
      </c>
    </row>
    <row r="2399">
      <c r="A2399" s="1" t="s">
        <v>26</v>
      </c>
      <c r="B2399" s="1" t="s">
        <v>180</v>
      </c>
      <c r="C2399" s="1" t="s">
        <v>55</v>
      </c>
      <c r="D2399" s="1">
        <v>4.0</v>
      </c>
      <c r="E2399" s="1">
        <v>132295.0</v>
      </c>
      <c r="F2399" s="1">
        <v>0.0</v>
      </c>
      <c r="G2399" s="1">
        <v>1199.0</v>
      </c>
      <c r="H2399" s="1">
        <v>110.3378</v>
      </c>
      <c r="I2399" s="1">
        <v>0.0</v>
      </c>
      <c r="J2399" s="1">
        <v>110.3378</v>
      </c>
      <c r="K2399" s="1">
        <v>242.0</v>
      </c>
    </row>
    <row r="2400">
      <c r="A2400" s="1" t="s">
        <v>26</v>
      </c>
      <c r="B2400" s="1" t="s">
        <v>180</v>
      </c>
      <c r="C2400" s="1" t="s">
        <v>55</v>
      </c>
      <c r="D2400" s="1">
        <v>5.0</v>
      </c>
      <c r="E2400" s="1">
        <v>135850.0</v>
      </c>
      <c r="F2400" s="1">
        <v>0.0</v>
      </c>
      <c r="G2400" s="1">
        <v>1199.0</v>
      </c>
      <c r="H2400" s="1">
        <v>113.3028</v>
      </c>
      <c r="I2400" s="1">
        <v>0.0</v>
      </c>
      <c r="J2400" s="1">
        <v>113.3028</v>
      </c>
      <c r="K2400" s="1">
        <v>239.0</v>
      </c>
    </row>
    <row r="2401">
      <c r="A2401" s="1" t="s">
        <v>26</v>
      </c>
      <c r="B2401" s="1" t="s">
        <v>180</v>
      </c>
      <c r="C2401" s="1" t="s">
        <v>55</v>
      </c>
      <c r="D2401" s="1">
        <v>6.0</v>
      </c>
      <c r="E2401" s="1">
        <v>117870.0</v>
      </c>
      <c r="F2401" s="1">
        <v>0.0</v>
      </c>
      <c r="G2401" s="1">
        <v>1199.0</v>
      </c>
      <c r="H2401" s="1">
        <v>98.3069</v>
      </c>
      <c r="I2401" s="1">
        <v>0.0</v>
      </c>
      <c r="J2401" s="1">
        <v>98.3069</v>
      </c>
      <c r="K2401" s="1">
        <v>232.0</v>
      </c>
    </row>
    <row r="2402">
      <c r="A2402" s="1" t="s">
        <v>26</v>
      </c>
      <c r="B2402" s="1" t="s">
        <v>180</v>
      </c>
      <c r="C2402" s="1" t="s">
        <v>55</v>
      </c>
      <c r="D2402" s="1">
        <v>7.0</v>
      </c>
      <c r="E2402" s="1">
        <v>106170.0</v>
      </c>
      <c r="F2402" s="1">
        <v>0.0</v>
      </c>
      <c r="G2402" s="1">
        <v>1199.0</v>
      </c>
      <c r="H2402" s="1">
        <v>88.5488</v>
      </c>
      <c r="I2402" s="1">
        <v>0.0</v>
      </c>
      <c r="J2402" s="1">
        <v>88.5488</v>
      </c>
      <c r="K2402" s="1">
        <v>235.0</v>
      </c>
    </row>
    <row r="2403">
      <c r="A2403" s="1" t="s">
        <v>26</v>
      </c>
      <c r="B2403" s="1" t="s">
        <v>180</v>
      </c>
      <c r="C2403" s="1" t="s">
        <v>55</v>
      </c>
      <c r="D2403" s="1">
        <v>8.0</v>
      </c>
      <c r="E2403" s="1">
        <v>132035.0</v>
      </c>
      <c r="F2403" s="1">
        <v>0.0</v>
      </c>
      <c r="G2403" s="1">
        <v>1199.0</v>
      </c>
      <c r="H2403" s="1">
        <v>110.1209</v>
      </c>
      <c r="I2403" s="1">
        <v>0.0</v>
      </c>
      <c r="J2403" s="1">
        <v>110.1209</v>
      </c>
      <c r="K2403" s="1">
        <v>229.0</v>
      </c>
    </row>
    <row r="2404">
      <c r="A2404" s="1" t="s">
        <v>26</v>
      </c>
      <c r="B2404" s="1" t="s">
        <v>180</v>
      </c>
      <c r="C2404" s="1" t="s">
        <v>55</v>
      </c>
      <c r="D2404" s="1">
        <v>9.0</v>
      </c>
      <c r="E2404" s="1">
        <v>132330.0</v>
      </c>
      <c r="F2404" s="1">
        <v>0.0</v>
      </c>
      <c r="G2404" s="1">
        <v>1199.0</v>
      </c>
      <c r="H2404" s="1">
        <v>110.367</v>
      </c>
      <c r="I2404" s="1">
        <v>0.0</v>
      </c>
      <c r="J2404" s="1">
        <v>110.367</v>
      </c>
      <c r="K2404" s="1">
        <v>234.0</v>
      </c>
    </row>
    <row r="2405">
      <c r="A2405" s="1" t="s">
        <v>26</v>
      </c>
      <c r="B2405" s="1" t="s">
        <v>180</v>
      </c>
      <c r="C2405" s="1" t="s">
        <v>55</v>
      </c>
      <c r="D2405" s="1">
        <v>10.0</v>
      </c>
      <c r="E2405" s="1">
        <v>133520.0</v>
      </c>
      <c r="F2405" s="1">
        <v>0.0</v>
      </c>
      <c r="G2405" s="1">
        <v>1199.0</v>
      </c>
      <c r="H2405" s="1">
        <v>111.3595</v>
      </c>
      <c r="I2405" s="1">
        <v>0.0</v>
      </c>
      <c r="J2405" s="1">
        <v>111.3595</v>
      </c>
      <c r="K2405" s="1">
        <v>255.0</v>
      </c>
    </row>
    <row r="2406">
      <c r="A2406" s="1" t="s">
        <v>26</v>
      </c>
      <c r="B2406" s="1" t="s">
        <v>180</v>
      </c>
      <c r="C2406" s="1" t="s">
        <v>55</v>
      </c>
      <c r="D2406" s="1">
        <v>11.0</v>
      </c>
      <c r="E2406" s="1">
        <v>140455.0</v>
      </c>
      <c r="F2406" s="1">
        <v>0.0</v>
      </c>
      <c r="G2406" s="1">
        <v>1199.0</v>
      </c>
      <c r="H2406" s="1">
        <v>117.1435</v>
      </c>
      <c r="I2406" s="1">
        <v>0.0</v>
      </c>
      <c r="J2406" s="1">
        <v>117.1435</v>
      </c>
      <c r="K2406" s="1">
        <v>277.0</v>
      </c>
    </row>
    <row r="2407">
      <c r="A2407" s="1" t="s">
        <v>26</v>
      </c>
      <c r="B2407" s="1" t="s">
        <v>180</v>
      </c>
      <c r="C2407" s="1" t="s">
        <v>55</v>
      </c>
      <c r="D2407" s="1">
        <v>12.0</v>
      </c>
      <c r="E2407" s="1">
        <v>152195.0</v>
      </c>
      <c r="F2407" s="1">
        <v>0.0</v>
      </c>
      <c r="G2407" s="1">
        <v>1199.0</v>
      </c>
      <c r="H2407" s="1">
        <v>126.9349</v>
      </c>
      <c r="I2407" s="1">
        <v>0.0</v>
      </c>
      <c r="J2407" s="1">
        <v>126.9349</v>
      </c>
      <c r="K2407" s="1">
        <v>292.0</v>
      </c>
    </row>
    <row r="2408">
      <c r="A2408" s="1" t="s">
        <v>26</v>
      </c>
      <c r="B2408" s="1" t="s">
        <v>180</v>
      </c>
      <c r="C2408" s="1" t="s">
        <v>55</v>
      </c>
      <c r="D2408" s="1">
        <v>13.0</v>
      </c>
      <c r="E2408" s="1">
        <v>160555.0</v>
      </c>
      <c r="F2408" s="1">
        <v>0.0</v>
      </c>
      <c r="G2408" s="1">
        <v>1199.0</v>
      </c>
      <c r="H2408" s="1">
        <v>133.9074</v>
      </c>
      <c r="I2408" s="1">
        <v>0.0</v>
      </c>
      <c r="J2408" s="1">
        <v>133.9074</v>
      </c>
      <c r="K2408" s="1">
        <v>318.0</v>
      </c>
    </row>
    <row r="2409">
      <c r="A2409" s="1" t="s">
        <v>26</v>
      </c>
      <c r="B2409" s="1" t="s">
        <v>180</v>
      </c>
      <c r="C2409" s="1" t="s">
        <v>55</v>
      </c>
      <c r="D2409" s="1">
        <v>14.0</v>
      </c>
      <c r="E2409" s="1">
        <v>159525.0</v>
      </c>
      <c r="F2409" s="1">
        <v>0.0</v>
      </c>
      <c r="G2409" s="1">
        <v>1199.0</v>
      </c>
      <c r="H2409" s="1">
        <v>133.0484</v>
      </c>
      <c r="I2409" s="1">
        <v>0.0</v>
      </c>
      <c r="J2409" s="1">
        <v>133.0484</v>
      </c>
      <c r="K2409" s="1">
        <v>331.0</v>
      </c>
    </row>
    <row r="2410">
      <c r="A2410" s="1" t="s">
        <v>26</v>
      </c>
      <c r="B2410" s="1" t="s">
        <v>180</v>
      </c>
      <c r="C2410" s="1" t="s">
        <v>55</v>
      </c>
      <c r="D2410" s="1">
        <v>15.0</v>
      </c>
      <c r="E2410" s="1">
        <v>194000.0</v>
      </c>
      <c r="F2410" s="1">
        <v>0.0</v>
      </c>
      <c r="G2410" s="1">
        <v>1199.0</v>
      </c>
      <c r="H2410" s="1">
        <v>161.8015</v>
      </c>
      <c r="I2410" s="1">
        <v>0.0</v>
      </c>
      <c r="J2410" s="1">
        <v>161.8015</v>
      </c>
      <c r="K2410" s="1">
        <v>342.0</v>
      </c>
    </row>
    <row r="2411">
      <c r="A2411" s="1" t="s">
        <v>26</v>
      </c>
      <c r="B2411" s="1" t="s">
        <v>180</v>
      </c>
      <c r="C2411" s="1" t="s">
        <v>55</v>
      </c>
      <c r="D2411" s="1">
        <v>16.0</v>
      </c>
      <c r="E2411" s="1">
        <v>171855.0</v>
      </c>
      <c r="F2411" s="1">
        <v>0.0</v>
      </c>
      <c r="G2411" s="1">
        <v>1199.0</v>
      </c>
      <c r="H2411" s="1">
        <v>143.3319</v>
      </c>
      <c r="I2411" s="1">
        <v>0.0</v>
      </c>
      <c r="J2411" s="1">
        <v>143.3319</v>
      </c>
      <c r="K2411" s="1">
        <v>360.0</v>
      </c>
    </row>
    <row r="2412">
      <c r="A2412" s="1" t="s">
        <v>26</v>
      </c>
      <c r="B2412" s="1" t="s">
        <v>180</v>
      </c>
      <c r="C2412" s="1" t="s">
        <v>55</v>
      </c>
      <c r="D2412" s="1">
        <v>17.0</v>
      </c>
      <c r="E2412" s="1">
        <v>174690.0</v>
      </c>
      <c r="F2412" s="1">
        <v>0.0</v>
      </c>
      <c r="G2412" s="1">
        <v>1199.0</v>
      </c>
      <c r="H2412" s="1">
        <v>145.6964</v>
      </c>
      <c r="I2412" s="1">
        <v>0.0</v>
      </c>
      <c r="J2412" s="1">
        <v>145.6964</v>
      </c>
      <c r="K2412" s="1">
        <v>373.0</v>
      </c>
    </row>
    <row r="2413">
      <c r="A2413" s="1" t="s">
        <v>26</v>
      </c>
      <c r="B2413" s="1" t="s">
        <v>180</v>
      </c>
      <c r="C2413" s="1" t="s">
        <v>55</v>
      </c>
      <c r="D2413" s="1">
        <v>18.0</v>
      </c>
      <c r="E2413" s="1">
        <v>196710.0</v>
      </c>
      <c r="F2413" s="1">
        <v>0.0</v>
      </c>
      <c r="G2413" s="1">
        <v>1199.0</v>
      </c>
      <c r="H2413" s="1">
        <v>164.0617</v>
      </c>
      <c r="I2413" s="1">
        <v>0.0</v>
      </c>
      <c r="J2413" s="1">
        <v>164.0617</v>
      </c>
      <c r="K2413" s="1">
        <v>419.0</v>
      </c>
    </row>
    <row r="2414">
      <c r="A2414" s="1" t="s">
        <v>26</v>
      </c>
      <c r="B2414" s="1" t="s">
        <v>180</v>
      </c>
      <c r="C2414" s="1" t="s">
        <v>55</v>
      </c>
      <c r="D2414" s="1">
        <v>19.0</v>
      </c>
      <c r="E2414" s="1">
        <v>192135.0</v>
      </c>
      <c r="F2414" s="1">
        <v>0.0</v>
      </c>
      <c r="G2414" s="1">
        <v>1199.0</v>
      </c>
      <c r="H2414" s="1">
        <v>160.246</v>
      </c>
      <c r="I2414" s="1">
        <v>0.0</v>
      </c>
      <c r="J2414" s="1">
        <v>160.246</v>
      </c>
      <c r="K2414" s="1">
        <v>431.0</v>
      </c>
    </row>
    <row r="2415">
      <c r="A2415" s="1" t="s">
        <v>26</v>
      </c>
      <c r="B2415" s="1" t="s">
        <v>180</v>
      </c>
      <c r="C2415" s="1" t="s">
        <v>55</v>
      </c>
      <c r="D2415" s="1">
        <v>20.0</v>
      </c>
      <c r="E2415" s="1">
        <v>170855.0</v>
      </c>
      <c r="F2415" s="1">
        <v>0.0</v>
      </c>
      <c r="G2415" s="1">
        <v>1199.0</v>
      </c>
      <c r="H2415" s="1">
        <v>142.4979</v>
      </c>
      <c r="I2415" s="1">
        <v>0.0</v>
      </c>
      <c r="J2415" s="1">
        <v>142.4979</v>
      </c>
      <c r="K2415" s="1">
        <v>430.0</v>
      </c>
    </row>
    <row r="2416">
      <c r="A2416" s="1" t="s">
        <v>26</v>
      </c>
      <c r="B2416" s="1" t="s">
        <v>180</v>
      </c>
      <c r="C2416" s="1" t="s">
        <v>55</v>
      </c>
      <c r="D2416" s="1">
        <v>21.0</v>
      </c>
      <c r="E2416" s="1">
        <v>144185.0</v>
      </c>
      <c r="F2416" s="1">
        <v>0.0</v>
      </c>
      <c r="G2416" s="1">
        <v>1199.0</v>
      </c>
      <c r="H2416" s="1">
        <v>120.2544</v>
      </c>
      <c r="I2416" s="1">
        <v>0.0</v>
      </c>
      <c r="J2416" s="1">
        <v>120.2544</v>
      </c>
      <c r="K2416" s="1">
        <v>416.0</v>
      </c>
    </row>
    <row r="2417">
      <c r="A2417" s="1" t="s">
        <v>26</v>
      </c>
      <c r="B2417" s="1" t="s">
        <v>180</v>
      </c>
      <c r="C2417" s="1" t="s">
        <v>46</v>
      </c>
      <c r="D2417" s="1">
        <v>1.0</v>
      </c>
      <c r="E2417" s="1">
        <v>160271.0</v>
      </c>
      <c r="F2417" s="1">
        <v>0.0</v>
      </c>
      <c r="G2417" s="1">
        <v>1187.0</v>
      </c>
      <c r="H2417" s="1">
        <v>135.0219</v>
      </c>
      <c r="I2417" s="1">
        <v>0.0</v>
      </c>
      <c r="J2417" s="1">
        <v>135.0219</v>
      </c>
      <c r="K2417" s="1">
        <v>188.0</v>
      </c>
    </row>
    <row r="2418">
      <c r="A2418" s="1" t="s">
        <v>26</v>
      </c>
      <c r="B2418" s="1" t="s">
        <v>180</v>
      </c>
      <c r="C2418" s="1" t="s">
        <v>46</v>
      </c>
      <c r="D2418" s="1">
        <v>2.0</v>
      </c>
      <c r="E2418" s="1">
        <v>189083.0</v>
      </c>
      <c r="F2418" s="1">
        <v>0.0</v>
      </c>
      <c r="G2418" s="1">
        <v>1187.0</v>
      </c>
      <c r="H2418" s="1">
        <v>159.2949</v>
      </c>
      <c r="I2418" s="1">
        <v>0.0</v>
      </c>
      <c r="J2418" s="1">
        <v>159.2949</v>
      </c>
      <c r="K2418" s="1">
        <v>216.0</v>
      </c>
    </row>
    <row r="2419">
      <c r="A2419" s="1" t="s">
        <v>26</v>
      </c>
      <c r="B2419" s="1" t="s">
        <v>180</v>
      </c>
      <c r="C2419" s="1" t="s">
        <v>46</v>
      </c>
      <c r="D2419" s="1">
        <v>3.0</v>
      </c>
      <c r="E2419" s="1">
        <v>161767.0</v>
      </c>
      <c r="F2419" s="1">
        <v>0.0</v>
      </c>
      <c r="G2419" s="1">
        <v>1187.0</v>
      </c>
      <c r="H2419" s="1">
        <v>136.2822</v>
      </c>
      <c r="I2419" s="1">
        <v>0.0</v>
      </c>
      <c r="J2419" s="1">
        <v>136.2822</v>
      </c>
      <c r="K2419" s="1">
        <v>235.0</v>
      </c>
    </row>
    <row r="2420">
      <c r="A2420" s="1" t="s">
        <v>26</v>
      </c>
      <c r="B2420" s="1" t="s">
        <v>180</v>
      </c>
      <c r="C2420" s="1" t="s">
        <v>46</v>
      </c>
      <c r="D2420" s="1">
        <v>4.0</v>
      </c>
      <c r="E2420" s="1">
        <v>224079.0</v>
      </c>
      <c r="F2420" s="1">
        <v>0.0</v>
      </c>
      <c r="G2420" s="1">
        <v>1187.0</v>
      </c>
      <c r="H2420" s="1">
        <v>188.7776</v>
      </c>
      <c r="I2420" s="1">
        <v>0.0</v>
      </c>
      <c r="J2420" s="1">
        <v>188.7776</v>
      </c>
      <c r="K2420" s="1">
        <v>242.0</v>
      </c>
    </row>
    <row r="2421">
      <c r="A2421" s="1" t="s">
        <v>26</v>
      </c>
      <c r="B2421" s="1" t="s">
        <v>180</v>
      </c>
      <c r="C2421" s="1" t="s">
        <v>46</v>
      </c>
      <c r="D2421" s="1">
        <v>5.0</v>
      </c>
      <c r="E2421" s="1">
        <v>211705.0</v>
      </c>
      <c r="F2421" s="1">
        <v>0.0</v>
      </c>
      <c r="G2421" s="1">
        <v>1187.0</v>
      </c>
      <c r="H2421" s="1">
        <v>178.353</v>
      </c>
      <c r="I2421" s="1">
        <v>0.0</v>
      </c>
      <c r="J2421" s="1">
        <v>178.353</v>
      </c>
      <c r="K2421" s="1">
        <v>239.0</v>
      </c>
    </row>
    <row r="2422">
      <c r="A2422" s="1" t="s">
        <v>26</v>
      </c>
      <c r="B2422" s="1" t="s">
        <v>180</v>
      </c>
      <c r="C2422" s="1" t="s">
        <v>46</v>
      </c>
      <c r="D2422" s="1">
        <v>6.0</v>
      </c>
      <c r="E2422" s="1">
        <v>173571.0</v>
      </c>
      <c r="F2422" s="1">
        <v>0.0</v>
      </c>
      <c r="G2422" s="1">
        <v>1187.0</v>
      </c>
      <c r="H2422" s="1">
        <v>146.2266</v>
      </c>
      <c r="I2422" s="1">
        <v>0.0</v>
      </c>
      <c r="J2422" s="1">
        <v>146.2266</v>
      </c>
      <c r="K2422" s="1">
        <v>232.0</v>
      </c>
    </row>
    <row r="2423">
      <c r="A2423" s="1" t="s">
        <v>26</v>
      </c>
      <c r="B2423" s="1" t="s">
        <v>180</v>
      </c>
      <c r="C2423" s="1" t="s">
        <v>46</v>
      </c>
      <c r="D2423" s="1">
        <v>7.0</v>
      </c>
      <c r="E2423" s="1">
        <v>164074.0</v>
      </c>
      <c r="F2423" s="1">
        <v>0.0</v>
      </c>
      <c r="G2423" s="1">
        <v>1187.0</v>
      </c>
      <c r="H2423" s="1">
        <v>138.2258</v>
      </c>
      <c r="I2423" s="1">
        <v>0.0</v>
      </c>
      <c r="J2423" s="1">
        <v>138.2258</v>
      </c>
      <c r="K2423" s="1">
        <v>235.0</v>
      </c>
    </row>
    <row r="2424">
      <c r="A2424" s="1" t="s">
        <v>26</v>
      </c>
      <c r="B2424" s="1" t="s">
        <v>180</v>
      </c>
      <c r="C2424" s="1" t="s">
        <v>46</v>
      </c>
      <c r="D2424" s="1">
        <v>8.0</v>
      </c>
      <c r="E2424" s="1">
        <v>228369.0</v>
      </c>
      <c r="F2424" s="1">
        <v>0.0</v>
      </c>
      <c r="G2424" s="1">
        <v>1187.0</v>
      </c>
      <c r="H2424" s="1">
        <v>192.3917</v>
      </c>
      <c r="I2424" s="1">
        <v>0.0</v>
      </c>
      <c r="J2424" s="1">
        <v>192.3917</v>
      </c>
      <c r="K2424" s="1">
        <v>229.0</v>
      </c>
    </row>
    <row r="2425">
      <c r="A2425" s="1" t="s">
        <v>26</v>
      </c>
      <c r="B2425" s="1" t="s">
        <v>180</v>
      </c>
      <c r="C2425" s="1" t="s">
        <v>46</v>
      </c>
      <c r="D2425" s="1">
        <v>9.0</v>
      </c>
      <c r="E2425" s="1">
        <v>227786.0</v>
      </c>
      <c r="F2425" s="1">
        <v>0.0</v>
      </c>
      <c r="G2425" s="1">
        <v>1187.0</v>
      </c>
      <c r="H2425" s="1">
        <v>191.9006</v>
      </c>
      <c r="I2425" s="1">
        <v>0.0</v>
      </c>
      <c r="J2425" s="1">
        <v>191.9006</v>
      </c>
      <c r="K2425" s="1">
        <v>234.0</v>
      </c>
    </row>
    <row r="2426">
      <c r="A2426" s="1" t="s">
        <v>26</v>
      </c>
      <c r="B2426" s="1" t="s">
        <v>180</v>
      </c>
      <c r="C2426" s="1" t="s">
        <v>46</v>
      </c>
      <c r="D2426" s="1">
        <v>10.0</v>
      </c>
      <c r="E2426" s="1">
        <v>261609.0</v>
      </c>
      <c r="F2426" s="1">
        <v>0.0</v>
      </c>
      <c r="G2426" s="1">
        <v>1187.0</v>
      </c>
      <c r="H2426" s="1">
        <v>220.3951</v>
      </c>
      <c r="I2426" s="1">
        <v>0.0</v>
      </c>
      <c r="J2426" s="1">
        <v>220.3951</v>
      </c>
      <c r="K2426" s="1">
        <v>255.0</v>
      </c>
    </row>
    <row r="2427">
      <c r="A2427" s="1" t="s">
        <v>26</v>
      </c>
      <c r="B2427" s="1" t="s">
        <v>180</v>
      </c>
      <c r="C2427" s="1" t="s">
        <v>46</v>
      </c>
      <c r="D2427" s="1">
        <v>11.0</v>
      </c>
      <c r="E2427" s="1">
        <v>278428.0</v>
      </c>
      <c r="F2427" s="1">
        <v>0.0</v>
      </c>
      <c r="G2427" s="1">
        <v>1187.0</v>
      </c>
      <c r="H2427" s="1">
        <v>234.5644</v>
      </c>
      <c r="I2427" s="1">
        <v>0.0</v>
      </c>
      <c r="J2427" s="1">
        <v>234.5644</v>
      </c>
      <c r="K2427" s="1">
        <v>277.0</v>
      </c>
    </row>
    <row r="2428">
      <c r="A2428" s="1" t="s">
        <v>26</v>
      </c>
      <c r="B2428" s="1" t="s">
        <v>180</v>
      </c>
      <c r="C2428" s="1" t="s">
        <v>46</v>
      </c>
      <c r="D2428" s="1">
        <v>12.0</v>
      </c>
      <c r="E2428" s="1">
        <v>262016.0</v>
      </c>
      <c r="F2428" s="1">
        <v>0.0</v>
      </c>
      <c r="G2428" s="1">
        <v>1187.0</v>
      </c>
      <c r="H2428" s="1">
        <v>220.738</v>
      </c>
      <c r="I2428" s="1">
        <v>0.0</v>
      </c>
      <c r="J2428" s="1">
        <v>220.738</v>
      </c>
      <c r="K2428" s="1">
        <v>292.0</v>
      </c>
    </row>
    <row r="2429">
      <c r="A2429" s="1" t="s">
        <v>26</v>
      </c>
      <c r="B2429" s="1" t="s">
        <v>180</v>
      </c>
      <c r="C2429" s="1" t="s">
        <v>46</v>
      </c>
      <c r="D2429" s="1">
        <v>13.0</v>
      </c>
      <c r="E2429" s="1">
        <v>273015.0</v>
      </c>
      <c r="F2429" s="1">
        <v>0.0</v>
      </c>
      <c r="G2429" s="1">
        <v>1187.0</v>
      </c>
      <c r="H2429" s="1">
        <v>230.0042</v>
      </c>
      <c r="I2429" s="1">
        <v>0.0</v>
      </c>
      <c r="J2429" s="1">
        <v>230.0042</v>
      </c>
      <c r="K2429" s="1">
        <v>318.0</v>
      </c>
    </row>
    <row r="2430">
      <c r="A2430" s="1" t="s">
        <v>26</v>
      </c>
      <c r="B2430" s="1" t="s">
        <v>180</v>
      </c>
      <c r="C2430" s="1" t="s">
        <v>46</v>
      </c>
      <c r="D2430" s="1">
        <v>14.0</v>
      </c>
      <c r="E2430" s="1">
        <v>286823.0</v>
      </c>
      <c r="F2430" s="1">
        <v>0.0</v>
      </c>
      <c r="G2430" s="1">
        <v>1187.0</v>
      </c>
      <c r="H2430" s="1">
        <v>241.6369</v>
      </c>
      <c r="I2430" s="1">
        <v>0.0</v>
      </c>
      <c r="J2430" s="1">
        <v>241.6369</v>
      </c>
      <c r="K2430" s="1">
        <v>331.0</v>
      </c>
    </row>
    <row r="2431">
      <c r="A2431" s="1" t="s">
        <v>26</v>
      </c>
      <c r="B2431" s="1" t="s">
        <v>180</v>
      </c>
      <c r="C2431" s="1" t="s">
        <v>46</v>
      </c>
      <c r="D2431" s="1">
        <v>15.0</v>
      </c>
      <c r="E2431" s="1">
        <v>385368.0</v>
      </c>
      <c r="F2431" s="1">
        <v>0.0</v>
      </c>
      <c r="G2431" s="1">
        <v>1187.0</v>
      </c>
      <c r="H2431" s="1">
        <v>324.6571</v>
      </c>
      <c r="I2431" s="1">
        <v>0.0</v>
      </c>
      <c r="J2431" s="1">
        <v>324.6571</v>
      </c>
      <c r="K2431" s="1">
        <v>342.0</v>
      </c>
    </row>
    <row r="2432">
      <c r="A2432" s="1" t="s">
        <v>26</v>
      </c>
      <c r="B2432" s="1" t="s">
        <v>180</v>
      </c>
      <c r="C2432" s="1" t="s">
        <v>46</v>
      </c>
      <c r="D2432" s="1">
        <v>16.0</v>
      </c>
      <c r="E2432" s="1">
        <v>353275.0</v>
      </c>
      <c r="F2432" s="1">
        <v>0.0</v>
      </c>
      <c r="G2432" s="1">
        <v>1187.0</v>
      </c>
      <c r="H2432" s="1">
        <v>297.6201</v>
      </c>
      <c r="I2432" s="1">
        <v>0.0</v>
      </c>
      <c r="J2432" s="1">
        <v>297.6201</v>
      </c>
      <c r="K2432" s="1">
        <v>360.0</v>
      </c>
    </row>
    <row r="2433">
      <c r="A2433" s="1" t="s">
        <v>26</v>
      </c>
      <c r="B2433" s="1" t="s">
        <v>180</v>
      </c>
      <c r="C2433" s="1" t="s">
        <v>46</v>
      </c>
      <c r="D2433" s="1">
        <v>17.0</v>
      </c>
      <c r="E2433" s="1">
        <v>384855.0</v>
      </c>
      <c r="F2433" s="1">
        <v>0.0</v>
      </c>
      <c r="G2433" s="1">
        <v>1187.0</v>
      </c>
      <c r="H2433" s="1">
        <v>324.2249</v>
      </c>
      <c r="I2433" s="1">
        <v>0.0</v>
      </c>
      <c r="J2433" s="1">
        <v>324.2249</v>
      </c>
      <c r="K2433" s="1">
        <v>373.0</v>
      </c>
    </row>
    <row r="2434">
      <c r="A2434" s="1" t="s">
        <v>26</v>
      </c>
      <c r="B2434" s="1" t="s">
        <v>180</v>
      </c>
      <c r="C2434" s="1" t="s">
        <v>46</v>
      </c>
      <c r="D2434" s="1">
        <v>18.0</v>
      </c>
      <c r="E2434" s="1">
        <v>393232.0</v>
      </c>
      <c r="F2434" s="1">
        <v>0.0</v>
      </c>
      <c r="G2434" s="1">
        <v>1187.0</v>
      </c>
      <c r="H2434" s="1">
        <v>331.2822</v>
      </c>
      <c r="I2434" s="1">
        <v>0.0</v>
      </c>
      <c r="J2434" s="1">
        <v>331.2822</v>
      </c>
      <c r="K2434" s="1">
        <v>419.0</v>
      </c>
    </row>
    <row r="2435">
      <c r="A2435" s="1" t="s">
        <v>26</v>
      </c>
      <c r="B2435" s="1" t="s">
        <v>180</v>
      </c>
      <c r="C2435" s="1" t="s">
        <v>46</v>
      </c>
      <c r="D2435" s="1">
        <v>19.0</v>
      </c>
      <c r="E2435" s="1">
        <v>352726.0</v>
      </c>
      <c r="F2435" s="1">
        <v>0.0</v>
      </c>
      <c r="G2435" s="1">
        <v>1187.0</v>
      </c>
      <c r="H2435" s="1">
        <v>297.1575</v>
      </c>
      <c r="I2435" s="1">
        <v>0.0</v>
      </c>
      <c r="J2435" s="1">
        <v>297.1575</v>
      </c>
      <c r="K2435" s="1">
        <v>431.0</v>
      </c>
    </row>
    <row r="2436">
      <c r="A2436" s="1" t="s">
        <v>26</v>
      </c>
      <c r="B2436" s="1" t="s">
        <v>180</v>
      </c>
      <c r="C2436" s="1" t="s">
        <v>46</v>
      </c>
      <c r="D2436" s="1">
        <v>20.0</v>
      </c>
      <c r="E2436" s="1">
        <v>294447.0</v>
      </c>
      <c r="F2436" s="1">
        <v>0.0</v>
      </c>
      <c r="G2436" s="1">
        <v>1187.0</v>
      </c>
      <c r="H2436" s="1">
        <v>248.0598</v>
      </c>
      <c r="I2436" s="1">
        <v>0.0</v>
      </c>
      <c r="J2436" s="1">
        <v>248.0598</v>
      </c>
      <c r="K2436" s="1">
        <v>430.0</v>
      </c>
    </row>
    <row r="2437">
      <c r="A2437" s="1" t="s">
        <v>26</v>
      </c>
      <c r="B2437" s="1" t="s">
        <v>180</v>
      </c>
      <c r="C2437" s="1" t="s">
        <v>46</v>
      </c>
      <c r="D2437" s="1">
        <v>21.0</v>
      </c>
      <c r="E2437" s="1">
        <v>247927.0</v>
      </c>
      <c r="F2437" s="1">
        <v>0.0</v>
      </c>
      <c r="G2437" s="1">
        <v>1187.0</v>
      </c>
      <c r="H2437" s="1">
        <v>208.8686</v>
      </c>
      <c r="I2437" s="1">
        <v>0.0</v>
      </c>
      <c r="J2437" s="1">
        <v>208.8686</v>
      </c>
      <c r="K2437" s="1">
        <v>416.0</v>
      </c>
    </row>
    <row r="2438">
      <c r="A2438" s="1" t="s">
        <v>26</v>
      </c>
      <c r="B2438" s="1" t="s">
        <v>180</v>
      </c>
      <c r="C2438" s="1" t="s">
        <v>1213</v>
      </c>
      <c r="D2438" s="1">
        <v>1.0</v>
      </c>
      <c r="E2438" s="1">
        <v>0.0</v>
      </c>
      <c r="F2438" s="1">
        <v>0.0</v>
      </c>
      <c r="G2438" s="1">
        <v>723.0</v>
      </c>
      <c r="H2438" s="1">
        <v>0.0</v>
      </c>
      <c r="I2438" s="1">
        <v>0.0</v>
      </c>
      <c r="J2438" s="1">
        <v>0.0</v>
      </c>
      <c r="K2438" s="1">
        <v>188.0</v>
      </c>
    </row>
    <row r="2439">
      <c r="A2439" s="1" t="s">
        <v>26</v>
      </c>
      <c r="B2439" s="1" t="s">
        <v>180</v>
      </c>
      <c r="C2439" s="1" t="s">
        <v>1213</v>
      </c>
      <c r="D2439" s="1">
        <v>2.0</v>
      </c>
      <c r="E2439" s="1">
        <v>0.0</v>
      </c>
      <c r="F2439" s="1">
        <v>0.0</v>
      </c>
      <c r="G2439" s="1">
        <v>723.0</v>
      </c>
      <c r="H2439" s="1">
        <v>0.0</v>
      </c>
      <c r="I2439" s="1">
        <v>0.0</v>
      </c>
      <c r="J2439" s="1">
        <v>0.0</v>
      </c>
      <c r="K2439" s="1">
        <v>216.0</v>
      </c>
    </row>
    <row r="2440">
      <c r="A2440" s="1" t="s">
        <v>26</v>
      </c>
      <c r="B2440" s="1" t="s">
        <v>180</v>
      </c>
      <c r="C2440" s="1" t="s">
        <v>1213</v>
      </c>
      <c r="D2440" s="1">
        <v>3.0</v>
      </c>
      <c r="E2440" s="1">
        <v>0.0</v>
      </c>
      <c r="F2440" s="1">
        <v>0.0</v>
      </c>
      <c r="G2440" s="1">
        <v>723.0</v>
      </c>
      <c r="H2440" s="1">
        <v>0.0</v>
      </c>
      <c r="I2440" s="1">
        <v>0.0</v>
      </c>
      <c r="J2440" s="1">
        <v>0.0</v>
      </c>
      <c r="K2440" s="1">
        <v>235.0</v>
      </c>
    </row>
    <row r="2441">
      <c r="A2441" s="1" t="s">
        <v>26</v>
      </c>
      <c r="B2441" s="1" t="s">
        <v>180</v>
      </c>
      <c r="C2441" s="1" t="s">
        <v>1213</v>
      </c>
      <c r="D2441" s="1">
        <v>4.0</v>
      </c>
      <c r="E2441" s="1">
        <v>0.0</v>
      </c>
      <c r="F2441" s="1">
        <v>0.0</v>
      </c>
      <c r="G2441" s="1">
        <v>723.0</v>
      </c>
      <c r="H2441" s="1">
        <v>0.0</v>
      </c>
      <c r="I2441" s="1">
        <v>0.0</v>
      </c>
      <c r="J2441" s="1">
        <v>0.0</v>
      </c>
      <c r="K2441" s="1">
        <v>242.0</v>
      </c>
    </row>
    <row r="2442">
      <c r="A2442" s="1" t="s">
        <v>26</v>
      </c>
      <c r="B2442" s="1" t="s">
        <v>180</v>
      </c>
      <c r="C2442" s="1" t="s">
        <v>1213</v>
      </c>
      <c r="D2442" s="1">
        <v>5.0</v>
      </c>
      <c r="E2442" s="1">
        <v>0.0</v>
      </c>
      <c r="F2442" s="1">
        <v>0.0</v>
      </c>
      <c r="G2442" s="1">
        <v>723.0</v>
      </c>
      <c r="H2442" s="1">
        <v>0.0</v>
      </c>
      <c r="I2442" s="1">
        <v>0.0</v>
      </c>
      <c r="J2442" s="1">
        <v>0.0</v>
      </c>
      <c r="K2442" s="1">
        <v>239.0</v>
      </c>
    </row>
    <row r="2443">
      <c r="A2443" s="1" t="s">
        <v>26</v>
      </c>
      <c r="B2443" s="1" t="s">
        <v>180</v>
      </c>
      <c r="C2443" s="1" t="s">
        <v>1213</v>
      </c>
      <c r="D2443" s="1">
        <v>6.0</v>
      </c>
      <c r="E2443" s="1">
        <v>0.0</v>
      </c>
      <c r="F2443" s="1">
        <v>0.0</v>
      </c>
      <c r="G2443" s="1">
        <v>723.0</v>
      </c>
      <c r="H2443" s="1">
        <v>0.0</v>
      </c>
      <c r="I2443" s="1">
        <v>0.0</v>
      </c>
      <c r="J2443" s="1">
        <v>0.0</v>
      </c>
      <c r="K2443" s="1">
        <v>232.0</v>
      </c>
    </row>
    <row r="2444">
      <c r="A2444" s="1" t="s">
        <v>26</v>
      </c>
      <c r="B2444" s="1" t="s">
        <v>180</v>
      </c>
      <c r="C2444" s="1" t="s">
        <v>1213</v>
      </c>
      <c r="D2444" s="1">
        <v>7.0</v>
      </c>
      <c r="E2444" s="1">
        <v>0.0</v>
      </c>
      <c r="F2444" s="1">
        <v>0.0</v>
      </c>
      <c r="G2444" s="1">
        <v>723.0</v>
      </c>
      <c r="H2444" s="1">
        <v>0.0</v>
      </c>
      <c r="I2444" s="1">
        <v>0.0</v>
      </c>
      <c r="J2444" s="1">
        <v>0.0</v>
      </c>
      <c r="K2444" s="1">
        <v>235.0</v>
      </c>
    </row>
    <row r="2445">
      <c r="A2445" s="1" t="s">
        <v>26</v>
      </c>
      <c r="B2445" s="1" t="s">
        <v>180</v>
      </c>
      <c r="C2445" s="1" t="s">
        <v>1213</v>
      </c>
      <c r="D2445" s="1">
        <v>8.0</v>
      </c>
      <c r="E2445" s="1">
        <v>3960.0</v>
      </c>
      <c r="F2445" s="1">
        <v>0.0</v>
      </c>
      <c r="G2445" s="1">
        <v>723.0</v>
      </c>
      <c r="H2445" s="1">
        <v>5.4772</v>
      </c>
      <c r="I2445" s="1">
        <v>0.0</v>
      </c>
      <c r="J2445" s="1">
        <v>5.4772</v>
      </c>
      <c r="K2445" s="1">
        <v>229.0</v>
      </c>
    </row>
    <row r="2446">
      <c r="A2446" s="1" t="s">
        <v>26</v>
      </c>
      <c r="B2446" s="1" t="s">
        <v>180</v>
      </c>
      <c r="C2446" s="1" t="s">
        <v>1213</v>
      </c>
      <c r="D2446" s="1">
        <v>9.0</v>
      </c>
      <c r="E2446" s="1">
        <v>2320.0</v>
      </c>
      <c r="F2446" s="1">
        <v>0.0</v>
      </c>
      <c r="G2446" s="1">
        <v>723.0</v>
      </c>
      <c r="H2446" s="1">
        <v>3.2089</v>
      </c>
      <c r="I2446" s="1">
        <v>0.0</v>
      </c>
      <c r="J2446" s="1">
        <v>3.2089</v>
      </c>
      <c r="K2446" s="1">
        <v>234.0</v>
      </c>
    </row>
    <row r="2447">
      <c r="A2447" s="1" t="s">
        <v>26</v>
      </c>
      <c r="B2447" s="1" t="s">
        <v>180</v>
      </c>
      <c r="C2447" s="1" t="s">
        <v>1213</v>
      </c>
      <c r="D2447" s="1">
        <v>10.0</v>
      </c>
      <c r="E2447" s="1">
        <v>2260.0</v>
      </c>
      <c r="F2447" s="1">
        <v>0.0</v>
      </c>
      <c r="G2447" s="1">
        <v>723.0</v>
      </c>
      <c r="H2447" s="1">
        <v>3.1259</v>
      </c>
      <c r="I2447" s="1">
        <v>0.0</v>
      </c>
      <c r="J2447" s="1">
        <v>3.1259</v>
      </c>
      <c r="K2447" s="1">
        <v>255.0</v>
      </c>
    </row>
    <row r="2448">
      <c r="A2448" s="1" t="s">
        <v>26</v>
      </c>
      <c r="B2448" s="1" t="s">
        <v>180</v>
      </c>
      <c r="C2448" s="1" t="s">
        <v>1213</v>
      </c>
      <c r="D2448" s="1">
        <v>11.0</v>
      </c>
      <c r="E2448" s="1">
        <v>1715.0</v>
      </c>
      <c r="F2448" s="1">
        <v>0.0</v>
      </c>
      <c r="G2448" s="1">
        <v>723.0</v>
      </c>
      <c r="H2448" s="1">
        <v>2.3721</v>
      </c>
      <c r="I2448" s="1">
        <v>0.0</v>
      </c>
      <c r="J2448" s="1">
        <v>2.3721</v>
      </c>
      <c r="K2448" s="1">
        <v>277.0</v>
      </c>
    </row>
    <row r="2449">
      <c r="A2449" s="1" t="s">
        <v>26</v>
      </c>
      <c r="B2449" s="1" t="s">
        <v>180</v>
      </c>
      <c r="C2449" s="1" t="s">
        <v>1213</v>
      </c>
      <c r="D2449" s="1">
        <v>12.0</v>
      </c>
      <c r="E2449" s="1">
        <v>80.0</v>
      </c>
      <c r="F2449" s="1">
        <v>0.0</v>
      </c>
      <c r="G2449" s="1">
        <v>723.0</v>
      </c>
      <c r="H2449" s="1">
        <v>0.1107</v>
      </c>
      <c r="I2449" s="1">
        <v>0.0</v>
      </c>
      <c r="J2449" s="1">
        <v>0.1107</v>
      </c>
      <c r="K2449" s="1">
        <v>292.0</v>
      </c>
    </row>
    <row r="2450">
      <c r="A2450" s="1" t="s">
        <v>26</v>
      </c>
      <c r="B2450" s="1" t="s">
        <v>180</v>
      </c>
      <c r="C2450" s="1" t="s">
        <v>1213</v>
      </c>
      <c r="D2450" s="1">
        <v>13.0</v>
      </c>
      <c r="E2450" s="1">
        <v>0.0</v>
      </c>
      <c r="F2450" s="1">
        <v>0.0</v>
      </c>
      <c r="G2450" s="1">
        <v>723.0</v>
      </c>
      <c r="H2450" s="1">
        <v>0.0</v>
      </c>
      <c r="I2450" s="1">
        <v>0.0</v>
      </c>
      <c r="J2450" s="1">
        <v>0.0</v>
      </c>
      <c r="K2450" s="1">
        <v>318.0</v>
      </c>
    </row>
    <row r="2451">
      <c r="A2451" s="1" t="s">
        <v>26</v>
      </c>
      <c r="B2451" s="1" t="s">
        <v>180</v>
      </c>
      <c r="C2451" s="1" t="s">
        <v>1213</v>
      </c>
      <c r="D2451" s="1">
        <v>14.0</v>
      </c>
      <c r="E2451" s="1">
        <v>0.0</v>
      </c>
      <c r="F2451" s="1">
        <v>0.0</v>
      </c>
      <c r="G2451" s="1">
        <v>723.0</v>
      </c>
      <c r="H2451" s="1">
        <v>0.0</v>
      </c>
      <c r="I2451" s="1">
        <v>0.0</v>
      </c>
      <c r="J2451" s="1">
        <v>0.0</v>
      </c>
      <c r="K2451" s="1">
        <v>331.0</v>
      </c>
    </row>
    <row r="2452">
      <c r="A2452" s="1" t="s">
        <v>26</v>
      </c>
      <c r="B2452" s="1" t="s">
        <v>180</v>
      </c>
      <c r="C2452" s="1" t="s">
        <v>1213</v>
      </c>
      <c r="D2452" s="1">
        <v>15.0</v>
      </c>
      <c r="E2452" s="1">
        <v>5130.0</v>
      </c>
      <c r="F2452" s="1">
        <v>0.0</v>
      </c>
      <c r="G2452" s="1">
        <v>723.0</v>
      </c>
      <c r="H2452" s="1">
        <v>7.0954</v>
      </c>
      <c r="I2452" s="1">
        <v>0.0</v>
      </c>
      <c r="J2452" s="1">
        <v>7.0954</v>
      </c>
      <c r="K2452" s="1">
        <v>342.0</v>
      </c>
    </row>
    <row r="2453">
      <c r="A2453" s="1" t="s">
        <v>26</v>
      </c>
      <c r="B2453" s="1" t="s">
        <v>180</v>
      </c>
      <c r="C2453" s="1" t="s">
        <v>1213</v>
      </c>
      <c r="D2453" s="1">
        <v>16.0</v>
      </c>
      <c r="E2453" s="1">
        <v>4270.0</v>
      </c>
      <c r="F2453" s="1">
        <v>0.0</v>
      </c>
      <c r="G2453" s="1">
        <v>723.0</v>
      </c>
      <c r="H2453" s="1">
        <v>5.9059</v>
      </c>
      <c r="I2453" s="1">
        <v>0.0</v>
      </c>
      <c r="J2453" s="1">
        <v>5.9059</v>
      </c>
      <c r="K2453" s="1">
        <v>360.0</v>
      </c>
    </row>
    <row r="2454">
      <c r="A2454" s="1" t="s">
        <v>26</v>
      </c>
      <c r="B2454" s="1" t="s">
        <v>180</v>
      </c>
      <c r="C2454" s="1" t="s">
        <v>1213</v>
      </c>
      <c r="D2454" s="1">
        <v>17.0</v>
      </c>
      <c r="E2454" s="1">
        <v>2730.0</v>
      </c>
      <c r="F2454" s="1">
        <v>0.0</v>
      </c>
      <c r="G2454" s="1">
        <v>723.0</v>
      </c>
      <c r="H2454" s="1">
        <v>3.7759</v>
      </c>
      <c r="I2454" s="1">
        <v>0.0</v>
      </c>
      <c r="J2454" s="1">
        <v>3.7759</v>
      </c>
      <c r="K2454" s="1">
        <v>373.0</v>
      </c>
    </row>
    <row r="2455">
      <c r="A2455" s="1" t="s">
        <v>26</v>
      </c>
      <c r="B2455" s="1" t="s">
        <v>180</v>
      </c>
      <c r="C2455" s="1" t="s">
        <v>1213</v>
      </c>
      <c r="D2455" s="1">
        <v>18.0</v>
      </c>
      <c r="E2455" s="1">
        <v>2685.0</v>
      </c>
      <c r="F2455" s="1">
        <v>0.0</v>
      </c>
      <c r="G2455" s="1">
        <v>723.0</v>
      </c>
      <c r="H2455" s="1">
        <v>3.7137</v>
      </c>
      <c r="I2455" s="1">
        <v>0.0</v>
      </c>
      <c r="J2455" s="1">
        <v>3.7137</v>
      </c>
      <c r="K2455" s="1">
        <v>419.0</v>
      </c>
    </row>
    <row r="2456">
      <c r="A2456" s="1" t="s">
        <v>26</v>
      </c>
      <c r="B2456" s="1" t="s">
        <v>180</v>
      </c>
      <c r="C2456" s="1" t="s">
        <v>1213</v>
      </c>
      <c r="D2456" s="1">
        <v>19.0</v>
      </c>
      <c r="E2456" s="1">
        <v>90.0</v>
      </c>
      <c r="F2456" s="1">
        <v>0.0</v>
      </c>
      <c r="G2456" s="1">
        <v>723.0</v>
      </c>
      <c r="H2456" s="1">
        <v>0.1245</v>
      </c>
      <c r="I2456" s="1">
        <v>0.0</v>
      </c>
      <c r="J2456" s="1">
        <v>0.1245</v>
      </c>
      <c r="K2456" s="1">
        <v>431.0</v>
      </c>
    </row>
    <row r="2457">
      <c r="A2457" s="1" t="s">
        <v>26</v>
      </c>
      <c r="B2457" s="1" t="s">
        <v>180</v>
      </c>
      <c r="C2457" s="1" t="s">
        <v>1213</v>
      </c>
      <c r="D2457" s="1">
        <v>20.0</v>
      </c>
      <c r="E2457" s="1">
        <v>0.0</v>
      </c>
      <c r="F2457" s="1">
        <v>0.0</v>
      </c>
      <c r="G2457" s="1">
        <v>723.0</v>
      </c>
      <c r="H2457" s="1">
        <v>0.0</v>
      </c>
      <c r="I2457" s="1">
        <v>0.0</v>
      </c>
      <c r="J2457" s="1">
        <v>0.0</v>
      </c>
      <c r="K2457" s="1">
        <v>430.0</v>
      </c>
    </row>
    <row r="2458">
      <c r="A2458" s="1" t="s">
        <v>26</v>
      </c>
      <c r="B2458" s="1" t="s">
        <v>180</v>
      </c>
      <c r="C2458" s="1" t="s">
        <v>1213</v>
      </c>
      <c r="D2458" s="1">
        <v>21.0</v>
      </c>
      <c r="E2458" s="1">
        <v>0.0</v>
      </c>
      <c r="F2458" s="1">
        <v>0.0</v>
      </c>
      <c r="G2458" s="1">
        <v>723.0</v>
      </c>
      <c r="H2458" s="1">
        <v>0.0</v>
      </c>
      <c r="I2458" s="1">
        <v>0.0</v>
      </c>
      <c r="J2458" s="1">
        <v>0.0</v>
      </c>
      <c r="K2458" s="1">
        <v>416.0</v>
      </c>
    </row>
    <row r="2459">
      <c r="A2459" s="1" t="s">
        <v>26</v>
      </c>
      <c r="B2459" s="1" t="s">
        <v>1192</v>
      </c>
      <c r="C2459" s="1" t="s">
        <v>1205</v>
      </c>
      <c r="D2459" s="1">
        <v>1.0</v>
      </c>
      <c r="E2459" s="1">
        <v>35385.3585</v>
      </c>
      <c r="F2459" s="1">
        <v>33150.0</v>
      </c>
      <c r="G2459" s="1">
        <v>202.0</v>
      </c>
      <c r="H2459" s="1">
        <v>175.175</v>
      </c>
      <c r="I2459" s="1">
        <v>164.1089</v>
      </c>
      <c r="J2459" s="1">
        <v>11.0661</v>
      </c>
      <c r="K2459" s="1">
        <v>48.0</v>
      </c>
    </row>
    <row r="2460">
      <c r="A2460" s="1" t="s">
        <v>26</v>
      </c>
      <c r="B2460" s="1" t="s">
        <v>1192</v>
      </c>
      <c r="C2460" s="1" t="s">
        <v>1205</v>
      </c>
      <c r="D2460" s="1">
        <v>2.0</v>
      </c>
      <c r="E2460" s="1">
        <v>38415.3835</v>
      </c>
      <c r="F2460" s="1">
        <v>42750.0</v>
      </c>
      <c r="G2460" s="1">
        <v>202.0</v>
      </c>
      <c r="H2460" s="1">
        <v>190.1752</v>
      </c>
      <c r="I2460" s="1">
        <v>211.6337</v>
      </c>
      <c r="J2460" s="1">
        <v>-21.4585</v>
      </c>
      <c r="K2460" s="1">
        <v>58.0</v>
      </c>
    </row>
    <row r="2461">
      <c r="A2461" s="1" t="s">
        <v>26</v>
      </c>
      <c r="B2461" s="1" t="s">
        <v>1192</v>
      </c>
      <c r="C2461" s="1" t="s">
        <v>1205</v>
      </c>
      <c r="D2461" s="1">
        <v>3.0</v>
      </c>
      <c r="E2461" s="1">
        <v>35192.3848</v>
      </c>
      <c r="F2461" s="1">
        <v>34150.0</v>
      </c>
      <c r="G2461" s="1">
        <v>202.0</v>
      </c>
      <c r="H2461" s="1">
        <v>174.2197</v>
      </c>
      <c r="I2461" s="1">
        <v>169.0594</v>
      </c>
      <c r="J2461" s="1">
        <v>5.1603</v>
      </c>
      <c r="K2461" s="1">
        <v>53.0</v>
      </c>
    </row>
    <row r="2462">
      <c r="A2462" s="1" t="s">
        <v>26</v>
      </c>
      <c r="B2462" s="1" t="s">
        <v>1192</v>
      </c>
      <c r="C2462" s="1" t="s">
        <v>1205</v>
      </c>
      <c r="D2462" s="1">
        <v>4.0</v>
      </c>
      <c r="E2462" s="1">
        <v>40998.2881</v>
      </c>
      <c r="F2462" s="1">
        <v>39300.0</v>
      </c>
      <c r="G2462" s="1">
        <v>202.0</v>
      </c>
      <c r="H2462" s="1">
        <v>202.9618</v>
      </c>
      <c r="I2462" s="1">
        <v>194.5545</v>
      </c>
      <c r="J2462" s="1">
        <v>8.4074</v>
      </c>
      <c r="K2462" s="1">
        <v>58.0</v>
      </c>
    </row>
    <row r="2463">
      <c r="A2463" s="1" t="s">
        <v>26</v>
      </c>
      <c r="B2463" s="1" t="s">
        <v>1192</v>
      </c>
      <c r="C2463" s="1" t="s">
        <v>1205</v>
      </c>
      <c r="D2463" s="1">
        <v>5.0</v>
      </c>
      <c r="E2463" s="1">
        <v>50383.5851</v>
      </c>
      <c r="F2463" s="1">
        <v>47550.0</v>
      </c>
      <c r="G2463" s="1">
        <v>202.0</v>
      </c>
      <c r="H2463" s="1">
        <v>249.4237</v>
      </c>
      <c r="I2463" s="1">
        <v>235.396</v>
      </c>
      <c r="J2463" s="1">
        <v>14.0276</v>
      </c>
      <c r="K2463" s="1">
        <v>61.0</v>
      </c>
    </row>
    <row r="2464">
      <c r="A2464" s="1" t="s">
        <v>26</v>
      </c>
      <c r="B2464" s="1" t="s">
        <v>1192</v>
      </c>
      <c r="C2464" s="1" t="s">
        <v>1205</v>
      </c>
      <c r="D2464" s="1">
        <v>6.0</v>
      </c>
      <c r="E2464" s="1">
        <v>37494.0</v>
      </c>
      <c r="F2464" s="1">
        <v>39500.0</v>
      </c>
      <c r="G2464" s="1">
        <v>202.0</v>
      </c>
      <c r="H2464" s="1">
        <v>185.6139</v>
      </c>
      <c r="I2464" s="1">
        <v>195.5446</v>
      </c>
      <c r="J2464" s="1">
        <v>-9.9307</v>
      </c>
      <c r="K2464" s="1">
        <v>67.0</v>
      </c>
    </row>
    <row r="2465">
      <c r="A2465" s="1" t="s">
        <v>26</v>
      </c>
      <c r="B2465" s="1" t="s">
        <v>1192</v>
      </c>
      <c r="C2465" s="1" t="s">
        <v>1205</v>
      </c>
      <c r="D2465" s="1">
        <v>7.0</v>
      </c>
      <c r="E2465" s="1">
        <v>35831.0</v>
      </c>
      <c r="F2465" s="1">
        <v>38450.0</v>
      </c>
      <c r="G2465" s="1">
        <v>202.0</v>
      </c>
      <c r="H2465" s="1">
        <v>177.3812</v>
      </c>
      <c r="I2465" s="1">
        <v>190.3465</v>
      </c>
      <c r="J2465" s="1">
        <v>-12.9653</v>
      </c>
      <c r="K2465" s="1">
        <v>65.0</v>
      </c>
    </row>
    <row r="2466">
      <c r="A2466" s="1" t="s">
        <v>26</v>
      </c>
      <c r="B2466" s="1" t="s">
        <v>1192</v>
      </c>
      <c r="C2466" s="1" t="s">
        <v>1205</v>
      </c>
      <c r="D2466" s="1">
        <v>8.0</v>
      </c>
      <c r="E2466" s="1">
        <v>44279.7441</v>
      </c>
      <c r="F2466" s="1">
        <v>41800.0</v>
      </c>
      <c r="G2466" s="1">
        <v>202.0</v>
      </c>
      <c r="H2466" s="1">
        <v>219.2067</v>
      </c>
      <c r="I2466" s="1">
        <v>206.9307</v>
      </c>
      <c r="J2466" s="1">
        <v>12.276</v>
      </c>
      <c r="K2466" s="1">
        <v>66.0</v>
      </c>
    </row>
    <row r="2467">
      <c r="A2467" s="1" t="s">
        <v>26</v>
      </c>
      <c r="B2467" s="1" t="s">
        <v>1192</v>
      </c>
      <c r="C2467" s="1" t="s">
        <v>1205</v>
      </c>
      <c r="D2467" s="1">
        <v>9.0</v>
      </c>
      <c r="E2467" s="1">
        <v>29469.3278</v>
      </c>
      <c r="F2467" s="1">
        <v>32600.0</v>
      </c>
      <c r="G2467" s="1">
        <v>202.0</v>
      </c>
      <c r="H2467" s="1">
        <v>145.8878</v>
      </c>
      <c r="I2467" s="1">
        <v>161.3861</v>
      </c>
      <c r="J2467" s="1">
        <v>-15.4984</v>
      </c>
      <c r="K2467" s="1">
        <v>64.0</v>
      </c>
    </row>
    <row r="2468">
      <c r="A2468" s="1" t="s">
        <v>26</v>
      </c>
      <c r="B2468" s="1" t="s">
        <v>1192</v>
      </c>
      <c r="C2468" s="1" t="s">
        <v>1205</v>
      </c>
      <c r="D2468" s="1">
        <v>10.0</v>
      </c>
      <c r="E2468" s="1">
        <v>43335.3347</v>
      </c>
      <c r="F2468" s="1">
        <v>39900.0</v>
      </c>
      <c r="G2468" s="1">
        <v>202.0</v>
      </c>
      <c r="H2468" s="1">
        <v>214.5314</v>
      </c>
      <c r="I2468" s="1">
        <v>197.5248</v>
      </c>
      <c r="J2468" s="1">
        <v>17.0066</v>
      </c>
      <c r="K2468" s="1">
        <v>62.0</v>
      </c>
    </row>
    <row r="2469">
      <c r="A2469" s="1" t="s">
        <v>26</v>
      </c>
      <c r="B2469" s="1" t="s">
        <v>1192</v>
      </c>
      <c r="C2469" s="1" t="s">
        <v>1205</v>
      </c>
      <c r="D2469" s="1">
        <v>11.0</v>
      </c>
      <c r="E2469" s="1">
        <v>33606.0095</v>
      </c>
      <c r="F2469" s="1">
        <v>33600.0</v>
      </c>
      <c r="G2469" s="1">
        <v>202.0</v>
      </c>
      <c r="H2469" s="1">
        <v>166.3664</v>
      </c>
      <c r="I2469" s="1">
        <v>166.3366</v>
      </c>
      <c r="J2469" s="1">
        <v>0.0298</v>
      </c>
      <c r="K2469" s="1">
        <v>62.0</v>
      </c>
    </row>
    <row r="2470">
      <c r="A2470" s="1" t="s">
        <v>26</v>
      </c>
      <c r="B2470" s="1" t="s">
        <v>1192</v>
      </c>
      <c r="C2470" s="1" t="s">
        <v>1205</v>
      </c>
      <c r="D2470" s="1">
        <v>12.0</v>
      </c>
      <c r="E2470" s="1">
        <v>51068.7858</v>
      </c>
      <c r="F2470" s="1">
        <v>49850.0</v>
      </c>
      <c r="G2470" s="1">
        <v>202.0</v>
      </c>
      <c r="H2470" s="1">
        <v>252.8158</v>
      </c>
      <c r="I2470" s="1">
        <v>246.7822</v>
      </c>
      <c r="J2470" s="1">
        <v>6.0336</v>
      </c>
      <c r="K2470" s="1">
        <v>70.0</v>
      </c>
    </row>
    <row r="2471">
      <c r="A2471" s="1" t="s">
        <v>26</v>
      </c>
      <c r="B2471" s="1" t="s">
        <v>1192</v>
      </c>
      <c r="C2471" s="1" t="s">
        <v>1205</v>
      </c>
      <c r="D2471" s="1">
        <v>13.0</v>
      </c>
      <c r="E2471" s="1">
        <v>38074.0</v>
      </c>
      <c r="F2471" s="1">
        <v>39650.0</v>
      </c>
      <c r="G2471" s="1">
        <v>202.0</v>
      </c>
      <c r="H2471" s="1">
        <v>188.4851</v>
      </c>
      <c r="I2471" s="1">
        <v>196.2871</v>
      </c>
      <c r="J2471" s="1">
        <v>-7.802</v>
      </c>
      <c r="K2471" s="1">
        <v>72.0</v>
      </c>
    </row>
    <row r="2472">
      <c r="A2472" s="1" t="s">
        <v>26</v>
      </c>
      <c r="B2472" s="1" t="s">
        <v>1192</v>
      </c>
      <c r="C2472" s="1" t="s">
        <v>1205</v>
      </c>
      <c r="D2472" s="1">
        <v>14.0</v>
      </c>
      <c r="E2472" s="1">
        <v>38595.0</v>
      </c>
      <c r="F2472" s="1">
        <v>39650.0</v>
      </c>
      <c r="G2472" s="1">
        <v>202.0</v>
      </c>
      <c r="H2472" s="1">
        <v>191.0644</v>
      </c>
      <c r="I2472" s="1">
        <v>196.2871</v>
      </c>
      <c r="J2472" s="1">
        <v>-5.2228</v>
      </c>
      <c r="K2472" s="1">
        <v>74.0</v>
      </c>
    </row>
    <row r="2473">
      <c r="A2473" s="1" t="s">
        <v>26</v>
      </c>
      <c r="B2473" s="1" t="s">
        <v>1192</v>
      </c>
      <c r="C2473" s="1" t="s">
        <v>1205</v>
      </c>
      <c r="D2473" s="1">
        <v>15.0</v>
      </c>
      <c r="E2473" s="1">
        <v>49671.4382</v>
      </c>
      <c r="F2473" s="1">
        <v>47050.0</v>
      </c>
      <c r="G2473" s="1">
        <v>202.0</v>
      </c>
      <c r="H2473" s="1">
        <v>245.8982</v>
      </c>
      <c r="I2473" s="1">
        <v>232.9208</v>
      </c>
      <c r="J2473" s="1">
        <v>12.9774</v>
      </c>
      <c r="K2473" s="1">
        <v>73.0</v>
      </c>
    </row>
    <row r="2474">
      <c r="A2474" s="1" t="s">
        <v>26</v>
      </c>
      <c r="B2474" s="1" t="s">
        <v>1192</v>
      </c>
      <c r="C2474" s="1" t="s">
        <v>1205</v>
      </c>
      <c r="D2474" s="1">
        <v>16.0</v>
      </c>
      <c r="E2474" s="1">
        <v>30915.2341</v>
      </c>
      <c r="F2474" s="1">
        <v>34050.0</v>
      </c>
      <c r="G2474" s="1">
        <v>202.0</v>
      </c>
      <c r="H2474" s="1">
        <v>153.0457</v>
      </c>
      <c r="I2474" s="1">
        <v>168.5644</v>
      </c>
      <c r="J2474" s="1">
        <v>-15.5186</v>
      </c>
      <c r="K2474" s="1">
        <v>75.0</v>
      </c>
    </row>
    <row r="2475">
      <c r="A2475" s="1" t="s">
        <v>26</v>
      </c>
      <c r="B2475" s="1" t="s">
        <v>1192</v>
      </c>
      <c r="C2475" s="1" t="s">
        <v>1205</v>
      </c>
      <c r="D2475" s="1">
        <v>17.0</v>
      </c>
      <c r="E2475" s="1">
        <v>43495.9029</v>
      </c>
      <c r="F2475" s="1">
        <v>42600.0</v>
      </c>
      <c r="G2475" s="1">
        <v>202.0</v>
      </c>
      <c r="H2475" s="1">
        <v>215.3263</v>
      </c>
      <c r="I2475" s="1">
        <v>210.8911</v>
      </c>
      <c r="J2475" s="1">
        <v>4.4352</v>
      </c>
      <c r="K2475" s="1">
        <v>76.0</v>
      </c>
    </row>
    <row r="2476">
      <c r="A2476" s="1" t="s">
        <v>26</v>
      </c>
      <c r="B2476" s="1" t="s">
        <v>1192</v>
      </c>
      <c r="C2476" s="1" t="s">
        <v>1205</v>
      </c>
      <c r="D2476" s="1">
        <v>18.0</v>
      </c>
      <c r="E2476" s="1">
        <v>37943.6093</v>
      </c>
      <c r="F2476" s="1">
        <v>44050.0</v>
      </c>
      <c r="G2476" s="1">
        <v>202.0</v>
      </c>
      <c r="H2476" s="1">
        <v>187.8396</v>
      </c>
      <c r="I2476" s="1">
        <v>218.0693</v>
      </c>
      <c r="J2476" s="1">
        <v>-30.2297</v>
      </c>
      <c r="K2476" s="1">
        <v>81.0</v>
      </c>
    </row>
    <row r="2477">
      <c r="A2477" s="1" t="s">
        <v>26</v>
      </c>
      <c r="B2477" s="1" t="s">
        <v>1192</v>
      </c>
      <c r="C2477" s="1" t="s">
        <v>1205</v>
      </c>
      <c r="D2477" s="1">
        <v>19.0</v>
      </c>
      <c r="E2477" s="1">
        <v>46255.8155</v>
      </c>
      <c r="F2477" s="1">
        <v>50250.0</v>
      </c>
      <c r="G2477" s="1">
        <v>202.0</v>
      </c>
      <c r="H2477" s="1">
        <v>228.9892</v>
      </c>
      <c r="I2477" s="1">
        <v>248.7624</v>
      </c>
      <c r="J2477" s="1">
        <v>-19.7732</v>
      </c>
      <c r="K2477" s="1">
        <v>83.0</v>
      </c>
    </row>
    <row r="2478">
      <c r="A2478" s="1" t="s">
        <v>26</v>
      </c>
      <c r="B2478" s="1" t="s">
        <v>1192</v>
      </c>
      <c r="C2478" s="1" t="s">
        <v>1205</v>
      </c>
      <c r="D2478" s="1">
        <v>20.0</v>
      </c>
      <c r="E2478" s="1">
        <v>45160.0</v>
      </c>
      <c r="F2478" s="1">
        <v>47300.0</v>
      </c>
      <c r="G2478" s="1">
        <v>202.0</v>
      </c>
      <c r="H2478" s="1">
        <v>223.5644</v>
      </c>
      <c r="I2478" s="1">
        <v>234.1584</v>
      </c>
      <c r="J2478" s="1">
        <v>-10.5941</v>
      </c>
      <c r="K2478" s="1">
        <v>92.0</v>
      </c>
    </row>
    <row r="2479">
      <c r="A2479" s="1" t="s">
        <v>26</v>
      </c>
      <c r="B2479" s="1" t="s">
        <v>1192</v>
      </c>
      <c r="C2479" s="1" t="s">
        <v>1205</v>
      </c>
      <c r="D2479" s="1">
        <v>21.0</v>
      </c>
      <c r="E2479" s="1">
        <v>53211.0</v>
      </c>
      <c r="F2479" s="1">
        <v>46650.0</v>
      </c>
      <c r="G2479" s="1">
        <v>202.0</v>
      </c>
      <c r="H2479" s="1">
        <v>263.4208</v>
      </c>
      <c r="I2479" s="1">
        <v>230.9406</v>
      </c>
      <c r="J2479" s="1">
        <v>32.4802</v>
      </c>
      <c r="K2479" s="1">
        <v>91.0</v>
      </c>
    </row>
    <row r="2480">
      <c r="A2480" s="1" t="s">
        <v>26</v>
      </c>
      <c r="B2480" s="1" t="s">
        <v>1192</v>
      </c>
      <c r="C2480" s="1" t="s">
        <v>52</v>
      </c>
      <c r="D2480" s="1">
        <v>1.0</v>
      </c>
      <c r="E2480" s="1">
        <v>301.0</v>
      </c>
      <c r="F2480" s="1">
        <v>304.0</v>
      </c>
      <c r="G2480" s="1">
        <v>202.0</v>
      </c>
      <c r="H2480" s="1">
        <v>1.4901</v>
      </c>
      <c r="I2480" s="1">
        <v>1.505</v>
      </c>
      <c r="J2480" s="1">
        <v>-0.0149</v>
      </c>
      <c r="K2480" s="1">
        <v>48.0</v>
      </c>
    </row>
    <row r="2481">
      <c r="A2481" s="1" t="s">
        <v>26</v>
      </c>
      <c r="B2481" s="1" t="s">
        <v>1192</v>
      </c>
      <c r="C2481" s="1" t="s">
        <v>52</v>
      </c>
      <c r="D2481" s="1">
        <v>2.0</v>
      </c>
      <c r="E2481" s="1">
        <v>320.0</v>
      </c>
      <c r="F2481" s="1">
        <v>377.0</v>
      </c>
      <c r="G2481" s="1">
        <v>202.0</v>
      </c>
      <c r="H2481" s="1">
        <v>1.5842</v>
      </c>
      <c r="I2481" s="1">
        <v>1.8663</v>
      </c>
      <c r="J2481" s="1">
        <v>-0.2822</v>
      </c>
      <c r="K2481" s="1">
        <v>58.0</v>
      </c>
    </row>
    <row r="2482">
      <c r="A2482" s="1" t="s">
        <v>26</v>
      </c>
      <c r="B2482" s="1" t="s">
        <v>1192</v>
      </c>
      <c r="C2482" s="1" t="s">
        <v>52</v>
      </c>
      <c r="D2482" s="1">
        <v>3.0</v>
      </c>
      <c r="E2482" s="1">
        <v>463.0</v>
      </c>
      <c r="F2482" s="1">
        <v>258.0</v>
      </c>
      <c r="G2482" s="1">
        <v>202.0</v>
      </c>
      <c r="H2482" s="1">
        <v>2.2921</v>
      </c>
      <c r="I2482" s="1">
        <v>1.2772</v>
      </c>
      <c r="J2482" s="1">
        <v>1.0149</v>
      </c>
      <c r="K2482" s="1">
        <v>53.0</v>
      </c>
    </row>
    <row r="2483">
      <c r="A2483" s="1" t="s">
        <v>26</v>
      </c>
      <c r="B2483" s="1" t="s">
        <v>1192</v>
      </c>
      <c r="C2483" s="1" t="s">
        <v>52</v>
      </c>
      <c r="D2483" s="1">
        <v>4.0</v>
      </c>
      <c r="E2483" s="1">
        <v>767.0</v>
      </c>
      <c r="F2483" s="1">
        <v>284.0</v>
      </c>
      <c r="G2483" s="1">
        <v>202.0</v>
      </c>
      <c r="H2483" s="1">
        <v>3.797</v>
      </c>
      <c r="I2483" s="1">
        <v>1.4059</v>
      </c>
      <c r="J2483" s="1">
        <v>2.3911</v>
      </c>
      <c r="K2483" s="1">
        <v>58.0</v>
      </c>
    </row>
    <row r="2484">
      <c r="A2484" s="1" t="s">
        <v>26</v>
      </c>
      <c r="B2484" s="1" t="s">
        <v>1192</v>
      </c>
      <c r="C2484" s="1" t="s">
        <v>52</v>
      </c>
      <c r="D2484" s="1">
        <v>5.0</v>
      </c>
      <c r="E2484" s="1">
        <v>312.0</v>
      </c>
      <c r="F2484" s="1">
        <v>309.0</v>
      </c>
      <c r="G2484" s="1">
        <v>202.0</v>
      </c>
      <c r="H2484" s="1">
        <v>1.5446</v>
      </c>
      <c r="I2484" s="1">
        <v>1.5297</v>
      </c>
      <c r="J2484" s="1">
        <v>0.0149</v>
      </c>
      <c r="K2484" s="1">
        <v>61.0</v>
      </c>
    </row>
    <row r="2485">
      <c r="A2485" s="1" t="s">
        <v>26</v>
      </c>
      <c r="B2485" s="1" t="s">
        <v>1192</v>
      </c>
      <c r="C2485" s="1" t="s">
        <v>52</v>
      </c>
      <c r="D2485" s="1">
        <v>6.0</v>
      </c>
      <c r="E2485" s="1">
        <v>250.0</v>
      </c>
      <c r="F2485" s="1">
        <v>319.0</v>
      </c>
      <c r="G2485" s="1">
        <v>202.0</v>
      </c>
      <c r="H2485" s="1">
        <v>1.2376</v>
      </c>
      <c r="I2485" s="1">
        <v>1.5792</v>
      </c>
      <c r="J2485" s="1">
        <v>-0.3416</v>
      </c>
      <c r="K2485" s="1">
        <v>67.0</v>
      </c>
    </row>
    <row r="2486">
      <c r="A2486" s="1" t="s">
        <v>26</v>
      </c>
      <c r="B2486" s="1" t="s">
        <v>1192</v>
      </c>
      <c r="C2486" s="1" t="s">
        <v>52</v>
      </c>
      <c r="D2486" s="1">
        <v>7.0</v>
      </c>
      <c r="E2486" s="1">
        <v>238.0</v>
      </c>
      <c r="F2486" s="1">
        <v>300.0</v>
      </c>
      <c r="G2486" s="1">
        <v>202.0</v>
      </c>
      <c r="H2486" s="1">
        <v>1.1782</v>
      </c>
      <c r="I2486" s="1">
        <v>1.4851</v>
      </c>
      <c r="J2486" s="1">
        <v>-0.3069</v>
      </c>
      <c r="K2486" s="1">
        <v>65.0</v>
      </c>
    </row>
    <row r="2487">
      <c r="A2487" s="1" t="s">
        <v>26</v>
      </c>
      <c r="B2487" s="1" t="s">
        <v>1192</v>
      </c>
      <c r="C2487" s="1" t="s">
        <v>52</v>
      </c>
      <c r="D2487" s="1">
        <v>8.0</v>
      </c>
      <c r="E2487" s="1">
        <v>463.0</v>
      </c>
      <c r="F2487" s="1">
        <v>420.0</v>
      </c>
      <c r="G2487" s="1">
        <v>202.0</v>
      </c>
      <c r="H2487" s="1">
        <v>2.2921</v>
      </c>
      <c r="I2487" s="1">
        <v>2.0792</v>
      </c>
      <c r="J2487" s="1">
        <v>0.2129</v>
      </c>
      <c r="K2487" s="1">
        <v>66.0</v>
      </c>
    </row>
    <row r="2488">
      <c r="A2488" s="1" t="s">
        <v>26</v>
      </c>
      <c r="B2488" s="1" t="s">
        <v>1192</v>
      </c>
      <c r="C2488" s="1" t="s">
        <v>52</v>
      </c>
      <c r="D2488" s="1">
        <v>9.0</v>
      </c>
      <c r="E2488" s="1">
        <v>261.0</v>
      </c>
      <c r="F2488" s="1">
        <v>330.0</v>
      </c>
      <c r="G2488" s="1">
        <v>202.0</v>
      </c>
      <c r="H2488" s="1">
        <v>1.2921</v>
      </c>
      <c r="I2488" s="1">
        <v>1.6337</v>
      </c>
      <c r="J2488" s="1">
        <v>-0.3416</v>
      </c>
      <c r="K2488" s="1">
        <v>64.0</v>
      </c>
    </row>
    <row r="2489">
      <c r="A2489" s="1" t="s">
        <v>26</v>
      </c>
      <c r="B2489" s="1" t="s">
        <v>1192</v>
      </c>
      <c r="C2489" s="1" t="s">
        <v>52</v>
      </c>
      <c r="D2489" s="1">
        <v>10.0</v>
      </c>
      <c r="E2489" s="1">
        <v>510.0</v>
      </c>
      <c r="F2489" s="1">
        <v>257.0</v>
      </c>
      <c r="G2489" s="1">
        <v>202.0</v>
      </c>
      <c r="H2489" s="1">
        <v>2.5248</v>
      </c>
      <c r="I2489" s="1">
        <v>1.2723</v>
      </c>
      <c r="J2489" s="1">
        <v>1.2525</v>
      </c>
      <c r="K2489" s="1">
        <v>62.0</v>
      </c>
    </row>
    <row r="2490">
      <c r="A2490" s="1" t="s">
        <v>26</v>
      </c>
      <c r="B2490" s="1" t="s">
        <v>1192</v>
      </c>
      <c r="C2490" s="1" t="s">
        <v>52</v>
      </c>
      <c r="D2490" s="1">
        <v>11.0</v>
      </c>
      <c r="E2490" s="1">
        <v>509.0</v>
      </c>
      <c r="F2490" s="1">
        <v>301.0</v>
      </c>
      <c r="G2490" s="1">
        <v>202.0</v>
      </c>
      <c r="H2490" s="1">
        <v>2.5198</v>
      </c>
      <c r="I2490" s="1">
        <v>1.4901</v>
      </c>
      <c r="J2490" s="1">
        <v>1.0297</v>
      </c>
      <c r="K2490" s="1">
        <v>62.0</v>
      </c>
    </row>
    <row r="2491">
      <c r="A2491" s="1" t="s">
        <v>26</v>
      </c>
      <c r="B2491" s="1" t="s">
        <v>1192</v>
      </c>
      <c r="C2491" s="1" t="s">
        <v>52</v>
      </c>
      <c r="D2491" s="1">
        <v>12.0</v>
      </c>
      <c r="E2491" s="1">
        <v>288.0</v>
      </c>
      <c r="F2491" s="1">
        <v>302.0</v>
      </c>
      <c r="G2491" s="1">
        <v>202.0</v>
      </c>
      <c r="H2491" s="1">
        <v>1.4257</v>
      </c>
      <c r="I2491" s="1">
        <v>1.495</v>
      </c>
      <c r="J2491" s="1">
        <v>-0.0693</v>
      </c>
      <c r="K2491" s="1">
        <v>70.0</v>
      </c>
    </row>
    <row r="2492">
      <c r="A2492" s="1" t="s">
        <v>26</v>
      </c>
      <c r="B2492" s="1" t="s">
        <v>1192</v>
      </c>
      <c r="C2492" s="1" t="s">
        <v>52</v>
      </c>
      <c r="D2492" s="1">
        <v>13.0</v>
      </c>
      <c r="E2492" s="1">
        <v>230.0</v>
      </c>
      <c r="F2492" s="1">
        <v>309.0</v>
      </c>
      <c r="G2492" s="1">
        <v>202.0</v>
      </c>
      <c r="H2492" s="1">
        <v>1.1386</v>
      </c>
      <c r="I2492" s="1">
        <v>1.5297</v>
      </c>
      <c r="J2492" s="1">
        <v>-0.3911</v>
      </c>
      <c r="K2492" s="1">
        <v>72.0</v>
      </c>
    </row>
    <row r="2493">
      <c r="A2493" s="1" t="s">
        <v>26</v>
      </c>
      <c r="B2493" s="1" t="s">
        <v>1192</v>
      </c>
      <c r="C2493" s="1" t="s">
        <v>52</v>
      </c>
      <c r="D2493" s="1">
        <v>14.0</v>
      </c>
      <c r="E2493" s="1">
        <v>237.0</v>
      </c>
      <c r="F2493" s="1">
        <v>257.0</v>
      </c>
      <c r="G2493" s="1">
        <v>202.0</v>
      </c>
      <c r="H2493" s="1">
        <v>1.1733</v>
      </c>
      <c r="I2493" s="1">
        <v>1.2723</v>
      </c>
      <c r="J2493" s="1">
        <v>-0.099</v>
      </c>
      <c r="K2493" s="1">
        <v>74.0</v>
      </c>
    </row>
    <row r="2494">
      <c r="A2494" s="1" t="s">
        <v>26</v>
      </c>
      <c r="B2494" s="1" t="s">
        <v>1192</v>
      </c>
      <c r="C2494" s="1" t="s">
        <v>52</v>
      </c>
      <c r="D2494" s="1">
        <v>15.0</v>
      </c>
      <c r="E2494" s="1">
        <v>481.0</v>
      </c>
      <c r="F2494" s="1">
        <v>447.0</v>
      </c>
      <c r="G2494" s="1">
        <v>202.0</v>
      </c>
      <c r="H2494" s="1">
        <v>2.3812</v>
      </c>
      <c r="I2494" s="1">
        <v>2.2129</v>
      </c>
      <c r="J2494" s="1">
        <v>0.1683</v>
      </c>
      <c r="K2494" s="1">
        <v>73.0</v>
      </c>
    </row>
    <row r="2495">
      <c r="A2495" s="1" t="s">
        <v>26</v>
      </c>
      <c r="B2495" s="1" t="s">
        <v>1192</v>
      </c>
      <c r="C2495" s="1" t="s">
        <v>52</v>
      </c>
      <c r="D2495" s="1">
        <v>16.0</v>
      </c>
      <c r="E2495" s="1">
        <v>307.0</v>
      </c>
      <c r="F2495" s="1">
        <v>346.0</v>
      </c>
      <c r="G2495" s="1">
        <v>202.0</v>
      </c>
      <c r="H2495" s="1">
        <v>1.5198</v>
      </c>
      <c r="I2495" s="1">
        <v>1.7129</v>
      </c>
      <c r="J2495" s="1">
        <v>-0.1931</v>
      </c>
      <c r="K2495" s="1">
        <v>75.0</v>
      </c>
    </row>
    <row r="2496">
      <c r="A2496" s="1" t="s">
        <v>26</v>
      </c>
      <c r="B2496" s="1" t="s">
        <v>1192</v>
      </c>
      <c r="C2496" s="1" t="s">
        <v>52</v>
      </c>
      <c r="D2496" s="1">
        <v>17.0</v>
      </c>
      <c r="E2496" s="1">
        <v>266.0</v>
      </c>
      <c r="F2496" s="1">
        <v>325.0</v>
      </c>
      <c r="G2496" s="1">
        <v>202.0</v>
      </c>
      <c r="H2496" s="1">
        <v>1.3168</v>
      </c>
      <c r="I2496" s="1">
        <v>1.6089</v>
      </c>
      <c r="J2496" s="1">
        <v>-0.2921</v>
      </c>
      <c r="K2496" s="1">
        <v>76.0</v>
      </c>
    </row>
    <row r="2497">
      <c r="A2497" s="1" t="s">
        <v>26</v>
      </c>
      <c r="B2497" s="1" t="s">
        <v>1192</v>
      </c>
      <c r="C2497" s="1" t="s">
        <v>52</v>
      </c>
      <c r="D2497" s="1">
        <v>18.0</v>
      </c>
      <c r="E2497" s="1">
        <v>462.0</v>
      </c>
      <c r="F2497" s="1">
        <v>324.0</v>
      </c>
      <c r="G2497" s="1">
        <v>202.0</v>
      </c>
      <c r="H2497" s="1">
        <v>2.2871</v>
      </c>
      <c r="I2497" s="1">
        <v>1.604</v>
      </c>
      <c r="J2497" s="1">
        <v>0.6832</v>
      </c>
      <c r="K2497" s="1">
        <v>81.0</v>
      </c>
    </row>
    <row r="2498">
      <c r="A2498" s="1" t="s">
        <v>26</v>
      </c>
      <c r="B2498" s="1" t="s">
        <v>1192</v>
      </c>
      <c r="C2498" s="1" t="s">
        <v>52</v>
      </c>
      <c r="D2498" s="1">
        <v>19.0</v>
      </c>
      <c r="E2498" s="1">
        <v>271.0</v>
      </c>
      <c r="F2498" s="1">
        <v>307.0</v>
      </c>
      <c r="G2498" s="1">
        <v>202.0</v>
      </c>
      <c r="H2498" s="1">
        <v>1.3416</v>
      </c>
      <c r="I2498" s="1">
        <v>1.5198</v>
      </c>
      <c r="J2498" s="1">
        <v>-0.1782</v>
      </c>
      <c r="K2498" s="1">
        <v>83.0</v>
      </c>
    </row>
    <row r="2499">
      <c r="A2499" s="1" t="s">
        <v>26</v>
      </c>
      <c r="B2499" s="1" t="s">
        <v>1192</v>
      </c>
      <c r="C2499" s="1" t="s">
        <v>52</v>
      </c>
      <c r="D2499" s="1">
        <v>20.0</v>
      </c>
      <c r="E2499" s="1">
        <v>228.0</v>
      </c>
      <c r="F2499" s="1">
        <v>287.0</v>
      </c>
      <c r="G2499" s="1">
        <v>202.0</v>
      </c>
      <c r="H2499" s="1">
        <v>1.1287</v>
      </c>
      <c r="I2499" s="1">
        <v>1.4208</v>
      </c>
      <c r="J2499" s="1">
        <v>-0.2921</v>
      </c>
      <c r="K2499" s="1">
        <v>92.0</v>
      </c>
    </row>
    <row r="2500">
      <c r="A2500" s="1" t="s">
        <v>26</v>
      </c>
      <c r="B2500" s="1" t="s">
        <v>1192</v>
      </c>
      <c r="C2500" s="1" t="s">
        <v>52</v>
      </c>
      <c r="D2500" s="1">
        <v>21.0</v>
      </c>
      <c r="E2500" s="1">
        <v>235.0</v>
      </c>
      <c r="F2500" s="1">
        <v>295.0</v>
      </c>
      <c r="G2500" s="1">
        <v>202.0</v>
      </c>
      <c r="H2500" s="1">
        <v>1.1634</v>
      </c>
      <c r="I2500" s="1">
        <v>1.4604</v>
      </c>
      <c r="J2500" s="1">
        <v>-0.297</v>
      </c>
      <c r="K2500" s="1">
        <v>91.0</v>
      </c>
    </row>
    <row r="2501">
      <c r="A2501" s="1" t="s">
        <v>26</v>
      </c>
      <c r="B2501" s="1" t="s">
        <v>1192</v>
      </c>
      <c r="C2501" s="1" t="s">
        <v>53</v>
      </c>
      <c r="D2501" s="1">
        <v>1.0</v>
      </c>
      <c r="E2501" s="1">
        <v>273.0</v>
      </c>
      <c r="F2501" s="1">
        <v>271.0</v>
      </c>
      <c r="G2501" s="1">
        <v>202.0</v>
      </c>
      <c r="H2501" s="1">
        <v>1.3515</v>
      </c>
      <c r="I2501" s="1">
        <v>1.3416</v>
      </c>
      <c r="J2501" s="1">
        <v>0.0099</v>
      </c>
      <c r="K2501" s="1">
        <v>48.0</v>
      </c>
    </row>
    <row r="2502">
      <c r="A2502" s="1" t="s">
        <v>26</v>
      </c>
      <c r="B2502" s="1" t="s">
        <v>1192</v>
      </c>
      <c r="C2502" s="1" t="s">
        <v>53</v>
      </c>
      <c r="D2502" s="1">
        <v>2.0</v>
      </c>
      <c r="E2502" s="1">
        <v>311.0</v>
      </c>
      <c r="F2502" s="1">
        <v>346.0</v>
      </c>
      <c r="G2502" s="1">
        <v>202.0</v>
      </c>
      <c r="H2502" s="1">
        <v>1.5396</v>
      </c>
      <c r="I2502" s="1">
        <v>1.7129</v>
      </c>
      <c r="J2502" s="1">
        <v>-0.1733</v>
      </c>
      <c r="K2502" s="1">
        <v>58.0</v>
      </c>
    </row>
    <row r="2503">
      <c r="A2503" s="1" t="s">
        <v>26</v>
      </c>
      <c r="B2503" s="1" t="s">
        <v>1192</v>
      </c>
      <c r="C2503" s="1" t="s">
        <v>53</v>
      </c>
      <c r="D2503" s="1">
        <v>3.0</v>
      </c>
      <c r="E2503" s="1">
        <v>450.0</v>
      </c>
      <c r="F2503" s="1">
        <v>245.0</v>
      </c>
      <c r="G2503" s="1">
        <v>202.0</v>
      </c>
      <c r="H2503" s="1">
        <v>2.2277</v>
      </c>
      <c r="I2503" s="1">
        <v>1.2129</v>
      </c>
      <c r="J2503" s="1">
        <v>1.0149</v>
      </c>
      <c r="K2503" s="1">
        <v>53.0</v>
      </c>
    </row>
    <row r="2504">
      <c r="A2504" s="1" t="s">
        <v>26</v>
      </c>
      <c r="B2504" s="1" t="s">
        <v>1192</v>
      </c>
      <c r="C2504" s="1" t="s">
        <v>53</v>
      </c>
      <c r="D2504" s="1">
        <v>4.0</v>
      </c>
      <c r="E2504" s="1">
        <v>767.0</v>
      </c>
      <c r="F2504" s="1">
        <v>300.0</v>
      </c>
      <c r="G2504" s="1">
        <v>202.0</v>
      </c>
      <c r="H2504" s="1">
        <v>3.797</v>
      </c>
      <c r="I2504" s="1">
        <v>1.4851</v>
      </c>
      <c r="J2504" s="1">
        <v>2.3119</v>
      </c>
      <c r="K2504" s="1">
        <v>58.0</v>
      </c>
    </row>
    <row r="2505">
      <c r="A2505" s="1" t="s">
        <v>26</v>
      </c>
      <c r="B2505" s="1" t="s">
        <v>1192</v>
      </c>
      <c r="C2505" s="1" t="s">
        <v>53</v>
      </c>
      <c r="D2505" s="1">
        <v>5.0</v>
      </c>
      <c r="E2505" s="1">
        <v>286.0</v>
      </c>
      <c r="F2505" s="1">
        <v>283.0</v>
      </c>
      <c r="G2505" s="1">
        <v>202.0</v>
      </c>
      <c r="H2505" s="1">
        <v>1.4158</v>
      </c>
      <c r="I2505" s="1">
        <v>1.401</v>
      </c>
      <c r="J2505" s="1">
        <v>0.0149</v>
      </c>
      <c r="K2505" s="1">
        <v>61.0</v>
      </c>
    </row>
    <row r="2506">
      <c r="A2506" s="1" t="s">
        <v>26</v>
      </c>
      <c r="B2506" s="1" t="s">
        <v>1192</v>
      </c>
      <c r="C2506" s="1" t="s">
        <v>53</v>
      </c>
      <c r="D2506" s="1">
        <v>6.0</v>
      </c>
      <c r="E2506" s="1">
        <v>226.0</v>
      </c>
      <c r="F2506" s="1">
        <v>262.0</v>
      </c>
      <c r="G2506" s="1">
        <v>202.0</v>
      </c>
      <c r="H2506" s="1">
        <v>1.1188</v>
      </c>
      <c r="I2506" s="1">
        <v>1.297</v>
      </c>
      <c r="J2506" s="1">
        <v>-0.1782</v>
      </c>
      <c r="K2506" s="1">
        <v>67.0</v>
      </c>
    </row>
    <row r="2507">
      <c r="A2507" s="1" t="s">
        <v>26</v>
      </c>
      <c r="B2507" s="1" t="s">
        <v>1192</v>
      </c>
      <c r="C2507" s="1" t="s">
        <v>53</v>
      </c>
      <c r="D2507" s="1">
        <v>7.0</v>
      </c>
      <c r="E2507" s="1">
        <v>224.0</v>
      </c>
      <c r="F2507" s="1">
        <v>248.0</v>
      </c>
      <c r="G2507" s="1">
        <v>202.0</v>
      </c>
      <c r="H2507" s="1">
        <v>1.1089</v>
      </c>
      <c r="I2507" s="1">
        <v>1.2277</v>
      </c>
      <c r="J2507" s="1">
        <v>-0.1188</v>
      </c>
      <c r="K2507" s="1">
        <v>65.0</v>
      </c>
    </row>
    <row r="2508">
      <c r="A2508" s="1" t="s">
        <v>26</v>
      </c>
      <c r="B2508" s="1" t="s">
        <v>1192</v>
      </c>
      <c r="C2508" s="1" t="s">
        <v>53</v>
      </c>
      <c r="D2508" s="1">
        <v>8.0</v>
      </c>
      <c r="E2508" s="1">
        <v>403.0</v>
      </c>
      <c r="F2508" s="1">
        <v>362.0</v>
      </c>
      <c r="G2508" s="1">
        <v>202.0</v>
      </c>
      <c r="H2508" s="1">
        <v>1.995</v>
      </c>
      <c r="I2508" s="1">
        <v>1.7921</v>
      </c>
      <c r="J2508" s="1">
        <v>0.203</v>
      </c>
      <c r="K2508" s="1">
        <v>66.0</v>
      </c>
    </row>
    <row r="2509">
      <c r="A2509" s="1" t="s">
        <v>26</v>
      </c>
      <c r="B2509" s="1" t="s">
        <v>1192</v>
      </c>
      <c r="C2509" s="1" t="s">
        <v>53</v>
      </c>
      <c r="D2509" s="1">
        <v>9.0</v>
      </c>
      <c r="E2509" s="1">
        <v>233.0</v>
      </c>
      <c r="F2509" s="1">
        <v>288.0</v>
      </c>
      <c r="G2509" s="1">
        <v>202.0</v>
      </c>
      <c r="H2509" s="1">
        <v>1.1535</v>
      </c>
      <c r="I2509" s="1">
        <v>1.4257</v>
      </c>
      <c r="J2509" s="1">
        <v>-0.2723</v>
      </c>
      <c r="K2509" s="1">
        <v>64.0</v>
      </c>
    </row>
    <row r="2510">
      <c r="A2510" s="1" t="s">
        <v>26</v>
      </c>
      <c r="B2510" s="1" t="s">
        <v>1192</v>
      </c>
      <c r="C2510" s="1" t="s">
        <v>53</v>
      </c>
      <c r="D2510" s="1">
        <v>10.0</v>
      </c>
      <c r="E2510" s="1">
        <v>523.0</v>
      </c>
      <c r="F2510" s="1">
        <v>247.0</v>
      </c>
      <c r="G2510" s="1">
        <v>202.0</v>
      </c>
      <c r="H2510" s="1">
        <v>2.5891</v>
      </c>
      <c r="I2510" s="1">
        <v>1.2228</v>
      </c>
      <c r="J2510" s="1">
        <v>1.3663</v>
      </c>
      <c r="K2510" s="1">
        <v>62.0</v>
      </c>
    </row>
    <row r="2511">
      <c r="A2511" s="1" t="s">
        <v>26</v>
      </c>
      <c r="B2511" s="1" t="s">
        <v>1192</v>
      </c>
      <c r="C2511" s="1" t="s">
        <v>53</v>
      </c>
      <c r="D2511" s="1">
        <v>11.0</v>
      </c>
      <c r="E2511" s="1">
        <v>499.0</v>
      </c>
      <c r="F2511" s="1">
        <v>299.0</v>
      </c>
      <c r="G2511" s="1">
        <v>202.0</v>
      </c>
      <c r="H2511" s="1">
        <v>2.4703</v>
      </c>
      <c r="I2511" s="1">
        <v>1.4802</v>
      </c>
      <c r="J2511" s="1">
        <v>0.9901</v>
      </c>
      <c r="K2511" s="1">
        <v>62.0</v>
      </c>
    </row>
    <row r="2512">
      <c r="A2512" s="1" t="s">
        <v>26</v>
      </c>
      <c r="B2512" s="1" t="s">
        <v>1192</v>
      </c>
      <c r="C2512" s="1" t="s">
        <v>53</v>
      </c>
      <c r="D2512" s="1">
        <v>12.0</v>
      </c>
      <c r="E2512" s="1">
        <v>297.0</v>
      </c>
      <c r="F2512" s="1">
        <v>307.0</v>
      </c>
      <c r="G2512" s="1">
        <v>202.0</v>
      </c>
      <c r="H2512" s="1">
        <v>1.4703</v>
      </c>
      <c r="I2512" s="1">
        <v>1.5198</v>
      </c>
      <c r="J2512" s="1">
        <v>-0.0495</v>
      </c>
      <c r="K2512" s="1">
        <v>70.0</v>
      </c>
    </row>
    <row r="2513">
      <c r="A2513" s="1" t="s">
        <v>26</v>
      </c>
      <c r="B2513" s="1" t="s">
        <v>1192</v>
      </c>
      <c r="C2513" s="1" t="s">
        <v>53</v>
      </c>
      <c r="D2513" s="1">
        <v>13.0</v>
      </c>
      <c r="E2513" s="1">
        <v>223.0</v>
      </c>
      <c r="F2513" s="1">
        <v>279.0</v>
      </c>
      <c r="G2513" s="1">
        <v>202.0</v>
      </c>
      <c r="H2513" s="1">
        <v>1.104</v>
      </c>
      <c r="I2513" s="1">
        <v>1.3812</v>
      </c>
      <c r="J2513" s="1">
        <v>-0.2772</v>
      </c>
      <c r="K2513" s="1">
        <v>72.0</v>
      </c>
    </row>
    <row r="2514">
      <c r="A2514" s="1" t="s">
        <v>26</v>
      </c>
      <c r="B2514" s="1" t="s">
        <v>1192</v>
      </c>
      <c r="C2514" s="1" t="s">
        <v>53</v>
      </c>
      <c r="D2514" s="1">
        <v>14.0</v>
      </c>
      <c r="E2514" s="1">
        <v>235.0</v>
      </c>
      <c r="F2514" s="1">
        <v>272.0</v>
      </c>
      <c r="G2514" s="1">
        <v>202.0</v>
      </c>
      <c r="H2514" s="1">
        <v>1.1634</v>
      </c>
      <c r="I2514" s="1">
        <v>1.3465</v>
      </c>
      <c r="J2514" s="1">
        <v>-0.1832</v>
      </c>
      <c r="K2514" s="1">
        <v>74.0</v>
      </c>
    </row>
    <row r="2515">
      <c r="A2515" s="1" t="s">
        <v>26</v>
      </c>
      <c r="B2515" s="1" t="s">
        <v>1192</v>
      </c>
      <c r="C2515" s="1" t="s">
        <v>53</v>
      </c>
      <c r="D2515" s="1">
        <v>15.0</v>
      </c>
      <c r="E2515" s="1">
        <v>439.0</v>
      </c>
      <c r="F2515" s="1">
        <v>392.0</v>
      </c>
      <c r="G2515" s="1">
        <v>202.0</v>
      </c>
      <c r="H2515" s="1">
        <v>2.1733</v>
      </c>
      <c r="I2515" s="1">
        <v>1.9406</v>
      </c>
      <c r="J2515" s="1">
        <v>0.2327</v>
      </c>
      <c r="K2515" s="1">
        <v>73.0</v>
      </c>
    </row>
    <row r="2516">
      <c r="A2516" s="1" t="s">
        <v>26</v>
      </c>
      <c r="B2516" s="1" t="s">
        <v>1192</v>
      </c>
      <c r="C2516" s="1" t="s">
        <v>53</v>
      </c>
      <c r="D2516" s="1">
        <v>16.0</v>
      </c>
      <c r="E2516" s="1">
        <v>246.0</v>
      </c>
      <c r="F2516" s="1">
        <v>308.0</v>
      </c>
      <c r="G2516" s="1">
        <v>202.0</v>
      </c>
      <c r="H2516" s="1">
        <v>1.2178</v>
      </c>
      <c r="I2516" s="1">
        <v>1.5248</v>
      </c>
      <c r="J2516" s="1">
        <v>-0.3069</v>
      </c>
      <c r="K2516" s="1">
        <v>75.0</v>
      </c>
    </row>
    <row r="2517">
      <c r="A2517" s="1" t="s">
        <v>26</v>
      </c>
      <c r="B2517" s="1" t="s">
        <v>1192</v>
      </c>
      <c r="C2517" s="1" t="s">
        <v>53</v>
      </c>
      <c r="D2517" s="1">
        <v>17.0</v>
      </c>
      <c r="E2517" s="1">
        <v>230.0</v>
      </c>
      <c r="F2517" s="1">
        <v>298.0</v>
      </c>
      <c r="G2517" s="1">
        <v>202.0</v>
      </c>
      <c r="H2517" s="1">
        <v>1.1386</v>
      </c>
      <c r="I2517" s="1">
        <v>1.4752</v>
      </c>
      <c r="J2517" s="1">
        <v>-0.3366</v>
      </c>
      <c r="K2517" s="1">
        <v>76.0</v>
      </c>
    </row>
    <row r="2518">
      <c r="A2518" s="1" t="s">
        <v>26</v>
      </c>
      <c r="B2518" s="1" t="s">
        <v>1192</v>
      </c>
      <c r="C2518" s="1" t="s">
        <v>53</v>
      </c>
      <c r="D2518" s="1">
        <v>18.0</v>
      </c>
      <c r="E2518" s="1">
        <v>425.0</v>
      </c>
      <c r="F2518" s="1">
        <v>296.0</v>
      </c>
      <c r="G2518" s="1">
        <v>202.0</v>
      </c>
      <c r="H2518" s="1">
        <v>2.104</v>
      </c>
      <c r="I2518" s="1">
        <v>1.4653</v>
      </c>
      <c r="J2518" s="1">
        <v>0.6386</v>
      </c>
      <c r="K2518" s="1">
        <v>81.0</v>
      </c>
    </row>
    <row r="2519">
      <c r="A2519" s="1" t="s">
        <v>26</v>
      </c>
      <c r="B2519" s="1" t="s">
        <v>1192</v>
      </c>
      <c r="C2519" s="1" t="s">
        <v>53</v>
      </c>
      <c r="D2519" s="1">
        <v>19.0</v>
      </c>
      <c r="E2519" s="1">
        <v>275.0</v>
      </c>
      <c r="F2519" s="1">
        <v>302.0</v>
      </c>
      <c r="G2519" s="1">
        <v>202.0</v>
      </c>
      <c r="H2519" s="1">
        <v>1.3614</v>
      </c>
      <c r="I2519" s="1">
        <v>1.495</v>
      </c>
      <c r="J2519" s="1">
        <v>-0.1337</v>
      </c>
      <c r="K2519" s="1">
        <v>83.0</v>
      </c>
    </row>
    <row r="2520">
      <c r="A2520" s="1" t="s">
        <v>26</v>
      </c>
      <c r="B2520" s="1" t="s">
        <v>1192</v>
      </c>
      <c r="C2520" s="1" t="s">
        <v>53</v>
      </c>
      <c r="D2520" s="1">
        <v>20.0</v>
      </c>
      <c r="E2520" s="1">
        <v>250.0</v>
      </c>
      <c r="F2520" s="1">
        <v>317.0</v>
      </c>
      <c r="G2520" s="1">
        <v>202.0</v>
      </c>
      <c r="H2520" s="1">
        <v>1.2376</v>
      </c>
      <c r="I2520" s="1">
        <v>1.5693</v>
      </c>
      <c r="J2520" s="1">
        <v>-0.3317</v>
      </c>
      <c r="K2520" s="1">
        <v>92.0</v>
      </c>
    </row>
    <row r="2521">
      <c r="A2521" s="1" t="s">
        <v>26</v>
      </c>
      <c r="B2521" s="1" t="s">
        <v>1192</v>
      </c>
      <c r="C2521" s="1" t="s">
        <v>53</v>
      </c>
      <c r="D2521" s="1">
        <v>21.0</v>
      </c>
      <c r="E2521" s="1">
        <v>262.0</v>
      </c>
      <c r="F2521" s="1">
        <v>329.0</v>
      </c>
      <c r="G2521" s="1">
        <v>202.0</v>
      </c>
      <c r="H2521" s="1">
        <v>1.297</v>
      </c>
      <c r="I2521" s="1">
        <v>1.6287</v>
      </c>
      <c r="J2521" s="1">
        <v>-0.3317</v>
      </c>
      <c r="K2521" s="1">
        <v>91.0</v>
      </c>
    </row>
    <row r="2522">
      <c r="A2522" s="1" t="s">
        <v>26</v>
      </c>
      <c r="B2522" s="1" t="s">
        <v>1192</v>
      </c>
      <c r="C2522" s="1" t="s">
        <v>54</v>
      </c>
      <c r="D2522" s="1">
        <v>1.0</v>
      </c>
      <c r="E2522" s="1">
        <v>181.0</v>
      </c>
      <c r="F2522" s="1">
        <v>182.0</v>
      </c>
      <c r="G2522" s="1">
        <v>199.0</v>
      </c>
      <c r="H2522" s="1">
        <v>0.9095</v>
      </c>
      <c r="I2522" s="1">
        <v>0.9146</v>
      </c>
      <c r="J2522" s="1">
        <v>-0.005</v>
      </c>
      <c r="K2522" s="1">
        <v>48.0</v>
      </c>
    </row>
    <row r="2523">
      <c r="A2523" s="1" t="s">
        <v>26</v>
      </c>
      <c r="B2523" s="1" t="s">
        <v>1192</v>
      </c>
      <c r="C2523" s="1" t="s">
        <v>54</v>
      </c>
      <c r="D2523" s="1">
        <v>2.0</v>
      </c>
      <c r="E2523" s="1">
        <v>120.0</v>
      </c>
      <c r="F2523" s="1">
        <v>177.0</v>
      </c>
      <c r="G2523" s="1">
        <v>199.0</v>
      </c>
      <c r="H2523" s="1">
        <v>0.603</v>
      </c>
      <c r="I2523" s="1">
        <v>0.8894</v>
      </c>
      <c r="J2523" s="1">
        <v>-0.2864</v>
      </c>
      <c r="K2523" s="1">
        <v>58.0</v>
      </c>
    </row>
    <row r="2524">
      <c r="A2524" s="1" t="s">
        <v>26</v>
      </c>
      <c r="B2524" s="1" t="s">
        <v>1192</v>
      </c>
      <c r="C2524" s="1" t="s">
        <v>54</v>
      </c>
      <c r="D2524" s="1">
        <v>3.0</v>
      </c>
      <c r="E2524" s="1">
        <v>315.0</v>
      </c>
      <c r="F2524" s="1">
        <v>139.0</v>
      </c>
      <c r="G2524" s="1">
        <v>199.0</v>
      </c>
      <c r="H2524" s="1">
        <v>1.5829</v>
      </c>
      <c r="I2524" s="1">
        <v>0.6985</v>
      </c>
      <c r="J2524" s="1">
        <v>0.8844</v>
      </c>
      <c r="K2524" s="1">
        <v>53.0</v>
      </c>
    </row>
    <row r="2525">
      <c r="A2525" s="1" t="s">
        <v>26</v>
      </c>
      <c r="B2525" s="1" t="s">
        <v>1192</v>
      </c>
      <c r="C2525" s="1" t="s">
        <v>54</v>
      </c>
      <c r="D2525" s="1">
        <v>4.0</v>
      </c>
      <c r="E2525" s="1">
        <v>622.0</v>
      </c>
      <c r="F2525" s="1">
        <v>167.0</v>
      </c>
      <c r="G2525" s="1">
        <v>199.0</v>
      </c>
      <c r="H2525" s="1">
        <v>3.1256</v>
      </c>
      <c r="I2525" s="1">
        <v>0.8392</v>
      </c>
      <c r="J2525" s="1">
        <v>2.2864</v>
      </c>
      <c r="K2525" s="1">
        <v>58.0</v>
      </c>
    </row>
    <row r="2526">
      <c r="A2526" s="1" t="s">
        <v>26</v>
      </c>
      <c r="B2526" s="1" t="s">
        <v>1192</v>
      </c>
      <c r="C2526" s="1" t="s">
        <v>54</v>
      </c>
      <c r="D2526" s="1">
        <v>5.0</v>
      </c>
      <c r="E2526" s="1">
        <v>188.0</v>
      </c>
      <c r="F2526" s="1">
        <v>174.0</v>
      </c>
      <c r="G2526" s="1">
        <v>199.0</v>
      </c>
      <c r="H2526" s="1">
        <v>0.9447</v>
      </c>
      <c r="I2526" s="1">
        <v>0.8744</v>
      </c>
      <c r="J2526" s="1">
        <v>0.0704</v>
      </c>
      <c r="K2526" s="1">
        <v>61.0</v>
      </c>
    </row>
    <row r="2527">
      <c r="A2527" s="1" t="s">
        <v>26</v>
      </c>
      <c r="B2527" s="1" t="s">
        <v>1192</v>
      </c>
      <c r="C2527" s="1" t="s">
        <v>54</v>
      </c>
      <c r="D2527" s="1">
        <v>6.0</v>
      </c>
      <c r="E2527" s="1">
        <v>124.0</v>
      </c>
      <c r="F2527" s="1">
        <v>162.0</v>
      </c>
      <c r="G2527" s="1">
        <v>199.0</v>
      </c>
      <c r="H2527" s="1">
        <v>0.6231</v>
      </c>
      <c r="I2527" s="1">
        <v>0.8141</v>
      </c>
      <c r="J2527" s="1">
        <v>-0.191</v>
      </c>
      <c r="K2527" s="1">
        <v>67.0</v>
      </c>
    </row>
    <row r="2528">
      <c r="A2528" s="1" t="s">
        <v>26</v>
      </c>
      <c r="B2528" s="1" t="s">
        <v>1192</v>
      </c>
      <c r="C2528" s="1" t="s">
        <v>54</v>
      </c>
      <c r="D2528" s="1">
        <v>7.0</v>
      </c>
      <c r="E2528" s="1">
        <v>123.0</v>
      </c>
      <c r="F2528" s="1">
        <v>154.0</v>
      </c>
      <c r="G2528" s="1">
        <v>199.0</v>
      </c>
      <c r="H2528" s="1">
        <v>0.6181</v>
      </c>
      <c r="I2528" s="1">
        <v>0.7739</v>
      </c>
      <c r="J2528" s="1">
        <v>-0.1558</v>
      </c>
      <c r="K2528" s="1">
        <v>65.0</v>
      </c>
    </row>
    <row r="2529">
      <c r="A2529" s="1" t="s">
        <v>26</v>
      </c>
      <c r="B2529" s="1" t="s">
        <v>1192</v>
      </c>
      <c r="C2529" s="1" t="s">
        <v>54</v>
      </c>
      <c r="D2529" s="1">
        <v>8.0</v>
      </c>
      <c r="E2529" s="1">
        <v>258.0</v>
      </c>
      <c r="F2529" s="1">
        <v>238.0</v>
      </c>
      <c r="G2529" s="1">
        <v>199.0</v>
      </c>
      <c r="H2529" s="1">
        <v>1.2965</v>
      </c>
      <c r="I2529" s="1">
        <v>1.196</v>
      </c>
      <c r="J2529" s="1">
        <v>0.1005</v>
      </c>
      <c r="K2529" s="1">
        <v>66.0</v>
      </c>
    </row>
    <row r="2530">
      <c r="A2530" s="1" t="s">
        <v>26</v>
      </c>
      <c r="B2530" s="1" t="s">
        <v>1192</v>
      </c>
      <c r="C2530" s="1" t="s">
        <v>54</v>
      </c>
      <c r="D2530" s="1">
        <v>9.0</v>
      </c>
      <c r="E2530" s="1">
        <v>79.0</v>
      </c>
      <c r="F2530" s="1">
        <v>134.0</v>
      </c>
      <c r="G2530" s="1">
        <v>199.0</v>
      </c>
      <c r="H2530" s="1">
        <v>0.397</v>
      </c>
      <c r="I2530" s="1">
        <v>0.6734</v>
      </c>
      <c r="J2530" s="1">
        <v>-0.2764</v>
      </c>
      <c r="K2530" s="1">
        <v>64.0</v>
      </c>
    </row>
    <row r="2531">
      <c r="A2531" s="1" t="s">
        <v>26</v>
      </c>
      <c r="B2531" s="1" t="s">
        <v>1192</v>
      </c>
      <c r="C2531" s="1" t="s">
        <v>54</v>
      </c>
      <c r="D2531" s="1">
        <v>10.0</v>
      </c>
      <c r="E2531" s="1">
        <v>401.0</v>
      </c>
      <c r="F2531" s="1">
        <v>196.0</v>
      </c>
      <c r="G2531" s="1">
        <v>199.0</v>
      </c>
      <c r="H2531" s="1">
        <v>2.0151</v>
      </c>
      <c r="I2531" s="1">
        <v>0.9849</v>
      </c>
      <c r="J2531" s="1">
        <v>1.0302</v>
      </c>
      <c r="K2531" s="1">
        <v>62.0</v>
      </c>
    </row>
    <row r="2532">
      <c r="A2532" s="1" t="s">
        <v>26</v>
      </c>
      <c r="B2532" s="1" t="s">
        <v>1192</v>
      </c>
      <c r="C2532" s="1" t="s">
        <v>54</v>
      </c>
      <c r="D2532" s="1">
        <v>11.0</v>
      </c>
      <c r="E2532" s="1">
        <v>349.0</v>
      </c>
      <c r="F2532" s="1">
        <v>192.0</v>
      </c>
      <c r="G2532" s="1">
        <v>199.0</v>
      </c>
      <c r="H2532" s="1">
        <v>1.7538</v>
      </c>
      <c r="I2532" s="1">
        <v>0.9648</v>
      </c>
      <c r="J2532" s="1">
        <v>0.7889</v>
      </c>
      <c r="K2532" s="1">
        <v>62.0</v>
      </c>
    </row>
    <row r="2533">
      <c r="A2533" s="1" t="s">
        <v>26</v>
      </c>
      <c r="B2533" s="1" t="s">
        <v>1192</v>
      </c>
      <c r="C2533" s="1" t="s">
        <v>54</v>
      </c>
      <c r="D2533" s="1">
        <v>12.0</v>
      </c>
      <c r="E2533" s="1">
        <v>159.0</v>
      </c>
      <c r="F2533" s="1">
        <v>154.0</v>
      </c>
      <c r="G2533" s="1">
        <v>199.0</v>
      </c>
      <c r="H2533" s="1">
        <v>0.799</v>
      </c>
      <c r="I2533" s="1">
        <v>0.7739</v>
      </c>
      <c r="J2533" s="1">
        <v>0.0251</v>
      </c>
      <c r="K2533" s="1">
        <v>70.0</v>
      </c>
    </row>
    <row r="2534">
      <c r="A2534" s="1" t="s">
        <v>26</v>
      </c>
      <c r="B2534" s="1" t="s">
        <v>1192</v>
      </c>
      <c r="C2534" s="1" t="s">
        <v>54</v>
      </c>
      <c r="D2534" s="1">
        <v>13.0</v>
      </c>
      <c r="E2534" s="1">
        <v>112.0</v>
      </c>
      <c r="F2534" s="1">
        <v>157.0</v>
      </c>
      <c r="G2534" s="1">
        <v>199.0</v>
      </c>
      <c r="H2534" s="1">
        <v>0.5628</v>
      </c>
      <c r="I2534" s="1">
        <v>0.7889</v>
      </c>
      <c r="J2534" s="1">
        <v>-0.2261</v>
      </c>
      <c r="K2534" s="1">
        <v>72.0</v>
      </c>
    </row>
    <row r="2535">
      <c r="A2535" s="1" t="s">
        <v>26</v>
      </c>
      <c r="B2535" s="1" t="s">
        <v>1192</v>
      </c>
      <c r="C2535" s="1" t="s">
        <v>54</v>
      </c>
      <c r="D2535" s="1">
        <v>14.0</v>
      </c>
      <c r="E2535" s="1">
        <v>127.0</v>
      </c>
      <c r="F2535" s="1">
        <v>165.0</v>
      </c>
      <c r="G2535" s="1">
        <v>199.0</v>
      </c>
      <c r="H2535" s="1">
        <v>0.6382</v>
      </c>
      <c r="I2535" s="1">
        <v>0.8291</v>
      </c>
      <c r="J2535" s="1">
        <v>-0.191</v>
      </c>
      <c r="K2535" s="1">
        <v>74.0</v>
      </c>
    </row>
    <row r="2536">
      <c r="A2536" s="1" t="s">
        <v>26</v>
      </c>
      <c r="B2536" s="1" t="s">
        <v>1192</v>
      </c>
      <c r="C2536" s="1" t="s">
        <v>54</v>
      </c>
      <c r="D2536" s="1">
        <v>15.0</v>
      </c>
      <c r="E2536" s="1">
        <v>260.0</v>
      </c>
      <c r="F2536" s="1">
        <v>271.0</v>
      </c>
      <c r="G2536" s="1">
        <v>199.0</v>
      </c>
      <c r="H2536" s="1">
        <v>1.3065</v>
      </c>
      <c r="I2536" s="1">
        <v>1.3618</v>
      </c>
      <c r="J2536" s="1">
        <v>-0.0553</v>
      </c>
      <c r="K2536" s="1">
        <v>73.0</v>
      </c>
    </row>
    <row r="2537">
      <c r="A2537" s="1" t="s">
        <v>26</v>
      </c>
      <c r="B2537" s="1" t="s">
        <v>1192</v>
      </c>
      <c r="C2537" s="1" t="s">
        <v>54</v>
      </c>
      <c r="D2537" s="1">
        <v>16.0</v>
      </c>
      <c r="E2537" s="1">
        <v>115.0</v>
      </c>
      <c r="F2537" s="1">
        <v>153.0</v>
      </c>
      <c r="G2537" s="1">
        <v>199.0</v>
      </c>
      <c r="H2537" s="1">
        <v>0.5779</v>
      </c>
      <c r="I2537" s="1">
        <v>0.7688</v>
      </c>
      <c r="J2537" s="1">
        <v>-0.191</v>
      </c>
      <c r="K2537" s="1">
        <v>75.0</v>
      </c>
    </row>
    <row r="2538">
      <c r="A2538" s="1" t="s">
        <v>26</v>
      </c>
      <c r="B2538" s="1" t="s">
        <v>1192</v>
      </c>
      <c r="C2538" s="1" t="s">
        <v>54</v>
      </c>
      <c r="D2538" s="1">
        <v>17.0</v>
      </c>
      <c r="E2538" s="1">
        <v>113.0</v>
      </c>
      <c r="F2538" s="1">
        <v>165.0</v>
      </c>
      <c r="G2538" s="1">
        <v>199.0</v>
      </c>
      <c r="H2538" s="1">
        <v>0.5678</v>
      </c>
      <c r="I2538" s="1">
        <v>0.8291</v>
      </c>
      <c r="J2538" s="1">
        <v>-0.2613</v>
      </c>
      <c r="K2538" s="1">
        <v>76.0</v>
      </c>
    </row>
    <row r="2539">
      <c r="A2539" s="1" t="s">
        <v>26</v>
      </c>
      <c r="B2539" s="1" t="s">
        <v>1192</v>
      </c>
      <c r="C2539" s="1" t="s">
        <v>54</v>
      </c>
      <c r="D2539" s="1">
        <v>18.0</v>
      </c>
      <c r="E2539" s="1">
        <v>244.0</v>
      </c>
      <c r="F2539" s="1">
        <v>150.0</v>
      </c>
      <c r="G2539" s="1">
        <v>199.0</v>
      </c>
      <c r="H2539" s="1">
        <v>1.2261</v>
      </c>
      <c r="I2539" s="1">
        <v>0.7538</v>
      </c>
      <c r="J2539" s="1">
        <v>0.4724</v>
      </c>
      <c r="K2539" s="1">
        <v>81.0</v>
      </c>
    </row>
    <row r="2540">
      <c r="A2540" s="1" t="s">
        <v>26</v>
      </c>
      <c r="B2540" s="1" t="s">
        <v>1192</v>
      </c>
      <c r="C2540" s="1" t="s">
        <v>54</v>
      </c>
      <c r="D2540" s="1">
        <v>19.0</v>
      </c>
      <c r="E2540" s="1">
        <v>133.0</v>
      </c>
      <c r="F2540" s="1">
        <v>177.0</v>
      </c>
      <c r="G2540" s="1">
        <v>199.0</v>
      </c>
      <c r="H2540" s="1">
        <v>0.6683</v>
      </c>
      <c r="I2540" s="1">
        <v>0.8894</v>
      </c>
      <c r="J2540" s="1">
        <v>-0.2211</v>
      </c>
      <c r="K2540" s="1">
        <v>83.0</v>
      </c>
    </row>
    <row r="2541">
      <c r="A2541" s="1" t="s">
        <v>26</v>
      </c>
      <c r="B2541" s="1" t="s">
        <v>1192</v>
      </c>
      <c r="C2541" s="1" t="s">
        <v>54</v>
      </c>
      <c r="D2541" s="1">
        <v>20.0</v>
      </c>
      <c r="E2541" s="1">
        <v>96.0</v>
      </c>
      <c r="F2541" s="1">
        <v>160.0</v>
      </c>
      <c r="G2541" s="1">
        <v>199.0</v>
      </c>
      <c r="H2541" s="1">
        <v>0.4824</v>
      </c>
      <c r="I2541" s="1">
        <v>0.804</v>
      </c>
      <c r="J2541" s="1">
        <v>-0.3216</v>
      </c>
      <c r="K2541" s="1">
        <v>92.0</v>
      </c>
    </row>
    <row r="2542">
      <c r="A2542" s="1" t="s">
        <v>26</v>
      </c>
      <c r="B2542" s="1" t="s">
        <v>1192</v>
      </c>
      <c r="C2542" s="1" t="s">
        <v>54</v>
      </c>
      <c r="D2542" s="1">
        <v>21.0</v>
      </c>
      <c r="E2542" s="1">
        <v>111.0</v>
      </c>
      <c r="F2542" s="1">
        <v>167.0</v>
      </c>
      <c r="G2542" s="1">
        <v>199.0</v>
      </c>
      <c r="H2542" s="1">
        <v>0.5578</v>
      </c>
      <c r="I2542" s="1">
        <v>0.8392</v>
      </c>
      <c r="J2542" s="1">
        <v>-0.2814</v>
      </c>
      <c r="K2542" s="1">
        <v>91.0</v>
      </c>
    </row>
    <row r="2543">
      <c r="A2543" s="1" t="s">
        <v>26</v>
      </c>
      <c r="B2543" s="1" t="s">
        <v>1192</v>
      </c>
      <c r="C2543" s="1" t="s">
        <v>47</v>
      </c>
      <c r="D2543" s="1">
        <v>1.0</v>
      </c>
      <c r="E2543" s="1">
        <v>276.0</v>
      </c>
      <c r="F2543" s="1">
        <v>248.0</v>
      </c>
      <c r="G2543" s="1">
        <v>202.0</v>
      </c>
      <c r="H2543" s="1">
        <v>1.3663</v>
      </c>
      <c r="I2543" s="1">
        <v>1.2277</v>
      </c>
      <c r="J2543" s="1">
        <v>0.1386</v>
      </c>
      <c r="K2543" s="1">
        <v>48.0</v>
      </c>
    </row>
    <row r="2544">
      <c r="A2544" s="1" t="s">
        <v>26</v>
      </c>
      <c r="B2544" s="1" t="s">
        <v>1192</v>
      </c>
      <c r="C2544" s="1" t="s">
        <v>47</v>
      </c>
      <c r="D2544" s="1">
        <v>2.0</v>
      </c>
      <c r="E2544" s="1">
        <v>290.0</v>
      </c>
      <c r="F2544" s="1">
        <v>380.0</v>
      </c>
      <c r="G2544" s="1">
        <v>202.0</v>
      </c>
      <c r="H2544" s="1">
        <v>1.4356</v>
      </c>
      <c r="I2544" s="1">
        <v>1.8812</v>
      </c>
      <c r="J2544" s="1">
        <v>-0.4455</v>
      </c>
      <c r="K2544" s="1">
        <v>58.0</v>
      </c>
    </row>
    <row r="2545">
      <c r="A2545" s="1" t="s">
        <v>26</v>
      </c>
      <c r="B2545" s="1" t="s">
        <v>1192</v>
      </c>
      <c r="C2545" s="1" t="s">
        <v>47</v>
      </c>
      <c r="D2545" s="1">
        <v>3.0</v>
      </c>
      <c r="E2545" s="1">
        <v>219.0</v>
      </c>
      <c r="F2545" s="1">
        <v>254.0</v>
      </c>
      <c r="G2545" s="1">
        <v>202.0</v>
      </c>
      <c r="H2545" s="1">
        <v>1.0842</v>
      </c>
      <c r="I2545" s="1">
        <v>1.2574</v>
      </c>
      <c r="J2545" s="1">
        <v>-0.1733</v>
      </c>
      <c r="K2545" s="1">
        <v>53.0</v>
      </c>
    </row>
    <row r="2546">
      <c r="A2546" s="1" t="s">
        <v>26</v>
      </c>
      <c r="B2546" s="1" t="s">
        <v>1192</v>
      </c>
      <c r="C2546" s="1" t="s">
        <v>47</v>
      </c>
      <c r="D2546" s="1">
        <v>4.0</v>
      </c>
      <c r="E2546" s="1">
        <v>215.0</v>
      </c>
      <c r="F2546" s="1">
        <v>252.0</v>
      </c>
      <c r="G2546" s="1">
        <v>202.0</v>
      </c>
      <c r="H2546" s="1">
        <v>1.0644</v>
      </c>
      <c r="I2546" s="1">
        <v>1.2475</v>
      </c>
      <c r="J2546" s="1">
        <v>-0.1832</v>
      </c>
      <c r="K2546" s="1">
        <v>58.0</v>
      </c>
    </row>
    <row r="2547">
      <c r="A2547" s="1" t="s">
        <v>26</v>
      </c>
      <c r="B2547" s="1" t="s">
        <v>1192</v>
      </c>
      <c r="C2547" s="1" t="s">
        <v>47</v>
      </c>
      <c r="D2547" s="1">
        <v>5.0</v>
      </c>
      <c r="E2547" s="1">
        <v>270.0</v>
      </c>
      <c r="F2547" s="1">
        <v>344.0</v>
      </c>
      <c r="G2547" s="1">
        <v>202.0</v>
      </c>
      <c r="H2547" s="1">
        <v>1.3366</v>
      </c>
      <c r="I2547" s="1">
        <v>1.703</v>
      </c>
      <c r="J2547" s="1">
        <v>-0.3663</v>
      </c>
      <c r="K2547" s="1">
        <v>61.0</v>
      </c>
    </row>
    <row r="2548">
      <c r="A2548" s="1" t="s">
        <v>26</v>
      </c>
      <c r="B2548" s="1" t="s">
        <v>1192</v>
      </c>
      <c r="C2548" s="1" t="s">
        <v>47</v>
      </c>
      <c r="D2548" s="1">
        <v>6.0</v>
      </c>
      <c r="E2548" s="1">
        <v>208.0</v>
      </c>
      <c r="F2548" s="1">
        <v>336.0</v>
      </c>
      <c r="G2548" s="1">
        <v>202.0</v>
      </c>
      <c r="H2548" s="1">
        <v>1.0297</v>
      </c>
      <c r="I2548" s="1">
        <v>1.6634</v>
      </c>
      <c r="J2548" s="1">
        <v>-0.6337</v>
      </c>
      <c r="K2548" s="1">
        <v>67.0</v>
      </c>
    </row>
    <row r="2549">
      <c r="A2549" s="1" t="s">
        <v>26</v>
      </c>
      <c r="B2549" s="1" t="s">
        <v>1192</v>
      </c>
      <c r="C2549" s="1" t="s">
        <v>47</v>
      </c>
      <c r="D2549" s="1">
        <v>7.0</v>
      </c>
      <c r="E2549" s="1">
        <v>207.0</v>
      </c>
      <c r="F2549" s="1">
        <v>255.0</v>
      </c>
      <c r="G2549" s="1">
        <v>202.0</v>
      </c>
      <c r="H2549" s="1">
        <v>1.0248</v>
      </c>
      <c r="I2549" s="1">
        <v>1.2624</v>
      </c>
      <c r="J2549" s="1">
        <v>-0.2376</v>
      </c>
      <c r="K2549" s="1">
        <v>65.0</v>
      </c>
    </row>
    <row r="2550">
      <c r="A2550" s="1" t="s">
        <v>26</v>
      </c>
      <c r="B2550" s="1" t="s">
        <v>1192</v>
      </c>
      <c r="C2550" s="1" t="s">
        <v>47</v>
      </c>
      <c r="D2550" s="1">
        <v>8.0</v>
      </c>
      <c r="E2550" s="1">
        <v>346.0</v>
      </c>
      <c r="F2550" s="1">
        <v>408.0</v>
      </c>
      <c r="G2550" s="1">
        <v>202.0</v>
      </c>
      <c r="H2550" s="1">
        <v>1.7129</v>
      </c>
      <c r="I2550" s="1">
        <v>2.0198</v>
      </c>
      <c r="J2550" s="1">
        <v>-0.3069</v>
      </c>
      <c r="K2550" s="1">
        <v>66.0</v>
      </c>
    </row>
    <row r="2551">
      <c r="A2551" s="1" t="s">
        <v>26</v>
      </c>
      <c r="B2551" s="1" t="s">
        <v>1192</v>
      </c>
      <c r="C2551" s="1" t="s">
        <v>47</v>
      </c>
      <c r="D2551" s="1">
        <v>9.0</v>
      </c>
      <c r="E2551" s="1">
        <v>268.0</v>
      </c>
      <c r="F2551" s="1">
        <v>313.0</v>
      </c>
      <c r="G2551" s="1">
        <v>202.0</v>
      </c>
      <c r="H2551" s="1">
        <v>1.3267</v>
      </c>
      <c r="I2551" s="1">
        <v>1.5495</v>
      </c>
      <c r="J2551" s="1">
        <v>-0.2228</v>
      </c>
      <c r="K2551" s="1">
        <v>64.0</v>
      </c>
    </row>
    <row r="2552">
      <c r="A2552" s="1" t="s">
        <v>26</v>
      </c>
      <c r="B2552" s="1" t="s">
        <v>1192</v>
      </c>
      <c r="C2552" s="1" t="s">
        <v>47</v>
      </c>
      <c r="D2552" s="1">
        <v>10.0</v>
      </c>
      <c r="E2552" s="1">
        <v>193.0</v>
      </c>
      <c r="F2552" s="1">
        <v>302.0</v>
      </c>
      <c r="G2552" s="1">
        <v>202.0</v>
      </c>
      <c r="H2552" s="1">
        <v>0.9554</v>
      </c>
      <c r="I2552" s="1">
        <v>1.495</v>
      </c>
      <c r="J2552" s="1">
        <v>-0.5396</v>
      </c>
      <c r="K2552" s="1">
        <v>62.0</v>
      </c>
    </row>
    <row r="2553">
      <c r="A2553" s="1" t="s">
        <v>26</v>
      </c>
      <c r="B2553" s="1" t="s">
        <v>1192</v>
      </c>
      <c r="C2553" s="1" t="s">
        <v>47</v>
      </c>
      <c r="D2553" s="1">
        <v>11.0</v>
      </c>
      <c r="E2553" s="1">
        <v>217.0</v>
      </c>
      <c r="F2553" s="1">
        <v>287.0</v>
      </c>
      <c r="G2553" s="1">
        <v>202.0</v>
      </c>
      <c r="H2553" s="1">
        <v>1.0743</v>
      </c>
      <c r="I2553" s="1">
        <v>1.4208</v>
      </c>
      <c r="J2553" s="1">
        <v>-0.3465</v>
      </c>
      <c r="K2553" s="1">
        <v>62.0</v>
      </c>
    </row>
    <row r="2554">
      <c r="A2554" s="1" t="s">
        <v>26</v>
      </c>
      <c r="B2554" s="1" t="s">
        <v>1192</v>
      </c>
      <c r="C2554" s="1" t="s">
        <v>47</v>
      </c>
      <c r="D2554" s="1">
        <v>12.0</v>
      </c>
      <c r="E2554" s="1">
        <v>262.0</v>
      </c>
      <c r="F2554" s="1">
        <v>316.0</v>
      </c>
      <c r="G2554" s="1">
        <v>202.0</v>
      </c>
      <c r="H2554" s="1">
        <v>1.297</v>
      </c>
      <c r="I2554" s="1">
        <v>1.5644</v>
      </c>
      <c r="J2554" s="1">
        <v>-0.2673</v>
      </c>
      <c r="K2554" s="1">
        <v>70.0</v>
      </c>
    </row>
    <row r="2555">
      <c r="A2555" s="1" t="s">
        <v>26</v>
      </c>
      <c r="B2555" s="1" t="s">
        <v>1192</v>
      </c>
      <c r="C2555" s="1" t="s">
        <v>47</v>
      </c>
      <c r="D2555" s="1">
        <v>13.0</v>
      </c>
      <c r="E2555" s="1">
        <v>207.0</v>
      </c>
      <c r="F2555" s="1">
        <v>331.0</v>
      </c>
      <c r="G2555" s="1">
        <v>202.0</v>
      </c>
      <c r="H2555" s="1">
        <v>1.0248</v>
      </c>
      <c r="I2555" s="1">
        <v>1.6386</v>
      </c>
      <c r="J2555" s="1">
        <v>-0.6139</v>
      </c>
      <c r="K2555" s="1">
        <v>72.0</v>
      </c>
    </row>
    <row r="2556">
      <c r="A2556" s="1" t="s">
        <v>26</v>
      </c>
      <c r="B2556" s="1" t="s">
        <v>1192</v>
      </c>
      <c r="C2556" s="1" t="s">
        <v>47</v>
      </c>
      <c r="D2556" s="1">
        <v>14.0</v>
      </c>
      <c r="E2556" s="1">
        <v>216.0</v>
      </c>
      <c r="F2556" s="1">
        <v>264.0</v>
      </c>
      <c r="G2556" s="1">
        <v>202.0</v>
      </c>
      <c r="H2556" s="1">
        <v>1.0693</v>
      </c>
      <c r="I2556" s="1">
        <v>1.3069</v>
      </c>
      <c r="J2556" s="1">
        <v>-0.2376</v>
      </c>
      <c r="K2556" s="1">
        <v>74.0</v>
      </c>
    </row>
    <row r="2557">
      <c r="A2557" s="1" t="s">
        <v>26</v>
      </c>
      <c r="B2557" s="1" t="s">
        <v>1192</v>
      </c>
      <c r="C2557" s="1" t="s">
        <v>47</v>
      </c>
      <c r="D2557" s="1">
        <v>15.0</v>
      </c>
      <c r="E2557" s="1">
        <v>420.0</v>
      </c>
      <c r="F2557" s="1">
        <v>416.0</v>
      </c>
      <c r="G2557" s="1">
        <v>202.0</v>
      </c>
      <c r="H2557" s="1">
        <v>2.0792</v>
      </c>
      <c r="I2557" s="1">
        <v>2.0594</v>
      </c>
      <c r="J2557" s="1">
        <v>0.0198</v>
      </c>
      <c r="K2557" s="1">
        <v>73.0</v>
      </c>
    </row>
    <row r="2558">
      <c r="A2558" s="1" t="s">
        <v>26</v>
      </c>
      <c r="B2558" s="1" t="s">
        <v>1192</v>
      </c>
      <c r="C2558" s="1" t="s">
        <v>47</v>
      </c>
      <c r="D2558" s="1">
        <v>16.0</v>
      </c>
      <c r="E2558" s="1">
        <v>238.0</v>
      </c>
      <c r="F2558" s="1">
        <v>415.0</v>
      </c>
      <c r="G2558" s="1">
        <v>202.0</v>
      </c>
      <c r="H2558" s="1">
        <v>1.1782</v>
      </c>
      <c r="I2558" s="1">
        <v>2.0545</v>
      </c>
      <c r="J2558" s="1">
        <v>-0.8762</v>
      </c>
      <c r="K2558" s="1">
        <v>75.0</v>
      </c>
    </row>
    <row r="2559">
      <c r="A2559" s="1" t="s">
        <v>26</v>
      </c>
      <c r="B2559" s="1" t="s">
        <v>1192</v>
      </c>
      <c r="C2559" s="1" t="s">
        <v>47</v>
      </c>
      <c r="D2559" s="1">
        <v>17.0</v>
      </c>
      <c r="E2559" s="1">
        <v>247.0</v>
      </c>
      <c r="F2559" s="1">
        <v>362.0</v>
      </c>
      <c r="G2559" s="1">
        <v>202.0</v>
      </c>
      <c r="H2559" s="1">
        <v>1.2228</v>
      </c>
      <c r="I2559" s="1">
        <v>1.7921</v>
      </c>
      <c r="J2559" s="1">
        <v>-0.5693</v>
      </c>
      <c r="K2559" s="1">
        <v>76.0</v>
      </c>
    </row>
    <row r="2560">
      <c r="A2560" s="1" t="s">
        <v>26</v>
      </c>
      <c r="B2560" s="1" t="s">
        <v>1192</v>
      </c>
      <c r="C2560" s="1" t="s">
        <v>47</v>
      </c>
      <c r="D2560" s="1">
        <v>18.0</v>
      </c>
      <c r="E2560" s="1">
        <v>251.0</v>
      </c>
      <c r="F2560" s="1">
        <v>386.0</v>
      </c>
      <c r="G2560" s="1">
        <v>202.0</v>
      </c>
      <c r="H2560" s="1">
        <v>1.2426</v>
      </c>
      <c r="I2560" s="1">
        <v>1.9109</v>
      </c>
      <c r="J2560" s="1">
        <v>-0.6683</v>
      </c>
      <c r="K2560" s="1">
        <v>81.0</v>
      </c>
    </row>
    <row r="2561">
      <c r="A2561" s="1" t="s">
        <v>26</v>
      </c>
      <c r="B2561" s="1" t="s">
        <v>1192</v>
      </c>
      <c r="C2561" s="1" t="s">
        <v>47</v>
      </c>
      <c r="D2561" s="1">
        <v>19.0</v>
      </c>
      <c r="E2561" s="1">
        <v>249.0</v>
      </c>
      <c r="F2561" s="1">
        <v>316.0</v>
      </c>
      <c r="G2561" s="1">
        <v>202.0</v>
      </c>
      <c r="H2561" s="1">
        <v>1.2327</v>
      </c>
      <c r="I2561" s="1">
        <v>1.5644</v>
      </c>
      <c r="J2561" s="1">
        <v>-0.3317</v>
      </c>
      <c r="K2561" s="1">
        <v>83.0</v>
      </c>
    </row>
    <row r="2562">
      <c r="A2562" s="1" t="s">
        <v>26</v>
      </c>
      <c r="B2562" s="1" t="s">
        <v>1192</v>
      </c>
      <c r="C2562" s="1" t="s">
        <v>47</v>
      </c>
      <c r="D2562" s="1">
        <v>20.0</v>
      </c>
      <c r="E2562" s="1">
        <v>214.0</v>
      </c>
      <c r="F2562" s="1">
        <v>292.0</v>
      </c>
      <c r="G2562" s="1">
        <v>202.0</v>
      </c>
      <c r="H2562" s="1">
        <v>1.0594</v>
      </c>
      <c r="I2562" s="1">
        <v>1.4455</v>
      </c>
      <c r="J2562" s="1">
        <v>-0.3861</v>
      </c>
      <c r="K2562" s="1">
        <v>92.0</v>
      </c>
    </row>
    <row r="2563">
      <c r="A2563" s="1" t="s">
        <v>26</v>
      </c>
      <c r="B2563" s="1" t="s">
        <v>1192</v>
      </c>
      <c r="C2563" s="1" t="s">
        <v>47</v>
      </c>
      <c r="D2563" s="1">
        <v>21.0</v>
      </c>
      <c r="E2563" s="1">
        <v>218.0</v>
      </c>
      <c r="F2563" s="1">
        <v>297.0</v>
      </c>
      <c r="G2563" s="1">
        <v>202.0</v>
      </c>
      <c r="H2563" s="1">
        <v>1.0792</v>
      </c>
      <c r="I2563" s="1">
        <v>1.4703</v>
      </c>
      <c r="J2563" s="1">
        <v>-0.3911</v>
      </c>
      <c r="K2563" s="1">
        <v>91.0</v>
      </c>
    </row>
    <row r="2564">
      <c r="A2564" s="1" t="s">
        <v>26</v>
      </c>
      <c r="B2564" s="1" t="s">
        <v>1192</v>
      </c>
      <c r="C2564" s="1" t="s">
        <v>48</v>
      </c>
      <c r="D2564" s="1">
        <v>1.0</v>
      </c>
      <c r="E2564" s="1">
        <v>262.0</v>
      </c>
      <c r="F2564" s="1">
        <v>223.0</v>
      </c>
      <c r="G2564" s="1">
        <v>202.0</v>
      </c>
      <c r="H2564" s="1">
        <v>1.297</v>
      </c>
      <c r="I2564" s="1">
        <v>1.104</v>
      </c>
      <c r="J2564" s="1">
        <v>0.1931</v>
      </c>
      <c r="K2564" s="1">
        <v>48.0</v>
      </c>
    </row>
    <row r="2565">
      <c r="A2565" s="1" t="s">
        <v>26</v>
      </c>
      <c r="B2565" s="1" t="s">
        <v>1192</v>
      </c>
      <c r="C2565" s="1" t="s">
        <v>48</v>
      </c>
      <c r="D2565" s="1">
        <v>2.0</v>
      </c>
      <c r="E2565" s="1">
        <v>320.0</v>
      </c>
      <c r="F2565" s="1">
        <v>379.0</v>
      </c>
      <c r="G2565" s="1">
        <v>202.0</v>
      </c>
      <c r="H2565" s="1">
        <v>1.5842</v>
      </c>
      <c r="I2565" s="1">
        <v>1.8762</v>
      </c>
      <c r="J2565" s="1">
        <v>-0.2921</v>
      </c>
      <c r="K2565" s="1">
        <v>58.0</v>
      </c>
    </row>
    <row r="2566">
      <c r="A2566" s="1" t="s">
        <v>26</v>
      </c>
      <c r="B2566" s="1" t="s">
        <v>1192</v>
      </c>
      <c r="C2566" s="1" t="s">
        <v>48</v>
      </c>
      <c r="D2566" s="1">
        <v>3.0</v>
      </c>
      <c r="E2566" s="1">
        <v>230.0</v>
      </c>
      <c r="F2566" s="1">
        <v>262.0</v>
      </c>
      <c r="G2566" s="1">
        <v>202.0</v>
      </c>
      <c r="H2566" s="1">
        <v>1.1386</v>
      </c>
      <c r="I2566" s="1">
        <v>1.297</v>
      </c>
      <c r="J2566" s="1">
        <v>-0.1584</v>
      </c>
      <c r="K2566" s="1">
        <v>53.0</v>
      </c>
    </row>
    <row r="2567">
      <c r="A2567" s="1" t="s">
        <v>26</v>
      </c>
      <c r="B2567" s="1" t="s">
        <v>1192</v>
      </c>
      <c r="C2567" s="1" t="s">
        <v>48</v>
      </c>
      <c r="D2567" s="1">
        <v>4.0</v>
      </c>
      <c r="E2567" s="1">
        <v>239.0</v>
      </c>
      <c r="F2567" s="1">
        <v>268.0</v>
      </c>
      <c r="G2567" s="1">
        <v>202.0</v>
      </c>
      <c r="H2567" s="1">
        <v>1.1832</v>
      </c>
      <c r="I2567" s="1">
        <v>1.3267</v>
      </c>
      <c r="J2567" s="1">
        <v>-0.1436</v>
      </c>
      <c r="K2567" s="1">
        <v>58.0</v>
      </c>
    </row>
    <row r="2568">
      <c r="A2568" s="1" t="s">
        <v>26</v>
      </c>
      <c r="B2568" s="1" t="s">
        <v>1192</v>
      </c>
      <c r="C2568" s="1" t="s">
        <v>48</v>
      </c>
      <c r="D2568" s="1">
        <v>5.0</v>
      </c>
      <c r="E2568" s="1">
        <v>271.0</v>
      </c>
      <c r="F2568" s="1">
        <v>333.0</v>
      </c>
      <c r="G2568" s="1">
        <v>202.0</v>
      </c>
      <c r="H2568" s="1">
        <v>1.3416</v>
      </c>
      <c r="I2568" s="1">
        <v>1.6485</v>
      </c>
      <c r="J2568" s="1">
        <v>-0.3069</v>
      </c>
      <c r="K2568" s="1">
        <v>61.0</v>
      </c>
    </row>
    <row r="2569">
      <c r="A2569" s="1" t="s">
        <v>26</v>
      </c>
      <c r="B2569" s="1" t="s">
        <v>1192</v>
      </c>
      <c r="C2569" s="1" t="s">
        <v>48</v>
      </c>
      <c r="D2569" s="1">
        <v>6.0</v>
      </c>
      <c r="E2569" s="1">
        <v>236.0</v>
      </c>
      <c r="F2569" s="1">
        <v>348.0</v>
      </c>
      <c r="G2569" s="1">
        <v>202.0</v>
      </c>
      <c r="H2569" s="1">
        <v>1.1683</v>
      </c>
      <c r="I2569" s="1">
        <v>1.7228</v>
      </c>
      <c r="J2569" s="1">
        <v>-0.5545</v>
      </c>
      <c r="K2569" s="1">
        <v>67.0</v>
      </c>
    </row>
    <row r="2570">
      <c r="A2570" s="1" t="s">
        <v>26</v>
      </c>
      <c r="B2570" s="1" t="s">
        <v>1192</v>
      </c>
      <c r="C2570" s="1" t="s">
        <v>48</v>
      </c>
      <c r="D2570" s="1">
        <v>7.0</v>
      </c>
      <c r="E2570" s="1">
        <v>203.0</v>
      </c>
      <c r="F2570" s="1">
        <v>274.0</v>
      </c>
      <c r="G2570" s="1">
        <v>202.0</v>
      </c>
      <c r="H2570" s="1">
        <v>1.005</v>
      </c>
      <c r="I2570" s="1">
        <v>1.3564</v>
      </c>
      <c r="J2570" s="1">
        <v>-0.3515</v>
      </c>
      <c r="K2570" s="1">
        <v>65.0</v>
      </c>
    </row>
    <row r="2571">
      <c r="A2571" s="1" t="s">
        <v>26</v>
      </c>
      <c r="B2571" s="1" t="s">
        <v>1192</v>
      </c>
      <c r="C2571" s="1" t="s">
        <v>48</v>
      </c>
      <c r="D2571" s="1">
        <v>8.0</v>
      </c>
      <c r="E2571" s="1">
        <v>342.0</v>
      </c>
      <c r="F2571" s="1">
        <v>367.0</v>
      </c>
      <c r="G2571" s="1">
        <v>202.0</v>
      </c>
      <c r="H2571" s="1">
        <v>1.6931</v>
      </c>
      <c r="I2571" s="1">
        <v>1.8168</v>
      </c>
      <c r="J2571" s="1">
        <v>-0.1238</v>
      </c>
      <c r="K2571" s="1">
        <v>66.0</v>
      </c>
    </row>
    <row r="2572">
      <c r="A2572" s="1" t="s">
        <v>26</v>
      </c>
      <c r="B2572" s="1" t="s">
        <v>1192</v>
      </c>
      <c r="C2572" s="1" t="s">
        <v>48</v>
      </c>
      <c r="D2572" s="1">
        <v>9.0</v>
      </c>
      <c r="E2572" s="1">
        <v>235.0</v>
      </c>
      <c r="F2572" s="1">
        <v>307.0</v>
      </c>
      <c r="G2572" s="1">
        <v>202.0</v>
      </c>
      <c r="H2572" s="1">
        <v>1.1634</v>
      </c>
      <c r="I2572" s="1">
        <v>1.5198</v>
      </c>
      <c r="J2572" s="1">
        <v>-0.3564</v>
      </c>
      <c r="K2572" s="1">
        <v>64.0</v>
      </c>
    </row>
    <row r="2573">
      <c r="A2573" s="1" t="s">
        <v>26</v>
      </c>
      <c r="B2573" s="1" t="s">
        <v>1192</v>
      </c>
      <c r="C2573" s="1" t="s">
        <v>48</v>
      </c>
      <c r="D2573" s="1">
        <v>10.0</v>
      </c>
      <c r="E2573" s="1">
        <v>218.0</v>
      </c>
      <c r="F2573" s="1">
        <v>296.0</v>
      </c>
      <c r="G2573" s="1">
        <v>202.0</v>
      </c>
      <c r="H2573" s="1">
        <v>1.0792</v>
      </c>
      <c r="I2573" s="1">
        <v>1.4653</v>
      </c>
      <c r="J2573" s="1">
        <v>-0.3861</v>
      </c>
      <c r="K2573" s="1">
        <v>62.0</v>
      </c>
    </row>
    <row r="2574">
      <c r="A2574" s="1" t="s">
        <v>26</v>
      </c>
      <c r="B2574" s="1" t="s">
        <v>1192</v>
      </c>
      <c r="C2574" s="1" t="s">
        <v>48</v>
      </c>
      <c r="D2574" s="1">
        <v>11.0</v>
      </c>
      <c r="E2574" s="1">
        <v>228.0</v>
      </c>
      <c r="F2574" s="1">
        <v>305.0</v>
      </c>
      <c r="G2574" s="1">
        <v>202.0</v>
      </c>
      <c r="H2574" s="1">
        <v>1.1287</v>
      </c>
      <c r="I2574" s="1">
        <v>1.5099</v>
      </c>
      <c r="J2574" s="1">
        <v>-0.3812</v>
      </c>
      <c r="K2574" s="1">
        <v>62.0</v>
      </c>
    </row>
    <row r="2575">
      <c r="A2575" s="1" t="s">
        <v>26</v>
      </c>
      <c r="B2575" s="1" t="s">
        <v>1192</v>
      </c>
      <c r="C2575" s="1" t="s">
        <v>48</v>
      </c>
      <c r="D2575" s="1">
        <v>12.0</v>
      </c>
      <c r="E2575" s="1">
        <v>287.0</v>
      </c>
      <c r="F2575" s="1">
        <v>322.0</v>
      </c>
      <c r="G2575" s="1">
        <v>202.0</v>
      </c>
      <c r="H2575" s="1">
        <v>1.4208</v>
      </c>
      <c r="I2575" s="1">
        <v>1.5941</v>
      </c>
      <c r="J2575" s="1">
        <v>-0.1733</v>
      </c>
      <c r="K2575" s="1">
        <v>70.0</v>
      </c>
    </row>
    <row r="2576">
      <c r="A2576" s="1" t="s">
        <v>26</v>
      </c>
      <c r="B2576" s="1" t="s">
        <v>1192</v>
      </c>
      <c r="C2576" s="1" t="s">
        <v>48</v>
      </c>
      <c r="D2576" s="1">
        <v>13.0</v>
      </c>
      <c r="E2576" s="1">
        <v>229.0</v>
      </c>
      <c r="F2576" s="1">
        <v>332.0</v>
      </c>
      <c r="G2576" s="1">
        <v>202.0</v>
      </c>
      <c r="H2576" s="1">
        <v>1.1337</v>
      </c>
      <c r="I2576" s="1">
        <v>1.6436</v>
      </c>
      <c r="J2576" s="1">
        <v>-0.5099</v>
      </c>
      <c r="K2576" s="1">
        <v>72.0</v>
      </c>
    </row>
    <row r="2577">
      <c r="A2577" s="1" t="s">
        <v>26</v>
      </c>
      <c r="B2577" s="1" t="s">
        <v>1192</v>
      </c>
      <c r="C2577" s="1" t="s">
        <v>48</v>
      </c>
      <c r="D2577" s="1">
        <v>14.0</v>
      </c>
      <c r="E2577" s="1">
        <v>234.0</v>
      </c>
      <c r="F2577" s="1">
        <v>265.0</v>
      </c>
      <c r="G2577" s="1">
        <v>202.0</v>
      </c>
      <c r="H2577" s="1">
        <v>1.1584</v>
      </c>
      <c r="I2577" s="1">
        <v>1.3119</v>
      </c>
      <c r="J2577" s="1">
        <v>-0.1535</v>
      </c>
      <c r="K2577" s="1">
        <v>74.0</v>
      </c>
    </row>
    <row r="2578">
      <c r="A2578" s="1" t="s">
        <v>26</v>
      </c>
      <c r="B2578" s="1" t="s">
        <v>1192</v>
      </c>
      <c r="C2578" s="1" t="s">
        <v>48</v>
      </c>
      <c r="D2578" s="1">
        <v>15.0</v>
      </c>
      <c r="E2578" s="1">
        <v>388.0</v>
      </c>
      <c r="F2578" s="1">
        <v>344.0</v>
      </c>
      <c r="G2578" s="1">
        <v>202.0</v>
      </c>
      <c r="H2578" s="1">
        <v>1.9208</v>
      </c>
      <c r="I2578" s="1">
        <v>1.703</v>
      </c>
      <c r="J2578" s="1">
        <v>0.2178</v>
      </c>
      <c r="K2578" s="1">
        <v>73.0</v>
      </c>
    </row>
    <row r="2579">
      <c r="A2579" s="1" t="s">
        <v>26</v>
      </c>
      <c r="B2579" s="1" t="s">
        <v>1192</v>
      </c>
      <c r="C2579" s="1" t="s">
        <v>48</v>
      </c>
      <c r="D2579" s="1">
        <v>16.0</v>
      </c>
      <c r="E2579" s="1">
        <v>268.0</v>
      </c>
      <c r="F2579" s="1">
        <v>430.0</v>
      </c>
      <c r="G2579" s="1">
        <v>202.0</v>
      </c>
      <c r="H2579" s="1">
        <v>1.3267</v>
      </c>
      <c r="I2579" s="1">
        <v>2.1287</v>
      </c>
      <c r="J2579" s="1">
        <v>-0.802</v>
      </c>
      <c r="K2579" s="1">
        <v>75.0</v>
      </c>
    </row>
    <row r="2580">
      <c r="A2580" s="1" t="s">
        <v>26</v>
      </c>
      <c r="B2580" s="1" t="s">
        <v>1192</v>
      </c>
      <c r="C2580" s="1" t="s">
        <v>48</v>
      </c>
      <c r="D2580" s="1">
        <v>17.0</v>
      </c>
      <c r="E2580" s="1">
        <v>257.0</v>
      </c>
      <c r="F2580" s="1">
        <v>375.0</v>
      </c>
      <c r="G2580" s="1">
        <v>202.0</v>
      </c>
      <c r="H2580" s="1">
        <v>1.2723</v>
      </c>
      <c r="I2580" s="1">
        <v>1.8564</v>
      </c>
      <c r="J2580" s="1">
        <v>-0.5842</v>
      </c>
      <c r="K2580" s="1">
        <v>76.0</v>
      </c>
    </row>
    <row r="2581">
      <c r="A2581" s="1" t="s">
        <v>26</v>
      </c>
      <c r="B2581" s="1" t="s">
        <v>1192</v>
      </c>
      <c r="C2581" s="1" t="s">
        <v>48</v>
      </c>
      <c r="D2581" s="1">
        <v>18.0</v>
      </c>
      <c r="E2581" s="1">
        <v>283.0</v>
      </c>
      <c r="F2581" s="1">
        <v>397.0</v>
      </c>
      <c r="G2581" s="1">
        <v>202.0</v>
      </c>
      <c r="H2581" s="1">
        <v>1.401</v>
      </c>
      <c r="I2581" s="1">
        <v>1.9653</v>
      </c>
      <c r="J2581" s="1">
        <v>-0.5644</v>
      </c>
      <c r="K2581" s="1">
        <v>81.0</v>
      </c>
    </row>
    <row r="2582">
      <c r="A2582" s="1" t="s">
        <v>26</v>
      </c>
      <c r="B2582" s="1" t="s">
        <v>1192</v>
      </c>
      <c r="C2582" s="1" t="s">
        <v>48</v>
      </c>
      <c r="D2582" s="1">
        <v>19.0</v>
      </c>
      <c r="E2582" s="1">
        <v>292.0</v>
      </c>
      <c r="F2582" s="1">
        <v>341.0</v>
      </c>
      <c r="G2582" s="1">
        <v>202.0</v>
      </c>
      <c r="H2582" s="1">
        <v>1.4455</v>
      </c>
      <c r="I2582" s="1">
        <v>1.6881</v>
      </c>
      <c r="J2582" s="1">
        <v>-0.2426</v>
      </c>
      <c r="K2582" s="1">
        <v>83.0</v>
      </c>
    </row>
    <row r="2583">
      <c r="A2583" s="1" t="s">
        <v>26</v>
      </c>
      <c r="B2583" s="1" t="s">
        <v>1192</v>
      </c>
      <c r="C2583" s="1" t="s">
        <v>48</v>
      </c>
      <c r="D2583" s="1">
        <v>20.0</v>
      </c>
      <c r="E2583" s="1">
        <v>233.0</v>
      </c>
      <c r="F2583" s="1">
        <v>294.0</v>
      </c>
      <c r="G2583" s="1">
        <v>202.0</v>
      </c>
      <c r="H2583" s="1">
        <v>1.1535</v>
      </c>
      <c r="I2583" s="1">
        <v>1.4554</v>
      </c>
      <c r="J2583" s="1">
        <v>-0.302</v>
      </c>
      <c r="K2583" s="1">
        <v>92.0</v>
      </c>
    </row>
    <row r="2584">
      <c r="A2584" s="1" t="s">
        <v>26</v>
      </c>
      <c r="B2584" s="1" t="s">
        <v>1192</v>
      </c>
      <c r="C2584" s="1" t="s">
        <v>48</v>
      </c>
      <c r="D2584" s="1">
        <v>21.0</v>
      </c>
      <c r="E2584" s="1">
        <v>231.0</v>
      </c>
      <c r="F2584" s="1">
        <v>310.0</v>
      </c>
      <c r="G2584" s="1">
        <v>202.0</v>
      </c>
      <c r="H2584" s="1">
        <v>1.1436</v>
      </c>
      <c r="I2584" s="1">
        <v>1.5347</v>
      </c>
      <c r="J2584" s="1">
        <v>-0.3911</v>
      </c>
      <c r="K2584" s="1">
        <v>91.0</v>
      </c>
    </row>
    <row r="2585">
      <c r="A2585" s="1" t="s">
        <v>26</v>
      </c>
      <c r="B2585" s="1" t="s">
        <v>1192</v>
      </c>
      <c r="C2585" s="1" t="s">
        <v>50</v>
      </c>
      <c r="D2585" s="1">
        <v>1.0</v>
      </c>
      <c r="E2585" s="1">
        <v>193.0</v>
      </c>
      <c r="F2585" s="1">
        <v>167.0</v>
      </c>
      <c r="G2585" s="1">
        <v>202.0</v>
      </c>
      <c r="H2585" s="1">
        <v>0.9554</v>
      </c>
      <c r="I2585" s="1">
        <v>0.8267</v>
      </c>
      <c r="J2585" s="1">
        <v>0.1287</v>
      </c>
      <c r="K2585" s="1">
        <v>48.0</v>
      </c>
    </row>
    <row r="2586">
      <c r="A2586" s="1" t="s">
        <v>26</v>
      </c>
      <c r="B2586" s="1" t="s">
        <v>1192</v>
      </c>
      <c r="C2586" s="1" t="s">
        <v>50</v>
      </c>
      <c r="D2586" s="1">
        <v>2.0</v>
      </c>
      <c r="E2586" s="1">
        <v>246.0</v>
      </c>
      <c r="F2586" s="1">
        <v>244.0</v>
      </c>
      <c r="G2586" s="1">
        <v>202.0</v>
      </c>
      <c r="H2586" s="1">
        <v>1.2178</v>
      </c>
      <c r="I2586" s="1">
        <v>1.2079</v>
      </c>
      <c r="J2586" s="1">
        <v>0.0099</v>
      </c>
      <c r="K2586" s="1">
        <v>58.0</v>
      </c>
    </row>
    <row r="2587">
      <c r="A2587" s="1" t="s">
        <v>26</v>
      </c>
      <c r="B2587" s="1" t="s">
        <v>1192</v>
      </c>
      <c r="C2587" s="1" t="s">
        <v>50</v>
      </c>
      <c r="D2587" s="1">
        <v>3.0</v>
      </c>
      <c r="E2587" s="1">
        <v>188.0</v>
      </c>
      <c r="F2587" s="1">
        <v>212.0</v>
      </c>
      <c r="G2587" s="1">
        <v>202.0</v>
      </c>
      <c r="H2587" s="1">
        <v>0.9307</v>
      </c>
      <c r="I2587" s="1">
        <v>1.0495</v>
      </c>
      <c r="J2587" s="1">
        <v>-0.1188</v>
      </c>
      <c r="K2587" s="1">
        <v>53.0</v>
      </c>
    </row>
    <row r="2588">
      <c r="A2588" s="1" t="s">
        <v>26</v>
      </c>
      <c r="B2588" s="1" t="s">
        <v>1192</v>
      </c>
      <c r="C2588" s="1" t="s">
        <v>50</v>
      </c>
      <c r="D2588" s="1">
        <v>4.0</v>
      </c>
      <c r="E2588" s="1">
        <v>229.0</v>
      </c>
      <c r="F2588" s="1">
        <v>227.0</v>
      </c>
      <c r="G2588" s="1">
        <v>202.0</v>
      </c>
      <c r="H2588" s="1">
        <v>1.1337</v>
      </c>
      <c r="I2588" s="1">
        <v>1.1238</v>
      </c>
      <c r="J2588" s="1">
        <v>0.0099</v>
      </c>
      <c r="K2588" s="1">
        <v>58.0</v>
      </c>
    </row>
    <row r="2589">
      <c r="A2589" s="1" t="s">
        <v>26</v>
      </c>
      <c r="B2589" s="1" t="s">
        <v>1192</v>
      </c>
      <c r="C2589" s="1" t="s">
        <v>50</v>
      </c>
      <c r="D2589" s="1">
        <v>5.0</v>
      </c>
      <c r="E2589" s="1">
        <v>191.0</v>
      </c>
      <c r="F2589" s="1">
        <v>276.0</v>
      </c>
      <c r="G2589" s="1">
        <v>202.0</v>
      </c>
      <c r="H2589" s="1">
        <v>0.9455</v>
      </c>
      <c r="I2589" s="1">
        <v>1.3663</v>
      </c>
      <c r="J2589" s="1">
        <v>-0.4208</v>
      </c>
      <c r="K2589" s="1">
        <v>61.0</v>
      </c>
    </row>
    <row r="2590">
      <c r="A2590" s="1" t="s">
        <v>26</v>
      </c>
      <c r="B2590" s="1" t="s">
        <v>1192</v>
      </c>
      <c r="C2590" s="1" t="s">
        <v>50</v>
      </c>
      <c r="D2590" s="1">
        <v>6.0</v>
      </c>
      <c r="E2590" s="1">
        <v>170.0</v>
      </c>
      <c r="F2590" s="1">
        <v>257.0</v>
      </c>
      <c r="G2590" s="1">
        <v>202.0</v>
      </c>
      <c r="H2590" s="1">
        <v>0.8416</v>
      </c>
      <c r="I2590" s="1">
        <v>1.2723</v>
      </c>
      <c r="J2590" s="1">
        <v>-0.4307</v>
      </c>
      <c r="K2590" s="1">
        <v>67.0</v>
      </c>
    </row>
    <row r="2591">
      <c r="A2591" s="1" t="s">
        <v>26</v>
      </c>
      <c r="B2591" s="1" t="s">
        <v>1192</v>
      </c>
      <c r="C2591" s="1" t="s">
        <v>50</v>
      </c>
      <c r="D2591" s="1">
        <v>7.0</v>
      </c>
      <c r="E2591" s="1">
        <v>181.0</v>
      </c>
      <c r="F2591" s="1">
        <v>217.0</v>
      </c>
      <c r="G2591" s="1">
        <v>202.0</v>
      </c>
      <c r="H2591" s="1">
        <v>0.896</v>
      </c>
      <c r="I2591" s="1">
        <v>1.0743</v>
      </c>
      <c r="J2591" s="1">
        <v>-0.1782</v>
      </c>
      <c r="K2591" s="1">
        <v>65.0</v>
      </c>
    </row>
    <row r="2592">
      <c r="A2592" s="1" t="s">
        <v>26</v>
      </c>
      <c r="B2592" s="1" t="s">
        <v>1192</v>
      </c>
      <c r="C2592" s="1" t="s">
        <v>50</v>
      </c>
      <c r="D2592" s="1">
        <v>8.0</v>
      </c>
      <c r="E2592" s="1">
        <v>310.0</v>
      </c>
      <c r="F2592" s="1">
        <v>283.0</v>
      </c>
      <c r="G2592" s="1">
        <v>202.0</v>
      </c>
      <c r="H2592" s="1">
        <v>1.5347</v>
      </c>
      <c r="I2592" s="1">
        <v>1.401</v>
      </c>
      <c r="J2592" s="1">
        <v>0.1337</v>
      </c>
      <c r="K2592" s="1">
        <v>66.0</v>
      </c>
    </row>
    <row r="2593">
      <c r="A2593" s="1" t="s">
        <v>26</v>
      </c>
      <c r="B2593" s="1" t="s">
        <v>1192</v>
      </c>
      <c r="C2593" s="1" t="s">
        <v>50</v>
      </c>
      <c r="D2593" s="1">
        <v>9.0</v>
      </c>
      <c r="E2593" s="1">
        <v>206.0</v>
      </c>
      <c r="F2593" s="1">
        <v>232.0</v>
      </c>
      <c r="G2593" s="1">
        <v>202.0</v>
      </c>
      <c r="H2593" s="1">
        <v>1.0198</v>
      </c>
      <c r="I2593" s="1">
        <v>1.1485</v>
      </c>
      <c r="J2593" s="1">
        <v>-0.1287</v>
      </c>
      <c r="K2593" s="1">
        <v>64.0</v>
      </c>
    </row>
    <row r="2594">
      <c r="A2594" s="1" t="s">
        <v>26</v>
      </c>
      <c r="B2594" s="1" t="s">
        <v>1192</v>
      </c>
      <c r="C2594" s="1" t="s">
        <v>50</v>
      </c>
      <c r="D2594" s="1">
        <v>10.0</v>
      </c>
      <c r="E2594" s="1">
        <v>224.0</v>
      </c>
      <c r="F2594" s="1">
        <v>254.0</v>
      </c>
      <c r="G2594" s="1">
        <v>202.0</v>
      </c>
      <c r="H2594" s="1">
        <v>1.1089</v>
      </c>
      <c r="I2594" s="1">
        <v>1.2574</v>
      </c>
      <c r="J2594" s="1">
        <v>-0.1485</v>
      </c>
      <c r="K2594" s="1">
        <v>62.0</v>
      </c>
    </row>
    <row r="2595">
      <c r="A2595" s="1" t="s">
        <v>26</v>
      </c>
      <c r="B2595" s="1" t="s">
        <v>1192</v>
      </c>
      <c r="C2595" s="1" t="s">
        <v>50</v>
      </c>
      <c r="D2595" s="1">
        <v>11.0</v>
      </c>
      <c r="E2595" s="1">
        <v>214.0</v>
      </c>
      <c r="F2595" s="1">
        <v>240.0</v>
      </c>
      <c r="G2595" s="1">
        <v>202.0</v>
      </c>
      <c r="H2595" s="1">
        <v>1.0594</v>
      </c>
      <c r="I2595" s="1">
        <v>1.1881</v>
      </c>
      <c r="J2595" s="1">
        <v>-0.1287</v>
      </c>
      <c r="K2595" s="1">
        <v>62.0</v>
      </c>
    </row>
    <row r="2596">
      <c r="A2596" s="1" t="s">
        <v>26</v>
      </c>
      <c r="B2596" s="1" t="s">
        <v>1192</v>
      </c>
      <c r="C2596" s="1" t="s">
        <v>50</v>
      </c>
      <c r="D2596" s="1">
        <v>12.0</v>
      </c>
      <c r="E2596" s="1">
        <v>214.0</v>
      </c>
      <c r="F2596" s="1">
        <v>236.0</v>
      </c>
      <c r="G2596" s="1">
        <v>202.0</v>
      </c>
      <c r="H2596" s="1">
        <v>1.0594</v>
      </c>
      <c r="I2596" s="1">
        <v>1.1683</v>
      </c>
      <c r="J2596" s="1">
        <v>-0.1089</v>
      </c>
      <c r="K2596" s="1">
        <v>70.0</v>
      </c>
    </row>
    <row r="2597">
      <c r="A2597" s="1" t="s">
        <v>26</v>
      </c>
      <c r="B2597" s="1" t="s">
        <v>1192</v>
      </c>
      <c r="C2597" s="1" t="s">
        <v>50</v>
      </c>
      <c r="D2597" s="1">
        <v>13.0</v>
      </c>
      <c r="E2597" s="1">
        <v>185.0</v>
      </c>
      <c r="F2597" s="1">
        <v>272.0</v>
      </c>
      <c r="G2597" s="1">
        <v>202.0</v>
      </c>
      <c r="H2597" s="1">
        <v>0.9158</v>
      </c>
      <c r="I2597" s="1">
        <v>1.3465</v>
      </c>
      <c r="J2597" s="1">
        <v>-0.4307</v>
      </c>
      <c r="K2597" s="1">
        <v>72.0</v>
      </c>
    </row>
    <row r="2598">
      <c r="A2598" s="1" t="s">
        <v>26</v>
      </c>
      <c r="B2598" s="1" t="s">
        <v>1192</v>
      </c>
      <c r="C2598" s="1" t="s">
        <v>50</v>
      </c>
      <c r="D2598" s="1">
        <v>14.0</v>
      </c>
      <c r="E2598" s="1">
        <v>179.0</v>
      </c>
      <c r="F2598" s="1">
        <v>235.0</v>
      </c>
      <c r="G2598" s="1">
        <v>202.0</v>
      </c>
      <c r="H2598" s="1">
        <v>0.8861</v>
      </c>
      <c r="I2598" s="1">
        <v>1.1634</v>
      </c>
      <c r="J2598" s="1">
        <v>-0.2772</v>
      </c>
      <c r="K2598" s="1">
        <v>74.0</v>
      </c>
    </row>
    <row r="2599">
      <c r="A2599" s="1" t="s">
        <v>26</v>
      </c>
      <c r="B2599" s="1" t="s">
        <v>1192</v>
      </c>
      <c r="C2599" s="1" t="s">
        <v>50</v>
      </c>
      <c r="D2599" s="1">
        <v>15.0</v>
      </c>
      <c r="E2599" s="1">
        <v>316.0</v>
      </c>
      <c r="F2599" s="1">
        <v>275.0</v>
      </c>
      <c r="G2599" s="1">
        <v>202.0</v>
      </c>
      <c r="H2599" s="1">
        <v>1.5644</v>
      </c>
      <c r="I2599" s="1">
        <v>1.3614</v>
      </c>
      <c r="J2599" s="1">
        <v>0.203</v>
      </c>
      <c r="K2599" s="1">
        <v>73.0</v>
      </c>
    </row>
    <row r="2600">
      <c r="A2600" s="1" t="s">
        <v>26</v>
      </c>
      <c r="B2600" s="1" t="s">
        <v>1192</v>
      </c>
      <c r="C2600" s="1" t="s">
        <v>50</v>
      </c>
      <c r="D2600" s="1">
        <v>16.0</v>
      </c>
      <c r="E2600" s="1">
        <v>223.0</v>
      </c>
      <c r="F2600" s="1">
        <v>338.0</v>
      </c>
      <c r="G2600" s="1">
        <v>202.0</v>
      </c>
      <c r="H2600" s="1">
        <v>1.104</v>
      </c>
      <c r="I2600" s="1">
        <v>1.6733</v>
      </c>
      <c r="J2600" s="1">
        <v>-0.5693</v>
      </c>
      <c r="K2600" s="1">
        <v>75.0</v>
      </c>
    </row>
    <row r="2601">
      <c r="A2601" s="1" t="s">
        <v>26</v>
      </c>
      <c r="B2601" s="1" t="s">
        <v>1192</v>
      </c>
      <c r="C2601" s="1" t="s">
        <v>50</v>
      </c>
      <c r="D2601" s="1">
        <v>17.0</v>
      </c>
      <c r="E2601" s="1">
        <v>213.0</v>
      </c>
      <c r="F2601" s="1">
        <v>290.0</v>
      </c>
      <c r="G2601" s="1">
        <v>202.0</v>
      </c>
      <c r="H2601" s="1">
        <v>1.0545</v>
      </c>
      <c r="I2601" s="1">
        <v>1.4356</v>
      </c>
      <c r="J2601" s="1">
        <v>-0.3812</v>
      </c>
      <c r="K2601" s="1">
        <v>76.0</v>
      </c>
    </row>
    <row r="2602">
      <c r="A2602" s="1" t="s">
        <v>26</v>
      </c>
      <c r="B2602" s="1" t="s">
        <v>1192</v>
      </c>
      <c r="C2602" s="1" t="s">
        <v>50</v>
      </c>
      <c r="D2602" s="1">
        <v>18.0</v>
      </c>
      <c r="E2602" s="1">
        <v>243.0</v>
      </c>
      <c r="F2602" s="1">
        <v>302.0</v>
      </c>
      <c r="G2602" s="1">
        <v>202.0</v>
      </c>
      <c r="H2602" s="1">
        <v>1.203</v>
      </c>
      <c r="I2602" s="1">
        <v>1.495</v>
      </c>
      <c r="J2602" s="1">
        <v>-0.2921</v>
      </c>
      <c r="K2602" s="1">
        <v>81.0</v>
      </c>
    </row>
    <row r="2603">
      <c r="A2603" s="1" t="s">
        <v>26</v>
      </c>
      <c r="B2603" s="1" t="s">
        <v>1192</v>
      </c>
      <c r="C2603" s="1" t="s">
        <v>50</v>
      </c>
      <c r="D2603" s="1">
        <v>19.0</v>
      </c>
      <c r="E2603" s="1">
        <v>205.0</v>
      </c>
      <c r="F2603" s="1">
        <v>249.0</v>
      </c>
      <c r="G2603" s="1">
        <v>202.0</v>
      </c>
      <c r="H2603" s="1">
        <v>1.0149</v>
      </c>
      <c r="I2603" s="1">
        <v>1.2327</v>
      </c>
      <c r="J2603" s="1">
        <v>-0.2178</v>
      </c>
      <c r="K2603" s="1">
        <v>83.0</v>
      </c>
    </row>
    <row r="2604">
      <c r="A2604" s="1" t="s">
        <v>26</v>
      </c>
      <c r="B2604" s="1" t="s">
        <v>1192</v>
      </c>
      <c r="C2604" s="1" t="s">
        <v>50</v>
      </c>
      <c r="D2604" s="1">
        <v>20.0</v>
      </c>
      <c r="E2604" s="1">
        <v>204.0</v>
      </c>
      <c r="F2604" s="1">
        <v>271.0</v>
      </c>
      <c r="G2604" s="1">
        <v>202.0</v>
      </c>
      <c r="H2604" s="1">
        <v>1.0099</v>
      </c>
      <c r="I2604" s="1">
        <v>1.3416</v>
      </c>
      <c r="J2604" s="1">
        <v>-0.3317</v>
      </c>
      <c r="K2604" s="1">
        <v>92.0</v>
      </c>
    </row>
    <row r="2605">
      <c r="A2605" s="1" t="s">
        <v>26</v>
      </c>
      <c r="B2605" s="1" t="s">
        <v>1192</v>
      </c>
      <c r="C2605" s="1" t="s">
        <v>50</v>
      </c>
      <c r="D2605" s="1">
        <v>21.0</v>
      </c>
      <c r="E2605" s="1">
        <v>183.0</v>
      </c>
      <c r="F2605" s="1">
        <v>245.0</v>
      </c>
      <c r="G2605" s="1">
        <v>202.0</v>
      </c>
      <c r="H2605" s="1">
        <v>0.9059</v>
      </c>
      <c r="I2605" s="1">
        <v>1.2129</v>
      </c>
      <c r="J2605" s="1">
        <v>-0.3069</v>
      </c>
      <c r="K2605" s="1">
        <v>91.0</v>
      </c>
    </row>
    <row r="2606">
      <c r="A2606" s="1" t="s">
        <v>26</v>
      </c>
      <c r="B2606" s="1" t="s">
        <v>1192</v>
      </c>
      <c r="C2606" s="1" t="s">
        <v>1209</v>
      </c>
      <c r="D2606" s="1">
        <v>1.0</v>
      </c>
      <c r="E2606" s="1">
        <v>125.0</v>
      </c>
      <c r="F2606" s="1">
        <v>157.0</v>
      </c>
      <c r="G2606" s="1">
        <v>139.0</v>
      </c>
      <c r="H2606" s="1">
        <v>0.8993</v>
      </c>
      <c r="I2606" s="1">
        <v>1.1295</v>
      </c>
      <c r="J2606" s="1">
        <v>-0.2302</v>
      </c>
      <c r="K2606" s="1">
        <v>48.0</v>
      </c>
    </row>
    <row r="2607">
      <c r="A2607" s="1" t="s">
        <v>26</v>
      </c>
      <c r="B2607" s="1" t="s">
        <v>1192</v>
      </c>
      <c r="C2607" s="1" t="s">
        <v>1209</v>
      </c>
      <c r="D2607" s="1">
        <v>2.0</v>
      </c>
      <c r="E2607" s="1">
        <v>195.0</v>
      </c>
      <c r="F2607" s="1">
        <v>243.0</v>
      </c>
      <c r="G2607" s="1">
        <v>139.0</v>
      </c>
      <c r="H2607" s="1">
        <v>1.4029</v>
      </c>
      <c r="I2607" s="1">
        <v>1.7482</v>
      </c>
      <c r="J2607" s="1">
        <v>-0.3453</v>
      </c>
      <c r="K2607" s="1">
        <v>58.0</v>
      </c>
    </row>
    <row r="2608">
      <c r="A2608" s="1" t="s">
        <v>26</v>
      </c>
      <c r="B2608" s="1" t="s">
        <v>1192</v>
      </c>
      <c r="C2608" s="1" t="s">
        <v>1209</v>
      </c>
      <c r="D2608" s="1">
        <v>3.0</v>
      </c>
      <c r="E2608" s="1">
        <v>120.0</v>
      </c>
      <c r="F2608" s="1">
        <v>232.0</v>
      </c>
      <c r="G2608" s="1">
        <v>139.0</v>
      </c>
      <c r="H2608" s="1">
        <v>0.8633</v>
      </c>
      <c r="I2608" s="1">
        <v>1.6691</v>
      </c>
      <c r="J2608" s="1">
        <v>-0.8058</v>
      </c>
      <c r="K2608" s="1">
        <v>53.0</v>
      </c>
    </row>
    <row r="2609">
      <c r="A2609" s="1" t="s">
        <v>26</v>
      </c>
      <c r="B2609" s="1" t="s">
        <v>1192</v>
      </c>
      <c r="C2609" s="1" t="s">
        <v>1209</v>
      </c>
      <c r="D2609" s="1">
        <v>4.0</v>
      </c>
      <c r="E2609" s="1">
        <v>55.0</v>
      </c>
      <c r="F2609" s="1">
        <v>79.0</v>
      </c>
      <c r="G2609" s="1">
        <v>139.0</v>
      </c>
      <c r="H2609" s="1">
        <v>0.3957</v>
      </c>
      <c r="I2609" s="1">
        <v>0.5683</v>
      </c>
      <c r="J2609" s="1">
        <v>-0.1727</v>
      </c>
      <c r="K2609" s="1">
        <v>58.0</v>
      </c>
    </row>
    <row r="2610">
      <c r="A2610" s="1" t="s">
        <v>26</v>
      </c>
      <c r="B2610" s="1" t="s">
        <v>1192</v>
      </c>
      <c r="C2610" s="1" t="s">
        <v>1209</v>
      </c>
      <c r="D2610" s="1">
        <v>5.0</v>
      </c>
      <c r="E2610" s="1">
        <v>565.0</v>
      </c>
      <c r="F2610" s="1">
        <v>615.0</v>
      </c>
      <c r="G2610" s="1">
        <v>139.0</v>
      </c>
      <c r="H2610" s="1">
        <v>4.0647</v>
      </c>
      <c r="I2610" s="1">
        <v>4.4245</v>
      </c>
      <c r="J2610" s="1">
        <v>-0.3597</v>
      </c>
      <c r="K2610" s="1">
        <v>61.0</v>
      </c>
    </row>
    <row r="2611">
      <c r="A2611" s="1" t="s">
        <v>26</v>
      </c>
      <c r="B2611" s="1" t="s">
        <v>1192</v>
      </c>
      <c r="C2611" s="1" t="s">
        <v>1209</v>
      </c>
      <c r="D2611" s="1">
        <v>6.0</v>
      </c>
      <c r="E2611" s="1">
        <v>680.0</v>
      </c>
      <c r="F2611" s="1">
        <v>763.0</v>
      </c>
      <c r="G2611" s="1">
        <v>139.0</v>
      </c>
      <c r="H2611" s="1">
        <v>4.8921</v>
      </c>
      <c r="I2611" s="1">
        <v>5.4892</v>
      </c>
      <c r="J2611" s="1">
        <v>-0.5971</v>
      </c>
      <c r="K2611" s="1">
        <v>67.0</v>
      </c>
    </row>
    <row r="2612">
      <c r="A2612" s="1" t="s">
        <v>26</v>
      </c>
      <c r="B2612" s="1" t="s">
        <v>1192</v>
      </c>
      <c r="C2612" s="1" t="s">
        <v>1209</v>
      </c>
      <c r="D2612" s="1">
        <v>7.0</v>
      </c>
      <c r="E2612" s="1">
        <v>515.0</v>
      </c>
      <c r="F2612" s="1">
        <v>618.0</v>
      </c>
      <c r="G2612" s="1">
        <v>139.0</v>
      </c>
      <c r="H2612" s="1">
        <v>3.705</v>
      </c>
      <c r="I2612" s="1">
        <v>4.446</v>
      </c>
      <c r="J2612" s="1">
        <v>-0.741</v>
      </c>
      <c r="K2612" s="1">
        <v>65.0</v>
      </c>
    </row>
    <row r="2613">
      <c r="A2613" s="1" t="s">
        <v>26</v>
      </c>
      <c r="B2613" s="1" t="s">
        <v>1192</v>
      </c>
      <c r="C2613" s="1" t="s">
        <v>1209</v>
      </c>
      <c r="D2613" s="1">
        <v>8.0</v>
      </c>
      <c r="E2613" s="1">
        <v>100.0</v>
      </c>
      <c r="F2613" s="1">
        <v>451.0</v>
      </c>
      <c r="G2613" s="1">
        <v>139.0</v>
      </c>
      <c r="H2613" s="1">
        <v>0.7194</v>
      </c>
      <c r="I2613" s="1">
        <v>3.2446</v>
      </c>
      <c r="J2613" s="1">
        <v>-2.5252</v>
      </c>
      <c r="K2613" s="1">
        <v>66.0</v>
      </c>
    </row>
    <row r="2614">
      <c r="A2614" s="1" t="s">
        <v>26</v>
      </c>
      <c r="B2614" s="1" t="s">
        <v>1192</v>
      </c>
      <c r="C2614" s="1" t="s">
        <v>1209</v>
      </c>
      <c r="D2614" s="1">
        <v>9.0</v>
      </c>
      <c r="E2614" s="1">
        <v>10.0</v>
      </c>
      <c r="F2614" s="1">
        <v>49.0</v>
      </c>
      <c r="G2614" s="1">
        <v>139.0</v>
      </c>
      <c r="H2614" s="1">
        <v>0.0719</v>
      </c>
      <c r="I2614" s="1">
        <v>0.3525</v>
      </c>
      <c r="J2614" s="1">
        <v>-0.2806</v>
      </c>
      <c r="K2614" s="1">
        <v>64.0</v>
      </c>
    </row>
    <row r="2615">
      <c r="A2615" s="1" t="s">
        <v>26</v>
      </c>
      <c r="B2615" s="1" t="s">
        <v>1192</v>
      </c>
      <c r="C2615" s="1" t="s">
        <v>1209</v>
      </c>
      <c r="D2615" s="1">
        <v>10.0</v>
      </c>
      <c r="E2615" s="1">
        <v>30.0</v>
      </c>
      <c r="F2615" s="1">
        <v>150.0</v>
      </c>
      <c r="G2615" s="1">
        <v>139.0</v>
      </c>
      <c r="H2615" s="1">
        <v>0.2158</v>
      </c>
      <c r="I2615" s="1">
        <v>1.0791</v>
      </c>
      <c r="J2615" s="1">
        <v>-0.8633</v>
      </c>
      <c r="K2615" s="1">
        <v>62.0</v>
      </c>
    </row>
    <row r="2616">
      <c r="A2616" s="1" t="s">
        <v>26</v>
      </c>
      <c r="B2616" s="1" t="s">
        <v>1192</v>
      </c>
      <c r="C2616" s="1" t="s">
        <v>1209</v>
      </c>
      <c r="D2616" s="1">
        <v>11.0</v>
      </c>
      <c r="E2616" s="1">
        <v>145.0</v>
      </c>
      <c r="F2616" s="1">
        <v>196.0</v>
      </c>
      <c r="G2616" s="1">
        <v>139.0</v>
      </c>
      <c r="H2616" s="1">
        <v>1.0432</v>
      </c>
      <c r="I2616" s="1">
        <v>1.4101</v>
      </c>
      <c r="J2616" s="1">
        <v>-0.3669</v>
      </c>
      <c r="K2616" s="1">
        <v>62.0</v>
      </c>
    </row>
    <row r="2617">
      <c r="A2617" s="1" t="s">
        <v>26</v>
      </c>
      <c r="B2617" s="1" t="s">
        <v>1192</v>
      </c>
      <c r="C2617" s="1" t="s">
        <v>1209</v>
      </c>
      <c r="D2617" s="1">
        <v>12.0</v>
      </c>
      <c r="E2617" s="1">
        <v>500.0</v>
      </c>
      <c r="F2617" s="1">
        <v>387.0</v>
      </c>
      <c r="G2617" s="1">
        <v>139.0</v>
      </c>
      <c r="H2617" s="1">
        <v>3.5971</v>
      </c>
      <c r="I2617" s="1">
        <v>2.7842</v>
      </c>
      <c r="J2617" s="1">
        <v>0.8129</v>
      </c>
      <c r="K2617" s="1">
        <v>70.0</v>
      </c>
    </row>
    <row r="2618">
      <c r="A2618" s="1" t="s">
        <v>26</v>
      </c>
      <c r="B2618" s="1" t="s">
        <v>1192</v>
      </c>
      <c r="C2618" s="1" t="s">
        <v>1209</v>
      </c>
      <c r="D2618" s="1">
        <v>13.0</v>
      </c>
      <c r="E2618" s="1">
        <v>630.0</v>
      </c>
      <c r="F2618" s="1">
        <v>614.0</v>
      </c>
      <c r="G2618" s="1">
        <v>139.0</v>
      </c>
      <c r="H2618" s="1">
        <v>4.5324</v>
      </c>
      <c r="I2618" s="1">
        <v>4.4173</v>
      </c>
      <c r="J2618" s="1">
        <v>0.1151</v>
      </c>
      <c r="K2618" s="1">
        <v>72.0</v>
      </c>
    </row>
    <row r="2619">
      <c r="A2619" s="1" t="s">
        <v>26</v>
      </c>
      <c r="B2619" s="1" t="s">
        <v>1192</v>
      </c>
      <c r="C2619" s="1" t="s">
        <v>1209</v>
      </c>
      <c r="D2619" s="1">
        <v>14.0</v>
      </c>
      <c r="E2619" s="1">
        <v>540.0</v>
      </c>
      <c r="F2619" s="1">
        <v>474.0</v>
      </c>
      <c r="G2619" s="1">
        <v>139.0</v>
      </c>
      <c r="H2619" s="1">
        <v>3.8849</v>
      </c>
      <c r="I2619" s="1">
        <v>3.4101</v>
      </c>
      <c r="J2619" s="1">
        <v>0.4748</v>
      </c>
      <c r="K2619" s="1">
        <v>74.0</v>
      </c>
    </row>
    <row r="2620">
      <c r="A2620" s="1" t="s">
        <v>26</v>
      </c>
      <c r="B2620" s="1" t="s">
        <v>1192</v>
      </c>
      <c r="C2620" s="1" t="s">
        <v>1209</v>
      </c>
      <c r="D2620" s="1">
        <v>15.0</v>
      </c>
      <c r="E2620" s="1">
        <v>205.0</v>
      </c>
      <c r="F2620" s="1">
        <v>352.0</v>
      </c>
      <c r="G2620" s="1">
        <v>139.0</v>
      </c>
      <c r="H2620" s="1">
        <v>1.4748</v>
      </c>
      <c r="I2620" s="1">
        <v>2.5324</v>
      </c>
      <c r="J2620" s="1">
        <v>-1.0576</v>
      </c>
      <c r="K2620" s="1">
        <v>73.0</v>
      </c>
    </row>
    <row r="2621">
      <c r="A2621" s="1" t="s">
        <v>26</v>
      </c>
      <c r="B2621" s="1" t="s">
        <v>1192</v>
      </c>
      <c r="C2621" s="1" t="s">
        <v>1209</v>
      </c>
      <c r="D2621" s="1">
        <v>16.0</v>
      </c>
      <c r="E2621" s="1">
        <v>80.0</v>
      </c>
      <c r="F2621" s="1">
        <v>202.0</v>
      </c>
      <c r="G2621" s="1">
        <v>139.0</v>
      </c>
      <c r="H2621" s="1">
        <v>0.5755</v>
      </c>
      <c r="I2621" s="1">
        <v>1.4532</v>
      </c>
      <c r="J2621" s="1">
        <v>-0.8777</v>
      </c>
      <c r="K2621" s="1">
        <v>75.0</v>
      </c>
    </row>
    <row r="2622">
      <c r="A2622" s="1" t="s">
        <v>26</v>
      </c>
      <c r="B2622" s="1" t="s">
        <v>1192</v>
      </c>
      <c r="C2622" s="1" t="s">
        <v>1209</v>
      </c>
      <c r="D2622" s="1">
        <v>17.0</v>
      </c>
      <c r="E2622" s="1">
        <v>50.0</v>
      </c>
      <c r="F2622" s="1">
        <v>130.0</v>
      </c>
      <c r="G2622" s="1">
        <v>139.0</v>
      </c>
      <c r="H2622" s="1">
        <v>0.3597</v>
      </c>
      <c r="I2622" s="1">
        <v>0.9353</v>
      </c>
      <c r="J2622" s="1">
        <v>-0.5755</v>
      </c>
      <c r="K2622" s="1">
        <v>76.0</v>
      </c>
    </row>
    <row r="2623">
      <c r="A2623" s="1" t="s">
        <v>26</v>
      </c>
      <c r="B2623" s="1" t="s">
        <v>1192</v>
      </c>
      <c r="C2623" s="1" t="s">
        <v>1209</v>
      </c>
      <c r="D2623" s="1">
        <v>18.0</v>
      </c>
      <c r="E2623" s="1">
        <v>70.0</v>
      </c>
      <c r="F2623" s="1">
        <v>176.0</v>
      </c>
      <c r="G2623" s="1">
        <v>139.0</v>
      </c>
      <c r="H2623" s="1">
        <v>0.5036</v>
      </c>
      <c r="I2623" s="1">
        <v>1.2662</v>
      </c>
      <c r="J2623" s="1">
        <v>-0.7626</v>
      </c>
      <c r="K2623" s="1">
        <v>81.0</v>
      </c>
    </row>
    <row r="2624">
      <c r="A2624" s="1" t="s">
        <v>26</v>
      </c>
      <c r="B2624" s="1" t="s">
        <v>1192</v>
      </c>
      <c r="C2624" s="1" t="s">
        <v>1209</v>
      </c>
      <c r="D2624" s="1">
        <v>19.0</v>
      </c>
      <c r="E2624" s="1">
        <v>195.0</v>
      </c>
      <c r="F2624" s="1">
        <v>227.0</v>
      </c>
      <c r="G2624" s="1">
        <v>139.0</v>
      </c>
      <c r="H2624" s="1">
        <v>1.4029</v>
      </c>
      <c r="I2624" s="1">
        <v>1.6331</v>
      </c>
      <c r="J2624" s="1">
        <v>-0.2302</v>
      </c>
      <c r="K2624" s="1">
        <v>83.0</v>
      </c>
    </row>
    <row r="2625">
      <c r="A2625" s="1" t="s">
        <v>26</v>
      </c>
      <c r="B2625" s="1" t="s">
        <v>1192</v>
      </c>
      <c r="C2625" s="1" t="s">
        <v>1209</v>
      </c>
      <c r="D2625" s="1">
        <v>20.0</v>
      </c>
      <c r="E2625" s="1">
        <v>320.0</v>
      </c>
      <c r="F2625" s="1">
        <v>816.0</v>
      </c>
      <c r="G2625" s="1">
        <v>139.0</v>
      </c>
      <c r="H2625" s="1">
        <v>2.3022</v>
      </c>
      <c r="I2625" s="1">
        <v>5.8705</v>
      </c>
      <c r="J2625" s="1">
        <v>-3.5683</v>
      </c>
      <c r="K2625" s="1">
        <v>92.0</v>
      </c>
    </row>
    <row r="2626">
      <c r="A2626" s="1" t="s">
        <v>26</v>
      </c>
      <c r="B2626" s="1" t="s">
        <v>1192</v>
      </c>
      <c r="C2626" s="1" t="s">
        <v>1209</v>
      </c>
      <c r="D2626" s="1">
        <v>21.0</v>
      </c>
      <c r="E2626" s="1">
        <v>455.0</v>
      </c>
      <c r="F2626" s="1">
        <v>442.0</v>
      </c>
      <c r="G2626" s="1">
        <v>139.0</v>
      </c>
      <c r="H2626" s="1">
        <v>3.2734</v>
      </c>
      <c r="I2626" s="1">
        <v>3.1799</v>
      </c>
      <c r="J2626" s="1">
        <v>0.0935</v>
      </c>
      <c r="K2626" s="1">
        <v>91.0</v>
      </c>
    </row>
    <row r="2627">
      <c r="A2627" s="1" t="s">
        <v>26</v>
      </c>
      <c r="B2627" s="1" t="s">
        <v>1192</v>
      </c>
      <c r="C2627" s="1" t="s">
        <v>1210</v>
      </c>
      <c r="D2627" s="1">
        <v>1.0</v>
      </c>
      <c r="E2627" s="1">
        <v>405.0</v>
      </c>
      <c r="F2627" s="1">
        <v>380.0</v>
      </c>
      <c r="G2627" s="1">
        <v>194.0</v>
      </c>
      <c r="H2627" s="1">
        <v>2.0876</v>
      </c>
      <c r="I2627" s="1">
        <v>1.9588</v>
      </c>
      <c r="J2627" s="1">
        <v>0.1289</v>
      </c>
      <c r="K2627" s="1">
        <v>48.0</v>
      </c>
    </row>
    <row r="2628">
      <c r="A2628" s="1" t="s">
        <v>26</v>
      </c>
      <c r="B2628" s="1" t="s">
        <v>1192</v>
      </c>
      <c r="C2628" s="1" t="s">
        <v>1210</v>
      </c>
      <c r="D2628" s="1">
        <v>2.0</v>
      </c>
      <c r="E2628" s="1">
        <v>885.0</v>
      </c>
      <c r="F2628" s="1">
        <v>686.0</v>
      </c>
      <c r="G2628" s="1">
        <v>194.0</v>
      </c>
      <c r="H2628" s="1">
        <v>4.5619</v>
      </c>
      <c r="I2628" s="1">
        <v>3.5361</v>
      </c>
      <c r="J2628" s="1">
        <v>1.0258</v>
      </c>
      <c r="K2628" s="1">
        <v>58.0</v>
      </c>
    </row>
    <row r="2629">
      <c r="A2629" s="1" t="s">
        <v>26</v>
      </c>
      <c r="B2629" s="1" t="s">
        <v>1192</v>
      </c>
      <c r="C2629" s="1" t="s">
        <v>1210</v>
      </c>
      <c r="D2629" s="1">
        <v>3.0</v>
      </c>
      <c r="E2629" s="1">
        <v>415.0</v>
      </c>
      <c r="F2629" s="1">
        <v>435.0</v>
      </c>
      <c r="G2629" s="1">
        <v>194.0</v>
      </c>
      <c r="H2629" s="1">
        <v>2.1392</v>
      </c>
      <c r="I2629" s="1">
        <v>2.2423</v>
      </c>
      <c r="J2629" s="1">
        <v>-0.1031</v>
      </c>
      <c r="K2629" s="1">
        <v>53.0</v>
      </c>
    </row>
    <row r="2630">
      <c r="A2630" s="1" t="s">
        <v>26</v>
      </c>
      <c r="B2630" s="1" t="s">
        <v>1192</v>
      </c>
      <c r="C2630" s="1" t="s">
        <v>1210</v>
      </c>
      <c r="D2630" s="1">
        <v>4.0</v>
      </c>
      <c r="E2630" s="1">
        <v>480.0</v>
      </c>
      <c r="F2630" s="1">
        <v>385.0</v>
      </c>
      <c r="G2630" s="1">
        <v>194.0</v>
      </c>
      <c r="H2630" s="1">
        <v>2.4742</v>
      </c>
      <c r="I2630" s="1">
        <v>1.9845</v>
      </c>
      <c r="J2630" s="1">
        <v>0.4897</v>
      </c>
      <c r="K2630" s="1">
        <v>58.0</v>
      </c>
    </row>
    <row r="2631">
      <c r="A2631" s="1" t="s">
        <v>26</v>
      </c>
      <c r="B2631" s="1" t="s">
        <v>1192</v>
      </c>
      <c r="C2631" s="1" t="s">
        <v>1210</v>
      </c>
      <c r="D2631" s="1">
        <v>5.0</v>
      </c>
      <c r="E2631" s="1">
        <v>1055.0</v>
      </c>
      <c r="F2631" s="1">
        <v>888.0</v>
      </c>
      <c r="G2631" s="1">
        <v>194.0</v>
      </c>
      <c r="H2631" s="1">
        <v>5.4381</v>
      </c>
      <c r="I2631" s="1">
        <v>4.5773</v>
      </c>
      <c r="J2631" s="1">
        <v>0.8608</v>
      </c>
      <c r="K2631" s="1">
        <v>61.0</v>
      </c>
    </row>
    <row r="2632">
      <c r="A2632" s="1" t="s">
        <v>26</v>
      </c>
      <c r="B2632" s="1" t="s">
        <v>1192</v>
      </c>
      <c r="C2632" s="1" t="s">
        <v>1210</v>
      </c>
      <c r="D2632" s="1">
        <v>6.0</v>
      </c>
      <c r="E2632" s="1">
        <v>915.0</v>
      </c>
      <c r="F2632" s="1">
        <v>895.0</v>
      </c>
      <c r="G2632" s="1">
        <v>194.0</v>
      </c>
      <c r="H2632" s="1">
        <v>4.7165</v>
      </c>
      <c r="I2632" s="1">
        <v>4.6134</v>
      </c>
      <c r="J2632" s="1">
        <v>0.1031</v>
      </c>
      <c r="K2632" s="1">
        <v>67.0</v>
      </c>
    </row>
    <row r="2633">
      <c r="A2633" s="1" t="s">
        <v>26</v>
      </c>
      <c r="B2633" s="1" t="s">
        <v>1192</v>
      </c>
      <c r="C2633" s="1" t="s">
        <v>1210</v>
      </c>
      <c r="D2633" s="1">
        <v>7.0</v>
      </c>
      <c r="E2633" s="1">
        <v>690.0</v>
      </c>
      <c r="F2633" s="1">
        <v>727.0</v>
      </c>
      <c r="G2633" s="1">
        <v>194.0</v>
      </c>
      <c r="H2633" s="1">
        <v>3.5567</v>
      </c>
      <c r="I2633" s="1">
        <v>3.7474</v>
      </c>
      <c r="J2633" s="1">
        <v>-0.1907</v>
      </c>
      <c r="K2633" s="1">
        <v>65.0</v>
      </c>
    </row>
    <row r="2634">
      <c r="A2634" s="1" t="s">
        <v>26</v>
      </c>
      <c r="B2634" s="1" t="s">
        <v>1192</v>
      </c>
      <c r="C2634" s="1" t="s">
        <v>1210</v>
      </c>
      <c r="D2634" s="1">
        <v>8.0</v>
      </c>
      <c r="E2634" s="1">
        <v>635.0</v>
      </c>
      <c r="F2634" s="1">
        <v>781.0</v>
      </c>
      <c r="G2634" s="1">
        <v>194.0</v>
      </c>
      <c r="H2634" s="1">
        <v>3.2732</v>
      </c>
      <c r="I2634" s="1">
        <v>4.0258</v>
      </c>
      <c r="J2634" s="1">
        <v>-0.7526</v>
      </c>
      <c r="K2634" s="1">
        <v>66.0</v>
      </c>
    </row>
    <row r="2635">
      <c r="A2635" s="1" t="s">
        <v>26</v>
      </c>
      <c r="B2635" s="1" t="s">
        <v>1192</v>
      </c>
      <c r="C2635" s="1" t="s">
        <v>1210</v>
      </c>
      <c r="D2635" s="1">
        <v>9.0</v>
      </c>
      <c r="E2635" s="1">
        <v>740.0</v>
      </c>
      <c r="F2635" s="1">
        <v>465.0</v>
      </c>
      <c r="G2635" s="1">
        <v>194.0</v>
      </c>
      <c r="H2635" s="1">
        <v>3.8144</v>
      </c>
      <c r="I2635" s="1">
        <v>2.3969</v>
      </c>
      <c r="J2635" s="1">
        <v>1.4175</v>
      </c>
      <c r="K2635" s="1">
        <v>64.0</v>
      </c>
    </row>
    <row r="2636">
      <c r="A2636" s="1" t="s">
        <v>26</v>
      </c>
      <c r="B2636" s="1" t="s">
        <v>1192</v>
      </c>
      <c r="C2636" s="1" t="s">
        <v>1210</v>
      </c>
      <c r="D2636" s="1">
        <v>10.0</v>
      </c>
      <c r="E2636" s="1">
        <v>330.0</v>
      </c>
      <c r="F2636" s="1">
        <v>314.0</v>
      </c>
      <c r="G2636" s="1">
        <v>194.0</v>
      </c>
      <c r="H2636" s="1">
        <v>1.701</v>
      </c>
      <c r="I2636" s="1">
        <v>1.6186</v>
      </c>
      <c r="J2636" s="1">
        <v>0.0825</v>
      </c>
      <c r="K2636" s="1">
        <v>62.0</v>
      </c>
    </row>
    <row r="2637">
      <c r="A2637" s="1" t="s">
        <v>26</v>
      </c>
      <c r="B2637" s="1" t="s">
        <v>1192</v>
      </c>
      <c r="C2637" s="1" t="s">
        <v>1210</v>
      </c>
      <c r="D2637" s="1">
        <v>11.0</v>
      </c>
      <c r="E2637" s="1">
        <v>675.0</v>
      </c>
      <c r="F2637" s="1">
        <v>548.0</v>
      </c>
      <c r="G2637" s="1">
        <v>194.0</v>
      </c>
      <c r="H2637" s="1">
        <v>3.4794</v>
      </c>
      <c r="I2637" s="1">
        <v>2.8247</v>
      </c>
      <c r="J2637" s="1">
        <v>0.6546</v>
      </c>
      <c r="K2637" s="1">
        <v>62.0</v>
      </c>
    </row>
    <row r="2638">
      <c r="A2638" s="1" t="s">
        <v>26</v>
      </c>
      <c r="B2638" s="1" t="s">
        <v>1192</v>
      </c>
      <c r="C2638" s="1" t="s">
        <v>1210</v>
      </c>
      <c r="D2638" s="1">
        <v>12.0</v>
      </c>
      <c r="E2638" s="1">
        <v>800.0</v>
      </c>
      <c r="F2638" s="1">
        <v>614.0</v>
      </c>
      <c r="G2638" s="1">
        <v>194.0</v>
      </c>
      <c r="H2638" s="1">
        <v>4.1237</v>
      </c>
      <c r="I2638" s="1">
        <v>3.1649</v>
      </c>
      <c r="J2638" s="1">
        <v>0.9588</v>
      </c>
      <c r="K2638" s="1">
        <v>70.0</v>
      </c>
    </row>
    <row r="2639">
      <c r="A2639" s="1" t="s">
        <v>26</v>
      </c>
      <c r="B2639" s="1" t="s">
        <v>1192</v>
      </c>
      <c r="C2639" s="1" t="s">
        <v>1210</v>
      </c>
      <c r="D2639" s="1">
        <v>13.0</v>
      </c>
      <c r="E2639" s="1">
        <v>755.0</v>
      </c>
      <c r="F2639" s="1">
        <v>654.0</v>
      </c>
      <c r="G2639" s="1">
        <v>194.0</v>
      </c>
      <c r="H2639" s="1">
        <v>3.8918</v>
      </c>
      <c r="I2639" s="1">
        <v>3.3711</v>
      </c>
      <c r="J2639" s="1">
        <v>0.5206</v>
      </c>
      <c r="K2639" s="1">
        <v>72.0</v>
      </c>
    </row>
    <row r="2640">
      <c r="A2640" s="1" t="s">
        <v>26</v>
      </c>
      <c r="B2640" s="1" t="s">
        <v>1192</v>
      </c>
      <c r="C2640" s="1" t="s">
        <v>1210</v>
      </c>
      <c r="D2640" s="1">
        <v>14.0</v>
      </c>
      <c r="E2640" s="1">
        <v>965.0</v>
      </c>
      <c r="F2640" s="1">
        <v>636.0</v>
      </c>
      <c r="G2640" s="1">
        <v>194.0</v>
      </c>
      <c r="H2640" s="1">
        <v>4.9742</v>
      </c>
      <c r="I2640" s="1">
        <v>3.2784</v>
      </c>
      <c r="J2640" s="1">
        <v>1.6959</v>
      </c>
      <c r="K2640" s="1">
        <v>74.0</v>
      </c>
    </row>
    <row r="2641">
      <c r="A2641" s="1" t="s">
        <v>26</v>
      </c>
      <c r="B2641" s="1" t="s">
        <v>1192</v>
      </c>
      <c r="C2641" s="1" t="s">
        <v>1210</v>
      </c>
      <c r="D2641" s="1">
        <v>15.0</v>
      </c>
      <c r="E2641" s="1">
        <v>800.0</v>
      </c>
      <c r="F2641" s="1">
        <v>710.0</v>
      </c>
      <c r="G2641" s="1">
        <v>194.0</v>
      </c>
      <c r="H2641" s="1">
        <v>4.1237</v>
      </c>
      <c r="I2641" s="1">
        <v>3.6598</v>
      </c>
      <c r="J2641" s="1">
        <v>0.4639</v>
      </c>
      <c r="K2641" s="1">
        <v>73.0</v>
      </c>
    </row>
    <row r="2642">
      <c r="A2642" s="1" t="s">
        <v>26</v>
      </c>
      <c r="B2642" s="1" t="s">
        <v>1192</v>
      </c>
      <c r="C2642" s="1" t="s">
        <v>1210</v>
      </c>
      <c r="D2642" s="1">
        <v>16.0</v>
      </c>
      <c r="E2642" s="1">
        <v>620.0</v>
      </c>
      <c r="F2642" s="1">
        <v>555.0</v>
      </c>
      <c r="G2642" s="1">
        <v>194.0</v>
      </c>
      <c r="H2642" s="1">
        <v>3.1959</v>
      </c>
      <c r="I2642" s="1">
        <v>2.8608</v>
      </c>
      <c r="J2642" s="1">
        <v>0.3351</v>
      </c>
      <c r="K2642" s="1">
        <v>75.0</v>
      </c>
    </row>
    <row r="2643">
      <c r="A2643" s="1" t="s">
        <v>26</v>
      </c>
      <c r="B2643" s="1" t="s">
        <v>1192</v>
      </c>
      <c r="C2643" s="1" t="s">
        <v>1210</v>
      </c>
      <c r="D2643" s="1">
        <v>17.0</v>
      </c>
      <c r="E2643" s="1">
        <v>495.0</v>
      </c>
      <c r="F2643" s="1">
        <v>455.0</v>
      </c>
      <c r="G2643" s="1">
        <v>194.0</v>
      </c>
      <c r="H2643" s="1">
        <v>2.5515</v>
      </c>
      <c r="I2643" s="1">
        <v>2.3454</v>
      </c>
      <c r="J2643" s="1">
        <v>0.2062</v>
      </c>
      <c r="K2643" s="1">
        <v>76.0</v>
      </c>
    </row>
    <row r="2644">
      <c r="A2644" s="1" t="s">
        <v>26</v>
      </c>
      <c r="B2644" s="1" t="s">
        <v>1192</v>
      </c>
      <c r="C2644" s="1" t="s">
        <v>1210</v>
      </c>
      <c r="D2644" s="1">
        <v>18.0</v>
      </c>
      <c r="E2644" s="1">
        <v>735.0</v>
      </c>
      <c r="F2644" s="1">
        <v>622.0</v>
      </c>
      <c r="G2644" s="1">
        <v>194.0</v>
      </c>
      <c r="H2644" s="1">
        <v>3.7887</v>
      </c>
      <c r="I2644" s="1">
        <v>3.2062</v>
      </c>
      <c r="J2644" s="1">
        <v>0.5825</v>
      </c>
      <c r="K2644" s="1">
        <v>81.0</v>
      </c>
    </row>
    <row r="2645">
      <c r="A2645" s="1" t="s">
        <v>26</v>
      </c>
      <c r="B2645" s="1" t="s">
        <v>1192</v>
      </c>
      <c r="C2645" s="1" t="s">
        <v>1210</v>
      </c>
      <c r="D2645" s="1">
        <v>19.0</v>
      </c>
      <c r="E2645" s="1">
        <v>520.0</v>
      </c>
      <c r="F2645" s="1">
        <v>395.0</v>
      </c>
      <c r="G2645" s="1">
        <v>194.0</v>
      </c>
      <c r="H2645" s="1">
        <v>2.6804</v>
      </c>
      <c r="I2645" s="1">
        <v>2.0361</v>
      </c>
      <c r="J2645" s="1">
        <v>0.6443</v>
      </c>
      <c r="K2645" s="1">
        <v>83.0</v>
      </c>
    </row>
    <row r="2646">
      <c r="A2646" s="1" t="s">
        <v>26</v>
      </c>
      <c r="B2646" s="1" t="s">
        <v>1192</v>
      </c>
      <c r="C2646" s="1" t="s">
        <v>1210</v>
      </c>
      <c r="D2646" s="1">
        <v>20.0</v>
      </c>
      <c r="E2646" s="1">
        <v>645.0</v>
      </c>
      <c r="F2646" s="1">
        <v>1001.0</v>
      </c>
      <c r="G2646" s="1">
        <v>194.0</v>
      </c>
      <c r="H2646" s="1">
        <v>3.3247</v>
      </c>
      <c r="I2646" s="1">
        <v>5.1598</v>
      </c>
      <c r="J2646" s="1">
        <v>-1.8351</v>
      </c>
      <c r="K2646" s="1">
        <v>92.0</v>
      </c>
    </row>
    <row r="2647">
      <c r="A2647" s="1" t="s">
        <v>26</v>
      </c>
      <c r="B2647" s="1" t="s">
        <v>1192</v>
      </c>
      <c r="C2647" s="1" t="s">
        <v>1210</v>
      </c>
      <c r="D2647" s="1">
        <v>21.0</v>
      </c>
      <c r="E2647" s="1">
        <v>845.0</v>
      </c>
      <c r="F2647" s="1">
        <v>694.0</v>
      </c>
      <c r="G2647" s="1">
        <v>194.0</v>
      </c>
      <c r="H2647" s="1">
        <v>4.3557</v>
      </c>
      <c r="I2647" s="1">
        <v>3.5773</v>
      </c>
      <c r="J2647" s="1">
        <v>0.7784</v>
      </c>
      <c r="K2647" s="1">
        <v>91.0</v>
      </c>
    </row>
    <row r="2648">
      <c r="A2648" s="1" t="s">
        <v>26</v>
      </c>
      <c r="B2648" s="1" t="s">
        <v>1192</v>
      </c>
      <c r="C2648" s="1" t="s">
        <v>1211</v>
      </c>
      <c r="D2648" s="1">
        <v>1.0</v>
      </c>
      <c r="E2648" s="1">
        <v>1000.0</v>
      </c>
      <c r="F2648" s="1">
        <v>703.0</v>
      </c>
      <c r="G2648" s="1">
        <v>200.0</v>
      </c>
      <c r="H2648" s="1">
        <v>5.0</v>
      </c>
      <c r="I2648" s="1">
        <v>3.515</v>
      </c>
      <c r="J2648" s="1">
        <v>1.485</v>
      </c>
      <c r="K2648" s="1">
        <v>48.0</v>
      </c>
    </row>
    <row r="2649">
      <c r="A2649" s="1" t="s">
        <v>26</v>
      </c>
      <c r="B2649" s="1" t="s">
        <v>1192</v>
      </c>
      <c r="C2649" s="1" t="s">
        <v>1211</v>
      </c>
      <c r="D2649" s="1">
        <v>2.0</v>
      </c>
      <c r="E2649" s="1">
        <v>1080.0</v>
      </c>
      <c r="F2649" s="1">
        <v>753.0</v>
      </c>
      <c r="G2649" s="1">
        <v>200.0</v>
      </c>
      <c r="H2649" s="1">
        <v>5.4</v>
      </c>
      <c r="I2649" s="1">
        <v>3.765</v>
      </c>
      <c r="J2649" s="1">
        <v>1.635</v>
      </c>
      <c r="K2649" s="1">
        <v>58.0</v>
      </c>
    </row>
    <row r="2650">
      <c r="A2650" s="1" t="s">
        <v>26</v>
      </c>
      <c r="B2650" s="1" t="s">
        <v>1192</v>
      </c>
      <c r="C2650" s="1" t="s">
        <v>1211</v>
      </c>
      <c r="D2650" s="1">
        <v>3.0</v>
      </c>
      <c r="E2650" s="1">
        <v>685.0</v>
      </c>
      <c r="F2650" s="1">
        <v>534.0</v>
      </c>
      <c r="G2650" s="1">
        <v>200.0</v>
      </c>
      <c r="H2650" s="1">
        <v>3.425</v>
      </c>
      <c r="I2650" s="1">
        <v>2.67</v>
      </c>
      <c r="J2650" s="1">
        <v>0.755</v>
      </c>
      <c r="K2650" s="1">
        <v>53.0</v>
      </c>
    </row>
    <row r="2651">
      <c r="A2651" s="1" t="s">
        <v>26</v>
      </c>
      <c r="B2651" s="1" t="s">
        <v>1192</v>
      </c>
      <c r="C2651" s="1" t="s">
        <v>1211</v>
      </c>
      <c r="D2651" s="1">
        <v>4.0</v>
      </c>
      <c r="E2651" s="1">
        <v>585.0</v>
      </c>
      <c r="F2651" s="1">
        <v>475.0</v>
      </c>
      <c r="G2651" s="1">
        <v>200.0</v>
      </c>
      <c r="H2651" s="1">
        <v>2.925</v>
      </c>
      <c r="I2651" s="1">
        <v>2.375</v>
      </c>
      <c r="J2651" s="1">
        <v>0.55</v>
      </c>
      <c r="K2651" s="1">
        <v>58.0</v>
      </c>
    </row>
    <row r="2652">
      <c r="A2652" s="1" t="s">
        <v>26</v>
      </c>
      <c r="B2652" s="1" t="s">
        <v>1192</v>
      </c>
      <c r="C2652" s="1" t="s">
        <v>1211</v>
      </c>
      <c r="D2652" s="1">
        <v>5.0</v>
      </c>
      <c r="E2652" s="1">
        <v>1160.0</v>
      </c>
      <c r="F2652" s="1">
        <v>943.0</v>
      </c>
      <c r="G2652" s="1">
        <v>200.0</v>
      </c>
      <c r="H2652" s="1">
        <v>5.8</v>
      </c>
      <c r="I2652" s="1">
        <v>4.715</v>
      </c>
      <c r="J2652" s="1">
        <v>1.085</v>
      </c>
      <c r="K2652" s="1">
        <v>61.0</v>
      </c>
    </row>
    <row r="2653">
      <c r="A2653" s="1" t="s">
        <v>26</v>
      </c>
      <c r="B2653" s="1" t="s">
        <v>1192</v>
      </c>
      <c r="C2653" s="1" t="s">
        <v>1211</v>
      </c>
      <c r="D2653" s="1">
        <v>6.0</v>
      </c>
      <c r="E2653" s="1">
        <v>1060.0</v>
      </c>
      <c r="F2653" s="1">
        <v>990.0</v>
      </c>
      <c r="G2653" s="1">
        <v>200.0</v>
      </c>
      <c r="H2653" s="1">
        <v>5.3</v>
      </c>
      <c r="I2653" s="1">
        <v>4.95</v>
      </c>
      <c r="J2653" s="1">
        <v>0.35</v>
      </c>
      <c r="K2653" s="1">
        <v>67.0</v>
      </c>
    </row>
    <row r="2654">
      <c r="A2654" s="1" t="s">
        <v>26</v>
      </c>
      <c r="B2654" s="1" t="s">
        <v>1192</v>
      </c>
      <c r="C2654" s="1" t="s">
        <v>1211</v>
      </c>
      <c r="D2654" s="1">
        <v>7.0</v>
      </c>
      <c r="E2654" s="1">
        <v>775.0</v>
      </c>
      <c r="F2654" s="1">
        <v>822.0</v>
      </c>
      <c r="G2654" s="1">
        <v>200.0</v>
      </c>
      <c r="H2654" s="1">
        <v>3.875</v>
      </c>
      <c r="I2654" s="1">
        <v>4.11</v>
      </c>
      <c r="J2654" s="1">
        <v>-0.235</v>
      </c>
      <c r="K2654" s="1">
        <v>65.0</v>
      </c>
    </row>
    <row r="2655">
      <c r="A2655" s="1" t="s">
        <v>26</v>
      </c>
      <c r="B2655" s="1" t="s">
        <v>1192</v>
      </c>
      <c r="C2655" s="1" t="s">
        <v>1211</v>
      </c>
      <c r="D2655" s="1">
        <v>8.0</v>
      </c>
      <c r="E2655" s="1">
        <v>1525.0</v>
      </c>
      <c r="F2655" s="1">
        <v>1291.0</v>
      </c>
      <c r="G2655" s="1">
        <v>200.0</v>
      </c>
      <c r="H2655" s="1">
        <v>7.625</v>
      </c>
      <c r="I2655" s="1">
        <v>6.455</v>
      </c>
      <c r="J2655" s="1">
        <v>1.17</v>
      </c>
      <c r="K2655" s="1">
        <v>66.0</v>
      </c>
    </row>
    <row r="2656">
      <c r="A2656" s="1" t="s">
        <v>26</v>
      </c>
      <c r="B2656" s="1" t="s">
        <v>1192</v>
      </c>
      <c r="C2656" s="1" t="s">
        <v>1211</v>
      </c>
      <c r="D2656" s="1">
        <v>9.0</v>
      </c>
      <c r="E2656" s="1">
        <v>680.0</v>
      </c>
      <c r="F2656" s="1">
        <v>432.0</v>
      </c>
      <c r="G2656" s="1">
        <v>200.0</v>
      </c>
      <c r="H2656" s="1">
        <v>3.4</v>
      </c>
      <c r="I2656" s="1">
        <v>2.16</v>
      </c>
      <c r="J2656" s="1">
        <v>1.24</v>
      </c>
      <c r="K2656" s="1">
        <v>64.0</v>
      </c>
    </row>
    <row r="2657">
      <c r="A2657" s="1" t="s">
        <v>26</v>
      </c>
      <c r="B2657" s="1" t="s">
        <v>1192</v>
      </c>
      <c r="C2657" s="1" t="s">
        <v>1211</v>
      </c>
      <c r="D2657" s="1">
        <v>10.0</v>
      </c>
      <c r="E2657" s="1">
        <v>375.0</v>
      </c>
      <c r="F2657" s="1">
        <v>296.0</v>
      </c>
      <c r="G2657" s="1">
        <v>200.0</v>
      </c>
      <c r="H2657" s="1">
        <v>1.875</v>
      </c>
      <c r="I2657" s="1">
        <v>1.48</v>
      </c>
      <c r="J2657" s="1">
        <v>0.395</v>
      </c>
      <c r="K2657" s="1">
        <v>62.0</v>
      </c>
    </row>
    <row r="2658">
      <c r="A2658" s="1" t="s">
        <v>26</v>
      </c>
      <c r="B2658" s="1" t="s">
        <v>1192</v>
      </c>
      <c r="C2658" s="1" t="s">
        <v>1211</v>
      </c>
      <c r="D2658" s="1">
        <v>11.0</v>
      </c>
      <c r="E2658" s="1">
        <v>680.0</v>
      </c>
      <c r="F2658" s="1">
        <v>550.0</v>
      </c>
      <c r="G2658" s="1">
        <v>200.0</v>
      </c>
      <c r="H2658" s="1">
        <v>3.4</v>
      </c>
      <c r="I2658" s="1">
        <v>2.75</v>
      </c>
      <c r="J2658" s="1">
        <v>0.65</v>
      </c>
      <c r="K2658" s="1">
        <v>62.0</v>
      </c>
    </row>
    <row r="2659">
      <c r="A2659" s="1" t="s">
        <v>26</v>
      </c>
      <c r="B2659" s="1" t="s">
        <v>1192</v>
      </c>
      <c r="C2659" s="1" t="s">
        <v>1211</v>
      </c>
      <c r="D2659" s="1">
        <v>12.0</v>
      </c>
      <c r="E2659" s="1">
        <v>1160.0</v>
      </c>
      <c r="F2659" s="1">
        <v>844.0</v>
      </c>
      <c r="G2659" s="1">
        <v>200.0</v>
      </c>
      <c r="H2659" s="1">
        <v>5.8</v>
      </c>
      <c r="I2659" s="1">
        <v>4.22</v>
      </c>
      <c r="J2659" s="1">
        <v>1.58</v>
      </c>
      <c r="K2659" s="1">
        <v>70.0</v>
      </c>
    </row>
    <row r="2660">
      <c r="A2660" s="1" t="s">
        <v>26</v>
      </c>
      <c r="B2660" s="1" t="s">
        <v>1192</v>
      </c>
      <c r="C2660" s="1" t="s">
        <v>1211</v>
      </c>
      <c r="D2660" s="1">
        <v>13.0</v>
      </c>
      <c r="E2660" s="1">
        <v>1070.0</v>
      </c>
      <c r="F2660" s="1">
        <v>888.0</v>
      </c>
      <c r="G2660" s="1">
        <v>200.0</v>
      </c>
      <c r="H2660" s="1">
        <v>5.35</v>
      </c>
      <c r="I2660" s="1">
        <v>4.44</v>
      </c>
      <c r="J2660" s="1">
        <v>0.91</v>
      </c>
      <c r="K2660" s="1">
        <v>72.0</v>
      </c>
    </row>
    <row r="2661">
      <c r="A2661" s="1" t="s">
        <v>26</v>
      </c>
      <c r="B2661" s="1" t="s">
        <v>1192</v>
      </c>
      <c r="C2661" s="1" t="s">
        <v>1211</v>
      </c>
      <c r="D2661" s="1">
        <v>14.0</v>
      </c>
      <c r="E2661" s="1">
        <v>940.0</v>
      </c>
      <c r="F2661" s="1">
        <v>679.0</v>
      </c>
      <c r="G2661" s="1">
        <v>200.0</v>
      </c>
      <c r="H2661" s="1">
        <v>4.7</v>
      </c>
      <c r="I2661" s="1">
        <v>3.395</v>
      </c>
      <c r="J2661" s="1">
        <v>1.305</v>
      </c>
      <c r="K2661" s="1">
        <v>74.0</v>
      </c>
    </row>
    <row r="2662">
      <c r="A2662" s="1" t="s">
        <v>26</v>
      </c>
      <c r="B2662" s="1" t="s">
        <v>1192</v>
      </c>
      <c r="C2662" s="1" t="s">
        <v>1211</v>
      </c>
      <c r="D2662" s="1">
        <v>15.0</v>
      </c>
      <c r="E2662" s="1">
        <v>1560.0</v>
      </c>
      <c r="F2662" s="1">
        <v>1146.0</v>
      </c>
      <c r="G2662" s="1">
        <v>200.0</v>
      </c>
      <c r="H2662" s="1">
        <v>7.8</v>
      </c>
      <c r="I2662" s="1">
        <v>5.73</v>
      </c>
      <c r="J2662" s="1">
        <v>2.07</v>
      </c>
      <c r="K2662" s="1">
        <v>73.0</v>
      </c>
    </row>
    <row r="2663">
      <c r="A2663" s="1" t="s">
        <v>26</v>
      </c>
      <c r="B2663" s="1" t="s">
        <v>1192</v>
      </c>
      <c r="C2663" s="1" t="s">
        <v>1211</v>
      </c>
      <c r="D2663" s="1">
        <v>16.0</v>
      </c>
      <c r="E2663" s="1">
        <v>770.0</v>
      </c>
      <c r="F2663" s="1">
        <v>652.0</v>
      </c>
      <c r="G2663" s="1">
        <v>200.0</v>
      </c>
      <c r="H2663" s="1">
        <v>3.85</v>
      </c>
      <c r="I2663" s="1">
        <v>3.26</v>
      </c>
      <c r="J2663" s="1">
        <v>0.59</v>
      </c>
      <c r="K2663" s="1">
        <v>75.0</v>
      </c>
    </row>
    <row r="2664">
      <c r="A2664" s="1" t="s">
        <v>26</v>
      </c>
      <c r="B2664" s="1" t="s">
        <v>1192</v>
      </c>
      <c r="C2664" s="1" t="s">
        <v>1211</v>
      </c>
      <c r="D2664" s="1">
        <v>17.0</v>
      </c>
      <c r="E2664" s="1">
        <v>885.0</v>
      </c>
      <c r="F2664" s="1">
        <v>647.0</v>
      </c>
      <c r="G2664" s="1">
        <v>200.0</v>
      </c>
      <c r="H2664" s="1">
        <v>4.425</v>
      </c>
      <c r="I2664" s="1">
        <v>3.235</v>
      </c>
      <c r="J2664" s="1">
        <v>1.19</v>
      </c>
      <c r="K2664" s="1">
        <v>76.0</v>
      </c>
    </row>
    <row r="2665">
      <c r="A2665" s="1" t="s">
        <v>26</v>
      </c>
      <c r="B2665" s="1" t="s">
        <v>1192</v>
      </c>
      <c r="C2665" s="1" t="s">
        <v>1211</v>
      </c>
      <c r="D2665" s="1">
        <v>18.0</v>
      </c>
      <c r="E2665" s="1">
        <v>745.0</v>
      </c>
      <c r="F2665" s="1">
        <v>563.0</v>
      </c>
      <c r="G2665" s="1">
        <v>200.0</v>
      </c>
      <c r="H2665" s="1">
        <v>3.725</v>
      </c>
      <c r="I2665" s="1">
        <v>2.815</v>
      </c>
      <c r="J2665" s="1">
        <v>0.91</v>
      </c>
      <c r="K2665" s="1">
        <v>81.0</v>
      </c>
    </row>
    <row r="2666">
      <c r="A2666" s="1" t="s">
        <v>26</v>
      </c>
      <c r="B2666" s="1" t="s">
        <v>1192</v>
      </c>
      <c r="C2666" s="1" t="s">
        <v>1211</v>
      </c>
      <c r="D2666" s="1">
        <v>19.0</v>
      </c>
      <c r="E2666" s="1">
        <v>750.0</v>
      </c>
      <c r="F2666" s="1">
        <v>587.0</v>
      </c>
      <c r="G2666" s="1">
        <v>200.0</v>
      </c>
      <c r="H2666" s="1">
        <v>3.75</v>
      </c>
      <c r="I2666" s="1">
        <v>2.935</v>
      </c>
      <c r="J2666" s="1">
        <v>0.815</v>
      </c>
      <c r="K2666" s="1">
        <v>83.0</v>
      </c>
    </row>
    <row r="2667">
      <c r="A2667" s="1" t="s">
        <v>26</v>
      </c>
      <c r="B2667" s="1" t="s">
        <v>1192</v>
      </c>
      <c r="C2667" s="1" t="s">
        <v>1211</v>
      </c>
      <c r="D2667" s="1">
        <v>20.0</v>
      </c>
      <c r="E2667" s="1">
        <v>1145.0</v>
      </c>
      <c r="F2667" s="1">
        <v>1297.0</v>
      </c>
      <c r="G2667" s="1">
        <v>200.0</v>
      </c>
      <c r="H2667" s="1">
        <v>5.725</v>
      </c>
      <c r="I2667" s="1">
        <v>6.485</v>
      </c>
      <c r="J2667" s="1">
        <v>-0.76</v>
      </c>
      <c r="K2667" s="1">
        <v>92.0</v>
      </c>
    </row>
    <row r="2668">
      <c r="A2668" s="1" t="s">
        <v>26</v>
      </c>
      <c r="B2668" s="1" t="s">
        <v>1192</v>
      </c>
      <c r="C2668" s="1" t="s">
        <v>1211</v>
      </c>
      <c r="D2668" s="1">
        <v>21.0</v>
      </c>
      <c r="E2668" s="1">
        <v>920.0</v>
      </c>
      <c r="F2668" s="1">
        <v>617.0</v>
      </c>
      <c r="G2668" s="1">
        <v>200.0</v>
      </c>
      <c r="H2668" s="1">
        <v>4.6</v>
      </c>
      <c r="I2668" s="1">
        <v>3.085</v>
      </c>
      <c r="J2668" s="1">
        <v>1.515</v>
      </c>
      <c r="K2668" s="1">
        <v>91.0</v>
      </c>
    </row>
    <row r="2669">
      <c r="A2669" s="1" t="s">
        <v>26</v>
      </c>
      <c r="B2669" s="1" t="s">
        <v>1192</v>
      </c>
      <c r="C2669" s="1" t="s">
        <v>55</v>
      </c>
      <c r="D2669" s="1">
        <v>1.0</v>
      </c>
      <c r="E2669" s="1">
        <v>30735.0</v>
      </c>
      <c r="F2669" s="1">
        <v>0.0</v>
      </c>
      <c r="G2669" s="1">
        <v>202.0</v>
      </c>
      <c r="H2669" s="1">
        <v>152.1535</v>
      </c>
      <c r="I2669" s="1">
        <v>0.0</v>
      </c>
      <c r="J2669" s="1">
        <v>152.1535</v>
      </c>
      <c r="K2669" s="1">
        <v>48.0</v>
      </c>
    </row>
    <row r="2670">
      <c r="A2670" s="1" t="s">
        <v>26</v>
      </c>
      <c r="B2670" s="1" t="s">
        <v>1192</v>
      </c>
      <c r="C2670" s="1" t="s">
        <v>55</v>
      </c>
      <c r="D2670" s="1">
        <v>2.0</v>
      </c>
      <c r="E2670" s="1">
        <v>38770.0</v>
      </c>
      <c r="F2670" s="1">
        <v>0.0</v>
      </c>
      <c r="G2670" s="1">
        <v>202.0</v>
      </c>
      <c r="H2670" s="1">
        <v>191.9307</v>
      </c>
      <c r="I2670" s="1">
        <v>0.0</v>
      </c>
      <c r="J2670" s="1">
        <v>191.9307</v>
      </c>
      <c r="K2670" s="1">
        <v>58.0</v>
      </c>
    </row>
    <row r="2671">
      <c r="A2671" s="1" t="s">
        <v>26</v>
      </c>
      <c r="B2671" s="1" t="s">
        <v>1192</v>
      </c>
      <c r="C2671" s="1" t="s">
        <v>55</v>
      </c>
      <c r="D2671" s="1">
        <v>3.0</v>
      </c>
      <c r="E2671" s="1">
        <v>34265.0</v>
      </c>
      <c r="F2671" s="1">
        <v>0.0</v>
      </c>
      <c r="G2671" s="1">
        <v>202.0</v>
      </c>
      <c r="H2671" s="1">
        <v>169.6287</v>
      </c>
      <c r="I2671" s="1">
        <v>0.0</v>
      </c>
      <c r="J2671" s="1">
        <v>169.6287</v>
      </c>
      <c r="K2671" s="1">
        <v>53.0</v>
      </c>
    </row>
    <row r="2672">
      <c r="A2672" s="1" t="s">
        <v>26</v>
      </c>
      <c r="B2672" s="1" t="s">
        <v>1192</v>
      </c>
      <c r="C2672" s="1" t="s">
        <v>55</v>
      </c>
      <c r="D2672" s="1">
        <v>4.0</v>
      </c>
      <c r="E2672" s="1">
        <v>33400.0</v>
      </c>
      <c r="F2672" s="1">
        <v>0.0</v>
      </c>
      <c r="G2672" s="1">
        <v>202.0</v>
      </c>
      <c r="H2672" s="1">
        <v>165.3465</v>
      </c>
      <c r="I2672" s="1">
        <v>0.0</v>
      </c>
      <c r="J2672" s="1">
        <v>165.3465</v>
      </c>
      <c r="K2672" s="1">
        <v>58.0</v>
      </c>
    </row>
    <row r="2673">
      <c r="A2673" s="1" t="s">
        <v>26</v>
      </c>
      <c r="B2673" s="1" t="s">
        <v>1192</v>
      </c>
      <c r="C2673" s="1" t="s">
        <v>55</v>
      </c>
      <c r="D2673" s="1">
        <v>5.0</v>
      </c>
      <c r="E2673" s="1">
        <v>35249.0</v>
      </c>
      <c r="F2673" s="1">
        <v>0.0</v>
      </c>
      <c r="G2673" s="1">
        <v>202.0</v>
      </c>
      <c r="H2673" s="1">
        <v>174.5</v>
      </c>
      <c r="I2673" s="1">
        <v>0.0</v>
      </c>
      <c r="J2673" s="1">
        <v>174.5</v>
      </c>
      <c r="K2673" s="1">
        <v>61.0</v>
      </c>
    </row>
    <row r="2674">
      <c r="A2674" s="1" t="s">
        <v>26</v>
      </c>
      <c r="B2674" s="1" t="s">
        <v>1192</v>
      </c>
      <c r="C2674" s="1" t="s">
        <v>55</v>
      </c>
      <c r="D2674" s="1">
        <v>6.0</v>
      </c>
      <c r="E2674" s="1">
        <v>34745.0</v>
      </c>
      <c r="F2674" s="1">
        <v>0.0</v>
      </c>
      <c r="G2674" s="1">
        <v>202.0</v>
      </c>
      <c r="H2674" s="1">
        <v>172.005</v>
      </c>
      <c r="I2674" s="1">
        <v>0.0</v>
      </c>
      <c r="J2674" s="1">
        <v>172.005</v>
      </c>
      <c r="K2674" s="1">
        <v>67.0</v>
      </c>
    </row>
    <row r="2675">
      <c r="A2675" s="1" t="s">
        <v>26</v>
      </c>
      <c r="B2675" s="1" t="s">
        <v>1192</v>
      </c>
      <c r="C2675" s="1" t="s">
        <v>55</v>
      </c>
      <c r="D2675" s="1">
        <v>7.0</v>
      </c>
      <c r="E2675" s="1">
        <v>32785.0</v>
      </c>
      <c r="F2675" s="1">
        <v>0.0</v>
      </c>
      <c r="G2675" s="1">
        <v>202.0</v>
      </c>
      <c r="H2675" s="1">
        <v>162.302</v>
      </c>
      <c r="I2675" s="1">
        <v>0.0</v>
      </c>
      <c r="J2675" s="1">
        <v>162.302</v>
      </c>
      <c r="K2675" s="1">
        <v>65.0</v>
      </c>
    </row>
    <row r="2676">
      <c r="A2676" s="1" t="s">
        <v>26</v>
      </c>
      <c r="B2676" s="1" t="s">
        <v>1192</v>
      </c>
      <c r="C2676" s="1" t="s">
        <v>55</v>
      </c>
      <c r="D2676" s="1">
        <v>8.0</v>
      </c>
      <c r="E2676" s="1">
        <v>40650.0</v>
      </c>
      <c r="F2676" s="1">
        <v>0.0</v>
      </c>
      <c r="G2676" s="1">
        <v>202.0</v>
      </c>
      <c r="H2676" s="1">
        <v>201.2376</v>
      </c>
      <c r="I2676" s="1">
        <v>0.0</v>
      </c>
      <c r="J2676" s="1">
        <v>201.2376</v>
      </c>
      <c r="K2676" s="1">
        <v>66.0</v>
      </c>
    </row>
    <row r="2677">
      <c r="A2677" s="1" t="s">
        <v>26</v>
      </c>
      <c r="B2677" s="1" t="s">
        <v>1192</v>
      </c>
      <c r="C2677" s="1" t="s">
        <v>55</v>
      </c>
      <c r="D2677" s="1">
        <v>9.0</v>
      </c>
      <c r="E2677" s="1">
        <v>33860.0</v>
      </c>
      <c r="F2677" s="1">
        <v>0.0</v>
      </c>
      <c r="G2677" s="1">
        <v>202.0</v>
      </c>
      <c r="H2677" s="1">
        <v>167.6238</v>
      </c>
      <c r="I2677" s="1">
        <v>0.0</v>
      </c>
      <c r="J2677" s="1">
        <v>167.6238</v>
      </c>
      <c r="K2677" s="1">
        <v>64.0</v>
      </c>
    </row>
    <row r="2678">
      <c r="A2678" s="1" t="s">
        <v>26</v>
      </c>
      <c r="B2678" s="1" t="s">
        <v>1192</v>
      </c>
      <c r="C2678" s="1" t="s">
        <v>55</v>
      </c>
      <c r="D2678" s="1">
        <v>10.0</v>
      </c>
      <c r="E2678" s="1">
        <v>32180.0</v>
      </c>
      <c r="F2678" s="1">
        <v>0.0</v>
      </c>
      <c r="G2678" s="1">
        <v>202.0</v>
      </c>
      <c r="H2678" s="1">
        <v>159.3069</v>
      </c>
      <c r="I2678" s="1">
        <v>0.0</v>
      </c>
      <c r="J2678" s="1">
        <v>159.3069</v>
      </c>
      <c r="K2678" s="1">
        <v>62.0</v>
      </c>
    </row>
    <row r="2679">
      <c r="A2679" s="1" t="s">
        <v>26</v>
      </c>
      <c r="B2679" s="1" t="s">
        <v>1192</v>
      </c>
      <c r="C2679" s="1" t="s">
        <v>55</v>
      </c>
      <c r="D2679" s="1">
        <v>11.0</v>
      </c>
      <c r="E2679" s="1">
        <v>33855.0</v>
      </c>
      <c r="F2679" s="1">
        <v>0.0</v>
      </c>
      <c r="G2679" s="1">
        <v>202.0</v>
      </c>
      <c r="H2679" s="1">
        <v>167.599</v>
      </c>
      <c r="I2679" s="1">
        <v>0.0</v>
      </c>
      <c r="J2679" s="1">
        <v>167.599</v>
      </c>
      <c r="K2679" s="1">
        <v>62.0</v>
      </c>
    </row>
    <row r="2680">
      <c r="A2680" s="1" t="s">
        <v>26</v>
      </c>
      <c r="B2680" s="1" t="s">
        <v>1192</v>
      </c>
      <c r="C2680" s="1" t="s">
        <v>55</v>
      </c>
      <c r="D2680" s="1">
        <v>12.0</v>
      </c>
      <c r="E2680" s="1">
        <v>34340.0</v>
      </c>
      <c r="F2680" s="1">
        <v>0.0</v>
      </c>
      <c r="G2680" s="1">
        <v>202.0</v>
      </c>
      <c r="H2680" s="1">
        <v>170.0</v>
      </c>
      <c r="I2680" s="1">
        <v>0.0</v>
      </c>
      <c r="J2680" s="1">
        <v>170.0</v>
      </c>
      <c r="K2680" s="1">
        <v>70.0</v>
      </c>
    </row>
    <row r="2681">
      <c r="A2681" s="1" t="s">
        <v>26</v>
      </c>
      <c r="B2681" s="1" t="s">
        <v>1192</v>
      </c>
      <c r="C2681" s="1" t="s">
        <v>55</v>
      </c>
      <c r="D2681" s="1">
        <v>13.0</v>
      </c>
      <c r="E2681" s="1">
        <v>32920.0</v>
      </c>
      <c r="F2681" s="1">
        <v>0.0</v>
      </c>
      <c r="G2681" s="1">
        <v>202.0</v>
      </c>
      <c r="H2681" s="1">
        <v>162.9703</v>
      </c>
      <c r="I2681" s="1">
        <v>0.0</v>
      </c>
      <c r="J2681" s="1">
        <v>162.9703</v>
      </c>
      <c r="K2681" s="1">
        <v>72.0</v>
      </c>
    </row>
    <row r="2682">
      <c r="A2682" s="1" t="s">
        <v>26</v>
      </c>
      <c r="B2682" s="1" t="s">
        <v>1192</v>
      </c>
      <c r="C2682" s="1" t="s">
        <v>55</v>
      </c>
      <c r="D2682" s="1">
        <v>14.0</v>
      </c>
      <c r="E2682" s="1">
        <v>33860.0</v>
      </c>
      <c r="F2682" s="1">
        <v>0.0</v>
      </c>
      <c r="G2682" s="1">
        <v>202.0</v>
      </c>
      <c r="H2682" s="1">
        <v>167.6238</v>
      </c>
      <c r="I2682" s="1">
        <v>0.0</v>
      </c>
      <c r="J2682" s="1">
        <v>167.6238</v>
      </c>
      <c r="K2682" s="1">
        <v>74.0</v>
      </c>
    </row>
    <row r="2683">
      <c r="A2683" s="1" t="s">
        <v>26</v>
      </c>
      <c r="B2683" s="1" t="s">
        <v>1192</v>
      </c>
      <c r="C2683" s="1" t="s">
        <v>55</v>
      </c>
      <c r="D2683" s="1">
        <v>15.0</v>
      </c>
      <c r="E2683" s="1">
        <v>41980.0</v>
      </c>
      <c r="F2683" s="1">
        <v>0.0</v>
      </c>
      <c r="G2683" s="1">
        <v>202.0</v>
      </c>
      <c r="H2683" s="1">
        <v>207.8218</v>
      </c>
      <c r="I2683" s="1">
        <v>0.0</v>
      </c>
      <c r="J2683" s="1">
        <v>207.8218</v>
      </c>
      <c r="K2683" s="1">
        <v>73.0</v>
      </c>
    </row>
    <row r="2684">
      <c r="A2684" s="1" t="s">
        <v>26</v>
      </c>
      <c r="B2684" s="1" t="s">
        <v>1192</v>
      </c>
      <c r="C2684" s="1" t="s">
        <v>55</v>
      </c>
      <c r="D2684" s="1">
        <v>16.0</v>
      </c>
      <c r="E2684" s="1">
        <v>31905.0</v>
      </c>
      <c r="F2684" s="1">
        <v>0.0</v>
      </c>
      <c r="G2684" s="1">
        <v>202.0</v>
      </c>
      <c r="H2684" s="1">
        <v>157.9455</v>
      </c>
      <c r="I2684" s="1">
        <v>0.0</v>
      </c>
      <c r="J2684" s="1">
        <v>157.9455</v>
      </c>
      <c r="K2684" s="1">
        <v>75.0</v>
      </c>
    </row>
    <row r="2685">
      <c r="A2685" s="1" t="s">
        <v>26</v>
      </c>
      <c r="B2685" s="1" t="s">
        <v>1192</v>
      </c>
      <c r="C2685" s="1" t="s">
        <v>55</v>
      </c>
      <c r="D2685" s="1">
        <v>17.0</v>
      </c>
      <c r="E2685" s="1">
        <v>30875.0</v>
      </c>
      <c r="F2685" s="1">
        <v>0.0</v>
      </c>
      <c r="G2685" s="1">
        <v>202.0</v>
      </c>
      <c r="H2685" s="1">
        <v>152.8465</v>
      </c>
      <c r="I2685" s="1">
        <v>0.0</v>
      </c>
      <c r="J2685" s="1">
        <v>152.8465</v>
      </c>
      <c r="K2685" s="1">
        <v>76.0</v>
      </c>
    </row>
    <row r="2686">
      <c r="A2686" s="1" t="s">
        <v>26</v>
      </c>
      <c r="B2686" s="1" t="s">
        <v>1192</v>
      </c>
      <c r="C2686" s="1" t="s">
        <v>55</v>
      </c>
      <c r="D2686" s="1">
        <v>18.0</v>
      </c>
      <c r="E2686" s="1">
        <v>33258.0</v>
      </c>
      <c r="F2686" s="1">
        <v>0.0</v>
      </c>
      <c r="G2686" s="1">
        <v>202.0</v>
      </c>
      <c r="H2686" s="1">
        <v>164.6436</v>
      </c>
      <c r="I2686" s="1">
        <v>0.0</v>
      </c>
      <c r="J2686" s="1">
        <v>164.6436</v>
      </c>
      <c r="K2686" s="1">
        <v>81.0</v>
      </c>
    </row>
    <row r="2687">
      <c r="A2687" s="1" t="s">
        <v>26</v>
      </c>
      <c r="B2687" s="1" t="s">
        <v>1192</v>
      </c>
      <c r="C2687" s="1" t="s">
        <v>55</v>
      </c>
      <c r="D2687" s="1">
        <v>19.0</v>
      </c>
      <c r="E2687" s="1">
        <v>31265.0</v>
      </c>
      <c r="F2687" s="1">
        <v>0.0</v>
      </c>
      <c r="G2687" s="1">
        <v>202.0</v>
      </c>
      <c r="H2687" s="1">
        <v>154.7772</v>
      </c>
      <c r="I2687" s="1">
        <v>0.0</v>
      </c>
      <c r="J2687" s="1">
        <v>154.7772</v>
      </c>
      <c r="K2687" s="1">
        <v>83.0</v>
      </c>
    </row>
    <row r="2688">
      <c r="A2688" s="1" t="s">
        <v>26</v>
      </c>
      <c r="B2688" s="1" t="s">
        <v>1192</v>
      </c>
      <c r="C2688" s="1" t="s">
        <v>55</v>
      </c>
      <c r="D2688" s="1">
        <v>20.0</v>
      </c>
      <c r="E2688" s="1">
        <v>33995.0</v>
      </c>
      <c r="F2688" s="1">
        <v>0.0</v>
      </c>
      <c r="G2688" s="1">
        <v>202.0</v>
      </c>
      <c r="H2688" s="1">
        <v>168.2921</v>
      </c>
      <c r="I2688" s="1">
        <v>0.0</v>
      </c>
      <c r="J2688" s="1">
        <v>168.2921</v>
      </c>
      <c r="K2688" s="1">
        <v>92.0</v>
      </c>
    </row>
    <row r="2689">
      <c r="A2689" s="1" t="s">
        <v>26</v>
      </c>
      <c r="B2689" s="1" t="s">
        <v>1192</v>
      </c>
      <c r="C2689" s="1" t="s">
        <v>55</v>
      </c>
      <c r="D2689" s="1">
        <v>21.0</v>
      </c>
      <c r="E2689" s="1">
        <v>33855.0</v>
      </c>
      <c r="F2689" s="1">
        <v>0.0</v>
      </c>
      <c r="G2689" s="1">
        <v>202.0</v>
      </c>
      <c r="H2689" s="1">
        <v>167.599</v>
      </c>
      <c r="I2689" s="1">
        <v>0.0</v>
      </c>
      <c r="J2689" s="1">
        <v>167.599</v>
      </c>
      <c r="K2689" s="1">
        <v>91.0</v>
      </c>
    </row>
    <row r="2690">
      <c r="A2690" s="1" t="s">
        <v>26</v>
      </c>
      <c r="B2690" s="1" t="s">
        <v>1192</v>
      </c>
      <c r="C2690" s="1" t="s">
        <v>46</v>
      </c>
      <c r="D2690" s="1">
        <v>1.0</v>
      </c>
      <c r="E2690" s="1">
        <v>38159.0</v>
      </c>
      <c r="F2690" s="1">
        <v>0.0</v>
      </c>
      <c r="G2690" s="1">
        <v>200.0</v>
      </c>
      <c r="H2690" s="1">
        <v>190.795</v>
      </c>
      <c r="I2690" s="1">
        <v>0.0</v>
      </c>
      <c r="J2690" s="1">
        <v>190.795</v>
      </c>
      <c r="K2690" s="1">
        <v>48.0</v>
      </c>
    </row>
    <row r="2691">
      <c r="A2691" s="1" t="s">
        <v>26</v>
      </c>
      <c r="B2691" s="1" t="s">
        <v>1192</v>
      </c>
      <c r="C2691" s="1" t="s">
        <v>46</v>
      </c>
      <c r="D2691" s="1">
        <v>2.0</v>
      </c>
      <c r="E2691" s="1">
        <v>58192.0</v>
      </c>
      <c r="F2691" s="1">
        <v>0.0</v>
      </c>
      <c r="G2691" s="1">
        <v>200.0</v>
      </c>
      <c r="H2691" s="1">
        <v>290.96</v>
      </c>
      <c r="I2691" s="1">
        <v>0.0</v>
      </c>
      <c r="J2691" s="1">
        <v>290.96</v>
      </c>
      <c r="K2691" s="1">
        <v>58.0</v>
      </c>
    </row>
    <row r="2692">
      <c r="A2692" s="1" t="s">
        <v>26</v>
      </c>
      <c r="B2692" s="1" t="s">
        <v>1192</v>
      </c>
      <c r="C2692" s="1" t="s">
        <v>46</v>
      </c>
      <c r="D2692" s="1">
        <v>3.0</v>
      </c>
      <c r="E2692" s="1">
        <v>38686.0</v>
      </c>
      <c r="F2692" s="1">
        <v>0.0</v>
      </c>
      <c r="G2692" s="1">
        <v>200.0</v>
      </c>
      <c r="H2692" s="1">
        <v>193.43</v>
      </c>
      <c r="I2692" s="1">
        <v>0.0</v>
      </c>
      <c r="J2692" s="1">
        <v>193.43</v>
      </c>
      <c r="K2692" s="1">
        <v>53.0</v>
      </c>
    </row>
    <row r="2693">
      <c r="A2693" s="1" t="s">
        <v>26</v>
      </c>
      <c r="B2693" s="1" t="s">
        <v>1192</v>
      </c>
      <c r="C2693" s="1" t="s">
        <v>46</v>
      </c>
      <c r="D2693" s="1">
        <v>4.0</v>
      </c>
      <c r="E2693" s="1">
        <v>63708.0</v>
      </c>
      <c r="F2693" s="1">
        <v>0.0</v>
      </c>
      <c r="G2693" s="1">
        <v>200.0</v>
      </c>
      <c r="H2693" s="1">
        <v>318.54</v>
      </c>
      <c r="I2693" s="1">
        <v>0.0</v>
      </c>
      <c r="J2693" s="1">
        <v>318.54</v>
      </c>
      <c r="K2693" s="1">
        <v>58.0</v>
      </c>
    </row>
    <row r="2694">
      <c r="A2694" s="1" t="s">
        <v>26</v>
      </c>
      <c r="B2694" s="1" t="s">
        <v>1192</v>
      </c>
      <c r="C2694" s="1" t="s">
        <v>46</v>
      </c>
      <c r="D2694" s="1">
        <v>5.0</v>
      </c>
      <c r="E2694" s="1">
        <v>52606.0</v>
      </c>
      <c r="F2694" s="1">
        <v>0.0</v>
      </c>
      <c r="G2694" s="1">
        <v>200.0</v>
      </c>
      <c r="H2694" s="1">
        <v>263.03</v>
      </c>
      <c r="I2694" s="1">
        <v>0.0</v>
      </c>
      <c r="J2694" s="1">
        <v>263.03</v>
      </c>
      <c r="K2694" s="1">
        <v>61.0</v>
      </c>
    </row>
    <row r="2695">
      <c r="A2695" s="1" t="s">
        <v>26</v>
      </c>
      <c r="B2695" s="1" t="s">
        <v>1192</v>
      </c>
      <c r="C2695" s="1" t="s">
        <v>46</v>
      </c>
      <c r="D2695" s="1">
        <v>6.0</v>
      </c>
      <c r="E2695" s="1">
        <v>50759.0</v>
      </c>
      <c r="F2695" s="1">
        <v>0.0</v>
      </c>
      <c r="G2695" s="1">
        <v>200.0</v>
      </c>
      <c r="H2695" s="1">
        <v>253.795</v>
      </c>
      <c r="I2695" s="1">
        <v>0.0</v>
      </c>
      <c r="J2695" s="1">
        <v>253.795</v>
      </c>
      <c r="K2695" s="1">
        <v>67.0</v>
      </c>
    </row>
    <row r="2696">
      <c r="A2696" s="1" t="s">
        <v>26</v>
      </c>
      <c r="B2696" s="1" t="s">
        <v>1192</v>
      </c>
      <c r="C2696" s="1" t="s">
        <v>46</v>
      </c>
      <c r="D2696" s="1">
        <v>7.0</v>
      </c>
      <c r="E2696" s="1">
        <v>50235.0</v>
      </c>
      <c r="F2696" s="1">
        <v>0.0</v>
      </c>
      <c r="G2696" s="1">
        <v>200.0</v>
      </c>
      <c r="H2696" s="1">
        <v>251.175</v>
      </c>
      <c r="I2696" s="1">
        <v>0.0</v>
      </c>
      <c r="J2696" s="1">
        <v>251.175</v>
      </c>
      <c r="K2696" s="1">
        <v>65.0</v>
      </c>
    </row>
    <row r="2697">
      <c r="A2697" s="1" t="s">
        <v>26</v>
      </c>
      <c r="B2697" s="1" t="s">
        <v>1192</v>
      </c>
      <c r="C2697" s="1" t="s">
        <v>46</v>
      </c>
      <c r="D2697" s="1">
        <v>8.0</v>
      </c>
      <c r="E2697" s="1">
        <v>78499.0</v>
      </c>
      <c r="F2697" s="1">
        <v>0.0</v>
      </c>
      <c r="G2697" s="1">
        <v>200.0</v>
      </c>
      <c r="H2697" s="1">
        <v>392.495</v>
      </c>
      <c r="I2697" s="1">
        <v>0.0</v>
      </c>
      <c r="J2697" s="1">
        <v>392.495</v>
      </c>
      <c r="K2697" s="1">
        <v>66.0</v>
      </c>
    </row>
    <row r="2698">
      <c r="A2698" s="1" t="s">
        <v>26</v>
      </c>
      <c r="B2698" s="1" t="s">
        <v>1192</v>
      </c>
      <c r="C2698" s="1" t="s">
        <v>46</v>
      </c>
      <c r="D2698" s="1">
        <v>9.0</v>
      </c>
      <c r="E2698" s="1">
        <v>64461.0</v>
      </c>
      <c r="F2698" s="1">
        <v>0.0</v>
      </c>
      <c r="G2698" s="1">
        <v>200.0</v>
      </c>
      <c r="H2698" s="1">
        <v>322.305</v>
      </c>
      <c r="I2698" s="1">
        <v>0.0</v>
      </c>
      <c r="J2698" s="1">
        <v>322.305</v>
      </c>
      <c r="K2698" s="1">
        <v>64.0</v>
      </c>
    </row>
    <row r="2699">
      <c r="A2699" s="1" t="s">
        <v>26</v>
      </c>
      <c r="B2699" s="1" t="s">
        <v>1192</v>
      </c>
      <c r="C2699" s="1" t="s">
        <v>46</v>
      </c>
      <c r="D2699" s="1">
        <v>10.0</v>
      </c>
      <c r="E2699" s="1">
        <v>63261.0</v>
      </c>
      <c r="F2699" s="1">
        <v>0.0</v>
      </c>
      <c r="G2699" s="1">
        <v>200.0</v>
      </c>
      <c r="H2699" s="1">
        <v>316.305</v>
      </c>
      <c r="I2699" s="1">
        <v>0.0</v>
      </c>
      <c r="J2699" s="1">
        <v>316.305</v>
      </c>
      <c r="K2699" s="1">
        <v>62.0</v>
      </c>
    </row>
    <row r="2700">
      <c r="A2700" s="1" t="s">
        <v>26</v>
      </c>
      <c r="B2700" s="1" t="s">
        <v>1192</v>
      </c>
      <c r="C2700" s="1" t="s">
        <v>46</v>
      </c>
      <c r="D2700" s="1">
        <v>11.0</v>
      </c>
      <c r="E2700" s="1">
        <v>64839.0</v>
      </c>
      <c r="F2700" s="1">
        <v>0.0</v>
      </c>
      <c r="G2700" s="1">
        <v>200.0</v>
      </c>
      <c r="H2700" s="1">
        <v>324.195</v>
      </c>
      <c r="I2700" s="1">
        <v>0.0</v>
      </c>
      <c r="J2700" s="1">
        <v>324.195</v>
      </c>
      <c r="K2700" s="1">
        <v>62.0</v>
      </c>
    </row>
    <row r="2701">
      <c r="A2701" s="1" t="s">
        <v>26</v>
      </c>
      <c r="B2701" s="1" t="s">
        <v>1192</v>
      </c>
      <c r="C2701" s="1" t="s">
        <v>46</v>
      </c>
      <c r="D2701" s="1">
        <v>12.0</v>
      </c>
      <c r="E2701" s="1">
        <v>56791.0</v>
      </c>
      <c r="F2701" s="1">
        <v>0.0</v>
      </c>
      <c r="G2701" s="1">
        <v>200.0</v>
      </c>
      <c r="H2701" s="1">
        <v>283.955</v>
      </c>
      <c r="I2701" s="1">
        <v>0.0</v>
      </c>
      <c r="J2701" s="1">
        <v>283.955</v>
      </c>
      <c r="K2701" s="1">
        <v>70.0</v>
      </c>
    </row>
    <row r="2702">
      <c r="A2702" s="1" t="s">
        <v>26</v>
      </c>
      <c r="B2702" s="1" t="s">
        <v>1192</v>
      </c>
      <c r="C2702" s="1" t="s">
        <v>46</v>
      </c>
      <c r="D2702" s="1">
        <v>13.0</v>
      </c>
      <c r="E2702" s="1">
        <v>56885.0</v>
      </c>
      <c r="F2702" s="1">
        <v>0.0</v>
      </c>
      <c r="G2702" s="1">
        <v>200.0</v>
      </c>
      <c r="H2702" s="1">
        <v>284.425</v>
      </c>
      <c r="I2702" s="1">
        <v>0.0</v>
      </c>
      <c r="J2702" s="1">
        <v>284.425</v>
      </c>
      <c r="K2702" s="1">
        <v>72.0</v>
      </c>
    </row>
    <row r="2703">
      <c r="A2703" s="1" t="s">
        <v>26</v>
      </c>
      <c r="B2703" s="1" t="s">
        <v>1192</v>
      </c>
      <c r="C2703" s="1" t="s">
        <v>46</v>
      </c>
      <c r="D2703" s="1">
        <v>14.0</v>
      </c>
      <c r="E2703" s="1">
        <v>50680.0</v>
      </c>
      <c r="F2703" s="1">
        <v>0.0</v>
      </c>
      <c r="G2703" s="1">
        <v>200.0</v>
      </c>
      <c r="H2703" s="1">
        <v>253.4</v>
      </c>
      <c r="I2703" s="1">
        <v>0.0</v>
      </c>
      <c r="J2703" s="1">
        <v>253.4</v>
      </c>
      <c r="K2703" s="1">
        <v>74.0</v>
      </c>
    </row>
    <row r="2704">
      <c r="A2704" s="1" t="s">
        <v>26</v>
      </c>
      <c r="B2704" s="1" t="s">
        <v>1192</v>
      </c>
      <c r="C2704" s="1" t="s">
        <v>46</v>
      </c>
      <c r="D2704" s="1">
        <v>15.0</v>
      </c>
      <c r="E2704" s="1">
        <v>86973.0</v>
      </c>
      <c r="F2704" s="1">
        <v>0.0</v>
      </c>
      <c r="G2704" s="1">
        <v>200.0</v>
      </c>
      <c r="H2704" s="1">
        <v>434.865</v>
      </c>
      <c r="I2704" s="1">
        <v>0.0</v>
      </c>
      <c r="J2704" s="1">
        <v>434.865</v>
      </c>
      <c r="K2704" s="1">
        <v>73.0</v>
      </c>
    </row>
    <row r="2705">
      <c r="A2705" s="1" t="s">
        <v>26</v>
      </c>
      <c r="B2705" s="1" t="s">
        <v>1192</v>
      </c>
      <c r="C2705" s="1" t="s">
        <v>46</v>
      </c>
      <c r="D2705" s="1">
        <v>16.0</v>
      </c>
      <c r="E2705" s="1">
        <v>59552.0</v>
      </c>
      <c r="F2705" s="1">
        <v>0.0</v>
      </c>
      <c r="G2705" s="1">
        <v>200.0</v>
      </c>
      <c r="H2705" s="1">
        <v>297.76</v>
      </c>
      <c r="I2705" s="1">
        <v>0.0</v>
      </c>
      <c r="J2705" s="1">
        <v>297.76</v>
      </c>
      <c r="K2705" s="1">
        <v>75.0</v>
      </c>
    </row>
    <row r="2706">
      <c r="A2706" s="1" t="s">
        <v>26</v>
      </c>
      <c r="B2706" s="1" t="s">
        <v>1192</v>
      </c>
      <c r="C2706" s="1" t="s">
        <v>46</v>
      </c>
      <c r="D2706" s="1">
        <v>17.0</v>
      </c>
      <c r="E2706" s="1">
        <v>58565.0</v>
      </c>
      <c r="F2706" s="1">
        <v>0.0</v>
      </c>
      <c r="G2706" s="1">
        <v>200.0</v>
      </c>
      <c r="H2706" s="1">
        <v>292.825</v>
      </c>
      <c r="I2706" s="1">
        <v>0.0</v>
      </c>
      <c r="J2706" s="1">
        <v>292.825</v>
      </c>
      <c r="K2706" s="1">
        <v>76.0</v>
      </c>
    </row>
    <row r="2707">
      <c r="A2707" s="1" t="s">
        <v>26</v>
      </c>
      <c r="B2707" s="1" t="s">
        <v>1192</v>
      </c>
      <c r="C2707" s="1" t="s">
        <v>46</v>
      </c>
      <c r="D2707" s="1">
        <v>18.0</v>
      </c>
      <c r="E2707" s="1">
        <v>70897.0</v>
      </c>
      <c r="F2707" s="1">
        <v>0.0</v>
      </c>
      <c r="G2707" s="1">
        <v>200.0</v>
      </c>
      <c r="H2707" s="1">
        <v>354.485</v>
      </c>
      <c r="I2707" s="1">
        <v>0.0</v>
      </c>
      <c r="J2707" s="1">
        <v>354.485</v>
      </c>
      <c r="K2707" s="1">
        <v>81.0</v>
      </c>
    </row>
    <row r="2708">
      <c r="A2708" s="1" t="s">
        <v>26</v>
      </c>
      <c r="B2708" s="1" t="s">
        <v>1192</v>
      </c>
      <c r="C2708" s="1" t="s">
        <v>46</v>
      </c>
      <c r="D2708" s="1">
        <v>19.0</v>
      </c>
      <c r="E2708" s="1">
        <v>50499.0</v>
      </c>
      <c r="F2708" s="1">
        <v>0.0</v>
      </c>
      <c r="G2708" s="1">
        <v>200.0</v>
      </c>
      <c r="H2708" s="1">
        <v>252.495</v>
      </c>
      <c r="I2708" s="1">
        <v>0.0</v>
      </c>
      <c r="J2708" s="1">
        <v>252.495</v>
      </c>
      <c r="K2708" s="1">
        <v>83.0</v>
      </c>
    </row>
    <row r="2709">
      <c r="A2709" s="1" t="s">
        <v>26</v>
      </c>
      <c r="B2709" s="1" t="s">
        <v>1192</v>
      </c>
      <c r="C2709" s="1" t="s">
        <v>46</v>
      </c>
      <c r="D2709" s="1">
        <v>20.0</v>
      </c>
      <c r="E2709" s="1">
        <v>47087.0</v>
      </c>
      <c r="F2709" s="1">
        <v>0.0</v>
      </c>
      <c r="G2709" s="1">
        <v>200.0</v>
      </c>
      <c r="H2709" s="1">
        <v>235.435</v>
      </c>
      <c r="I2709" s="1">
        <v>0.0</v>
      </c>
      <c r="J2709" s="1">
        <v>235.435</v>
      </c>
      <c r="K2709" s="1">
        <v>92.0</v>
      </c>
    </row>
    <row r="2710">
      <c r="A2710" s="1" t="s">
        <v>26</v>
      </c>
      <c r="B2710" s="1" t="s">
        <v>1192</v>
      </c>
      <c r="C2710" s="1" t="s">
        <v>46</v>
      </c>
      <c r="D2710" s="1">
        <v>21.0</v>
      </c>
      <c r="E2710" s="1">
        <v>53389.0</v>
      </c>
      <c r="F2710" s="1">
        <v>0.0</v>
      </c>
      <c r="G2710" s="1">
        <v>200.0</v>
      </c>
      <c r="H2710" s="1">
        <v>266.945</v>
      </c>
      <c r="I2710" s="1">
        <v>0.0</v>
      </c>
      <c r="J2710" s="1">
        <v>266.945</v>
      </c>
      <c r="K2710" s="1">
        <v>91.0</v>
      </c>
    </row>
    <row r="2711">
      <c r="A2711" s="1" t="s">
        <v>26</v>
      </c>
      <c r="B2711" s="1" t="s">
        <v>1192</v>
      </c>
      <c r="C2711" s="1" t="s">
        <v>1213</v>
      </c>
      <c r="D2711" s="1">
        <v>1.0</v>
      </c>
      <c r="E2711" s="1">
        <v>0.0</v>
      </c>
      <c r="F2711" s="1">
        <v>0.0</v>
      </c>
      <c r="G2711" s="1">
        <v>136.0</v>
      </c>
      <c r="H2711" s="1">
        <v>0.0</v>
      </c>
      <c r="I2711" s="1">
        <v>0.0</v>
      </c>
      <c r="J2711" s="1">
        <v>0.0</v>
      </c>
      <c r="K2711" s="1">
        <v>48.0</v>
      </c>
    </row>
    <row r="2712">
      <c r="A2712" s="1" t="s">
        <v>26</v>
      </c>
      <c r="B2712" s="1" t="s">
        <v>1192</v>
      </c>
      <c r="C2712" s="1" t="s">
        <v>1213</v>
      </c>
      <c r="D2712" s="1">
        <v>2.0</v>
      </c>
      <c r="E2712" s="1">
        <v>0.0</v>
      </c>
      <c r="F2712" s="1">
        <v>0.0</v>
      </c>
      <c r="G2712" s="1">
        <v>136.0</v>
      </c>
      <c r="H2712" s="1">
        <v>0.0</v>
      </c>
      <c r="I2712" s="1">
        <v>0.0</v>
      </c>
      <c r="J2712" s="1">
        <v>0.0</v>
      </c>
      <c r="K2712" s="1">
        <v>58.0</v>
      </c>
    </row>
    <row r="2713">
      <c r="A2713" s="1" t="s">
        <v>26</v>
      </c>
      <c r="B2713" s="1" t="s">
        <v>1192</v>
      </c>
      <c r="C2713" s="1" t="s">
        <v>1213</v>
      </c>
      <c r="D2713" s="1">
        <v>3.0</v>
      </c>
      <c r="E2713" s="1">
        <v>0.0</v>
      </c>
      <c r="F2713" s="1">
        <v>0.0</v>
      </c>
      <c r="G2713" s="1">
        <v>136.0</v>
      </c>
      <c r="H2713" s="1">
        <v>0.0</v>
      </c>
      <c r="I2713" s="1">
        <v>0.0</v>
      </c>
      <c r="J2713" s="1">
        <v>0.0</v>
      </c>
      <c r="K2713" s="1">
        <v>53.0</v>
      </c>
    </row>
    <row r="2714">
      <c r="A2714" s="1" t="s">
        <v>26</v>
      </c>
      <c r="B2714" s="1" t="s">
        <v>1192</v>
      </c>
      <c r="C2714" s="1" t="s">
        <v>1213</v>
      </c>
      <c r="D2714" s="1">
        <v>4.0</v>
      </c>
      <c r="E2714" s="1">
        <v>0.0</v>
      </c>
      <c r="F2714" s="1">
        <v>0.0</v>
      </c>
      <c r="G2714" s="1">
        <v>136.0</v>
      </c>
      <c r="H2714" s="1">
        <v>0.0</v>
      </c>
      <c r="I2714" s="1">
        <v>0.0</v>
      </c>
      <c r="J2714" s="1">
        <v>0.0</v>
      </c>
      <c r="K2714" s="1">
        <v>58.0</v>
      </c>
    </row>
    <row r="2715">
      <c r="A2715" s="1" t="s">
        <v>26</v>
      </c>
      <c r="B2715" s="1" t="s">
        <v>1192</v>
      </c>
      <c r="C2715" s="1" t="s">
        <v>1213</v>
      </c>
      <c r="D2715" s="1">
        <v>5.0</v>
      </c>
      <c r="E2715" s="1">
        <v>0.0</v>
      </c>
      <c r="F2715" s="1">
        <v>0.0</v>
      </c>
      <c r="G2715" s="1">
        <v>136.0</v>
      </c>
      <c r="H2715" s="1">
        <v>0.0</v>
      </c>
      <c r="I2715" s="1">
        <v>0.0</v>
      </c>
      <c r="J2715" s="1">
        <v>0.0</v>
      </c>
      <c r="K2715" s="1">
        <v>61.0</v>
      </c>
    </row>
    <row r="2716">
      <c r="A2716" s="1" t="s">
        <v>26</v>
      </c>
      <c r="B2716" s="1" t="s">
        <v>1192</v>
      </c>
      <c r="C2716" s="1" t="s">
        <v>1213</v>
      </c>
      <c r="D2716" s="1">
        <v>6.0</v>
      </c>
      <c r="E2716" s="1">
        <v>0.0</v>
      </c>
      <c r="F2716" s="1">
        <v>0.0</v>
      </c>
      <c r="G2716" s="1">
        <v>136.0</v>
      </c>
      <c r="H2716" s="1">
        <v>0.0</v>
      </c>
      <c r="I2716" s="1">
        <v>0.0</v>
      </c>
      <c r="J2716" s="1">
        <v>0.0</v>
      </c>
      <c r="K2716" s="1">
        <v>67.0</v>
      </c>
    </row>
    <row r="2717">
      <c r="A2717" s="1" t="s">
        <v>26</v>
      </c>
      <c r="B2717" s="1" t="s">
        <v>1192</v>
      </c>
      <c r="C2717" s="1" t="s">
        <v>1213</v>
      </c>
      <c r="D2717" s="1">
        <v>7.0</v>
      </c>
      <c r="E2717" s="1">
        <v>0.0</v>
      </c>
      <c r="F2717" s="1">
        <v>0.0</v>
      </c>
      <c r="G2717" s="1">
        <v>136.0</v>
      </c>
      <c r="H2717" s="1">
        <v>0.0</v>
      </c>
      <c r="I2717" s="1">
        <v>0.0</v>
      </c>
      <c r="J2717" s="1">
        <v>0.0</v>
      </c>
      <c r="K2717" s="1">
        <v>65.0</v>
      </c>
    </row>
    <row r="2718">
      <c r="A2718" s="1" t="s">
        <v>26</v>
      </c>
      <c r="B2718" s="1" t="s">
        <v>1192</v>
      </c>
      <c r="C2718" s="1" t="s">
        <v>1213</v>
      </c>
      <c r="D2718" s="1">
        <v>8.0</v>
      </c>
      <c r="E2718" s="1">
        <v>1090.0</v>
      </c>
      <c r="F2718" s="1">
        <v>0.0</v>
      </c>
      <c r="G2718" s="1">
        <v>136.0</v>
      </c>
      <c r="H2718" s="1">
        <v>8.0147</v>
      </c>
      <c r="I2718" s="1">
        <v>0.0</v>
      </c>
      <c r="J2718" s="1">
        <v>8.0147</v>
      </c>
      <c r="K2718" s="1">
        <v>66.0</v>
      </c>
    </row>
    <row r="2719">
      <c r="A2719" s="1" t="s">
        <v>26</v>
      </c>
      <c r="B2719" s="1" t="s">
        <v>1192</v>
      </c>
      <c r="C2719" s="1" t="s">
        <v>1213</v>
      </c>
      <c r="D2719" s="1">
        <v>9.0</v>
      </c>
      <c r="E2719" s="1">
        <v>770.0</v>
      </c>
      <c r="F2719" s="1">
        <v>0.0</v>
      </c>
      <c r="G2719" s="1">
        <v>136.0</v>
      </c>
      <c r="H2719" s="1">
        <v>5.6618</v>
      </c>
      <c r="I2719" s="1">
        <v>0.0</v>
      </c>
      <c r="J2719" s="1">
        <v>5.6618</v>
      </c>
      <c r="K2719" s="1">
        <v>64.0</v>
      </c>
    </row>
    <row r="2720">
      <c r="A2720" s="1" t="s">
        <v>26</v>
      </c>
      <c r="B2720" s="1" t="s">
        <v>1192</v>
      </c>
      <c r="C2720" s="1" t="s">
        <v>1213</v>
      </c>
      <c r="D2720" s="1">
        <v>10.0</v>
      </c>
      <c r="E2720" s="1">
        <v>320.0</v>
      </c>
      <c r="F2720" s="1">
        <v>0.0</v>
      </c>
      <c r="G2720" s="1">
        <v>136.0</v>
      </c>
      <c r="H2720" s="1">
        <v>2.3529</v>
      </c>
      <c r="I2720" s="1">
        <v>0.0</v>
      </c>
      <c r="J2720" s="1">
        <v>2.3529</v>
      </c>
      <c r="K2720" s="1">
        <v>62.0</v>
      </c>
    </row>
    <row r="2721">
      <c r="A2721" s="1" t="s">
        <v>26</v>
      </c>
      <c r="B2721" s="1" t="s">
        <v>1192</v>
      </c>
      <c r="C2721" s="1" t="s">
        <v>1213</v>
      </c>
      <c r="D2721" s="1">
        <v>11.0</v>
      </c>
      <c r="E2721" s="1">
        <v>270.0</v>
      </c>
      <c r="F2721" s="1">
        <v>0.0</v>
      </c>
      <c r="G2721" s="1">
        <v>136.0</v>
      </c>
      <c r="H2721" s="1">
        <v>1.9853</v>
      </c>
      <c r="I2721" s="1">
        <v>0.0</v>
      </c>
      <c r="J2721" s="1">
        <v>1.9853</v>
      </c>
      <c r="K2721" s="1">
        <v>62.0</v>
      </c>
    </row>
    <row r="2722">
      <c r="A2722" s="1" t="s">
        <v>26</v>
      </c>
      <c r="B2722" s="1" t="s">
        <v>1192</v>
      </c>
      <c r="C2722" s="1" t="s">
        <v>1213</v>
      </c>
      <c r="D2722" s="1">
        <v>12.0</v>
      </c>
      <c r="E2722" s="1">
        <v>30.0</v>
      </c>
      <c r="F2722" s="1">
        <v>0.0</v>
      </c>
      <c r="G2722" s="1">
        <v>136.0</v>
      </c>
      <c r="H2722" s="1">
        <v>0.2206</v>
      </c>
      <c r="I2722" s="1">
        <v>0.0</v>
      </c>
      <c r="J2722" s="1">
        <v>0.2206</v>
      </c>
      <c r="K2722" s="1">
        <v>70.0</v>
      </c>
    </row>
    <row r="2723">
      <c r="A2723" s="1" t="s">
        <v>26</v>
      </c>
      <c r="B2723" s="1" t="s">
        <v>1192</v>
      </c>
      <c r="C2723" s="1" t="s">
        <v>1213</v>
      </c>
      <c r="D2723" s="1">
        <v>13.0</v>
      </c>
      <c r="E2723" s="1">
        <v>0.0</v>
      </c>
      <c r="F2723" s="1">
        <v>0.0</v>
      </c>
      <c r="G2723" s="1">
        <v>136.0</v>
      </c>
      <c r="H2723" s="1">
        <v>0.0</v>
      </c>
      <c r="I2723" s="1">
        <v>0.0</v>
      </c>
      <c r="J2723" s="1">
        <v>0.0</v>
      </c>
      <c r="K2723" s="1">
        <v>72.0</v>
      </c>
    </row>
    <row r="2724">
      <c r="A2724" s="1" t="s">
        <v>26</v>
      </c>
      <c r="B2724" s="1" t="s">
        <v>1192</v>
      </c>
      <c r="C2724" s="1" t="s">
        <v>1213</v>
      </c>
      <c r="D2724" s="1">
        <v>14.0</v>
      </c>
      <c r="E2724" s="1">
        <v>0.0</v>
      </c>
      <c r="F2724" s="1">
        <v>0.0</v>
      </c>
      <c r="G2724" s="1">
        <v>136.0</v>
      </c>
      <c r="H2724" s="1">
        <v>0.0</v>
      </c>
      <c r="I2724" s="1">
        <v>0.0</v>
      </c>
      <c r="J2724" s="1">
        <v>0.0</v>
      </c>
      <c r="K2724" s="1">
        <v>74.0</v>
      </c>
    </row>
    <row r="2725">
      <c r="A2725" s="1" t="s">
        <v>26</v>
      </c>
      <c r="B2725" s="1" t="s">
        <v>1192</v>
      </c>
      <c r="C2725" s="1" t="s">
        <v>1213</v>
      </c>
      <c r="D2725" s="1">
        <v>15.0</v>
      </c>
      <c r="E2725" s="1">
        <v>1140.0</v>
      </c>
      <c r="F2725" s="1">
        <v>0.0</v>
      </c>
      <c r="G2725" s="1">
        <v>136.0</v>
      </c>
      <c r="H2725" s="1">
        <v>8.3824</v>
      </c>
      <c r="I2725" s="1">
        <v>0.0</v>
      </c>
      <c r="J2725" s="1">
        <v>8.3824</v>
      </c>
      <c r="K2725" s="1">
        <v>73.0</v>
      </c>
    </row>
    <row r="2726">
      <c r="A2726" s="1" t="s">
        <v>26</v>
      </c>
      <c r="B2726" s="1" t="s">
        <v>1192</v>
      </c>
      <c r="C2726" s="1" t="s">
        <v>1213</v>
      </c>
      <c r="D2726" s="1">
        <v>16.0</v>
      </c>
      <c r="E2726" s="1">
        <v>730.0</v>
      </c>
      <c r="F2726" s="1">
        <v>0.0</v>
      </c>
      <c r="G2726" s="1">
        <v>136.0</v>
      </c>
      <c r="H2726" s="1">
        <v>5.3676</v>
      </c>
      <c r="I2726" s="1">
        <v>0.0</v>
      </c>
      <c r="J2726" s="1">
        <v>5.3676</v>
      </c>
      <c r="K2726" s="1">
        <v>75.0</v>
      </c>
    </row>
    <row r="2727">
      <c r="A2727" s="1" t="s">
        <v>26</v>
      </c>
      <c r="B2727" s="1" t="s">
        <v>1192</v>
      </c>
      <c r="C2727" s="1" t="s">
        <v>1213</v>
      </c>
      <c r="D2727" s="1">
        <v>17.0</v>
      </c>
      <c r="E2727" s="1">
        <v>480.0</v>
      </c>
      <c r="F2727" s="1">
        <v>0.0</v>
      </c>
      <c r="G2727" s="1">
        <v>136.0</v>
      </c>
      <c r="H2727" s="1">
        <v>3.5294</v>
      </c>
      <c r="I2727" s="1">
        <v>0.0</v>
      </c>
      <c r="J2727" s="1">
        <v>3.5294</v>
      </c>
      <c r="K2727" s="1">
        <v>76.0</v>
      </c>
    </row>
    <row r="2728">
      <c r="A2728" s="1" t="s">
        <v>26</v>
      </c>
      <c r="B2728" s="1" t="s">
        <v>1192</v>
      </c>
      <c r="C2728" s="1" t="s">
        <v>1213</v>
      </c>
      <c r="D2728" s="1">
        <v>18.0</v>
      </c>
      <c r="E2728" s="1">
        <v>390.0</v>
      </c>
      <c r="F2728" s="1">
        <v>0.0</v>
      </c>
      <c r="G2728" s="1">
        <v>136.0</v>
      </c>
      <c r="H2728" s="1">
        <v>2.8676</v>
      </c>
      <c r="I2728" s="1">
        <v>0.0</v>
      </c>
      <c r="J2728" s="1">
        <v>2.8676</v>
      </c>
      <c r="K2728" s="1">
        <v>81.0</v>
      </c>
    </row>
    <row r="2729">
      <c r="A2729" s="1" t="s">
        <v>26</v>
      </c>
      <c r="B2729" s="1" t="s">
        <v>1192</v>
      </c>
      <c r="C2729" s="1" t="s">
        <v>1213</v>
      </c>
      <c r="D2729" s="1">
        <v>19.0</v>
      </c>
      <c r="E2729" s="1">
        <v>0.0</v>
      </c>
      <c r="F2729" s="1">
        <v>0.0</v>
      </c>
      <c r="G2729" s="1">
        <v>136.0</v>
      </c>
      <c r="H2729" s="1">
        <v>0.0</v>
      </c>
      <c r="I2729" s="1">
        <v>0.0</v>
      </c>
      <c r="J2729" s="1">
        <v>0.0</v>
      </c>
      <c r="K2729" s="1">
        <v>83.0</v>
      </c>
    </row>
    <row r="2730">
      <c r="A2730" s="1" t="s">
        <v>26</v>
      </c>
      <c r="B2730" s="1" t="s">
        <v>1192</v>
      </c>
      <c r="C2730" s="1" t="s">
        <v>1213</v>
      </c>
      <c r="D2730" s="1">
        <v>20.0</v>
      </c>
      <c r="E2730" s="1">
        <v>0.0</v>
      </c>
      <c r="F2730" s="1">
        <v>0.0</v>
      </c>
      <c r="G2730" s="1">
        <v>136.0</v>
      </c>
      <c r="H2730" s="1">
        <v>0.0</v>
      </c>
      <c r="I2730" s="1">
        <v>0.0</v>
      </c>
      <c r="J2730" s="1">
        <v>0.0</v>
      </c>
      <c r="K2730" s="1">
        <v>92.0</v>
      </c>
    </row>
    <row r="2731">
      <c r="A2731" s="1" t="s">
        <v>26</v>
      </c>
      <c r="B2731" s="1" t="s">
        <v>1192</v>
      </c>
      <c r="C2731" s="1" t="s">
        <v>1213</v>
      </c>
      <c r="D2731" s="1">
        <v>21.0</v>
      </c>
      <c r="E2731" s="1">
        <v>0.0</v>
      </c>
      <c r="F2731" s="1">
        <v>0.0</v>
      </c>
      <c r="G2731" s="1">
        <v>136.0</v>
      </c>
      <c r="H2731" s="1">
        <v>0.0</v>
      </c>
      <c r="I2731" s="1">
        <v>0.0</v>
      </c>
      <c r="J2731" s="1">
        <v>0.0</v>
      </c>
      <c r="K2731" s="1">
        <v>91.0</v>
      </c>
    </row>
    <row r="2732">
      <c r="A2732" s="1" t="s">
        <v>24</v>
      </c>
      <c r="B2732" s="1" t="s">
        <v>180</v>
      </c>
      <c r="C2732" s="1" t="s">
        <v>47</v>
      </c>
      <c r="D2732" s="6">
        <v>25.0</v>
      </c>
      <c r="E2732" s="6">
        <v>25455.0</v>
      </c>
      <c r="F2732" s="6">
        <v>28024.0</v>
      </c>
      <c r="G2732" s="6">
        <v>24216.0</v>
      </c>
      <c r="H2732" s="6">
        <v>1.0512</v>
      </c>
      <c r="I2732" s="6">
        <v>1.1573</v>
      </c>
      <c r="J2732" s="6">
        <v>-0.1061</v>
      </c>
    </row>
    <row r="2733">
      <c r="A2733" s="1" t="s">
        <v>24</v>
      </c>
      <c r="B2733" s="1" t="s">
        <v>180</v>
      </c>
      <c r="C2733" s="1" t="s">
        <v>47</v>
      </c>
      <c r="D2733" s="6">
        <v>26.0</v>
      </c>
      <c r="E2733" s="6">
        <v>25271.0</v>
      </c>
      <c r="F2733" s="6">
        <v>28071.0</v>
      </c>
      <c r="G2733" s="6">
        <v>24216.0</v>
      </c>
      <c r="H2733" s="6">
        <v>1.0436</v>
      </c>
      <c r="I2733" s="6">
        <v>1.1592</v>
      </c>
      <c r="J2733" s="6">
        <v>-0.1156</v>
      </c>
    </row>
    <row r="2734">
      <c r="A2734" s="1" t="s">
        <v>24</v>
      </c>
      <c r="B2734" s="1" t="s">
        <v>180</v>
      </c>
      <c r="C2734" s="1" t="s">
        <v>47</v>
      </c>
      <c r="D2734" s="6">
        <v>27.0</v>
      </c>
      <c r="E2734" s="6">
        <v>28716.0</v>
      </c>
      <c r="F2734" s="6">
        <v>29865.0</v>
      </c>
      <c r="G2734" s="6">
        <v>24216.0</v>
      </c>
      <c r="H2734" s="6">
        <v>1.1858</v>
      </c>
      <c r="I2734" s="6">
        <v>1.2333</v>
      </c>
      <c r="J2734" s="6">
        <v>-0.0474</v>
      </c>
    </row>
    <row r="2735">
      <c r="A2735" s="1" t="s">
        <v>24</v>
      </c>
      <c r="B2735" s="1" t="s">
        <v>180</v>
      </c>
      <c r="C2735" s="1" t="s">
        <v>47</v>
      </c>
      <c r="D2735" s="6">
        <v>28.0</v>
      </c>
      <c r="E2735" s="6">
        <v>22049.0</v>
      </c>
      <c r="F2735" s="6">
        <v>25307.0</v>
      </c>
      <c r="G2735" s="6">
        <v>24216.0</v>
      </c>
      <c r="H2735" s="6">
        <v>0.9105</v>
      </c>
      <c r="I2735" s="6">
        <v>1.0451</v>
      </c>
      <c r="J2735" s="6">
        <v>-0.1345</v>
      </c>
    </row>
    <row r="2736">
      <c r="A2736" s="1" t="s">
        <v>24</v>
      </c>
      <c r="B2736" s="1" t="s">
        <v>180</v>
      </c>
      <c r="C2736" s="1" t="s">
        <v>47</v>
      </c>
      <c r="D2736" s="6">
        <v>29.0</v>
      </c>
      <c r="E2736" s="6">
        <v>22400.0</v>
      </c>
      <c r="F2736" s="6">
        <v>25452.0</v>
      </c>
      <c r="G2736" s="6">
        <v>24216.0</v>
      </c>
      <c r="H2736" s="6">
        <v>0.925</v>
      </c>
      <c r="I2736" s="6">
        <v>1.051</v>
      </c>
      <c r="J2736" s="6">
        <v>-0.126</v>
      </c>
    </row>
    <row r="2737">
      <c r="A2737" s="1" t="s">
        <v>24</v>
      </c>
      <c r="B2737" s="1" t="s">
        <v>180</v>
      </c>
      <c r="C2737" s="1" t="s">
        <v>47</v>
      </c>
      <c r="D2737" s="6">
        <v>30.0</v>
      </c>
      <c r="E2737" s="6">
        <v>21910.0</v>
      </c>
      <c r="F2737" s="6">
        <v>22019.0</v>
      </c>
      <c r="G2737" s="6">
        <v>24216.0</v>
      </c>
      <c r="H2737" s="6">
        <v>0.9048</v>
      </c>
      <c r="I2737" s="6">
        <v>0.9093</v>
      </c>
      <c r="J2737" s="6">
        <v>-0.0045</v>
      </c>
    </row>
    <row r="2738">
      <c r="A2738" s="1" t="s">
        <v>24</v>
      </c>
      <c r="B2738" s="1" t="s">
        <v>180</v>
      </c>
      <c r="C2738" s="1" t="s">
        <v>47</v>
      </c>
      <c r="D2738" s="6">
        <v>31.0</v>
      </c>
      <c r="E2738" s="6">
        <v>33179.0</v>
      </c>
      <c r="F2738" s="6">
        <v>26470.0</v>
      </c>
      <c r="G2738" s="6">
        <v>24216.0</v>
      </c>
      <c r="H2738" s="6">
        <v>1.3701</v>
      </c>
      <c r="I2738" s="6">
        <v>1.0931</v>
      </c>
      <c r="J2738" s="6">
        <v>0.277</v>
      </c>
    </row>
    <row r="2739">
      <c r="A2739" s="1" t="s">
        <v>24</v>
      </c>
      <c r="B2739" s="1" t="s">
        <v>180</v>
      </c>
      <c r="C2739" s="1" t="s">
        <v>47</v>
      </c>
      <c r="D2739" s="6">
        <v>32.0</v>
      </c>
      <c r="E2739" s="6">
        <v>24122.0</v>
      </c>
      <c r="F2739" s="6">
        <v>24650.0</v>
      </c>
      <c r="G2739" s="6">
        <v>24216.0</v>
      </c>
      <c r="H2739" s="6">
        <v>0.9961</v>
      </c>
      <c r="I2739" s="6">
        <v>1.0179</v>
      </c>
      <c r="J2739" s="6">
        <v>-0.0218</v>
      </c>
    </row>
    <row r="2740">
      <c r="A2740" s="1" t="s">
        <v>24</v>
      </c>
      <c r="B2740" s="1" t="s">
        <v>180</v>
      </c>
      <c r="C2740" s="1" t="s">
        <v>47</v>
      </c>
      <c r="D2740" s="6">
        <v>33.0</v>
      </c>
      <c r="E2740" s="6">
        <v>24569.0</v>
      </c>
      <c r="F2740" s="6">
        <v>25586.0</v>
      </c>
      <c r="G2740" s="6">
        <v>24216.0</v>
      </c>
      <c r="H2740" s="6">
        <v>1.0146</v>
      </c>
      <c r="I2740" s="6">
        <v>1.0566</v>
      </c>
      <c r="J2740" s="6">
        <v>-0.042</v>
      </c>
    </row>
    <row r="2741">
      <c r="A2741" s="1" t="s">
        <v>24</v>
      </c>
      <c r="B2741" s="1" t="s">
        <v>180</v>
      </c>
      <c r="C2741" s="1" t="s">
        <v>48</v>
      </c>
      <c r="D2741" s="6">
        <v>1.0</v>
      </c>
      <c r="E2741" s="6">
        <v>18030.0</v>
      </c>
      <c r="F2741" s="6">
        <v>20331.0</v>
      </c>
      <c r="G2741" s="6">
        <v>24270.0</v>
      </c>
      <c r="H2741" s="6">
        <v>0.7429</v>
      </c>
      <c r="I2741" s="6">
        <v>0.8377</v>
      </c>
      <c r="J2741" s="6">
        <v>-0.0948</v>
      </c>
    </row>
    <row r="2742">
      <c r="A2742" s="1" t="s">
        <v>24</v>
      </c>
      <c r="B2742" s="1" t="s">
        <v>180</v>
      </c>
      <c r="C2742" s="1" t="s">
        <v>48</v>
      </c>
      <c r="D2742" s="6">
        <v>2.0</v>
      </c>
      <c r="E2742" s="6">
        <v>17774.0</v>
      </c>
      <c r="F2742" s="6">
        <v>20035.0</v>
      </c>
      <c r="G2742" s="6">
        <v>24270.0</v>
      </c>
      <c r="H2742" s="6">
        <v>0.7323</v>
      </c>
      <c r="I2742" s="6">
        <v>0.8255</v>
      </c>
      <c r="J2742" s="6">
        <v>-0.0932</v>
      </c>
    </row>
    <row r="2743">
      <c r="A2743" s="1" t="s">
        <v>24</v>
      </c>
      <c r="B2743" s="1" t="s">
        <v>180</v>
      </c>
      <c r="C2743" s="1" t="s">
        <v>48</v>
      </c>
      <c r="D2743" s="6">
        <v>3.0</v>
      </c>
      <c r="E2743" s="6">
        <v>23786.0</v>
      </c>
      <c r="F2743" s="6">
        <v>21431.0</v>
      </c>
      <c r="G2743" s="6">
        <v>24270.0</v>
      </c>
      <c r="H2743" s="6">
        <v>0.9801</v>
      </c>
      <c r="I2743" s="6">
        <v>0.883</v>
      </c>
      <c r="J2743" s="6">
        <v>0.097</v>
      </c>
    </row>
    <row r="2744">
      <c r="A2744" s="1" t="s">
        <v>24</v>
      </c>
      <c r="B2744" s="1" t="s">
        <v>180</v>
      </c>
      <c r="C2744" s="1" t="s">
        <v>48</v>
      </c>
      <c r="D2744" s="6">
        <v>4.0</v>
      </c>
      <c r="E2744" s="6">
        <v>18587.0</v>
      </c>
      <c r="F2744" s="6">
        <v>20356.0</v>
      </c>
      <c r="G2744" s="6">
        <v>24270.0</v>
      </c>
      <c r="H2744" s="6">
        <v>0.7658</v>
      </c>
      <c r="I2744" s="6">
        <v>0.8387</v>
      </c>
      <c r="J2744" s="6">
        <v>-0.0729</v>
      </c>
    </row>
    <row r="2745">
      <c r="A2745" s="1" t="s">
        <v>24</v>
      </c>
      <c r="B2745" s="1" t="s">
        <v>180</v>
      </c>
      <c r="C2745" s="1" t="s">
        <v>48</v>
      </c>
      <c r="D2745" s="6">
        <v>5.0</v>
      </c>
      <c r="E2745" s="6">
        <v>20083.0</v>
      </c>
      <c r="F2745" s="6">
        <v>21924.0</v>
      </c>
      <c r="G2745" s="6">
        <v>24270.0</v>
      </c>
      <c r="H2745" s="6">
        <v>0.8275</v>
      </c>
      <c r="I2745" s="6">
        <v>0.9033</v>
      </c>
      <c r="J2745" s="6">
        <v>-0.0759</v>
      </c>
    </row>
    <row r="2746">
      <c r="A2746" s="1" t="s">
        <v>24</v>
      </c>
      <c r="B2746" s="1" t="s">
        <v>180</v>
      </c>
      <c r="C2746" s="1" t="s">
        <v>48</v>
      </c>
      <c r="D2746" s="6">
        <v>6.0</v>
      </c>
      <c r="E2746" s="6">
        <v>26548.0</v>
      </c>
      <c r="F2746" s="6">
        <v>26332.0</v>
      </c>
      <c r="G2746" s="6">
        <v>24270.0</v>
      </c>
      <c r="H2746" s="6">
        <v>1.0939</v>
      </c>
      <c r="I2746" s="6">
        <v>1.085</v>
      </c>
      <c r="J2746" s="6">
        <v>0.0089</v>
      </c>
    </row>
    <row r="2747">
      <c r="A2747" s="1" t="s">
        <v>24</v>
      </c>
      <c r="B2747" s="1" t="s">
        <v>180</v>
      </c>
      <c r="C2747" s="1" t="s">
        <v>48</v>
      </c>
      <c r="D2747" s="6">
        <v>7.0</v>
      </c>
      <c r="E2747" s="6">
        <v>18582.0</v>
      </c>
      <c r="F2747" s="6">
        <v>21009.0</v>
      </c>
      <c r="G2747" s="6">
        <v>24270.0</v>
      </c>
      <c r="H2747" s="6">
        <v>0.7656</v>
      </c>
      <c r="I2747" s="6">
        <v>0.8656</v>
      </c>
      <c r="J2747" s="6">
        <v>-0.1</v>
      </c>
    </row>
    <row r="2748">
      <c r="A2748" s="1" t="s">
        <v>24</v>
      </c>
      <c r="B2748" s="1" t="s">
        <v>180</v>
      </c>
      <c r="C2748" s="1" t="s">
        <v>48</v>
      </c>
      <c r="D2748" s="6">
        <v>8.0</v>
      </c>
      <c r="E2748" s="6">
        <v>19279.0</v>
      </c>
      <c r="F2748" s="6">
        <v>21414.0</v>
      </c>
      <c r="G2748" s="6">
        <v>24270.0</v>
      </c>
      <c r="H2748" s="6">
        <v>0.7944</v>
      </c>
      <c r="I2748" s="6">
        <v>0.8823</v>
      </c>
      <c r="J2748" s="6">
        <v>-0.088</v>
      </c>
    </row>
    <row r="2749">
      <c r="A2749" s="1" t="s">
        <v>24</v>
      </c>
      <c r="B2749" s="1" t="s">
        <v>180</v>
      </c>
      <c r="C2749" s="1" t="s">
        <v>48</v>
      </c>
      <c r="D2749" s="6">
        <v>9.0</v>
      </c>
      <c r="E2749" s="6">
        <v>16329.0</v>
      </c>
      <c r="F2749" s="6">
        <v>18774.0</v>
      </c>
      <c r="G2749" s="6">
        <v>24270.0</v>
      </c>
      <c r="H2749" s="6">
        <v>0.6728</v>
      </c>
      <c r="I2749" s="6">
        <v>0.7735</v>
      </c>
      <c r="J2749" s="6">
        <v>-0.1007</v>
      </c>
    </row>
    <row r="2750">
      <c r="A2750" s="1" t="s">
        <v>24</v>
      </c>
      <c r="B2750" s="1" t="s">
        <v>180</v>
      </c>
      <c r="C2750" s="1" t="s">
        <v>48</v>
      </c>
      <c r="D2750" s="6">
        <v>10.0</v>
      </c>
      <c r="E2750" s="6">
        <v>26114.0</v>
      </c>
      <c r="F2750" s="6">
        <v>23707.0</v>
      </c>
      <c r="G2750" s="6">
        <v>24270.0</v>
      </c>
      <c r="H2750" s="6">
        <v>1.076</v>
      </c>
      <c r="I2750" s="6">
        <v>0.9768</v>
      </c>
      <c r="J2750" s="6">
        <v>0.0992</v>
      </c>
    </row>
    <row r="2751">
      <c r="A2751" s="1" t="s">
        <v>24</v>
      </c>
      <c r="B2751" s="1" t="s">
        <v>180</v>
      </c>
      <c r="C2751" s="1" t="s">
        <v>48</v>
      </c>
      <c r="D2751" s="6">
        <v>11.0</v>
      </c>
      <c r="E2751" s="6">
        <v>19153.0</v>
      </c>
      <c r="F2751" s="6">
        <v>21640.0</v>
      </c>
      <c r="G2751" s="6">
        <v>24270.0</v>
      </c>
      <c r="H2751" s="6">
        <v>0.7892</v>
      </c>
      <c r="I2751" s="6">
        <v>0.8916</v>
      </c>
      <c r="J2751" s="6">
        <v>-0.1025</v>
      </c>
    </row>
    <row r="2752">
      <c r="A2752" s="1" t="s">
        <v>24</v>
      </c>
      <c r="B2752" s="1" t="s">
        <v>180</v>
      </c>
      <c r="C2752" s="1" t="s">
        <v>48</v>
      </c>
      <c r="D2752" s="6">
        <v>12.0</v>
      </c>
      <c r="E2752" s="6">
        <v>20814.0</v>
      </c>
      <c r="F2752" s="6">
        <v>23312.0</v>
      </c>
      <c r="G2752" s="6">
        <v>24270.0</v>
      </c>
      <c r="H2752" s="6">
        <v>0.8576</v>
      </c>
      <c r="I2752" s="6">
        <v>0.9605</v>
      </c>
      <c r="J2752" s="6">
        <v>-0.1029</v>
      </c>
    </row>
    <row r="2753">
      <c r="A2753" s="1" t="s">
        <v>24</v>
      </c>
      <c r="B2753" s="1" t="s">
        <v>180</v>
      </c>
      <c r="C2753" s="1" t="s">
        <v>48</v>
      </c>
      <c r="D2753" s="6">
        <v>13.0</v>
      </c>
      <c r="E2753" s="6">
        <v>27572.0</v>
      </c>
      <c r="F2753" s="6">
        <v>28008.0</v>
      </c>
      <c r="G2753" s="6">
        <v>24270.0</v>
      </c>
      <c r="H2753" s="6">
        <v>1.1361</v>
      </c>
      <c r="I2753" s="6">
        <v>1.154</v>
      </c>
      <c r="J2753" s="6">
        <v>-0.018</v>
      </c>
    </row>
    <row r="2754">
      <c r="A2754" s="1" t="s">
        <v>24</v>
      </c>
      <c r="B2754" s="1" t="s">
        <v>180</v>
      </c>
      <c r="C2754" s="1" t="s">
        <v>48</v>
      </c>
      <c r="D2754" s="6">
        <v>14.0</v>
      </c>
      <c r="E2754" s="6">
        <v>19353.0</v>
      </c>
      <c r="F2754" s="6">
        <v>22031.0</v>
      </c>
      <c r="G2754" s="6">
        <v>24270.0</v>
      </c>
      <c r="H2754" s="6">
        <v>0.7974</v>
      </c>
      <c r="I2754" s="6">
        <v>0.9077</v>
      </c>
      <c r="J2754" s="6">
        <v>-0.1103</v>
      </c>
    </row>
    <row r="2755">
      <c r="A2755" s="1" t="s">
        <v>24</v>
      </c>
      <c r="B2755" s="1" t="s">
        <v>180</v>
      </c>
      <c r="C2755" s="1" t="s">
        <v>48</v>
      </c>
      <c r="D2755" s="6">
        <v>15.0</v>
      </c>
      <c r="E2755" s="6">
        <v>19127.0</v>
      </c>
      <c r="F2755" s="6">
        <v>22431.0</v>
      </c>
      <c r="G2755" s="6">
        <v>24270.0</v>
      </c>
      <c r="H2755" s="6">
        <v>0.7881</v>
      </c>
      <c r="I2755" s="6">
        <v>0.9242</v>
      </c>
      <c r="J2755" s="6">
        <v>-0.1361</v>
      </c>
    </row>
    <row r="2756">
      <c r="A2756" s="1" t="s">
        <v>24</v>
      </c>
      <c r="B2756" s="1" t="s">
        <v>180</v>
      </c>
      <c r="C2756" s="1" t="s">
        <v>48</v>
      </c>
      <c r="D2756" s="6">
        <v>16.0</v>
      </c>
      <c r="E2756" s="6">
        <v>19670.0</v>
      </c>
      <c r="F2756" s="6">
        <v>21416.0</v>
      </c>
      <c r="G2756" s="6">
        <v>24270.0</v>
      </c>
      <c r="H2756" s="6">
        <v>0.8105</v>
      </c>
      <c r="I2756" s="6">
        <v>0.8824</v>
      </c>
      <c r="J2756" s="6">
        <v>-0.0719</v>
      </c>
    </row>
    <row r="2757">
      <c r="A2757" s="1" t="s">
        <v>24</v>
      </c>
      <c r="B2757" s="1" t="s">
        <v>180</v>
      </c>
      <c r="C2757" s="1" t="s">
        <v>48</v>
      </c>
      <c r="D2757" s="6">
        <v>17.0</v>
      </c>
      <c r="E2757" s="6">
        <v>27218.0</v>
      </c>
      <c r="F2757" s="6">
        <v>24567.0</v>
      </c>
      <c r="G2757" s="6">
        <v>24270.0</v>
      </c>
      <c r="H2757" s="6">
        <v>1.1215</v>
      </c>
      <c r="I2757" s="6">
        <v>1.0122</v>
      </c>
      <c r="J2757" s="6">
        <v>0.1092</v>
      </c>
    </row>
    <row r="2758">
      <c r="A2758" s="1" t="s">
        <v>24</v>
      </c>
      <c r="B2758" s="1" t="s">
        <v>180</v>
      </c>
      <c r="C2758" s="1" t="s">
        <v>48</v>
      </c>
      <c r="D2758" s="6">
        <v>18.0</v>
      </c>
      <c r="E2758" s="6">
        <v>21403.0</v>
      </c>
      <c r="F2758" s="6">
        <v>22791.0</v>
      </c>
      <c r="G2758" s="6">
        <v>24270.0</v>
      </c>
      <c r="H2758" s="6">
        <v>0.8819</v>
      </c>
      <c r="I2758" s="6">
        <v>0.9391</v>
      </c>
      <c r="J2758" s="6">
        <v>-0.0572</v>
      </c>
    </row>
    <row r="2759">
      <c r="A2759" s="1" t="s">
        <v>24</v>
      </c>
      <c r="B2759" s="1" t="s">
        <v>180</v>
      </c>
      <c r="C2759" s="1" t="s">
        <v>48</v>
      </c>
      <c r="D2759" s="6">
        <v>19.0</v>
      </c>
      <c r="E2759" s="6">
        <v>21961.0</v>
      </c>
      <c r="F2759" s="6">
        <v>24617.0</v>
      </c>
      <c r="G2759" s="6">
        <v>24270.0</v>
      </c>
      <c r="H2759" s="6">
        <v>0.9049</v>
      </c>
      <c r="I2759" s="6">
        <v>1.0143</v>
      </c>
      <c r="J2759" s="6">
        <v>-0.1094</v>
      </c>
    </row>
    <row r="2760">
      <c r="A2760" s="1" t="s">
        <v>24</v>
      </c>
      <c r="B2760" s="1" t="s">
        <v>180</v>
      </c>
      <c r="C2760" s="1" t="s">
        <v>48</v>
      </c>
      <c r="D2760" s="6">
        <v>20.0</v>
      </c>
      <c r="E2760" s="6">
        <v>29924.0</v>
      </c>
      <c r="F2760" s="6">
        <v>29872.0</v>
      </c>
      <c r="G2760" s="6">
        <v>24270.0</v>
      </c>
      <c r="H2760" s="6">
        <v>1.233</v>
      </c>
      <c r="I2760" s="6">
        <v>1.2308</v>
      </c>
      <c r="J2760" s="6">
        <v>0.0021</v>
      </c>
    </row>
    <row r="2761">
      <c r="A2761" s="1" t="s">
        <v>24</v>
      </c>
      <c r="B2761" s="1" t="s">
        <v>180</v>
      </c>
      <c r="C2761" s="1" t="s">
        <v>48</v>
      </c>
      <c r="D2761" s="6">
        <v>21.0</v>
      </c>
      <c r="E2761" s="6">
        <v>39077.0</v>
      </c>
      <c r="F2761" s="6">
        <v>28434.0</v>
      </c>
      <c r="G2761" s="6">
        <v>24270.0</v>
      </c>
      <c r="H2761" s="6">
        <v>1.6101</v>
      </c>
      <c r="I2761" s="6">
        <v>1.1716</v>
      </c>
      <c r="J2761" s="6">
        <v>0.4385</v>
      </c>
    </row>
    <row r="2762">
      <c r="A2762" s="1" t="s">
        <v>24</v>
      </c>
      <c r="B2762" s="1" t="s">
        <v>180</v>
      </c>
      <c r="C2762" s="1" t="s">
        <v>48</v>
      </c>
      <c r="D2762" s="6">
        <v>22.0</v>
      </c>
      <c r="E2762" s="6">
        <v>29366.0</v>
      </c>
      <c r="F2762" s="6">
        <v>28802.0</v>
      </c>
      <c r="G2762" s="6">
        <v>24270.0</v>
      </c>
      <c r="H2762" s="6">
        <v>1.21</v>
      </c>
      <c r="I2762" s="6">
        <v>1.1867</v>
      </c>
      <c r="J2762" s="6">
        <v>0.0232</v>
      </c>
    </row>
    <row r="2763">
      <c r="A2763" s="1" t="s">
        <v>24</v>
      </c>
      <c r="B2763" s="1" t="s">
        <v>180</v>
      </c>
      <c r="C2763" s="1" t="s">
        <v>48</v>
      </c>
      <c r="D2763" s="6">
        <v>23.0</v>
      </c>
      <c r="E2763" s="6">
        <v>25053.0</v>
      </c>
      <c r="F2763" s="6">
        <v>26097.0</v>
      </c>
      <c r="G2763" s="6">
        <v>24270.0</v>
      </c>
      <c r="H2763" s="6">
        <v>1.0323</v>
      </c>
      <c r="I2763" s="6">
        <v>1.0753</v>
      </c>
      <c r="J2763" s="6">
        <v>-0.043</v>
      </c>
    </row>
    <row r="2764">
      <c r="A2764" s="1" t="s">
        <v>24</v>
      </c>
      <c r="B2764" s="1" t="s">
        <v>180</v>
      </c>
      <c r="C2764" s="1" t="s">
        <v>48</v>
      </c>
      <c r="D2764" s="6">
        <v>24.0</v>
      </c>
      <c r="E2764" s="6">
        <v>35259.0</v>
      </c>
      <c r="F2764" s="6">
        <v>30616.0</v>
      </c>
      <c r="G2764" s="6">
        <v>24270.0</v>
      </c>
      <c r="H2764" s="6">
        <v>1.4528</v>
      </c>
      <c r="I2764" s="6">
        <v>1.2615</v>
      </c>
      <c r="J2764" s="6">
        <v>0.1913</v>
      </c>
    </row>
    <row r="2765">
      <c r="A2765" s="1" t="s">
        <v>24</v>
      </c>
      <c r="B2765" s="1" t="s">
        <v>180</v>
      </c>
      <c r="C2765" s="1" t="s">
        <v>48</v>
      </c>
      <c r="D2765" s="6">
        <v>25.0</v>
      </c>
      <c r="E2765" s="6">
        <v>26771.0</v>
      </c>
      <c r="F2765" s="6">
        <v>27841.0</v>
      </c>
      <c r="G2765" s="6">
        <v>24270.0</v>
      </c>
      <c r="H2765" s="6">
        <v>1.103</v>
      </c>
      <c r="I2765" s="6">
        <v>1.1471</v>
      </c>
      <c r="J2765" s="6">
        <v>-0.0441</v>
      </c>
    </row>
    <row r="2766">
      <c r="A2766" s="1" t="s">
        <v>24</v>
      </c>
      <c r="B2766" s="1" t="s">
        <v>180</v>
      </c>
      <c r="C2766" s="1" t="s">
        <v>48</v>
      </c>
      <c r="D2766" s="6">
        <v>26.0</v>
      </c>
      <c r="E2766" s="6">
        <v>25992.0</v>
      </c>
      <c r="F2766" s="6">
        <v>28402.0</v>
      </c>
      <c r="G2766" s="6">
        <v>24270.0</v>
      </c>
      <c r="H2766" s="6">
        <v>1.071</v>
      </c>
      <c r="I2766" s="6">
        <v>1.1703</v>
      </c>
      <c r="J2766" s="6">
        <v>-0.0993</v>
      </c>
    </row>
    <row r="2767">
      <c r="A2767" s="1" t="s">
        <v>24</v>
      </c>
      <c r="B2767" s="1" t="s">
        <v>180</v>
      </c>
      <c r="C2767" s="1" t="s">
        <v>48</v>
      </c>
      <c r="D2767" s="6">
        <v>27.0</v>
      </c>
      <c r="E2767" s="6">
        <v>32530.0</v>
      </c>
      <c r="F2767" s="6">
        <v>30701.0</v>
      </c>
      <c r="G2767" s="6">
        <v>24270.0</v>
      </c>
      <c r="H2767" s="6">
        <v>1.3403</v>
      </c>
      <c r="I2767" s="6">
        <v>1.265</v>
      </c>
      <c r="J2767" s="6">
        <v>0.0754</v>
      </c>
    </row>
    <row r="2768">
      <c r="A2768" s="1" t="s">
        <v>24</v>
      </c>
      <c r="B2768" s="1" t="s">
        <v>180</v>
      </c>
      <c r="C2768" s="1" t="s">
        <v>48</v>
      </c>
      <c r="D2768" s="6">
        <v>28.0</v>
      </c>
      <c r="E2768" s="6">
        <v>22375.0</v>
      </c>
      <c r="F2768" s="6">
        <v>25567.0</v>
      </c>
      <c r="G2768" s="6">
        <v>24270.0</v>
      </c>
      <c r="H2768" s="6">
        <v>0.9219</v>
      </c>
      <c r="I2768" s="6">
        <v>1.0534</v>
      </c>
      <c r="J2768" s="6">
        <v>-0.1315</v>
      </c>
    </row>
    <row r="2769">
      <c r="A2769" s="1" t="s">
        <v>24</v>
      </c>
      <c r="B2769" s="1" t="s">
        <v>180</v>
      </c>
      <c r="C2769" s="1" t="s">
        <v>48</v>
      </c>
      <c r="D2769" s="6">
        <v>29.0</v>
      </c>
      <c r="E2769" s="6">
        <v>22084.0</v>
      </c>
      <c r="F2769" s="6">
        <v>25402.0</v>
      </c>
      <c r="G2769" s="6">
        <v>24270.0</v>
      </c>
      <c r="H2769" s="6">
        <v>0.9099</v>
      </c>
      <c r="I2769" s="6">
        <v>1.0466</v>
      </c>
      <c r="J2769" s="6">
        <v>-0.1367</v>
      </c>
    </row>
    <row r="2770">
      <c r="A2770" s="1" t="s">
        <v>24</v>
      </c>
      <c r="B2770" s="1" t="s">
        <v>180</v>
      </c>
      <c r="C2770" s="1" t="s">
        <v>48</v>
      </c>
      <c r="D2770" s="6">
        <v>30.0</v>
      </c>
      <c r="E2770" s="6">
        <v>21917.0</v>
      </c>
      <c r="F2770" s="6">
        <v>22710.0</v>
      </c>
      <c r="G2770" s="6">
        <v>24270.0</v>
      </c>
      <c r="H2770" s="6">
        <v>0.903</v>
      </c>
      <c r="I2770" s="6">
        <v>0.9357</v>
      </c>
      <c r="J2770" s="6">
        <v>-0.0327</v>
      </c>
    </row>
    <row r="2771">
      <c r="A2771" s="1" t="s">
        <v>24</v>
      </c>
      <c r="B2771" s="1" t="s">
        <v>180</v>
      </c>
      <c r="C2771" s="1" t="s">
        <v>48</v>
      </c>
      <c r="D2771" s="6">
        <v>31.0</v>
      </c>
      <c r="E2771" s="6">
        <v>31913.0</v>
      </c>
      <c r="F2771" s="6">
        <v>26491.0</v>
      </c>
      <c r="G2771" s="6">
        <v>24270.0</v>
      </c>
      <c r="H2771" s="6">
        <v>1.3149</v>
      </c>
      <c r="I2771" s="6">
        <v>1.0915</v>
      </c>
      <c r="J2771" s="6">
        <v>0.2234</v>
      </c>
    </row>
    <row r="2772">
      <c r="A2772" s="1" t="s">
        <v>24</v>
      </c>
      <c r="B2772" s="1" t="s">
        <v>180</v>
      </c>
      <c r="C2772" s="1" t="s">
        <v>48</v>
      </c>
      <c r="D2772" s="6">
        <v>32.0</v>
      </c>
      <c r="E2772" s="6">
        <v>23685.0</v>
      </c>
      <c r="F2772" s="6">
        <v>24768.0</v>
      </c>
      <c r="G2772" s="6">
        <v>24270.0</v>
      </c>
      <c r="H2772" s="6">
        <v>0.9759</v>
      </c>
      <c r="I2772" s="6">
        <v>1.0205</v>
      </c>
      <c r="J2772" s="6">
        <v>-0.0446</v>
      </c>
    </row>
    <row r="2773">
      <c r="A2773" s="1" t="s">
        <v>24</v>
      </c>
      <c r="B2773" s="1" t="s">
        <v>180</v>
      </c>
      <c r="C2773" s="1" t="s">
        <v>48</v>
      </c>
      <c r="D2773" s="6">
        <v>33.0</v>
      </c>
      <c r="E2773" s="6">
        <v>24340.0</v>
      </c>
      <c r="F2773" s="6">
        <v>25956.0</v>
      </c>
      <c r="G2773" s="6">
        <v>24270.0</v>
      </c>
      <c r="H2773" s="6">
        <v>1.0029</v>
      </c>
      <c r="I2773" s="6">
        <v>1.0695</v>
      </c>
      <c r="J2773" s="6">
        <v>-0.0666</v>
      </c>
    </row>
    <row r="2774">
      <c r="A2774" s="1" t="s">
        <v>24</v>
      </c>
      <c r="B2774" s="1" t="s">
        <v>180</v>
      </c>
      <c r="C2774" s="1" t="s">
        <v>50</v>
      </c>
      <c r="D2774" s="6">
        <v>1.0</v>
      </c>
      <c r="E2774" s="6">
        <v>10725.0</v>
      </c>
      <c r="F2774" s="6">
        <v>10865.0</v>
      </c>
      <c r="G2774" s="6">
        <v>24064.0</v>
      </c>
      <c r="H2774" s="6">
        <v>0.4457</v>
      </c>
      <c r="I2774" s="6">
        <v>0.4515</v>
      </c>
      <c r="J2774" s="6">
        <v>-0.0058</v>
      </c>
    </row>
    <row r="2775">
      <c r="A2775" s="1" t="s">
        <v>24</v>
      </c>
      <c r="B2775" s="1" t="s">
        <v>180</v>
      </c>
      <c r="C2775" s="1" t="s">
        <v>50</v>
      </c>
      <c r="D2775" s="6">
        <v>2.0</v>
      </c>
      <c r="E2775" s="6">
        <v>10678.0</v>
      </c>
      <c r="F2775" s="6">
        <v>11302.0</v>
      </c>
      <c r="G2775" s="6">
        <v>24064.0</v>
      </c>
      <c r="H2775" s="6">
        <v>0.4437</v>
      </c>
      <c r="I2775" s="6">
        <v>0.4697</v>
      </c>
      <c r="J2775" s="6">
        <v>-0.0259</v>
      </c>
    </row>
    <row r="2776">
      <c r="A2776" s="1" t="s">
        <v>24</v>
      </c>
      <c r="B2776" s="1" t="s">
        <v>180</v>
      </c>
      <c r="C2776" s="1" t="s">
        <v>50</v>
      </c>
      <c r="D2776" s="6">
        <v>3.0</v>
      </c>
      <c r="E2776" s="6">
        <v>15850.0</v>
      </c>
      <c r="F2776" s="6">
        <v>12281.0</v>
      </c>
      <c r="G2776" s="6">
        <v>24064.0</v>
      </c>
      <c r="H2776" s="6">
        <v>0.6587</v>
      </c>
      <c r="I2776" s="6">
        <v>0.5103</v>
      </c>
      <c r="J2776" s="6">
        <v>0.1483</v>
      </c>
    </row>
    <row r="2777">
      <c r="A2777" s="1" t="s">
        <v>24</v>
      </c>
      <c r="B2777" s="1" t="s">
        <v>180</v>
      </c>
      <c r="C2777" s="1" t="s">
        <v>50</v>
      </c>
      <c r="D2777" s="6">
        <v>4.0</v>
      </c>
      <c r="E2777" s="6">
        <v>11987.0</v>
      </c>
      <c r="F2777" s="6">
        <v>11009.0</v>
      </c>
      <c r="G2777" s="6">
        <v>24064.0</v>
      </c>
      <c r="H2777" s="6">
        <v>0.4981</v>
      </c>
      <c r="I2777" s="6">
        <v>0.4575</v>
      </c>
      <c r="J2777" s="6">
        <v>0.0406</v>
      </c>
    </row>
    <row r="2778">
      <c r="A2778" s="1" t="s">
        <v>24</v>
      </c>
      <c r="B2778" s="1" t="s">
        <v>180</v>
      </c>
      <c r="C2778" s="1" t="s">
        <v>50</v>
      </c>
      <c r="D2778" s="6">
        <v>5.0</v>
      </c>
      <c r="E2778" s="6">
        <v>12701.0</v>
      </c>
      <c r="F2778" s="6">
        <v>11681.0</v>
      </c>
      <c r="G2778" s="6">
        <v>24064.0</v>
      </c>
      <c r="H2778" s="6">
        <v>0.5278</v>
      </c>
      <c r="I2778" s="6">
        <v>0.4854</v>
      </c>
      <c r="J2778" s="6">
        <v>0.0424</v>
      </c>
    </row>
    <row r="2779">
      <c r="A2779" s="1" t="s">
        <v>24</v>
      </c>
      <c r="B2779" s="1" t="s">
        <v>180</v>
      </c>
      <c r="C2779" s="1" t="s">
        <v>50</v>
      </c>
      <c r="D2779" s="6">
        <v>6.0</v>
      </c>
      <c r="E2779" s="6">
        <v>16264.0</v>
      </c>
      <c r="F2779" s="6">
        <v>14539.0</v>
      </c>
      <c r="G2779" s="6">
        <v>24064.0</v>
      </c>
      <c r="H2779" s="6">
        <v>0.6759</v>
      </c>
      <c r="I2779" s="6">
        <v>0.6042</v>
      </c>
      <c r="J2779" s="6">
        <v>0.0717</v>
      </c>
    </row>
    <row r="2780">
      <c r="A2780" s="1" t="s">
        <v>24</v>
      </c>
      <c r="B2780" s="1" t="s">
        <v>180</v>
      </c>
      <c r="C2780" s="1" t="s">
        <v>50</v>
      </c>
      <c r="D2780" s="6">
        <v>7.0</v>
      </c>
      <c r="E2780" s="6">
        <v>10717.0</v>
      </c>
      <c r="F2780" s="6">
        <v>12347.0</v>
      </c>
      <c r="G2780" s="6">
        <v>24064.0</v>
      </c>
      <c r="H2780" s="6">
        <v>0.4454</v>
      </c>
      <c r="I2780" s="6">
        <v>0.5131</v>
      </c>
      <c r="J2780" s="6">
        <v>-0.0677</v>
      </c>
    </row>
    <row r="2781">
      <c r="A2781" s="1" t="s">
        <v>24</v>
      </c>
      <c r="B2781" s="1" t="s">
        <v>180</v>
      </c>
      <c r="C2781" s="1" t="s">
        <v>50</v>
      </c>
      <c r="D2781" s="6">
        <v>8.0</v>
      </c>
      <c r="E2781" s="6">
        <v>12089.0</v>
      </c>
      <c r="F2781" s="6">
        <v>12928.0</v>
      </c>
      <c r="G2781" s="6">
        <v>24064.0</v>
      </c>
      <c r="H2781" s="6">
        <v>0.5024</v>
      </c>
      <c r="I2781" s="6">
        <v>0.5372</v>
      </c>
      <c r="J2781" s="6">
        <v>-0.0349</v>
      </c>
    </row>
    <row r="2782">
      <c r="A2782" s="1" t="s">
        <v>24</v>
      </c>
      <c r="B2782" s="1" t="s">
        <v>180</v>
      </c>
      <c r="C2782" s="1" t="s">
        <v>50</v>
      </c>
      <c r="D2782" s="6">
        <v>9.0</v>
      </c>
      <c r="E2782" s="6">
        <v>10233.0</v>
      </c>
      <c r="F2782" s="6">
        <v>11425.0</v>
      </c>
      <c r="G2782" s="6">
        <v>24064.0</v>
      </c>
      <c r="H2782" s="6">
        <v>0.4252</v>
      </c>
      <c r="I2782" s="6">
        <v>0.4748</v>
      </c>
      <c r="J2782" s="6">
        <v>-0.0495</v>
      </c>
    </row>
    <row r="2783">
      <c r="A2783" s="1" t="s">
        <v>24</v>
      </c>
      <c r="B2783" s="1" t="s">
        <v>180</v>
      </c>
      <c r="C2783" s="1" t="s">
        <v>50</v>
      </c>
      <c r="D2783" s="6">
        <v>10.0</v>
      </c>
      <c r="E2783" s="6">
        <v>17911.0</v>
      </c>
      <c r="F2783" s="6">
        <v>14574.0</v>
      </c>
      <c r="G2783" s="6">
        <v>24064.0</v>
      </c>
      <c r="H2783" s="6">
        <v>0.7443</v>
      </c>
      <c r="I2783" s="6">
        <v>0.6056</v>
      </c>
      <c r="J2783" s="6">
        <v>0.1387</v>
      </c>
    </row>
    <row r="2784">
      <c r="A2784" s="1" t="s">
        <v>24</v>
      </c>
      <c r="B2784" s="1" t="s">
        <v>180</v>
      </c>
      <c r="C2784" s="1" t="s">
        <v>50</v>
      </c>
      <c r="D2784" s="6">
        <v>11.0</v>
      </c>
      <c r="E2784" s="6">
        <v>12487.0</v>
      </c>
      <c r="F2784" s="6">
        <v>12530.0</v>
      </c>
      <c r="G2784" s="6">
        <v>24064.0</v>
      </c>
      <c r="H2784" s="6">
        <v>0.5189</v>
      </c>
      <c r="I2784" s="6">
        <v>0.5207</v>
      </c>
      <c r="J2784" s="6">
        <v>-0.0018</v>
      </c>
    </row>
    <row r="2785">
      <c r="A2785" s="1" t="s">
        <v>24</v>
      </c>
      <c r="B2785" s="1" t="s">
        <v>180</v>
      </c>
      <c r="C2785" s="1" t="s">
        <v>50</v>
      </c>
      <c r="D2785" s="6">
        <v>12.0</v>
      </c>
      <c r="E2785" s="6">
        <v>13468.0</v>
      </c>
      <c r="F2785" s="6">
        <v>13124.0</v>
      </c>
      <c r="G2785" s="6">
        <v>24064.0</v>
      </c>
      <c r="H2785" s="6">
        <v>0.5597</v>
      </c>
      <c r="I2785" s="6">
        <v>0.5454</v>
      </c>
      <c r="J2785" s="6">
        <v>0.0143</v>
      </c>
    </row>
    <row r="2786">
      <c r="A2786" s="1" t="s">
        <v>24</v>
      </c>
      <c r="B2786" s="1" t="s">
        <v>180</v>
      </c>
      <c r="C2786" s="1" t="s">
        <v>50</v>
      </c>
      <c r="D2786" s="6">
        <v>13.0</v>
      </c>
      <c r="E2786" s="6">
        <v>16989.0</v>
      </c>
      <c r="F2786" s="6">
        <v>16281.0</v>
      </c>
      <c r="G2786" s="6">
        <v>24064.0</v>
      </c>
      <c r="H2786" s="6">
        <v>0.706</v>
      </c>
      <c r="I2786" s="6">
        <v>0.6766</v>
      </c>
      <c r="J2786" s="6">
        <v>0.0294</v>
      </c>
    </row>
    <row r="2787">
      <c r="A2787" s="1" t="s">
        <v>24</v>
      </c>
      <c r="B2787" s="1" t="s">
        <v>180</v>
      </c>
      <c r="C2787" s="1" t="s">
        <v>50</v>
      </c>
      <c r="D2787" s="6">
        <v>14.0</v>
      </c>
      <c r="E2787" s="6">
        <v>11067.0</v>
      </c>
      <c r="F2787" s="6">
        <v>13619.0</v>
      </c>
      <c r="G2787" s="6">
        <v>24064.0</v>
      </c>
      <c r="H2787" s="6">
        <v>0.4599</v>
      </c>
      <c r="I2787" s="6">
        <v>0.5659</v>
      </c>
      <c r="J2787" s="6">
        <v>-0.1061</v>
      </c>
    </row>
    <row r="2788">
      <c r="A2788" s="1" t="s">
        <v>24</v>
      </c>
      <c r="B2788" s="1" t="s">
        <v>180</v>
      </c>
      <c r="C2788" s="1" t="s">
        <v>50</v>
      </c>
      <c r="D2788" s="6">
        <v>15.0</v>
      </c>
      <c r="E2788" s="6">
        <v>12172.0</v>
      </c>
      <c r="F2788" s="6">
        <v>13985.0</v>
      </c>
      <c r="G2788" s="6">
        <v>24064.0</v>
      </c>
      <c r="H2788" s="6">
        <v>0.5058</v>
      </c>
      <c r="I2788" s="6">
        <v>0.5812</v>
      </c>
      <c r="J2788" s="6">
        <v>-0.0753</v>
      </c>
    </row>
    <row r="2789">
      <c r="A2789" s="1" t="s">
        <v>24</v>
      </c>
      <c r="B2789" s="1" t="s">
        <v>180</v>
      </c>
      <c r="C2789" s="1" t="s">
        <v>50</v>
      </c>
      <c r="D2789" s="6">
        <v>16.0</v>
      </c>
      <c r="E2789" s="6">
        <v>12166.0</v>
      </c>
      <c r="F2789" s="6">
        <v>13225.0</v>
      </c>
      <c r="G2789" s="6">
        <v>24064.0</v>
      </c>
      <c r="H2789" s="6">
        <v>0.5056</v>
      </c>
      <c r="I2789" s="6">
        <v>0.5496</v>
      </c>
      <c r="J2789" s="6">
        <v>-0.044</v>
      </c>
    </row>
    <row r="2790">
      <c r="A2790" s="1" t="s">
        <v>24</v>
      </c>
      <c r="B2790" s="1" t="s">
        <v>180</v>
      </c>
      <c r="C2790" s="1" t="s">
        <v>50</v>
      </c>
      <c r="D2790" s="6">
        <v>17.0</v>
      </c>
      <c r="E2790" s="6">
        <v>18556.0</v>
      </c>
      <c r="F2790" s="6">
        <v>15318.0</v>
      </c>
      <c r="G2790" s="6">
        <v>24064.0</v>
      </c>
      <c r="H2790" s="6">
        <v>0.7711</v>
      </c>
      <c r="I2790" s="6">
        <v>0.6366</v>
      </c>
      <c r="J2790" s="6">
        <v>0.1346</v>
      </c>
    </row>
    <row r="2791">
      <c r="A2791" s="1" t="s">
        <v>24</v>
      </c>
      <c r="B2791" s="1" t="s">
        <v>180</v>
      </c>
      <c r="C2791" s="1" t="s">
        <v>50</v>
      </c>
      <c r="D2791" s="6">
        <v>18.0</v>
      </c>
      <c r="E2791" s="6">
        <v>14140.0</v>
      </c>
      <c r="F2791" s="6">
        <v>13305.0</v>
      </c>
      <c r="G2791" s="6">
        <v>24064.0</v>
      </c>
      <c r="H2791" s="6">
        <v>0.5876</v>
      </c>
      <c r="I2791" s="6">
        <v>0.5529</v>
      </c>
      <c r="J2791" s="6">
        <v>0.0347</v>
      </c>
    </row>
    <row r="2792">
      <c r="A2792" s="1" t="s">
        <v>24</v>
      </c>
      <c r="B2792" s="1" t="s">
        <v>180</v>
      </c>
      <c r="C2792" s="1" t="s">
        <v>50</v>
      </c>
      <c r="D2792" s="6">
        <v>19.0</v>
      </c>
      <c r="E2792" s="6">
        <v>14377.0</v>
      </c>
      <c r="F2792" s="6">
        <v>14155.0</v>
      </c>
      <c r="G2792" s="6">
        <v>24064.0</v>
      </c>
      <c r="H2792" s="6">
        <v>0.5974</v>
      </c>
      <c r="I2792" s="6">
        <v>0.5882</v>
      </c>
      <c r="J2792" s="6">
        <v>0.0092</v>
      </c>
    </row>
    <row r="2793">
      <c r="A2793" s="1" t="s">
        <v>24</v>
      </c>
      <c r="B2793" s="1" t="s">
        <v>180</v>
      </c>
      <c r="C2793" s="1" t="s">
        <v>50</v>
      </c>
      <c r="D2793" s="6">
        <v>20.0</v>
      </c>
      <c r="E2793" s="6">
        <v>18784.0</v>
      </c>
      <c r="F2793" s="6">
        <v>16989.0</v>
      </c>
      <c r="G2793" s="6">
        <v>24064.0</v>
      </c>
      <c r="H2793" s="6">
        <v>0.7806</v>
      </c>
      <c r="I2793" s="6">
        <v>0.706</v>
      </c>
      <c r="J2793" s="6">
        <v>0.0746</v>
      </c>
    </row>
    <row r="2794">
      <c r="A2794" s="1" t="s">
        <v>24</v>
      </c>
      <c r="B2794" s="1" t="s">
        <v>180</v>
      </c>
      <c r="C2794" s="1" t="s">
        <v>50</v>
      </c>
      <c r="D2794" s="6">
        <v>21.0</v>
      </c>
      <c r="E2794" s="6">
        <v>17587.0</v>
      </c>
      <c r="F2794" s="6">
        <v>14200.0</v>
      </c>
      <c r="G2794" s="6">
        <v>24064.0</v>
      </c>
      <c r="H2794" s="6">
        <v>0.7308</v>
      </c>
      <c r="I2794" s="6">
        <v>0.5901</v>
      </c>
      <c r="J2794" s="6">
        <v>0.1407</v>
      </c>
    </row>
    <row r="2795">
      <c r="A2795" s="1" t="s">
        <v>24</v>
      </c>
      <c r="B2795" s="1" t="s">
        <v>180</v>
      </c>
      <c r="C2795" s="1" t="s">
        <v>50</v>
      </c>
      <c r="D2795" s="6">
        <v>22.0</v>
      </c>
      <c r="E2795" s="6">
        <v>16147.0</v>
      </c>
      <c r="F2795" s="6">
        <v>15461.0</v>
      </c>
      <c r="G2795" s="6">
        <v>24064.0</v>
      </c>
      <c r="H2795" s="6">
        <v>0.671</v>
      </c>
      <c r="I2795" s="6">
        <v>0.6425</v>
      </c>
      <c r="J2795" s="6">
        <v>0.0285</v>
      </c>
    </row>
    <row r="2796">
      <c r="A2796" s="1" t="s">
        <v>24</v>
      </c>
      <c r="B2796" s="1" t="s">
        <v>180</v>
      </c>
      <c r="C2796" s="1" t="s">
        <v>50</v>
      </c>
      <c r="D2796" s="6">
        <v>23.0</v>
      </c>
      <c r="E2796" s="6">
        <v>14406.0</v>
      </c>
      <c r="F2796" s="6">
        <v>15190.0</v>
      </c>
      <c r="G2796" s="6">
        <v>24064.0</v>
      </c>
      <c r="H2796" s="6">
        <v>0.5987</v>
      </c>
      <c r="I2796" s="6">
        <v>0.6312</v>
      </c>
      <c r="J2796" s="6">
        <v>-0.0326</v>
      </c>
    </row>
    <row r="2797">
      <c r="A2797" s="1" t="s">
        <v>24</v>
      </c>
      <c r="B2797" s="1" t="s">
        <v>180</v>
      </c>
      <c r="C2797" s="1" t="s">
        <v>50</v>
      </c>
      <c r="D2797" s="6">
        <v>24.0</v>
      </c>
      <c r="E2797" s="6">
        <v>21789.0</v>
      </c>
      <c r="F2797" s="6">
        <v>17910.0</v>
      </c>
      <c r="G2797" s="6">
        <v>24064.0</v>
      </c>
      <c r="H2797" s="6">
        <v>0.9055</v>
      </c>
      <c r="I2797" s="6">
        <v>0.7443</v>
      </c>
      <c r="J2797" s="6">
        <v>0.1612</v>
      </c>
    </row>
    <row r="2798">
      <c r="A2798" s="1" t="s">
        <v>24</v>
      </c>
      <c r="B2798" s="1" t="s">
        <v>180</v>
      </c>
      <c r="C2798" s="1" t="s">
        <v>50</v>
      </c>
      <c r="D2798" s="6">
        <v>25.0</v>
      </c>
      <c r="E2798" s="6">
        <v>16189.0</v>
      </c>
      <c r="F2798" s="6">
        <v>15467.0</v>
      </c>
      <c r="G2798" s="6">
        <v>24064.0</v>
      </c>
      <c r="H2798" s="6">
        <v>0.6727</v>
      </c>
      <c r="I2798" s="6">
        <v>0.6427</v>
      </c>
      <c r="J2798" s="6">
        <v>0.03</v>
      </c>
    </row>
    <row r="2799">
      <c r="A2799" s="1" t="s">
        <v>24</v>
      </c>
      <c r="B2799" s="1" t="s">
        <v>180</v>
      </c>
      <c r="C2799" s="1" t="s">
        <v>50</v>
      </c>
      <c r="D2799" s="6">
        <v>26.0</v>
      </c>
      <c r="E2799" s="6">
        <v>15868.0</v>
      </c>
      <c r="F2799" s="6">
        <v>15747.0</v>
      </c>
      <c r="G2799" s="6">
        <v>24064.0</v>
      </c>
      <c r="H2799" s="6">
        <v>0.6594</v>
      </c>
      <c r="I2799" s="6">
        <v>0.6544</v>
      </c>
      <c r="J2799" s="6">
        <v>0.005</v>
      </c>
    </row>
    <row r="2800">
      <c r="A2800" s="1" t="s">
        <v>24</v>
      </c>
      <c r="B2800" s="1" t="s">
        <v>180</v>
      </c>
      <c r="C2800" s="1" t="s">
        <v>50</v>
      </c>
      <c r="D2800" s="6">
        <v>27.0</v>
      </c>
      <c r="E2800" s="6">
        <v>19942.0</v>
      </c>
      <c r="F2800" s="6">
        <v>17275.0</v>
      </c>
      <c r="G2800" s="6">
        <v>24064.0</v>
      </c>
      <c r="H2800" s="6">
        <v>0.8287</v>
      </c>
      <c r="I2800" s="6">
        <v>0.7179</v>
      </c>
      <c r="J2800" s="6">
        <v>0.1108</v>
      </c>
    </row>
    <row r="2801">
      <c r="A2801" s="1" t="s">
        <v>24</v>
      </c>
      <c r="B2801" s="1" t="s">
        <v>180</v>
      </c>
      <c r="C2801" s="1" t="s">
        <v>50</v>
      </c>
      <c r="D2801" s="6">
        <v>28.0</v>
      </c>
      <c r="E2801" s="6">
        <v>12420.0</v>
      </c>
      <c r="F2801" s="6">
        <v>14410.0</v>
      </c>
      <c r="G2801" s="6">
        <v>24064.0</v>
      </c>
      <c r="H2801" s="6">
        <v>0.5161</v>
      </c>
      <c r="I2801" s="6">
        <v>0.5988</v>
      </c>
      <c r="J2801" s="6">
        <v>-0.0827</v>
      </c>
    </row>
    <row r="2802">
      <c r="A2802" s="1" t="s">
        <v>24</v>
      </c>
      <c r="B2802" s="1" t="s">
        <v>180</v>
      </c>
      <c r="C2802" s="1" t="s">
        <v>50</v>
      </c>
      <c r="D2802" s="6">
        <v>29.0</v>
      </c>
      <c r="E2802" s="6">
        <v>13268.0</v>
      </c>
      <c r="F2802" s="6">
        <v>14963.0</v>
      </c>
      <c r="G2802" s="6">
        <v>24064.0</v>
      </c>
      <c r="H2802" s="6">
        <v>0.5514</v>
      </c>
      <c r="I2802" s="6">
        <v>0.6218</v>
      </c>
      <c r="J2802" s="6">
        <v>-0.0704</v>
      </c>
    </row>
    <row r="2803">
      <c r="A2803" s="1" t="s">
        <v>24</v>
      </c>
      <c r="B2803" s="1" t="s">
        <v>180</v>
      </c>
      <c r="C2803" s="1" t="s">
        <v>50</v>
      </c>
      <c r="D2803" s="6">
        <v>30.0</v>
      </c>
      <c r="E2803" s="6">
        <v>13201.0</v>
      </c>
      <c r="F2803" s="6">
        <v>13677.0</v>
      </c>
      <c r="G2803" s="6">
        <v>24064.0</v>
      </c>
      <c r="H2803" s="6">
        <v>0.5486</v>
      </c>
      <c r="I2803" s="6">
        <v>0.5684</v>
      </c>
      <c r="J2803" s="6">
        <v>-0.0198</v>
      </c>
    </row>
    <row r="2804">
      <c r="A2804" s="1" t="s">
        <v>24</v>
      </c>
      <c r="B2804" s="1" t="s">
        <v>180</v>
      </c>
      <c r="C2804" s="1" t="s">
        <v>50</v>
      </c>
      <c r="D2804" s="6">
        <v>31.0</v>
      </c>
      <c r="E2804" s="6">
        <v>21950.0</v>
      </c>
      <c r="F2804" s="6">
        <v>16614.0</v>
      </c>
      <c r="G2804" s="6">
        <v>24064.0</v>
      </c>
      <c r="H2804" s="6">
        <v>0.9122</v>
      </c>
      <c r="I2804" s="6">
        <v>0.6904</v>
      </c>
      <c r="J2804" s="6">
        <v>0.2217</v>
      </c>
    </row>
    <row r="2805">
      <c r="A2805" s="1" t="s">
        <v>24</v>
      </c>
      <c r="B2805" s="1" t="s">
        <v>180</v>
      </c>
      <c r="C2805" s="1" t="s">
        <v>50</v>
      </c>
      <c r="D2805" s="6">
        <v>32.0</v>
      </c>
      <c r="E2805" s="6">
        <v>15480.0</v>
      </c>
      <c r="F2805" s="6">
        <v>14717.0</v>
      </c>
      <c r="G2805" s="6">
        <v>24064.0</v>
      </c>
      <c r="H2805" s="6">
        <v>0.6433</v>
      </c>
      <c r="I2805" s="6">
        <v>0.6116</v>
      </c>
      <c r="J2805" s="6">
        <v>0.0317</v>
      </c>
    </row>
    <row r="2806">
      <c r="A2806" s="1" t="s">
        <v>24</v>
      </c>
      <c r="B2806" s="1" t="s">
        <v>180</v>
      </c>
      <c r="C2806" s="1" t="s">
        <v>50</v>
      </c>
      <c r="D2806" s="6">
        <v>33.0</v>
      </c>
      <c r="E2806" s="6">
        <v>15956.0</v>
      </c>
      <c r="F2806" s="6">
        <v>14940.0</v>
      </c>
      <c r="G2806" s="6">
        <v>24064.0</v>
      </c>
      <c r="H2806" s="6">
        <v>0.6631</v>
      </c>
      <c r="I2806" s="6">
        <v>0.6208</v>
      </c>
      <c r="J2806" s="6">
        <v>0.0422</v>
      </c>
    </row>
    <row r="2807">
      <c r="A2807" s="1" t="s">
        <v>24</v>
      </c>
      <c r="B2807" s="1" t="s">
        <v>180</v>
      </c>
      <c r="C2807" s="1" t="s">
        <v>1209</v>
      </c>
      <c r="D2807" s="6">
        <v>1.0</v>
      </c>
      <c r="E2807" s="6">
        <v>17790.0</v>
      </c>
      <c r="F2807" s="6">
        <v>11992.0</v>
      </c>
      <c r="G2807" s="6">
        <v>15178.0</v>
      </c>
      <c r="H2807" s="6">
        <v>1.1721</v>
      </c>
      <c r="I2807" s="6">
        <v>0.7901</v>
      </c>
      <c r="J2807" s="6">
        <v>0.382</v>
      </c>
    </row>
    <row r="2808">
      <c r="A2808" s="1" t="s">
        <v>24</v>
      </c>
      <c r="B2808" s="1" t="s">
        <v>180</v>
      </c>
      <c r="C2808" s="1" t="s">
        <v>1209</v>
      </c>
      <c r="D2808" s="6">
        <v>2.0</v>
      </c>
      <c r="E2808" s="6">
        <v>38785.0</v>
      </c>
      <c r="F2808" s="6">
        <v>26184.0</v>
      </c>
      <c r="G2808" s="6">
        <v>15178.0</v>
      </c>
      <c r="H2808" s="6">
        <v>2.5553</v>
      </c>
      <c r="I2808" s="6">
        <v>1.7251</v>
      </c>
      <c r="J2808" s="6">
        <v>0.8302</v>
      </c>
    </row>
    <row r="2809">
      <c r="A2809" s="1" t="s">
        <v>24</v>
      </c>
      <c r="B2809" s="1" t="s">
        <v>180</v>
      </c>
      <c r="C2809" s="1" t="s">
        <v>1209</v>
      </c>
      <c r="D2809" s="6">
        <v>3.0</v>
      </c>
      <c r="E2809" s="6">
        <v>21295.0</v>
      </c>
      <c r="F2809" s="6">
        <v>12640.0</v>
      </c>
      <c r="G2809" s="6">
        <v>15178.0</v>
      </c>
      <c r="H2809" s="6">
        <v>1.403</v>
      </c>
      <c r="I2809" s="6">
        <v>0.8328</v>
      </c>
      <c r="J2809" s="6">
        <v>0.5702</v>
      </c>
    </row>
    <row r="2810">
      <c r="A2810" s="1" t="s">
        <v>24</v>
      </c>
      <c r="B2810" s="1" t="s">
        <v>180</v>
      </c>
      <c r="C2810" s="1" t="s">
        <v>1209</v>
      </c>
      <c r="D2810" s="6">
        <v>4.0</v>
      </c>
      <c r="E2810" s="6">
        <v>13520.0</v>
      </c>
      <c r="F2810" s="6">
        <v>8141.0</v>
      </c>
      <c r="G2810" s="6">
        <v>15178.0</v>
      </c>
      <c r="H2810" s="6">
        <v>0.8908</v>
      </c>
      <c r="I2810" s="6">
        <v>0.5364</v>
      </c>
      <c r="J2810" s="6">
        <v>0.3544</v>
      </c>
    </row>
    <row r="2811">
      <c r="A2811" s="1" t="s">
        <v>24</v>
      </c>
      <c r="B2811" s="1" t="s">
        <v>180</v>
      </c>
      <c r="C2811" s="1" t="s">
        <v>1209</v>
      </c>
      <c r="D2811" s="6">
        <v>5.0</v>
      </c>
      <c r="E2811" s="6">
        <v>12030.0</v>
      </c>
      <c r="F2811" s="6">
        <v>7487.0</v>
      </c>
      <c r="G2811" s="6">
        <v>15178.0</v>
      </c>
      <c r="H2811" s="6">
        <v>0.7926</v>
      </c>
      <c r="I2811" s="6">
        <v>0.4933</v>
      </c>
      <c r="J2811" s="6">
        <v>0.2993</v>
      </c>
    </row>
    <row r="2812">
      <c r="A2812" s="1" t="s">
        <v>24</v>
      </c>
      <c r="B2812" s="1" t="s">
        <v>180</v>
      </c>
      <c r="C2812" s="1" t="s">
        <v>1209</v>
      </c>
      <c r="D2812" s="6">
        <v>6.0</v>
      </c>
      <c r="E2812" s="6">
        <v>30075.0</v>
      </c>
      <c r="F2812" s="6">
        <v>19884.0</v>
      </c>
      <c r="G2812" s="6">
        <v>15178.0</v>
      </c>
      <c r="H2812" s="6">
        <v>1.9815</v>
      </c>
      <c r="I2812" s="6">
        <v>1.3101</v>
      </c>
      <c r="J2812" s="6">
        <v>0.6714</v>
      </c>
    </row>
    <row r="2813">
      <c r="A2813" s="1" t="s">
        <v>24</v>
      </c>
      <c r="B2813" s="1" t="s">
        <v>180</v>
      </c>
      <c r="C2813" s="1" t="s">
        <v>1209</v>
      </c>
      <c r="D2813" s="6">
        <v>7.0</v>
      </c>
      <c r="E2813" s="6">
        <v>34605.0</v>
      </c>
      <c r="F2813" s="6">
        <v>22089.0</v>
      </c>
      <c r="G2813" s="6">
        <v>15178.0</v>
      </c>
      <c r="H2813" s="6">
        <v>2.2799</v>
      </c>
      <c r="I2813" s="6">
        <v>1.4553</v>
      </c>
      <c r="J2813" s="6">
        <v>0.8246</v>
      </c>
    </row>
    <row r="2814">
      <c r="A2814" s="1" t="s">
        <v>24</v>
      </c>
      <c r="B2814" s="1" t="s">
        <v>180</v>
      </c>
      <c r="C2814" s="1" t="s">
        <v>1209</v>
      </c>
      <c r="D2814" s="6">
        <v>8.0</v>
      </c>
      <c r="E2814" s="6">
        <v>32460.0</v>
      </c>
      <c r="F2814" s="6">
        <v>20255.0</v>
      </c>
      <c r="G2814" s="6">
        <v>15178.0</v>
      </c>
      <c r="H2814" s="6">
        <v>2.1386</v>
      </c>
      <c r="I2814" s="6">
        <v>1.3345</v>
      </c>
      <c r="J2814" s="6">
        <v>0.8041</v>
      </c>
    </row>
    <row r="2815">
      <c r="A2815" s="1" t="s">
        <v>24</v>
      </c>
      <c r="B2815" s="1" t="s">
        <v>180</v>
      </c>
      <c r="C2815" s="1" t="s">
        <v>1209</v>
      </c>
      <c r="D2815" s="6">
        <v>9.0</v>
      </c>
      <c r="E2815" s="6">
        <v>29890.0</v>
      </c>
      <c r="F2815" s="6">
        <v>18126.0</v>
      </c>
      <c r="G2815" s="6">
        <v>15178.0</v>
      </c>
      <c r="H2815" s="6">
        <v>1.9693</v>
      </c>
      <c r="I2815" s="6">
        <v>1.1942</v>
      </c>
      <c r="J2815" s="6">
        <v>0.7751</v>
      </c>
    </row>
    <row r="2816">
      <c r="A2816" s="1" t="s">
        <v>24</v>
      </c>
      <c r="B2816" s="1" t="s">
        <v>180</v>
      </c>
      <c r="C2816" s="1" t="s">
        <v>1209</v>
      </c>
      <c r="D2816" s="6">
        <v>10.0</v>
      </c>
      <c r="E2816" s="6">
        <v>15350.0</v>
      </c>
      <c r="F2816" s="6">
        <v>7972.0</v>
      </c>
      <c r="G2816" s="6">
        <v>15178.0</v>
      </c>
      <c r="H2816" s="6">
        <v>1.0113</v>
      </c>
      <c r="I2816" s="6">
        <v>0.5252</v>
      </c>
      <c r="J2816" s="6">
        <v>0.4861</v>
      </c>
    </row>
    <row r="2817">
      <c r="A2817" s="1" t="s">
        <v>24</v>
      </c>
      <c r="B2817" s="1" t="s">
        <v>180</v>
      </c>
      <c r="C2817" s="1" t="s">
        <v>1209</v>
      </c>
      <c r="D2817" s="6">
        <v>11.0</v>
      </c>
      <c r="E2817" s="6">
        <v>6045.0</v>
      </c>
      <c r="F2817" s="6">
        <v>3281.0</v>
      </c>
      <c r="G2817" s="6">
        <v>15178.0</v>
      </c>
      <c r="H2817" s="6">
        <v>0.3983</v>
      </c>
      <c r="I2817" s="6">
        <v>0.2162</v>
      </c>
      <c r="J2817" s="6">
        <v>0.1821</v>
      </c>
    </row>
    <row r="2818">
      <c r="A2818" s="1" t="s">
        <v>24</v>
      </c>
      <c r="B2818" s="1" t="s">
        <v>180</v>
      </c>
      <c r="C2818" s="1" t="s">
        <v>1209</v>
      </c>
      <c r="D2818" s="6">
        <v>12.0</v>
      </c>
      <c r="E2818" s="6">
        <v>5610.0</v>
      </c>
      <c r="F2818" s="6">
        <v>2972.0</v>
      </c>
      <c r="G2818" s="6">
        <v>15178.0</v>
      </c>
      <c r="H2818" s="6">
        <v>0.3696</v>
      </c>
      <c r="I2818" s="6">
        <v>0.1958</v>
      </c>
      <c r="J2818" s="6">
        <v>0.1738</v>
      </c>
    </row>
    <row r="2819">
      <c r="A2819" s="1" t="s">
        <v>24</v>
      </c>
      <c r="B2819" s="1" t="s">
        <v>180</v>
      </c>
      <c r="C2819" s="1" t="s">
        <v>1209</v>
      </c>
      <c r="D2819" s="6">
        <v>13.0</v>
      </c>
      <c r="E2819" s="6">
        <v>29790.0</v>
      </c>
      <c r="F2819" s="6">
        <v>19892.0</v>
      </c>
      <c r="G2819" s="6">
        <v>15178.0</v>
      </c>
      <c r="H2819" s="6">
        <v>1.9627</v>
      </c>
      <c r="I2819" s="6">
        <v>1.3106</v>
      </c>
      <c r="J2819" s="6">
        <v>0.6521</v>
      </c>
    </row>
    <row r="2820">
      <c r="A2820" s="1" t="s">
        <v>24</v>
      </c>
      <c r="B2820" s="1" t="s">
        <v>180</v>
      </c>
      <c r="C2820" s="1" t="s">
        <v>1209</v>
      </c>
      <c r="D2820" s="6">
        <v>14.0</v>
      </c>
      <c r="E2820" s="6">
        <v>33555.0</v>
      </c>
      <c r="F2820" s="6">
        <v>22117.0</v>
      </c>
      <c r="G2820" s="6">
        <v>15178.0</v>
      </c>
      <c r="H2820" s="6">
        <v>2.2108</v>
      </c>
      <c r="I2820" s="6">
        <v>1.4572</v>
      </c>
      <c r="J2820" s="6">
        <v>0.7536</v>
      </c>
    </row>
    <row r="2821">
      <c r="A2821" s="1" t="s">
        <v>24</v>
      </c>
      <c r="B2821" s="1" t="s">
        <v>180</v>
      </c>
      <c r="C2821" s="1" t="s">
        <v>1209</v>
      </c>
      <c r="D2821" s="6">
        <v>15.0</v>
      </c>
      <c r="E2821" s="6">
        <v>31625.0</v>
      </c>
      <c r="F2821" s="6">
        <v>20001.0</v>
      </c>
      <c r="G2821" s="6">
        <v>15178.0</v>
      </c>
      <c r="H2821" s="6">
        <v>2.0836</v>
      </c>
      <c r="I2821" s="6">
        <v>1.3178</v>
      </c>
      <c r="J2821" s="6">
        <v>0.7658</v>
      </c>
    </row>
    <row r="2822">
      <c r="A2822" s="1" t="s">
        <v>24</v>
      </c>
      <c r="B2822" s="1" t="s">
        <v>180</v>
      </c>
      <c r="C2822" s="1" t="s">
        <v>1209</v>
      </c>
      <c r="D2822" s="6">
        <v>16.0</v>
      </c>
      <c r="E2822" s="6">
        <v>51240.0</v>
      </c>
      <c r="F2822" s="6">
        <v>32477.0</v>
      </c>
      <c r="G2822" s="6">
        <v>15178.0</v>
      </c>
      <c r="H2822" s="6">
        <v>3.3759</v>
      </c>
      <c r="I2822" s="6">
        <v>2.1397</v>
      </c>
      <c r="J2822" s="6">
        <v>1.2362</v>
      </c>
    </row>
    <row r="2823">
      <c r="A2823" s="1" t="s">
        <v>24</v>
      </c>
      <c r="B2823" s="1" t="s">
        <v>180</v>
      </c>
      <c r="C2823" s="1" t="s">
        <v>1209</v>
      </c>
      <c r="D2823" s="6">
        <v>17.0</v>
      </c>
      <c r="E2823" s="6">
        <v>30200.0</v>
      </c>
      <c r="F2823" s="6">
        <v>17836.0</v>
      </c>
      <c r="G2823" s="6">
        <v>15178.0</v>
      </c>
      <c r="H2823" s="6">
        <v>1.9897</v>
      </c>
      <c r="I2823" s="6">
        <v>1.1751</v>
      </c>
      <c r="J2823" s="6">
        <v>0.8146</v>
      </c>
    </row>
    <row r="2824">
      <c r="A2824" s="1" t="s">
        <v>24</v>
      </c>
      <c r="B2824" s="1" t="s">
        <v>180</v>
      </c>
      <c r="C2824" s="1" t="s">
        <v>1209</v>
      </c>
      <c r="D2824" s="6">
        <v>18.0</v>
      </c>
      <c r="E2824" s="6">
        <v>16510.0</v>
      </c>
      <c r="F2824" s="6">
        <v>9774.0</v>
      </c>
      <c r="G2824" s="6">
        <v>15178.0</v>
      </c>
      <c r="H2824" s="6">
        <v>1.0878</v>
      </c>
      <c r="I2824" s="6">
        <v>0.644</v>
      </c>
      <c r="J2824" s="6">
        <v>0.4438</v>
      </c>
    </row>
    <row r="2825">
      <c r="A2825" s="1" t="s">
        <v>24</v>
      </c>
      <c r="B2825" s="1" t="s">
        <v>180</v>
      </c>
      <c r="C2825" s="1" t="s">
        <v>1209</v>
      </c>
      <c r="D2825" s="6">
        <v>19.0</v>
      </c>
      <c r="E2825" s="6">
        <v>13495.0</v>
      </c>
      <c r="F2825" s="6">
        <v>8022.0</v>
      </c>
      <c r="G2825" s="6">
        <v>15178.0</v>
      </c>
      <c r="H2825" s="6">
        <v>0.8891</v>
      </c>
      <c r="I2825" s="6">
        <v>0.5285</v>
      </c>
      <c r="J2825" s="6">
        <v>0.3606</v>
      </c>
    </row>
    <row r="2826">
      <c r="A2826" s="1" t="s">
        <v>24</v>
      </c>
      <c r="B2826" s="1" t="s">
        <v>180</v>
      </c>
      <c r="C2826" s="1" t="s">
        <v>1209</v>
      </c>
      <c r="D2826" s="6">
        <v>20.0</v>
      </c>
      <c r="E2826" s="6">
        <v>31310.0</v>
      </c>
      <c r="F2826" s="6">
        <v>20652.0</v>
      </c>
      <c r="G2826" s="6">
        <v>15178.0</v>
      </c>
      <c r="H2826" s="6">
        <v>2.0629</v>
      </c>
      <c r="I2826" s="6">
        <v>1.3607</v>
      </c>
      <c r="J2826" s="6">
        <v>0.7022</v>
      </c>
    </row>
    <row r="2827">
      <c r="A2827" s="1" t="s">
        <v>24</v>
      </c>
      <c r="B2827" s="1" t="s">
        <v>180</v>
      </c>
      <c r="C2827" s="1" t="s">
        <v>1209</v>
      </c>
      <c r="D2827" s="6">
        <v>21.0</v>
      </c>
      <c r="E2827" s="6">
        <v>41405.0</v>
      </c>
      <c r="F2827" s="6">
        <v>26808.0</v>
      </c>
      <c r="G2827" s="6">
        <v>15178.0</v>
      </c>
      <c r="H2827" s="6">
        <v>2.728</v>
      </c>
      <c r="I2827" s="6">
        <v>1.7662</v>
      </c>
      <c r="J2827" s="6">
        <v>0.9617</v>
      </c>
    </row>
    <row r="2828">
      <c r="A2828" s="1" t="s">
        <v>24</v>
      </c>
      <c r="B2828" s="1" t="s">
        <v>180</v>
      </c>
      <c r="C2828" s="1" t="s">
        <v>1209</v>
      </c>
      <c r="D2828" s="6">
        <v>22.0</v>
      </c>
      <c r="E2828" s="6">
        <v>37525.0</v>
      </c>
      <c r="F2828" s="6">
        <v>23049.0</v>
      </c>
      <c r="G2828" s="6">
        <v>15178.0</v>
      </c>
      <c r="H2828" s="6">
        <v>2.4723</v>
      </c>
      <c r="I2828" s="6">
        <v>1.5186</v>
      </c>
      <c r="J2828" s="6">
        <v>0.9537</v>
      </c>
    </row>
    <row r="2829">
      <c r="A2829" s="1" t="s">
        <v>24</v>
      </c>
      <c r="B2829" s="1" t="s">
        <v>180</v>
      </c>
      <c r="C2829" s="1" t="s">
        <v>1209</v>
      </c>
      <c r="D2829" s="6">
        <v>23.0</v>
      </c>
      <c r="E2829" s="6">
        <v>35830.0</v>
      </c>
      <c r="F2829" s="6">
        <v>21622.0</v>
      </c>
      <c r="G2829" s="6">
        <v>15178.0</v>
      </c>
      <c r="H2829" s="6">
        <v>2.3607</v>
      </c>
      <c r="I2829" s="6">
        <v>1.4246</v>
      </c>
      <c r="J2829" s="6">
        <v>0.9361</v>
      </c>
    </row>
    <row r="2830">
      <c r="A2830" s="1" t="s">
        <v>24</v>
      </c>
      <c r="B2830" s="1" t="s">
        <v>180</v>
      </c>
      <c r="C2830" s="1" t="s">
        <v>1209</v>
      </c>
      <c r="D2830" s="6">
        <v>24.0</v>
      </c>
      <c r="E2830" s="6">
        <v>19335.0</v>
      </c>
      <c r="F2830" s="6">
        <v>9441.0</v>
      </c>
      <c r="G2830" s="6">
        <v>15178.0</v>
      </c>
      <c r="H2830" s="6">
        <v>1.2739</v>
      </c>
      <c r="I2830" s="6">
        <v>0.622</v>
      </c>
      <c r="J2830" s="6">
        <v>0.6519</v>
      </c>
    </row>
    <row r="2831">
      <c r="A2831" s="1" t="s">
        <v>24</v>
      </c>
      <c r="B2831" s="1" t="s">
        <v>180</v>
      </c>
      <c r="C2831" s="1" t="s">
        <v>1209</v>
      </c>
      <c r="D2831" s="6">
        <v>25.0</v>
      </c>
      <c r="E2831" s="6">
        <v>6560.0</v>
      </c>
      <c r="F2831" s="6">
        <v>3313.0</v>
      </c>
      <c r="G2831" s="6">
        <v>15178.0</v>
      </c>
      <c r="H2831" s="6">
        <v>0.4322</v>
      </c>
      <c r="I2831" s="6">
        <v>0.2183</v>
      </c>
      <c r="J2831" s="6">
        <v>0.2139</v>
      </c>
    </row>
    <row r="2832">
      <c r="A2832" s="1" t="s">
        <v>24</v>
      </c>
      <c r="B2832" s="1" t="s">
        <v>180</v>
      </c>
      <c r="C2832" s="1" t="s">
        <v>1209</v>
      </c>
      <c r="D2832" s="6">
        <v>26.0</v>
      </c>
      <c r="E2832" s="6">
        <v>5720.0</v>
      </c>
      <c r="F2832" s="6">
        <v>2888.0</v>
      </c>
      <c r="G2832" s="6">
        <v>15178.0</v>
      </c>
      <c r="H2832" s="6">
        <v>0.3769</v>
      </c>
      <c r="I2832" s="6">
        <v>0.1903</v>
      </c>
      <c r="J2832" s="6">
        <v>0.1866</v>
      </c>
    </row>
    <row r="2833">
      <c r="A2833" s="1" t="s">
        <v>24</v>
      </c>
      <c r="B2833" s="1" t="s">
        <v>180</v>
      </c>
      <c r="C2833" s="1" t="s">
        <v>1209</v>
      </c>
      <c r="D2833" s="6">
        <v>27.0</v>
      </c>
      <c r="E2833" s="6">
        <v>8530.0</v>
      </c>
      <c r="F2833" s="6">
        <v>5261.0</v>
      </c>
      <c r="G2833" s="6">
        <v>15178.0</v>
      </c>
      <c r="H2833" s="6">
        <v>0.562</v>
      </c>
      <c r="I2833" s="6">
        <v>0.3466</v>
      </c>
      <c r="J2833" s="6">
        <v>0.2154</v>
      </c>
    </row>
    <row r="2834">
      <c r="A2834" s="1" t="s">
        <v>24</v>
      </c>
      <c r="B2834" s="1" t="s">
        <v>180</v>
      </c>
      <c r="C2834" s="1" t="s">
        <v>1209</v>
      </c>
      <c r="D2834" s="6">
        <v>28.0</v>
      </c>
      <c r="E2834" s="6">
        <v>16535.0</v>
      </c>
      <c r="F2834" s="6">
        <v>10322.0</v>
      </c>
      <c r="G2834" s="6">
        <v>15178.0</v>
      </c>
      <c r="H2834" s="6">
        <v>1.0894</v>
      </c>
      <c r="I2834" s="6">
        <v>0.6801</v>
      </c>
      <c r="J2834" s="6">
        <v>0.4093</v>
      </c>
    </row>
    <row r="2835">
      <c r="A2835" s="1" t="s">
        <v>24</v>
      </c>
      <c r="B2835" s="1" t="s">
        <v>180</v>
      </c>
      <c r="C2835" s="1" t="s">
        <v>1209</v>
      </c>
      <c r="D2835" s="6">
        <v>29.0</v>
      </c>
      <c r="E2835" s="6">
        <v>20125.0</v>
      </c>
      <c r="F2835" s="6">
        <v>13297.0</v>
      </c>
      <c r="G2835" s="6">
        <v>15178.0</v>
      </c>
      <c r="H2835" s="6">
        <v>1.3259</v>
      </c>
      <c r="I2835" s="6">
        <v>0.8761</v>
      </c>
      <c r="J2835" s="6">
        <v>0.4499</v>
      </c>
    </row>
    <row r="2836">
      <c r="A2836" s="1" t="s">
        <v>24</v>
      </c>
      <c r="B2836" s="1" t="s">
        <v>180</v>
      </c>
      <c r="C2836" s="1" t="s">
        <v>1209</v>
      </c>
      <c r="D2836" s="6">
        <v>30.0</v>
      </c>
      <c r="E2836" s="6">
        <v>43655.0</v>
      </c>
      <c r="F2836" s="6">
        <v>28619.0</v>
      </c>
      <c r="G2836" s="6">
        <v>15178.0</v>
      </c>
      <c r="H2836" s="6">
        <v>2.8762</v>
      </c>
      <c r="I2836" s="6">
        <v>1.8856</v>
      </c>
      <c r="J2836" s="6">
        <v>0.9906</v>
      </c>
    </row>
    <row r="2837">
      <c r="A2837" s="1" t="s">
        <v>24</v>
      </c>
      <c r="B2837" s="1" t="s">
        <v>180</v>
      </c>
      <c r="C2837" s="1" t="s">
        <v>1209</v>
      </c>
      <c r="D2837" s="6">
        <v>31.0</v>
      </c>
      <c r="E2837" s="6">
        <v>26855.0</v>
      </c>
      <c r="F2837" s="6">
        <v>16139.0</v>
      </c>
      <c r="G2837" s="6">
        <v>15178.0</v>
      </c>
      <c r="H2837" s="6">
        <v>1.7693</v>
      </c>
      <c r="I2837" s="6">
        <v>1.0633</v>
      </c>
      <c r="J2837" s="6">
        <v>0.706</v>
      </c>
    </row>
    <row r="2838">
      <c r="A2838" s="1" t="s">
        <v>24</v>
      </c>
      <c r="B2838" s="1" t="s">
        <v>180</v>
      </c>
      <c r="C2838" s="1" t="s">
        <v>1209</v>
      </c>
      <c r="D2838" s="6">
        <v>32.0</v>
      </c>
      <c r="E2838" s="6">
        <v>16755.0</v>
      </c>
      <c r="F2838" s="6">
        <v>9803.0</v>
      </c>
      <c r="G2838" s="6">
        <v>15178.0</v>
      </c>
      <c r="H2838" s="6">
        <v>1.1039</v>
      </c>
      <c r="I2838" s="6">
        <v>0.6459</v>
      </c>
      <c r="J2838" s="6">
        <v>0.458</v>
      </c>
    </row>
    <row r="2839">
      <c r="A2839" s="1" t="s">
        <v>24</v>
      </c>
      <c r="B2839" s="1" t="s">
        <v>180</v>
      </c>
      <c r="C2839" s="1" t="s">
        <v>1209</v>
      </c>
      <c r="D2839" s="6">
        <v>33.0</v>
      </c>
      <c r="E2839" s="6">
        <v>14965.0</v>
      </c>
      <c r="F2839" s="6">
        <v>8760.0</v>
      </c>
      <c r="G2839" s="6">
        <v>15178.0</v>
      </c>
      <c r="H2839" s="6">
        <v>0.986</v>
      </c>
      <c r="I2839" s="6">
        <v>0.5772</v>
      </c>
      <c r="J2839" s="6">
        <v>0.4088</v>
      </c>
    </row>
    <row r="2840">
      <c r="A2840" s="1" t="s">
        <v>24</v>
      </c>
      <c r="B2840" s="1" t="s">
        <v>180</v>
      </c>
      <c r="C2840" s="1" t="s">
        <v>1210</v>
      </c>
      <c r="D2840" s="6">
        <v>1.0</v>
      </c>
      <c r="E2840" s="6">
        <v>29455.0</v>
      </c>
      <c r="F2840" s="6">
        <v>17114.0</v>
      </c>
      <c r="G2840" s="6">
        <v>21289.0</v>
      </c>
      <c r="H2840" s="6">
        <v>1.3836</v>
      </c>
      <c r="I2840" s="6">
        <v>0.8039</v>
      </c>
      <c r="J2840" s="6">
        <v>0.5797</v>
      </c>
    </row>
    <row r="2841">
      <c r="A2841" s="1" t="s">
        <v>24</v>
      </c>
      <c r="B2841" s="1" t="s">
        <v>180</v>
      </c>
      <c r="C2841" s="1" t="s">
        <v>1210</v>
      </c>
      <c r="D2841" s="6">
        <v>2.0</v>
      </c>
      <c r="E2841" s="6">
        <v>44350.0</v>
      </c>
      <c r="F2841" s="6">
        <v>27601.0</v>
      </c>
      <c r="G2841" s="6">
        <v>21289.0</v>
      </c>
      <c r="H2841" s="6">
        <v>2.0832</v>
      </c>
      <c r="I2841" s="6">
        <v>1.2965</v>
      </c>
      <c r="J2841" s="6">
        <v>0.7867</v>
      </c>
    </row>
    <row r="2842">
      <c r="A2842" s="1" t="s">
        <v>24</v>
      </c>
      <c r="B2842" s="1" t="s">
        <v>180</v>
      </c>
      <c r="C2842" s="1" t="s">
        <v>1210</v>
      </c>
      <c r="D2842" s="6">
        <v>3.0</v>
      </c>
      <c r="E2842" s="6">
        <v>40400.0</v>
      </c>
      <c r="F2842" s="6">
        <v>22254.0</v>
      </c>
      <c r="G2842" s="6">
        <v>21289.0</v>
      </c>
      <c r="H2842" s="6">
        <v>1.8977</v>
      </c>
      <c r="I2842" s="6">
        <v>1.0453</v>
      </c>
      <c r="J2842" s="6">
        <v>0.8524</v>
      </c>
    </row>
    <row r="2843">
      <c r="A2843" s="1" t="s">
        <v>24</v>
      </c>
      <c r="B2843" s="1" t="s">
        <v>180</v>
      </c>
      <c r="C2843" s="1" t="s">
        <v>1210</v>
      </c>
      <c r="D2843" s="6">
        <v>4.0</v>
      </c>
      <c r="E2843" s="6">
        <v>46145.0</v>
      </c>
      <c r="F2843" s="6">
        <v>25231.0</v>
      </c>
      <c r="G2843" s="6">
        <v>21289.0</v>
      </c>
      <c r="H2843" s="6">
        <v>2.1676</v>
      </c>
      <c r="I2843" s="6">
        <v>1.1852</v>
      </c>
      <c r="J2843" s="6">
        <v>0.9824</v>
      </c>
    </row>
    <row r="2844">
      <c r="A2844" s="1" t="s">
        <v>24</v>
      </c>
      <c r="B2844" s="1" t="s">
        <v>180</v>
      </c>
      <c r="C2844" s="1" t="s">
        <v>1210</v>
      </c>
      <c r="D2844" s="6">
        <v>5.0</v>
      </c>
      <c r="E2844" s="6">
        <v>46295.0</v>
      </c>
      <c r="F2844" s="6">
        <v>25576.0</v>
      </c>
      <c r="G2844" s="6">
        <v>21289.0</v>
      </c>
      <c r="H2844" s="6">
        <v>2.1746</v>
      </c>
      <c r="I2844" s="6">
        <v>1.2014</v>
      </c>
      <c r="J2844" s="6">
        <v>0.9732</v>
      </c>
    </row>
    <row r="2845">
      <c r="A2845" s="1" t="s">
        <v>24</v>
      </c>
      <c r="B2845" s="1" t="s">
        <v>180</v>
      </c>
      <c r="C2845" s="1" t="s">
        <v>1210</v>
      </c>
      <c r="D2845" s="6">
        <v>6.0</v>
      </c>
      <c r="E2845" s="6">
        <v>84245.0</v>
      </c>
      <c r="F2845" s="6">
        <v>49376.0</v>
      </c>
      <c r="G2845" s="6">
        <v>21289.0</v>
      </c>
      <c r="H2845" s="6">
        <v>3.9572</v>
      </c>
      <c r="I2845" s="6">
        <v>2.3193</v>
      </c>
      <c r="J2845" s="6">
        <v>1.6379</v>
      </c>
    </row>
    <row r="2846">
      <c r="A2846" s="1" t="s">
        <v>24</v>
      </c>
      <c r="B2846" s="1" t="s">
        <v>180</v>
      </c>
      <c r="C2846" s="1" t="s">
        <v>1210</v>
      </c>
      <c r="D2846" s="6">
        <v>7.0</v>
      </c>
      <c r="E2846" s="6">
        <v>58390.0</v>
      </c>
      <c r="F2846" s="6">
        <v>33304.0</v>
      </c>
      <c r="G2846" s="6">
        <v>21289.0</v>
      </c>
      <c r="H2846" s="6">
        <v>2.7427</v>
      </c>
      <c r="I2846" s="6">
        <v>1.5644</v>
      </c>
      <c r="J2846" s="6">
        <v>1.1784</v>
      </c>
    </row>
    <row r="2847">
      <c r="A2847" s="1" t="s">
        <v>24</v>
      </c>
      <c r="B2847" s="1" t="s">
        <v>180</v>
      </c>
      <c r="C2847" s="1" t="s">
        <v>1210</v>
      </c>
      <c r="D2847" s="6">
        <v>8.0</v>
      </c>
      <c r="E2847" s="6">
        <v>57440.0</v>
      </c>
      <c r="F2847" s="6">
        <v>31813.0</v>
      </c>
      <c r="G2847" s="6">
        <v>21289.0</v>
      </c>
      <c r="H2847" s="6">
        <v>2.6981</v>
      </c>
      <c r="I2847" s="6">
        <v>1.4943</v>
      </c>
      <c r="J2847" s="6">
        <v>1.2038</v>
      </c>
    </row>
    <row r="2848">
      <c r="A2848" s="1" t="s">
        <v>24</v>
      </c>
      <c r="B2848" s="1" t="s">
        <v>180</v>
      </c>
      <c r="C2848" s="1" t="s">
        <v>1210</v>
      </c>
      <c r="D2848" s="6">
        <v>9.0</v>
      </c>
      <c r="E2848" s="6">
        <v>38240.0</v>
      </c>
      <c r="F2848" s="6">
        <v>21225.0</v>
      </c>
      <c r="G2848" s="6">
        <v>21289.0</v>
      </c>
      <c r="H2848" s="6">
        <v>1.7962</v>
      </c>
      <c r="I2848" s="6">
        <v>0.997</v>
      </c>
      <c r="J2848" s="6">
        <v>0.7992</v>
      </c>
    </row>
    <row r="2849">
      <c r="A2849" s="1" t="s">
        <v>24</v>
      </c>
      <c r="B2849" s="1" t="s">
        <v>180</v>
      </c>
      <c r="C2849" s="1" t="s">
        <v>1210</v>
      </c>
      <c r="D2849" s="6">
        <v>10.0</v>
      </c>
      <c r="E2849" s="6">
        <v>37730.0</v>
      </c>
      <c r="F2849" s="6">
        <v>17750.0</v>
      </c>
      <c r="G2849" s="6">
        <v>21289.0</v>
      </c>
      <c r="H2849" s="6">
        <v>1.7723</v>
      </c>
      <c r="I2849" s="6">
        <v>0.8338</v>
      </c>
      <c r="J2849" s="6">
        <v>0.9385</v>
      </c>
    </row>
    <row r="2850">
      <c r="A2850" s="1" t="s">
        <v>24</v>
      </c>
      <c r="B2850" s="1" t="s">
        <v>180</v>
      </c>
      <c r="C2850" s="1" t="s">
        <v>1210</v>
      </c>
      <c r="D2850" s="6">
        <v>11.0</v>
      </c>
      <c r="E2850" s="6">
        <v>32185.0</v>
      </c>
      <c r="F2850" s="6">
        <v>17025.0</v>
      </c>
      <c r="G2850" s="6">
        <v>21289.0</v>
      </c>
      <c r="H2850" s="6">
        <v>1.5118</v>
      </c>
      <c r="I2850" s="6">
        <v>0.7997</v>
      </c>
      <c r="J2850" s="6">
        <v>0.7121</v>
      </c>
    </row>
    <row r="2851">
      <c r="A2851" s="1" t="s">
        <v>24</v>
      </c>
      <c r="B2851" s="1" t="s">
        <v>180</v>
      </c>
      <c r="C2851" s="1" t="s">
        <v>1210</v>
      </c>
      <c r="D2851" s="6">
        <v>12.0</v>
      </c>
      <c r="E2851" s="6">
        <v>33335.0</v>
      </c>
      <c r="F2851" s="6">
        <v>17690.0</v>
      </c>
      <c r="G2851" s="6">
        <v>21289.0</v>
      </c>
      <c r="H2851" s="6">
        <v>1.5658</v>
      </c>
      <c r="I2851" s="6">
        <v>0.8309</v>
      </c>
      <c r="J2851" s="6">
        <v>0.7349</v>
      </c>
    </row>
    <row r="2852">
      <c r="A2852" s="1" t="s">
        <v>24</v>
      </c>
      <c r="B2852" s="1" t="s">
        <v>180</v>
      </c>
      <c r="C2852" s="1" t="s">
        <v>1210</v>
      </c>
      <c r="D2852" s="6">
        <v>13.0</v>
      </c>
      <c r="E2852" s="6">
        <v>69870.0</v>
      </c>
      <c r="F2852" s="6">
        <v>40410.0</v>
      </c>
      <c r="G2852" s="6">
        <v>21289.0</v>
      </c>
      <c r="H2852" s="6">
        <v>3.282</v>
      </c>
      <c r="I2852" s="6">
        <v>1.8982</v>
      </c>
      <c r="J2852" s="6">
        <v>1.3838</v>
      </c>
    </row>
    <row r="2853">
      <c r="A2853" s="1" t="s">
        <v>24</v>
      </c>
      <c r="B2853" s="1" t="s">
        <v>180</v>
      </c>
      <c r="C2853" s="1" t="s">
        <v>1210</v>
      </c>
      <c r="D2853" s="6">
        <v>14.0</v>
      </c>
      <c r="E2853" s="6">
        <v>44705.0</v>
      </c>
      <c r="F2853" s="6">
        <v>25454.0</v>
      </c>
      <c r="G2853" s="6">
        <v>21289.0</v>
      </c>
      <c r="H2853" s="6">
        <v>2.0999</v>
      </c>
      <c r="I2853" s="6">
        <v>1.1956</v>
      </c>
      <c r="J2853" s="6">
        <v>0.9043</v>
      </c>
    </row>
    <row r="2854">
      <c r="A2854" s="1" t="s">
        <v>24</v>
      </c>
      <c r="B2854" s="1" t="s">
        <v>180</v>
      </c>
      <c r="C2854" s="1" t="s">
        <v>1210</v>
      </c>
      <c r="D2854" s="6">
        <v>15.0</v>
      </c>
      <c r="E2854" s="6">
        <v>41590.0</v>
      </c>
      <c r="F2854" s="6">
        <v>22752.0</v>
      </c>
      <c r="G2854" s="6">
        <v>21289.0</v>
      </c>
      <c r="H2854" s="6">
        <v>1.9536</v>
      </c>
      <c r="I2854" s="6">
        <v>1.0687</v>
      </c>
      <c r="J2854" s="6">
        <v>0.8849</v>
      </c>
    </row>
    <row r="2855">
      <c r="A2855" s="1" t="s">
        <v>24</v>
      </c>
      <c r="B2855" s="1" t="s">
        <v>180</v>
      </c>
      <c r="C2855" s="1" t="s">
        <v>1210</v>
      </c>
      <c r="D2855" s="6">
        <v>16.0</v>
      </c>
      <c r="E2855" s="6">
        <v>58735.0</v>
      </c>
      <c r="F2855" s="6">
        <v>33601.0</v>
      </c>
      <c r="G2855" s="6">
        <v>21289.0</v>
      </c>
      <c r="H2855" s="6">
        <v>2.7589</v>
      </c>
      <c r="I2855" s="6">
        <v>1.5783</v>
      </c>
      <c r="J2855" s="6">
        <v>1.1806</v>
      </c>
    </row>
    <row r="2856">
      <c r="A2856" s="1" t="s">
        <v>24</v>
      </c>
      <c r="B2856" s="1" t="s">
        <v>180</v>
      </c>
      <c r="C2856" s="1" t="s">
        <v>1210</v>
      </c>
      <c r="D2856" s="6">
        <v>17.0</v>
      </c>
      <c r="E2856" s="6">
        <v>48320.0</v>
      </c>
      <c r="F2856" s="6">
        <v>26731.0</v>
      </c>
      <c r="G2856" s="6">
        <v>21289.0</v>
      </c>
      <c r="H2856" s="6">
        <v>2.2697</v>
      </c>
      <c r="I2856" s="6">
        <v>1.2556</v>
      </c>
      <c r="J2856" s="6">
        <v>1.0141</v>
      </c>
    </row>
    <row r="2857">
      <c r="A2857" s="1" t="s">
        <v>24</v>
      </c>
      <c r="B2857" s="1" t="s">
        <v>180</v>
      </c>
      <c r="C2857" s="1" t="s">
        <v>1210</v>
      </c>
      <c r="D2857" s="6">
        <v>18.0</v>
      </c>
      <c r="E2857" s="6">
        <v>50025.0</v>
      </c>
      <c r="F2857" s="6">
        <v>27392.0</v>
      </c>
      <c r="G2857" s="6">
        <v>21289.0</v>
      </c>
      <c r="H2857" s="6">
        <v>2.3498</v>
      </c>
      <c r="I2857" s="6">
        <v>1.2867</v>
      </c>
      <c r="J2857" s="6">
        <v>1.0631</v>
      </c>
    </row>
    <row r="2858">
      <c r="A2858" s="1" t="s">
        <v>24</v>
      </c>
      <c r="B2858" s="1" t="s">
        <v>180</v>
      </c>
      <c r="C2858" s="1" t="s">
        <v>1210</v>
      </c>
      <c r="D2858" s="6">
        <v>19.0</v>
      </c>
      <c r="E2858" s="6">
        <v>48875.0</v>
      </c>
      <c r="F2858" s="6">
        <v>27086.0</v>
      </c>
      <c r="G2858" s="6">
        <v>21289.0</v>
      </c>
      <c r="H2858" s="6">
        <v>2.2958</v>
      </c>
      <c r="I2858" s="6">
        <v>1.2723</v>
      </c>
      <c r="J2858" s="6">
        <v>1.0235</v>
      </c>
    </row>
    <row r="2859">
      <c r="A2859" s="1" t="s">
        <v>24</v>
      </c>
      <c r="B2859" s="1" t="s">
        <v>180</v>
      </c>
      <c r="C2859" s="1" t="s">
        <v>1210</v>
      </c>
      <c r="D2859" s="6">
        <v>20.0</v>
      </c>
      <c r="E2859" s="6">
        <v>91155.0</v>
      </c>
      <c r="F2859" s="6">
        <v>53054.0</v>
      </c>
      <c r="G2859" s="6">
        <v>21289.0</v>
      </c>
      <c r="H2859" s="6">
        <v>4.2818</v>
      </c>
      <c r="I2859" s="6">
        <v>2.4921</v>
      </c>
      <c r="J2859" s="6">
        <v>1.7897</v>
      </c>
    </row>
    <row r="2860">
      <c r="A2860" s="1" t="s">
        <v>24</v>
      </c>
      <c r="B2860" s="1" t="s">
        <v>180</v>
      </c>
      <c r="C2860" s="1" t="s">
        <v>1210</v>
      </c>
      <c r="D2860" s="6">
        <v>21.0</v>
      </c>
      <c r="E2860" s="6">
        <v>158070.0</v>
      </c>
      <c r="F2860" s="6">
        <v>80289.0</v>
      </c>
      <c r="G2860" s="6">
        <v>21289.0</v>
      </c>
      <c r="H2860" s="6">
        <v>7.425</v>
      </c>
      <c r="I2860" s="6">
        <v>3.7714</v>
      </c>
      <c r="J2860" s="6">
        <v>3.6536</v>
      </c>
    </row>
    <row r="2861">
      <c r="A2861" s="1" t="s">
        <v>24</v>
      </c>
      <c r="B2861" s="1" t="s">
        <v>180</v>
      </c>
      <c r="C2861" s="1" t="s">
        <v>1210</v>
      </c>
      <c r="D2861" s="6">
        <v>22.0</v>
      </c>
      <c r="E2861" s="6">
        <v>94355.0</v>
      </c>
      <c r="F2861" s="6">
        <v>51150.0</v>
      </c>
      <c r="G2861" s="6">
        <v>21289.0</v>
      </c>
      <c r="H2861" s="6">
        <v>4.4321</v>
      </c>
      <c r="I2861" s="6">
        <v>2.4026</v>
      </c>
      <c r="J2861" s="6">
        <v>2.0295</v>
      </c>
    </row>
    <row r="2862">
      <c r="A2862" s="1" t="s">
        <v>24</v>
      </c>
      <c r="B2862" s="1" t="s">
        <v>180</v>
      </c>
      <c r="C2862" s="1" t="s">
        <v>1210</v>
      </c>
      <c r="D2862" s="6">
        <v>23.0</v>
      </c>
      <c r="E2862" s="6">
        <v>58520.0</v>
      </c>
      <c r="F2862" s="6">
        <v>31362.0</v>
      </c>
      <c r="G2862" s="6">
        <v>21289.0</v>
      </c>
      <c r="H2862" s="6">
        <v>2.7488</v>
      </c>
      <c r="I2862" s="6">
        <v>1.4732</v>
      </c>
      <c r="J2862" s="6">
        <v>1.2757</v>
      </c>
    </row>
    <row r="2863">
      <c r="A2863" s="1" t="s">
        <v>24</v>
      </c>
      <c r="B2863" s="1" t="s">
        <v>180</v>
      </c>
      <c r="C2863" s="1" t="s">
        <v>1210</v>
      </c>
      <c r="D2863" s="6">
        <v>24.0</v>
      </c>
      <c r="E2863" s="6">
        <v>57385.0</v>
      </c>
      <c r="F2863" s="6">
        <v>26594.0</v>
      </c>
      <c r="G2863" s="6">
        <v>21289.0</v>
      </c>
      <c r="H2863" s="6">
        <v>2.6955</v>
      </c>
      <c r="I2863" s="6">
        <v>1.2492</v>
      </c>
      <c r="J2863" s="6">
        <v>1.4463</v>
      </c>
    </row>
    <row r="2864">
      <c r="A2864" s="1" t="s">
        <v>24</v>
      </c>
      <c r="B2864" s="1" t="s">
        <v>180</v>
      </c>
      <c r="C2864" s="1" t="s">
        <v>1210</v>
      </c>
      <c r="D2864" s="6">
        <v>25.0</v>
      </c>
      <c r="E2864" s="6">
        <v>47670.0</v>
      </c>
      <c r="F2864" s="6">
        <v>24560.0</v>
      </c>
      <c r="G2864" s="6">
        <v>21289.0</v>
      </c>
      <c r="H2864" s="6">
        <v>2.2392</v>
      </c>
      <c r="I2864" s="6">
        <v>1.1536</v>
      </c>
      <c r="J2864" s="6">
        <v>1.0855</v>
      </c>
    </row>
    <row r="2865">
      <c r="A2865" s="1" t="s">
        <v>24</v>
      </c>
      <c r="B2865" s="1" t="s">
        <v>180</v>
      </c>
      <c r="C2865" s="1" t="s">
        <v>1210</v>
      </c>
      <c r="D2865" s="6">
        <v>26.0</v>
      </c>
      <c r="E2865" s="6">
        <v>41365.0</v>
      </c>
      <c r="F2865" s="6">
        <v>21972.0</v>
      </c>
      <c r="G2865" s="6">
        <v>21289.0</v>
      </c>
      <c r="H2865" s="6">
        <v>1.943</v>
      </c>
      <c r="I2865" s="6">
        <v>1.0321</v>
      </c>
      <c r="J2865" s="6">
        <v>0.9109</v>
      </c>
    </row>
    <row r="2866">
      <c r="A2866" s="1" t="s">
        <v>24</v>
      </c>
      <c r="B2866" s="1" t="s">
        <v>180</v>
      </c>
      <c r="C2866" s="1" t="s">
        <v>1210</v>
      </c>
      <c r="D2866" s="6">
        <v>27.0</v>
      </c>
      <c r="E2866" s="6">
        <v>44455.0</v>
      </c>
      <c r="F2866" s="6">
        <v>23761.0</v>
      </c>
      <c r="G2866" s="6">
        <v>21289.0</v>
      </c>
      <c r="H2866" s="6">
        <v>2.0882</v>
      </c>
      <c r="I2866" s="6">
        <v>1.1161</v>
      </c>
      <c r="J2866" s="6">
        <v>0.9721</v>
      </c>
    </row>
    <row r="2867">
      <c r="A2867" s="1" t="s">
        <v>24</v>
      </c>
      <c r="B2867" s="1" t="s">
        <v>180</v>
      </c>
      <c r="C2867" s="1" t="s">
        <v>1210</v>
      </c>
      <c r="D2867" s="6">
        <v>28.0</v>
      </c>
      <c r="E2867" s="6">
        <v>42045.0</v>
      </c>
      <c r="F2867" s="6">
        <v>22096.0</v>
      </c>
      <c r="G2867" s="6">
        <v>21289.0</v>
      </c>
      <c r="H2867" s="6">
        <v>1.975</v>
      </c>
      <c r="I2867" s="6">
        <v>1.0379</v>
      </c>
      <c r="J2867" s="6">
        <v>0.9371</v>
      </c>
    </row>
    <row r="2868">
      <c r="A2868" s="1" t="s">
        <v>24</v>
      </c>
      <c r="B2868" s="1" t="s">
        <v>180</v>
      </c>
      <c r="C2868" s="1" t="s">
        <v>1210</v>
      </c>
      <c r="D2868" s="6">
        <v>29.0</v>
      </c>
      <c r="E2868" s="6">
        <v>36245.0</v>
      </c>
      <c r="F2868" s="6">
        <v>19865.0</v>
      </c>
      <c r="G2868" s="6">
        <v>21289.0</v>
      </c>
      <c r="H2868" s="6">
        <v>1.7025</v>
      </c>
      <c r="I2868" s="6">
        <v>0.9331</v>
      </c>
      <c r="J2868" s="6">
        <v>0.7694</v>
      </c>
    </row>
    <row r="2869">
      <c r="A2869" s="1" t="s">
        <v>24</v>
      </c>
      <c r="B2869" s="1" t="s">
        <v>180</v>
      </c>
      <c r="C2869" s="1" t="s">
        <v>1210</v>
      </c>
      <c r="D2869" s="6">
        <v>30.0</v>
      </c>
      <c r="E2869" s="6">
        <v>56455.0</v>
      </c>
      <c r="F2869" s="6">
        <v>33046.0</v>
      </c>
      <c r="G2869" s="6">
        <v>21289.0</v>
      </c>
      <c r="H2869" s="6">
        <v>2.6518</v>
      </c>
      <c r="I2869" s="6">
        <v>1.5523</v>
      </c>
      <c r="J2869" s="6">
        <v>1.0996</v>
      </c>
    </row>
    <row r="2870">
      <c r="A2870" s="1" t="s">
        <v>24</v>
      </c>
      <c r="B2870" s="1" t="s">
        <v>180</v>
      </c>
      <c r="C2870" s="1" t="s">
        <v>1210</v>
      </c>
      <c r="D2870" s="6">
        <v>31.0</v>
      </c>
      <c r="E2870" s="6">
        <v>48035.0</v>
      </c>
      <c r="F2870" s="6">
        <v>25726.0</v>
      </c>
      <c r="G2870" s="6">
        <v>21289.0</v>
      </c>
      <c r="H2870" s="6">
        <v>2.2563</v>
      </c>
      <c r="I2870" s="6">
        <v>1.2084</v>
      </c>
      <c r="J2870" s="6">
        <v>1.0479</v>
      </c>
    </row>
    <row r="2871">
      <c r="A2871" s="1" t="s">
        <v>24</v>
      </c>
      <c r="B2871" s="1" t="s">
        <v>180</v>
      </c>
      <c r="C2871" s="1" t="s">
        <v>1210</v>
      </c>
      <c r="D2871" s="6">
        <v>32.0</v>
      </c>
      <c r="E2871" s="6">
        <v>53790.0</v>
      </c>
      <c r="F2871" s="6">
        <v>28634.0</v>
      </c>
      <c r="G2871" s="6">
        <v>21289.0</v>
      </c>
      <c r="H2871" s="6">
        <v>2.5267</v>
      </c>
      <c r="I2871" s="6">
        <v>1.345</v>
      </c>
      <c r="J2871" s="6">
        <v>1.1816</v>
      </c>
    </row>
    <row r="2872">
      <c r="A2872" s="1" t="s">
        <v>24</v>
      </c>
      <c r="B2872" s="1" t="s">
        <v>180</v>
      </c>
      <c r="C2872" s="1" t="s">
        <v>1210</v>
      </c>
      <c r="D2872" s="6">
        <v>33.0</v>
      </c>
      <c r="E2872" s="6">
        <v>59435.0</v>
      </c>
      <c r="F2872" s="6">
        <v>31395.0</v>
      </c>
      <c r="G2872" s="6">
        <v>21289.0</v>
      </c>
      <c r="H2872" s="6">
        <v>2.7918</v>
      </c>
      <c r="I2872" s="6">
        <v>1.4747</v>
      </c>
      <c r="J2872" s="6">
        <v>1.3171</v>
      </c>
    </row>
    <row r="2873">
      <c r="A2873" s="1" t="s">
        <v>24</v>
      </c>
      <c r="B2873" s="1" t="s">
        <v>180</v>
      </c>
      <c r="C2873" s="1" t="s">
        <v>1211</v>
      </c>
      <c r="D2873" s="6">
        <v>1.0</v>
      </c>
      <c r="E2873" s="6">
        <v>38455.0</v>
      </c>
      <c r="F2873" s="6">
        <v>19056.0</v>
      </c>
      <c r="G2873" s="6">
        <v>22686.0</v>
      </c>
      <c r="H2873" s="6">
        <v>1.6951</v>
      </c>
      <c r="I2873" s="6">
        <v>0.84</v>
      </c>
      <c r="J2873" s="6">
        <v>0.8551</v>
      </c>
    </row>
    <row r="2874">
      <c r="A2874" s="1" t="s">
        <v>24</v>
      </c>
      <c r="B2874" s="1" t="s">
        <v>180</v>
      </c>
      <c r="C2874" s="1" t="s">
        <v>1211</v>
      </c>
      <c r="D2874" s="6">
        <v>2.0</v>
      </c>
      <c r="E2874" s="6">
        <v>49805.0</v>
      </c>
      <c r="F2874" s="6">
        <v>26685.0</v>
      </c>
      <c r="G2874" s="6">
        <v>22686.0</v>
      </c>
      <c r="H2874" s="6">
        <v>2.1954</v>
      </c>
      <c r="I2874" s="6">
        <v>1.1763</v>
      </c>
      <c r="J2874" s="6">
        <v>1.0191</v>
      </c>
    </row>
    <row r="2875">
      <c r="A2875" s="1" t="s">
        <v>24</v>
      </c>
      <c r="B2875" s="1" t="s">
        <v>180</v>
      </c>
      <c r="C2875" s="1" t="s">
        <v>1211</v>
      </c>
      <c r="D2875" s="6">
        <v>3.0</v>
      </c>
      <c r="E2875" s="6">
        <v>52640.0</v>
      </c>
      <c r="F2875" s="6">
        <v>26208.0</v>
      </c>
      <c r="G2875" s="6">
        <v>22686.0</v>
      </c>
      <c r="H2875" s="6">
        <v>2.3204</v>
      </c>
      <c r="I2875" s="6">
        <v>1.1552</v>
      </c>
      <c r="J2875" s="6">
        <v>1.1651</v>
      </c>
    </row>
    <row r="2876">
      <c r="A2876" s="1" t="s">
        <v>24</v>
      </c>
      <c r="B2876" s="1" t="s">
        <v>180</v>
      </c>
      <c r="C2876" s="1" t="s">
        <v>1211</v>
      </c>
      <c r="D2876" s="6">
        <v>4.0</v>
      </c>
      <c r="E2876" s="6">
        <v>60240.0</v>
      </c>
      <c r="F2876" s="6">
        <v>30053.0</v>
      </c>
      <c r="G2876" s="6">
        <v>22686.0</v>
      </c>
      <c r="H2876" s="6">
        <v>2.6554</v>
      </c>
      <c r="I2876" s="6">
        <v>1.3247</v>
      </c>
      <c r="J2876" s="6">
        <v>1.3306</v>
      </c>
    </row>
    <row r="2877">
      <c r="A2877" s="1" t="s">
        <v>24</v>
      </c>
      <c r="B2877" s="1" t="s">
        <v>180</v>
      </c>
      <c r="C2877" s="1" t="s">
        <v>1211</v>
      </c>
      <c r="D2877" s="6">
        <v>5.0</v>
      </c>
      <c r="E2877" s="6">
        <v>56725.0</v>
      </c>
      <c r="F2877" s="6">
        <v>28433.0</v>
      </c>
      <c r="G2877" s="6">
        <v>22686.0</v>
      </c>
      <c r="H2877" s="6">
        <v>2.5004</v>
      </c>
      <c r="I2877" s="6">
        <v>1.2533</v>
      </c>
      <c r="J2877" s="6">
        <v>1.2471</v>
      </c>
    </row>
    <row r="2878">
      <c r="A2878" s="1" t="s">
        <v>24</v>
      </c>
      <c r="B2878" s="1" t="s">
        <v>180</v>
      </c>
      <c r="C2878" s="1" t="s">
        <v>1211</v>
      </c>
      <c r="D2878" s="6">
        <v>6.0</v>
      </c>
      <c r="E2878" s="6">
        <v>124785.0</v>
      </c>
      <c r="F2878" s="6">
        <v>65100.0</v>
      </c>
      <c r="G2878" s="6">
        <v>22686.0</v>
      </c>
      <c r="H2878" s="6">
        <v>5.5005</v>
      </c>
      <c r="I2878" s="6">
        <v>2.8696</v>
      </c>
      <c r="J2878" s="6">
        <v>2.6309</v>
      </c>
    </row>
    <row r="2879">
      <c r="A2879" s="1" t="s">
        <v>24</v>
      </c>
      <c r="B2879" s="1" t="s">
        <v>180</v>
      </c>
      <c r="C2879" s="1" t="s">
        <v>1211</v>
      </c>
      <c r="D2879" s="6">
        <v>7.0</v>
      </c>
      <c r="E2879" s="6">
        <v>87575.0</v>
      </c>
      <c r="F2879" s="6">
        <v>43837.0</v>
      </c>
      <c r="G2879" s="6">
        <v>22686.0</v>
      </c>
      <c r="H2879" s="6">
        <v>3.8603</v>
      </c>
      <c r="I2879" s="6">
        <v>1.9323</v>
      </c>
      <c r="J2879" s="6">
        <v>1.928</v>
      </c>
    </row>
    <row r="2880">
      <c r="A2880" s="1" t="s">
        <v>24</v>
      </c>
      <c r="B2880" s="1" t="s">
        <v>180</v>
      </c>
      <c r="C2880" s="1" t="s">
        <v>1211</v>
      </c>
      <c r="D2880" s="6">
        <v>8.0</v>
      </c>
      <c r="E2880" s="6">
        <v>76455.0</v>
      </c>
      <c r="F2880" s="6">
        <v>37521.0</v>
      </c>
      <c r="G2880" s="6">
        <v>22686.0</v>
      </c>
      <c r="H2880" s="6">
        <v>3.3701</v>
      </c>
      <c r="I2880" s="6">
        <v>1.6539</v>
      </c>
      <c r="J2880" s="6">
        <v>1.7162</v>
      </c>
    </row>
    <row r="2881">
      <c r="A2881" s="1" t="s">
        <v>24</v>
      </c>
      <c r="B2881" s="1" t="s">
        <v>180</v>
      </c>
      <c r="C2881" s="1" t="s">
        <v>1211</v>
      </c>
      <c r="D2881" s="6">
        <v>9.0</v>
      </c>
      <c r="E2881" s="6">
        <v>45905.0</v>
      </c>
      <c r="F2881" s="6">
        <v>23115.0</v>
      </c>
      <c r="G2881" s="6">
        <v>22686.0</v>
      </c>
      <c r="H2881" s="6">
        <v>2.0235</v>
      </c>
      <c r="I2881" s="6">
        <v>1.0189</v>
      </c>
      <c r="J2881" s="6">
        <v>1.0046</v>
      </c>
    </row>
    <row r="2882">
      <c r="A2882" s="1" t="s">
        <v>24</v>
      </c>
      <c r="B2882" s="1" t="s">
        <v>180</v>
      </c>
      <c r="C2882" s="1" t="s">
        <v>1211</v>
      </c>
      <c r="D2882" s="6">
        <v>10.0</v>
      </c>
      <c r="E2882" s="6">
        <v>54390.0</v>
      </c>
      <c r="F2882" s="6">
        <v>25478.0</v>
      </c>
      <c r="G2882" s="6">
        <v>22686.0</v>
      </c>
      <c r="H2882" s="6">
        <v>2.3975</v>
      </c>
      <c r="I2882" s="6">
        <v>1.1231</v>
      </c>
      <c r="J2882" s="6">
        <v>1.2744</v>
      </c>
    </row>
    <row r="2883">
      <c r="A2883" s="1" t="s">
        <v>24</v>
      </c>
      <c r="B2883" s="1" t="s">
        <v>180</v>
      </c>
      <c r="C2883" s="1" t="s">
        <v>1211</v>
      </c>
      <c r="D2883" s="6">
        <v>11.0</v>
      </c>
      <c r="E2883" s="6">
        <v>46125.0</v>
      </c>
      <c r="F2883" s="6">
        <v>22721.0</v>
      </c>
      <c r="G2883" s="6">
        <v>22686.0</v>
      </c>
      <c r="H2883" s="6">
        <v>2.0332</v>
      </c>
      <c r="I2883" s="6">
        <v>1.0015</v>
      </c>
      <c r="J2883" s="6">
        <v>1.0316</v>
      </c>
    </row>
    <row r="2884">
      <c r="A2884" s="1" t="s">
        <v>24</v>
      </c>
      <c r="B2884" s="1" t="s">
        <v>180</v>
      </c>
      <c r="C2884" s="1" t="s">
        <v>1211</v>
      </c>
      <c r="D2884" s="6">
        <v>12.0</v>
      </c>
      <c r="E2884" s="6">
        <v>40535.0</v>
      </c>
      <c r="F2884" s="6">
        <v>20908.0</v>
      </c>
      <c r="G2884" s="6">
        <v>22686.0</v>
      </c>
      <c r="H2884" s="6">
        <v>1.7868</v>
      </c>
      <c r="I2884" s="6">
        <v>0.9216</v>
      </c>
      <c r="J2884" s="6">
        <v>0.8652</v>
      </c>
    </row>
    <row r="2885">
      <c r="A2885" s="1" t="s">
        <v>24</v>
      </c>
      <c r="B2885" s="1" t="s">
        <v>180</v>
      </c>
      <c r="C2885" s="1" t="s">
        <v>1211</v>
      </c>
      <c r="D2885" s="6">
        <v>13.0</v>
      </c>
      <c r="E2885" s="6">
        <v>91920.0</v>
      </c>
      <c r="F2885" s="6">
        <v>50011.0</v>
      </c>
      <c r="G2885" s="6">
        <v>22686.0</v>
      </c>
      <c r="H2885" s="6">
        <v>4.0518</v>
      </c>
      <c r="I2885" s="6">
        <v>2.2045</v>
      </c>
      <c r="J2885" s="6">
        <v>1.8474</v>
      </c>
    </row>
    <row r="2886">
      <c r="A2886" s="1" t="s">
        <v>24</v>
      </c>
      <c r="B2886" s="1" t="s">
        <v>180</v>
      </c>
      <c r="C2886" s="1" t="s">
        <v>1211</v>
      </c>
      <c r="D2886" s="6">
        <v>14.0</v>
      </c>
      <c r="E2886" s="6">
        <v>64715.0</v>
      </c>
      <c r="F2886" s="6">
        <v>34187.0</v>
      </c>
      <c r="G2886" s="6">
        <v>22686.0</v>
      </c>
      <c r="H2886" s="6">
        <v>2.8526</v>
      </c>
      <c r="I2886" s="6">
        <v>1.507</v>
      </c>
      <c r="J2886" s="6">
        <v>1.3457</v>
      </c>
    </row>
    <row r="2887">
      <c r="A2887" s="1" t="s">
        <v>24</v>
      </c>
      <c r="B2887" s="1" t="s">
        <v>180</v>
      </c>
      <c r="C2887" s="1" t="s">
        <v>1211</v>
      </c>
      <c r="D2887" s="6">
        <v>15.0</v>
      </c>
      <c r="E2887" s="6">
        <v>51345.0</v>
      </c>
      <c r="F2887" s="6">
        <v>26706.0</v>
      </c>
      <c r="G2887" s="6">
        <v>22686.0</v>
      </c>
      <c r="H2887" s="6">
        <v>2.2633</v>
      </c>
      <c r="I2887" s="6">
        <v>1.1772</v>
      </c>
      <c r="J2887" s="6">
        <v>1.0861</v>
      </c>
    </row>
    <row r="2888">
      <c r="A2888" s="1" t="s">
        <v>24</v>
      </c>
      <c r="B2888" s="1" t="s">
        <v>180</v>
      </c>
      <c r="C2888" s="1" t="s">
        <v>1211</v>
      </c>
      <c r="D2888" s="6">
        <v>16.0</v>
      </c>
      <c r="E2888" s="6">
        <v>61970.0</v>
      </c>
      <c r="F2888" s="6">
        <v>32672.0</v>
      </c>
      <c r="G2888" s="6">
        <v>22686.0</v>
      </c>
      <c r="H2888" s="6">
        <v>2.7316</v>
      </c>
      <c r="I2888" s="6">
        <v>1.4402</v>
      </c>
      <c r="J2888" s="6">
        <v>1.2915</v>
      </c>
    </row>
    <row r="2889">
      <c r="A2889" s="1" t="s">
        <v>24</v>
      </c>
      <c r="B2889" s="1" t="s">
        <v>180</v>
      </c>
      <c r="C2889" s="1" t="s">
        <v>1211</v>
      </c>
      <c r="D2889" s="6">
        <v>17.0</v>
      </c>
      <c r="E2889" s="6">
        <v>65565.0</v>
      </c>
      <c r="F2889" s="6">
        <v>33325.0</v>
      </c>
      <c r="G2889" s="6">
        <v>22686.0</v>
      </c>
      <c r="H2889" s="6">
        <v>2.8901</v>
      </c>
      <c r="I2889" s="6">
        <v>1.469</v>
      </c>
      <c r="J2889" s="6">
        <v>1.4211</v>
      </c>
    </row>
    <row r="2890">
      <c r="A2890" s="1" t="s">
        <v>24</v>
      </c>
      <c r="B2890" s="1" t="s">
        <v>180</v>
      </c>
      <c r="C2890" s="1" t="s">
        <v>1211</v>
      </c>
      <c r="D2890" s="6">
        <v>18.0</v>
      </c>
      <c r="E2890" s="6">
        <v>66985.0</v>
      </c>
      <c r="F2890" s="6">
        <v>33872.0</v>
      </c>
      <c r="G2890" s="6">
        <v>22686.0</v>
      </c>
      <c r="H2890" s="6">
        <v>2.9527</v>
      </c>
      <c r="I2890" s="6">
        <v>1.4931</v>
      </c>
      <c r="J2890" s="6">
        <v>1.4596</v>
      </c>
    </row>
    <row r="2891">
      <c r="A2891" s="1" t="s">
        <v>24</v>
      </c>
      <c r="B2891" s="1" t="s">
        <v>180</v>
      </c>
      <c r="C2891" s="1" t="s">
        <v>1211</v>
      </c>
      <c r="D2891" s="6">
        <v>19.0</v>
      </c>
      <c r="E2891" s="6">
        <v>61790.0</v>
      </c>
      <c r="F2891" s="6">
        <v>30968.0</v>
      </c>
      <c r="G2891" s="6">
        <v>22686.0</v>
      </c>
      <c r="H2891" s="6">
        <v>2.7237</v>
      </c>
      <c r="I2891" s="6">
        <v>1.3651</v>
      </c>
      <c r="J2891" s="6">
        <v>1.3586</v>
      </c>
    </row>
    <row r="2892">
      <c r="A2892" s="1" t="s">
        <v>24</v>
      </c>
      <c r="B2892" s="1" t="s">
        <v>180</v>
      </c>
      <c r="C2892" s="1" t="s">
        <v>1211</v>
      </c>
      <c r="D2892" s="6">
        <v>20.0</v>
      </c>
      <c r="E2892" s="6">
        <v>132735.0</v>
      </c>
      <c r="F2892" s="6">
        <v>69639.0</v>
      </c>
      <c r="G2892" s="6">
        <v>22686.0</v>
      </c>
      <c r="H2892" s="6">
        <v>5.851</v>
      </c>
      <c r="I2892" s="6">
        <v>3.0697</v>
      </c>
      <c r="J2892" s="6">
        <v>2.7813</v>
      </c>
    </row>
    <row r="2893">
      <c r="A2893" s="1" t="s">
        <v>24</v>
      </c>
      <c r="B2893" s="1" t="s">
        <v>180</v>
      </c>
      <c r="C2893" s="1" t="s">
        <v>1211</v>
      </c>
      <c r="D2893" s="6">
        <v>21.0</v>
      </c>
      <c r="E2893" s="6">
        <v>241645.0</v>
      </c>
      <c r="F2893" s="6">
        <v>104768.0</v>
      </c>
      <c r="G2893" s="6">
        <v>22686.0</v>
      </c>
      <c r="H2893" s="6">
        <v>10.6517</v>
      </c>
      <c r="I2893" s="6">
        <v>4.6182</v>
      </c>
      <c r="J2893" s="6">
        <v>6.0335</v>
      </c>
    </row>
    <row r="2894">
      <c r="A2894" s="1" t="s">
        <v>24</v>
      </c>
      <c r="B2894" s="1" t="s">
        <v>180</v>
      </c>
      <c r="C2894" s="1" t="s">
        <v>1211</v>
      </c>
      <c r="D2894" s="6">
        <v>22.0</v>
      </c>
      <c r="E2894" s="6">
        <v>139520.0</v>
      </c>
      <c r="F2894" s="6">
        <v>66398.0</v>
      </c>
      <c r="G2894" s="6">
        <v>22686.0</v>
      </c>
      <c r="H2894" s="6">
        <v>6.15</v>
      </c>
      <c r="I2894" s="6">
        <v>2.9268</v>
      </c>
      <c r="J2894" s="6">
        <v>3.2232</v>
      </c>
    </row>
    <row r="2895">
      <c r="A2895" s="1" t="s">
        <v>24</v>
      </c>
      <c r="B2895" s="1" t="s">
        <v>180</v>
      </c>
      <c r="C2895" s="1" t="s">
        <v>1211</v>
      </c>
      <c r="D2895" s="6">
        <v>23.0</v>
      </c>
      <c r="E2895" s="6">
        <v>87965.0</v>
      </c>
      <c r="F2895" s="6">
        <v>43828.0</v>
      </c>
      <c r="G2895" s="6">
        <v>22686.0</v>
      </c>
      <c r="H2895" s="6">
        <v>3.8775</v>
      </c>
      <c r="I2895" s="6">
        <v>1.9319</v>
      </c>
      <c r="J2895" s="6">
        <v>1.9456</v>
      </c>
    </row>
    <row r="2896">
      <c r="A2896" s="1" t="s">
        <v>24</v>
      </c>
      <c r="B2896" s="1" t="s">
        <v>180</v>
      </c>
      <c r="C2896" s="1" t="s">
        <v>1211</v>
      </c>
      <c r="D2896" s="6">
        <v>24.0</v>
      </c>
      <c r="E2896" s="6">
        <v>99060.0</v>
      </c>
      <c r="F2896" s="6">
        <v>44949.0</v>
      </c>
      <c r="G2896" s="6">
        <v>22686.0</v>
      </c>
      <c r="H2896" s="6">
        <v>4.3666</v>
      </c>
      <c r="I2896" s="6">
        <v>1.9814</v>
      </c>
      <c r="J2896" s="6">
        <v>2.3852</v>
      </c>
    </row>
    <row r="2897">
      <c r="A2897" s="1" t="s">
        <v>24</v>
      </c>
      <c r="B2897" s="1" t="s">
        <v>180</v>
      </c>
      <c r="C2897" s="1" t="s">
        <v>1211</v>
      </c>
      <c r="D2897" s="6">
        <v>25.0</v>
      </c>
      <c r="E2897" s="6">
        <v>80285.0</v>
      </c>
      <c r="F2897" s="6">
        <v>38855.0</v>
      </c>
      <c r="G2897" s="6">
        <v>22686.0</v>
      </c>
      <c r="H2897" s="6">
        <v>3.539</v>
      </c>
      <c r="I2897" s="6">
        <v>1.7127</v>
      </c>
      <c r="J2897" s="6">
        <v>1.8262</v>
      </c>
    </row>
    <row r="2898">
      <c r="A2898" s="1" t="s">
        <v>24</v>
      </c>
      <c r="B2898" s="1" t="s">
        <v>180</v>
      </c>
      <c r="C2898" s="1" t="s">
        <v>1211</v>
      </c>
      <c r="D2898" s="6">
        <v>26.0</v>
      </c>
      <c r="E2898" s="6">
        <v>68025.0</v>
      </c>
      <c r="F2898" s="6">
        <v>33041.0</v>
      </c>
      <c r="G2898" s="6">
        <v>22686.0</v>
      </c>
      <c r="H2898" s="6">
        <v>2.9985</v>
      </c>
      <c r="I2898" s="6">
        <v>1.4564</v>
      </c>
      <c r="J2898" s="6">
        <v>1.5421</v>
      </c>
    </row>
    <row r="2899">
      <c r="A2899" s="1" t="s">
        <v>24</v>
      </c>
      <c r="B2899" s="1" t="s">
        <v>180</v>
      </c>
      <c r="C2899" s="1" t="s">
        <v>1211</v>
      </c>
      <c r="D2899" s="6">
        <v>27.0</v>
      </c>
      <c r="E2899" s="6">
        <v>88310.0</v>
      </c>
      <c r="F2899" s="6">
        <v>42988.0</v>
      </c>
      <c r="G2899" s="6">
        <v>22686.0</v>
      </c>
      <c r="H2899" s="6">
        <v>3.8927</v>
      </c>
      <c r="I2899" s="6">
        <v>1.8949</v>
      </c>
      <c r="J2899" s="6">
        <v>1.9978</v>
      </c>
    </row>
    <row r="2900">
      <c r="A2900" s="1" t="s">
        <v>24</v>
      </c>
      <c r="B2900" s="1" t="s">
        <v>180</v>
      </c>
      <c r="C2900" s="1" t="s">
        <v>1211</v>
      </c>
      <c r="D2900" s="6">
        <v>28.0</v>
      </c>
      <c r="E2900" s="6">
        <v>67620.0</v>
      </c>
      <c r="F2900" s="6">
        <v>32526.0</v>
      </c>
      <c r="G2900" s="6">
        <v>22686.0</v>
      </c>
      <c r="H2900" s="6">
        <v>2.9807</v>
      </c>
      <c r="I2900" s="6">
        <v>1.4337</v>
      </c>
      <c r="J2900" s="6">
        <v>1.5469</v>
      </c>
    </row>
    <row r="2901">
      <c r="A2901" s="1" t="s">
        <v>24</v>
      </c>
      <c r="B2901" s="1" t="s">
        <v>180</v>
      </c>
      <c r="C2901" s="1" t="s">
        <v>1211</v>
      </c>
      <c r="D2901" s="6">
        <v>29.0</v>
      </c>
      <c r="E2901" s="6">
        <v>50365.0</v>
      </c>
      <c r="F2901" s="6">
        <v>24183.0</v>
      </c>
      <c r="G2901" s="6">
        <v>22686.0</v>
      </c>
      <c r="H2901" s="6">
        <v>2.2201</v>
      </c>
      <c r="I2901" s="6">
        <v>1.066</v>
      </c>
      <c r="J2901" s="6">
        <v>1.1541</v>
      </c>
    </row>
    <row r="2902">
      <c r="A2902" s="1" t="s">
        <v>24</v>
      </c>
      <c r="B2902" s="1" t="s">
        <v>180</v>
      </c>
      <c r="C2902" s="1" t="s">
        <v>1211</v>
      </c>
      <c r="D2902" s="6">
        <v>30.0</v>
      </c>
      <c r="E2902" s="6">
        <v>66395.0</v>
      </c>
      <c r="F2902" s="6">
        <v>34254.0</v>
      </c>
      <c r="G2902" s="6">
        <v>22686.0</v>
      </c>
      <c r="H2902" s="6">
        <v>2.9267</v>
      </c>
      <c r="I2902" s="6">
        <v>1.5099</v>
      </c>
      <c r="J2902" s="6">
        <v>1.4168</v>
      </c>
    </row>
    <row r="2903">
      <c r="A2903" s="1" t="s">
        <v>24</v>
      </c>
      <c r="B2903" s="1" t="s">
        <v>180</v>
      </c>
      <c r="C2903" s="1" t="s">
        <v>1211</v>
      </c>
      <c r="D2903" s="6">
        <v>31.0</v>
      </c>
      <c r="E2903" s="6">
        <v>67865.0</v>
      </c>
      <c r="F2903" s="6">
        <v>32197.0</v>
      </c>
      <c r="G2903" s="6">
        <v>22686.0</v>
      </c>
      <c r="H2903" s="6">
        <v>2.9915</v>
      </c>
      <c r="I2903" s="6">
        <v>1.4192</v>
      </c>
      <c r="J2903" s="6">
        <v>1.5722</v>
      </c>
    </row>
    <row r="2904">
      <c r="A2904" s="1" t="s">
        <v>24</v>
      </c>
      <c r="B2904" s="1" t="s">
        <v>180</v>
      </c>
      <c r="C2904" s="1" t="s">
        <v>1211</v>
      </c>
      <c r="D2904" s="6">
        <v>32.0</v>
      </c>
      <c r="E2904" s="6">
        <v>73490.0</v>
      </c>
      <c r="F2904" s="6">
        <v>36310.0</v>
      </c>
      <c r="G2904" s="6">
        <v>22686.0</v>
      </c>
      <c r="H2904" s="6">
        <v>3.2394</v>
      </c>
      <c r="I2904" s="6">
        <v>1.6005</v>
      </c>
      <c r="J2904" s="6">
        <v>1.6389</v>
      </c>
    </row>
    <row r="2905">
      <c r="A2905" s="1" t="s">
        <v>24</v>
      </c>
      <c r="B2905" s="1" t="s">
        <v>180</v>
      </c>
      <c r="C2905" s="1" t="s">
        <v>1211</v>
      </c>
      <c r="D2905" s="6">
        <v>33.0</v>
      </c>
      <c r="E2905" s="6">
        <v>72485.0</v>
      </c>
      <c r="F2905" s="6">
        <v>35530.0</v>
      </c>
      <c r="G2905" s="6">
        <v>22686.0</v>
      </c>
      <c r="H2905" s="6">
        <v>3.1951</v>
      </c>
      <c r="I2905" s="6">
        <v>1.5662</v>
      </c>
      <c r="J2905" s="6">
        <v>1.629</v>
      </c>
    </row>
    <row r="2906">
      <c r="A2906" s="1" t="s">
        <v>24</v>
      </c>
      <c r="B2906" s="1" t="s">
        <v>180</v>
      </c>
      <c r="C2906" s="1" t="s">
        <v>55</v>
      </c>
      <c r="D2906" s="6">
        <v>1.0</v>
      </c>
      <c r="E2906" s="6">
        <v>1565369.0</v>
      </c>
      <c r="F2906" s="6">
        <v>0.0</v>
      </c>
      <c r="G2906" s="6">
        <v>24357.0</v>
      </c>
      <c r="H2906" s="6">
        <v>64.2677</v>
      </c>
      <c r="I2906" s="6">
        <v>0.0</v>
      </c>
      <c r="J2906" s="6">
        <v>64.2677</v>
      </c>
    </row>
    <row r="2907">
      <c r="A2907" s="1" t="s">
        <v>24</v>
      </c>
      <c r="B2907" s="1" t="s">
        <v>180</v>
      </c>
      <c r="C2907" s="1" t="s">
        <v>55</v>
      </c>
      <c r="D2907" s="6">
        <v>2.0</v>
      </c>
      <c r="E2907" s="6">
        <v>1234465.0</v>
      </c>
      <c r="F2907" s="6">
        <v>0.0</v>
      </c>
      <c r="G2907" s="6">
        <v>24357.0</v>
      </c>
      <c r="H2907" s="6">
        <v>50.6821</v>
      </c>
      <c r="I2907" s="6">
        <v>0.0</v>
      </c>
      <c r="J2907" s="6">
        <v>50.6821</v>
      </c>
    </row>
    <row r="2908">
      <c r="A2908" s="1" t="s">
        <v>24</v>
      </c>
      <c r="B2908" s="1" t="s">
        <v>180</v>
      </c>
      <c r="C2908" s="1" t="s">
        <v>55</v>
      </c>
      <c r="D2908" s="6">
        <v>3.0</v>
      </c>
      <c r="E2908" s="6">
        <v>1551355.0</v>
      </c>
      <c r="F2908" s="6">
        <v>74.0</v>
      </c>
      <c r="G2908" s="6">
        <v>24357.0</v>
      </c>
      <c r="H2908" s="6">
        <v>63.6924</v>
      </c>
      <c r="I2908" s="6">
        <v>0.003</v>
      </c>
      <c r="J2908" s="6">
        <v>63.6893</v>
      </c>
    </row>
    <row r="2909">
      <c r="A2909" s="1" t="s">
        <v>24</v>
      </c>
      <c r="B2909" s="1" t="s">
        <v>180</v>
      </c>
      <c r="C2909" s="1" t="s">
        <v>55</v>
      </c>
      <c r="D2909" s="6">
        <v>4.0</v>
      </c>
      <c r="E2909" s="6">
        <v>1163179.0</v>
      </c>
      <c r="F2909" s="6">
        <v>9.0</v>
      </c>
      <c r="G2909" s="6">
        <v>24357.0</v>
      </c>
      <c r="H2909" s="6">
        <v>47.7554</v>
      </c>
      <c r="I2909" s="6">
        <v>4.0E-4</v>
      </c>
      <c r="J2909" s="6">
        <v>47.7551</v>
      </c>
    </row>
    <row r="2910">
      <c r="A2910" s="1" t="s">
        <v>24</v>
      </c>
      <c r="B2910" s="1" t="s">
        <v>180</v>
      </c>
      <c r="C2910" s="1" t="s">
        <v>55</v>
      </c>
      <c r="D2910" s="6">
        <v>5.0</v>
      </c>
      <c r="E2910" s="6">
        <v>1440337.0</v>
      </c>
      <c r="F2910" s="6">
        <v>19.0</v>
      </c>
      <c r="G2910" s="6">
        <v>24357.0</v>
      </c>
      <c r="H2910" s="6">
        <v>59.1344</v>
      </c>
      <c r="I2910" s="6">
        <v>8.0E-4</v>
      </c>
      <c r="J2910" s="6">
        <v>59.1336</v>
      </c>
    </row>
    <row r="2911">
      <c r="A2911" s="1" t="s">
        <v>24</v>
      </c>
      <c r="B2911" s="1" t="s">
        <v>180</v>
      </c>
      <c r="C2911" s="1" t="s">
        <v>55</v>
      </c>
      <c r="D2911" s="6">
        <v>6.0</v>
      </c>
      <c r="E2911" s="6">
        <v>1758687.0</v>
      </c>
      <c r="F2911" s="6">
        <v>0.0</v>
      </c>
      <c r="G2911" s="6">
        <v>24357.0</v>
      </c>
      <c r="H2911" s="6">
        <v>72.2046</v>
      </c>
      <c r="I2911" s="6">
        <v>0.0</v>
      </c>
      <c r="J2911" s="6">
        <v>72.2046</v>
      </c>
    </row>
    <row r="2912">
      <c r="A2912" s="1" t="s">
        <v>24</v>
      </c>
      <c r="B2912" s="1" t="s">
        <v>180</v>
      </c>
      <c r="C2912" s="1" t="s">
        <v>55</v>
      </c>
      <c r="D2912" s="6">
        <v>7.0</v>
      </c>
      <c r="E2912" s="6">
        <v>1266375.0</v>
      </c>
      <c r="F2912" s="6">
        <v>0.0</v>
      </c>
      <c r="G2912" s="6">
        <v>24357.0</v>
      </c>
      <c r="H2912" s="6">
        <v>51.9922</v>
      </c>
      <c r="I2912" s="6">
        <v>0.0</v>
      </c>
      <c r="J2912" s="6">
        <v>51.9922</v>
      </c>
    </row>
    <row r="2913">
      <c r="A2913" s="1" t="s">
        <v>24</v>
      </c>
      <c r="B2913" s="1" t="s">
        <v>180</v>
      </c>
      <c r="C2913" s="1" t="s">
        <v>55</v>
      </c>
      <c r="D2913" s="6">
        <v>8.0</v>
      </c>
      <c r="E2913" s="6">
        <v>1629731.0</v>
      </c>
      <c r="F2913" s="6">
        <v>0.0</v>
      </c>
      <c r="G2913" s="6">
        <v>24357.0</v>
      </c>
      <c r="H2913" s="6">
        <v>66.9102</v>
      </c>
      <c r="I2913" s="6">
        <v>0.0</v>
      </c>
      <c r="J2913" s="6">
        <v>66.9102</v>
      </c>
    </row>
    <row r="2914">
      <c r="A2914" s="1" t="s">
        <v>24</v>
      </c>
      <c r="B2914" s="1" t="s">
        <v>180</v>
      </c>
      <c r="C2914" s="1" t="s">
        <v>55</v>
      </c>
      <c r="D2914" s="6">
        <v>9.0</v>
      </c>
      <c r="E2914" s="6">
        <v>1247476.0</v>
      </c>
      <c r="F2914" s="6">
        <v>1.0</v>
      </c>
      <c r="G2914" s="6">
        <v>24357.0</v>
      </c>
      <c r="H2914" s="6">
        <v>51.2163</v>
      </c>
      <c r="I2914" s="6">
        <v>0.0</v>
      </c>
      <c r="J2914" s="6">
        <v>51.2163</v>
      </c>
    </row>
    <row r="2915">
      <c r="A2915" s="1" t="s">
        <v>24</v>
      </c>
      <c r="B2915" s="1" t="s">
        <v>180</v>
      </c>
      <c r="C2915" s="1" t="s">
        <v>55</v>
      </c>
      <c r="D2915" s="6">
        <v>10.0</v>
      </c>
      <c r="E2915" s="6">
        <v>1762169.0</v>
      </c>
      <c r="F2915" s="6">
        <v>0.0</v>
      </c>
      <c r="G2915" s="6">
        <v>24357.0</v>
      </c>
      <c r="H2915" s="6">
        <v>72.3475</v>
      </c>
      <c r="I2915" s="6">
        <v>0.0</v>
      </c>
      <c r="J2915" s="6">
        <v>72.3475</v>
      </c>
    </row>
    <row r="2916">
      <c r="A2916" s="1" t="s">
        <v>24</v>
      </c>
      <c r="B2916" s="1" t="s">
        <v>180</v>
      </c>
      <c r="C2916" s="1" t="s">
        <v>55</v>
      </c>
      <c r="D2916" s="6">
        <v>11.0</v>
      </c>
      <c r="E2916" s="6">
        <v>1298734.0</v>
      </c>
      <c r="F2916" s="6">
        <v>8.0</v>
      </c>
      <c r="G2916" s="6">
        <v>24357.0</v>
      </c>
      <c r="H2916" s="6">
        <v>53.3208</v>
      </c>
      <c r="I2916" s="6">
        <v>3.0E-4</v>
      </c>
      <c r="J2916" s="6">
        <v>53.3204</v>
      </c>
    </row>
    <row r="2917">
      <c r="A2917" s="1" t="s">
        <v>24</v>
      </c>
      <c r="B2917" s="1" t="s">
        <v>180</v>
      </c>
      <c r="C2917" s="1" t="s">
        <v>55</v>
      </c>
      <c r="D2917" s="6">
        <v>12.0</v>
      </c>
      <c r="E2917" s="6">
        <v>1624942.0</v>
      </c>
      <c r="F2917" s="6">
        <v>8.0</v>
      </c>
      <c r="G2917" s="6">
        <v>24357.0</v>
      </c>
      <c r="H2917" s="6">
        <v>66.7136</v>
      </c>
      <c r="I2917" s="6">
        <v>3.0E-4</v>
      </c>
      <c r="J2917" s="6">
        <v>66.7132</v>
      </c>
    </row>
    <row r="2918">
      <c r="A2918" s="1" t="s">
        <v>24</v>
      </c>
      <c r="B2918" s="1" t="s">
        <v>180</v>
      </c>
      <c r="C2918" s="1" t="s">
        <v>55</v>
      </c>
      <c r="D2918" s="6">
        <v>13.0</v>
      </c>
      <c r="E2918" s="6">
        <v>1931150.0</v>
      </c>
      <c r="F2918" s="6">
        <v>0.0</v>
      </c>
      <c r="G2918" s="6">
        <v>24357.0</v>
      </c>
      <c r="H2918" s="6">
        <v>79.2852</v>
      </c>
      <c r="I2918" s="6">
        <v>0.0</v>
      </c>
      <c r="J2918" s="6">
        <v>79.2852</v>
      </c>
    </row>
    <row r="2919">
      <c r="A2919" s="1" t="s">
        <v>24</v>
      </c>
      <c r="B2919" s="1" t="s">
        <v>180</v>
      </c>
      <c r="C2919" s="1" t="s">
        <v>55</v>
      </c>
      <c r="D2919" s="6">
        <v>14.0</v>
      </c>
      <c r="E2919" s="6">
        <v>1390425.0</v>
      </c>
      <c r="F2919" s="6">
        <v>0.0</v>
      </c>
      <c r="G2919" s="6">
        <v>24357.0</v>
      </c>
      <c r="H2919" s="6">
        <v>57.0852</v>
      </c>
      <c r="I2919" s="6">
        <v>0.0</v>
      </c>
      <c r="J2919" s="6">
        <v>57.0852</v>
      </c>
    </row>
    <row r="2920">
      <c r="A2920" s="1" t="s">
        <v>24</v>
      </c>
      <c r="B2920" s="1" t="s">
        <v>180</v>
      </c>
      <c r="C2920" s="1" t="s">
        <v>55</v>
      </c>
      <c r="D2920" s="6">
        <v>15.0</v>
      </c>
      <c r="E2920" s="6">
        <v>1754654.0</v>
      </c>
      <c r="F2920" s="6">
        <v>0.0</v>
      </c>
      <c r="G2920" s="6">
        <v>24357.0</v>
      </c>
      <c r="H2920" s="6">
        <v>72.039</v>
      </c>
      <c r="I2920" s="6">
        <v>0.0</v>
      </c>
      <c r="J2920" s="6">
        <v>72.039</v>
      </c>
    </row>
    <row r="2921">
      <c r="A2921" s="1" t="s">
        <v>24</v>
      </c>
      <c r="B2921" s="1" t="s">
        <v>180</v>
      </c>
      <c r="C2921" s="1" t="s">
        <v>55</v>
      </c>
      <c r="D2921" s="6">
        <v>16.0</v>
      </c>
      <c r="E2921" s="6">
        <v>1323165.0</v>
      </c>
      <c r="F2921" s="6">
        <v>0.0</v>
      </c>
      <c r="G2921" s="6">
        <v>24357.0</v>
      </c>
      <c r="H2921" s="6">
        <v>54.3238</v>
      </c>
      <c r="I2921" s="6">
        <v>0.0</v>
      </c>
      <c r="J2921" s="6">
        <v>54.3238</v>
      </c>
    </row>
    <row r="2922">
      <c r="A2922" s="1" t="s">
        <v>24</v>
      </c>
      <c r="B2922" s="1" t="s">
        <v>180</v>
      </c>
      <c r="C2922" s="1" t="s">
        <v>55</v>
      </c>
      <c r="D2922" s="6">
        <v>17.0</v>
      </c>
      <c r="E2922" s="6">
        <v>1778585.0</v>
      </c>
      <c r="F2922" s="6">
        <v>65.0</v>
      </c>
      <c r="G2922" s="6">
        <v>24357.0</v>
      </c>
      <c r="H2922" s="6">
        <v>73.0215</v>
      </c>
      <c r="I2922" s="6">
        <v>0.0027</v>
      </c>
      <c r="J2922" s="6">
        <v>73.0188</v>
      </c>
    </row>
    <row r="2923">
      <c r="A2923" s="1" t="s">
        <v>24</v>
      </c>
      <c r="B2923" s="1" t="s">
        <v>180</v>
      </c>
      <c r="C2923" s="1" t="s">
        <v>55</v>
      </c>
      <c r="D2923" s="6">
        <v>18.0</v>
      </c>
      <c r="E2923" s="6">
        <v>1381046.0</v>
      </c>
      <c r="F2923" s="6">
        <v>0.0</v>
      </c>
      <c r="G2923" s="6">
        <v>24357.0</v>
      </c>
      <c r="H2923" s="6">
        <v>56.7002</v>
      </c>
      <c r="I2923" s="6">
        <v>0.0</v>
      </c>
      <c r="J2923" s="6">
        <v>56.7002</v>
      </c>
    </row>
    <row r="2924">
      <c r="A2924" s="1" t="s">
        <v>24</v>
      </c>
      <c r="B2924" s="1" t="s">
        <v>180</v>
      </c>
      <c r="C2924" s="1" t="s">
        <v>55</v>
      </c>
      <c r="D2924" s="6">
        <v>19.0</v>
      </c>
      <c r="E2924" s="6">
        <v>1662412.0</v>
      </c>
      <c r="F2924" s="6">
        <v>0.0</v>
      </c>
      <c r="G2924" s="6">
        <v>24357.0</v>
      </c>
      <c r="H2924" s="6">
        <v>68.2519</v>
      </c>
      <c r="I2924" s="6">
        <v>0.0</v>
      </c>
      <c r="J2924" s="6">
        <v>68.2519</v>
      </c>
    </row>
    <row r="2925">
      <c r="A2925" s="1" t="s">
        <v>24</v>
      </c>
      <c r="B2925" s="1" t="s">
        <v>180</v>
      </c>
      <c r="C2925" s="1" t="s">
        <v>55</v>
      </c>
      <c r="D2925" s="6">
        <v>20.0</v>
      </c>
      <c r="E2925" s="6">
        <v>2051349.0</v>
      </c>
      <c r="F2925" s="6">
        <v>0.0</v>
      </c>
      <c r="G2925" s="6">
        <v>24357.0</v>
      </c>
      <c r="H2925" s="6">
        <v>84.2201</v>
      </c>
      <c r="I2925" s="6">
        <v>0.0</v>
      </c>
      <c r="J2925" s="6">
        <v>84.2201</v>
      </c>
    </row>
    <row r="2926">
      <c r="A2926" s="1" t="s">
        <v>24</v>
      </c>
      <c r="B2926" s="1" t="s">
        <v>180</v>
      </c>
      <c r="C2926" s="1" t="s">
        <v>55</v>
      </c>
      <c r="D2926" s="6">
        <v>21.0</v>
      </c>
      <c r="E2926" s="6">
        <v>2522098.0</v>
      </c>
      <c r="F2926" s="6">
        <v>0.0</v>
      </c>
      <c r="G2926" s="6">
        <v>24357.0</v>
      </c>
      <c r="H2926" s="6">
        <v>103.5472</v>
      </c>
      <c r="I2926" s="6">
        <v>0.0</v>
      </c>
      <c r="J2926" s="6">
        <v>103.5472</v>
      </c>
    </row>
    <row r="2927">
      <c r="A2927" s="1" t="s">
        <v>24</v>
      </c>
      <c r="B2927" s="1" t="s">
        <v>180</v>
      </c>
      <c r="C2927" s="1" t="s">
        <v>55</v>
      </c>
      <c r="D2927" s="6">
        <v>22.0</v>
      </c>
      <c r="E2927" s="6">
        <v>2093311.0</v>
      </c>
      <c r="F2927" s="6">
        <v>3.0</v>
      </c>
      <c r="G2927" s="6">
        <v>24357.0</v>
      </c>
      <c r="H2927" s="6">
        <v>85.9429</v>
      </c>
      <c r="I2927" s="6">
        <v>1.0E-4</v>
      </c>
      <c r="J2927" s="6">
        <v>85.9428</v>
      </c>
    </row>
    <row r="2928">
      <c r="A2928" s="1" t="s">
        <v>24</v>
      </c>
      <c r="B2928" s="1" t="s">
        <v>180</v>
      </c>
      <c r="C2928" s="1" t="s">
        <v>55</v>
      </c>
      <c r="D2928" s="6">
        <v>23.0</v>
      </c>
      <c r="E2928" s="6">
        <v>1669746.0</v>
      </c>
      <c r="F2928" s="6">
        <v>0.0</v>
      </c>
      <c r="G2928" s="6">
        <v>24357.0</v>
      </c>
      <c r="H2928" s="6">
        <v>68.553</v>
      </c>
      <c r="I2928" s="6">
        <v>0.0</v>
      </c>
      <c r="J2928" s="6">
        <v>68.553</v>
      </c>
    </row>
    <row r="2929">
      <c r="A2929" s="1" t="s">
        <v>24</v>
      </c>
      <c r="B2929" s="1" t="s">
        <v>180</v>
      </c>
      <c r="C2929" s="1" t="s">
        <v>55</v>
      </c>
      <c r="D2929" s="6">
        <v>24.0</v>
      </c>
      <c r="E2929" s="6">
        <v>2201877.0</v>
      </c>
      <c r="F2929" s="6">
        <v>1.0</v>
      </c>
      <c r="G2929" s="6">
        <v>24357.0</v>
      </c>
      <c r="H2929" s="6">
        <v>90.4002</v>
      </c>
      <c r="I2929" s="6">
        <v>0.0</v>
      </c>
      <c r="J2929" s="6">
        <v>90.4001</v>
      </c>
    </row>
    <row r="2930">
      <c r="A2930" s="1" t="s">
        <v>24</v>
      </c>
      <c r="B2930" s="1" t="s">
        <v>180</v>
      </c>
      <c r="C2930" s="1" t="s">
        <v>55</v>
      </c>
      <c r="D2930" s="6">
        <v>25.0</v>
      </c>
      <c r="E2930" s="6">
        <v>1662557.0</v>
      </c>
      <c r="F2930" s="6">
        <v>0.0</v>
      </c>
      <c r="G2930" s="6">
        <v>24357.0</v>
      </c>
      <c r="H2930" s="6">
        <v>68.2579</v>
      </c>
      <c r="I2930" s="6">
        <v>0.0</v>
      </c>
      <c r="J2930" s="6">
        <v>68.2579</v>
      </c>
    </row>
    <row r="2931">
      <c r="A2931" s="1" t="s">
        <v>24</v>
      </c>
      <c r="B2931" s="1" t="s">
        <v>180</v>
      </c>
      <c r="C2931" s="1" t="s">
        <v>55</v>
      </c>
      <c r="D2931" s="6">
        <v>26.0</v>
      </c>
      <c r="E2931" s="6">
        <v>1933723.0</v>
      </c>
      <c r="F2931" s="6">
        <v>0.0</v>
      </c>
      <c r="G2931" s="6">
        <v>24357.0</v>
      </c>
      <c r="H2931" s="6">
        <v>79.3909</v>
      </c>
      <c r="I2931" s="6">
        <v>0.0</v>
      </c>
      <c r="J2931" s="6">
        <v>79.3909</v>
      </c>
    </row>
    <row r="2932">
      <c r="A2932" s="1" t="s">
        <v>24</v>
      </c>
      <c r="B2932" s="1" t="s">
        <v>180</v>
      </c>
      <c r="C2932" s="1" t="s">
        <v>55</v>
      </c>
      <c r="D2932" s="6">
        <v>27.0</v>
      </c>
      <c r="E2932" s="6">
        <v>2269055.0</v>
      </c>
      <c r="F2932" s="6">
        <v>3.0</v>
      </c>
      <c r="G2932" s="6">
        <v>24357.0</v>
      </c>
      <c r="H2932" s="6">
        <v>93.1582</v>
      </c>
      <c r="I2932" s="6">
        <v>1.0E-4</v>
      </c>
      <c r="J2932" s="6">
        <v>93.1581</v>
      </c>
    </row>
    <row r="2933">
      <c r="A2933" s="1" t="s">
        <v>24</v>
      </c>
      <c r="B2933" s="1" t="s">
        <v>180</v>
      </c>
      <c r="C2933" s="1" t="s">
        <v>55</v>
      </c>
      <c r="D2933" s="6">
        <v>28.0</v>
      </c>
      <c r="E2933" s="6">
        <v>1595527.0</v>
      </c>
      <c r="F2933" s="6">
        <v>0.0</v>
      </c>
      <c r="G2933" s="6">
        <v>24357.0</v>
      </c>
      <c r="H2933" s="6">
        <v>65.5059</v>
      </c>
      <c r="I2933" s="6">
        <v>0.0</v>
      </c>
      <c r="J2933" s="6">
        <v>65.5059</v>
      </c>
    </row>
    <row r="2934">
      <c r="A2934" s="1" t="s">
        <v>24</v>
      </c>
      <c r="B2934" s="1" t="s">
        <v>180</v>
      </c>
      <c r="C2934" s="1" t="s">
        <v>55</v>
      </c>
      <c r="D2934" s="6">
        <v>29.0</v>
      </c>
      <c r="E2934" s="6">
        <v>2106913.0</v>
      </c>
      <c r="F2934" s="6">
        <v>0.0</v>
      </c>
      <c r="G2934" s="6">
        <v>24357.0</v>
      </c>
      <c r="H2934" s="6">
        <v>86.5013</v>
      </c>
      <c r="I2934" s="6">
        <v>0.0</v>
      </c>
      <c r="J2934" s="6">
        <v>86.5013</v>
      </c>
    </row>
    <row r="2935">
      <c r="A2935" s="1" t="s">
        <v>24</v>
      </c>
      <c r="B2935" s="1" t="s">
        <v>180</v>
      </c>
      <c r="C2935" s="1" t="s">
        <v>55</v>
      </c>
      <c r="D2935" s="6">
        <v>30.0</v>
      </c>
      <c r="E2935" s="6">
        <v>1553830.0</v>
      </c>
      <c r="F2935" s="6">
        <v>0.0</v>
      </c>
      <c r="G2935" s="6">
        <v>24357.0</v>
      </c>
      <c r="H2935" s="6">
        <v>63.794</v>
      </c>
      <c r="I2935" s="6">
        <v>0.0</v>
      </c>
      <c r="J2935" s="6">
        <v>63.794</v>
      </c>
    </row>
    <row r="2936">
      <c r="A2936" s="1" t="s">
        <v>24</v>
      </c>
      <c r="B2936" s="1" t="s">
        <v>180</v>
      </c>
      <c r="C2936" s="1" t="s">
        <v>55</v>
      </c>
      <c r="D2936" s="6">
        <v>31.0</v>
      </c>
      <c r="E2936" s="6">
        <v>2086608.0</v>
      </c>
      <c r="F2936" s="6">
        <v>15.0</v>
      </c>
      <c r="G2936" s="6">
        <v>24357.0</v>
      </c>
      <c r="H2936" s="6">
        <v>85.6677</v>
      </c>
      <c r="I2936" s="6">
        <v>6.0E-4</v>
      </c>
      <c r="J2936" s="6">
        <v>85.6671</v>
      </c>
    </row>
    <row r="2937">
      <c r="A2937" s="1" t="s">
        <v>24</v>
      </c>
      <c r="B2937" s="1" t="s">
        <v>180</v>
      </c>
      <c r="C2937" s="1" t="s">
        <v>55</v>
      </c>
      <c r="D2937" s="6">
        <v>32.0</v>
      </c>
      <c r="E2937" s="6">
        <v>1529577.0</v>
      </c>
      <c r="F2937" s="6">
        <v>202.0</v>
      </c>
      <c r="G2937" s="6">
        <v>24357.0</v>
      </c>
      <c r="H2937" s="6">
        <v>62.7983</v>
      </c>
      <c r="I2937" s="6">
        <v>0.0083</v>
      </c>
      <c r="J2937" s="6">
        <v>62.79</v>
      </c>
    </row>
    <row r="2938">
      <c r="A2938" s="1" t="s">
        <v>24</v>
      </c>
      <c r="B2938" s="1" t="s">
        <v>180</v>
      </c>
      <c r="C2938" s="1" t="s">
        <v>55</v>
      </c>
      <c r="D2938" s="6">
        <v>33.0</v>
      </c>
      <c r="E2938" s="6">
        <v>1898963.0</v>
      </c>
      <c r="F2938" s="6">
        <v>55.0</v>
      </c>
      <c r="G2938" s="6">
        <v>24357.0</v>
      </c>
      <c r="H2938" s="6">
        <v>77.9637</v>
      </c>
      <c r="I2938" s="6">
        <v>0.0023</v>
      </c>
      <c r="J2938" s="6">
        <v>77.9615</v>
      </c>
    </row>
    <row r="2939">
      <c r="A2939" s="1" t="s">
        <v>24</v>
      </c>
      <c r="B2939" s="1" t="s">
        <v>180</v>
      </c>
      <c r="C2939" s="1" t="s">
        <v>46</v>
      </c>
      <c r="D2939" s="6">
        <v>1.0</v>
      </c>
      <c r="E2939" s="6">
        <v>125653.0</v>
      </c>
      <c r="F2939" s="6">
        <v>0.0</v>
      </c>
      <c r="G2939" s="6">
        <v>22450.0</v>
      </c>
      <c r="H2939" s="6">
        <v>5.597</v>
      </c>
      <c r="I2939" s="6">
        <v>0.0</v>
      </c>
      <c r="J2939" s="6">
        <v>5.597</v>
      </c>
    </row>
    <row r="2940">
      <c r="A2940" s="1" t="s">
        <v>24</v>
      </c>
      <c r="B2940" s="1" t="s">
        <v>180</v>
      </c>
      <c r="C2940" s="1" t="s">
        <v>46</v>
      </c>
      <c r="D2940" s="6">
        <v>2.0</v>
      </c>
      <c r="E2940" s="6">
        <v>812550.0</v>
      </c>
      <c r="F2940" s="6">
        <v>0.0</v>
      </c>
      <c r="G2940" s="6">
        <v>22450.0</v>
      </c>
      <c r="H2940" s="6">
        <v>36.1938</v>
      </c>
      <c r="I2940" s="6">
        <v>0.0</v>
      </c>
      <c r="J2940" s="6">
        <v>36.1938</v>
      </c>
    </row>
    <row r="2941">
      <c r="A2941" s="1" t="s">
        <v>24</v>
      </c>
      <c r="B2941" s="1" t="s">
        <v>180</v>
      </c>
      <c r="C2941" s="1" t="s">
        <v>46</v>
      </c>
      <c r="D2941" s="6">
        <v>3.0</v>
      </c>
      <c r="E2941" s="6">
        <v>329373.0</v>
      </c>
      <c r="F2941" s="6">
        <v>0.0</v>
      </c>
      <c r="G2941" s="6">
        <v>22450.0</v>
      </c>
      <c r="H2941" s="6">
        <v>14.6714</v>
      </c>
      <c r="I2941" s="6">
        <v>0.0</v>
      </c>
      <c r="J2941" s="6">
        <v>14.6714</v>
      </c>
    </row>
    <row r="2942">
      <c r="A2942" s="1" t="s">
        <v>24</v>
      </c>
      <c r="B2942" s="1" t="s">
        <v>180</v>
      </c>
      <c r="C2942" s="1" t="s">
        <v>46</v>
      </c>
      <c r="D2942" s="6">
        <v>4.0</v>
      </c>
      <c r="E2942" s="6">
        <v>296229.0</v>
      </c>
      <c r="F2942" s="6">
        <v>0.0</v>
      </c>
      <c r="G2942" s="6">
        <v>22450.0</v>
      </c>
      <c r="H2942" s="6">
        <v>13.1951</v>
      </c>
      <c r="I2942" s="6">
        <v>0.0</v>
      </c>
      <c r="J2942" s="6">
        <v>13.1951</v>
      </c>
    </row>
    <row r="2943">
      <c r="A2943" s="1" t="s">
        <v>24</v>
      </c>
      <c r="B2943" s="1" t="s">
        <v>180</v>
      </c>
      <c r="C2943" s="1" t="s">
        <v>46</v>
      </c>
      <c r="D2943" s="6">
        <v>5.0</v>
      </c>
      <c r="E2943" s="6">
        <v>187066.0</v>
      </c>
      <c r="F2943" s="6">
        <v>0.0</v>
      </c>
      <c r="G2943" s="6">
        <v>22450.0</v>
      </c>
      <c r="H2943" s="6">
        <v>8.3326</v>
      </c>
      <c r="I2943" s="6">
        <v>0.0</v>
      </c>
      <c r="J2943" s="6">
        <v>8.3326</v>
      </c>
    </row>
    <row r="2944">
      <c r="A2944" s="1" t="s">
        <v>24</v>
      </c>
      <c r="B2944" s="1" t="s">
        <v>180</v>
      </c>
      <c r="C2944" s="1" t="s">
        <v>46</v>
      </c>
      <c r="D2944" s="6">
        <v>6.0</v>
      </c>
      <c r="E2944" s="6">
        <v>147686.0</v>
      </c>
      <c r="F2944" s="6">
        <v>0.0</v>
      </c>
      <c r="G2944" s="6">
        <v>22450.0</v>
      </c>
      <c r="H2944" s="6">
        <v>6.5784</v>
      </c>
      <c r="I2944" s="6">
        <v>0.0</v>
      </c>
      <c r="J2944" s="6">
        <v>6.5784</v>
      </c>
    </row>
    <row r="2945">
      <c r="A2945" s="1" t="s">
        <v>24</v>
      </c>
      <c r="B2945" s="1" t="s">
        <v>180</v>
      </c>
      <c r="C2945" s="1" t="s">
        <v>46</v>
      </c>
      <c r="D2945" s="6">
        <v>7.0</v>
      </c>
      <c r="E2945" s="6">
        <v>272395.0</v>
      </c>
      <c r="F2945" s="6">
        <v>0.0</v>
      </c>
      <c r="G2945" s="6">
        <v>22450.0</v>
      </c>
      <c r="H2945" s="6">
        <v>12.1334</v>
      </c>
      <c r="I2945" s="6">
        <v>0.0</v>
      </c>
      <c r="J2945" s="6">
        <v>12.1334</v>
      </c>
    </row>
    <row r="2946">
      <c r="A2946" s="1" t="s">
        <v>24</v>
      </c>
      <c r="B2946" s="1" t="s">
        <v>180</v>
      </c>
      <c r="C2946" s="1" t="s">
        <v>46</v>
      </c>
      <c r="D2946" s="6">
        <v>8.0</v>
      </c>
      <c r="E2946" s="6">
        <v>170597.0</v>
      </c>
      <c r="F2946" s="6">
        <v>0.0</v>
      </c>
      <c r="G2946" s="6">
        <v>22450.0</v>
      </c>
      <c r="H2946" s="6">
        <v>7.599</v>
      </c>
      <c r="I2946" s="6">
        <v>0.0</v>
      </c>
      <c r="J2946" s="6">
        <v>7.599</v>
      </c>
    </row>
    <row r="2947">
      <c r="A2947" s="1" t="s">
        <v>24</v>
      </c>
      <c r="B2947" s="1" t="s">
        <v>180</v>
      </c>
      <c r="C2947" s="1" t="s">
        <v>46</v>
      </c>
      <c r="D2947" s="6">
        <v>9.0</v>
      </c>
      <c r="E2947" s="6">
        <v>231650.0</v>
      </c>
      <c r="F2947" s="6">
        <v>0.0</v>
      </c>
      <c r="G2947" s="6">
        <v>22450.0</v>
      </c>
      <c r="H2947" s="6">
        <v>10.3185</v>
      </c>
      <c r="I2947" s="6">
        <v>0.0</v>
      </c>
      <c r="J2947" s="6">
        <v>10.3185</v>
      </c>
    </row>
    <row r="2948">
      <c r="A2948" s="1" t="s">
        <v>24</v>
      </c>
      <c r="B2948" s="1" t="s">
        <v>180</v>
      </c>
      <c r="C2948" s="1" t="s">
        <v>46</v>
      </c>
      <c r="D2948" s="6">
        <v>10.0</v>
      </c>
      <c r="E2948" s="6">
        <v>327549.0</v>
      </c>
      <c r="F2948" s="6">
        <v>0.0</v>
      </c>
      <c r="G2948" s="6">
        <v>22450.0</v>
      </c>
      <c r="H2948" s="6">
        <v>14.5902</v>
      </c>
      <c r="I2948" s="6">
        <v>0.0</v>
      </c>
      <c r="J2948" s="6">
        <v>14.5902</v>
      </c>
    </row>
    <row r="2949">
      <c r="A2949" s="1" t="s">
        <v>24</v>
      </c>
      <c r="B2949" s="1" t="s">
        <v>180</v>
      </c>
      <c r="C2949" s="1" t="s">
        <v>46</v>
      </c>
      <c r="D2949" s="6">
        <v>11.0</v>
      </c>
      <c r="E2949" s="6">
        <v>273223.0</v>
      </c>
      <c r="F2949" s="6">
        <v>0.0</v>
      </c>
      <c r="G2949" s="6">
        <v>22450.0</v>
      </c>
      <c r="H2949" s="6">
        <v>12.1703</v>
      </c>
      <c r="I2949" s="6">
        <v>0.0</v>
      </c>
      <c r="J2949" s="6">
        <v>12.1703</v>
      </c>
    </row>
    <row r="2950">
      <c r="A2950" s="1" t="s">
        <v>24</v>
      </c>
      <c r="B2950" s="1" t="s">
        <v>180</v>
      </c>
      <c r="C2950" s="1" t="s">
        <v>46</v>
      </c>
      <c r="D2950" s="6">
        <v>12.0</v>
      </c>
      <c r="E2950" s="6">
        <v>163924.0</v>
      </c>
      <c r="F2950" s="6">
        <v>0.0</v>
      </c>
      <c r="G2950" s="6">
        <v>22450.0</v>
      </c>
      <c r="H2950" s="6">
        <v>7.3017</v>
      </c>
      <c r="I2950" s="6">
        <v>0.0</v>
      </c>
      <c r="J2950" s="6">
        <v>7.3017</v>
      </c>
    </row>
    <row r="2951">
      <c r="A2951" s="1" t="s">
        <v>24</v>
      </c>
      <c r="B2951" s="1" t="s">
        <v>180</v>
      </c>
      <c r="C2951" s="1" t="s">
        <v>46</v>
      </c>
      <c r="D2951" s="6">
        <v>13.0</v>
      </c>
      <c r="E2951" s="6">
        <v>118640.0</v>
      </c>
      <c r="F2951" s="6">
        <v>0.0</v>
      </c>
      <c r="G2951" s="6">
        <v>22450.0</v>
      </c>
      <c r="H2951" s="6">
        <v>5.2846</v>
      </c>
      <c r="I2951" s="6">
        <v>0.0</v>
      </c>
      <c r="J2951" s="6">
        <v>5.2846</v>
      </c>
    </row>
    <row r="2952">
      <c r="A2952" s="1" t="s">
        <v>24</v>
      </c>
      <c r="B2952" s="1" t="s">
        <v>180</v>
      </c>
      <c r="C2952" s="1" t="s">
        <v>46</v>
      </c>
      <c r="D2952" s="6">
        <v>14.0</v>
      </c>
      <c r="E2952" s="6">
        <v>265269.0</v>
      </c>
      <c r="F2952" s="6">
        <v>0.0</v>
      </c>
      <c r="G2952" s="6">
        <v>22450.0</v>
      </c>
      <c r="H2952" s="6">
        <v>11.816</v>
      </c>
      <c r="I2952" s="6">
        <v>0.0</v>
      </c>
      <c r="J2952" s="6">
        <v>11.816</v>
      </c>
    </row>
    <row r="2953">
      <c r="A2953" s="1" t="s">
        <v>24</v>
      </c>
      <c r="B2953" s="1" t="s">
        <v>180</v>
      </c>
      <c r="C2953" s="1" t="s">
        <v>46</v>
      </c>
      <c r="D2953" s="6">
        <v>15.0</v>
      </c>
      <c r="E2953" s="6">
        <v>138684.0</v>
      </c>
      <c r="F2953" s="6">
        <v>0.0</v>
      </c>
      <c r="G2953" s="6">
        <v>22450.0</v>
      </c>
      <c r="H2953" s="6">
        <v>6.1775</v>
      </c>
      <c r="I2953" s="6">
        <v>0.0</v>
      </c>
      <c r="J2953" s="6">
        <v>6.1775</v>
      </c>
    </row>
    <row r="2954">
      <c r="A2954" s="1" t="s">
        <v>24</v>
      </c>
      <c r="B2954" s="1" t="s">
        <v>180</v>
      </c>
      <c r="C2954" s="1" t="s">
        <v>46</v>
      </c>
      <c r="D2954" s="6">
        <v>16.0</v>
      </c>
      <c r="E2954" s="6">
        <v>902566.0</v>
      </c>
      <c r="F2954" s="6">
        <v>0.0</v>
      </c>
      <c r="G2954" s="6">
        <v>22450.0</v>
      </c>
      <c r="H2954" s="6">
        <v>40.2034</v>
      </c>
      <c r="I2954" s="6">
        <v>0.0</v>
      </c>
      <c r="J2954" s="6">
        <v>40.2034</v>
      </c>
    </row>
    <row r="2955">
      <c r="A2955" s="1" t="s">
        <v>24</v>
      </c>
      <c r="B2955" s="1" t="s">
        <v>180</v>
      </c>
      <c r="C2955" s="1" t="s">
        <v>46</v>
      </c>
      <c r="D2955" s="6">
        <v>17.0</v>
      </c>
      <c r="E2955" s="6">
        <v>389758.0</v>
      </c>
      <c r="F2955" s="6">
        <v>0.0</v>
      </c>
      <c r="G2955" s="6">
        <v>22450.0</v>
      </c>
      <c r="H2955" s="6">
        <v>17.3612</v>
      </c>
      <c r="I2955" s="6">
        <v>0.0</v>
      </c>
      <c r="J2955" s="6">
        <v>17.3612</v>
      </c>
    </row>
    <row r="2956">
      <c r="A2956" s="1" t="s">
        <v>24</v>
      </c>
      <c r="B2956" s="1" t="s">
        <v>180</v>
      </c>
      <c r="C2956" s="1" t="s">
        <v>46</v>
      </c>
      <c r="D2956" s="6">
        <v>18.0</v>
      </c>
      <c r="E2956" s="6">
        <v>341415.0</v>
      </c>
      <c r="F2956" s="6">
        <v>0.0</v>
      </c>
      <c r="G2956" s="6">
        <v>22450.0</v>
      </c>
      <c r="H2956" s="6">
        <v>15.2078</v>
      </c>
      <c r="I2956" s="6">
        <v>0.0</v>
      </c>
      <c r="J2956" s="6">
        <v>15.2078</v>
      </c>
    </row>
    <row r="2957">
      <c r="A2957" s="1" t="s">
        <v>24</v>
      </c>
      <c r="B2957" s="1" t="s">
        <v>180</v>
      </c>
      <c r="C2957" s="1" t="s">
        <v>46</v>
      </c>
      <c r="D2957" s="6">
        <v>19.0</v>
      </c>
      <c r="E2957" s="6">
        <v>203355.0</v>
      </c>
      <c r="F2957" s="6">
        <v>0.0</v>
      </c>
      <c r="G2957" s="6">
        <v>22450.0</v>
      </c>
      <c r="H2957" s="6">
        <v>9.0581</v>
      </c>
      <c r="I2957" s="6">
        <v>0.0</v>
      </c>
      <c r="J2957" s="6">
        <v>9.0581</v>
      </c>
    </row>
    <row r="2958">
      <c r="A2958" s="1" t="s">
        <v>24</v>
      </c>
      <c r="B2958" s="1" t="s">
        <v>180</v>
      </c>
      <c r="C2958" s="1" t="s">
        <v>46</v>
      </c>
      <c r="D2958" s="6">
        <v>20.0</v>
      </c>
      <c r="E2958" s="6">
        <v>155375.0</v>
      </c>
      <c r="F2958" s="6">
        <v>0.0</v>
      </c>
      <c r="G2958" s="6">
        <v>22450.0</v>
      </c>
      <c r="H2958" s="6">
        <v>6.9209</v>
      </c>
      <c r="I2958" s="6">
        <v>0.0</v>
      </c>
      <c r="J2958" s="6">
        <v>6.9209</v>
      </c>
    </row>
    <row r="2959">
      <c r="A2959" s="1" t="s">
        <v>24</v>
      </c>
      <c r="B2959" s="1" t="s">
        <v>180</v>
      </c>
      <c r="C2959" s="1" t="s">
        <v>46</v>
      </c>
      <c r="D2959" s="6">
        <v>21.0</v>
      </c>
      <c r="E2959" s="6">
        <v>291296.0</v>
      </c>
      <c r="F2959" s="6">
        <v>0.0</v>
      </c>
      <c r="G2959" s="6">
        <v>22450.0</v>
      </c>
      <c r="H2959" s="6">
        <v>12.9753</v>
      </c>
      <c r="I2959" s="6">
        <v>0.0</v>
      </c>
      <c r="J2959" s="6">
        <v>12.9753</v>
      </c>
    </row>
    <row r="2960">
      <c r="A2960" s="1" t="s">
        <v>24</v>
      </c>
      <c r="B2960" s="1" t="s">
        <v>180</v>
      </c>
      <c r="C2960" s="1" t="s">
        <v>46</v>
      </c>
      <c r="D2960" s="6">
        <v>22.0</v>
      </c>
      <c r="E2960" s="6">
        <v>180122.0</v>
      </c>
      <c r="F2960" s="6">
        <v>0.0</v>
      </c>
      <c r="G2960" s="6">
        <v>22450.0</v>
      </c>
      <c r="H2960" s="6">
        <v>8.0233</v>
      </c>
      <c r="I2960" s="6">
        <v>0.0</v>
      </c>
      <c r="J2960" s="6">
        <v>8.0233</v>
      </c>
    </row>
    <row r="2961">
      <c r="A2961" s="1" t="s">
        <v>24</v>
      </c>
      <c r="B2961" s="1" t="s">
        <v>180</v>
      </c>
      <c r="C2961" s="1" t="s">
        <v>46</v>
      </c>
      <c r="D2961" s="6">
        <v>23.0</v>
      </c>
      <c r="E2961" s="6">
        <v>258470.0</v>
      </c>
      <c r="F2961" s="6">
        <v>0.0</v>
      </c>
      <c r="G2961" s="6">
        <v>22450.0</v>
      </c>
      <c r="H2961" s="6">
        <v>11.5131</v>
      </c>
      <c r="I2961" s="6">
        <v>0.0</v>
      </c>
      <c r="J2961" s="6">
        <v>11.5131</v>
      </c>
    </row>
    <row r="2962">
      <c r="A2962" s="1" t="s">
        <v>24</v>
      </c>
      <c r="B2962" s="1" t="s">
        <v>180</v>
      </c>
      <c r="C2962" s="1" t="s">
        <v>46</v>
      </c>
      <c r="D2962" s="6">
        <v>24.0</v>
      </c>
      <c r="E2962" s="6">
        <v>375633.0</v>
      </c>
      <c r="F2962" s="6">
        <v>0.0</v>
      </c>
      <c r="G2962" s="6">
        <v>22450.0</v>
      </c>
      <c r="H2962" s="6">
        <v>16.732</v>
      </c>
      <c r="I2962" s="6">
        <v>0.0</v>
      </c>
      <c r="J2962" s="6">
        <v>16.732</v>
      </c>
    </row>
    <row r="2963">
      <c r="A2963" s="1" t="s">
        <v>24</v>
      </c>
      <c r="B2963" s="1" t="s">
        <v>180</v>
      </c>
      <c r="C2963" s="1" t="s">
        <v>46</v>
      </c>
      <c r="D2963" s="6">
        <v>25.0</v>
      </c>
      <c r="E2963" s="6">
        <v>322778.0</v>
      </c>
      <c r="F2963" s="6">
        <v>0.0</v>
      </c>
      <c r="G2963" s="6">
        <v>22450.0</v>
      </c>
      <c r="H2963" s="6">
        <v>14.3776</v>
      </c>
      <c r="I2963" s="6">
        <v>0.0</v>
      </c>
      <c r="J2963" s="6">
        <v>14.3776</v>
      </c>
    </row>
    <row r="2964">
      <c r="A2964" s="1" t="s">
        <v>24</v>
      </c>
      <c r="B2964" s="1" t="s">
        <v>180</v>
      </c>
      <c r="C2964" s="1" t="s">
        <v>46</v>
      </c>
      <c r="D2964" s="6">
        <v>26.0</v>
      </c>
      <c r="E2964" s="6">
        <v>177069.0</v>
      </c>
      <c r="F2964" s="6">
        <v>0.0</v>
      </c>
      <c r="G2964" s="6">
        <v>22450.0</v>
      </c>
      <c r="H2964" s="6">
        <v>7.8873</v>
      </c>
      <c r="I2964" s="6">
        <v>0.0</v>
      </c>
      <c r="J2964" s="6">
        <v>7.8873</v>
      </c>
    </row>
    <row r="2965">
      <c r="A2965" s="1" t="s">
        <v>24</v>
      </c>
      <c r="B2965" s="1" t="s">
        <v>180</v>
      </c>
      <c r="C2965" s="1" t="s">
        <v>46</v>
      </c>
      <c r="D2965" s="6">
        <v>27.0</v>
      </c>
      <c r="E2965" s="6">
        <v>126057.0</v>
      </c>
      <c r="F2965" s="6">
        <v>0.0</v>
      </c>
      <c r="G2965" s="6">
        <v>22450.0</v>
      </c>
      <c r="H2965" s="6">
        <v>5.615</v>
      </c>
      <c r="I2965" s="6">
        <v>0.0</v>
      </c>
      <c r="J2965" s="6">
        <v>5.615</v>
      </c>
    </row>
    <row r="2966">
      <c r="A2966" s="1" t="s">
        <v>24</v>
      </c>
      <c r="B2966" s="1" t="s">
        <v>180</v>
      </c>
      <c r="C2966" s="1" t="s">
        <v>46</v>
      </c>
      <c r="D2966" s="6">
        <v>28.0</v>
      </c>
      <c r="E2966" s="6">
        <v>291034.0</v>
      </c>
      <c r="F2966" s="6">
        <v>0.0</v>
      </c>
      <c r="G2966" s="6">
        <v>22450.0</v>
      </c>
      <c r="H2966" s="6">
        <v>12.9637</v>
      </c>
      <c r="I2966" s="6">
        <v>0.0</v>
      </c>
      <c r="J2966" s="6">
        <v>12.9637</v>
      </c>
    </row>
    <row r="2967">
      <c r="A2967" s="1" t="s">
        <v>24</v>
      </c>
      <c r="B2967" s="1" t="s">
        <v>180</v>
      </c>
      <c r="C2967" s="1" t="s">
        <v>46</v>
      </c>
      <c r="D2967" s="6">
        <v>29.0</v>
      </c>
      <c r="E2967" s="6">
        <v>171561.0</v>
      </c>
      <c r="F2967" s="6">
        <v>0.0</v>
      </c>
      <c r="G2967" s="6">
        <v>22450.0</v>
      </c>
      <c r="H2967" s="6">
        <v>7.6419</v>
      </c>
      <c r="I2967" s="6">
        <v>0.0</v>
      </c>
      <c r="J2967" s="6">
        <v>7.6419</v>
      </c>
    </row>
    <row r="2968">
      <c r="A2968" s="1" t="s">
        <v>24</v>
      </c>
      <c r="B2968" s="1" t="s">
        <v>180</v>
      </c>
      <c r="C2968" s="1" t="s">
        <v>46</v>
      </c>
      <c r="D2968" s="6">
        <v>30.0</v>
      </c>
      <c r="E2968" s="6">
        <v>960911.0</v>
      </c>
      <c r="F2968" s="6">
        <v>0.0</v>
      </c>
      <c r="G2968" s="6">
        <v>22450.0</v>
      </c>
      <c r="H2968" s="6">
        <v>42.8023</v>
      </c>
      <c r="I2968" s="6">
        <v>0.0</v>
      </c>
      <c r="J2968" s="6">
        <v>42.8023</v>
      </c>
    </row>
    <row r="2969">
      <c r="A2969" s="1" t="s">
        <v>24</v>
      </c>
      <c r="B2969" s="1" t="s">
        <v>180</v>
      </c>
      <c r="C2969" s="1" t="s">
        <v>46</v>
      </c>
      <c r="D2969" s="6">
        <v>31.0</v>
      </c>
      <c r="E2969" s="6">
        <v>501621.0</v>
      </c>
      <c r="F2969" s="6">
        <v>0.0</v>
      </c>
      <c r="G2969" s="6">
        <v>22450.0</v>
      </c>
      <c r="H2969" s="6">
        <v>22.3439</v>
      </c>
      <c r="I2969" s="6">
        <v>0.0</v>
      </c>
      <c r="J2969" s="6">
        <v>22.3439</v>
      </c>
    </row>
    <row r="2970">
      <c r="A2970" s="1" t="s">
        <v>24</v>
      </c>
      <c r="B2970" s="1" t="s">
        <v>180</v>
      </c>
      <c r="C2970" s="1" t="s">
        <v>46</v>
      </c>
      <c r="D2970" s="6">
        <v>32.0</v>
      </c>
      <c r="E2970" s="6">
        <v>385246.0</v>
      </c>
      <c r="F2970" s="6">
        <v>0.0</v>
      </c>
      <c r="G2970" s="6">
        <v>22450.0</v>
      </c>
      <c r="H2970" s="6">
        <v>17.1602</v>
      </c>
      <c r="I2970" s="6">
        <v>0.0</v>
      </c>
      <c r="J2970" s="6">
        <v>17.1602</v>
      </c>
    </row>
    <row r="2971">
      <c r="A2971" s="1" t="s">
        <v>24</v>
      </c>
      <c r="B2971" s="1" t="s">
        <v>180</v>
      </c>
      <c r="C2971" s="1" t="s">
        <v>46</v>
      </c>
      <c r="D2971" s="6">
        <v>33.0</v>
      </c>
      <c r="E2971" s="6">
        <v>239308.0</v>
      </c>
      <c r="F2971" s="6">
        <v>0.0</v>
      </c>
      <c r="G2971" s="6">
        <v>22450.0</v>
      </c>
      <c r="H2971" s="6">
        <v>10.6596</v>
      </c>
      <c r="I2971" s="6">
        <v>0.0</v>
      </c>
      <c r="J2971" s="6">
        <v>10.6596</v>
      </c>
    </row>
    <row r="2972">
      <c r="A2972" s="1" t="s">
        <v>24</v>
      </c>
      <c r="B2972" s="1" t="s">
        <v>180</v>
      </c>
      <c r="C2972" s="1" t="s">
        <v>1213</v>
      </c>
      <c r="D2972" s="6">
        <v>1.0</v>
      </c>
      <c r="E2972" s="6">
        <v>30.0</v>
      </c>
      <c r="F2972" s="6">
        <v>0.0</v>
      </c>
      <c r="G2972" s="6">
        <v>5116.0</v>
      </c>
      <c r="H2972" s="6">
        <v>0.0059</v>
      </c>
      <c r="I2972" s="6">
        <v>0.0</v>
      </c>
      <c r="J2972" s="6">
        <v>0.0059</v>
      </c>
    </row>
    <row r="2973">
      <c r="A2973" s="1" t="s">
        <v>24</v>
      </c>
      <c r="B2973" s="1" t="s">
        <v>180</v>
      </c>
      <c r="C2973" s="1" t="s">
        <v>1213</v>
      </c>
      <c r="D2973" s="6">
        <v>2.0</v>
      </c>
      <c r="E2973" s="6">
        <v>10125.0</v>
      </c>
      <c r="F2973" s="6">
        <v>0.0</v>
      </c>
      <c r="G2973" s="6">
        <v>5116.0</v>
      </c>
      <c r="H2973" s="6">
        <v>1.9791</v>
      </c>
      <c r="I2973" s="6">
        <v>0.0</v>
      </c>
      <c r="J2973" s="6">
        <v>1.9791</v>
      </c>
    </row>
    <row r="2974">
      <c r="A2974" s="1" t="s">
        <v>24</v>
      </c>
      <c r="B2974" s="1" t="s">
        <v>180</v>
      </c>
      <c r="C2974" s="1" t="s">
        <v>1213</v>
      </c>
      <c r="D2974" s="6">
        <v>3.0</v>
      </c>
      <c r="E2974" s="6">
        <v>7480.0</v>
      </c>
      <c r="F2974" s="6">
        <v>0.0</v>
      </c>
      <c r="G2974" s="6">
        <v>5116.0</v>
      </c>
      <c r="H2974" s="6">
        <v>1.4621</v>
      </c>
      <c r="I2974" s="6">
        <v>0.0</v>
      </c>
      <c r="J2974" s="6">
        <v>1.4621</v>
      </c>
    </row>
    <row r="2975">
      <c r="A2975" s="1" t="s">
        <v>24</v>
      </c>
      <c r="B2975" s="1" t="s">
        <v>180</v>
      </c>
      <c r="C2975" s="1" t="s">
        <v>1213</v>
      </c>
      <c r="D2975" s="6">
        <v>4.0</v>
      </c>
      <c r="E2975" s="6">
        <v>7675.0</v>
      </c>
      <c r="F2975" s="6">
        <v>0.0</v>
      </c>
      <c r="G2975" s="6">
        <v>5116.0</v>
      </c>
      <c r="H2975" s="6">
        <v>1.5002</v>
      </c>
      <c r="I2975" s="6">
        <v>0.0</v>
      </c>
      <c r="J2975" s="6">
        <v>1.5002</v>
      </c>
    </row>
    <row r="2976">
      <c r="A2976" s="1" t="s">
        <v>24</v>
      </c>
      <c r="B2976" s="1" t="s">
        <v>180</v>
      </c>
      <c r="C2976" s="1" t="s">
        <v>1213</v>
      </c>
      <c r="D2976" s="6">
        <v>5.0</v>
      </c>
      <c r="E2976" s="6">
        <v>7375.0</v>
      </c>
      <c r="F2976" s="6">
        <v>0.0</v>
      </c>
      <c r="G2976" s="6">
        <v>5116.0</v>
      </c>
      <c r="H2976" s="6">
        <v>1.4416</v>
      </c>
      <c r="I2976" s="6">
        <v>0.0</v>
      </c>
      <c r="J2976" s="6">
        <v>1.4416</v>
      </c>
    </row>
    <row r="2977">
      <c r="A2977" s="1" t="s">
        <v>24</v>
      </c>
      <c r="B2977" s="1" t="s">
        <v>180</v>
      </c>
      <c r="C2977" s="1" t="s">
        <v>1213</v>
      </c>
      <c r="D2977" s="6">
        <v>6.0</v>
      </c>
      <c r="E2977" s="6">
        <v>8590.0</v>
      </c>
      <c r="F2977" s="6">
        <v>0.0</v>
      </c>
      <c r="G2977" s="6">
        <v>5116.0</v>
      </c>
      <c r="H2977" s="6">
        <v>1.679</v>
      </c>
      <c r="I2977" s="6">
        <v>0.0</v>
      </c>
      <c r="J2977" s="6">
        <v>1.679</v>
      </c>
    </row>
    <row r="2978">
      <c r="A2978" s="1" t="s">
        <v>24</v>
      </c>
      <c r="B2978" s="1" t="s">
        <v>180</v>
      </c>
      <c r="C2978" s="1" t="s">
        <v>1213</v>
      </c>
      <c r="D2978" s="6">
        <v>7.0</v>
      </c>
      <c r="E2978" s="6">
        <v>6290.0</v>
      </c>
      <c r="F2978" s="6">
        <v>0.0</v>
      </c>
      <c r="G2978" s="6">
        <v>5116.0</v>
      </c>
      <c r="H2978" s="6">
        <v>1.2295</v>
      </c>
      <c r="I2978" s="6">
        <v>0.0</v>
      </c>
      <c r="J2978" s="6">
        <v>1.2295</v>
      </c>
    </row>
    <row r="2979">
      <c r="A2979" s="1" t="s">
        <v>24</v>
      </c>
      <c r="B2979" s="1" t="s">
        <v>180</v>
      </c>
      <c r="C2979" s="1" t="s">
        <v>1213</v>
      </c>
      <c r="D2979" s="6">
        <v>8.0</v>
      </c>
      <c r="E2979" s="6">
        <v>6035.0</v>
      </c>
      <c r="F2979" s="6">
        <v>0.0</v>
      </c>
      <c r="G2979" s="6">
        <v>5116.0</v>
      </c>
      <c r="H2979" s="6">
        <v>1.1796</v>
      </c>
      <c r="I2979" s="6">
        <v>0.0</v>
      </c>
      <c r="J2979" s="6">
        <v>1.1796</v>
      </c>
    </row>
    <row r="2980">
      <c r="A2980" s="1" t="s">
        <v>24</v>
      </c>
      <c r="B2980" s="1" t="s">
        <v>180</v>
      </c>
      <c r="C2980" s="1" t="s">
        <v>1213</v>
      </c>
      <c r="D2980" s="6">
        <v>9.0</v>
      </c>
      <c r="E2980" s="6">
        <v>205.0</v>
      </c>
      <c r="F2980" s="6">
        <v>0.0</v>
      </c>
      <c r="G2980" s="6">
        <v>5116.0</v>
      </c>
      <c r="H2980" s="6">
        <v>0.0401</v>
      </c>
      <c r="I2980" s="6">
        <v>0.0</v>
      </c>
      <c r="J2980" s="6">
        <v>0.0401</v>
      </c>
    </row>
    <row r="2981">
      <c r="A2981" s="1" t="s">
        <v>24</v>
      </c>
      <c r="B2981" s="1" t="s">
        <v>180</v>
      </c>
      <c r="C2981" s="1" t="s">
        <v>1213</v>
      </c>
      <c r="D2981" s="6">
        <v>10.0</v>
      </c>
      <c r="E2981" s="6">
        <v>30.0</v>
      </c>
      <c r="F2981" s="6">
        <v>0.0</v>
      </c>
      <c r="G2981" s="6">
        <v>5116.0</v>
      </c>
      <c r="H2981" s="6">
        <v>0.0059</v>
      </c>
      <c r="I2981" s="6">
        <v>0.0</v>
      </c>
      <c r="J2981" s="6">
        <v>0.0059</v>
      </c>
    </row>
    <row r="2982">
      <c r="A2982" s="1" t="s">
        <v>24</v>
      </c>
      <c r="B2982" s="1" t="s">
        <v>180</v>
      </c>
      <c r="C2982" s="1" t="s">
        <v>1213</v>
      </c>
      <c r="D2982" s="6">
        <v>11.0</v>
      </c>
      <c r="E2982" s="6">
        <v>60.0</v>
      </c>
      <c r="F2982" s="6">
        <v>0.0</v>
      </c>
      <c r="G2982" s="6">
        <v>5116.0</v>
      </c>
      <c r="H2982" s="6">
        <v>0.0117</v>
      </c>
      <c r="I2982" s="6">
        <v>0.0</v>
      </c>
      <c r="J2982" s="6">
        <v>0.0117</v>
      </c>
    </row>
    <row r="2983">
      <c r="A2983" s="1" t="s">
        <v>24</v>
      </c>
      <c r="B2983" s="1" t="s">
        <v>180</v>
      </c>
      <c r="C2983" s="1" t="s">
        <v>1213</v>
      </c>
      <c r="D2983" s="6">
        <v>12.0</v>
      </c>
      <c r="E2983" s="6">
        <v>45.0</v>
      </c>
      <c r="F2983" s="6">
        <v>0.0</v>
      </c>
      <c r="G2983" s="6">
        <v>5116.0</v>
      </c>
      <c r="H2983" s="6">
        <v>0.0088</v>
      </c>
      <c r="I2983" s="6">
        <v>0.0</v>
      </c>
      <c r="J2983" s="6">
        <v>0.0088</v>
      </c>
    </row>
    <row r="2984">
      <c r="A2984" s="1" t="s">
        <v>24</v>
      </c>
      <c r="B2984" s="1" t="s">
        <v>180</v>
      </c>
      <c r="C2984" s="1" t="s">
        <v>1213</v>
      </c>
      <c r="D2984" s="6">
        <v>13.0</v>
      </c>
      <c r="E2984" s="6">
        <v>0.0</v>
      </c>
      <c r="F2984" s="6">
        <v>0.0</v>
      </c>
      <c r="G2984" s="6">
        <v>5116.0</v>
      </c>
      <c r="H2984" s="6">
        <v>0.0</v>
      </c>
      <c r="I2984" s="6">
        <v>0.0</v>
      </c>
      <c r="J2984" s="6">
        <v>0.0</v>
      </c>
    </row>
    <row r="2985">
      <c r="A2985" s="1" t="s">
        <v>24</v>
      </c>
      <c r="B2985" s="1" t="s">
        <v>180</v>
      </c>
      <c r="C2985" s="1" t="s">
        <v>1213</v>
      </c>
      <c r="D2985" s="6">
        <v>14.0</v>
      </c>
      <c r="E2985" s="6">
        <v>60.0</v>
      </c>
      <c r="F2985" s="6">
        <v>0.0</v>
      </c>
      <c r="G2985" s="6">
        <v>5116.0</v>
      </c>
      <c r="H2985" s="6">
        <v>0.0117</v>
      </c>
      <c r="I2985" s="6">
        <v>0.0</v>
      </c>
      <c r="J2985" s="6">
        <v>0.0117</v>
      </c>
    </row>
    <row r="2986">
      <c r="A2986" s="1" t="s">
        <v>24</v>
      </c>
      <c r="B2986" s="1" t="s">
        <v>180</v>
      </c>
      <c r="C2986" s="1" t="s">
        <v>1213</v>
      </c>
      <c r="D2986" s="6">
        <v>15.0</v>
      </c>
      <c r="E2986" s="6">
        <v>150.0</v>
      </c>
      <c r="F2986" s="6">
        <v>0.0</v>
      </c>
      <c r="G2986" s="6">
        <v>5116.0</v>
      </c>
      <c r="H2986" s="6">
        <v>0.0293</v>
      </c>
      <c r="I2986" s="6">
        <v>0.0</v>
      </c>
      <c r="J2986" s="6">
        <v>0.0293</v>
      </c>
    </row>
    <row r="2987">
      <c r="A2987" s="1" t="s">
        <v>24</v>
      </c>
      <c r="B2987" s="1" t="s">
        <v>180</v>
      </c>
      <c r="C2987" s="1" t="s">
        <v>1213</v>
      </c>
      <c r="D2987" s="6">
        <v>16.0</v>
      </c>
      <c r="E2987" s="6">
        <v>10845.0</v>
      </c>
      <c r="F2987" s="6">
        <v>0.0</v>
      </c>
      <c r="G2987" s="6">
        <v>5116.0</v>
      </c>
      <c r="H2987" s="6">
        <v>2.1198</v>
      </c>
      <c r="I2987" s="6">
        <v>0.0</v>
      </c>
      <c r="J2987" s="6">
        <v>2.1198</v>
      </c>
    </row>
    <row r="2988">
      <c r="A2988" s="1" t="s">
        <v>24</v>
      </c>
      <c r="B2988" s="1" t="s">
        <v>180</v>
      </c>
      <c r="C2988" s="1" t="s">
        <v>1213</v>
      </c>
      <c r="D2988" s="6">
        <v>17.0</v>
      </c>
      <c r="E2988" s="6">
        <v>8555.0</v>
      </c>
      <c r="F2988" s="6">
        <v>0.0</v>
      </c>
      <c r="G2988" s="6">
        <v>5116.0</v>
      </c>
      <c r="H2988" s="6">
        <v>1.6722</v>
      </c>
      <c r="I2988" s="6">
        <v>0.0</v>
      </c>
      <c r="J2988" s="6">
        <v>1.6722</v>
      </c>
    </row>
    <row r="2989">
      <c r="A2989" s="1" t="s">
        <v>24</v>
      </c>
      <c r="B2989" s="1" t="s">
        <v>180</v>
      </c>
      <c r="C2989" s="1" t="s">
        <v>1213</v>
      </c>
      <c r="D2989" s="6">
        <v>18.0</v>
      </c>
      <c r="E2989" s="6">
        <v>8955.0</v>
      </c>
      <c r="F2989" s="6">
        <v>0.0</v>
      </c>
      <c r="G2989" s="6">
        <v>5116.0</v>
      </c>
      <c r="H2989" s="6">
        <v>1.7504</v>
      </c>
      <c r="I2989" s="6">
        <v>0.0</v>
      </c>
      <c r="J2989" s="6">
        <v>1.7504</v>
      </c>
    </row>
    <row r="2990">
      <c r="A2990" s="1" t="s">
        <v>24</v>
      </c>
      <c r="B2990" s="1" t="s">
        <v>180</v>
      </c>
      <c r="C2990" s="1" t="s">
        <v>1213</v>
      </c>
      <c r="D2990" s="6">
        <v>19.0</v>
      </c>
      <c r="E2990" s="6">
        <v>7890.0</v>
      </c>
      <c r="F2990" s="6">
        <v>0.0</v>
      </c>
      <c r="G2990" s="6">
        <v>5116.0</v>
      </c>
      <c r="H2990" s="6">
        <v>1.5422</v>
      </c>
      <c r="I2990" s="6">
        <v>0.0</v>
      </c>
      <c r="J2990" s="6">
        <v>1.5422</v>
      </c>
    </row>
    <row r="2991">
      <c r="A2991" s="1" t="s">
        <v>24</v>
      </c>
      <c r="B2991" s="1" t="s">
        <v>180</v>
      </c>
      <c r="C2991" s="1" t="s">
        <v>1213</v>
      </c>
      <c r="D2991" s="6">
        <v>20.0</v>
      </c>
      <c r="E2991" s="6">
        <v>8070.0</v>
      </c>
      <c r="F2991" s="6">
        <v>0.0</v>
      </c>
      <c r="G2991" s="6">
        <v>5116.0</v>
      </c>
      <c r="H2991" s="6">
        <v>1.5774</v>
      </c>
      <c r="I2991" s="6">
        <v>0.0</v>
      </c>
      <c r="J2991" s="6">
        <v>1.5774</v>
      </c>
    </row>
    <row r="2992">
      <c r="A2992" s="1" t="s">
        <v>24</v>
      </c>
      <c r="B2992" s="1" t="s">
        <v>180</v>
      </c>
      <c r="C2992" s="1" t="s">
        <v>1213</v>
      </c>
      <c r="D2992" s="6">
        <v>21.0</v>
      </c>
      <c r="E2992" s="6">
        <v>8100.0</v>
      </c>
      <c r="F2992" s="6">
        <v>0.0</v>
      </c>
      <c r="G2992" s="6">
        <v>5116.0</v>
      </c>
      <c r="H2992" s="6">
        <v>1.5833</v>
      </c>
      <c r="I2992" s="6">
        <v>0.0</v>
      </c>
      <c r="J2992" s="6">
        <v>1.5833</v>
      </c>
    </row>
    <row r="2993">
      <c r="A2993" s="1" t="s">
        <v>24</v>
      </c>
      <c r="B2993" s="1" t="s">
        <v>180</v>
      </c>
      <c r="C2993" s="1" t="s">
        <v>1213</v>
      </c>
      <c r="D2993" s="6">
        <v>22.0</v>
      </c>
      <c r="E2993" s="6">
        <v>7130.0</v>
      </c>
      <c r="F2993" s="6">
        <v>0.0</v>
      </c>
      <c r="G2993" s="6">
        <v>5116.0</v>
      </c>
      <c r="H2993" s="6">
        <v>1.3937</v>
      </c>
      <c r="I2993" s="6">
        <v>0.0</v>
      </c>
      <c r="J2993" s="6">
        <v>1.3937</v>
      </c>
    </row>
    <row r="2994">
      <c r="A2994" s="1" t="s">
        <v>24</v>
      </c>
      <c r="B2994" s="1" t="s">
        <v>180</v>
      </c>
      <c r="C2994" s="1" t="s">
        <v>1213</v>
      </c>
      <c r="D2994" s="6">
        <v>23.0</v>
      </c>
      <c r="E2994" s="6">
        <v>220.0</v>
      </c>
      <c r="F2994" s="6">
        <v>0.0</v>
      </c>
      <c r="G2994" s="6">
        <v>5116.0</v>
      </c>
      <c r="H2994" s="6">
        <v>0.043</v>
      </c>
      <c r="I2994" s="6">
        <v>0.0</v>
      </c>
      <c r="J2994" s="6">
        <v>0.043</v>
      </c>
    </row>
    <row r="2995">
      <c r="A2995" s="1" t="s">
        <v>24</v>
      </c>
      <c r="B2995" s="1" t="s">
        <v>180</v>
      </c>
      <c r="C2995" s="1" t="s">
        <v>1213</v>
      </c>
      <c r="D2995" s="6">
        <v>24.0</v>
      </c>
      <c r="E2995" s="6">
        <v>30.0</v>
      </c>
      <c r="F2995" s="6">
        <v>0.0</v>
      </c>
      <c r="G2995" s="6">
        <v>5116.0</v>
      </c>
      <c r="H2995" s="6">
        <v>0.0059</v>
      </c>
      <c r="I2995" s="6">
        <v>0.0</v>
      </c>
      <c r="J2995" s="6">
        <v>0.0059</v>
      </c>
    </row>
    <row r="2996">
      <c r="A2996" s="1" t="s">
        <v>24</v>
      </c>
      <c r="B2996" s="1" t="s">
        <v>180</v>
      </c>
      <c r="C2996" s="1" t="s">
        <v>1213</v>
      </c>
      <c r="D2996" s="6">
        <v>25.0</v>
      </c>
      <c r="E2996" s="6">
        <v>15.0</v>
      </c>
      <c r="F2996" s="6">
        <v>0.0</v>
      </c>
      <c r="G2996" s="6">
        <v>5116.0</v>
      </c>
      <c r="H2996" s="6">
        <v>0.0029</v>
      </c>
      <c r="I2996" s="6">
        <v>0.0</v>
      </c>
      <c r="J2996" s="6">
        <v>0.0029</v>
      </c>
    </row>
    <row r="2997">
      <c r="A2997" s="1" t="s">
        <v>24</v>
      </c>
      <c r="B2997" s="1" t="s">
        <v>180</v>
      </c>
      <c r="C2997" s="1" t="s">
        <v>1213</v>
      </c>
      <c r="D2997" s="6">
        <v>26.0</v>
      </c>
      <c r="E2997" s="6">
        <v>0.0</v>
      </c>
      <c r="F2997" s="6">
        <v>0.0</v>
      </c>
      <c r="G2997" s="6">
        <v>5116.0</v>
      </c>
      <c r="H2997" s="6">
        <v>0.0</v>
      </c>
      <c r="I2997" s="6">
        <v>0.0</v>
      </c>
      <c r="J2997" s="6">
        <v>0.0</v>
      </c>
    </row>
    <row r="2998">
      <c r="A2998" s="1" t="s">
        <v>24</v>
      </c>
      <c r="B2998" s="1" t="s">
        <v>180</v>
      </c>
      <c r="C2998" s="1" t="s">
        <v>1213</v>
      </c>
      <c r="D2998" s="6">
        <v>27.0</v>
      </c>
      <c r="E2998" s="6">
        <v>30.0</v>
      </c>
      <c r="F2998" s="6">
        <v>0.0</v>
      </c>
      <c r="G2998" s="6">
        <v>5116.0</v>
      </c>
      <c r="H2998" s="6">
        <v>0.0059</v>
      </c>
      <c r="I2998" s="6">
        <v>0.0</v>
      </c>
      <c r="J2998" s="6">
        <v>0.0059</v>
      </c>
    </row>
    <row r="2999">
      <c r="A2999" s="1" t="s">
        <v>24</v>
      </c>
      <c r="B2999" s="1" t="s">
        <v>180</v>
      </c>
      <c r="C2999" s="1" t="s">
        <v>1213</v>
      </c>
      <c r="D2999" s="6">
        <v>28.0</v>
      </c>
      <c r="E2999" s="6">
        <v>30.0</v>
      </c>
      <c r="F2999" s="6">
        <v>0.0</v>
      </c>
      <c r="G2999" s="6">
        <v>5116.0</v>
      </c>
      <c r="H2999" s="6">
        <v>0.0059</v>
      </c>
      <c r="I2999" s="6">
        <v>0.0</v>
      </c>
      <c r="J2999" s="6">
        <v>0.0059</v>
      </c>
    </row>
    <row r="3000">
      <c r="A3000" s="1" t="s">
        <v>24</v>
      </c>
      <c r="B3000" s="1" t="s">
        <v>180</v>
      </c>
      <c r="C3000" s="1" t="s">
        <v>1213</v>
      </c>
      <c r="D3000" s="6">
        <v>29.0</v>
      </c>
      <c r="E3000" s="6">
        <v>15.0</v>
      </c>
      <c r="F3000" s="6">
        <v>0.0</v>
      </c>
      <c r="G3000" s="6">
        <v>5116.0</v>
      </c>
      <c r="H3000" s="6">
        <v>0.0029</v>
      </c>
      <c r="I3000" s="6">
        <v>0.0</v>
      </c>
      <c r="J3000" s="6">
        <v>0.0029</v>
      </c>
    </row>
    <row r="3001">
      <c r="A3001" s="1" t="s">
        <v>24</v>
      </c>
      <c r="B3001" s="1" t="s">
        <v>180</v>
      </c>
      <c r="C3001" s="1" t="s">
        <v>1213</v>
      </c>
      <c r="D3001" s="6">
        <v>30.0</v>
      </c>
      <c r="E3001" s="6">
        <v>12180.0</v>
      </c>
      <c r="F3001" s="6">
        <v>0.0</v>
      </c>
      <c r="G3001" s="6">
        <v>5116.0</v>
      </c>
      <c r="H3001" s="6">
        <v>2.3808</v>
      </c>
      <c r="I3001" s="6">
        <v>0.0</v>
      </c>
      <c r="J3001" s="6">
        <v>2.3808</v>
      </c>
    </row>
    <row r="3002">
      <c r="A3002" s="1" t="s">
        <v>24</v>
      </c>
      <c r="B3002" s="1" t="s">
        <v>180</v>
      </c>
      <c r="C3002" s="1" t="s">
        <v>1213</v>
      </c>
      <c r="D3002" s="6">
        <v>31.0</v>
      </c>
      <c r="E3002" s="6">
        <v>10740.0</v>
      </c>
      <c r="F3002" s="6">
        <v>0.0</v>
      </c>
      <c r="G3002" s="6">
        <v>5116.0</v>
      </c>
      <c r="H3002" s="6">
        <v>2.0993</v>
      </c>
      <c r="I3002" s="6">
        <v>0.0</v>
      </c>
      <c r="J3002" s="6">
        <v>2.0993</v>
      </c>
    </row>
    <row r="3003">
      <c r="A3003" s="1" t="s">
        <v>24</v>
      </c>
      <c r="B3003" s="1" t="s">
        <v>180</v>
      </c>
      <c r="C3003" s="1" t="s">
        <v>1213</v>
      </c>
      <c r="D3003" s="6">
        <v>32.0</v>
      </c>
      <c r="E3003" s="6">
        <v>9360.0</v>
      </c>
      <c r="F3003" s="6">
        <v>0.0</v>
      </c>
      <c r="G3003" s="6">
        <v>5116.0</v>
      </c>
      <c r="H3003" s="6">
        <v>1.8296</v>
      </c>
      <c r="I3003" s="6">
        <v>0.0</v>
      </c>
      <c r="J3003" s="6">
        <v>1.8296</v>
      </c>
    </row>
    <row r="3004">
      <c r="A3004" s="1" t="s">
        <v>24</v>
      </c>
      <c r="B3004" s="1" t="s">
        <v>180</v>
      </c>
      <c r="C3004" s="1" t="s">
        <v>1213</v>
      </c>
      <c r="D3004" s="6">
        <v>33.0</v>
      </c>
      <c r="E3004" s="6">
        <v>8405.0</v>
      </c>
      <c r="F3004" s="6">
        <v>0.0</v>
      </c>
      <c r="G3004" s="6">
        <v>5116.0</v>
      </c>
      <c r="H3004" s="6">
        <v>1.6429</v>
      </c>
      <c r="I3004" s="6">
        <v>0.0</v>
      </c>
      <c r="J3004" s="6">
        <v>1.6429</v>
      </c>
    </row>
    <row r="3005">
      <c r="A3005" s="1" t="s">
        <v>24</v>
      </c>
      <c r="B3005" s="1" t="s">
        <v>1192</v>
      </c>
      <c r="C3005" s="1" t="s">
        <v>1205</v>
      </c>
      <c r="D3005" s="6">
        <v>1.0</v>
      </c>
      <c r="E3005" s="6">
        <v>1772007.0</v>
      </c>
      <c r="F3005" s="6">
        <v>1883550.0</v>
      </c>
      <c r="G3005" s="6">
        <v>12879.0</v>
      </c>
      <c r="H3005" s="6">
        <v>137.5889</v>
      </c>
      <c r="I3005" s="6">
        <v>146.2497</v>
      </c>
      <c r="J3005" s="6">
        <v>-8.6608</v>
      </c>
    </row>
    <row r="3006">
      <c r="A3006" s="1" t="s">
        <v>24</v>
      </c>
      <c r="B3006" s="1" t="s">
        <v>1192</v>
      </c>
      <c r="C3006" s="1" t="s">
        <v>1205</v>
      </c>
      <c r="D3006" s="6">
        <v>2.0</v>
      </c>
      <c r="E3006" s="6">
        <v>2026629.0</v>
      </c>
      <c r="F3006" s="6">
        <v>1981550.0</v>
      </c>
      <c r="G3006" s="6">
        <v>12879.0</v>
      </c>
      <c r="H3006" s="6">
        <v>157.3592</v>
      </c>
      <c r="I3006" s="6">
        <v>153.859</v>
      </c>
      <c r="J3006" s="6">
        <v>3.5002</v>
      </c>
    </row>
    <row r="3007">
      <c r="A3007" s="1" t="s">
        <v>24</v>
      </c>
      <c r="B3007" s="1" t="s">
        <v>1192</v>
      </c>
      <c r="C3007" s="1" t="s">
        <v>1205</v>
      </c>
      <c r="D3007" s="6">
        <v>3.0</v>
      </c>
      <c r="E3007" s="6">
        <v>1926822.0</v>
      </c>
      <c r="F3007" s="6">
        <v>1961150.0</v>
      </c>
      <c r="G3007" s="6">
        <v>12879.0</v>
      </c>
      <c r="H3007" s="6">
        <v>149.6096</v>
      </c>
      <c r="I3007" s="6">
        <v>152.275</v>
      </c>
      <c r="J3007" s="6">
        <v>-2.6654</v>
      </c>
    </row>
    <row r="3008">
      <c r="A3008" s="1" t="s">
        <v>24</v>
      </c>
      <c r="B3008" s="1" t="s">
        <v>1192</v>
      </c>
      <c r="C3008" s="1" t="s">
        <v>1205</v>
      </c>
      <c r="D3008" s="6">
        <v>4.0</v>
      </c>
      <c r="E3008" s="6">
        <v>2016076.0</v>
      </c>
      <c r="F3008" s="6">
        <v>2021200.0</v>
      </c>
      <c r="G3008" s="6">
        <v>12879.0</v>
      </c>
      <c r="H3008" s="6">
        <v>156.5398</v>
      </c>
      <c r="I3008" s="6">
        <v>156.9377</v>
      </c>
      <c r="J3008" s="6">
        <v>-0.3979</v>
      </c>
    </row>
    <row r="3009">
      <c r="A3009" s="1" t="s">
        <v>24</v>
      </c>
      <c r="B3009" s="1" t="s">
        <v>1192</v>
      </c>
      <c r="C3009" s="1" t="s">
        <v>1205</v>
      </c>
      <c r="D3009" s="6">
        <v>5.0</v>
      </c>
      <c r="E3009" s="6">
        <v>1854524.0</v>
      </c>
      <c r="F3009" s="6">
        <v>1966100.0</v>
      </c>
      <c r="G3009" s="6">
        <v>12879.0</v>
      </c>
      <c r="H3009" s="6">
        <v>143.996</v>
      </c>
      <c r="I3009" s="6">
        <v>152.6594</v>
      </c>
      <c r="J3009" s="6">
        <v>-8.6634</v>
      </c>
    </row>
    <row r="3010">
      <c r="A3010" s="1" t="s">
        <v>24</v>
      </c>
      <c r="B3010" s="1" t="s">
        <v>1192</v>
      </c>
      <c r="C3010" s="1" t="s">
        <v>1205</v>
      </c>
      <c r="D3010" s="6">
        <v>6.0</v>
      </c>
      <c r="E3010" s="6">
        <v>2568475.0</v>
      </c>
      <c r="F3010" s="6">
        <v>2507950.0</v>
      </c>
      <c r="G3010" s="6">
        <v>12879.0</v>
      </c>
      <c r="H3010" s="6">
        <v>199.4312</v>
      </c>
      <c r="I3010" s="6">
        <v>194.7317</v>
      </c>
      <c r="J3010" s="6">
        <v>4.6995</v>
      </c>
    </row>
    <row r="3011">
      <c r="A3011" s="1" t="s">
        <v>24</v>
      </c>
      <c r="B3011" s="1" t="s">
        <v>1192</v>
      </c>
      <c r="C3011" s="1" t="s">
        <v>1205</v>
      </c>
      <c r="D3011" s="6">
        <v>7.0</v>
      </c>
      <c r="E3011" s="6">
        <v>1977590.0</v>
      </c>
      <c r="F3011" s="6">
        <v>1979950.0</v>
      </c>
      <c r="G3011" s="6">
        <v>12879.0</v>
      </c>
      <c r="H3011" s="6">
        <v>153.5515</v>
      </c>
      <c r="I3011" s="6">
        <v>153.7348</v>
      </c>
      <c r="J3011" s="6">
        <v>-0.1832</v>
      </c>
    </row>
    <row r="3012">
      <c r="A3012" s="1" t="s">
        <v>24</v>
      </c>
      <c r="B3012" s="1" t="s">
        <v>1192</v>
      </c>
      <c r="C3012" s="1" t="s">
        <v>1205</v>
      </c>
      <c r="D3012" s="6">
        <v>8.0</v>
      </c>
      <c r="E3012" s="6">
        <v>1750862.0</v>
      </c>
      <c r="F3012" s="6">
        <v>1857100.0</v>
      </c>
      <c r="G3012" s="6">
        <v>12879.0</v>
      </c>
      <c r="H3012" s="6">
        <v>135.947</v>
      </c>
      <c r="I3012" s="6">
        <v>144.196</v>
      </c>
      <c r="J3012" s="6">
        <v>-8.2489</v>
      </c>
    </row>
    <row r="3013">
      <c r="A3013" s="1" t="s">
        <v>24</v>
      </c>
      <c r="B3013" s="1" t="s">
        <v>1192</v>
      </c>
      <c r="C3013" s="1" t="s">
        <v>1205</v>
      </c>
      <c r="D3013" s="6">
        <v>9.0</v>
      </c>
      <c r="E3013" s="6">
        <v>1897676.0</v>
      </c>
      <c r="F3013" s="6">
        <v>1891450.0</v>
      </c>
      <c r="G3013" s="6">
        <v>12879.0</v>
      </c>
      <c r="H3013" s="6">
        <v>147.3465</v>
      </c>
      <c r="I3013" s="6">
        <v>146.8631</v>
      </c>
      <c r="J3013" s="6">
        <v>0.4834</v>
      </c>
    </row>
    <row r="3014">
      <c r="A3014" s="1" t="s">
        <v>24</v>
      </c>
      <c r="B3014" s="1" t="s">
        <v>1192</v>
      </c>
      <c r="C3014" s="1" t="s">
        <v>1205</v>
      </c>
      <c r="D3014" s="6">
        <v>10.0</v>
      </c>
      <c r="E3014" s="6">
        <v>1943529.0</v>
      </c>
      <c r="F3014" s="6">
        <v>1990050.0</v>
      </c>
      <c r="G3014" s="6">
        <v>12879.0</v>
      </c>
      <c r="H3014" s="6">
        <v>150.9068</v>
      </c>
      <c r="I3014" s="6">
        <v>154.519</v>
      </c>
      <c r="J3014" s="6">
        <v>-3.6122</v>
      </c>
    </row>
    <row r="3015">
      <c r="A3015" s="1" t="s">
        <v>24</v>
      </c>
      <c r="B3015" s="1" t="s">
        <v>1192</v>
      </c>
      <c r="C3015" s="1" t="s">
        <v>1205</v>
      </c>
      <c r="D3015" s="6">
        <v>11.0</v>
      </c>
      <c r="E3015" s="6">
        <v>2003113.0</v>
      </c>
      <c r="F3015" s="6">
        <v>2033950.0</v>
      </c>
      <c r="G3015" s="6">
        <v>12879.0</v>
      </c>
      <c r="H3015" s="6">
        <v>155.5333</v>
      </c>
      <c r="I3015" s="6">
        <v>157.9276</v>
      </c>
      <c r="J3015" s="6">
        <v>-2.3944</v>
      </c>
    </row>
    <row r="3016">
      <c r="A3016" s="1" t="s">
        <v>24</v>
      </c>
      <c r="B3016" s="1" t="s">
        <v>1192</v>
      </c>
      <c r="C3016" s="1" t="s">
        <v>1205</v>
      </c>
      <c r="D3016" s="6">
        <v>12.0</v>
      </c>
      <c r="E3016" s="6">
        <v>1901859.0</v>
      </c>
      <c r="F3016" s="6">
        <v>2039250.0</v>
      </c>
      <c r="G3016" s="6">
        <v>12879.0</v>
      </c>
      <c r="H3016" s="6">
        <v>147.6713</v>
      </c>
      <c r="I3016" s="6">
        <v>158.3392</v>
      </c>
      <c r="J3016" s="6">
        <v>-10.6678</v>
      </c>
    </row>
    <row r="3017">
      <c r="A3017" s="1" t="s">
        <v>24</v>
      </c>
      <c r="B3017" s="1" t="s">
        <v>1192</v>
      </c>
      <c r="C3017" s="1" t="s">
        <v>1205</v>
      </c>
      <c r="D3017" s="6">
        <v>13.0</v>
      </c>
      <c r="E3017" s="6">
        <v>2607582.0</v>
      </c>
      <c r="F3017" s="6">
        <v>2619050.0</v>
      </c>
      <c r="G3017" s="6">
        <v>12879.0</v>
      </c>
      <c r="H3017" s="6">
        <v>202.4677</v>
      </c>
      <c r="I3017" s="6">
        <v>203.3582</v>
      </c>
      <c r="J3017" s="6">
        <v>-0.8904</v>
      </c>
    </row>
    <row r="3018">
      <c r="A3018" s="1" t="s">
        <v>24</v>
      </c>
      <c r="B3018" s="1" t="s">
        <v>1192</v>
      </c>
      <c r="C3018" s="1" t="s">
        <v>1205</v>
      </c>
      <c r="D3018" s="6">
        <v>14.0</v>
      </c>
      <c r="E3018" s="6">
        <v>2041165.0</v>
      </c>
      <c r="F3018" s="6">
        <v>2058850.0</v>
      </c>
      <c r="G3018" s="6">
        <v>12879.0</v>
      </c>
      <c r="H3018" s="6">
        <v>158.4878</v>
      </c>
      <c r="I3018" s="6">
        <v>159.861</v>
      </c>
      <c r="J3018" s="6">
        <v>-1.3732</v>
      </c>
    </row>
    <row r="3019">
      <c r="A3019" s="1" t="s">
        <v>24</v>
      </c>
      <c r="B3019" s="1" t="s">
        <v>1192</v>
      </c>
      <c r="C3019" s="1" t="s">
        <v>1205</v>
      </c>
      <c r="D3019" s="6">
        <v>15.0</v>
      </c>
      <c r="E3019" s="6">
        <v>1909468.0</v>
      </c>
      <c r="F3019" s="6">
        <v>2028600.0</v>
      </c>
      <c r="G3019" s="6">
        <v>12879.0</v>
      </c>
      <c r="H3019" s="6">
        <v>148.2621</v>
      </c>
      <c r="I3019" s="6">
        <v>157.5122</v>
      </c>
      <c r="J3019" s="6">
        <v>-9.2501</v>
      </c>
    </row>
    <row r="3020">
      <c r="A3020" s="1" t="s">
        <v>24</v>
      </c>
      <c r="B3020" s="1" t="s">
        <v>1192</v>
      </c>
      <c r="C3020" s="1" t="s">
        <v>1205</v>
      </c>
      <c r="D3020" s="6">
        <v>16.0</v>
      </c>
      <c r="E3020" s="6">
        <v>2208393.0</v>
      </c>
      <c r="F3020" s="6">
        <v>2135950.0</v>
      </c>
      <c r="G3020" s="6">
        <v>12879.0</v>
      </c>
      <c r="H3020" s="6">
        <v>171.4724</v>
      </c>
      <c r="I3020" s="6">
        <v>165.8475</v>
      </c>
      <c r="J3020" s="6">
        <v>5.6249</v>
      </c>
    </row>
    <row r="3021">
      <c r="A3021" s="1" t="s">
        <v>24</v>
      </c>
      <c r="B3021" s="1" t="s">
        <v>1192</v>
      </c>
      <c r="C3021" s="1" t="s">
        <v>1205</v>
      </c>
      <c r="D3021" s="6">
        <v>17.0</v>
      </c>
      <c r="E3021" s="6">
        <v>2047551.0</v>
      </c>
      <c r="F3021" s="6">
        <v>2098900.0</v>
      </c>
      <c r="G3021" s="6">
        <v>12879.0</v>
      </c>
      <c r="H3021" s="6">
        <v>158.9837</v>
      </c>
      <c r="I3021" s="6">
        <v>162.9707</v>
      </c>
      <c r="J3021" s="6">
        <v>-3.987</v>
      </c>
    </row>
    <row r="3022">
      <c r="A3022" s="1" t="s">
        <v>24</v>
      </c>
      <c r="B3022" s="1" t="s">
        <v>1192</v>
      </c>
      <c r="C3022" s="1" t="s">
        <v>1205</v>
      </c>
      <c r="D3022" s="6">
        <v>18.0</v>
      </c>
      <c r="E3022" s="6">
        <v>2087649.0</v>
      </c>
      <c r="F3022" s="6">
        <v>2086100.0</v>
      </c>
      <c r="G3022" s="6">
        <v>12879.0</v>
      </c>
      <c r="H3022" s="6">
        <v>162.0971</v>
      </c>
      <c r="I3022" s="6">
        <v>161.9769</v>
      </c>
      <c r="J3022" s="6">
        <v>0.1203</v>
      </c>
    </row>
    <row r="3023">
      <c r="A3023" s="1" t="s">
        <v>24</v>
      </c>
      <c r="B3023" s="1" t="s">
        <v>1192</v>
      </c>
      <c r="C3023" s="1" t="s">
        <v>1205</v>
      </c>
      <c r="D3023" s="6">
        <v>19.0</v>
      </c>
      <c r="E3023" s="6">
        <v>1890691.0</v>
      </c>
      <c r="F3023" s="6">
        <v>2038850.0</v>
      </c>
      <c r="G3023" s="6">
        <v>12879.0</v>
      </c>
      <c r="H3023" s="6">
        <v>146.8042</v>
      </c>
      <c r="I3023" s="6">
        <v>158.3081</v>
      </c>
      <c r="J3023" s="6">
        <v>-11.5039</v>
      </c>
    </row>
    <row r="3024">
      <c r="A3024" s="1" t="s">
        <v>24</v>
      </c>
      <c r="B3024" s="1" t="s">
        <v>1192</v>
      </c>
      <c r="C3024" s="1" t="s">
        <v>1205</v>
      </c>
      <c r="D3024" s="6">
        <v>20.0</v>
      </c>
      <c r="E3024" s="6">
        <v>2787095.0</v>
      </c>
      <c r="F3024" s="6">
        <v>2814650.0</v>
      </c>
      <c r="G3024" s="6">
        <v>12879.0</v>
      </c>
      <c r="H3024" s="6">
        <v>216.4062</v>
      </c>
      <c r="I3024" s="6">
        <v>218.5457</v>
      </c>
      <c r="J3024" s="6">
        <v>-2.1395</v>
      </c>
    </row>
    <row r="3025">
      <c r="A3025" s="1" t="s">
        <v>24</v>
      </c>
      <c r="B3025" s="1" t="s">
        <v>1192</v>
      </c>
      <c r="C3025" s="1" t="s">
        <v>1205</v>
      </c>
      <c r="D3025" s="6">
        <v>21.0</v>
      </c>
      <c r="E3025" s="6">
        <v>2726324.0</v>
      </c>
      <c r="F3025" s="6">
        <v>2491200.0</v>
      </c>
      <c r="G3025" s="6">
        <v>12879.0</v>
      </c>
      <c r="H3025" s="6">
        <v>211.6876</v>
      </c>
      <c r="I3025" s="6">
        <v>193.4312</v>
      </c>
      <c r="J3025" s="6">
        <v>18.2564</v>
      </c>
    </row>
    <row r="3026">
      <c r="A3026" s="1" t="s">
        <v>24</v>
      </c>
      <c r="B3026" s="1" t="s">
        <v>1192</v>
      </c>
      <c r="C3026" s="1" t="s">
        <v>1205</v>
      </c>
      <c r="D3026" s="6">
        <v>22.0</v>
      </c>
      <c r="E3026" s="6">
        <v>2074712.0</v>
      </c>
      <c r="F3026" s="6">
        <v>2174300.0</v>
      </c>
      <c r="G3026" s="6">
        <v>12879.0</v>
      </c>
      <c r="H3026" s="6">
        <v>161.0926</v>
      </c>
      <c r="I3026" s="6">
        <v>168.8252</v>
      </c>
      <c r="J3026" s="6">
        <v>-7.7326</v>
      </c>
    </row>
    <row r="3027">
      <c r="A3027" s="1" t="s">
        <v>24</v>
      </c>
      <c r="B3027" s="1" t="s">
        <v>1192</v>
      </c>
      <c r="C3027" s="1" t="s">
        <v>1205</v>
      </c>
      <c r="D3027" s="6">
        <v>23.0</v>
      </c>
      <c r="E3027" s="6">
        <v>2159300.0</v>
      </c>
      <c r="F3027" s="6">
        <v>2162400.0</v>
      </c>
      <c r="G3027" s="6">
        <v>12879.0</v>
      </c>
      <c r="H3027" s="6">
        <v>167.6605</v>
      </c>
      <c r="I3027" s="6">
        <v>167.9012</v>
      </c>
      <c r="J3027" s="6">
        <v>-0.2407</v>
      </c>
    </row>
    <row r="3028">
      <c r="A3028" s="1" t="s">
        <v>24</v>
      </c>
      <c r="B3028" s="1" t="s">
        <v>1192</v>
      </c>
      <c r="C3028" s="1" t="s">
        <v>1205</v>
      </c>
      <c r="D3028" s="6">
        <v>24.0</v>
      </c>
      <c r="E3028" s="6">
        <v>2175558.0</v>
      </c>
      <c r="F3028" s="6">
        <v>2214800.0</v>
      </c>
      <c r="G3028" s="6">
        <v>12879.0</v>
      </c>
      <c r="H3028" s="6">
        <v>168.9229</v>
      </c>
      <c r="I3028" s="6">
        <v>171.9699</v>
      </c>
      <c r="J3028" s="6">
        <v>-3.047</v>
      </c>
    </row>
    <row r="3029">
      <c r="A3029" s="1" t="s">
        <v>24</v>
      </c>
      <c r="B3029" s="1" t="s">
        <v>1192</v>
      </c>
      <c r="C3029" s="1" t="s">
        <v>1205</v>
      </c>
      <c r="D3029" s="6">
        <v>25.0</v>
      </c>
      <c r="E3029" s="6">
        <v>2194556.0</v>
      </c>
      <c r="F3029" s="6">
        <v>2211300.0</v>
      </c>
      <c r="G3029" s="6">
        <v>12879.0</v>
      </c>
      <c r="H3029" s="6">
        <v>170.398</v>
      </c>
      <c r="I3029" s="6">
        <v>171.6981</v>
      </c>
      <c r="J3029" s="6">
        <v>-1.3001</v>
      </c>
    </row>
    <row r="3030">
      <c r="A3030" s="1" t="s">
        <v>24</v>
      </c>
      <c r="B3030" s="1" t="s">
        <v>1192</v>
      </c>
      <c r="C3030" s="1" t="s">
        <v>1205</v>
      </c>
      <c r="D3030" s="6">
        <v>26.0</v>
      </c>
      <c r="E3030" s="6">
        <v>2109942.0</v>
      </c>
      <c r="F3030" s="6">
        <v>2227650.0</v>
      </c>
      <c r="G3030" s="6">
        <v>12879.0</v>
      </c>
      <c r="H3030" s="6">
        <v>163.8281</v>
      </c>
      <c r="I3030" s="6">
        <v>172.9676</v>
      </c>
      <c r="J3030" s="6">
        <v>-9.1395</v>
      </c>
    </row>
    <row r="3031">
      <c r="A3031" s="1" t="s">
        <v>24</v>
      </c>
      <c r="B3031" s="1" t="s">
        <v>1192</v>
      </c>
      <c r="C3031" s="1" t="s">
        <v>1205</v>
      </c>
      <c r="D3031" s="6">
        <v>27.0</v>
      </c>
      <c r="E3031" s="6">
        <v>2743211.0</v>
      </c>
      <c r="F3031" s="6">
        <v>2807100.0</v>
      </c>
      <c r="G3031" s="6">
        <v>12879.0</v>
      </c>
      <c r="H3031" s="6">
        <v>212.9988</v>
      </c>
      <c r="I3031" s="6">
        <v>217.9595</v>
      </c>
      <c r="J3031" s="6">
        <v>-4.9607</v>
      </c>
    </row>
    <row r="3032">
      <c r="A3032" s="1" t="s">
        <v>24</v>
      </c>
      <c r="B3032" s="1" t="s">
        <v>1192</v>
      </c>
      <c r="C3032" s="1" t="s">
        <v>1205</v>
      </c>
      <c r="D3032" s="6">
        <v>28.0</v>
      </c>
      <c r="E3032" s="6">
        <v>2358280.0</v>
      </c>
      <c r="F3032" s="6">
        <v>2317100.0</v>
      </c>
      <c r="G3032" s="6">
        <v>12879.0</v>
      </c>
      <c r="H3032" s="6">
        <v>183.1105</v>
      </c>
      <c r="I3032" s="6">
        <v>179.913</v>
      </c>
      <c r="J3032" s="6">
        <v>3.1975</v>
      </c>
    </row>
    <row r="3033">
      <c r="A3033" s="1" t="s">
        <v>24</v>
      </c>
      <c r="B3033" s="1" t="s">
        <v>1192</v>
      </c>
      <c r="C3033" s="1" t="s">
        <v>1205</v>
      </c>
      <c r="D3033" s="6">
        <v>29.0</v>
      </c>
      <c r="E3033" s="6">
        <v>1975030.0</v>
      </c>
      <c r="F3033" s="6">
        <v>2114900.0</v>
      </c>
      <c r="G3033" s="6">
        <v>12879.0</v>
      </c>
      <c r="H3033" s="6">
        <v>153.3527</v>
      </c>
      <c r="I3033" s="6">
        <v>164.2131</v>
      </c>
      <c r="J3033" s="6">
        <v>-10.8603</v>
      </c>
    </row>
    <row r="3034">
      <c r="A3034" s="1" t="s">
        <v>24</v>
      </c>
      <c r="B3034" s="1" t="s">
        <v>1192</v>
      </c>
      <c r="C3034" s="1" t="s">
        <v>1205</v>
      </c>
      <c r="D3034" s="6">
        <v>30.0</v>
      </c>
      <c r="E3034" s="6">
        <v>2304656.0</v>
      </c>
      <c r="F3034" s="6">
        <v>2204450.0</v>
      </c>
      <c r="G3034" s="6">
        <v>12879.0</v>
      </c>
      <c r="H3034" s="6">
        <v>178.9468</v>
      </c>
      <c r="I3034" s="6">
        <v>171.1662</v>
      </c>
      <c r="J3034" s="6">
        <v>7.7806</v>
      </c>
    </row>
    <row r="3035">
      <c r="A3035" s="1" t="s">
        <v>24</v>
      </c>
      <c r="B3035" s="1" t="s">
        <v>1192</v>
      </c>
      <c r="C3035" s="1" t="s">
        <v>1205</v>
      </c>
      <c r="D3035" s="6">
        <v>31.0</v>
      </c>
      <c r="E3035" s="6">
        <v>2147651.0</v>
      </c>
      <c r="F3035" s="6">
        <v>2190150.0</v>
      </c>
      <c r="G3035" s="6">
        <v>12879.0</v>
      </c>
      <c r="H3035" s="6">
        <v>166.756</v>
      </c>
      <c r="I3035" s="6">
        <v>170.0559</v>
      </c>
      <c r="J3035" s="6">
        <v>-3.2999</v>
      </c>
    </row>
    <row r="3036">
      <c r="A3036" s="1" t="s">
        <v>24</v>
      </c>
      <c r="B3036" s="1" t="s">
        <v>1192</v>
      </c>
      <c r="C3036" s="1" t="s">
        <v>1205</v>
      </c>
      <c r="D3036" s="6">
        <v>32.0</v>
      </c>
      <c r="E3036" s="6">
        <v>2150156.0</v>
      </c>
      <c r="F3036" s="6">
        <v>2126150.0</v>
      </c>
      <c r="G3036" s="6">
        <v>12879.0</v>
      </c>
      <c r="H3036" s="6">
        <v>166.9505</v>
      </c>
      <c r="I3036" s="6">
        <v>165.0866</v>
      </c>
      <c r="J3036" s="6">
        <v>1.864</v>
      </c>
    </row>
    <row r="3037">
      <c r="A3037" s="1" t="s">
        <v>24</v>
      </c>
      <c r="B3037" s="1" t="s">
        <v>1192</v>
      </c>
      <c r="C3037" s="1" t="s">
        <v>1205</v>
      </c>
      <c r="D3037" s="6">
        <v>33.0</v>
      </c>
      <c r="E3037" s="6">
        <v>2010202.0</v>
      </c>
      <c r="F3037" s="6">
        <v>2094050.0</v>
      </c>
      <c r="G3037" s="6">
        <v>12879.0</v>
      </c>
      <c r="H3037" s="6">
        <v>156.0837</v>
      </c>
      <c r="I3037" s="6">
        <v>162.5941</v>
      </c>
      <c r="J3037" s="6">
        <v>-6.5104</v>
      </c>
    </row>
    <row r="3038">
      <c r="A3038" s="1" t="s">
        <v>24</v>
      </c>
      <c r="B3038" s="1" t="s">
        <v>1192</v>
      </c>
      <c r="C3038" s="1" t="s">
        <v>52</v>
      </c>
      <c r="D3038" s="6">
        <v>1.0</v>
      </c>
      <c r="E3038" s="6">
        <v>6853.0</v>
      </c>
      <c r="F3038" s="6">
        <v>10441.0</v>
      </c>
      <c r="G3038" s="6">
        <v>12497.0</v>
      </c>
      <c r="H3038" s="6">
        <v>0.5484</v>
      </c>
      <c r="I3038" s="6">
        <v>0.8355</v>
      </c>
      <c r="J3038" s="6">
        <v>-0.2871</v>
      </c>
    </row>
    <row r="3039">
      <c r="A3039" s="1" t="s">
        <v>24</v>
      </c>
      <c r="B3039" s="1" t="s">
        <v>1192</v>
      </c>
      <c r="C3039" s="1" t="s">
        <v>52</v>
      </c>
      <c r="D3039" s="6">
        <v>2.0</v>
      </c>
      <c r="E3039" s="6">
        <v>7147.0</v>
      </c>
      <c r="F3039" s="6">
        <v>10437.0</v>
      </c>
      <c r="G3039" s="6">
        <v>12497.0</v>
      </c>
      <c r="H3039" s="6">
        <v>0.5719</v>
      </c>
      <c r="I3039" s="6">
        <v>0.8352</v>
      </c>
      <c r="J3039" s="6">
        <v>-0.2633</v>
      </c>
    </row>
    <row r="3040">
      <c r="A3040" s="1" t="s">
        <v>24</v>
      </c>
      <c r="B3040" s="1" t="s">
        <v>1192</v>
      </c>
      <c r="C3040" s="1" t="s">
        <v>52</v>
      </c>
      <c r="D3040" s="6">
        <v>3.0</v>
      </c>
      <c r="E3040" s="6">
        <v>9632.0</v>
      </c>
      <c r="F3040" s="6">
        <v>11892.0</v>
      </c>
      <c r="G3040" s="6">
        <v>12497.0</v>
      </c>
      <c r="H3040" s="6">
        <v>0.7707</v>
      </c>
      <c r="I3040" s="6">
        <v>0.9516</v>
      </c>
      <c r="J3040" s="6">
        <v>-0.1808</v>
      </c>
    </row>
    <row r="3041">
      <c r="A3041" s="1" t="s">
        <v>24</v>
      </c>
      <c r="B3041" s="1" t="s">
        <v>1192</v>
      </c>
      <c r="C3041" s="1" t="s">
        <v>52</v>
      </c>
      <c r="D3041" s="6">
        <v>4.0</v>
      </c>
      <c r="E3041" s="6">
        <v>8753.0</v>
      </c>
      <c r="F3041" s="6">
        <v>11611.0</v>
      </c>
      <c r="G3041" s="6">
        <v>12497.0</v>
      </c>
      <c r="H3041" s="6">
        <v>0.7004</v>
      </c>
      <c r="I3041" s="6">
        <v>0.9291</v>
      </c>
      <c r="J3041" s="6">
        <v>-0.2287</v>
      </c>
    </row>
    <row r="3042">
      <c r="A3042" s="1" t="s">
        <v>24</v>
      </c>
      <c r="B3042" s="1" t="s">
        <v>1192</v>
      </c>
      <c r="C3042" s="1" t="s">
        <v>52</v>
      </c>
      <c r="D3042" s="6">
        <v>5.0</v>
      </c>
      <c r="E3042" s="6">
        <v>8889.0</v>
      </c>
      <c r="F3042" s="6">
        <v>11748.0</v>
      </c>
      <c r="G3042" s="6">
        <v>12497.0</v>
      </c>
      <c r="H3042" s="6">
        <v>0.7113</v>
      </c>
      <c r="I3042" s="6">
        <v>0.9401</v>
      </c>
      <c r="J3042" s="6">
        <v>-0.2288</v>
      </c>
    </row>
    <row r="3043">
      <c r="A3043" s="1" t="s">
        <v>24</v>
      </c>
      <c r="B3043" s="1" t="s">
        <v>1192</v>
      </c>
      <c r="C3043" s="1" t="s">
        <v>52</v>
      </c>
      <c r="D3043" s="6">
        <v>6.0</v>
      </c>
      <c r="E3043" s="6">
        <v>10560.0</v>
      </c>
      <c r="F3043" s="6">
        <v>13495.0</v>
      </c>
      <c r="G3043" s="6">
        <v>12497.0</v>
      </c>
      <c r="H3043" s="6">
        <v>0.845</v>
      </c>
      <c r="I3043" s="6">
        <v>1.0799</v>
      </c>
      <c r="J3043" s="6">
        <v>-0.2349</v>
      </c>
    </row>
    <row r="3044">
      <c r="A3044" s="1" t="s">
        <v>24</v>
      </c>
      <c r="B3044" s="1" t="s">
        <v>1192</v>
      </c>
      <c r="C3044" s="1" t="s">
        <v>52</v>
      </c>
      <c r="D3044" s="6">
        <v>7.0</v>
      </c>
      <c r="E3044" s="6">
        <v>7867.0</v>
      </c>
      <c r="F3044" s="6">
        <v>10842.0</v>
      </c>
      <c r="G3044" s="6">
        <v>12497.0</v>
      </c>
      <c r="H3044" s="6">
        <v>0.6295</v>
      </c>
      <c r="I3044" s="6">
        <v>0.8676</v>
      </c>
      <c r="J3044" s="6">
        <v>-0.2381</v>
      </c>
    </row>
    <row r="3045">
      <c r="A3045" s="1" t="s">
        <v>24</v>
      </c>
      <c r="B3045" s="1" t="s">
        <v>1192</v>
      </c>
      <c r="C3045" s="1" t="s">
        <v>52</v>
      </c>
      <c r="D3045" s="6">
        <v>8.0</v>
      </c>
      <c r="E3045" s="6">
        <v>7938.0</v>
      </c>
      <c r="F3045" s="6">
        <v>10596.0</v>
      </c>
      <c r="G3045" s="6">
        <v>12497.0</v>
      </c>
      <c r="H3045" s="6">
        <v>0.6352</v>
      </c>
      <c r="I3045" s="6">
        <v>0.8479</v>
      </c>
      <c r="J3045" s="6">
        <v>-0.2127</v>
      </c>
    </row>
    <row r="3046">
      <c r="A3046" s="1" t="s">
        <v>24</v>
      </c>
      <c r="B3046" s="1" t="s">
        <v>1192</v>
      </c>
      <c r="C3046" s="1" t="s">
        <v>52</v>
      </c>
      <c r="D3046" s="6">
        <v>9.0</v>
      </c>
      <c r="E3046" s="6">
        <v>7243.0</v>
      </c>
      <c r="F3046" s="6">
        <v>10528.0</v>
      </c>
      <c r="G3046" s="6">
        <v>12497.0</v>
      </c>
      <c r="H3046" s="6">
        <v>0.5796</v>
      </c>
      <c r="I3046" s="6">
        <v>0.8424</v>
      </c>
      <c r="J3046" s="6">
        <v>-0.2629</v>
      </c>
    </row>
    <row r="3047">
      <c r="A3047" s="1" t="s">
        <v>24</v>
      </c>
      <c r="B3047" s="1" t="s">
        <v>1192</v>
      </c>
      <c r="C3047" s="1" t="s">
        <v>52</v>
      </c>
      <c r="D3047" s="6">
        <v>10.0</v>
      </c>
      <c r="E3047" s="6">
        <v>9683.0</v>
      </c>
      <c r="F3047" s="6">
        <v>11962.0</v>
      </c>
      <c r="G3047" s="6">
        <v>12497.0</v>
      </c>
      <c r="H3047" s="6">
        <v>0.7748</v>
      </c>
      <c r="I3047" s="6">
        <v>0.9572</v>
      </c>
      <c r="J3047" s="6">
        <v>-0.1824</v>
      </c>
    </row>
    <row r="3048">
      <c r="A3048" s="1" t="s">
        <v>24</v>
      </c>
      <c r="B3048" s="1" t="s">
        <v>1192</v>
      </c>
      <c r="C3048" s="1" t="s">
        <v>52</v>
      </c>
      <c r="D3048" s="6">
        <v>11.0</v>
      </c>
      <c r="E3048" s="6">
        <v>8223.0</v>
      </c>
      <c r="F3048" s="6">
        <v>11311.0</v>
      </c>
      <c r="G3048" s="6">
        <v>12497.0</v>
      </c>
      <c r="H3048" s="6">
        <v>0.658</v>
      </c>
      <c r="I3048" s="6">
        <v>0.9051</v>
      </c>
      <c r="J3048" s="6">
        <v>-0.2471</v>
      </c>
    </row>
    <row r="3049">
      <c r="A3049" s="1" t="s">
        <v>24</v>
      </c>
      <c r="B3049" s="1" t="s">
        <v>1192</v>
      </c>
      <c r="C3049" s="1" t="s">
        <v>52</v>
      </c>
      <c r="D3049" s="6">
        <v>12.0</v>
      </c>
      <c r="E3049" s="6">
        <v>8493.0</v>
      </c>
      <c r="F3049" s="6">
        <v>12340.0</v>
      </c>
      <c r="G3049" s="6">
        <v>12497.0</v>
      </c>
      <c r="H3049" s="6">
        <v>0.6796</v>
      </c>
      <c r="I3049" s="6">
        <v>0.9874</v>
      </c>
      <c r="J3049" s="6">
        <v>-0.3078</v>
      </c>
    </row>
    <row r="3050">
      <c r="A3050" s="1" t="s">
        <v>24</v>
      </c>
      <c r="B3050" s="1" t="s">
        <v>1192</v>
      </c>
      <c r="C3050" s="1" t="s">
        <v>52</v>
      </c>
      <c r="D3050" s="6">
        <v>13.0</v>
      </c>
      <c r="E3050" s="6">
        <v>10080.0</v>
      </c>
      <c r="F3050" s="6">
        <v>13997.0</v>
      </c>
      <c r="G3050" s="6">
        <v>12497.0</v>
      </c>
      <c r="H3050" s="6">
        <v>0.8066</v>
      </c>
      <c r="I3050" s="6">
        <v>1.12</v>
      </c>
      <c r="J3050" s="6">
        <v>-0.3134</v>
      </c>
    </row>
    <row r="3051">
      <c r="A3051" s="1" t="s">
        <v>24</v>
      </c>
      <c r="B3051" s="1" t="s">
        <v>1192</v>
      </c>
      <c r="C3051" s="1" t="s">
        <v>52</v>
      </c>
      <c r="D3051" s="6">
        <v>14.0</v>
      </c>
      <c r="E3051" s="6">
        <v>7505.0</v>
      </c>
      <c r="F3051" s="6">
        <v>10866.0</v>
      </c>
      <c r="G3051" s="6">
        <v>12497.0</v>
      </c>
      <c r="H3051" s="6">
        <v>0.6005</v>
      </c>
      <c r="I3051" s="6">
        <v>0.8695</v>
      </c>
      <c r="J3051" s="6">
        <v>-0.2689</v>
      </c>
    </row>
    <row r="3052">
      <c r="A3052" s="1" t="s">
        <v>24</v>
      </c>
      <c r="B3052" s="1" t="s">
        <v>1192</v>
      </c>
      <c r="C3052" s="1" t="s">
        <v>52</v>
      </c>
      <c r="D3052" s="6">
        <v>15.0</v>
      </c>
      <c r="E3052" s="6">
        <v>7921.0</v>
      </c>
      <c r="F3052" s="6">
        <v>11396.0</v>
      </c>
      <c r="G3052" s="6">
        <v>12497.0</v>
      </c>
      <c r="H3052" s="6">
        <v>0.6338</v>
      </c>
      <c r="I3052" s="6">
        <v>0.9119</v>
      </c>
      <c r="J3052" s="6">
        <v>-0.2781</v>
      </c>
    </row>
    <row r="3053">
      <c r="A3053" s="1" t="s">
        <v>24</v>
      </c>
      <c r="B3053" s="1" t="s">
        <v>1192</v>
      </c>
      <c r="C3053" s="1" t="s">
        <v>52</v>
      </c>
      <c r="D3053" s="6">
        <v>16.0</v>
      </c>
      <c r="E3053" s="6">
        <v>8713.0</v>
      </c>
      <c r="F3053" s="6">
        <v>11440.0</v>
      </c>
      <c r="G3053" s="6">
        <v>12497.0</v>
      </c>
      <c r="H3053" s="6">
        <v>0.6972</v>
      </c>
      <c r="I3053" s="6">
        <v>0.9154</v>
      </c>
      <c r="J3053" s="6">
        <v>-0.2182</v>
      </c>
    </row>
    <row r="3054">
      <c r="A3054" s="1" t="s">
        <v>24</v>
      </c>
      <c r="B3054" s="1" t="s">
        <v>1192</v>
      </c>
      <c r="C3054" s="1" t="s">
        <v>52</v>
      </c>
      <c r="D3054" s="6">
        <v>17.0</v>
      </c>
      <c r="E3054" s="6">
        <v>10988.0</v>
      </c>
      <c r="F3054" s="6">
        <v>13081.0</v>
      </c>
      <c r="G3054" s="6">
        <v>12497.0</v>
      </c>
      <c r="H3054" s="6">
        <v>0.8793</v>
      </c>
      <c r="I3054" s="6">
        <v>1.0467</v>
      </c>
      <c r="J3054" s="6">
        <v>-0.1675</v>
      </c>
    </row>
    <row r="3055">
      <c r="A3055" s="1" t="s">
        <v>24</v>
      </c>
      <c r="B3055" s="1" t="s">
        <v>1192</v>
      </c>
      <c r="C3055" s="1" t="s">
        <v>52</v>
      </c>
      <c r="D3055" s="6">
        <v>18.0</v>
      </c>
      <c r="E3055" s="6">
        <v>9466.0</v>
      </c>
      <c r="F3055" s="6">
        <v>12077.0</v>
      </c>
      <c r="G3055" s="6">
        <v>12497.0</v>
      </c>
      <c r="H3055" s="6">
        <v>0.7575</v>
      </c>
      <c r="I3055" s="6">
        <v>0.9664</v>
      </c>
      <c r="J3055" s="6">
        <v>-0.2089</v>
      </c>
    </row>
    <row r="3056">
      <c r="A3056" s="1" t="s">
        <v>24</v>
      </c>
      <c r="B3056" s="1" t="s">
        <v>1192</v>
      </c>
      <c r="C3056" s="1" t="s">
        <v>52</v>
      </c>
      <c r="D3056" s="6">
        <v>19.0</v>
      </c>
      <c r="E3056" s="6">
        <v>9397.0</v>
      </c>
      <c r="F3056" s="6">
        <v>12754.0</v>
      </c>
      <c r="G3056" s="6">
        <v>12497.0</v>
      </c>
      <c r="H3056" s="6">
        <v>0.7519</v>
      </c>
      <c r="I3056" s="6">
        <v>1.0206</v>
      </c>
      <c r="J3056" s="6">
        <v>-0.2686</v>
      </c>
    </row>
    <row r="3057">
      <c r="A3057" s="1" t="s">
        <v>24</v>
      </c>
      <c r="B3057" s="1" t="s">
        <v>1192</v>
      </c>
      <c r="C3057" s="1" t="s">
        <v>52</v>
      </c>
      <c r="D3057" s="6">
        <v>20.0</v>
      </c>
      <c r="E3057" s="6">
        <v>12318.0</v>
      </c>
      <c r="F3057" s="6">
        <v>15501.0</v>
      </c>
      <c r="G3057" s="6">
        <v>12497.0</v>
      </c>
      <c r="H3057" s="6">
        <v>0.9857</v>
      </c>
      <c r="I3057" s="6">
        <v>1.2404</v>
      </c>
      <c r="J3057" s="6">
        <v>-0.2547</v>
      </c>
    </row>
    <row r="3058">
      <c r="A3058" s="1" t="s">
        <v>24</v>
      </c>
      <c r="B3058" s="1" t="s">
        <v>1192</v>
      </c>
      <c r="C3058" s="1" t="s">
        <v>52</v>
      </c>
      <c r="D3058" s="6">
        <v>21.0</v>
      </c>
      <c r="E3058" s="6">
        <v>11996.0</v>
      </c>
      <c r="F3058" s="6">
        <v>13479.0</v>
      </c>
      <c r="G3058" s="6">
        <v>12497.0</v>
      </c>
      <c r="H3058" s="6">
        <v>0.9599</v>
      </c>
      <c r="I3058" s="6">
        <v>1.0786</v>
      </c>
      <c r="J3058" s="6">
        <v>-0.1187</v>
      </c>
    </row>
    <row r="3059">
      <c r="A3059" s="1" t="s">
        <v>24</v>
      </c>
      <c r="B3059" s="1" t="s">
        <v>1192</v>
      </c>
      <c r="C3059" s="1" t="s">
        <v>52</v>
      </c>
      <c r="D3059" s="6">
        <v>22.0</v>
      </c>
      <c r="E3059" s="6">
        <v>10867.0</v>
      </c>
      <c r="F3059" s="6">
        <v>13457.0</v>
      </c>
      <c r="G3059" s="6">
        <v>12497.0</v>
      </c>
      <c r="H3059" s="6">
        <v>0.8696</v>
      </c>
      <c r="I3059" s="6">
        <v>1.0768</v>
      </c>
      <c r="J3059" s="6">
        <v>-0.2072</v>
      </c>
    </row>
    <row r="3060">
      <c r="A3060" s="1" t="s">
        <v>24</v>
      </c>
      <c r="B3060" s="1" t="s">
        <v>1192</v>
      </c>
      <c r="C3060" s="1" t="s">
        <v>52</v>
      </c>
      <c r="D3060" s="6">
        <v>23.0</v>
      </c>
      <c r="E3060" s="6">
        <v>9877.0</v>
      </c>
      <c r="F3060" s="6">
        <v>12507.0</v>
      </c>
      <c r="G3060" s="6">
        <v>12497.0</v>
      </c>
      <c r="H3060" s="6">
        <v>0.7903</v>
      </c>
      <c r="I3060" s="6">
        <v>1.0008</v>
      </c>
      <c r="J3060" s="6">
        <v>-0.2105</v>
      </c>
    </row>
    <row r="3061">
      <c r="A3061" s="1" t="s">
        <v>24</v>
      </c>
      <c r="B3061" s="1" t="s">
        <v>1192</v>
      </c>
      <c r="C3061" s="1" t="s">
        <v>52</v>
      </c>
      <c r="D3061" s="6">
        <v>24.0</v>
      </c>
      <c r="E3061" s="6">
        <v>13212.0</v>
      </c>
      <c r="F3061" s="6">
        <v>14812.0</v>
      </c>
      <c r="G3061" s="6">
        <v>12497.0</v>
      </c>
      <c r="H3061" s="6">
        <v>1.0572</v>
      </c>
      <c r="I3061" s="6">
        <v>1.1852</v>
      </c>
      <c r="J3061" s="6">
        <v>-0.128</v>
      </c>
    </row>
    <row r="3062">
      <c r="A3062" s="1" t="s">
        <v>24</v>
      </c>
      <c r="B3062" s="1" t="s">
        <v>1192</v>
      </c>
      <c r="C3062" s="1" t="s">
        <v>52</v>
      </c>
      <c r="D3062" s="6">
        <v>25.0</v>
      </c>
      <c r="E3062" s="6">
        <v>10866.0</v>
      </c>
      <c r="F3062" s="6">
        <v>14025.0</v>
      </c>
      <c r="G3062" s="6">
        <v>12497.0</v>
      </c>
      <c r="H3062" s="6">
        <v>0.8695</v>
      </c>
      <c r="I3062" s="6">
        <v>1.1223</v>
      </c>
      <c r="J3062" s="6">
        <v>-0.2528</v>
      </c>
    </row>
    <row r="3063">
      <c r="A3063" s="1" t="s">
        <v>24</v>
      </c>
      <c r="B3063" s="1" t="s">
        <v>1192</v>
      </c>
      <c r="C3063" s="1" t="s">
        <v>52</v>
      </c>
      <c r="D3063" s="6">
        <v>26.0</v>
      </c>
      <c r="E3063" s="6">
        <v>10579.0</v>
      </c>
      <c r="F3063" s="6">
        <v>14193.0</v>
      </c>
      <c r="G3063" s="6">
        <v>12497.0</v>
      </c>
      <c r="H3063" s="6">
        <v>0.8465</v>
      </c>
      <c r="I3063" s="6">
        <v>1.1357</v>
      </c>
      <c r="J3063" s="6">
        <v>-0.2892</v>
      </c>
    </row>
    <row r="3064">
      <c r="A3064" s="1" t="s">
        <v>24</v>
      </c>
      <c r="B3064" s="1" t="s">
        <v>1192</v>
      </c>
      <c r="C3064" s="1" t="s">
        <v>52</v>
      </c>
      <c r="D3064" s="6">
        <v>27.0</v>
      </c>
      <c r="E3064" s="6">
        <v>12531.0</v>
      </c>
      <c r="F3064" s="6">
        <v>16086.0</v>
      </c>
      <c r="G3064" s="6">
        <v>12497.0</v>
      </c>
      <c r="H3064" s="6">
        <v>1.0027</v>
      </c>
      <c r="I3064" s="6">
        <v>1.2872</v>
      </c>
      <c r="J3064" s="6">
        <v>-0.2845</v>
      </c>
    </row>
    <row r="3065">
      <c r="A3065" s="1" t="s">
        <v>24</v>
      </c>
      <c r="B3065" s="1" t="s">
        <v>1192</v>
      </c>
      <c r="C3065" s="1" t="s">
        <v>52</v>
      </c>
      <c r="D3065" s="6">
        <v>28.0</v>
      </c>
      <c r="E3065" s="6">
        <v>9249.0</v>
      </c>
      <c r="F3065" s="6">
        <v>12817.0</v>
      </c>
      <c r="G3065" s="6">
        <v>12497.0</v>
      </c>
      <c r="H3065" s="6">
        <v>0.7401</v>
      </c>
      <c r="I3065" s="6">
        <v>1.0256</v>
      </c>
      <c r="J3065" s="6">
        <v>-0.2855</v>
      </c>
    </row>
    <row r="3066">
      <c r="A3066" s="1" t="s">
        <v>24</v>
      </c>
      <c r="B3066" s="1" t="s">
        <v>1192</v>
      </c>
      <c r="C3066" s="1" t="s">
        <v>52</v>
      </c>
      <c r="D3066" s="6">
        <v>29.0</v>
      </c>
      <c r="E3066" s="6">
        <v>8762.0</v>
      </c>
      <c r="F3066" s="6">
        <v>12280.0</v>
      </c>
      <c r="G3066" s="6">
        <v>12497.0</v>
      </c>
      <c r="H3066" s="6">
        <v>0.7011</v>
      </c>
      <c r="I3066" s="6">
        <v>0.9826</v>
      </c>
      <c r="J3066" s="6">
        <v>-0.2815</v>
      </c>
    </row>
    <row r="3067">
      <c r="A3067" s="1" t="s">
        <v>24</v>
      </c>
      <c r="B3067" s="1" t="s">
        <v>1192</v>
      </c>
      <c r="C3067" s="1" t="s">
        <v>52</v>
      </c>
      <c r="D3067" s="6">
        <v>30.0</v>
      </c>
      <c r="E3067" s="6">
        <v>9126.0</v>
      </c>
      <c r="F3067" s="6">
        <v>11852.0</v>
      </c>
      <c r="G3067" s="6">
        <v>12497.0</v>
      </c>
      <c r="H3067" s="6">
        <v>0.7303</v>
      </c>
      <c r="I3067" s="6">
        <v>0.9484</v>
      </c>
      <c r="J3067" s="6">
        <v>-0.2181</v>
      </c>
    </row>
    <row r="3068">
      <c r="A3068" s="1" t="s">
        <v>24</v>
      </c>
      <c r="B3068" s="1" t="s">
        <v>1192</v>
      </c>
      <c r="C3068" s="1" t="s">
        <v>52</v>
      </c>
      <c r="D3068" s="6">
        <v>31.0</v>
      </c>
      <c r="E3068" s="6">
        <v>12286.0</v>
      </c>
      <c r="F3068" s="6">
        <v>13770.0</v>
      </c>
      <c r="G3068" s="6">
        <v>12497.0</v>
      </c>
      <c r="H3068" s="6">
        <v>0.9831</v>
      </c>
      <c r="I3068" s="6">
        <v>1.1019</v>
      </c>
      <c r="J3068" s="6">
        <v>-0.1187</v>
      </c>
    </row>
    <row r="3069">
      <c r="A3069" s="1" t="s">
        <v>24</v>
      </c>
      <c r="B3069" s="1" t="s">
        <v>1192</v>
      </c>
      <c r="C3069" s="1" t="s">
        <v>52</v>
      </c>
      <c r="D3069" s="6">
        <v>32.0</v>
      </c>
      <c r="E3069" s="6">
        <v>10310.0</v>
      </c>
      <c r="F3069" s="6">
        <v>12828.0</v>
      </c>
      <c r="G3069" s="6">
        <v>12497.0</v>
      </c>
      <c r="H3069" s="6">
        <v>0.825</v>
      </c>
      <c r="I3069" s="6">
        <v>1.0265</v>
      </c>
      <c r="J3069" s="6">
        <v>-0.2015</v>
      </c>
    </row>
    <row r="3070">
      <c r="A3070" s="1" t="s">
        <v>24</v>
      </c>
      <c r="B3070" s="1" t="s">
        <v>1192</v>
      </c>
      <c r="C3070" s="1" t="s">
        <v>52</v>
      </c>
      <c r="D3070" s="6">
        <v>33.0</v>
      </c>
      <c r="E3070" s="6">
        <v>10194.0</v>
      </c>
      <c r="F3070" s="6">
        <v>13205.0</v>
      </c>
      <c r="G3070" s="6">
        <v>12497.0</v>
      </c>
      <c r="H3070" s="6">
        <v>0.8157</v>
      </c>
      <c r="I3070" s="6">
        <v>1.0567</v>
      </c>
      <c r="J3070" s="6">
        <v>-0.2409</v>
      </c>
    </row>
    <row r="3071">
      <c r="A3071" s="1" t="s">
        <v>24</v>
      </c>
      <c r="B3071" s="1" t="s">
        <v>1192</v>
      </c>
      <c r="C3071" s="1" t="s">
        <v>53</v>
      </c>
      <c r="D3071" s="6">
        <v>1.0</v>
      </c>
      <c r="E3071" s="6">
        <v>7012.0</v>
      </c>
      <c r="F3071" s="6">
        <v>10952.0</v>
      </c>
      <c r="G3071" s="6">
        <v>12548.0</v>
      </c>
      <c r="H3071" s="6">
        <v>0.5588</v>
      </c>
      <c r="I3071" s="6">
        <v>0.8728</v>
      </c>
      <c r="J3071" s="6">
        <v>-0.314</v>
      </c>
    </row>
    <row r="3072">
      <c r="A3072" s="1" t="s">
        <v>24</v>
      </c>
      <c r="B3072" s="1" t="s">
        <v>1192</v>
      </c>
      <c r="C3072" s="1" t="s">
        <v>53</v>
      </c>
      <c r="D3072" s="6">
        <v>2.0</v>
      </c>
      <c r="E3072" s="6">
        <v>9802.0</v>
      </c>
      <c r="F3072" s="6">
        <v>11661.0</v>
      </c>
      <c r="G3072" s="6">
        <v>12548.0</v>
      </c>
      <c r="H3072" s="6">
        <v>0.7812</v>
      </c>
      <c r="I3072" s="6">
        <v>0.9293</v>
      </c>
      <c r="J3072" s="6">
        <v>-0.1482</v>
      </c>
    </row>
    <row r="3073">
      <c r="A3073" s="1" t="s">
        <v>24</v>
      </c>
      <c r="B3073" s="1" t="s">
        <v>1192</v>
      </c>
      <c r="C3073" s="1" t="s">
        <v>53</v>
      </c>
      <c r="D3073" s="6">
        <v>3.0</v>
      </c>
      <c r="E3073" s="6">
        <v>9250.0</v>
      </c>
      <c r="F3073" s="6">
        <v>12099.0</v>
      </c>
      <c r="G3073" s="6">
        <v>12548.0</v>
      </c>
      <c r="H3073" s="6">
        <v>0.7372</v>
      </c>
      <c r="I3073" s="6">
        <v>0.9642</v>
      </c>
      <c r="J3073" s="6">
        <v>-0.227</v>
      </c>
    </row>
    <row r="3074">
      <c r="A3074" s="1" t="s">
        <v>24</v>
      </c>
      <c r="B3074" s="1" t="s">
        <v>1192</v>
      </c>
      <c r="C3074" s="1" t="s">
        <v>53</v>
      </c>
      <c r="D3074" s="6">
        <v>4.0</v>
      </c>
      <c r="E3074" s="6">
        <v>9857.0</v>
      </c>
      <c r="F3074" s="6">
        <v>12220.0</v>
      </c>
      <c r="G3074" s="6">
        <v>12548.0</v>
      </c>
      <c r="H3074" s="6">
        <v>0.7855</v>
      </c>
      <c r="I3074" s="6">
        <v>0.9739</v>
      </c>
      <c r="J3074" s="6">
        <v>-0.1883</v>
      </c>
    </row>
    <row r="3075">
      <c r="A3075" s="1" t="s">
        <v>24</v>
      </c>
      <c r="B3075" s="1" t="s">
        <v>1192</v>
      </c>
      <c r="C3075" s="1" t="s">
        <v>53</v>
      </c>
      <c r="D3075" s="6">
        <v>5.0</v>
      </c>
      <c r="E3075" s="6">
        <v>8459.0</v>
      </c>
      <c r="F3075" s="6">
        <v>11738.0</v>
      </c>
      <c r="G3075" s="6">
        <v>12548.0</v>
      </c>
      <c r="H3075" s="6">
        <v>0.6741</v>
      </c>
      <c r="I3075" s="6">
        <v>0.9354</v>
      </c>
      <c r="J3075" s="6">
        <v>-0.2613</v>
      </c>
    </row>
    <row r="3076">
      <c r="A3076" s="1" t="s">
        <v>24</v>
      </c>
      <c r="B3076" s="1" t="s">
        <v>1192</v>
      </c>
      <c r="C3076" s="1" t="s">
        <v>53</v>
      </c>
      <c r="D3076" s="6">
        <v>6.0</v>
      </c>
      <c r="E3076" s="6">
        <v>11317.0</v>
      </c>
      <c r="F3076" s="6">
        <v>13785.0</v>
      </c>
      <c r="G3076" s="6">
        <v>12548.0</v>
      </c>
      <c r="H3076" s="6">
        <v>0.9019</v>
      </c>
      <c r="I3076" s="6">
        <v>1.0986</v>
      </c>
      <c r="J3076" s="6">
        <v>-0.1967</v>
      </c>
    </row>
    <row r="3077">
      <c r="A3077" s="1" t="s">
        <v>24</v>
      </c>
      <c r="B3077" s="1" t="s">
        <v>1192</v>
      </c>
      <c r="C3077" s="1" t="s">
        <v>53</v>
      </c>
      <c r="D3077" s="6">
        <v>7.0</v>
      </c>
      <c r="E3077" s="6">
        <v>8877.0</v>
      </c>
      <c r="F3077" s="6">
        <v>11500.0</v>
      </c>
      <c r="G3077" s="6">
        <v>12548.0</v>
      </c>
      <c r="H3077" s="6">
        <v>0.7074</v>
      </c>
      <c r="I3077" s="6">
        <v>0.9165</v>
      </c>
      <c r="J3077" s="6">
        <v>-0.209</v>
      </c>
    </row>
    <row r="3078">
      <c r="A3078" s="1" t="s">
        <v>24</v>
      </c>
      <c r="B3078" s="1" t="s">
        <v>1192</v>
      </c>
      <c r="C3078" s="1" t="s">
        <v>53</v>
      </c>
      <c r="D3078" s="6">
        <v>8.0</v>
      </c>
      <c r="E3078" s="6">
        <v>7024.0</v>
      </c>
      <c r="F3078" s="6">
        <v>10633.0</v>
      </c>
      <c r="G3078" s="6">
        <v>12548.0</v>
      </c>
      <c r="H3078" s="6">
        <v>0.5598</v>
      </c>
      <c r="I3078" s="6">
        <v>0.8474</v>
      </c>
      <c r="J3078" s="6">
        <v>-0.2876</v>
      </c>
    </row>
    <row r="3079">
      <c r="A3079" s="1" t="s">
        <v>24</v>
      </c>
      <c r="B3079" s="1" t="s">
        <v>1192</v>
      </c>
      <c r="C3079" s="1" t="s">
        <v>53</v>
      </c>
      <c r="D3079" s="6">
        <v>9.0</v>
      </c>
      <c r="E3079" s="6">
        <v>7902.0</v>
      </c>
      <c r="F3079" s="6">
        <v>10729.0</v>
      </c>
      <c r="G3079" s="6">
        <v>12548.0</v>
      </c>
      <c r="H3079" s="6">
        <v>0.6297</v>
      </c>
      <c r="I3079" s="6">
        <v>0.855</v>
      </c>
      <c r="J3079" s="6">
        <v>-0.2253</v>
      </c>
    </row>
    <row r="3080">
      <c r="A3080" s="1" t="s">
        <v>24</v>
      </c>
      <c r="B3080" s="1" t="s">
        <v>1192</v>
      </c>
      <c r="C3080" s="1" t="s">
        <v>53</v>
      </c>
      <c r="D3080" s="6">
        <v>10.0</v>
      </c>
      <c r="E3080" s="6">
        <v>8925.0</v>
      </c>
      <c r="F3080" s="6">
        <v>11518.0</v>
      </c>
      <c r="G3080" s="6">
        <v>12548.0</v>
      </c>
      <c r="H3080" s="6">
        <v>0.7113</v>
      </c>
      <c r="I3080" s="6">
        <v>0.9179</v>
      </c>
      <c r="J3080" s="6">
        <v>-0.2066</v>
      </c>
    </row>
    <row r="3081">
      <c r="A3081" s="1" t="s">
        <v>24</v>
      </c>
      <c r="B3081" s="1" t="s">
        <v>1192</v>
      </c>
      <c r="C3081" s="1" t="s">
        <v>53</v>
      </c>
      <c r="D3081" s="6">
        <v>11.0</v>
      </c>
      <c r="E3081" s="6">
        <v>9227.0</v>
      </c>
      <c r="F3081" s="6">
        <v>12020.0</v>
      </c>
      <c r="G3081" s="6">
        <v>12548.0</v>
      </c>
      <c r="H3081" s="6">
        <v>0.7353</v>
      </c>
      <c r="I3081" s="6">
        <v>0.9579</v>
      </c>
      <c r="J3081" s="6">
        <v>-0.2226</v>
      </c>
    </row>
    <row r="3082">
      <c r="A3082" s="1" t="s">
        <v>24</v>
      </c>
      <c r="B3082" s="1" t="s">
        <v>1192</v>
      </c>
      <c r="C3082" s="1" t="s">
        <v>53</v>
      </c>
      <c r="D3082" s="6">
        <v>12.0</v>
      </c>
      <c r="E3082" s="6">
        <v>7981.0</v>
      </c>
      <c r="F3082" s="6">
        <v>11640.0</v>
      </c>
      <c r="G3082" s="6">
        <v>12548.0</v>
      </c>
      <c r="H3082" s="6">
        <v>0.636</v>
      </c>
      <c r="I3082" s="6">
        <v>0.9276</v>
      </c>
      <c r="J3082" s="6">
        <v>-0.2916</v>
      </c>
    </row>
    <row r="3083">
      <c r="A3083" s="1" t="s">
        <v>24</v>
      </c>
      <c r="B3083" s="1" t="s">
        <v>1192</v>
      </c>
      <c r="C3083" s="1" t="s">
        <v>53</v>
      </c>
      <c r="D3083" s="6">
        <v>13.0</v>
      </c>
      <c r="E3083" s="6">
        <v>11233.0</v>
      </c>
      <c r="F3083" s="6">
        <v>14114.0</v>
      </c>
      <c r="G3083" s="6">
        <v>12548.0</v>
      </c>
      <c r="H3083" s="6">
        <v>0.8952</v>
      </c>
      <c r="I3083" s="6">
        <v>1.1248</v>
      </c>
      <c r="J3083" s="6">
        <v>-0.2296</v>
      </c>
    </row>
    <row r="3084">
      <c r="A3084" s="1" t="s">
        <v>24</v>
      </c>
      <c r="B3084" s="1" t="s">
        <v>1192</v>
      </c>
      <c r="C3084" s="1" t="s">
        <v>53</v>
      </c>
      <c r="D3084" s="6">
        <v>14.0</v>
      </c>
      <c r="E3084" s="6">
        <v>8953.0</v>
      </c>
      <c r="F3084" s="6">
        <v>11786.0</v>
      </c>
      <c r="G3084" s="6">
        <v>12548.0</v>
      </c>
      <c r="H3084" s="6">
        <v>0.7135</v>
      </c>
      <c r="I3084" s="6">
        <v>0.9393</v>
      </c>
      <c r="J3084" s="6">
        <v>-0.2258</v>
      </c>
    </row>
    <row r="3085">
      <c r="A3085" s="1" t="s">
        <v>24</v>
      </c>
      <c r="B3085" s="1" t="s">
        <v>1192</v>
      </c>
      <c r="C3085" s="1" t="s">
        <v>53</v>
      </c>
      <c r="D3085" s="6">
        <v>15.0</v>
      </c>
      <c r="E3085" s="6">
        <v>7440.0</v>
      </c>
      <c r="F3085" s="6">
        <v>11670.0</v>
      </c>
      <c r="G3085" s="6">
        <v>12548.0</v>
      </c>
      <c r="H3085" s="6">
        <v>0.5929</v>
      </c>
      <c r="I3085" s="6">
        <v>0.93</v>
      </c>
      <c r="J3085" s="6">
        <v>-0.3371</v>
      </c>
    </row>
    <row r="3086">
      <c r="A3086" s="1" t="s">
        <v>24</v>
      </c>
      <c r="B3086" s="1" t="s">
        <v>1192</v>
      </c>
      <c r="C3086" s="1" t="s">
        <v>53</v>
      </c>
      <c r="D3086" s="6">
        <v>16.0</v>
      </c>
      <c r="E3086" s="6">
        <v>10600.0</v>
      </c>
      <c r="F3086" s="6">
        <v>12467.0</v>
      </c>
      <c r="G3086" s="6">
        <v>12548.0</v>
      </c>
      <c r="H3086" s="6">
        <v>0.8448</v>
      </c>
      <c r="I3086" s="6">
        <v>0.9935</v>
      </c>
      <c r="J3086" s="6">
        <v>-0.1488</v>
      </c>
    </row>
    <row r="3087">
      <c r="A3087" s="1" t="s">
        <v>24</v>
      </c>
      <c r="B3087" s="1" t="s">
        <v>1192</v>
      </c>
      <c r="C3087" s="1" t="s">
        <v>53</v>
      </c>
      <c r="D3087" s="6">
        <v>17.0</v>
      </c>
      <c r="E3087" s="6">
        <v>10413.0</v>
      </c>
      <c r="F3087" s="6">
        <v>12688.0</v>
      </c>
      <c r="G3087" s="6">
        <v>12548.0</v>
      </c>
      <c r="H3087" s="6">
        <v>0.8299</v>
      </c>
      <c r="I3087" s="6">
        <v>1.0112</v>
      </c>
      <c r="J3087" s="6">
        <v>-0.1813</v>
      </c>
    </row>
    <row r="3088">
      <c r="A3088" s="1" t="s">
        <v>24</v>
      </c>
      <c r="B3088" s="1" t="s">
        <v>1192</v>
      </c>
      <c r="C3088" s="1" t="s">
        <v>53</v>
      </c>
      <c r="D3088" s="6">
        <v>18.0</v>
      </c>
      <c r="E3088" s="6">
        <v>10630.0</v>
      </c>
      <c r="F3088" s="6">
        <v>12836.0</v>
      </c>
      <c r="G3088" s="6">
        <v>12548.0</v>
      </c>
      <c r="H3088" s="6">
        <v>0.8471</v>
      </c>
      <c r="I3088" s="6">
        <v>1.023</v>
      </c>
      <c r="J3088" s="6">
        <v>-0.1758</v>
      </c>
    </row>
    <row r="3089">
      <c r="A3089" s="1" t="s">
        <v>24</v>
      </c>
      <c r="B3089" s="1" t="s">
        <v>1192</v>
      </c>
      <c r="C3089" s="1" t="s">
        <v>53</v>
      </c>
      <c r="D3089" s="6">
        <v>19.0</v>
      </c>
      <c r="E3089" s="6">
        <v>8910.0</v>
      </c>
      <c r="F3089" s="6">
        <v>12513.0</v>
      </c>
      <c r="G3089" s="6">
        <v>12548.0</v>
      </c>
      <c r="H3089" s="6">
        <v>0.7101</v>
      </c>
      <c r="I3089" s="6">
        <v>0.9972</v>
      </c>
      <c r="J3089" s="6">
        <v>-0.2871</v>
      </c>
    </row>
    <row r="3090">
      <c r="A3090" s="1" t="s">
        <v>24</v>
      </c>
      <c r="B3090" s="1" t="s">
        <v>1192</v>
      </c>
      <c r="C3090" s="1" t="s">
        <v>53</v>
      </c>
      <c r="D3090" s="6">
        <v>20.0</v>
      </c>
      <c r="E3090" s="6">
        <v>13071.0</v>
      </c>
      <c r="F3090" s="6">
        <v>15723.0</v>
      </c>
      <c r="G3090" s="6">
        <v>12548.0</v>
      </c>
      <c r="H3090" s="6">
        <v>1.0417</v>
      </c>
      <c r="I3090" s="6">
        <v>1.253</v>
      </c>
      <c r="J3090" s="6">
        <v>-0.2113</v>
      </c>
    </row>
    <row r="3091">
      <c r="A3091" s="1" t="s">
        <v>24</v>
      </c>
      <c r="B3091" s="1" t="s">
        <v>1192</v>
      </c>
      <c r="C3091" s="1" t="s">
        <v>53</v>
      </c>
      <c r="D3091" s="6">
        <v>21.0</v>
      </c>
      <c r="E3091" s="6">
        <v>15704.0</v>
      </c>
      <c r="F3091" s="6">
        <v>15277.0</v>
      </c>
      <c r="G3091" s="6">
        <v>12548.0</v>
      </c>
      <c r="H3091" s="6">
        <v>1.2515</v>
      </c>
      <c r="I3091" s="6">
        <v>1.2175</v>
      </c>
      <c r="J3091" s="6">
        <v>0.034</v>
      </c>
    </row>
    <row r="3092">
      <c r="A3092" s="1" t="s">
        <v>24</v>
      </c>
      <c r="B3092" s="1" t="s">
        <v>1192</v>
      </c>
      <c r="C3092" s="1" t="s">
        <v>53</v>
      </c>
      <c r="D3092" s="6">
        <v>22.0</v>
      </c>
      <c r="E3092" s="6">
        <v>11024.0</v>
      </c>
      <c r="F3092" s="6">
        <v>13837.0</v>
      </c>
      <c r="G3092" s="6">
        <v>12548.0</v>
      </c>
      <c r="H3092" s="6">
        <v>0.8785</v>
      </c>
      <c r="I3092" s="6">
        <v>1.1027</v>
      </c>
      <c r="J3092" s="6">
        <v>-0.2242</v>
      </c>
    </row>
    <row r="3093">
      <c r="A3093" s="1" t="s">
        <v>24</v>
      </c>
      <c r="B3093" s="1" t="s">
        <v>1192</v>
      </c>
      <c r="C3093" s="1" t="s">
        <v>53</v>
      </c>
      <c r="D3093" s="6">
        <v>23.0</v>
      </c>
      <c r="E3093" s="6">
        <v>11050.0</v>
      </c>
      <c r="F3093" s="6">
        <v>13302.0</v>
      </c>
      <c r="G3093" s="6">
        <v>12548.0</v>
      </c>
      <c r="H3093" s="6">
        <v>0.8806</v>
      </c>
      <c r="I3093" s="6">
        <v>1.0601</v>
      </c>
      <c r="J3093" s="6">
        <v>-0.1795</v>
      </c>
    </row>
    <row r="3094">
      <c r="A3094" s="1" t="s">
        <v>24</v>
      </c>
      <c r="B3094" s="1" t="s">
        <v>1192</v>
      </c>
      <c r="C3094" s="1" t="s">
        <v>53</v>
      </c>
      <c r="D3094" s="6">
        <v>24.0</v>
      </c>
      <c r="E3094" s="6">
        <v>11980.0</v>
      </c>
      <c r="F3094" s="6">
        <v>14572.0</v>
      </c>
      <c r="G3094" s="6">
        <v>12548.0</v>
      </c>
      <c r="H3094" s="6">
        <v>0.9547</v>
      </c>
      <c r="I3094" s="6">
        <v>1.1613</v>
      </c>
      <c r="J3094" s="6">
        <v>-0.2066</v>
      </c>
    </row>
    <row r="3095">
      <c r="A3095" s="1" t="s">
        <v>24</v>
      </c>
      <c r="B3095" s="1" t="s">
        <v>1192</v>
      </c>
      <c r="C3095" s="1" t="s">
        <v>53</v>
      </c>
      <c r="D3095" s="6">
        <v>25.0</v>
      </c>
      <c r="E3095" s="6">
        <v>12266.0</v>
      </c>
      <c r="F3095" s="6">
        <v>14471.0</v>
      </c>
      <c r="G3095" s="6">
        <v>12548.0</v>
      </c>
      <c r="H3095" s="6">
        <v>0.9775</v>
      </c>
      <c r="I3095" s="6">
        <v>1.1533</v>
      </c>
      <c r="J3095" s="6">
        <v>-0.1757</v>
      </c>
    </row>
    <row r="3096">
      <c r="A3096" s="1" t="s">
        <v>24</v>
      </c>
      <c r="B3096" s="1" t="s">
        <v>1192</v>
      </c>
      <c r="C3096" s="1" t="s">
        <v>53</v>
      </c>
      <c r="D3096" s="6">
        <v>26.0</v>
      </c>
      <c r="E3096" s="6">
        <v>10241.0</v>
      </c>
      <c r="F3096" s="6">
        <v>14173.0</v>
      </c>
      <c r="G3096" s="6">
        <v>12548.0</v>
      </c>
      <c r="H3096" s="6">
        <v>0.8161</v>
      </c>
      <c r="I3096" s="6">
        <v>1.1295</v>
      </c>
      <c r="J3096" s="6">
        <v>-0.3134</v>
      </c>
    </row>
    <row r="3097">
      <c r="A3097" s="1" t="s">
        <v>24</v>
      </c>
      <c r="B3097" s="1" t="s">
        <v>1192</v>
      </c>
      <c r="C3097" s="1" t="s">
        <v>53</v>
      </c>
      <c r="D3097" s="6">
        <v>27.0</v>
      </c>
      <c r="E3097" s="6">
        <v>13930.0</v>
      </c>
      <c r="F3097" s="6">
        <v>16867.0</v>
      </c>
      <c r="G3097" s="6">
        <v>12548.0</v>
      </c>
      <c r="H3097" s="6">
        <v>1.1101</v>
      </c>
      <c r="I3097" s="6">
        <v>1.3442</v>
      </c>
      <c r="J3097" s="6">
        <v>-0.2341</v>
      </c>
    </row>
    <row r="3098">
      <c r="A3098" s="1" t="s">
        <v>24</v>
      </c>
      <c r="B3098" s="1" t="s">
        <v>1192</v>
      </c>
      <c r="C3098" s="1" t="s">
        <v>53</v>
      </c>
      <c r="D3098" s="6">
        <v>28.0</v>
      </c>
      <c r="E3098" s="6">
        <v>10970.0</v>
      </c>
      <c r="F3098" s="6">
        <v>13962.0</v>
      </c>
      <c r="G3098" s="6">
        <v>12548.0</v>
      </c>
      <c r="H3098" s="6">
        <v>0.8742</v>
      </c>
      <c r="I3098" s="6">
        <v>1.1127</v>
      </c>
      <c r="J3098" s="6">
        <v>-0.2384</v>
      </c>
    </row>
    <row r="3099">
      <c r="A3099" s="1" t="s">
        <v>24</v>
      </c>
      <c r="B3099" s="1" t="s">
        <v>1192</v>
      </c>
      <c r="C3099" s="1" t="s">
        <v>53</v>
      </c>
      <c r="D3099" s="6">
        <v>29.0</v>
      </c>
      <c r="E3099" s="6">
        <v>8752.0</v>
      </c>
      <c r="F3099" s="6">
        <v>12850.0</v>
      </c>
      <c r="G3099" s="6">
        <v>12548.0</v>
      </c>
      <c r="H3099" s="6">
        <v>0.6975</v>
      </c>
      <c r="I3099" s="6">
        <v>1.0241</v>
      </c>
      <c r="J3099" s="6">
        <v>-0.3266</v>
      </c>
    </row>
    <row r="3100">
      <c r="A3100" s="1" t="s">
        <v>24</v>
      </c>
      <c r="B3100" s="1" t="s">
        <v>1192</v>
      </c>
      <c r="C3100" s="1" t="s">
        <v>53</v>
      </c>
      <c r="D3100" s="6">
        <v>30.0</v>
      </c>
      <c r="E3100" s="6">
        <v>12020.0</v>
      </c>
      <c r="F3100" s="6">
        <v>14294.0</v>
      </c>
      <c r="G3100" s="6">
        <v>12548.0</v>
      </c>
      <c r="H3100" s="6">
        <v>0.9579</v>
      </c>
      <c r="I3100" s="6">
        <v>1.1391</v>
      </c>
      <c r="J3100" s="6">
        <v>-0.1812</v>
      </c>
    </row>
    <row r="3101">
      <c r="A3101" s="1" t="s">
        <v>24</v>
      </c>
      <c r="B3101" s="1" t="s">
        <v>1192</v>
      </c>
      <c r="C3101" s="1" t="s">
        <v>53</v>
      </c>
      <c r="D3101" s="6">
        <v>31.0</v>
      </c>
      <c r="E3101" s="6">
        <v>11529.0</v>
      </c>
      <c r="F3101" s="6">
        <v>13747.0</v>
      </c>
      <c r="G3101" s="6">
        <v>12548.0</v>
      </c>
      <c r="H3101" s="6">
        <v>0.9188</v>
      </c>
      <c r="I3101" s="6">
        <v>1.0956</v>
      </c>
      <c r="J3101" s="6">
        <v>-0.1768</v>
      </c>
    </row>
    <row r="3102">
      <c r="A3102" s="1" t="s">
        <v>24</v>
      </c>
      <c r="B3102" s="1" t="s">
        <v>1192</v>
      </c>
      <c r="C3102" s="1" t="s">
        <v>53</v>
      </c>
      <c r="D3102" s="6">
        <v>32.0</v>
      </c>
      <c r="E3102" s="6">
        <v>11614.0</v>
      </c>
      <c r="F3102" s="6">
        <v>13669.0</v>
      </c>
      <c r="G3102" s="6">
        <v>12548.0</v>
      </c>
      <c r="H3102" s="6">
        <v>0.9256</v>
      </c>
      <c r="I3102" s="6">
        <v>1.0893</v>
      </c>
      <c r="J3102" s="6">
        <v>-0.1638</v>
      </c>
    </row>
    <row r="3103">
      <c r="A3103" s="1" t="s">
        <v>24</v>
      </c>
      <c r="B3103" s="1" t="s">
        <v>1192</v>
      </c>
      <c r="C3103" s="1" t="s">
        <v>53</v>
      </c>
      <c r="D3103" s="6">
        <v>33.0</v>
      </c>
      <c r="E3103" s="6">
        <v>9517.0</v>
      </c>
      <c r="F3103" s="6">
        <v>13394.0</v>
      </c>
      <c r="G3103" s="6">
        <v>12548.0</v>
      </c>
      <c r="H3103" s="6">
        <v>0.7584</v>
      </c>
      <c r="I3103" s="6">
        <v>1.0674</v>
      </c>
      <c r="J3103" s="6">
        <v>-0.309</v>
      </c>
    </row>
    <row r="3104">
      <c r="A3104" s="1" t="s">
        <v>24</v>
      </c>
      <c r="B3104" s="1" t="s">
        <v>1192</v>
      </c>
      <c r="C3104" s="1" t="s">
        <v>54</v>
      </c>
      <c r="D3104" s="6">
        <v>1.0</v>
      </c>
      <c r="E3104" s="6">
        <v>4123.0</v>
      </c>
      <c r="F3104" s="6">
        <v>7189.0</v>
      </c>
      <c r="G3104" s="6">
        <v>12396.0</v>
      </c>
      <c r="H3104" s="6">
        <v>0.3326</v>
      </c>
      <c r="I3104" s="6">
        <v>0.5799</v>
      </c>
      <c r="J3104" s="6">
        <v>-0.2473</v>
      </c>
    </row>
    <row r="3105">
      <c r="A3105" s="1" t="s">
        <v>24</v>
      </c>
      <c r="B3105" s="1" t="s">
        <v>1192</v>
      </c>
      <c r="C3105" s="1" t="s">
        <v>54</v>
      </c>
      <c r="D3105" s="6">
        <v>2.0</v>
      </c>
      <c r="E3105" s="6">
        <v>6375.0</v>
      </c>
      <c r="F3105" s="6">
        <v>8138.0</v>
      </c>
      <c r="G3105" s="6">
        <v>12396.0</v>
      </c>
      <c r="H3105" s="6">
        <v>0.5143</v>
      </c>
      <c r="I3105" s="6">
        <v>0.6565</v>
      </c>
      <c r="J3105" s="6">
        <v>-0.1422</v>
      </c>
    </row>
    <row r="3106">
      <c r="A3106" s="1" t="s">
        <v>24</v>
      </c>
      <c r="B3106" s="1" t="s">
        <v>1192</v>
      </c>
      <c r="C3106" s="1" t="s">
        <v>54</v>
      </c>
      <c r="D3106" s="6">
        <v>3.0</v>
      </c>
      <c r="E3106" s="6">
        <v>5551.0</v>
      </c>
      <c r="F3106" s="6">
        <v>8045.0</v>
      </c>
      <c r="G3106" s="6">
        <v>12396.0</v>
      </c>
      <c r="H3106" s="6">
        <v>0.4478</v>
      </c>
      <c r="I3106" s="6">
        <v>0.649</v>
      </c>
      <c r="J3106" s="6">
        <v>-0.2012</v>
      </c>
    </row>
    <row r="3107">
      <c r="A3107" s="1" t="s">
        <v>24</v>
      </c>
      <c r="B3107" s="1" t="s">
        <v>1192</v>
      </c>
      <c r="C3107" s="1" t="s">
        <v>54</v>
      </c>
      <c r="D3107" s="6">
        <v>4.0</v>
      </c>
      <c r="E3107" s="6">
        <v>6748.0</v>
      </c>
      <c r="F3107" s="6">
        <v>8470.0</v>
      </c>
      <c r="G3107" s="6">
        <v>12396.0</v>
      </c>
      <c r="H3107" s="6">
        <v>0.5444</v>
      </c>
      <c r="I3107" s="6">
        <v>0.6833</v>
      </c>
      <c r="J3107" s="6">
        <v>-0.1389</v>
      </c>
    </row>
    <row r="3108">
      <c r="A3108" s="1" t="s">
        <v>24</v>
      </c>
      <c r="B3108" s="1" t="s">
        <v>1192</v>
      </c>
      <c r="C3108" s="1" t="s">
        <v>54</v>
      </c>
      <c r="D3108" s="6">
        <v>5.0</v>
      </c>
      <c r="E3108" s="6">
        <v>5868.0</v>
      </c>
      <c r="F3108" s="6">
        <v>8252.0</v>
      </c>
      <c r="G3108" s="6">
        <v>12396.0</v>
      </c>
      <c r="H3108" s="6">
        <v>0.4734</v>
      </c>
      <c r="I3108" s="6">
        <v>0.6657</v>
      </c>
      <c r="J3108" s="6">
        <v>-0.1923</v>
      </c>
    </row>
    <row r="3109">
      <c r="A3109" s="1" t="s">
        <v>24</v>
      </c>
      <c r="B3109" s="1" t="s">
        <v>1192</v>
      </c>
      <c r="C3109" s="1" t="s">
        <v>54</v>
      </c>
      <c r="D3109" s="6">
        <v>6.0</v>
      </c>
      <c r="E3109" s="6">
        <v>9553.0</v>
      </c>
      <c r="F3109" s="6">
        <v>11653.0</v>
      </c>
      <c r="G3109" s="6">
        <v>12396.0</v>
      </c>
      <c r="H3109" s="6">
        <v>0.7707</v>
      </c>
      <c r="I3109" s="6">
        <v>0.9401</v>
      </c>
      <c r="J3109" s="6">
        <v>-0.1694</v>
      </c>
    </row>
    <row r="3110">
      <c r="A3110" s="1" t="s">
        <v>24</v>
      </c>
      <c r="B3110" s="1" t="s">
        <v>1192</v>
      </c>
      <c r="C3110" s="1" t="s">
        <v>54</v>
      </c>
      <c r="D3110" s="6">
        <v>7.0</v>
      </c>
      <c r="E3110" s="6">
        <v>6524.0</v>
      </c>
      <c r="F3110" s="6">
        <v>8570.0</v>
      </c>
      <c r="G3110" s="6">
        <v>12396.0</v>
      </c>
      <c r="H3110" s="6">
        <v>0.5263</v>
      </c>
      <c r="I3110" s="6">
        <v>0.6914</v>
      </c>
      <c r="J3110" s="6">
        <v>-0.1651</v>
      </c>
    </row>
    <row r="3111">
      <c r="A3111" s="1" t="s">
        <v>24</v>
      </c>
      <c r="B3111" s="1" t="s">
        <v>1192</v>
      </c>
      <c r="C3111" s="1" t="s">
        <v>54</v>
      </c>
      <c r="D3111" s="6">
        <v>8.0</v>
      </c>
      <c r="E3111" s="6">
        <v>5125.0</v>
      </c>
      <c r="F3111" s="6">
        <v>7859.0</v>
      </c>
      <c r="G3111" s="6">
        <v>12396.0</v>
      </c>
      <c r="H3111" s="6">
        <v>0.4134</v>
      </c>
      <c r="I3111" s="6">
        <v>0.634</v>
      </c>
      <c r="J3111" s="6">
        <v>-0.2206</v>
      </c>
    </row>
    <row r="3112">
      <c r="A3112" s="1" t="s">
        <v>24</v>
      </c>
      <c r="B3112" s="1" t="s">
        <v>1192</v>
      </c>
      <c r="C3112" s="1" t="s">
        <v>54</v>
      </c>
      <c r="D3112" s="6">
        <v>9.0</v>
      </c>
      <c r="E3112" s="6">
        <v>5755.0</v>
      </c>
      <c r="F3112" s="6">
        <v>8044.0</v>
      </c>
      <c r="G3112" s="6">
        <v>12396.0</v>
      </c>
      <c r="H3112" s="6">
        <v>0.4643</v>
      </c>
      <c r="I3112" s="6">
        <v>0.6489</v>
      </c>
      <c r="J3112" s="6">
        <v>-0.1847</v>
      </c>
    </row>
    <row r="3113">
      <c r="A3113" s="1" t="s">
        <v>24</v>
      </c>
      <c r="B3113" s="1" t="s">
        <v>1192</v>
      </c>
      <c r="C3113" s="1" t="s">
        <v>54</v>
      </c>
      <c r="D3113" s="6">
        <v>10.0</v>
      </c>
      <c r="E3113" s="6">
        <v>5114.0</v>
      </c>
      <c r="F3113" s="6">
        <v>7865.0</v>
      </c>
      <c r="G3113" s="6">
        <v>12396.0</v>
      </c>
      <c r="H3113" s="6">
        <v>0.4126</v>
      </c>
      <c r="I3113" s="6">
        <v>0.6345</v>
      </c>
      <c r="J3113" s="6">
        <v>-0.2219</v>
      </c>
    </row>
    <row r="3114">
      <c r="A3114" s="1" t="s">
        <v>24</v>
      </c>
      <c r="B3114" s="1" t="s">
        <v>1192</v>
      </c>
      <c r="C3114" s="1" t="s">
        <v>54</v>
      </c>
      <c r="D3114" s="6">
        <v>11.0</v>
      </c>
      <c r="E3114" s="6">
        <v>6102.0</v>
      </c>
      <c r="F3114" s="6">
        <v>8356.0</v>
      </c>
      <c r="G3114" s="6">
        <v>12396.0</v>
      </c>
      <c r="H3114" s="6">
        <v>0.4923</v>
      </c>
      <c r="I3114" s="6">
        <v>0.6741</v>
      </c>
      <c r="J3114" s="6">
        <v>-0.1818</v>
      </c>
    </row>
    <row r="3115">
      <c r="A3115" s="1" t="s">
        <v>24</v>
      </c>
      <c r="B3115" s="1" t="s">
        <v>1192</v>
      </c>
      <c r="C3115" s="1" t="s">
        <v>54</v>
      </c>
      <c r="D3115" s="6">
        <v>12.0</v>
      </c>
      <c r="E3115" s="6">
        <v>5284.0</v>
      </c>
      <c r="F3115" s="6">
        <v>8594.0</v>
      </c>
      <c r="G3115" s="6">
        <v>12396.0</v>
      </c>
      <c r="H3115" s="6">
        <v>0.4263</v>
      </c>
      <c r="I3115" s="6">
        <v>0.6933</v>
      </c>
      <c r="J3115" s="6">
        <v>-0.267</v>
      </c>
    </row>
    <row r="3116">
      <c r="A3116" s="1" t="s">
        <v>24</v>
      </c>
      <c r="B3116" s="1" t="s">
        <v>1192</v>
      </c>
      <c r="C3116" s="1" t="s">
        <v>54</v>
      </c>
      <c r="D3116" s="6">
        <v>13.0</v>
      </c>
      <c r="E3116" s="6">
        <v>8956.0</v>
      </c>
      <c r="F3116" s="6">
        <v>11705.0</v>
      </c>
      <c r="G3116" s="6">
        <v>12396.0</v>
      </c>
      <c r="H3116" s="6">
        <v>0.7225</v>
      </c>
      <c r="I3116" s="6">
        <v>0.9443</v>
      </c>
      <c r="J3116" s="6">
        <v>-0.2218</v>
      </c>
    </row>
    <row r="3117">
      <c r="A3117" s="1" t="s">
        <v>24</v>
      </c>
      <c r="B3117" s="1" t="s">
        <v>1192</v>
      </c>
      <c r="C3117" s="1" t="s">
        <v>54</v>
      </c>
      <c r="D3117" s="6">
        <v>14.0</v>
      </c>
      <c r="E3117" s="6">
        <v>6155.0</v>
      </c>
      <c r="F3117" s="6">
        <v>8620.0</v>
      </c>
      <c r="G3117" s="6">
        <v>12396.0</v>
      </c>
      <c r="H3117" s="6">
        <v>0.4965</v>
      </c>
      <c r="I3117" s="6">
        <v>0.6954</v>
      </c>
      <c r="J3117" s="6">
        <v>-0.1989</v>
      </c>
    </row>
    <row r="3118">
      <c r="A3118" s="1" t="s">
        <v>24</v>
      </c>
      <c r="B3118" s="1" t="s">
        <v>1192</v>
      </c>
      <c r="C3118" s="1" t="s">
        <v>54</v>
      </c>
      <c r="D3118" s="6">
        <v>15.0</v>
      </c>
      <c r="E3118" s="6">
        <v>4733.0</v>
      </c>
      <c r="F3118" s="6">
        <v>7957.0</v>
      </c>
      <c r="G3118" s="6">
        <v>12396.0</v>
      </c>
      <c r="H3118" s="6">
        <v>0.3818</v>
      </c>
      <c r="I3118" s="6">
        <v>0.6419</v>
      </c>
      <c r="J3118" s="6">
        <v>-0.2601</v>
      </c>
    </row>
    <row r="3119">
      <c r="A3119" s="1" t="s">
        <v>24</v>
      </c>
      <c r="B3119" s="1" t="s">
        <v>1192</v>
      </c>
      <c r="C3119" s="1" t="s">
        <v>54</v>
      </c>
      <c r="D3119" s="6">
        <v>16.0</v>
      </c>
      <c r="E3119" s="6">
        <v>7229.0</v>
      </c>
      <c r="F3119" s="6">
        <v>8879.0</v>
      </c>
      <c r="G3119" s="6">
        <v>12396.0</v>
      </c>
      <c r="H3119" s="6">
        <v>0.5832</v>
      </c>
      <c r="I3119" s="6">
        <v>0.7163</v>
      </c>
      <c r="J3119" s="6">
        <v>-0.1331</v>
      </c>
    </row>
    <row r="3120">
      <c r="A3120" s="1" t="s">
        <v>24</v>
      </c>
      <c r="B3120" s="1" t="s">
        <v>1192</v>
      </c>
      <c r="C3120" s="1" t="s">
        <v>54</v>
      </c>
      <c r="D3120" s="6">
        <v>17.0</v>
      </c>
      <c r="E3120" s="6">
        <v>6406.0</v>
      </c>
      <c r="F3120" s="6">
        <v>8738.0</v>
      </c>
      <c r="G3120" s="6">
        <v>12396.0</v>
      </c>
      <c r="H3120" s="6">
        <v>0.5168</v>
      </c>
      <c r="I3120" s="6">
        <v>0.7049</v>
      </c>
      <c r="J3120" s="6">
        <v>-0.1881</v>
      </c>
    </row>
    <row r="3121">
      <c r="A3121" s="1" t="s">
        <v>24</v>
      </c>
      <c r="B3121" s="1" t="s">
        <v>1192</v>
      </c>
      <c r="C3121" s="1" t="s">
        <v>54</v>
      </c>
      <c r="D3121" s="6">
        <v>18.0</v>
      </c>
      <c r="E3121" s="6">
        <v>7113.0</v>
      </c>
      <c r="F3121" s="6">
        <v>8989.0</v>
      </c>
      <c r="G3121" s="6">
        <v>12396.0</v>
      </c>
      <c r="H3121" s="6">
        <v>0.5738</v>
      </c>
      <c r="I3121" s="6">
        <v>0.7252</v>
      </c>
      <c r="J3121" s="6">
        <v>-0.1513</v>
      </c>
    </row>
    <row r="3122">
      <c r="A3122" s="1" t="s">
        <v>24</v>
      </c>
      <c r="B3122" s="1" t="s">
        <v>1192</v>
      </c>
      <c r="C3122" s="1" t="s">
        <v>54</v>
      </c>
      <c r="D3122" s="6">
        <v>19.0</v>
      </c>
      <c r="E3122" s="6">
        <v>6315.0</v>
      </c>
      <c r="F3122" s="6">
        <v>8948.0</v>
      </c>
      <c r="G3122" s="6">
        <v>12396.0</v>
      </c>
      <c r="H3122" s="6">
        <v>0.5094</v>
      </c>
      <c r="I3122" s="6">
        <v>0.7218</v>
      </c>
      <c r="J3122" s="6">
        <v>-0.2124</v>
      </c>
    </row>
    <row r="3123">
      <c r="A3123" s="1" t="s">
        <v>24</v>
      </c>
      <c r="B3123" s="1" t="s">
        <v>1192</v>
      </c>
      <c r="C3123" s="1" t="s">
        <v>54</v>
      </c>
      <c r="D3123" s="6">
        <v>20.0</v>
      </c>
      <c r="E3123" s="6">
        <v>10879.0</v>
      </c>
      <c r="F3123" s="6">
        <v>13017.0</v>
      </c>
      <c r="G3123" s="6">
        <v>12396.0</v>
      </c>
      <c r="H3123" s="6">
        <v>0.8776</v>
      </c>
      <c r="I3123" s="6">
        <v>1.0501</v>
      </c>
      <c r="J3123" s="6">
        <v>-0.1725</v>
      </c>
    </row>
    <row r="3124">
      <c r="A3124" s="1" t="s">
        <v>24</v>
      </c>
      <c r="B3124" s="1" t="s">
        <v>1192</v>
      </c>
      <c r="C3124" s="1" t="s">
        <v>54</v>
      </c>
      <c r="D3124" s="6">
        <v>21.0</v>
      </c>
      <c r="E3124" s="6">
        <v>9209.0</v>
      </c>
      <c r="F3124" s="6">
        <v>10450.0</v>
      </c>
      <c r="G3124" s="6">
        <v>12396.0</v>
      </c>
      <c r="H3124" s="6">
        <v>0.7429</v>
      </c>
      <c r="I3124" s="6">
        <v>0.843</v>
      </c>
      <c r="J3124" s="6">
        <v>-0.1001</v>
      </c>
    </row>
    <row r="3125">
      <c r="A3125" s="1" t="s">
        <v>24</v>
      </c>
      <c r="B3125" s="1" t="s">
        <v>1192</v>
      </c>
      <c r="C3125" s="1" t="s">
        <v>54</v>
      </c>
      <c r="D3125" s="6">
        <v>22.0</v>
      </c>
      <c r="E3125" s="6">
        <v>7171.0</v>
      </c>
      <c r="F3125" s="6">
        <v>9672.0</v>
      </c>
      <c r="G3125" s="6">
        <v>12396.0</v>
      </c>
      <c r="H3125" s="6">
        <v>0.5785</v>
      </c>
      <c r="I3125" s="6">
        <v>0.7803</v>
      </c>
      <c r="J3125" s="6">
        <v>-0.2018</v>
      </c>
    </row>
    <row r="3126">
      <c r="A3126" s="1" t="s">
        <v>24</v>
      </c>
      <c r="B3126" s="1" t="s">
        <v>1192</v>
      </c>
      <c r="C3126" s="1" t="s">
        <v>54</v>
      </c>
      <c r="D3126" s="6">
        <v>23.0</v>
      </c>
      <c r="E3126" s="6">
        <v>7439.0</v>
      </c>
      <c r="F3126" s="6">
        <v>9428.0</v>
      </c>
      <c r="G3126" s="6">
        <v>12396.0</v>
      </c>
      <c r="H3126" s="6">
        <v>0.6001</v>
      </c>
      <c r="I3126" s="6">
        <v>0.7606</v>
      </c>
      <c r="J3126" s="6">
        <v>-0.1605</v>
      </c>
    </row>
    <row r="3127">
      <c r="A3127" s="1" t="s">
        <v>24</v>
      </c>
      <c r="B3127" s="1" t="s">
        <v>1192</v>
      </c>
      <c r="C3127" s="1" t="s">
        <v>54</v>
      </c>
      <c r="D3127" s="6">
        <v>24.0</v>
      </c>
      <c r="E3127" s="6">
        <v>6701.0</v>
      </c>
      <c r="F3127" s="6">
        <v>9459.0</v>
      </c>
      <c r="G3127" s="6">
        <v>12396.0</v>
      </c>
      <c r="H3127" s="6">
        <v>0.5406</v>
      </c>
      <c r="I3127" s="6">
        <v>0.7631</v>
      </c>
      <c r="J3127" s="6">
        <v>-0.2225</v>
      </c>
    </row>
    <row r="3128">
      <c r="A3128" s="1" t="s">
        <v>24</v>
      </c>
      <c r="B3128" s="1" t="s">
        <v>1192</v>
      </c>
      <c r="C3128" s="1" t="s">
        <v>54</v>
      </c>
      <c r="D3128" s="6">
        <v>25.0</v>
      </c>
      <c r="E3128" s="6">
        <v>7830.0</v>
      </c>
      <c r="F3128" s="6">
        <v>9870.0</v>
      </c>
      <c r="G3128" s="6">
        <v>12396.0</v>
      </c>
      <c r="H3128" s="6">
        <v>0.6317</v>
      </c>
      <c r="I3128" s="6">
        <v>0.7962</v>
      </c>
      <c r="J3128" s="6">
        <v>-0.1646</v>
      </c>
    </row>
    <row r="3129">
      <c r="A3129" s="1" t="s">
        <v>24</v>
      </c>
      <c r="B3129" s="1" t="s">
        <v>1192</v>
      </c>
      <c r="C3129" s="1" t="s">
        <v>54</v>
      </c>
      <c r="D3129" s="6">
        <v>26.0</v>
      </c>
      <c r="E3129" s="6">
        <v>6654.0</v>
      </c>
      <c r="F3129" s="6">
        <v>9709.0</v>
      </c>
      <c r="G3129" s="6">
        <v>12396.0</v>
      </c>
      <c r="H3129" s="6">
        <v>0.5368</v>
      </c>
      <c r="I3129" s="6">
        <v>0.7832</v>
      </c>
      <c r="J3129" s="6">
        <v>-0.2465</v>
      </c>
    </row>
    <row r="3130">
      <c r="A3130" s="1" t="s">
        <v>24</v>
      </c>
      <c r="B3130" s="1" t="s">
        <v>1192</v>
      </c>
      <c r="C3130" s="1" t="s">
        <v>54</v>
      </c>
      <c r="D3130" s="6">
        <v>27.0</v>
      </c>
      <c r="E3130" s="6">
        <v>10668.0</v>
      </c>
      <c r="F3130" s="6">
        <v>13080.0</v>
      </c>
      <c r="G3130" s="6">
        <v>12396.0</v>
      </c>
      <c r="H3130" s="6">
        <v>0.8606</v>
      </c>
      <c r="I3130" s="6">
        <v>1.0552</v>
      </c>
      <c r="J3130" s="6">
        <v>-0.1946</v>
      </c>
    </row>
    <row r="3131">
      <c r="A3131" s="1" t="s">
        <v>24</v>
      </c>
      <c r="B3131" s="1" t="s">
        <v>1192</v>
      </c>
      <c r="C3131" s="1" t="s">
        <v>54</v>
      </c>
      <c r="D3131" s="6">
        <v>28.0</v>
      </c>
      <c r="E3131" s="6">
        <v>7266.0</v>
      </c>
      <c r="F3131" s="6">
        <v>9781.0</v>
      </c>
      <c r="G3131" s="6">
        <v>12396.0</v>
      </c>
      <c r="H3131" s="6">
        <v>0.5862</v>
      </c>
      <c r="I3131" s="6">
        <v>0.789</v>
      </c>
      <c r="J3131" s="6">
        <v>-0.2029</v>
      </c>
    </row>
    <row r="3132">
      <c r="A3132" s="1" t="s">
        <v>24</v>
      </c>
      <c r="B3132" s="1" t="s">
        <v>1192</v>
      </c>
      <c r="C3132" s="1" t="s">
        <v>54</v>
      </c>
      <c r="D3132" s="6">
        <v>29.0</v>
      </c>
      <c r="E3132" s="6">
        <v>5171.0</v>
      </c>
      <c r="F3132" s="6">
        <v>8375.0</v>
      </c>
      <c r="G3132" s="6">
        <v>12396.0</v>
      </c>
      <c r="H3132" s="6">
        <v>0.4172</v>
      </c>
      <c r="I3132" s="6">
        <v>0.6756</v>
      </c>
      <c r="J3132" s="6">
        <v>-0.2585</v>
      </c>
    </row>
    <row r="3133">
      <c r="A3133" s="1" t="s">
        <v>24</v>
      </c>
      <c r="B3133" s="1" t="s">
        <v>1192</v>
      </c>
      <c r="C3133" s="1" t="s">
        <v>54</v>
      </c>
      <c r="D3133" s="6">
        <v>30.0</v>
      </c>
      <c r="E3133" s="6">
        <v>7741.0</v>
      </c>
      <c r="F3133" s="6">
        <v>9278.0</v>
      </c>
      <c r="G3133" s="6">
        <v>12396.0</v>
      </c>
      <c r="H3133" s="6">
        <v>0.6245</v>
      </c>
      <c r="I3133" s="6">
        <v>0.7485</v>
      </c>
      <c r="J3133" s="6">
        <v>-0.124</v>
      </c>
    </row>
    <row r="3134">
      <c r="A3134" s="1" t="s">
        <v>24</v>
      </c>
      <c r="B3134" s="1" t="s">
        <v>1192</v>
      </c>
      <c r="C3134" s="1" t="s">
        <v>54</v>
      </c>
      <c r="D3134" s="6">
        <v>31.0</v>
      </c>
      <c r="E3134" s="6">
        <v>6921.0</v>
      </c>
      <c r="F3134" s="6">
        <v>9125.0</v>
      </c>
      <c r="G3134" s="6">
        <v>12396.0</v>
      </c>
      <c r="H3134" s="6">
        <v>0.5583</v>
      </c>
      <c r="I3134" s="6">
        <v>0.7361</v>
      </c>
      <c r="J3134" s="6">
        <v>-0.1778</v>
      </c>
    </row>
    <row r="3135">
      <c r="A3135" s="1" t="s">
        <v>24</v>
      </c>
      <c r="B3135" s="1" t="s">
        <v>1192</v>
      </c>
      <c r="C3135" s="1" t="s">
        <v>54</v>
      </c>
      <c r="D3135" s="6">
        <v>32.0</v>
      </c>
      <c r="E3135" s="6">
        <v>7704.0</v>
      </c>
      <c r="F3135" s="6">
        <v>9369.0</v>
      </c>
      <c r="G3135" s="6">
        <v>12396.0</v>
      </c>
      <c r="H3135" s="6">
        <v>0.6215</v>
      </c>
      <c r="I3135" s="6">
        <v>0.7558</v>
      </c>
      <c r="J3135" s="6">
        <v>-0.1343</v>
      </c>
    </row>
    <row r="3136">
      <c r="A3136" s="1" t="s">
        <v>24</v>
      </c>
      <c r="B3136" s="1" t="s">
        <v>1192</v>
      </c>
      <c r="C3136" s="1" t="s">
        <v>54</v>
      </c>
      <c r="D3136" s="6">
        <v>33.0</v>
      </c>
      <c r="E3136" s="6">
        <v>6533.0</v>
      </c>
      <c r="F3136" s="6">
        <v>9245.0</v>
      </c>
      <c r="G3136" s="6">
        <v>12396.0</v>
      </c>
      <c r="H3136" s="6">
        <v>0.527</v>
      </c>
      <c r="I3136" s="6">
        <v>0.7458</v>
      </c>
      <c r="J3136" s="6">
        <v>-0.2188</v>
      </c>
    </row>
    <row r="3137">
      <c r="A3137" s="1" t="s">
        <v>24</v>
      </c>
      <c r="B3137" s="1" t="s">
        <v>1192</v>
      </c>
      <c r="C3137" s="1" t="s">
        <v>47</v>
      </c>
      <c r="D3137" s="6">
        <v>1.0</v>
      </c>
      <c r="E3137" s="6">
        <v>10037.0</v>
      </c>
      <c r="F3137" s="6">
        <v>14439.0</v>
      </c>
      <c r="G3137" s="6">
        <v>12603.0</v>
      </c>
      <c r="H3137" s="6">
        <v>0.7964</v>
      </c>
      <c r="I3137" s="6">
        <v>1.1457</v>
      </c>
      <c r="J3137" s="6">
        <v>-0.3493</v>
      </c>
    </row>
    <row r="3138">
      <c r="A3138" s="1" t="s">
        <v>24</v>
      </c>
      <c r="B3138" s="1" t="s">
        <v>1192</v>
      </c>
      <c r="C3138" s="1" t="s">
        <v>47</v>
      </c>
      <c r="D3138" s="6">
        <v>2.0</v>
      </c>
      <c r="E3138" s="6">
        <v>9966.0</v>
      </c>
      <c r="F3138" s="6">
        <v>13559.0</v>
      </c>
      <c r="G3138" s="6">
        <v>12603.0</v>
      </c>
      <c r="H3138" s="6">
        <v>0.7908</v>
      </c>
      <c r="I3138" s="6">
        <v>1.0759</v>
      </c>
      <c r="J3138" s="6">
        <v>-0.2851</v>
      </c>
    </row>
    <row r="3139">
      <c r="A3139" s="1" t="s">
        <v>24</v>
      </c>
      <c r="B3139" s="1" t="s">
        <v>1192</v>
      </c>
      <c r="C3139" s="1" t="s">
        <v>47</v>
      </c>
      <c r="D3139" s="6">
        <v>3.0</v>
      </c>
      <c r="E3139" s="6">
        <v>13747.0</v>
      </c>
      <c r="F3139" s="6">
        <v>16016.0</v>
      </c>
      <c r="G3139" s="6">
        <v>12603.0</v>
      </c>
      <c r="H3139" s="6">
        <v>1.0908</v>
      </c>
      <c r="I3139" s="6">
        <v>1.2708</v>
      </c>
      <c r="J3139" s="6">
        <v>-0.18</v>
      </c>
    </row>
    <row r="3140">
      <c r="A3140" s="1" t="s">
        <v>24</v>
      </c>
      <c r="B3140" s="1" t="s">
        <v>1192</v>
      </c>
      <c r="C3140" s="1" t="s">
        <v>47</v>
      </c>
      <c r="D3140" s="6">
        <v>4.0</v>
      </c>
      <c r="E3140" s="6">
        <v>11035.0</v>
      </c>
      <c r="F3140" s="6">
        <v>15191.0</v>
      </c>
      <c r="G3140" s="6">
        <v>12603.0</v>
      </c>
      <c r="H3140" s="6">
        <v>0.8756</v>
      </c>
      <c r="I3140" s="6">
        <v>1.2053</v>
      </c>
      <c r="J3140" s="6">
        <v>-0.3298</v>
      </c>
    </row>
    <row r="3141">
      <c r="A3141" s="1" t="s">
        <v>24</v>
      </c>
      <c r="B3141" s="1" t="s">
        <v>1192</v>
      </c>
      <c r="C3141" s="1" t="s">
        <v>47</v>
      </c>
      <c r="D3141" s="6">
        <v>5.0</v>
      </c>
      <c r="E3141" s="6">
        <v>11716.0</v>
      </c>
      <c r="F3141" s="6">
        <v>15941.0</v>
      </c>
      <c r="G3141" s="6">
        <v>12603.0</v>
      </c>
      <c r="H3141" s="6">
        <v>0.9296</v>
      </c>
      <c r="I3141" s="6">
        <v>1.2649</v>
      </c>
      <c r="J3141" s="6">
        <v>-0.3352</v>
      </c>
    </row>
    <row r="3142">
      <c r="A3142" s="1" t="s">
        <v>24</v>
      </c>
      <c r="B3142" s="1" t="s">
        <v>1192</v>
      </c>
      <c r="C3142" s="1" t="s">
        <v>47</v>
      </c>
      <c r="D3142" s="6">
        <v>6.0</v>
      </c>
      <c r="E3142" s="6">
        <v>12924.0</v>
      </c>
      <c r="F3142" s="6">
        <v>17409.0</v>
      </c>
      <c r="G3142" s="6">
        <v>12603.0</v>
      </c>
      <c r="H3142" s="6">
        <v>1.0255</v>
      </c>
      <c r="I3142" s="6">
        <v>1.3813</v>
      </c>
      <c r="J3142" s="6">
        <v>-0.3559</v>
      </c>
    </row>
    <row r="3143">
      <c r="A3143" s="1" t="s">
        <v>24</v>
      </c>
      <c r="B3143" s="1" t="s">
        <v>1192</v>
      </c>
      <c r="C3143" s="1" t="s">
        <v>47</v>
      </c>
      <c r="D3143" s="6">
        <v>7.0</v>
      </c>
      <c r="E3143" s="6">
        <v>10336.0</v>
      </c>
      <c r="F3143" s="6">
        <v>14371.0</v>
      </c>
      <c r="G3143" s="6">
        <v>12603.0</v>
      </c>
      <c r="H3143" s="6">
        <v>0.8201</v>
      </c>
      <c r="I3143" s="6">
        <v>1.1403</v>
      </c>
      <c r="J3143" s="6">
        <v>-0.3202</v>
      </c>
    </row>
    <row r="3144">
      <c r="A3144" s="1" t="s">
        <v>24</v>
      </c>
      <c r="B3144" s="1" t="s">
        <v>1192</v>
      </c>
      <c r="C3144" s="1" t="s">
        <v>47</v>
      </c>
      <c r="D3144" s="6">
        <v>8.0</v>
      </c>
      <c r="E3144" s="6">
        <v>10284.0</v>
      </c>
      <c r="F3144" s="6">
        <v>14039.0</v>
      </c>
      <c r="G3144" s="6">
        <v>12603.0</v>
      </c>
      <c r="H3144" s="6">
        <v>0.816</v>
      </c>
      <c r="I3144" s="6">
        <v>1.1139</v>
      </c>
      <c r="J3144" s="6">
        <v>-0.2979</v>
      </c>
    </row>
    <row r="3145">
      <c r="A3145" s="1" t="s">
        <v>24</v>
      </c>
      <c r="B3145" s="1" t="s">
        <v>1192</v>
      </c>
      <c r="C3145" s="1" t="s">
        <v>47</v>
      </c>
      <c r="D3145" s="6">
        <v>9.0</v>
      </c>
      <c r="E3145" s="6">
        <v>8850.0</v>
      </c>
      <c r="F3145" s="6">
        <v>13132.0</v>
      </c>
      <c r="G3145" s="6">
        <v>12603.0</v>
      </c>
      <c r="H3145" s="6">
        <v>0.7022</v>
      </c>
      <c r="I3145" s="6">
        <v>1.042</v>
      </c>
      <c r="J3145" s="6">
        <v>-0.3398</v>
      </c>
    </row>
    <row r="3146">
      <c r="A3146" s="1" t="s">
        <v>24</v>
      </c>
      <c r="B3146" s="1" t="s">
        <v>1192</v>
      </c>
      <c r="C3146" s="1" t="s">
        <v>47</v>
      </c>
      <c r="D3146" s="6">
        <v>10.0</v>
      </c>
      <c r="E3146" s="6">
        <v>14132.0</v>
      </c>
      <c r="F3146" s="6">
        <v>16542.0</v>
      </c>
      <c r="G3146" s="6">
        <v>12603.0</v>
      </c>
      <c r="H3146" s="6">
        <v>1.1213</v>
      </c>
      <c r="I3146" s="6">
        <v>1.3125</v>
      </c>
      <c r="J3146" s="6">
        <v>-0.1912</v>
      </c>
    </row>
    <row r="3147">
      <c r="A3147" s="1" t="s">
        <v>24</v>
      </c>
      <c r="B3147" s="1" t="s">
        <v>1192</v>
      </c>
      <c r="C3147" s="1" t="s">
        <v>47</v>
      </c>
      <c r="D3147" s="6">
        <v>11.0</v>
      </c>
      <c r="E3147" s="6">
        <v>10346.0</v>
      </c>
      <c r="F3147" s="6">
        <v>14807.0</v>
      </c>
      <c r="G3147" s="6">
        <v>12603.0</v>
      </c>
      <c r="H3147" s="6">
        <v>0.8209</v>
      </c>
      <c r="I3147" s="6">
        <v>1.1749</v>
      </c>
      <c r="J3147" s="6">
        <v>-0.354</v>
      </c>
    </row>
    <row r="3148">
      <c r="A3148" s="1" t="s">
        <v>24</v>
      </c>
      <c r="B3148" s="1" t="s">
        <v>1192</v>
      </c>
      <c r="C3148" s="1" t="s">
        <v>47</v>
      </c>
      <c r="D3148" s="6">
        <v>12.0</v>
      </c>
      <c r="E3148" s="6">
        <v>11117.0</v>
      </c>
      <c r="F3148" s="6">
        <v>16549.0</v>
      </c>
      <c r="G3148" s="6">
        <v>12603.0</v>
      </c>
      <c r="H3148" s="6">
        <v>0.8821</v>
      </c>
      <c r="I3148" s="6">
        <v>1.3131</v>
      </c>
      <c r="J3148" s="6">
        <v>-0.431</v>
      </c>
    </row>
    <row r="3149">
      <c r="A3149" s="1" t="s">
        <v>24</v>
      </c>
      <c r="B3149" s="1" t="s">
        <v>1192</v>
      </c>
      <c r="C3149" s="1" t="s">
        <v>47</v>
      </c>
      <c r="D3149" s="6">
        <v>13.0</v>
      </c>
      <c r="E3149" s="6">
        <v>12327.0</v>
      </c>
      <c r="F3149" s="6">
        <v>17610.0</v>
      </c>
      <c r="G3149" s="6">
        <v>12603.0</v>
      </c>
      <c r="H3149" s="6">
        <v>0.9781</v>
      </c>
      <c r="I3149" s="6">
        <v>1.3973</v>
      </c>
      <c r="J3149" s="6">
        <v>-0.4192</v>
      </c>
    </row>
    <row r="3150">
      <c r="A3150" s="1" t="s">
        <v>24</v>
      </c>
      <c r="B3150" s="1" t="s">
        <v>1192</v>
      </c>
      <c r="C3150" s="1" t="s">
        <v>47</v>
      </c>
      <c r="D3150" s="6">
        <v>14.0</v>
      </c>
      <c r="E3150" s="6">
        <v>10476.0</v>
      </c>
      <c r="F3150" s="6">
        <v>14900.0</v>
      </c>
      <c r="G3150" s="6">
        <v>12603.0</v>
      </c>
      <c r="H3150" s="6">
        <v>0.8312</v>
      </c>
      <c r="I3150" s="6">
        <v>1.1823</v>
      </c>
      <c r="J3150" s="6">
        <v>-0.351</v>
      </c>
    </row>
    <row r="3151">
      <c r="A3151" s="1" t="s">
        <v>24</v>
      </c>
      <c r="B3151" s="1" t="s">
        <v>1192</v>
      </c>
      <c r="C3151" s="1" t="s">
        <v>47</v>
      </c>
      <c r="D3151" s="6">
        <v>15.0</v>
      </c>
      <c r="E3151" s="6">
        <v>10814.0</v>
      </c>
      <c r="F3151" s="6">
        <v>15738.0</v>
      </c>
      <c r="G3151" s="6">
        <v>12603.0</v>
      </c>
      <c r="H3151" s="6">
        <v>0.858</v>
      </c>
      <c r="I3151" s="6">
        <v>1.2488</v>
      </c>
      <c r="J3151" s="6">
        <v>-0.3907</v>
      </c>
    </row>
    <row r="3152">
      <c r="A3152" s="1" t="s">
        <v>24</v>
      </c>
      <c r="B3152" s="1" t="s">
        <v>1192</v>
      </c>
      <c r="C3152" s="1" t="s">
        <v>47</v>
      </c>
      <c r="D3152" s="6">
        <v>16.0</v>
      </c>
      <c r="E3152" s="6">
        <v>10751.0</v>
      </c>
      <c r="F3152" s="6">
        <v>14484.0</v>
      </c>
      <c r="G3152" s="6">
        <v>12603.0</v>
      </c>
      <c r="H3152" s="6">
        <v>0.8531</v>
      </c>
      <c r="I3152" s="6">
        <v>1.1493</v>
      </c>
      <c r="J3152" s="6">
        <v>-0.2962</v>
      </c>
    </row>
    <row r="3153">
      <c r="A3153" s="1" t="s">
        <v>24</v>
      </c>
      <c r="B3153" s="1" t="s">
        <v>1192</v>
      </c>
      <c r="C3153" s="1" t="s">
        <v>47</v>
      </c>
      <c r="D3153" s="6">
        <v>17.0</v>
      </c>
      <c r="E3153" s="6">
        <v>15613.0</v>
      </c>
      <c r="F3153" s="6">
        <v>17804.0</v>
      </c>
      <c r="G3153" s="6">
        <v>12603.0</v>
      </c>
      <c r="H3153" s="6">
        <v>1.2388</v>
      </c>
      <c r="I3153" s="6">
        <v>1.4127</v>
      </c>
      <c r="J3153" s="6">
        <v>-0.1738</v>
      </c>
    </row>
    <row r="3154">
      <c r="A3154" s="1" t="s">
        <v>24</v>
      </c>
      <c r="B3154" s="1" t="s">
        <v>1192</v>
      </c>
      <c r="C3154" s="1" t="s">
        <v>47</v>
      </c>
      <c r="D3154" s="6">
        <v>18.0</v>
      </c>
      <c r="E3154" s="6">
        <v>11954.0</v>
      </c>
      <c r="F3154" s="6">
        <v>16111.0</v>
      </c>
      <c r="G3154" s="6">
        <v>12603.0</v>
      </c>
      <c r="H3154" s="6">
        <v>0.9485</v>
      </c>
      <c r="I3154" s="6">
        <v>1.2783</v>
      </c>
      <c r="J3154" s="6">
        <v>-0.3298</v>
      </c>
    </row>
    <row r="3155">
      <c r="A3155" s="1" t="s">
        <v>24</v>
      </c>
      <c r="B3155" s="1" t="s">
        <v>1192</v>
      </c>
      <c r="C3155" s="1" t="s">
        <v>47</v>
      </c>
      <c r="D3155" s="6">
        <v>19.0</v>
      </c>
      <c r="E3155" s="6">
        <v>12611.0</v>
      </c>
      <c r="F3155" s="6">
        <v>17046.0</v>
      </c>
      <c r="G3155" s="6">
        <v>12603.0</v>
      </c>
      <c r="H3155" s="6">
        <v>1.0006</v>
      </c>
      <c r="I3155" s="6">
        <v>1.3525</v>
      </c>
      <c r="J3155" s="6">
        <v>-0.3519</v>
      </c>
    </row>
    <row r="3156">
      <c r="A3156" s="1" t="s">
        <v>24</v>
      </c>
      <c r="B3156" s="1" t="s">
        <v>1192</v>
      </c>
      <c r="C3156" s="1" t="s">
        <v>47</v>
      </c>
      <c r="D3156" s="6">
        <v>20.0</v>
      </c>
      <c r="E3156" s="6">
        <v>14641.0</v>
      </c>
      <c r="F3156" s="6">
        <v>19481.0</v>
      </c>
      <c r="G3156" s="6">
        <v>12603.0</v>
      </c>
      <c r="H3156" s="6">
        <v>1.1617</v>
      </c>
      <c r="I3156" s="6">
        <v>1.5457</v>
      </c>
      <c r="J3156" s="6">
        <v>-0.384</v>
      </c>
    </row>
    <row r="3157">
      <c r="A3157" s="1" t="s">
        <v>24</v>
      </c>
      <c r="B3157" s="1" t="s">
        <v>1192</v>
      </c>
      <c r="C3157" s="1" t="s">
        <v>47</v>
      </c>
      <c r="D3157" s="6">
        <v>21.0</v>
      </c>
      <c r="E3157" s="6">
        <v>19700.0</v>
      </c>
      <c r="F3157" s="6">
        <v>19790.0</v>
      </c>
      <c r="G3157" s="6">
        <v>12603.0</v>
      </c>
      <c r="H3157" s="6">
        <v>1.5631</v>
      </c>
      <c r="I3157" s="6">
        <v>1.5703</v>
      </c>
      <c r="J3157" s="6">
        <v>-0.0071</v>
      </c>
    </row>
    <row r="3158">
      <c r="A3158" s="1" t="s">
        <v>24</v>
      </c>
      <c r="B3158" s="1" t="s">
        <v>1192</v>
      </c>
      <c r="C3158" s="1" t="s">
        <v>47</v>
      </c>
      <c r="D3158" s="6">
        <v>22.0</v>
      </c>
      <c r="E3158" s="6">
        <v>18024.0</v>
      </c>
      <c r="F3158" s="6">
        <v>20575.0</v>
      </c>
      <c r="G3158" s="6">
        <v>12603.0</v>
      </c>
      <c r="H3158" s="6">
        <v>1.4301</v>
      </c>
      <c r="I3158" s="6">
        <v>1.6325</v>
      </c>
      <c r="J3158" s="6">
        <v>-0.2024</v>
      </c>
    </row>
    <row r="3159">
      <c r="A3159" s="1" t="s">
        <v>24</v>
      </c>
      <c r="B3159" s="1" t="s">
        <v>1192</v>
      </c>
      <c r="C3159" s="1" t="s">
        <v>47</v>
      </c>
      <c r="D3159" s="6">
        <v>23.0</v>
      </c>
      <c r="E3159" s="6">
        <v>14247.0</v>
      </c>
      <c r="F3159" s="6">
        <v>18658.0</v>
      </c>
      <c r="G3159" s="6">
        <v>12603.0</v>
      </c>
      <c r="H3159" s="6">
        <v>1.1304</v>
      </c>
      <c r="I3159" s="6">
        <v>1.4804</v>
      </c>
      <c r="J3159" s="6">
        <v>-0.35</v>
      </c>
    </row>
    <row r="3160">
      <c r="A3160" s="1" t="s">
        <v>24</v>
      </c>
      <c r="B3160" s="1" t="s">
        <v>1192</v>
      </c>
      <c r="C3160" s="1" t="s">
        <v>47</v>
      </c>
      <c r="D3160" s="6">
        <v>24.0</v>
      </c>
      <c r="E3160" s="6">
        <v>19636.0</v>
      </c>
      <c r="F3160" s="6">
        <v>22186.0</v>
      </c>
      <c r="G3160" s="6">
        <v>12603.0</v>
      </c>
      <c r="H3160" s="6">
        <v>1.558</v>
      </c>
      <c r="I3160" s="6">
        <v>1.7604</v>
      </c>
      <c r="J3160" s="6">
        <v>-0.2023</v>
      </c>
    </row>
    <row r="3161">
      <c r="A3161" s="1" t="s">
        <v>24</v>
      </c>
      <c r="B3161" s="1" t="s">
        <v>1192</v>
      </c>
      <c r="C3161" s="1" t="s">
        <v>47</v>
      </c>
      <c r="D3161" s="6">
        <v>25.0</v>
      </c>
      <c r="E3161" s="6">
        <v>14705.0</v>
      </c>
      <c r="F3161" s="6">
        <v>19432.0</v>
      </c>
      <c r="G3161" s="6">
        <v>12603.0</v>
      </c>
      <c r="H3161" s="6">
        <v>1.1668</v>
      </c>
      <c r="I3161" s="6">
        <v>1.5419</v>
      </c>
      <c r="J3161" s="6">
        <v>-0.3751</v>
      </c>
    </row>
    <row r="3162">
      <c r="A3162" s="1" t="s">
        <v>24</v>
      </c>
      <c r="B3162" s="1" t="s">
        <v>1192</v>
      </c>
      <c r="C3162" s="1" t="s">
        <v>47</v>
      </c>
      <c r="D3162" s="6">
        <v>26.0</v>
      </c>
      <c r="E3162" s="6">
        <v>15039.0</v>
      </c>
      <c r="F3162" s="6">
        <v>20622.0</v>
      </c>
      <c r="G3162" s="6">
        <v>12603.0</v>
      </c>
      <c r="H3162" s="6">
        <v>1.1933</v>
      </c>
      <c r="I3162" s="6">
        <v>1.6363</v>
      </c>
      <c r="J3162" s="6">
        <v>-0.443</v>
      </c>
    </row>
    <row r="3163">
      <c r="A3163" s="1" t="s">
        <v>24</v>
      </c>
      <c r="B3163" s="1" t="s">
        <v>1192</v>
      </c>
      <c r="C3163" s="1" t="s">
        <v>47</v>
      </c>
      <c r="D3163" s="6">
        <v>27.0</v>
      </c>
      <c r="E3163" s="6">
        <v>15661.0</v>
      </c>
      <c r="F3163" s="6">
        <v>20305.0</v>
      </c>
      <c r="G3163" s="6">
        <v>12603.0</v>
      </c>
      <c r="H3163" s="6">
        <v>1.2426</v>
      </c>
      <c r="I3163" s="6">
        <v>1.6111</v>
      </c>
      <c r="J3163" s="6">
        <v>-0.3685</v>
      </c>
    </row>
    <row r="3164">
      <c r="A3164" s="1" t="s">
        <v>24</v>
      </c>
      <c r="B3164" s="1" t="s">
        <v>1192</v>
      </c>
      <c r="C3164" s="1" t="s">
        <v>47</v>
      </c>
      <c r="D3164" s="6">
        <v>28.0</v>
      </c>
      <c r="E3164" s="6">
        <v>12338.0</v>
      </c>
      <c r="F3164" s="6">
        <v>17418.0</v>
      </c>
      <c r="G3164" s="6">
        <v>12603.0</v>
      </c>
      <c r="H3164" s="6">
        <v>0.979</v>
      </c>
      <c r="I3164" s="6">
        <v>1.3821</v>
      </c>
      <c r="J3164" s="6">
        <v>-0.4031</v>
      </c>
    </row>
    <row r="3165">
      <c r="A3165" s="1" t="s">
        <v>24</v>
      </c>
      <c r="B3165" s="1" t="s">
        <v>1192</v>
      </c>
      <c r="C3165" s="1" t="s">
        <v>47</v>
      </c>
      <c r="D3165" s="6">
        <v>29.0</v>
      </c>
      <c r="E3165" s="6">
        <v>12338.0</v>
      </c>
      <c r="F3165" s="6">
        <v>17255.0</v>
      </c>
      <c r="G3165" s="6">
        <v>12603.0</v>
      </c>
      <c r="H3165" s="6">
        <v>0.979</v>
      </c>
      <c r="I3165" s="6">
        <v>1.3691</v>
      </c>
      <c r="J3165" s="6">
        <v>-0.3901</v>
      </c>
    </row>
    <row r="3166">
      <c r="A3166" s="1" t="s">
        <v>24</v>
      </c>
      <c r="B3166" s="1" t="s">
        <v>1192</v>
      </c>
      <c r="C3166" s="1" t="s">
        <v>47</v>
      </c>
      <c r="D3166" s="6">
        <v>30.0</v>
      </c>
      <c r="E3166" s="6">
        <v>12074.0</v>
      </c>
      <c r="F3166" s="6">
        <v>15924.0</v>
      </c>
      <c r="G3166" s="6">
        <v>12603.0</v>
      </c>
      <c r="H3166" s="6">
        <v>0.958</v>
      </c>
      <c r="I3166" s="6">
        <v>1.2635</v>
      </c>
      <c r="J3166" s="6">
        <v>-0.3055</v>
      </c>
    </row>
    <row r="3167">
      <c r="A3167" s="1" t="s">
        <v>24</v>
      </c>
      <c r="B3167" s="1" t="s">
        <v>1192</v>
      </c>
      <c r="C3167" s="1" t="s">
        <v>47</v>
      </c>
      <c r="D3167" s="6">
        <v>31.0</v>
      </c>
      <c r="E3167" s="6">
        <v>17918.0</v>
      </c>
      <c r="F3167" s="6">
        <v>18350.0</v>
      </c>
      <c r="G3167" s="6">
        <v>12603.0</v>
      </c>
      <c r="H3167" s="6">
        <v>1.4217</v>
      </c>
      <c r="I3167" s="6">
        <v>1.456</v>
      </c>
      <c r="J3167" s="6">
        <v>-0.0343</v>
      </c>
    </row>
    <row r="3168">
      <c r="A3168" s="1" t="s">
        <v>24</v>
      </c>
      <c r="B3168" s="1" t="s">
        <v>1192</v>
      </c>
      <c r="C3168" s="1" t="s">
        <v>47</v>
      </c>
      <c r="D3168" s="6">
        <v>32.0</v>
      </c>
      <c r="E3168" s="6">
        <v>13284.0</v>
      </c>
      <c r="F3168" s="6">
        <v>17305.0</v>
      </c>
      <c r="G3168" s="6">
        <v>12603.0</v>
      </c>
      <c r="H3168" s="6">
        <v>1.054</v>
      </c>
      <c r="I3168" s="6">
        <v>1.3731</v>
      </c>
      <c r="J3168" s="6">
        <v>-0.3191</v>
      </c>
    </row>
    <row r="3169">
      <c r="A3169" s="1" t="s">
        <v>24</v>
      </c>
      <c r="B3169" s="1" t="s">
        <v>1192</v>
      </c>
      <c r="C3169" s="1" t="s">
        <v>47</v>
      </c>
      <c r="D3169" s="6">
        <v>33.0</v>
      </c>
      <c r="E3169" s="6">
        <v>13453.0</v>
      </c>
      <c r="F3169" s="6">
        <v>17616.0</v>
      </c>
      <c r="G3169" s="6">
        <v>12603.0</v>
      </c>
      <c r="H3169" s="6">
        <v>1.0674</v>
      </c>
      <c r="I3169" s="6">
        <v>1.3978</v>
      </c>
      <c r="J3169" s="6">
        <v>-0.3303</v>
      </c>
    </row>
    <row r="3170">
      <c r="A3170" s="1" t="s">
        <v>24</v>
      </c>
      <c r="B3170" s="1" t="s">
        <v>1192</v>
      </c>
      <c r="C3170" s="1" t="s">
        <v>48</v>
      </c>
      <c r="D3170" s="6">
        <v>1.0</v>
      </c>
      <c r="E3170" s="6">
        <v>9738.0</v>
      </c>
      <c r="F3170" s="6">
        <v>14260.0</v>
      </c>
      <c r="G3170" s="6">
        <v>12601.0</v>
      </c>
      <c r="H3170" s="6">
        <v>0.7728</v>
      </c>
      <c r="I3170" s="6">
        <v>1.1317</v>
      </c>
      <c r="J3170" s="6">
        <v>-0.3589</v>
      </c>
    </row>
    <row r="3171">
      <c r="A3171" s="1" t="s">
        <v>24</v>
      </c>
      <c r="B3171" s="1" t="s">
        <v>1192</v>
      </c>
      <c r="C3171" s="1" t="s">
        <v>48</v>
      </c>
      <c r="D3171" s="6">
        <v>2.0</v>
      </c>
      <c r="E3171" s="6">
        <v>9672.0</v>
      </c>
      <c r="F3171" s="6">
        <v>13673.0</v>
      </c>
      <c r="G3171" s="6">
        <v>12601.0</v>
      </c>
      <c r="H3171" s="6">
        <v>0.7676</v>
      </c>
      <c r="I3171" s="6">
        <v>1.0851</v>
      </c>
      <c r="J3171" s="6">
        <v>-0.3175</v>
      </c>
    </row>
    <row r="3172">
      <c r="A3172" s="1" t="s">
        <v>24</v>
      </c>
      <c r="B3172" s="1" t="s">
        <v>1192</v>
      </c>
      <c r="C3172" s="1" t="s">
        <v>48</v>
      </c>
      <c r="D3172" s="6">
        <v>3.0</v>
      </c>
      <c r="E3172" s="6">
        <v>13315.0</v>
      </c>
      <c r="F3172" s="6">
        <v>15835.0</v>
      </c>
      <c r="G3172" s="6">
        <v>12601.0</v>
      </c>
      <c r="H3172" s="6">
        <v>1.0567</v>
      </c>
      <c r="I3172" s="6">
        <v>1.2566</v>
      </c>
      <c r="J3172" s="6">
        <v>-0.2</v>
      </c>
    </row>
    <row r="3173">
      <c r="A3173" s="1" t="s">
        <v>24</v>
      </c>
      <c r="B3173" s="1" t="s">
        <v>1192</v>
      </c>
      <c r="C3173" s="1" t="s">
        <v>48</v>
      </c>
      <c r="D3173" s="6">
        <v>4.0</v>
      </c>
      <c r="E3173" s="6">
        <v>10947.0</v>
      </c>
      <c r="F3173" s="6">
        <v>15187.0</v>
      </c>
      <c r="G3173" s="6">
        <v>12601.0</v>
      </c>
      <c r="H3173" s="6">
        <v>0.8687</v>
      </c>
      <c r="I3173" s="6">
        <v>1.2052</v>
      </c>
      <c r="J3173" s="6">
        <v>-0.3365</v>
      </c>
    </row>
    <row r="3174">
      <c r="A3174" s="1" t="s">
        <v>24</v>
      </c>
      <c r="B3174" s="1" t="s">
        <v>1192</v>
      </c>
      <c r="C3174" s="1" t="s">
        <v>48</v>
      </c>
      <c r="D3174" s="6">
        <v>5.0</v>
      </c>
      <c r="E3174" s="6">
        <v>11640.0</v>
      </c>
      <c r="F3174" s="6">
        <v>15948.0</v>
      </c>
      <c r="G3174" s="6">
        <v>12601.0</v>
      </c>
      <c r="H3174" s="6">
        <v>0.9237</v>
      </c>
      <c r="I3174" s="6">
        <v>1.2656</v>
      </c>
      <c r="J3174" s="6">
        <v>-0.3419</v>
      </c>
    </row>
    <row r="3175">
      <c r="A3175" s="1" t="s">
        <v>24</v>
      </c>
      <c r="B3175" s="1" t="s">
        <v>1192</v>
      </c>
      <c r="C3175" s="1" t="s">
        <v>48</v>
      </c>
      <c r="D3175" s="6">
        <v>6.0</v>
      </c>
      <c r="E3175" s="6">
        <v>14166.0</v>
      </c>
      <c r="F3175" s="6">
        <v>18098.0</v>
      </c>
      <c r="G3175" s="6">
        <v>12601.0</v>
      </c>
      <c r="H3175" s="6">
        <v>1.1242</v>
      </c>
      <c r="I3175" s="6">
        <v>1.4362</v>
      </c>
      <c r="J3175" s="6">
        <v>-0.312</v>
      </c>
    </row>
    <row r="3176">
      <c r="A3176" s="1" t="s">
        <v>24</v>
      </c>
      <c r="B3176" s="1" t="s">
        <v>1192</v>
      </c>
      <c r="C3176" s="1" t="s">
        <v>48</v>
      </c>
      <c r="D3176" s="6">
        <v>7.0</v>
      </c>
      <c r="E3176" s="6">
        <v>9921.0</v>
      </c>
      <c r="F3176" s="6">
        <v>14278.0</v>
      </c>
      <c r="G3176" s="6">
        <v>12601.0</v>
      </c>
      <c r="H3176" s="6">
        <v>0.7873</v>
      </c>
      <c r="I3176" s="6">
        <v>1.1331</v>
      </c>
      <c r="J3176" s="6">
        <v>-0.3458</v>
      </c>
    </row>
    <row r="3177">
      <c r="A3177" s="1" t="s">
        <v>24</v>
      </c>
      <c r="B3177" s="1" t="s">
        <v>1192</v>
      </c>
      <c r="C3177" s="1" t="s">
        <v>48</v>
      </c>
      <c r="D3177" s="6">
        <v>8.0</v>
      </c>
      <c r="E3177" s="6">
        <v>9964.0</v>
      </c>
      <c r="F3177" s="6">
        <v>13860.0</v>
      </c>
      <c r="G3177" s="6">
        <v>12601.0</v>
      </c>
      <c r="H3177" s="6">
        <v>0.7907</v>
      </c>
      <c r="I3177" s="6">
        <v>1.0999</v>
      </c>
      <c r="J3177" s="6">
        <v>-0.3092</v>
      </c>
    </row>
    <row r="3178">
      <c r="A3178" s="1" t="s">
        <v>24</v>
      </c>
      <c r="B3178" s="1" t="s">
        <v>1192</v>
      </c>
      <c r="C3178" s="1" t="s">
        <v>48</v>
      </c>
      <c r="D3178" s="6">
        <v>9.0</v>
      </c>
      <c r="E3178" s="6">
        <v>8988.0</v>
      </c>
      <c r="F3178" s="6">
        <v>13027.0</v>
      </c>
      <c r="G3178" s="6">
        <v>12601.0</v>
      </c>
      <c r="H3178" s="6">
        <v>0.7133</v>
      </c>
      <c r="I3178" s="6">
        <v>1.0338</v>
      </c>
      <c r="J3178" s="6">
        <v>-0.3205</v>
      </c>
    </row>
    <row r="3179">
      <c r="A3179" s="1" t="s">
        <v>24</v>
      </c>
      <c r="B3179" s="1" t="s">
        <v>1192</v>
      </c>
      <c r="C3179" s="1" t="s">
        <v>48</v>
      </c>
      <c r="D3179" s="6">
        <v>10.0</v>
      </c>
      <c r="E3179" s="6">
        <v>13915.0</v>
      </c>
      <c r="F3179" s="6">
        <v>16308.0</v>
      </c>
      <c r="G3179" s="6">
        <v>12601.0</v>
      </c>
      <c r="H3179" s="6">
        <v>1.1043</v>
      </c>
      <c r="I3179" s="6">
        <v>1.2942</v>
      </c>
      <c r="J3179" s="6">
        <v>-0.1899</v>
      </c>
    </row>
    <row r="3180">
      <c r="A3180" s="1" t="s">
        <v>24</v>
      </c>
      <c r="B3180" s="1" t="s">
        <v>1192</v>
      </c>
      <c r="C3180" s="1" t="s">
        <v>48</v>
      </c>
      <c r="D3180" s="6">
        <v>11.0</v>
      </c>
      <c r="E3180" s="6">
        <v>10456.0</v>
      </c>
      <c r="F3180" s="6">
        <v>14716.0</v>
      </c>
      <c r="G3180" s="6">
        <v>12601.0</v>
      </c>
      <c r="H3180" s="6">
        <v>0.8298</v>
      </c>
      <c r="I3180" s="6">
        <v>1.1678</v>
      </c>
      <c r="J3180" s="6">
        <v>-0.3381</v>
      </c>
    </row>
    <row r="3181">
      <c r="A3181" s="1" t="s">
        <v>24</v>
      </c>
      <c r="B3181" s="1" t="s">
        <v>1192</v>
      </c>
      <c r="C3181" s="1" t="s">
        <v>48</v>
      </c>
      <c r="D3181" s="6">
        <v>12.0</v>
      </c>
      <c r="E3181" s="6">
        <v>11339.0</v>
      </c>
      <c r="F3181" s="6">
        <v>16709.0</v>
      </c>
      <c r="G3181" s="6">
        <v>12601.0</v>
      </c>
      <c r="H3181" s="6">
        <v>0.8998</v>
      </c>
      <c r="I3181" s="6">
        <v>1.326</v>
      </c>
      <c r="J3181" s="6">
        <v>-0.4262</v>
      </c>
    </row>
    <row r="3182">
      <c r="A3182" s="1" t="s">
        <v>24</v>
      </c>
      <c r="B3182" s="1" t="s">
        <v>1192</v>
      </c>
      <c r="C3182" s="1" t="s">
        <v>48</v>
      </c>
      <c r="D3182" s="6">
        <v>13.0</v>
      </c>
      <c r="E3182" s="6">
        <v>14389.0</v>
      </c>
      <c r="F3182" s="6">
        <v>18560.0</v>
      </c>
      <c r="G3182" s="6">
        <v>12601.0</v>
      </c>
      <c r="H3182" s="6">
        <v>1.1419</v>
      </c>
      <c r="I3182" s="6">
        <v>1.4729</v>
      </c>
      <c r="J3182" s="6">
        <v>-0.331</v>
      </c>
    </row>
    <row r="3183">
      <c r="A3183" s="1" t="s">
        <v>24</v>
      </c>
      <c r="B3183" s="1" t="s">
        <v>1192</v>
      </c>
      <c r="C3183" s="1" t="s">
        <v>48</v>
      </c>
      <c r="D3183" s="6">
        <v>14.0</v>
      </c>
      <c r="E3183" s="6">
        <v>10213.0</v>
      </c>
      <c r="F3183" s="6">
        <v>14677.0</v>
      </c>
      <c r="G3183" s="6">
        <v>12601.0</v>
      </c>
      <c r="H3183" s="6">
        <v>0.8105</v>
      </c>
      <c r="I3183" s="6">
        <v>1.1647</v>
      </c>
      <c r="J3183" s="6">
        <v>-0.3543</v>
      </c>
    </row>
    <row r="3184">
      <c r="A3184" s="1" t="s">
        <v>24</v>
      </c>
      <c r="B3184" s="1" t="s">
        <v>1192</v>
      </c>
      <c r="C3184" s="1" t="s">
        <v>48</v>
      </c>
      <c r="D3184" s="6">
        <v>15.0</v>
      </c>
      <c r="E3184" s="6">
        <v>10608.0</v>
      </c>
      <c r="F3184" s="6">
        <v>15572.0</v>
      </c>
      <c r="G3184" s="6">
        <v>12601.0</v>
      </c>
      <c r="H3184" s="6">
        <v>0.8418</v>
      </c>
      <c r="I3184" s="6">
        <v>1.2358</v>
      </c>
      <c r="J3184" s="6">
        <v>-0.3939</v>
      </c>
    </row>
    <row r="3185">
      <c r="A3185" s="1" t="s">
        <v>24</v>
      </c>
      <c r="B3185" s="1" t="s">
        <v>1192</v>
      </c>
      <c r="C3185" s="1" t="s">
        <v>48</v>
      </c>
      <c r="D3185" s="6">
        <v>16.0</v>
      </c>
      <c r="E3185" s="6">
        <v>10645.0</v>
      </c>
      <c r="F3185" s="6">
        <v>14817.0</v>
      </c>
      <c r="G3185" s="6">
        <v>12601.0</v>
      </c>
      <c r="H3185" s="6">
        <v>0.8448</v>
      </c>
      <c r="I3185" s="6">
        <v>1.1759</v>
      </c>
      <c r="J3185" s="6">
        <v>-0.3311</v>
      </c>
    </row>
    <row r="3186">
      <c r="A3186" s="1" t="s">
        <v>24</v>
      </c>
      <c r="B3186" s="1" t="s">
        <v>1192</v>
      </c>
      <c r="C3186" s="1" t="s">
        <v>48</v>
      </c>
      <c r="D3186" s="6">
        <v>17.0</v>
      </c>
      <c r="E3186" s="6">
        <v>15313.0</v>
      </c>
      <c r="F3186" s="6">
        <v>17888.0</v>
      </c>
      <c r="G3186" s="6">
        <v>12601.0</v>
      </c>
      <c r="H3186" s="6">
        <v>1.2152</v>
      </c>
      <c r="I3186" s="6">
        <v>1.4196</v>
      </c>
      <c r="J3186" s="6">
        <v>-0.2043</v>
      </c>
    </row>
    <row r="3187">
      <c r="A3187" s="1" t="s">
        <v>24</v>
      </c>
      <c r="B3187" s="1" t="s">
        <v>1192</v>
      </c>
      <c r="C3187" s="1" t="s">
        <v>48</v>
      </c>
      <c r="D3187" s="6">
        <v>18.0</v>
      </c>
      <c r="E3187" s="6">
        <v>11797.0</v>
      </c>
      <c r="F3187" s="6">
        <v>15778.0</v>
      </c>
      <c r="G3187" s="6">
        <v>12601.0</v>
      </c>
      <c r="H3187" s="6">
        <v>0.9362</v>
      </c>
      <c r="I3187" s="6">
        <v>1.2521</v>
      </c>
      <c r="J3187" s="6">
        <v>-0.3159</v>
      </c>
    </row>
    <row r="3188">
      <c r="A3188" s="1" t="s">
        <v>24</v>
      </c>
      <c r="B3188" s="1" t="s">
        <v>1192</v>
      </c>
      <c r="C3188" s="1" t="s">
        <v>48</v>
      </c>
      <c r="D3188" s="6">
        <v>19.0</v>
      </c>
      <c r="E3188" s="6">
        <v>12269.0</v>
      </c>
      <c r="F3188" s="6">
        <v>17056.0</v>
      </c>
      <c r="G3188" s="6">
        <v>12601.0</v>
      </c>
      <c r="H3188" s="6">
        <v>0.9737</v>
      </c>
      <c r="I3188" s="6">
        <v>1.3535</v>
      </c>
      <c r="J3188" s="6">
        <v>-0.3799</v>
      </c>
    </row>
    <row r="3189">
      <c r="A3189" s="1" t="s">
        <v>24</v>
      </c>
      <c r="B3189" s="1" t="s">
        <v>1192</v>
      </c>
      <c r="C3189" s="1" t="s">
        <v>48</v>
      </c>
      <c r="D3189" s="6">
        <v>20.0</v>
      </c>
      <c r="E3189" s="6">
        <v>16373.0</v>
      </c>
      <c r="F3189" s="6">
        <v>20561.0</v>
      </c>
      <c r="G3189" s="6">
        <v>12601.0</v>
      </c>
      <c r="H3189" s="6">
        <v>1.2993</v>
      </c>
      <c r="I3189" s="6">
        <v>1.6317</v>
      </c>
      <c r="J3189" s="6">
        <v>-0.3324</v>
      </c>
    </row>
    <row r="3190">
      <c r="A3190" s="1" t="s">
        <v>24</v>
      </c>
      <c r="B3190" s="1" t="s">
        <v>1192</v>
      </c>
      <c r="C3190" s="1" t="s">
        <v>48</v>
      </c>
      <c r="D3190" s="6">
        <v>21.0</v>
      </c>
      <c r="E3190" s="6">
        <v>20243.0</v>
      </c>
      <c r="F3190" s="6">
        <v>19749.0</v>
      </c>
      <c r="G3190" s="6">
        <v>12601.0</v>
      </c>
      <c r="H3190" s="6">
        <v>1.6065</v>
      </c>
      <c r="I3190" s="6">
        <v>1.5673</v>
      </c>
      <c r="J3190" s="6">
        <v>0.0392</v>
      </c>
    </row>
    <row r="3191">
      <c r="A3191" s="1" t="s">
        <v>24</v>
      </c>
      <c r="B3191" s="1" t="s">
        <v>1192</v>
      </c>
      <c r="C3191" s="1" t="s">
        <v>48</v>
      </c>
      <c r="D3191" s="6">
        <v>22.0</v>
      </c>
      <c r="E3191" s="6">
        <v>16876.0</v>
      </c>
      <c r="F3191" s="6">
        <v>19668.0</v>
      </c>
      <c r="G3191" s="6">
        <v>12601.0</v>
      </c>
      <c r="H3191" s="6">
        <v>1.3393</v>
      </c>
      <c r="I3191" s="6">
        <v>1.5608</v>
      </c>
      <c r="J3191" s="6">
        <v>-0.2216</v>
      </c>
    </row>
    <row r="3192">
      <c r="A3192" s="1" t="s">
        <v>24</v>
      </c>
      <c r="B3192" s="1" t="s">
        <v>1192</v>
      </c>
      <c r="C3192" s="1" t="s">
        <v>48</v>
      </c>
      <c r="D3192" s="6">
        <v>23.0</v>
      </c>
      <c r="E3192" s="6">
        <v>14163.0</v>
      </c>
      <c r="F3192" s="6">
        <v>18018.0</v>
      </c>
      <c r="G3192" s="6">
        <v>12601.0</v>
      </c>
      <c r="H3192" s="6">
        <v>1.124</v>
      </c>
      <c r="I3192" s="6">
        <v>1.4299</v>
      </c>
      <c r="J3192" s="6">
        <v>-0.3059</v>
      </c>
    </row>
    <row r="3193">
      <c r="A3193" s="1" t="s">
        <v>24</v>
      </c>
      <c r="B3193" s="1" t="s">
        <v>1192</v>
      </c>
      <c r="C3193" s="1" t="s">
        <v>48</v>
      </c>
      <c r="D3193" s="6">
        <v>24.0</v>
      </c>
      <c r="E3193" s="6">
        <v>19908.0</v>
      </c>
      <c r="F3193" s="6">
        <v>21979.0</v>
      </c>
      <c r="G3193" s="6">
        <v>12601.0</v>
      </c>
      <c r="H3193" s="6">
        <v>1.5799</v>
      </c>
      <c r="I3193" s="6">
        <v>1.7442</v>
      </c>
      <c r="J3193" s="6">
        <v>-0.1644</v>
      </c>
    </row>
    <row r="3194">
      <c r="A3194" s="1" t="s">
        <v>24</v>
      </c>
      <c r="B3194" s="1" t="s">
        <v>1192</v>
      </c>
      <c r="C3194" s="1" t="s">
        <v>48</v>
      </c>
      <c r="D3194" s="6">
        <v>25.0</v>
      </c>
      <c r="E3194" s="6">
        <v>15228.0</v>
      </c>
      <c r="F3194" s="6">
        <v>19389.0</v>
      </c>
      <c r="G3194" s="6">
        <v>12601.0</v>
      </c>
      <c r="H3194" s="6">
        <v>1.2085</v>
      </c>
      <c r="I3194" s="6">
        <v>1.5387</v>
      </c>
      <c r="J3194" s="6">
        <v>-0.3302</v>
      </c>
    </row>
    <row r="3195">
      <c r="A3195" s="1" t="s">
        <v>24</v>
      </c>
      <c r="B3195" s="1" t="s">
        <v>1192</v>
      </c>
      <c r="C3195" s="1" t="s">
        <v>48</v>
      </c>
      <c r="D3195" s="6">
        <v>26.0</v>
      </c>
      <c r="E3195" s="6">
        <v>15143.0</v>
      </c>
      <c r="F3195" s="6">
        <v>20435.0</v>
      </c>
      <c r="G3195" s="6">
        <v>12601.0</v>
      </c>
      <c r="H3195" s="6">
        <v>1.2017</v>
      </c>
      <c r="I3195" s="6">
        <v>1.6217</v>
      </c>
      <c r="J3195" s="6">
        <v>-0.42</v>
      </c>
    </row>
    <row r="3196">
      <c r="A3196" s="1" t="s">
        <v>24</v>
      </c>
      <c r="B3196" s="1" t="s">
        <v>1192</v>
      </c>
      <c r="C3196" s="1" t="s">
        <v>48</v>
      </c>
      <c r="D3196" s="6">
        <v>27.0</v>
      </c>
      <c r="E3196" s="6">
        <v>17520.0</v>
      </c>
      <c r="F3196" s="6">
        <v>21245.0</v>
      </c>
      <c r="G3196" s="6">
        <v>12601.0</v>
      </c>
      <c r="H3196" s="6">
        <v>1.3904</v>
      </c>
      <c r="I3196" s="6">
        <v>1.686</v>
      </c>
      <c r="J3196" s="6">
        <v>-0.2956</v>
      </c>
    </row>
    <row r="3197">
      <c r="A3197" s="1" t="s">
        <v>24</v>
      </c>
      <c r="B3197" s="1" t="s">
        <v>1192</v>
      </c>
      <c r="C3197" s="1" t="s">
        <v>48</v>
      </c>
      <c r="D3197" s="6">
        <v>28.0</v>
      </c>
      <c r="E3197" s="6">
        <v>12615.0</v>
      </c>
      <c r="F3197" s="6">
        <v>17566.0</v>
      </c>
      <c r="G3197" s="6">
        <v>12601.0</v>
      </c>
      <c r="H3197" s="6">
        <v>1.0011</v>
      </c>
      <c r="I3197" s="6">
        <v>1.394</v>
      </c>
      <c r="J3197" s="6">
        <v>-0.3929</v>
      </c>
    </row>
    <row r="3198">
      <c r="A3198" s="1" t="s">
        <v>24</v>
      </c>
      <c r="B3198" s="1" t="s">
        <v>1192</v>
      </c>
      <c r="C3198" s="1" t="s">
        <v>48</v>
      </c>
      <c r="D3198" s="6">
        <v>29.0</v>
      </c>
      <c r="E3198" s="6">
        <v>12373.0</v>
      </c>
      <c r="F3198" s="6">
        <v>17065.0</v>
      </c>
      <c r="G3198" s="6">
        <v>12601.0</v>
      </c>
      <c r="H3198" s="6">
        <v>0.9819</v>
      </c>
      <c r="I3198" s="6">
        <v>1.3543</v>
      </c>
      <c r="J3198" s="6">
        <v>-0.3724</v>
      </c>
    </row>
    <row r="3199">
      <c r="A3199" s="1" t="s">
        <v>24</v>
      </c>
      <c r="B3199" s="1" t="s">
        <v>1192</v>
      </c>
      <c r="C3199" s="1" t="s">
        <v>48</v>
      </c>
      <c r="D3199" s="6">
        <v>30.0</v>
      </c>
      <c r="E3199" s="6">
        <v>11854.0</v>
      </c>
      <c r="F3199" s="6">
        <v>16082.0</v>
      </c>
      <c r="G3199" s="6">
        <v>12601.0</v>
      </c>
      <c r="H3199" s="6">
        <v>0.9407</v>
      </c>
      <c r="I3199" s="6">
        <v>1.2762</v>
      </c>
      <c r="J3199" s="6">
        <v>-0.3355</v>
      </c>
    </row>
    <row r="3200">
      <c r="A3200" s="1" t="s">
        <v>24</v>
      </c>
      <c r="B3200" s="1" t="s">
        <v>1192</v>
      </c>
      <c r="C3200" s="1" t="s">
        <v>48</v>
      </c>
      <c r="D3200" s="6">
        <v>31.0</v>
      </c>
      <c r="E3200" s="6">
        <v>17312.0</v>
      </c>
      <c r="F3200" s="6">
        <v>18039.0</v>
      </c>
      <c r="G3200" s="6">
        <v>12601.0</v>
      </c>
      <c r="H3200" s="6">
        <v>1.3739</v>
      </c>
      <c r="I3200" s="6">
        <v>1.4316</v>
      </c>
      <c r="J3200" s="6">
        <v>-0.0577</v>
      </c>
    </row>
    <row r="3201">
      <c r="A3201" s="1" t="s">
        <v>24</v>
      </c>
      <c r="B3201" s="1" t="s">
        <v>1192</v>
      </c>
      <c r="C3201" s="1" t="s">
        <v>48</v>
      </c>
      <c r="D3201" s="6">
        <v>32.0</v>
      </c>
      <c r="E3201" s="6">
        <v>13082.0</v>
      </c>
      <c r="F3201" s="6">
        <v>17146.0</v>
      </c>
      <c r="G3201" s="6">
        <v>12601.0</v>
      </c>
      <c r="H3201" s="6">
        <v>1.0382</v>
      </c>
      <c r="I3201" s="6">
        <v>1.3607</v>
      </c>
      <c r="J3201" s="6">
        <v>-0.3225</v>
      </c>
    </row>
    <row r="3202">
      <c r="A3202" s="1" t="s">
        <v>24</v>
      </c>
      <c r="B3202" s="1" t="s">
        <v>1192</v>
      </c>
      <c r="C3202" s="1" t="s">
        <v>48</v>
      </c>
      <c r="D3202" s="6">
        <v>33.0</v>
      </c>
      <c r="E3202" s="6">
        <v>13132.0</v>
      </c>
      <c r="F3202" s="6">
        <v>17583.0</v>
      </c>
      <c r="G3202" s="6">
        <v>12601.0</v>
      </c>
      <c r="H3202" s="6">
        <v>1.0421</v>
      </c>
      <c r="I3202" s="6">
        <v>1.3954</v>
      </c>
      <c r="J3202" s="6">
        <v>-0.3532</v>
      </c>
    </row>
    <row r="3203">
      <c r="A3203" s="1" t="s">
        <v>24</v>
      </c>
      <c r="B3203" s="1" t="s">
        <v>1192</v>
      </c>
      <c r="C3203" s="1" t="s">
        <v>50</v>
      </c>
      <c r="D3203" s="6">
        <v>1.0</v>
      </c>
      <c r="E3203" s="6">
        <v>6284.0</v>
      </c>
      <c r="F3203" s="6">
        <v>9656.0</v>
      </c>
      <c r="G3203" s="6">
        <v>12514.0</v>
      </c>
      <c r="H3203" s="6">
        <v>0.5022</v>
      </c>
      <c r="I3203" s="6">
        <v>0.7716</v>
      </c>
      <c r="J3203" s="6">
        <v>-0.2695</v>
      </c>
    </row>
    <row r="3204">
      <c r="A3204" s="1" t="s">
        <v>24</v>
      </c>
      <c r="B3204" s="1" t="s">
        <v>1192</v>
      </c>
      <c r="C3204" s="1" t="s">
        <v>50</v>
      </c>
      <c r="D3204" s="6">
        <v>2.0</v>
      </c>
      <c r="E3204" s="6">
        <v>6055.0</v>
      </c>
      <c r="F3204" s="6">
        <v>9130.0</v>
      </c>
      <c r="G3204" s="6">
        <v>12514.0</v>
      </c>
      <c r="H3204" s="6">
        <v>0.4839</v>
      </c>
      <c r="I3204" s="6">
        <v>0.7296</v>
      </c>
      <c r="J3204" s="6">
        <v>-0.2457</v>
      </c>
    </row>
    <row r="3205">
      <c r="A3205" s="1" t="s">
        <v>24</v>
      </c>
      <c r="B3205" s="1" t="s">
        <v>1192</v>
      </c>
      <c r="C3205" s="1" t="s">
        <v>50</v>
      </c>
      <c r="D3205" s="6">
        <v>3.0</v>
      </c>
      <c r="E3205" s="6">
        <v>9497.0</v>
      </c>
      <c r="F3205" s="6">
        <v>10923.0</v>
      </c>
      <c r="G3205" s="6">
        <v>12514.0</v>
      </c>
      <c r="H3205" s="6">
        <v>0.7589</v>
      </c>
      <c r="I3205" s="6">
        <v>0.8729</v>
      </c>
      <c r="J3205" s="6">
        <v>-0.114</v>
      </c>
    </row>
    <row r="3206">
      <c r="A3206" s="1" t="s">
        <v>24</v>
      </c>
      <c r="B3206" s="1" t="s">
        <v>1192</v>
      </c>
      <c r="C3206" s="1" t="s">
        <v>50</v>
      </c>
      <c r="D3206" s="6">
        <v>4.0</v>
      </c>
      <c r="E3206" s="6">
        <v>7442.0</v>
      </c>
      <c r="F3206" s="6">
        <v>10008.0</v>
      </c>
      <c r="G3206" s="6">
        <v>12514.0</v>
      </c>
      <c r="H3206" s="6">
        <v>0.5947</v>
      </c>
      <c r="I3206" s="6">
        <v>0.7997</v>
      </c>
      <c r="J3206" s="6">
        <v>-0.2051</v>
      </c>
    </row>
    <row r="3207">
      <c r="A3207" s="1" t="s">
        <v>24</v>
      </c>
      <c r="B3207" s="1" t="s">
        <v>1192</v>
      </c>
      <c r="C3207" s="1" t="s">
        <v>50</v>
      </c>
      <c r="D3207" s="6">
        <v>5.0</v>
      </c>
      <c r="E3207" s="6">
        <v>7699.0</v>
      </c>
      <c r="F3207" s="6">
        <v>10430.0</v>
      </c>
      <c r="G3207" s="6">
        <v>12514.0</v>
      </c>
      <c r="H3207" s="6">
        <v>0.6152</v>
      </c>
      <c r="I3207" s="6">
        <v>0.8335</v>
      </c>
      <c r="J3207" s="6">
        <v>-0.2182</v>
      </c>
    </row>
    <row r="3208">
      <c r="A3208" s="1" t="s">
        <v>24</v>
      </c>
      <c r="B3208" s="1" t="s">
        <v>1192</v>
      </c>
      <c r="C3208" s="1" t="s">
        <v>50</v>
      </c>
      <c r="D3208" s="6">
        <v>6.0</v>
      </c>
      <c r="E3208" s="6">
        <v>8824.0</v>
      </c>
      <c r="F3208" s="6">
        <v>11767.0</v>
      </c>
      <c r="G3208" s="6">
        <v>12514.0</v>
      </c>
      <c r="H3208" s="6">
        <v>0.7051</v>
      </c>
      <c r="I3208" s="6">
        <v>0.9403</v>
      </c>
      <c r="J3208" s="6">
        <v>-0.2352</v>
      </c>
    </row>
    <row r="3209">
      <c r="A3209" s="1" t="s">
        <v>24</v>
      </c>
      <c r="B3209" s="1" t="s">
        <v>1192</v>
      </c>
      <c r="C3209" s="1" t="s">
        <v>50</v>
      </c>
      <c r="D3209" s="6">
        <v>7.0</v>
      </c>
      <c r="E3209" s="6">
        <v>6066.0</v>
      </c>
      <c r="F3209" s="6">
        <v>9612.0</v>
      </c>
      <c r="G3209" s="6">
        <v>12514.0</v>
      </c>
      <c r="H3209" s="6">
        <v>0.4847</v>
      </c>
      <c r="I3209" s="6">
        <v>0.7681</v>
      </c>
      <c r="J3209" s="6">
        <v>-0.2834</v>
      </c>
    </row>
    <row r="3210">
      <c r="A3210" s="1" t="s">
        <v>24</v>
      </c>
      <c r="B3210" s="1" t="s">
        <v>1192</v>
      </c>
      <c r="C3210" s="1" t="s">
        <v>50</v>
      </c>
      <c r="D3210" s="6">
        <v>8.0</v>
      </c>
      <c r="E3210" s="6">
        <v>6490.0</v>
      </c>
      <c r="F3210" s="6">
        <v>9502.0</v>
      </c>
      <c r="G3210" s="6">
        <v>12514.0</v>
      </c>
      <c r="H3210" s="6">
        <v>0.5186</v>
      </c>
      <c r="I3210" s="6">
        <v>0.7593</v>
      </c>
      <c r="J3210" s="6">
        <v>-0.2407</v>
      </c>
    </row>
    <row r="3211">
      <c r="A3211" s="1" t="s">
        <v>24</v>
      </c>
      <c r="B3211" s="1" t="s">
        <v>1192</v>
      </c>
      <c r="C3211" s="1" t="s">
        <v>50</v>
      </c>
      <c r="D3211" s="6">
        <v>9.0</v>
      </c>
      <c r="E3211" s="6">
        <v>5702.0</v>
      </c>
      <c r="F3211" s="6">
        <v>9030.0</v>
      </c>
      <c r="G3211" s="6">
        <v>12514.0</v>
      </c>
      <c r="H3211" s="6">
        <v>0.4556</v>
      </c>
      <c r="I3211" s="6">
        <v>0.7216</v>
      </c>
      <c r="J3211" s="6">
        <v>-0.2659</v>
      </c>
    </row>
    <row r="3212">
      <c r="A3212" s="1" t="s">
        <v>24</v>
      </c>
      <c r="B3212" s="1" t="s">
        <v>1192</v>
      </c>
      <c r="C3212" s="1" t="s">
        <v>50</v>
      </c>
      <c r="D3212" s="6">
        <v>10.0</v>
      </c>
      <c r="E3212" s="6">
        <v>9858.0</v>
      </c>
      <c r="F3212" s="6">
        <v>11406.0</v>
      </c>
      <c r="G3212" s="6">
        <v>12514.0</v>
      </c>
      <c r="H3212" s="6">
        <v>0.7878</v>
      </c>
      <c r="I3212" s="6">
        <v>0.9115</v>
      </c>
      <c r="J3212" s="6">
        <v>-0.1237</v>
      </c>
    </row>
    <row r="3213">
      <c r="A3213" s="1" t="s">
        <v>24</v>
      </c>
      <c r="B3213" s="1" t="s">
        <v>1192</v>
      </c>
      <c r="C3213" s="1" t="s">
        <v>50</v>
      </c>
      <c r="D3213" s="6">
        <v>11.0</v>
      </c>
      <c r="E3213" s="6">
        <v>7385.0</v>
      </c>
      <c r="F3213" s="6">
        <v>9902.0</v>
      </c>
      <c r="G3213" s="6">
        <v>12514.0</v>
      </c>
      <c r="H3213" s="6">
        <v>0.5901</v>
      </c>
      <c r="I3213" s="6">
        <v>0.7913</v>
      </c>
      <c r="J3213" s="6">
        <v>-0.2011</v>
      </c>
    </row>
    <row r="3214">
      <c r="A3214" s="1" t="s">
        <v>24</v>
      </c>
      <c r="B3214" s="1" t="s">
        <v>1192</v>
      </c>
      <c r="C3214" s="1" t="s">
        <v>50</v>
      </c>
      <c r="D3214" s="6">
        <v>12.0</v>
      </c>
      <c r="E3214" s="6">
        <v>7713.0</v>
      </c>
      <c r="F3214" s="6">
        <v>11145.0</v>
      </c>
      <c r="G3214" s="6">
        <v>12514.0</v>
      </c>
      <c r="H3214" s="6">
        <v>0.6163</v>
      </c>
      <c r="I3214" s="6">
        <v>0.8906</v>
      </c>
      <c r="J3214" s="6">
        <v>-0.2743</v>
      </c>
    </row>
    <row r="3215">
      <c r="A3215" s="1" t="s">
        <v>24</v>
      </c>
      <c r="B3215" s="1" t="s">
        <v>1192</v>
      </c>
      <c r="C3215" s="1" t="s">
        <v>50</v>
      </c>
      <c r="D3215" s="6">
        <v>13.0</v>
      </c>
      <c r="E3215" s="6">
        <v>8952.0</v>
      </c>
      <c r="F3215" s="6">
        <v>12399.0</v>
      </c>
      <c r="G3215" s="6">
        <v>12514.0</v>
      </c>
      <c r="H3215" s="6">
        <v>0.7154</v>
      </c>
      <c r="I3215" s="6">
        <v>0.9908</v>
      </c>
      <c r="J3215" s="6">
        <v>-0.2755</v>
      </c>
    </row>
    <row r="3216">
      <c r="A3216" s="1" t="s">
        <v>24</v>
      </c>
      <c r="B3216" s="1" t="s">
        <v>1192</v>
      </c>
      <c r="C3216" s="1" t="s">
        <v>50</v>
      </c>
      <c r="D3216" s="6">
        <v>14.0</v>
      </c>
      <c r="E3216" s="6">
        <v>6038.0</v>
      </c>
      <c r="F3216" s="6">
        <v>10078.0</v>
      </c>
      <c r="G3216" s="6">
        <v>12514.0</v>
      </c>
      <c r="H3216" s="6">
        <v>0.4825</v>
      </c>
      <c r="I3216" s="6">
        <v>0.8053</v>
      </c>
      <c r="J3216" s="6">
        <v>-0.3228</v>
      </c>
    </row>
    <row r="3217">
      <c r="A3217" s="1" t="s">
        <v>24</v>
      </c>
      <c r="B3217" s="1" t="s">
        <v>1192</v>
      </c>
      <c r="C3217" s="1" t="s">
        <v>50</v>
      </c>
      <c r="D3217" s="6">
        <v>15.0</v>
      </c>
      <c r="E3217" s="6">
        <v>6764.0</v>
      </c>
      <c r="F3217" s="6">
        <v>10586.0</v>
      </c>
      <c r="G3217" s="6">
        <v>12514.0</v>
      </c>
      <c r="H3217" s="6">
        <v>0.5405</v>
      </c>
      <c r="I3217" s="6">
        <v>0.8459</v>
      </c>
      <c r="J3217" s="6">
        <v>-0.3054</v>
      </c>
    </row>
    <row r="3218">
      <c r="A3218" s="1" t="s">
        <v>24</v>
      </c>
      <c r="B3218" s="1" t="s">
        <v>1192</v>
      </c>
      <c r="C3218" s="1" t="s">
        <v>50</v>
      </c>
      <c r="D3218" s="6">
        <v>16.0</v>
      </c>
      <c r="E3218" s="6">
        <v>6785.0</v>
      </c>
      <c r="F3218" s="6">
        <v>10048.0</v>
      </c>
      <c r="G3218" s="6">
        <v>12514.0</v>
      </c>
      <c r="H3218" s="6">
        <v>0.5422</v>
      </c>
      <c r="I3218" s="6">
        <v>0.8029</v>
      </c>
      <c r="J3218" s="6">
        <v>-0.2607</v>
      </c>
    </row>
    <row r="3219">
      <c r="A3219" s="1" t="s">
        <v>24</v>
      </c>
      <c r="B3219" s="1" t="s">
        <v>1192</v>
      </c>
      <c r="C3219" s="1" t="s">
        <v>50</v>
      </c>
      <c r="D3219" s="6">
        <v>17.0</v>
      </c>
      <c r="E3219" s="6">
        <v>10870.0</v>
      </c>
      <c r="F3219" s="6">
        <v>12351.0</v>
      </c>
      <c r="G3219" s="6">
        <v>12514.0</v>
      </c>
      <c r="H3219" s="6">
        <v>0.8686</v>
      </c>
      <c r="I3219" s="6">
        <v>0.987</v>
      </c>
      <c r="J3219" s="6">
        <v>-0.1183</v>
      </c>
    </row>
    <row r="3220">
      <c r="A3220" s="1" t="s">
        <v>24</v>
      </c>
      <c r="B3220" s="1" t="s">
        <v>1192</v>
      </c>
      <c r="C3220" s="1" t="s">
        <v>50</v>
      </c>
      <c r="D3220" s="6">
        <v>18.0</v>
      </c>
      <c r="E3220" s="6">
        <v>8102.0</v>
      </c>
      <c r="F3220" s="6">
        <v>10849.0</v>
      </c>
      <c r="G3220" s="6">
        <v>12514.0</v>
      </c>
      <c r="H3220" s="6">
        <v>0.6474</v>
      </c>
      <c r="I3220" s="6">
        <v>0.8669</v>
      </c>
      <c r="J3220" s="6">
        <v>-0.2195</v>
      </c>
    </row>
    <row r="3221">
      <c r="A3221" s="1" t="s">
        <v>24</v>
      </c>
      <c r="B3221" s="1" t="s">
        <v>1192</v>
      </c>
      <c r="C3221" s="1" t="s">
        <v>50</v>
      </c>
      <c r="D3221" s="6">
        <v>19.0</v>
      </c>
      <c r="E3221" s="6">
        <v>8346.0</v>
      </c>
      <c r="F3221" s="6">
        <v>11295.0</v>
      </c>
      <c r="G3221" s="6">
        <v>12514.0</v>
      </c>
      <c r="H3221" s="6">
        <v>0.6669</v>
      </c>
      <c r="I3221" s="6">
        <v>0.9026</v>
      </c>
      <c r="J3221" s="6">
        <v>-0.2357</v>
      </c>
    </row>
    <row r="3222">
      <c r="A3222" s="1" t="s">
        <v>24</v>
      </c>
      <c r="B3222" s="1" t="s">
        <v>1192</v>
      </c>
      <c r="C3222" s="1" t="s">
        <v>50</v>
      </c>
      <c r="D3222" s="6">
        <v>20.0</v>
      </c>
      <c r="E3222" s="6">
        <v>10407.0</v>
      </c>
      <c r="F3222" s="6">
        <v>13590.0</v>
      </c>
      <c r="G3222" s="6">
        <v>12514.0</v>
      </c>
      <c r="H3222" s="6">
        <v>0.8316</v>
      </c>
      <c r="I3222" s="6">
        <v>1.086</v>
      </c>
      <c r="J3222" s="6">
        <v>-0.2544</v>
      </c>
    </row>
    <row r="3223">
      <c r="A3223" s="1" t="s">
        <v>24</v>
      </c>
      <c r="B3223" s="1" t="s">
        <v>1192</v>
      </c>
      <c r="C3223" s="1" t="s">
        <v>50</v>
      </c>
      <c r="D3223" s="6">
        <v>21.0</v>
      </c>
      <c r="E3223" s="6">
        <v>10600.0</v>
      </c>
      <c r="F3223" s="6">
        <v>12145.0</v>
      </c>
      <c r="G3223" s="6">
        <v>12514.0</v>
      </c>
      <c r="H3223" s="6">
        <v>0.8471</v>
      </c>
      <c r="I3223" s="6">
        <v>0.9705</v>
      </c>
      <c r="J3223" s="6">
        <v>-0.1235</v>
      </c>
    </row>
    <row r="3224">
      <c r="A3224" s="1" t="s">
        <v>24</v>
      </c>
      <c r="B3224" s="1" t="s">
        <v>1192</v>
      </c>
      <c r="C3224" s="1" t="s">
        <v>50</v>
      </c>
      <c r="D3224" s="6">
        <v>22.0</v>
      </c>
      <c r="E3224" s="6">
        <v>10230.0</v>
      </c>
      <c r="F3224" s="6">
        <v>12484.0</v>
      </c>
      <c r="G3224" s="6">
        <v>12514.0</v>
      </c>
      <c r="H3224" s="6">
        <v>0.8175</v>
      </c>
      <c r="I3224" s="6">
        <v>0.9976</v>
      </c>
      <c r="J3224" s="6">
        <v>-0.1801</v>
      </c>
    </row>
    <row r="3225">
      <c r="A3225" s="1" t="s">
        <v>24</v>
      </c>
      <c r="B3225" s="1" t="s">
        <v>1192</v>
      </c>
      <c r="C3225" s="1" t="s">
        <v>50</v>
      </c>
      <c r="D3225" s="6">
        <v>23.0</v>
      </c>
      <c r="E3225" s="6">
        <v>8991.0</v>
      </c>
      <c r="F3225" s="6">
        <v>11896.0</v>
      </c>
      <c r="G3225" s="6">
        <v>12514.0</v>
      </c>
      <c r="H3225" s="6">
        <v>0.7185</v>
      </c>
      <c r="I3225" s="6">
        <v>0.9506</v>
      </c>
      <c r="J3225" s="6">
        <v>-0.2321</v>
      </c>
    </row>
    <row r="3226">
      <c r="A3226" s="1" t="s">
        <v>24</v>
      </c>
      <c r="B3226" s="1" t="s">
        <v>1192</v>
      </c>
      <c r="C3226" s="1" t="s">
        <v>50</v>
      </c>
      <c r="D3226" s="6">
        <v>24.0</v>
      </c>
      <c r="E3226" s="6">
        <v>13491.0</v>
      </c>
      <c r="F3226" s="6">
        <v>14947.0</v>
      </c>
      <c r="G3226" s="6">
        <v>12514.0</v>
      </c>
      <c r="H3226" s="6">
        <v>1.0781</v>
      </c>
      <c r="I3226" s="6">
        <v>1.1944</v>
      </c>
      <c r="J3226" s="6">
        <v>-0.1163</v>
      </c>
    </row>
    <row r="3227">
      <c r="A3227" s="1" t="s">
        <v>24</v>
      </c>
      <c r="B3227" s="1" t="s">
        <v>1192</v>
      </c>
      <c r="C3227" s="1" t="s">
        <v>50</v>
      </c>
      <c r="D3227" s="6">
        <v>25.0</v>
      </c>
      <c r="E3227" s="6">
        <v>9909.0</v>
      </c>
      <c r="F3227" s="6">
        <v>12681.0</v>
      </c>
      <c r="G3227" s="6">
        <v>12514.0</v>
      </c>
      <c r="H3227" s="6">
        <v>0.7918</v>
      </c>
      <c r="I3227" s="6">
        <v>1.0133</v>
      </c>
      <c r="J3227" s="6">
        <v>-0.2215</v>
      </c>
    </row>
    <row r="3228">
      <c r="A3228" s="1" t="s">
        <v>24</v>
      </c>
      <c r="B3228" s="1" t="s">
        <v>1192</v>
      </c>
      <c r="C3228" s="1" t="s">
        <v>50</v>
      </c>
      <c r="D3228" s="6">
        <v>26.0</v>
      </c>
      <c r="E3228" s="6">
        <v>10075.0</v>
      </c>
      <c r="F3228" s="6">
        <v>13608.0</v>
      </c>
      <c r="G3228" s="6">
        <v>12514.0</v>
      </c>
      <c r="H3228" s="6">
        <v>0.8051</v>
      </c>
      <c r="I3228" s="6">
        <v>1.0874</v>
      </c>
      <c r="J3228" s="6">
        <v>-0.2823</v>
      </c>
    </row>
    <row r="3229">
      <c r="A3229" s="1" t="s">
        <v>24</v>
      </c>
      <c r="B3229" s="1" t="s">
        <v>1192</v>
      </c>
      <c r="C3229" s="1" t="s">
        <v>50</v>
      </c>
      <c r="D3229" s="6">
        <v>27.0</v>
      </c>
      <c r="E3229" s="6">
        <v>11178.0</v>
      </c>
      <c r="F3229" s="6">
        <v>13842.0</v>
      </c>
      <c r="G3229" s="6">
        <v>12514.0</v>
      </c>
      <c r="H3229" s="6">
        <v>0.8932</v>
      </c>
      <c r="I3229" s="6">
        <v>1.1061</v>
      </c>
      <c r="J3229" s="6">
        <v>-0.2129</v>
      </c>
    </row>
    <row r="3230">
      <c r="A3230" s="1" t="s">
        <v>24</v>
      </c>
      <c r="B3230" s="1" t="s">
        <v>1192</v>
      </c>
      <c r="C3230" s="1" t="s">
        <v>50</v>
      </c>
      <c r="D3230" s="6">
        <v>28.0</v>
      </c>
      <c r="E3230" s="6">
        <v>7684.0</v>
      </c>
      <c r="F3230" s="6">
        <v>11474.0</v>
      </c>
      <c r="G3230" s="6">
        <v>12514.0</v>
      </c>
      <c r="H3230" s="6">
        <v>0.614</v>
      </c>
      <c r="I3230" s="6">
        <v>0.9169</v>
      </c>
      <c r="J3230" s="6">
        <v>-0.3029</v>
      </c>
    </row>
    <row r="3231">
      <c r="A3231" s="1" t="s">
        <v>24</v>
      </c>
      <c r="B3231" s="1" t="s">
        <v>1192</v>
      </c>
      <c r="C3231" s="1" t="s">
        <v>50</v>
      </c>
      <c r="D3231" s="6">
        <v>29.0</v>
      </c>
      <c r="E3231" s="6">
        <v>7887.0</v>
      </c>
      <c r="F3231" s="6">
        <v>11379.0</v>
      </c>
      <c r="G3231" s="6">
        <v>12514.0</v>
      </c>
      <c r="H3231" s="6">
        <v>0.6303</v>
      </c>
      <c r="I3231" s="6">
        <v>0.9093</v>
      </c>
      <c r="J3231" s="6">
        <v>-0.279</v>
      </c>
    </row>
    <row r="3232">
      <c r="A3232" s="1" t="s">
        <v>24</v>
      </c>
      <c r="B3232" s="1" t="s">
        <v>1192</v>
      </c>
      <c r="C3232" s="1" t="s">
        <v>50</v>
      </c>
      <c r="D3232" s="6">
        <v>30.0</v>
      </c>
      <c r="E3232" s="6">
        <v>7487.0</v>
      </c>
      <c r="F3232" s="6">
        <v>10896.0</v>
      </c>
      <c r="G3232" s="6">
        <v>12514.0</v>
      </c>
      <c r="H3232" s="6">
        <v>0.5983</v>
      </c>
      <c r="I3232" s="6">
        <v>0.8707</v>
      </c>
      <c r="J3232" s="6">
        <v>-0.2724</v>
      </c>
    </row>
    <row r="3233">
      <c r="A3233" s="1" t="s">
        <v>24</v>
      </c>
      <c r="B3233" s="1" t="s">
        <v>1192</v>
      </c>
      <c r="C3233" s="1" t="s">
        <v>50</v>
      </c>
      <c r="D3233" s="6">
        <v>31.0</v>
      </c>
      <c r="E3233" s="6">
        <v>12205.0</v>
      </c>
      <c r="F3233" s="6">
        <v>12666.0</v>
      </c>
      <c r="G3233" s="6">
        <v>12514.0</v>
      </c>
      <c r="H3233" s="6">
        <v>0.9753</v>
      </c>
      <c r="I3233" s="6">
        <v>1.0121</v>
      </c>
      <c r="J3233" s="6">
        <v>-0.0368</v>
      </c>
    </row>
    <row r="3234">
      <c r="A3234" s="1" t="s">
        <v>24</v>
      </c>
      <c r="B3234" s="1" t="s">
        <v>1192</v>
      </c>
      <c r="C3234" s="1" t="s">
        <v>50</v>
      </c>
      <c r="D3234" s="6">
        <v>32.0</v>
      </c>
      <c r="E3234" s="6">
        <v>8889.0</v>
      </c>
      <c r="F3234" s="6">
        <v>11374.0</v>
      </c>
      <c r="G3234" s="6">
        <v>12514.0</v>
      </c>
      <c r="H3234" s="6">
        <v>0.7103</v>
      </c>
      <c r="I3234" s="6">
        <v>0.9089</v>
      </c>
      <c r="J3234" s="6">
        <v>-0.1986</v>
      </c>
    </row>
    <row r="3235">
      <c r="A3235" s="1" t="s">
        <v>24</v>
      </c>
      <c r="B3235" s="1" t="s">
        <v>1192</v>
      </c>
      <c r="C3235" s="1" t="s">
        <v>50</v>
      </c>
      <c r="D3235" s="6">
        <v>33.0</v>
      </c>
      <c r="E3235" s="6">
        <v>8944.0</v>
      </c>
      <c r="F3235" s="6">
        <v>11619.0</v>
      </c>
      <c r="G3235" s="6">
        <v>12514.0</v>
      </c>
      <c r="H3235" s="6">
        <v>0.7147</v>
      </c>
      <c r="I3235" s="6">
        <v>0.9285</v>
      </c>
      <c r="J3235" s="6">
        <v>-0.2138</v>
      </c>
    </row>
    <row r="3236">
      <c r="A3236" s="1" t="s">
        <v>24</v>
      </c>
      <c r="B3236" s="1" t="s">
        <v>1192</v>
      </c>
      <c r="C3236" s="1" t="s">
        <v>1209</v>
      </c>
      <c r="D3236" s="6">
        <v>1.0</v>
      </c>
      <c r="E3236" s="6">
        <v>20355.0</v>
      </c>
      <c r="F3236" s="6">
        <v>18989.0</v>
      </c>
      <c r="G3236" s="6">
        <v>9174.0</v>
      </c>
      <c r="H3236" s="6">
        <v>2.2188</v>
      </c>
      <c r="I3236" s="6">
        <v>2.0699</v>
      </c>
      <c r="J3236" s="6">
        <v>0.1489</v>
      </c>
    </row>
    <row r="3237">
      <c r="A3237" s="1" t="s">
        <v>24</v>
      </c>
      <c r="B3237" s="1" t="s">
        <v>1192</v>
      </c>
      <c r="C3237" s="1" t="s">
        <v>1209</v>
      </c>
      <c r="D3237" s="6">
        <v>2.0</v>
      </c>
      <c r="E3237" s="6">
        <v>25075.0</v>
      </c>
      <c r="F3237" s="6">
        <v>26645.0</v>
      </c>
      <c r="G3237" s="6">
        <v>9174.0</v>
      </c>
      <c r="H3237" s="6">
        <v>2.7333</v>
      </c>
      <c r="I3237" s="6">
        <v>2.9044</v>
      </c>
      <c r="J3237" s="6">
        <v>-0.1711</v>
      </c>
    </row>
    <row r="3238">
      <c r="A3238" s="1" t="s">
        <v>24</v>
      </c>
      <c r="B3238" s="1" t="s">
        <v>1192</v>
      </c>
      <c r="C3238" s="1" t="s">
        <v>1209</v>
      </c>
      <c r="D3238" s="6">
        <v>3.0</v>
      </c>
      <c r="E3238" s="6">
        <v>14630.0</v>
      </c>
      <c r="F3238" s="6">
        <v>20049.0</v>
      </c>
      <c r="G3238" s="6">
        <v>9174.0</v>
      </c>
      <c r="H3238" s="6">
        <v>1.5947</v>
      </c>
      <c r="I3238" s="6">
        <v>2.1854</v>
      </c>
      <c r="J3238" s="6">
        <v>-0.5907</v>
      </c>
    </row>
    <row r="3239">
      <c r="A3239" s="1" t="s">
        <v>24</v>
      </c>
      <c r="B3239" s="1" t="s">
        <v>1192</v>
      </c>
      <c r="C3239" s="1" t="s">
        <v>1209</v>
      </c>
      <c r="D3239" s="6">
        <v>4.0</v>
      </c>
      <c r="E3239" s="6">
        <v>11305.0</v>
      </c>
      <c r="F3239" s="6">
        <v>18578.0</v>
      </c>
      <c r="G3239" s="6">
        <v>9174.0</v>
      </c>
      <c r="H3239" s="6">
        <v>1.2323</v>
      </c>
      <c r="I3239" s="6">
        <v>2.0251</v>
      </c>
      <c r="J3239" s="6">
        <v>-0.7928</v>
      </c>
    </row>
    <row r="3240">
      <c r="A3240" s="1" t="s">
        <v>24</v>
      </c>
      <c r="B3240" s="1" t="s">
        <v>1192</v>
      </c>
      <c r="C3240" s="1" t="s">
        <v>1209</v>
      </c>
      <c r="D3240" s="6">
        <v>5.0</v>
      </c>
      <c r="E3240" s="6">
        <v>13665.0</v>
      </c>
      <c r="F3240" s="6">
        <v>18617.0</v>
      </c>
      <c r="G3240" s="6">
        <v>9174.0</v>
      </c>
      <c r="H3240" s="6">
        <v>1.4895</v>
      </c>
      <c r="I3240" s="6">
        <v>2.0293</v>
      </c>
      <c r="J3240" s="6">
        <v>-0.5398</v>
      </c>
    </row>
    <row r="3241">
      <c r="A3241" s="1" t="s">
        <v>24</v>
      </c>
      <c r="B3241" s="1" t="s">
        <v>1192</v>
      </c>
      <c r="C3241" s="1" t="s">
        <v>1209</v>
      </c>
      <c r="D3241" s="6">
        <v>6.0</v>
      </c>
      <c r="E3241" s="6">
        <v>18875.0</v>
      </c>
      <c r="F3241" s="6">
        <v>24564.0</v>
      </c>
      <c r="G3241" s="6">
        <v>9174.0</v>
      </c>
      <c r="H3241" s="6">
        <v>2.0574</v>
      </c>
      <c r="I3241" s="6">
        <v>2.6776</v>
      </c>
      <c r="J3241" s="6">
        <v>-0.6201</v>
      </c>
    </row>
    <row r="3242">
      <c r="A3242" s="1" t="s">
        <v>24</v>
      </c>
      <c r="B3242" s="1" t="s">
        <v>1192</v>
      </c>
      <c r="C3242" s="1" t="s">
        <v>1209</v>
      </c>
      <c r="D3242" s="6">
        <v>7.0</v>
      </c>
      <c r="E3242" s="6">
        <v>20865.0</v>
      </c>
      <c r="F3242" s="6">
        <v>24030.0</v>
      </c>
      <c r="G3242" s="6">
        <v>9174.0</v>
      </c>
      <c r="H3242" s="6">
        <v>2.2744</v>
      </c>
      <c r="I3242" s="6">
        <v>2.6194</v>
      </c>
      <c r="J3242" s="6">
        <v>-0.345</v>
      </c>
    </row>
    <row r="3243">
      <c r="A3243" s="1" t="s">
        <v>24</v>
      </c>
      <c r="B3243" s="1" t="s">
        <v>1192</v>
      </c>
      <c r="C3243" s="1" t="s">
        <v>1209</v>
      </c>
      <c r="D3243" s="6">
        <v>8.0</v>
      </c>
      <c r="E3243" s="6">
        <v>20820.0</v>
      </c>
      <c r="F3243" s="6">
        <v>23166.0</v>
      </c>
      <c r="G3243" s="6">
        <v>9174.0</v>
      </c>
      <c r="H3243" s="6">
        <v>2.2695</v>
      </c>
      <c r="I3243" s="6">
        <v>2.5252</v>
      </c>
      <c r="J3243" s="6">
        <v>-0.2557</v>
      </c>
    </row>
    <row r="3244">
      <c r="A3244" s="1" t="s">
        <v>24</v>
      </c>
      <c r="B3244" s="1" t="s">
        <v>1192</v>
      </c>
      <c r="C3244" s="1" t="s">
        <v>1209</v>
      </c>
      <c r="D3244" s="6">
        <v>9.0</v>
      </c>
      <c r="E3244" s="6">
        <v>16150.0</v>
      </c>
      <c r="F3244" s="6">
        <v>20740.0</v>
      </c>
      <c r="G3244" s="6">
        <v>9174.0</v>
      </c>
      <c r="H3244" s="6">
        <v>1.7604</v>
      </c>
      <c r="I3244" s="6">
        <v>2.2607</v>
      </c>
      <c r="J3244" s="6">
        <v>-0.5003</v>
      </c>
    </row>
    <row r="3245">
      <c r="A3245" s="1" t="s">
        <v>24</v>
      </c>
      <c r="B3245" s="1" t="s">
        <v>1192</v>
      </c>
      <c r="C3245" s="1" t="s">
        <v>1209</v>
      </c>
      <c r="D3245" s="6">
        <v>10.0</v>
      </c>
      <c r="E3245" s="6">
        <v>7980.0</v>
      </c>
      <c r="F3245" s="6">
        <v>14032.0</v>
      </c>
      <c r="G3245" s="6">
        <v>9174.0</v>
      </c>
      <c r="H3245" s="6">
        <v>0.8698</v>
      </c>
      <c r="I3245" s="6">
        <v>1.5295</v>
      </c>
      <c r="J3245" s="6">
        <v>-0.6597</v>
      </c>
    </row>
    <row r="3246">
      <c r="A3246" s="1" t="s">
        <v>24</v>
      </c>
      <c r="B3246" s="1" t="s">
        <v>1192</v>
      </c>
      <c r="C3246" s="1" t="s">
        <v>1209</v>
      </c>
      <c r="D3246" s="6">
        <v>11.0</v>
      </c>
      <c r="E3246" s="6">
        <v>5535.0</v>
      </c>
      <c r="F3246" s="6">
        <v>13757.0</v>
      </c>
      <c r="G3246" s="6">
        <v>9174.0</v>
      </c>
      <c r="H3246" s="6">
        <v>0.6033</v>
      </c>
      <c r="I3246" s="6">
        <v>1.4996</v>
      </c>
      <c r="J3246" s="6">
        <v>-0.8962</v>
      </c>
    </row>
    <row r="3247">
      <c r="A3247" s="1" t="s">
        <v>24</v>
      </c>
      <c r="B3247" s="1" t="s">
        <v>1192</v>
      </c>
      <c r="C3247" s="1" t="s">
        <v>1209</v>
      </c>
      <c r="D3247" s="6">
        <v>12.0</v>
      </c>
      <c r="E3247" s="6">
        <v>4890.0</v>
      </c>
      <c r="F3247" s="6">
        <v>15524.0</v>
      </c>
      <c r="G3247" s="6">
        <v>9174.0</v>
      </c>
      <c r="H3247" s="6">
        <v>0.533</v>
      </c>
      <c r="I3247" s="6">
        <v>1.6922</v>
      </c>
      <c r="J3247" s="6">
        <v>-1.1591</v>
      </c>
    </row>
    <row r="3248">
      <c r="A3248" s="1" t="s">
        <v>24</v>
      </c>
      <c r="B3248" s="1" t="s">
        <v>1192</v>
      </c>
      <c r="C3248" s="1" t="s">
        <v>1209</v>
      </c>
      <c r="D3248" s="6">
        <v>13.0</v>
      </c>
      <c r="E3248" s="6">
        <v>17760.0</v>
      </c>
      <c r="F3248" s="6">
        <v>24893.0</v>
      </c>
      <c r="G3248" s="6">
        <v>9174.0</v>
      </c>
      <c r="H3248" s="6">
        <v>1.9359</v>
      </c>
      <c r="I3248" s="6">
        <v>2.7134</v>
      </c>
      <c r="J3248" s="6">
        <v>-0.7775</v>
      </c>
    </row>
    <row r="3249">
      <c r="A3249" s="1" t="s">
        <v>24</v>
      </c>
      <c r="B3249" s="1" t="s">
        <v>1192</v>
      </c>
      <c r="C3249" s="1" t="s">
        <v>1209</v>
      </c>
      <c r="D3249" s="6">
        <v>14.0</v>
      </c>
      <c r="E3249" s="6">
        <v>19475.0</v>
      </c>
      <c r="F3249" s="6">
        <v>23794.0</v>
      </c>
      <c r="G3249" s="6">
        <v>9174.0</v>
      </c>
      <c r="H3249" s="6">
        <v>2.1228</v>
      </c>
      <c r="I3249" s="6">
        <v>2.5936</v>
      </c>
      <c r="J3249" s="6">
        <v>-0.4708</v>
      </c>
    </row>
    <row r="3250">
      <c r="A3250" s="1" t="s">
        <v>24</v>
      </c>
      <c r="B3250" s="1" t="s">
        <v>1192</v>
      </c>
      <c r="C3250" s="1" t="s">
        <v>1209</v>
      </c>
      <c r="D3250" s="6">
        <v>15.0</v>
      </c>
      <c r="E3250" s="6">
        <v>17685.0</v>
      </c>
      <c r="F3250" s="6">
        <v>22229.0</v>
      </c>
      <c r="G3250" s="6">
        <v>9174.0</v>
      </c>
      <c r="H3250" s="6">
        <v>1.9277</v>
      </c>
      <c r="I3250" s="6">
        <v>2.423</v>
      </c>
      <c r="J3250" s="6">
        <v>-0.4953</v>
      </c>
    </row>
    <row r="3251">
      <c r="A3251" s="1" t="s">
        <v>24</v>
      </c>
      <c r="B3251" s="1" t="s">
        <v>1192</v>
      </c>
      <c r="C3251" s="1" t="s">
        <v>1209</v>
      </c>
      <c r="D3251" s="6">
        <v>16.0</v>
      </c>
      <c r="E3251" s="6">
        <v>32565.0</v>
      </c>
      <c r="F3251" s="6">
        <v>31072.0</v>
      </c>
      <c r="G3251" s="6">
        <v>9174.0</v>
      </c>
      <c r="H3251" s="6">
        <v>3.5497</v>
      </c>
      <c r="I3251" s="6">
        <v>3.387</v>
      </c>
      <c r="J3251" s="6">
        <v>0.1627</v>
      </c>
    </row>
    <row r="3252">
      <c r="A3252" s="1" t="s">
        <v>24</v>
      </c>
      <c r="B3252" s="1" t="s">
        <v>1192</v>
      </c>
      <c r="C3252" s="1" t="s">
        <v>1209</v>
      </c>
      <c r="D3252" s="6">
        <v>17.0</v>
      </c>
      <c r="E3252" s="6">
        <v>19025.0</v>
      </c>
      <c r="F3252" s="6">
        <v>20308.0</v>
      </c>
      <c r="G3252" s="6">
        <v>9174.0</v>
      </c>
      <c r="H3252" s="6">
        <v>2.0738</v>
      </c>
      <c r="I3252" s="6">
        <v>2.2136</v>
      </c>
      <c r="J3252" s="6">
        <v>-0.1399</v>
      </c>
    </row>
    <row r="3253">
      <c r="A3253" s="1" t="s">
        <v>24</v>
      </c>
      <c r="B3253" s="1" t="s">
        <v>1192</v>
      </c>
      <c r="C3253" s="1" t="s">
        <v>1209</v>
      </c>
      <c r="D3253" s="6">
        <v>18.0</v>
      </c>
      <c r="E3253" s="6">
        <v>12665.0</v>
      </c>
      <c r="F3253" s="6">
        <v>18244.0</v>
      </c>
      <c r="G3253" s="6">
        <v>9174.0</v>
      </c>
      <c r="H3253" s="6">
        <v>1.3805</v>
      </c>
      <c r="I3253" s="6">
        <v>1.9887</v>
      </c>
      <c r="J3253" s="6">
        <v>-0.6081</v>
      </c>
    </row>
    <row r="3254">
      <c r="A3254" s="1" t="s">
        <v>24</v>
      </c>
      <c r="B3254" s="1" t="s">
        <v>1192</v>
      </c>
      <c r="C3254" s="1" t="s">
        <v>1209</v>
      </c>
      <c r="D3254" s="6">
        <v>19.0</v>
      </c>
      <c r="E3254" s="6">
        <v>11750.0</v>
      </c>
      <c r="F3254" s="6">
        <v>18078.0</v>
      </c>
      <c r="G3254" s="6">
        <v>9174.0</v>
      </c>
      <c r="H3254" s="6">
        <v>1.2808</v>
      </c>
      <c r="I3254" s="6">
        <v>1.9706</v>
      </c>
      <c r="J3254" s="6">
        <v>-0.6898</v>
      </c>
    </row>
    <row r="3255">
      <c r="A3255" s="1" t="s">
        <v>24</v>
      </c>
      <c r="B3255" s="1" t="s">
        <v>1192</v>
      </c>
      <c r="C3255" s="1" t="s">
        <v>1209</v>
      </c>
      <c r="D3255" s="6">
        <v>20.0</v>
      </c>
      <c r="E3255" s="6">
        <v>22600.0</v>
      </c>
      <c r="F3255" s="6">
        <v>28706.0</v>
      </c>
      <c r="G3255" s="6">
        <v>9174.0</v>
      </c>
      <c r="H3255" s="6">
        <v>2.4635</v>
      </c>
      <c r="I3255" s="6">
        <v>3.1291</v>
      </c>
      <c r="J3255" s="6">
        <v>-0.6656</v>
      </c>
    </row>
    <row r="3256">
      <c r="A3256" s="1" t="s">
        <v>24</v>
      </c>
      <c r="B3256" s="1" t="s">
        <v>1192</v>
      </c>
      <c r="C3256" s="1" t="s">
        <v>1209</v>
      </c>
      <c r="D3256" s="6">
        <v>21.0</v>
      </c>
      <c r="E3256" s="6">
        <v>37105.0</v>
      </c>
      <c r="F3256" s="6">
        <v>32698.0</v>
      </c>
      <c r="G3256" s="6">
        <v>9174.0</v>
      </c>
      <c r="H3256" s="6">
        <v>4.0446</v>
      </c>
      <c r="I3256" s="6">
        <v>3.5642</v>
      </c>
      <c r="J3256" s="6">
        <v>0.4804</v>
      </c>
    </row>
    <row r="3257">
      <c r="A3257" s="1" t="s">
        <v>24</v>
      </c>
      <c r="B3257" s="1" t="s">
        <v>1192</v>
      </c>
      <c r="C3257" s="1" t="s">
        <v>1209</v>
      </c>
      <c r="D3257" s="6">
        <v>22.0</v>
      </c>
      <c r="E3257" s="6">
        <v>28855.0</v>
      </c>
      <c r="F3257" s="6">
        <v>28849.0</v>
      </c>
      <c r="G3257" s="6">
        <v>9174.0</v>
      </c>
      <c r="H3257" s="6">
        <v>3.1453</v>
      </c>
      <c r="I3257" s="6">
        <v>3.1446</v>
      </c>
      <c r="J3257" s="6">
        <v>7.0E-4</v>
      </c>
    </row>
    <row r="3258">
      <c r="A3258" s="1" t="s">
        <v>24</v>
      </c>
      <c r="B3258" s="1" t="s">
        <v>1192</v>
      </c>
      <c r="C3258" s="1" t="s">
        <v>1209</v>
      </c>
      <c r="D3258" s="6">
        <v>23.0</v>
      </c>
      <c r="E3258" s="6">
        <v>25520.0</v>
      </c>
      <c r="F3258" s="6">
        <v>24793.0</v>
      </c>
      <c r="G3258" s="6">
        <v>9174.0</v>
      </c>
      <c r="H3258" s="6">
        <v>2.7818</v>
      </c>
      <c r="I3258" s="6">
        <v>2.7025</v>
      </c>
      <c r="J3258" s="6">
        <v>0.0792</v>
      </c>
    </row>
    <row r="3259">
      <c r="A3259" s="1" t="s">
        <v>24</v>
      </c>
      <c r="B3259" s="1" t="s">
        <v>1192</v>
      </c>
      <c r="C3259" s="1" t="s">
        <v>1209</v>
      </c>
      <c r="D3259" s="6">
        <v>24.0</v>
      </c>
      <c r="E3259" s="6">
        <v>14820.0</v>
      </c>
      <c r="F3259" s="6">
        <v>18379.0</v>
      </c>
      <c r="G3259" s="6">
        <v>9174.0</v>
      </c>
      <c r="H3259" s="6">
        <v>1.6154</v>
      </c>
      <c r="I3259" s="6">
        <v>2.0034</v>
      </c>
      <c r="J3259" s="6">
        <v>-0.3879</v>
      </c>
    </row>
    <row r="3260">
      <c r="A3260" s="1" t="s">
        <v>24</v>
      </c>
      <c r="B3260" s="1" t="s">
        <v>1192</v>
      </c>
      <c r="C3260" s="1" t="s">
        <v>1209</v>
      </c>
      <c r="D3260" s="6">
        <v>25.0</v>
      </c>
      <c r="E3260" s="6">
        <v>11580.0</v>
      </c>
      <c r="F3260" s="6">
        <v>17604.0</v>
      </c>
      <c r="G3260" s="6">
        <v>9174.0</v>
      </c>
      <c r="H3260" s="6">
        <v>1.2623</v>
      </c>
      <c r="I3260" s="6">
        <v>1.9189</v>
      </c>
      <c r="J3260" s="6">
        <v>-0.6566</v>
      </c>
    </row>
    <row r="3261">
      <c r="A3261" s="1" t="s">
        <v>24</v>
      </c>
      <c r="B3261" s="1" t="s">
        <v>1192</v>
      </c>
      <c r="C3261" s="1" t="s">
        <v>1209</v>
      </c>
      <c r="D3261" s="6">
        <v>26.0</v>
      </c>
      <c r="E3261" s="6">
        <v>12395.0</v>
      </c>
      <c r="F3261" s="6">
        <v>18303.0</v>
      </c>
      <c r="G3261" s="6">
        <v>9174.0</v>
      </c>
      <c r="H3261" s="6">
        <v>1.3511</v>
      </c>
      <c r="I3261" s="6">
        <v>1.9951</v>
      </c>
      <c r="J3261" s="6">
        <v>-0.644</v>
      </c>
    </row>
    <row r="3262">
      <c r="A3262" s="1" t="s">
        <v>24</v>
      </c>
      <c r="B3262" s="1" t="s">
        <v>1192</v>
      </c>
      <c r="C3262" s="1" t="s">
        <v>1209</v>
      </c>
      <c r="D3262" s="6">
        <v>27.0</v>
      </c>
      <c r="E3262" s="6">
        <v>12285.0</v>
      </c>
      <c r="F3262" s="6">
        <v>20481.0</v>
      </c>
      <c r="G3262" s="6">
        <v>9174.0</v>
      </c>
      <c r="H3262" s="6">
        <v>1.3391</v>
      </c>
      <c r="I3262" s="6">
        <v>2.2325</v>
      </c>
      <c r="J3262" s="6">
        <v>-0.8934</v>
      </c>
    </row>
    <row r="3263">
      <c r="A3263" s="1" t="s">
        <v>24</v>
      </c>
      <c r="B3263" s="1" t="s">
        <v>1192</v>
      </c>
      <c r="C3263" s="1" t="s">
        <v>1209</v>
      </c>
      <c r="D3263" s="6">
        <v>28.0</v>
      </c>
      <c r="E3263" s="6">
        <v>15575.0</v>
      </c>
      <c r="F3263" s="6">
        <v>21343.0</v>
      </c>
      <c r="G3263" s="6">
        <v>9174.0</v>
      </c>
      <c r="H3263" s="6">
        <v>1.6977</v>
      </c>
      <c r="I3263" s="6">
        <v>2.3265</v>
      </c>
      <c r="J3263" s="6">
        <v>-0.6287</v>
      </c>
    </row>
    <row r="3264">
      <c r="A3264" s="1" t="s">
        <v>24</v>
      </c>
      <c r="B3264" s="1" t="s">
        <v>1192</v>
      </c>
      <c r="C3264" s="1" t="s">
        <v>1209</v>
      </c>
      <c r="D3264" s="6">
        <v>29.0</v>
      </c>
      <c r="E3264" s="6">
        <v>15300.0</v>
      </c>
      <c r="F3264" s="6">
        <v>21706.0</v>
      </c>
      <c r="G3264" s="6">
        <v>9174.0</v>
      </c>
      <c r="H3264" s="6">
        <v>1.6678</v>
      </c>
      <c r="I3264" s="6">
        <v>2.366</v>
      </c>
      <c r="J3264" s="6">
        <v>-0.6983</v>
      </c>
    </row>
    <row r="3265">
      <c r="A3265" s="1" t="s">
        <v>24</v>
      </c>
      <c r="B3265" s="1" t="s">
        <v>1192</v>
      </c>
      <c r="C3265" s="1" t="s">
        <v>1209</v>
      </c>
      <c r="D3265" s="6">
        <v>30.0</v>
      </c>
      <c r="E3265" s="6">
        <v>28900.0</v>
      </c>
      <c r="F3265" s="6">
        <v>31234.0</v>
      </c>
      <c r="G3265" s="6">
        <v>9174.0</v>
      </c>
      <c r="H3265" s="6">
        <v>3.1502</v>
      </c>
      <c r="I3265" s="6">
        <v>3.4046</v>
      </c>
      <c r="J3265" s="6">
        <v>-0.2544</v>
      </c>
    </row>
    <row r="3266">
      <c r="A3266" s="1" t="s">
        <v>24</v>
      </c>
      <c r="B3266" s="1" t="s">
        <v>1192</v>
      </c>
      <c r="C3266" s="1" t="s">
        <v>1209</v>
      </c>
      <c r="D3266" s="6">
        <v>31.0</v>
      </c>
      <c r="E3266" s="6">
        <v>18825.0</v>
      </c>
      <c r="F3266" s="6">
        <v>21969.0</v>
      </c>
      <c r="G3266" s="6">
        <v>9174.0</v>
      </c>
      <c r="H3266" s="6">
        <v>2.052</v>
      </c>
      <c r="I3266" s="6">
        <v>2.3947</v>
      </c>
      <c r="J3266" s="6">
        <v>-0.3427</v>
      </c>
    </row>
    <row r="3267">
      <c r="A3267" s="1" t="s">
        <v>24</v>
      </c>
      <c r="B3267" s="1" t="s">
        <v>1192</v>
      </c>
      <c r="C3267" s="1" t="s">
        <v>1209</v>
      </c>
      <c r="D3267" s="6">
        <v>32.0</v>
      </c>
      <c r="E3267" s="6">
        <v>14210.0</v>
      </c>
      <c r="F3267" s="6">
        <v>19273.0</v>
      </c>
      <c r="G3267" s="6">
        <v>9174.0</v>
      </c>
      <c r="H3267" s="6">
        <v>1.5489</v>
      </c>
      <c r="I3267" s="6">
        <v>2.1008</v>
      </c>
      <c r="J3267" s="6">
        <v>-0.5519</v>
      </c>
    </row>
    <row r="3268">
      <c r="A3268" s="1" t="s">
        <v>24</v>
      </c>
      <c r="B3268" s="1" t="s">
        <v>1192</v>
      </c>
      <c r="C3268" s="1" t="s">
        <v>1209</v>
      </c>
      <c r="D3268" s="6">
        <v>33.0</v>
      </c>
      <c r="E3268" s="6">
        <v>12725.0</v>
      </c>
      <c r="F3268" s="6">
        <v>17849.0</v>
      </c>
      <c r="G3268" s="6">
        <v>9174.0</v>
      </c>
      <c r="H3268" s="6">
        <v>1.3871</v>
      </c>
      <c r="I3268" s="6">
        <v>1.9456</v>
      </c>
      <c r="J3268" s="6">
        <v>-0.5585</v>
      </c>
    </row>
    <row r="3269">
      <c r="A3269" s="1" t="s">
        <v>24</v>
      </c>
      <c r="B3269" s="1" t="s">
        <v>1192</v>
      </c>
      <c r="C3269" s="1" t="s">
        <v>1210</v>
      </c>
      <c r="D3269" s="6">
        <v>1.0</v>
      </c>
      <c r="E3269" s="6">
        <v>26165.0</v>
      </c>
      <c r="F3269" s="6">
        <v>24360.0</v>
      </c>
      <c r="G3269" s="6">
        <v>11887.0</v>
      </c>
      <c r="H3269" s="6">
        <v>2.2011</v>
      </c>
      <c r="I3269" s="6">
        <v>2.0493</v>
      </c>
      <c r="J3269" s="6">
        <v>0.1518</v>
      </c>
    </row>
    <row r="3270">
      <c r="A3270" s="1" t="s">
        <v>24</v>
      </c>
      <c r="B3270" s="1" t="s">
        <v>1192</v>
      </c>
      <c r="C3270" s="1" t="s">
        <v>1210</v>
      </c>
      <c r="D3270" s="6">
        <v>2.0</v>
      </c>
      <c r="E3270" s="6">
        <v>31610.0</v>
      </c>
      <c r="F3270" s="6">
        <v>29754.0</v>
      </c>
      <c r="G3270" s="6">
        <v>11887.0</v>
      </c>
      <c r="H3270" s="6">
        <v>2.6592</v>
      </c>
      <c r="I3270" s="6">
        <v>2.5031</v>
      </c>
      <c r="J3270" s="6">
        <v>0.1561</v>
      </c>
    </row>
    <row r="3271">
      <c r="A3271" s="1" t="s">
        <v>24</v>
      </c>
      <c r="B3271" s="1" t="s">
        <v>1192</v>
      </c>
      <c r="C3271" s="1" t="s">
        <v>1210</v>
      </c>
      <c r="D3271" s="6">
        <v>3.0</v>
      </c>
      <c r="E3271" s="6">
        <v>27040.0</v>
      </c>
      <c r="F3271" s="6">
        <v>26747.0</v>
      </c>
      <c r="G3271" s="6">
        <v>11887.0</v>
      </c>
      <c r="H3271" s="6">
        <v>2.2748</v>
      </c>
      <c r="I3271" s="6">
        <v>2.2501</v>
      </c>
      <c r="J3271" s="6">
        <v>0.0246</v>
      </c>
    </row>
    <row r="3272">
      <c r="A3272" s="1" t="s">
        <v>24</v>
      </c>
      <c r="B3272" s="1" t="s">
        <v>1192</v>
      </c>
      <c r="C3272" s="1" t="s">
        <v>1210</v>
      </c>
      <c r="D3272" s="6">
        <v>4.0</v>
      </c>
      <c r="E3272" s="6">
        <v>33630.0</v>
      </c>
      <c r="F3272" s="6">
        <v>31572.0</v>
      </c>
      <c r="G3272" s="6">
        <v>11887.0</v>
      </c>
      <c r="H3272" s="6">
        <v>2.8291</v>
      </c>
      <c r="I3272" s="6">
        <v>2.656</v>
      </c>
      <c r="J3272" s="6">
        <v>0.1731</v>
      </c>
    </row>
    <row r="3273">
      <c r="A3273" s="1" t="s">
        <v>24</v>
      </c>
      <c r="B3273" s="1" t="s">
        <v>1192</v>
      </c>
      <c r="C3273" s="1" t="s">
        <v>1210</v>
      </c>
      <c r="D3273" s="6">
        <v>5.0</v>
      </c>
      <c r="E3273" s="6">
        <v>33350.0</v>
      </c>
      <c r="F3273" s="6">
        <v>31170.0</v>
      </c>
      <c r="G3273" s="6">
        <v>11887.0</v>
      </c>
      <c r="H3273" s="6">
        <v>2.8056</v>
      </c>
      <c r="I3273" s="6">
        <v>2.6222</v>
      </c>
      <c r="J3273" s="6">
        <v>0.1834</v>
      </c>
    </row>
    <row r="3274">
      <c r="A3274" s="1" t="s">
        <v>24</v>
      </c>
      <c r="B3274" s="1" t="s">
        <v>1192</v>
      </c>
      <c r="C3274" s="1" t="s">
        <v>1210</v>
      </c>
      <c r="D3274" s="6">
        <v>6.0</v>
      </c>
      <c r="E3274" s="6">
        <v>48065.0</v>
      </c>
      <c r="F3274" s="6">
        <v>42114.0</v>
      </c>
      <c r="G3274" s="6">
        <v>11887.0</v>
      </c>
      <c r="H3274" s="6">
        <v>4.0435</v>
      </c>
      <c r="I3274" s="6">
        <v>3.5429</v>
      </c>
      <c r="J3274" s="6">
        <v>0.5006</v>
      </c>
    </row>
    <row r="3275">
      <c r="A3275" s="1" t="s">
        <v>24</v>
      </c>
      <c r="B3275" s="1" t="s">
        <v>1192</v>
      </c>
      <c r="C3275" s="1" t="s">
        <v>1210</v>
      </c>
      <c r="D3275" s="6">
        <v>7.0</v>
      </c>
      <c r="E3275" s="6">
        <v>37475.0</v>
      </c>
      <c r="F3275" s="6">
        <v>33021.0</v>
      </c>
      <c r="G3275" s="6">
        <v>11887.0</v>
      </c>
      <c r="H3275" s="6">
        <v>3.1526</v>
      </c>
      <c r="I3275" s="6">
        <v>2.7779</v>
      </c>
      <c r="J3275" s="6">
        <v>0.3747</v>
      </c>
    </row>
    <row r="3276">
      <c r="A3276" s="1" t="s">
        <v>24</v>
      </c>
      <c r="B3276" s="1" t="s">
        <v>1192</v>
      </c>
      <c r="C3276" s="1" t="s">
        <v>1210</v>
      </c>
      <c r="D3276" s="6">
        <v>8.0</v>
      </c>
      <c r="E3276" s="6">
        <v>35390.0</v>
      </c>
      <c r="F3276" s="6">
        <v>31739.0</v>
      </c>
      <c r="G3276" s="6">
        <v>11887.0</v>
      </c>
      <c r="H3276" s="6">
        <v>2.9772</v>
      </c>
      <c r="I3276" s="6">
        <v>2.6701</v>
      </c>
      <c r="J3276" s="6">
        <v>0.3071</v>
      </c>
    </row>
    <row r="3277">
      <c r="A3277" s="1" t="s">
        <v>24</v>
      </c>
      <c r="B3277" s="1" t="s">
        <v>1192</v>
      </c>
      <c r="C3277" s="1" t="s">
        <v>1210</v>
      </c>
      <c r="D3277" s="6">
        <v>9.0</v>
      </c>
      <c r="E3277" s="6">
        <v>25405.0</v>
      </c>
      <c r="F3277" s="6">
        <v>24773.0</v>
      </c>
      <c r="G3277" s="6">
        <v>11887.0</v>
      </c>
      <c r="H3277" s="6">
        <v>2.1372</v>
      </c>
      <c r="I3277" s="6">
        <v>2.084</v>
      </c>
      <c r="J3277" s="6">
        <v>0.0532</v>
      </c>
    </row>
    <row r="3278">
      <c r="A3278" s="1" t="s">
        <v>24</v>
      </c>
      <c r="B3278" s="1" t="s">
        <v>1192</v>
      </c>
      <c r="C3278" s="1" t="s">
        <v>1210</v>
      </c>
      <c r="D3278" s="6">
        <v>10.0</v>
      </c>
      <c r="E3278" s="6">
        <v>20280.0</v>
      </c>
      <c r="F3278" s="6">
        <v>19824.0</v>
      </c>
      <c r="G3278" s="6">
        <v>11887.0</v>
      </c>
      <c r="H3278" s="6">
        <v>1.7061</v>
      </c>
      <c r="I3278" s="6">
        <v>1.6677</v>
      </c>
      <c r="J3278" s="6">
        <v>0.0384</v>
      </c>
    </row>
    <row r="3279">
      <c r="A3279" s="1" t="s">
        <v>24</v>
      </c>
      <c r="B3279" s="1" t="s">
        <v>1192</v>
      </c>
      <c r="C3279" s="1" t="s">
        <v>1210</v>
      </c>
      <c r="D3279" s="6">
        <v>11.0</v>
      </c>
      <c r="E3279" s="6">
        <v>21105.0</v>
      </c>
      <c r="F3279" s="6">
        <v>22119.0</v>
      </c>
      <c r="G3279" s="6">
        <v>11887.0</v>
      </c>
      <c r="H3279" s="6">
        <v>1.7755</v>
      </c>
      <c r="I3279" s="6">
        <v>1.8608</v>
      </c>
      <c r="J3279" s="6">
        <v>-0.0853</v>
      </c>
    </row>
    <row r="3280">
      <c r="A3280" s="1" t="s">
        <v>24</v>
      </c>
      <c r="B3280" s="1" t="s">
        <v>1192</v>
      </c>
      <c r="C3280" s="1" t="s">
        <v>1210</v>
      </c>
      <c r="D3280" s="6">
        <v>12.0</v>
      </c>
      <c r="E3280" s="6">
        <v>22775.0</v>
      </c>
      <c r="F3280" s="6">
        <v>25517.0</v>
      </c>
      <c r="G3280" s="6">
        <v>11887.0</v>
      </c>
      <c r="H3280" s="6">
        <v>1.916</v>
      </c>
      <c r="I3280" s="6">
        <v>2.1466</v>
      </c>
      <c r="J3280" s="6">
        <v>-0.2307</v>
      </c>
    </row>
    <row r="3281">
      <c r="A3281" s="1" t="s">
        <v>24</v>
      </c>
      <c r="B3281" s="1" t="s">
        <v>1192</v>
      </c>
      <c r="C3281" s="1" t="s">
        <v>1210</v>
      </c>
      <c r="D3281" s="6">
        <v>13.0</v>
      </c>
      <c r="E3281" s="6">
        <v>40715.0</v>
      </c>
      <c r="F3281" s="6">
        <v>37643.0</v>
      </c>
      <c r="G3281" s="6">
        <v>11887.0</v>
      </c>
      <c r="H3281" s="6">
        <v>3.4252</v>
      </c>
      <c r="I3281" s="6">
        <v>3.1667</v>
      </c>
      <c r="J3281" s="6">
        <v>0.2584</v>
      </c>
    </row>
    <row r="3282">
      <c r="A3282" s="1" t="s">
        <v>24</v>
      </c>
      <c r="B3282" s="1" t="s">
        <v>1192</v>
      </c>
      <c r="C3282" s="1" t="s">
        <v>1210</v>
      </c>
      <c r="D3282" s="6">
        <v>14.0</v>
      </c>
      <c r="E3282" s="6">
        <v>28610.0</v>
      </c>
      <c r="F3282" s="6">
        <v>27437.0</v>
      </c>
      <c r="G3282" s="6">
        <v>11887.0</v>
      </c>
      <c r="H3282" s="6">
        <v>2.4068</v>
      </c>
      <c r="I3282" s="6">
        <v>2.3082</v>
      </c>
      <c r="J3282" s="6">
        <v>0.0987</v>
      </c>
    </row>
    <row r="3283">
      <c r="A3283" s="1" t="s">
        <v>24</v>
      </c>
      <c r="B3283" s="1" t="s">
        <v>1192</v>
      </c>
      <c r="C3283" s="1" t="s">
        <v>1210</v>
      </c>
      <c r="D3283" s="6">
        <v>15.0</v>
      </c>
      <c r="E3283" s="6">
        <v>26905.0</v>
      </c>
      <c r="F3283" s="6">
        <v>25872.0</v>
      </c>
      <c r="G3283" s="6">
        <v>11887.0</v>
      </c>
      <c r="H3283" s="6">
        <v>2.2634</v>
      </c>
      <c r="I3283" s="6">
        <v>2.1765</v>
      </c>
      <c r="J3283" s="6">
        <v>0.0869</v>
      </c>
    </row>
    <row r="3284">
      <c r="A3284" s="1" t="s">
        <v>24</v>
      </c>
      <c r="B3284" s="1" t="s">
        <v>1192</v>
      </c>
      <c r="C3284" s="1" t="s">
        <v>1210</v>
      </c>
      <c r="D3284" s="6">
        <v>16.0</v>
      </c>
      <c r="E3284" s="6">
        <v>38680.0</v>
      </c>
      <c r="F3284" s="6">
        <v>32821.0</v>
      </c>
      <c r="G3284" s="6">
        <v>11887.0</v>
      </c>
      <c r="H3284" s="6">
        <v>3.254</v>
      </c>
      <c r="I3284" s="6">
        <v>2.7611</v>
      </c>
      <c r="J3284" s="6">
        <v>0.4929</v>
      </c>
    </row>
    <row r="3285">
      <c r="A3285" s="1" t="s">
        <v>24</v>
      </c>
      <c r="B3285" s="1" t="s">
        <v>1192</v>
      </c>
      <c r="C3285" s="1" t="s">
        <v>1210</v>
      </c>
      <c r="D3285" s="6">
        <v>17.0</v>
      </c>
      <c r="E3285" s="6">
        <v>31095.0</v>
      </c>
      <c r="F3285" s="6">
        <v>27229.0</v>
      </c>
      <c r="G3285" s="6">
        <v>11887.0</v>
      </c>
      <c r="H3285" s="6">
        <v>2.6159</v>
      </c>
      <c r="I3285" s="6">
        <v>2.2907</v>
      </c>
      <c r="J3285" s="6">
        <v>0.3252</v>
      </c>
    </row>
    <row r="3286">
      <c r="A3286" s="1" t="s">
        <v>24</v>
      </c>
      <c r="B3286" s="1" t="s">
        <v>1192</v>
      </c>
      <c r="C3286" s="1" t="s">
        <v>1210</v>
      </c>
      <c r="D3286" s="6">
        <v>18.0</v>
      </c>
      <c r="E3286" s="6">
        <v>32560.0</v>
      </c>
      <c r="F3286" s="6">
        <v>29122.0</v>
      </c>
      <c r="G3286" s="6">
        <v>11887.0</v>
      </c>
      <c r="H3286" s="6">
        <v>2.7391</v>
      </c>
      <c r="I3286" s="6">
        <v>2.4499</v>
      </c>
      <c r="J3286" s="6">
        <v>0.2892</v>
      </c>
    </row>
    <row r="3287">
      <c r="A3287" s="1" t="s">
        <v>24</v>
      </c>
      <c r="B3287" s="1" t="s">
        <v>1192</v>
      </c>
      <c r="C3287" s="1" t="s">
        <v>1210</v>
      </c>
      <c r="D3287" s="6">
        <v>19.0</v>
      </c>
      <c r="E3287" s="6">
        <v>33220.0</v>
      </c>
      <c r="F3287" s="6">
        <v>30271.0</v>
      </c>
      <c r="G3287" s="6">
        <v>11887.0</v>
      </c>
      <c r="H3287" s="6">
        <v>2.7946</v>
      </c>
      <c r="I3287" s="6">
        <v>2.5466</v>
      </c>
      <c r="J3287" s="6">
        <v>0.2481</v>
      </c>
    </row>
    <row r="3288">
      <c r="A3288" s="1" t="s">
        <v>24</v>
      </c>
      <c r="B3288" s="1" t="s">
        <v>1192</v>
      </c>
      <c r="C3288" s="1" t="s">
        <v>1210</v>
      </c>
      <c r="D3288" s="6">
        <v>20.0</v>
      </c>
      <c r="E3288" s="6">
        <v>55635.0</v>
      </c>
      <c r="F3288" s="6">
        <v>48132.0</v>
      </c>
      <c r="G3288" s="6">
        <v>11887.0</v>
      </c>
      <c r="H3288" s="6">
        <v>4.6803</v>
      </c>
      <c r="I3288" s="6">
        <v>4.0491</v>
      </c>
      <c r="J3288" s="6">
        <v>0.6312</v>
      </c>
    </row>
    <row r="3289">
      <c r="A3289" s="1" t="s">
        <v>24</v>
      </c>
      <c r="B3289" s="1" t="s">
        <v>1192</v>
      </c>
      <c r="C3289" s="1" t="s">
        <v>1210</v>
      </c>
      <c r="D3289" s="6">
        <v>21.0</v>
      </c>
      <c r="E3289" s="6">
        <v>106045.0</v>
      </c>
      <c r="F3289" s="6">
        <v>66512.0</v>
      </c>
      <c r="G3289" s="6">
        <v>11887.0</v>
      </c>
      <c r="H3289" s="6">
        <v>8.9211</v>
      </c>
      <c r="I3289" s="6">
        <v>5.5954</v>
      </c>
      <c r="J3289" s="6">
        <v>3.3257</v>
      </c>
    </row>
    <row r="3290">
      <c r="A3290" s="1" t="s">
        <v>24</v>
      </c>
      <c r="B3290" s="1" t="s">
        <v>1192</v>
      </c>
      <c r="C3290" s="1" t="s">
        <v>1210</v>
      </c>
      <c r="D3290" s="6">
        <v>22.0</v>
      </c>
      <c r="E3290" s="6">
        <v>75530.0</v>
      </c>
      <c r="F3290" s="6">
        <v>53400.0</v>
      </c>
      <c r="G3290" s="6">
        <v>11887.0</v>
      </c>
      <c r="H3290" s="6">
        <v>6.354</v>
      </c>
      <c r="I3290" s="6">
        <v>4.4923</v>
      </c>
      <c r="J3290" s="6">
        <v>1.8617</v>
      </c>
    </row>
    <row r="3291">
      <c r="A3291" s="1" t="s">
        <v>24</v>
      </c>
      <c r="B3291" s="1" t="s">
        <v>1192</v>
      </c>
      <c r="C3291" s="1" t="s">
        <v>1210</v>
      </c>
      <c r="D3291" s="6">
        <v>23.0</v>
      </c>
      <c r="E3291" s="6">
        <v>50355.0</v>
      </c>
      <c r="F3291" s="6">
        <v>38240.0</v>
      </c>
      <c r="G3291" s="6">
        <v>11887.0</v>
      </c>
      <c r="H3291" s="6">
        <v>4.2361</v>
      </c>
      <c r="I3291" s="6">
        <v>3.217</v>
      </c>
      <c r="J3291" s="6">
        <v>1.0192</v>
      </c>
    </row>
    <row r="3292">
      <c r="A3292" s="1" t="s">
        <v>24</v>
      </c>
      <c r="B3292" s="1" t="s">
        <v>1192</v>
      </c>
      <c r="C3292" s="1" t="s">
        <v>1210</v>
      </c>
      <c r="D3292" s="6">
        <v>24.0</v>
      </c>
      <c r="E3292" s="6">
        <v>42995.0</v>
      </c>
      <c r="F3292" s="6">
        <v>32616.0</v>
      </c>
      <c r="G3292" s="6">
        <v>11887.0</v>
      </c>
      <c r="H3292" s="6">
        <v>3.617</v>
      </c>
      <c r="I3292" s="6">
        <v>2.7438</v>
      </c>
      <c r="J3292" s="6">
        <v>0.8731</v>
      </c>
    </row>
    <row r="3293">
      <c r="A3293" s="1" t="s">
        <v>24</v>
      </c>
      <c r="B3293" s="1" t="s">
        <v>1192</v>
      </c>
      <c r="C3293" s="1" t="s">
        <v>1210</v>
      </c>
      <c r="D3293" s="6">
        <v>25.0</v>
      </c>
      <c r="E3293" s="6">
        <v>40460.0</v>
      </c>
      <c r="F3293" s="6">
        <v>33686.0</v>
      </c>
      <c r="G3293" s="6">
        <v>11887.0</v>
      </c>
      <c r="H3293" s="6">
        <v>3.4037</v>
      </c>
      <c r="I3293" s="6">
        <v>2.8339</v>
      </c>
      <c r="J3293" s="6">
        <v>0.5699</v>
      </c>
    </row>
    <row r="3294">
      <c r="A3294" s="1" t="s">
        <v>24</v>
      </c>
      <c r="B3294" s="1" t="s">
        <v>1192</v>
      </c>
      <c r="C3294" s="1" t="s">
        <v>1210</v>
      </c>
      <c r="D3294" s="6">
        <v>26.0</v>
      </c>
      <c r="E3294" s="6">
        <v>38065.0</v>
      </c>
      <c r="F3294" s="6">
        <v>33182.0</v>
      </c>
      <c r="G3294" s="6">
        <v>11887.0</v>
      </c>
      <c r="H3294" s="6">
        <v>3.2022</v>
      </c>
      <c r="I3294" s="6">
        <v>2.7915</v>
      </c>
      <c r="J3294" s="6">
        <v>0.4108</v>
      </c>
    </row>
    <row r="3295">
      <c r="A3295" s="1" t="s">
        <v>24</v>
      </c>
      <c r="B3295" s="1" t="s">
        <v>1192</v>
      </c>
      <c r="C3295" s="1" t="s">
        <v>1210</v>
      </c>
      <c r="D3295" s="6">
        <v>27.0</v>
      </c>
      <c r="E3295" s="6">
        <v>34250.0</v>
      </c>
      <c r="F3295" s="6">
        <v>32776.0</v>
      </c>
      <c r="G3295" s="6">
        <v>11887.0</v>
      </c>
      <c r="H3295" s="6">
        <v>2.8813</v>
      </c>
      <c r="I3295" s="6">
        <v>2.7573</v>
      </c>
      <c r="J3295" s="6">
        <v>0.124</v>
      </c>
    </row>
    <row r="3296">
      <c r="A3296" s="1" t="s">
        <v>24</v>
      </c>
      <c r="B3296" s="1" t="s">
        <v>1192</v>
      </c>
      <c r="C3296" s="1" t="s">
        <v>1210</v>
      </c>
      <c r="D3296" s="6">
        <v>28.0</v>
      </c>
      <c r="E3296" s="6">
        <v>32135.0</v>
      </c>
      <c r="F3296" s="6">
        <v>30267.0</v>
      </c>
      <c r="G3296" s="6">
        <v>11887.0</v>
      </c>
      <c r="H3296" s="6">
        <v>2.7034</v>
      </c>
      <c r="I3296" s="6">
        <v>2.5462</v>
      </c>
      <c r="J3296" s="6">
        <v>0.1571</v>
      </c>
    </row>
    <row r="3297">
      <c r="A3297" s="1" t="s">
        <v>24</v>
      </c>
      <c r="B3297" s="1" t="s">
        <v>1192</v>
      </c>
      <c r="C3297" s="1" t="s">
        <v>1210</v>
      </c>
      <c r="D3297" s="6">
        <v>29.0</v>
      </c>
      <c r="E3297" s="6">
        <v>29420.0</v>
      </c>
      <c r="F3297" s="6">
        <v>29092.0</v>
      </c>
      <c r="G3297" s="6">
        <v>11887.0</v>
      </c>
      <c r="H3297" s="6">
        <v>2.475</v>
      </c>
      <c r="I3297" s="6">
        <v>2.4474</v>
      </c>
      <c r="J3297" s="6">
        <v>0.0276</v>
      </c>
    </row>
    <row r="3298">
      <c r="A3298" s="1" t="s">
        <v>24</v>
      </c>
      <c r="B3298" s="1" t="s">
        <v>1192</v>
      </c>
      <c r="C3298" s="1" t="s">
        <v>1210</v>
      </c>
      <c r="D3298" s="6">
        <v>30.0</v>
      </c>
      <c r="E3298" s="6">
        <v>40410.0</v>
      </c>
      <c r="F3298" s="6">
        <v>36746.0</v>
      </c>
      <c r="G3298" s="6">
        <v>11887.0</v>
      </c>
      <c r="H3298" s="6">
        <v>3.3995</v>
      </c>
      <c r="I3298" s="6">
        <v>3.0913</v>
      </c>
      <c r="J3298" s="6">
        <v>0.3082</v>
      </c>
    </row>
    <row r="3299">
      <c r="A3299" s="1" t="s">
        <v>24</v>
      </c>
      <c r="B3299" s="1" t="s">
        <v>1192</v>
      </c>
      <c r="C3299" s="1" t="s">
        <v>1210</v>
      </c>
      <c r="D3299" s="6">
        <v>31.0</v>
      </c>
      <c r="E3299" s="6">
        <v>33090.0</v>
      </c>
      <c r="F3299" s="6">
        <v>29308.0</v>
      </c>
      <c r="G3299" s="6">
        <v>11887.0</v>
      </c>
      <c r="H3299" s="6">
        <v>2.7837</v>
      </c>
      <c r="I3299" s="6">
        <v>2.4656</v>
      </c>
      <c r="J3299" s="6">
        <v>0.3182</v>
      </c>
    </row>
    <row r="3300">
      <c r="A3300" s="1" t="s">
        <v>24</v>
      </c>
      <c r="B3300" s="1" t="s">
        <v>1192</v>
      </c>
      <c r="C3300" s="1" t="s">
        <v>1210</v>
      </c>
      <c r="D3300" s="6">
        <v>32.0</v>
      </c>
      <c r="E3300" s="6">
        <v>38500.0</v>
      </c>
      <c r="F3300" s="6">
        <v>33037.0</v>
      </c>
      <c r="G3300" s="6">
        <v>11887.0</v>
      </c>
      <c r="H3300" s="6">
        <v>3.2388</v>
      </c>
      <c r="I3300" s="6">
        <v>2.7793</v>
      </c>
      <c r="J3300" s="6">
        <v>0.4596</v>
      </c>
    </row>
    <row r="3301">
      <c r="A3301" s="1" t="s">
        <v>24</v>
      </c>
      <c r="B3301" s="1" t="s">
        <v>1192</v>
      </c>
      <c r="C3301" s="1" t="s">
        <v>1210</v>
      </c>
      <c r="D3301" s="6">
        <v>33.0</v>
      </c>
      <c r="E3301" s="6">
        <v>35520.0</v>
      </c>
      <c r="F3301" s="6">
        <v>30855.0</v>
      </c>
      <c r="G3301" s="6">
        <v>11887.0</v>
      </c>
      <c r="H3301" s="6">
        <v>2.9881</v>
      </c>
      <c r="I3301" s="6">
        <v>2.5957</v>
      </c>
      <c r="J3301" s="6">
        <v>0.3924</v>
      </c>
    </row>
    <row r="3302">
      <c r="A3302" s="1" t="s">
        <v>24</v>
      </c>
      <c r="B3302" s="1" t="s">
        <v>1192</v>
      </c>
      <c r="C3302" s="1" t="s">
        <v>1211</v>
      </c>
      <c r="D3302" s="6">
        <v>1.0</v>
      </c>
      <c r="E3302" s="6">
        <v>26765.0</v>
      </c>
      <c r="F3302" s="6">
        <v>24560.0</v>
      </c>
      <c r="G3302" s="6">
        <v>12203.0</v>
      </c>
      <c r="H3302" s="6">
        <v>2.1933</v>
      </c>
      <c r="I3302" s="6">
        <v>2.0126</v>
      </c>
      <c r="J3302" s="6">
        <v>0.1807</v>
      </c>
    </row>
    <row r="3303">
      <c r="A3303" s="1" t="s">
        <v>24</v>
      </c>
      <c r="B3303" s="1" t="s">
        <v>1192</v>
      </c>
      <c r="C3303" s="1" t="s">
        <v>1211</v>
      </c>
      <c r="D3303" s="6">
        <v>2.0</v>
      </c>
      <c r="E3303" s="6">
        <v>34570.0</v>
      </c>
      <c r="F3303" s="6">
        <v>28735.0</v>
      </c>
      <c r="G3303" s="6">
        <v>12203.0</v>
      </c>
      <c r="H3303" s="6">
        <v>2.8329</v>
      </c>
      <c r="I3303" s="6">
        <v>2.3547</v>
      </c>
      <c r="J3303" s="6">
        <v>0.4782</v>
      </c>
    </row>
    <row r="3304">
      <c r="A3304" s="1" t="s">
        <v>24</v>
      </c>
      <c r="B3304" s="1" t="s">
        <v>1192</v>
      </c>
      <c r="C3304" s="1" t="s">
        <v>1211</v>
      </c>
      <c r="D3304" s="6">
        <v>3.0</v>
      </c>
      <c r="E3304" s="6">
        <v>34015.0</v>
      </c>
      <c r="F3304" s="6">
        <v>29402.0</v>
      </c>
      <c r="G3304" s="6">
        <v>12203.0</v>
      </c>
      <c r="H3304" s="6">
        <v>2.7874</v>
      </c>
      <c r="I3304" s="6">
        <v>2.4094</v>
      </c>
      <c r="J3304" s="6">
        <v>0.378</v>
      </c>
    </row>
    <row r="3305">
      <c r="A3305" s="1" t="s">
        <v>24</v>
      </c>
      <c r="B3305" s="1" t="s">
        <v>1192</v>
      </c>
      <c r="C3305" s="1" t="s">
        <v>1211</v>
      </c>
      <c r="D3305" s="6">
        <v>4.0</v>
      </c>
      <c r="E3305" s="6">
        <v>39350.0</v>
      </c>
      <c r="F3305" s="6">
        <v>33527.0</v>
      </c>
      <c r="G3305" s="6">
        <v>12203.0</v>
      </c>
      <c r="H3305" s="6">
        <v>3.2246</v>
      </c>
      <c r="I3305" s="6">
        <v>2.7474</v>
      </c>
      <c r="J3305" s="6">
        <v>0.4772</v>
      </c>
    </row>
    <row r="3306">
      <c r="A3306" s="1" t="s">
        <v>24</v>
      </c>
      <c r="B3306" s="1" t="s">
        <v>1192</v>
      </c>
      <c r="C3306" s="1" t="s">
        <v>1211</v>
      </c>
      <c r="D3306" s="6">
        <v>5.0</v>
      </c>
      <c r="E3306" s="6">
        <v>38285.0</v>
      </c>
      <c r="F3306" s="6">
        <v>32416.0</v>
      </c>
      <c r="G3306" s="6">
        <v>12203.0</v>
      </c>
      <c r="H3306" s="6">
        <v>3.1373</v>
      </c>
      <c r="I3306" s="6">
        <v>2.6564</v>
      </c>
      <c r="J3306" s="6">
        <v>0.4809</v>
      </c>
    </row>
    <row r="3307">
      <c r="A3307" s="1" t="s">
        <v>24</v>
      </c>
      <c r="B3307" s="1" t="s">
        <v>1192</v>
      </c>
      <c r="C3307" s="1" t="s">
        <v>1211</v>
      </c>
      <c r="D3307" s="6">
        <v>6.0</v>
      </c>
      <c r="E3307" s="6">
        <v>66250.0</v>
      </c>
      <c r="F3307" s="6">
        <v>50441.0</v>
      </c>
      <c r="G3307" s="6">
        <v>12203.0</v>
      </c>
      <c r="H3307" s="6">
        <v>5.429</v>
      </c>
      <c r="I3307" s="6">
        <v>4.1335</v>
      </c>
      <c r="J3307" s="6">
        <v>1.2955</v>
      </c>
    </row>
    <row r="3308">
      <c r="A3308" s="1" t="s">
        <v>24</v>
      </c>
      <c r="B3308" s="1" t="s">
        <v>1192</v>
      </c>
      <c r="C3308" s="1" t="s">
        <v>1211</v>
      </c>
      <c r="D3308" s="6">
        <v>7.0</v>
      </c>
      <c r="E3308" s="6">
        <v>49100.0</v>
      </c>
      <c r="F3308" s="6">
        <v>37147.0</v>
      </c>
      <c r="G3308" s="6">
        <v>12203.0</v>
      </c>
      <c r="H3308" s="6">
        <v>4.0236</v>
      </c>
      <c r="I3308" s="6">
        <v>3.0441</v>
      </c>
      <c r="J3308" s="6">
        <v>0.9795</v>
      </c>
    </row>
    <row r="3309">
      <c r="A3309" s="1" t="s">
        <v>24</v>
      </c>
      <c r="B3309" s="1" t="s">
        <v>1192</v>
      </c>
      <c r="C3309" s="1" t="s">
        <v>1211</v>
      </c>
      <c r="D3309" s="6">
        <v>8.0</v>
      </c>
      <c r="E3309" s="6">
        <v>43110.0</v>
      </c>
      <c r="F3309" s="6">
        <v>33885.0</v>
      </c>
      <c r="G3309" s="6">
        <v>12203.0</v>
      </c>
      <c r="H3309" s="6">
        <v>3.5327</v>
      </c>
      <c r="I3309" s="6">
        <v>2.7768</v>
      </c>
      <c r="J3309" s="6">
        <v>0.756</v>
      </c>
    </row>
    <row r="3310">
      <c r="A3310" s="1" t="s">
        <v>24</v>
      </c>
      <c r="B3310" s="1" t="s">
        <v>1192</v>
      </c>
      <c r="C3310" s="1" t="s">
        <v>1211</v>
      </c>
      <c r="D3310" s="6">
        <v>9.0</v>
      </c>
      <c r="E3310" s="6">
        <v>26995.0</v>
      </c>
      <c r="F3310" s="6">
        <v>25288.0</v>
      </c>
      <c r="G3310" s="6">
        <v>12203.0</v>
      </c>
      <c r="H3310" s="6">
        <v>2.2122</v>
      </c>
      <c r="I3310" s="6">
        <v>2.0723</v>
      </c>
      <c r="J3310" s="6">
        <v>0.1399</v>
      </c>
    </row>
    <row r="3311">
      <c r="A3311" s="1" t="s">
        <v>24</v>
      </c>
      <c r="B3311" s="1" t="s">
        <v>1192</v>
      </c>
      <c r="C3311" s="1" t="s">
        <v>1211</v>
      </c>
      <c r="D3311" s="6">
        <v>10.0</v>
      </c>
      <c r="E3311" s="6">
        <v>28095.0</v>
      </c>
      <c r="F3311" s="6">
        <v>23296.0</v>
      </c>
      <c r="G3311" s="6">
        <v>12203.0</v>
      </c>
      <c r="H3311" s="6">
        <v>2.3023</v>
      </c>
      <c r="I3311" s="6">
        <v>1.909</v>
      </c>
      <c r="J3311" s="6">
        <v>0.3933</v>
      </c>
    </row>
    <row r="3312">
      <c r="A3312" s="1" t="s">
        <v>24</v>
      </c>
      <c r="B3312" s="1" t="s">
        <v>1192</v>
      </c>
      <c r="C3312" s="1" t="s">
        <v>1211</v>
      </c>
      <c r="D3312" s="6">
        <v>11.0</v>
      </c>
      <c r="E3312" s="6">
        <v>27690.0</v>
      </c>
      <c r="F3312" s="6">
        <v>25538.0</v>
      </c>
      <c r="G3312" s="6">
        <v>12203.0</v>
      </c>
      <c r="H3312" s="6">
        <v>2.2691</v>
      </c>
      <c r="I3312" s="6">
        <v>2.0928</v>
      </c>
      <c r="J3312" s="6">
        <v>0.1764</v>
      </c>
    </row>
    <row r="3313">
      <c r="A3313" s="1" t="s">
        <v>24</v>
      </c>
      <c r="B3313" s="1" t="s">
        <v>1192</v>
      </c>
      <c r="C3313" s="1" t="s">
        <v>1211</v>
      </c>
      <c r="D3313" s="6">
        <v>12.0</v>
      </c>
      <c r="E3313" s="6">
        <v>25275.0</v>
      </c>
      <c r="F3313" s="6">
        <v>26734.0</v>
      </c>
      <c r="G3313" s="6">
        <v>12203.0</v>
      </c>
      <c r="H3313" s="6">
        <v>2.0712</v>
      </c>
      <c r="I3313" s="6">
        <v>2.1908</v>
      </c>
      <c r="J3313" s="6">
        <v>-0.1196</v>
      </c>
    </row>
    <row r="3314">
      <c r="A3314" s="1" t="s">
        <v>24</v>
      </c>
      <c r="B3314" s="1" t="s">
        <v>1192</v>
      </c>
      <c r="C3314" s="1" t="s">
        <v>1211</v>
      </c>
      <c r="D3314" s="6">
        <v>13.0</v>
      </c>
      <c r="E3314" s="6">
        <v>49520.0</v>
      </c>
      <c r="F3314" s="6">
        <v>42190.0</v>
      </c>
      <c r="G3314" s="6">
        <v>12203.0</v>
      </c>
      <c r="H3314" s="6">
        <v>4.058</v>
      </c>
      <c r="I3314" s="6">
        <v>3.4573</v>
      </c>
      <c r="J3314" s="6">
        <v>0.6007</v>
      </c>
    </row>
    <row r="3315">
      <c r="A3315" s="1" t="s">
        <v>24</v>
      </c>
      <c r="B3315" s="1" t="s">
        <v>1192</v>
      </c>
      <c r="C3315" s="1" t="s">
        <v>1211</v>
      </c>
      <c r="D3315" s="6">
        <v>14.0</v>
      </c>
      <c r="E3315" s="6">
        <v>37150.0</v>
      </c>
      <c r="F3315" s="6">
        <v>31710.0</v>
      </c>
      <c r="G3315" s="6">
        <v>12203.0</v>
      </c>
      <c r="H3315" s="6">
        <v>3.0443</v>
      </c>
      <c r="I3315" s="6">
        <v>2.5985</v>
      </c>
      <c r="J3315" s="6">
        <v>0.4458</v>
      </c>
    </row>
    <row r="3316">
      <c r="A3316" s="1" t="s">
        <v>24</v>
      </c>
      <c r="B3316" s="1" t="s">
        <v>1192</v>
      </c>
      <c r="C3316" s="1" t="s">
        <v>1211</v>
      </c>
      <c r="D3316" s="6">
        <v>15.0</v>
      </c>
      <c r="E3316" s="6">
        <v>33470.0</v>
      </c>
      <c r="F3316" s="6">
        <v>28290.0</v>
      </c>
      <c r="G3316" s="6">
        <v>12203.0</v>
      </c>
      <c r="H3316" s="6">
        <v>2.7428</v>
      </c>
      <c r="I3316" s="6">
        <v>2.3183</v>
      </c>
      <c r="J3316" s="6">
        <v>0.4245</v>
      </c>
    </row>
    <row r="3317">
      <c r="A3317" s="1" t="s">
        <v>24</v>
      </c>
      <c r="B3317" s="1" t="s">
        <v>1192</v>
      </c>
      <c r="C3317" s="1" t="s">
        <v>1211</v>
      </c>
      <c r="D3317" s="6">
        <v>16.0</v>
      </c>
      <c r="E3317" s="6">
        <v>40400.0</v>
      </c>
      <c r="F3317" s="6">
        <v>32900.0</v>
      </c>
      <c r="G3317" s="6">
        <v>12203.0</v>
      </c>
      <c r="H3317" s="6">
        <v>3.3107</v>
      </c>
      <c r="I3317" s="6">
        <v>2.6961</v>
      </c>
      <c r="J3317" s="6">
        <v>0.6146</v>
      </c>
    </row>
    <row r="3318">
      <c r="A3318" s="1" t="s">
        <v>24</v>
      </c>
      <c r="B3318" s="1" t="s">
        <v>1192</v>
      </c>
      <c r="C3318" s="1" t="s">
        <v>1211</v>
      </c>
      <c r="D3318" s="6">
        <v>17.0</v>
      </c>
      <c r="E3318" s="6">
        <v>37685.0</v>
      </c>
      <c r="F3318" s="6">
        <v>30441.0</v>
      </c>
      <c r="G3318" s="6">
        <v>12203.0</v>
      </c>
      <c r="H3318" s="6">
        <v>3.0882</v>
      </c>
      <c r="I3318" s="6">
        <v>2.4946</v>
      </c>
      <c r="J3318" s="6">
        <v>0.5936</v>
      </c>
    </row>
    <row r="3319">
      <c r="A3319" s="1" t="s">
        <v>24</v>
      </c>
      <c r="B3319" s="1" t="s">
        <v>1192</v>
      </c>
      <c r="C3319" s="1" t="s">
        <v>1211</v>
      </c>
      <c r="D3319" s="6">
        <v>18.0</v>
      </c>
      <c r="E3319" s="6">
        <v>39850.0</v>
      </c>
      <c r="F3319" s="6">
        <v>32574.0</v>
      </c>
      <c r="G3319" s="6">
        <v>12203.0</v>
      </c>
      <c r="H3319" s="6">
        <v>3.2656</v>
      </c>
      <c r="I3319" s="6">
        <v>2.6693</v>
      </c>
      <c r="J3319" s="6">
        <v>0.5962</v>
      </c>
    </row>
    <row r="3320">
      <c r="A3320" s="1" t="s">
        <v>24</v>
      </c>
      <c r="B3320" s="1" t="s">
        <v>1192</v>
      </c>
      <c r="C3320" s="1" t="s">
        <v>1211</v>
      </c>
      <c r="D3320" s="6">
        <v>19.0</v>
      </c>
      <c r="E3320" s="6">
        <v>38910.0</v>
      </c>
      <c r="F3320" s="6">
        <v>32168.0</v>
      </c>
      <c r="G3320" s="6">
        <v>12203.0</v>
      </c>
      <c r="H3320" s="6">
        <v>3.1886</v>
      </c>
      <c r="I3320" s="6">
        <v>2.6361</v>
      </c>
      <c r="J3320" s="6">
        <v>0.5525</v>
      </c>
    </row>
    <row r="3321">
      <c r="A3321" s="1" t="s">
        <v>24</v>
      </c>
      <c r="B3321" s="1" t="s">
        <v>1192</v>
      </c>
      <c r="C3321" s="1" t="s">
        <v>1211</v>
      </c>
      <c r="D3321" s="6">
        <v>20.0</v>
      </c>
      <c r="E3321" s="6">
        <v>75340.0</v>
      </c>
      <c r="F3321" s="6">
        <v>56747.0</v>
      </c>
      <c r="G3321" s="6">
        <v>12203.0</v>
      </c>
      <c r="H3321" s="6">
        <v>6.1739</v>
      </c>
      <c r="I3321" s="6">
        <v>4.6502</v>
      </c>
      <c r="J3321" s="6">
        <v>1.5236</v>
      </c>
    </row>
    <row r="3322">
      <c r="A3322" s="1" t="s">
        <v>24</v>
      </c>
      <c r="B3322" s="1" t="s">
        <v>1192</v>
      </c>
      <c r="C3322" s="1" t="s">
        <v>1211</v>
      </c>
      <c r="D3322" s="6">
        <v>21.0</v>
      </c>
      <c r="E3322" s="6">
        <v>130860.0</v>
      </c>
      <c r="F3322" s="6">
        <v>73355.0</v>
      </c>
      <c r="G3322" s="6">
        <v>12203.0</v>
      </c>
      <c r="H3322" s="6">
        <v>10.7236</v>
      </c>
      <c r="I3322" s="6">
        <v>6.0112</v>
      </c>
      <c r="J3322" s="6">
        <v>4.7124</v>
      </c>
    </row>
    <row r="3323">
      <c r="A3323" s="1" t="s">
        <v>24</v>
      </c>
      <c r="B3323" s="1" t="s">
        <v>1192</v>
      </c>
      <c r="C3323" s="1" t="s">
        <v>1211</v>
      </c>
      <c r="D3323" s="6">
        <v>22.0</v>
      </c>
      <c r="E3323" s="6">
        <v>90400.0</v>
      </c>
      <c r="F3323" s="6">
        <v>58190.0</v>
      </c>
      <c r="G3323" s="6">
        <v>12203.0</v>
      </c>
      <c r="H3323" s="6">
        <v>7.408</v>
      </c>
      <c r="I3323" s="6">
        <v>4.7685</v>
      </c>
      <c r="J3323" s="6">
        <v>2.6395</v>
      </c>
    </row>
    <row r="3324">
      <c r="A3324" s="1" t="s">
        <v>24</v>
      </c>
      <c r="B3324" s="1" t="s">
        <v>1192</v>
      </c>
      <c r="C3324" s="1" t="s">
        <v>1211</v>
      </c>
      <c r="D3324" s="6">
        <v>23.0</v>
      </c>
      <c r="E3324" s="6">
        <v>60385.0</v>
      </c>
      <c r="F3324" s="6">
        <v>42468.0</v>
      </c>
      <c r="G3324" s="6">
        <v>12203.0</v>
      </c>
      <c r="H3324" s="6">
        <v>4.9484</v>
      </c>
      <c r="I3324" s="6">
        <v>3.4801</v>
      </c>
      <c r="J3324" s="6">
        <v>1.4682</v>
      </c>
    </row>
    <row r="3325">
      <c r="A3325" s="1" t="s">
        <v>24</v>
      </c>
      <c r="B3325" s="1" t="s">
        <v>1192</v>
      </c>
      <c r="C3325" s="1" t="s">
        <v>1211</v>
      </c>
      <c r="D3325" s="6">
        <v>24.0</v>
      </c>
      <c r="E3325" s="6">
        <v>59055.0</v>
      </c>
      <c r="F3325" s="6">
        <v>41058.0</v>
      </c>
      <c r="G3325" s="6">
        <v>12203.0</v>
      </c>
      <c r="H3325" s="6">
        <v>4.8394</v>
      </c>
      <c r="I3325" s="6">
        <v>3.3646</v>
      </c>
      <c r="J3325" s="6">
        <v>1.4748</v>
      </c>
    </row>
    <row r="3326">
      <c r="A3326" s="1" t="s">
        <v>24</v>
      </c>
      <c r="B3326" s="1" t="s">
        <v>1192</v>
      </c>
      <c r="C3326" s="1" t="s">
        <v>1211</v>
      </c>
      <c r="D3326" s="6">
        <v>25.0</v>
      </c>
      <c r="E3326" s="6">
        <v>54845.0</v>
      </c>
      <c r="F3326" s="6">
        <v>40804.0</v>
      </c>
      <c r="G3326" s="6">
        <v>12203.0</v>
      </c>
      <c r="H3326" s="6">
        <v>4.4944</v>
      </c>
      <c r="I3326" s="6">
        <v>3.3438</v>
      </c>
      <c r="J3326" s="6">
        <v>1.1506</v>
      </c>
    </row>
    <row r="3327">
      <c r="A3327" s="1" t="s">
        <v>24</v>
      </c>
      <c r="B3327" s="1" t="s">
        <v>1192</v>
      </c>
      <c r="C3327" s="1" t="s">
        <v>1211</v>
      </c>
      <c r="D3327" s="6">
        <v>26.0</v>
      </c>
      <c r="E3327" s="6">
        <v>44200.0</v>
      </c>
      <c r="F3327" s="6">
        <v>36563.0</v>
      </c>
      <c r="G3327" s="6">
        <v>12203.0</v>
      </c>
      <c r="H3327" s="6">
        <v>3.6221</v>
      </c>
      <c r="I3327" s="6">
        <v>2.9962</v>
      </c>
      <c r="J3327" s="6">
        <v>0.6258</v>
      </c>
    </row>
    <row r="3328">
      <c r="A3328" s="1" t="s">
        <v>24</v>
      </c>
      <c r="B3328" s="1" t="s">
        <v>1192</v>
      </c>
      <c r="C3328" s="1" t="s">
        <v>1211</v>
      </c>
      <c r="D3328" s="6">
        <v>27.0</v>
      </c>
      <c r="E3328" s="6">
        <v>52175.0</v>
      </c>
      <c r="F3328" s="6">
        <v>41986.0</v>
      </c>
      <c r="G3328" s="6">
        <v>12203.0</v>
      </c>
      <c r="H3328" s="6">
        <v>4.2756</v>
      </c>
      <c r="I3328" s="6">
        <v>3.4406</v>
      </c>
      <c r="J3328" s="6">
        <v>0.835</v>
      </c>
    </row>
    <row r="3329">
      <c r="A3329" s="1" t="s">
        <v>24</v>
      </c>
      <c r="B3329" s="1" t="s">
        <v>1192</v>
      </c>
      <c r="C3329" s="1" t="s">
        <v>1211</v>
      </c>
      <c r="D3329" s="6">
        <v>28.0</v>
      </c>
      <c r="E3329" s="6">
        <v>41845.0</v>
      </c>
      <c r="F3329" s="6">
        <v>34611.0</v>
      </c>
      <c r="G3329" s="6">
        <v>12203.0</v>
      </c>
      <c r="H3329" s="6">
        <v>3.4291</v>
      </c>
      <c r="I3329" s="6">
        <v>2.8363</v>
      </c>
      <c r="J3329" s="6">
        <v>0.5928</v>
      </c>
    </row>
    <row r="3330">
      <c r="A3330" s="1" t="s">
        <v>24</v>
      </c>
      <c r="B3330" s="1" t="s">
        <v>1192</v>
      </c>
      <c r="C3330" s="1" t="s">
        <v>1211</v>
      </c>
      <c r="D3330" s="6">
        <v>29.0</v>
      </c>
      <c r="E3330" s="6">
        <v>34735.0</v>
      </c>
      <c r="F3330" s="6">
        <v>30169.0</v>
      </c>
      <c r="G3330" s="6">
        <v>12203.0</v>
      </c>
      <c r="H3330" s="6">
        <v>2.8464</v>
      </c>
      <c r="I3330" s="6">
        <v>2.4723</v>
      </c>
      <c r="J3330" s="6">
        <v>0.3742</v>
      </c>
    </row>
    <row r="3331">
      <c r="A3331" s="1" t="s">
        <v>24</v>
      </c>
      <c r="B3331" s="1" t="s">
        <v>1192</v>
      </c>
      <c r="C3331" s="1" t="s">
        <v>1211</v>
      </c>
      <c r="D3331" s="6">
        <v>30.0</v>
      </c>
      <c r="E3331" s="6">
        <v>41915.0</v>
      </c>
      <c r="F3331" s="6">
        <v>34872.0</v>
      </c>
      <c r="G3331" s="6">
        <v>12203.0</v>
      </c>
      <c r="H3331" s="6">
        <v>3.4348</v>
      </c>
      <c r="I3331" s="6">
        <v>2.8577</v>
      </c>
      <c r="J3331" s="6">
        <v>0.5772</v>
      </c>
    </row>
    <row r="3332">
      <c r="A3332" s="1" t="s">
        <v>24</v>
      </c>
      <c r="B3332" s="1" t="s">
        <v>1192</v>
      </c>
      <c r="C3332" s="1" t="s">
        <v>1211</v>
      </c>
      <c r="D3332" s="6">
        <v>31.0</v>
      </c>
      <c r="E3332" s="6">
        <v>40610.0</v>
      </c>
      <c r="F3332" s="6">
        <v>32343.0</v>
      </c>
      <c r="G3332" s="6">
        <v>12203.0</v>
      </c>
      <c r="H3332" s="6">
        <v>3.3279</v>
      </c>
      <c r="I3332" s="6">
        <v>2.6504</v>
      </c>
      <c r="J3332" s="6">
        <v>0.6775</v>
      </c>
    </row>
    <row r="3333">
      <c r="A3333" s="1" t="s">
        <v>24</v>
      </c>
      <c r="B3333" s="1" t="s">
        <v>1192</v>
      </c>
      <c r="C3333" s="1" t="s">
        <v>1211</v>
      </c>
      <c r="D3333" s="6">
        <v>32.0</v>
      </c>
      <c r="E3333" s="6">
        <v>46330.0</v>
      </c>
      <c r="F3333" s="6">
        <v>36012.0</v>
      </c>
      <c r="G3333" s="6">
        <v>12203.0</v>
      </c>
      <c r="H3333" s="6">
        <v>3.7966</v>
      </c>
      <c r="I3333" s="6">
        <v>2.9511</v>
      </c>
      <c r="J3333" s="6">
        <v>0.8455</v>
      </c>
    </row>
    <row r="3334">
      <c r="A3334" s="1" t="s">
        <v>24</v>
      </c>
      <c r="B3334" s="1" t="s">
        <v>1192</v>
      </c>
      <c r="C3334" s="1" t="s">
        <v>1211</v>
      </c>
      <c r="D3334" s="6">
        <v>33.0</v>
      </c>
      <c r="E3334" s="6">
        <v>44145.0</v>
      </c>
      <c r="F3334" s="6">
        <v>33469.0</v>
      </c>
      <c r="G3334" s="6">
        <v>12203.0</v>
      </c>
      <c r="H3334" s="6">
        <v>3.6176</v>
      </c>
      <c r="I3334" s="6">
        <v>2.7427</v>
      </c>
      <c r="J3334" s="6">
        <v>0.8749</v>
      </c>
    </row>
    <row r="3335">
      <c r="A3335" s="1" t="s">
        <v>24</v>
      </c>
      <c r="B3335" s="1" t="s">
        <v>1192</v>
      </c>
      <c r="C3335" s="1" t="s">
        <v>55</v>
      </c>
      <c r="D3335" s="6">
        <v>1.0</v>
      </c>
      <c r="E3335" s="6">
        <v>906960.0</v>
      </c>
      <c r="F3335" s="6">
        <v>0.0</v>
      </c>
      <c r="G3335" s="6">
        <v>12635.0</v>
      </c>
      <c r="H3335" s="6">
        <v>71.7816</v>
      </c>
      <c r="I3335" s="6">
        <v>0.0</v>
      </c>
      <c r="J3335" s="6">
        <v>71.7816</v>
      </c>
    </row>
    <row r="3336">
      <c r="A3336" s="1" t="s">
        <v>24</v>
      </c>
      <c r="B3336" s="1" t="s">
        <v>1192</v>
      </c>
      <c r="C3336" s="1" t="s">
        <v>55</v>
      </c>
      <c r="D3336" s="6">
        <v>2.0</v>
      </c>
      <c r="E3336" s="6">
        <v>723604.0</v>
      </c>
      <c r="F3336" s="6">
        <v>0.0</v>
      </c>
      <c r="G3336" s="6">
        <v>12635.0</v>
      </c>
      <c r="H3336" s="6">
        <v>57.2698</v>
      </c>
      <c r="I3336" s="6">
        <v>0.0</v>
      </c>
      <c r="J3336" s="6">
        <v>57.2698</v>
      </c>
    </row>
    <row r="3337">
      <c r="A3337" s="1" t="s">
        <v>24</v>
      </c>
      <c r="B3337" s="1" t="s">
        <v>1192</v>
      </c>
      <c r="C3337" s="1" t="s">
        <v>55</v>
      </c>
      <c r="D3337" s="6">
        <v>3.0</v>
      </c>
      <c r="E3337" s="6">
        <v>894635.0</v>
      </c>
      <c r="F3337" s="6">
        <v>0.0</v>
      </c>
      <c r="G3337" s="6">
        <v>12635.0</v>
      </c>
      <c r="H3337" s="6">
        <v>70.8061</v>
      </c>
      <c r="I3337" s="6">
        <v>0.0</v>
      </c>
      <c r="J3337" s="6">
        <v>70.8061</v>
      </c>
    </row>
    <row r="3338">
      <c r="A3338" s="1" t="s">
        <v>24</v>
      </c>
      <c r="B3338" s="1" t="s">
        <v>1192</v>
      </c>
      <c r="C3338" s="1" t="s">
        <v>55</v>
      </c>
      <c r="D3338" s="6">
        <v>4.0</v>
      </c>
      <c r="E3338" s="6">
        <v>718950.0</v>
      </c>
      <c r="F3338" s="6">
        <v>0.0</v>
      </c>
      <c r="G3338" s="6">
        <v>12635.0</v>
      </c>
      <c r="H3338" s="6">
        <v>56.9015</v>
      </c>
      <c r="I3338" s="6">
        <v>0.0</v>
      </c>
      <c r="J3338" s="6">
        <v>56.9015</v>
      </c>
    </row>
    <row r="3339">
      <c r="A3339" s="1" t="s">
        <v>24</v>
      </c>
      <c r="B3339" s="1" t="s">
        <v>1192</v>
      </c>
      <c r="C3339" s="1" t="s">
        <v>55</v>
      </c>
      <c r="D3339" s="6">
        <v>5.0</v>
      </c>
      <c r="E3339" s="6">
        <v>869149.0</v>
      </c>
      <c r="F3339" s="6">
        <v>0.0</v>
      </c>
      <c r="G3339" s="6">
        <v>12635.0</v>
      </c>
      <c r="H3339" s="6">
        <v>68.789</v>
      </c>
      <c r="I3339" s="6">
        <v>0.0</v>
      </c>
      <c r="J3339" s="6">
        <v>68.789</v>
      </c>
    </row>
    <row r="3340">
      <c r="A3340" s="1" t="s">
        <v>24</v>
      </c>
      <c r="B3340" s="1" t="s">
        <v>1192</v>
      </c>
      <c r="C3340" s="1" t="s">
        <v>55</v>
      </c>
      <c r="D3340" s="6">
        <v>6.0</v>
      </c>
      <c r="E3340" s="6">
        <v>967391.0</v>
      </c>
      <c r="F3340" s="6">
        <v>0.0</v>
      </c>
      <c r="G3340" s="6">
        <v>12635.0</v>
      </c>
      <c r="H3340" s="6">
        <v>76.5644</v>
      </c>
      <c r="I3340" s="6">
        <v>0.0</v>
      </c>
      <c r="J3340" s="6">
        <v>76.5644</v>
      </c>
    </row>
    <row r="3341">
      <c r="A3341" s="1" t="s">
        <v>24</v>
      </c>
      <c r="B3341" s="1" t="s">
        <v>1192</v>
      </c>
      <c r="C3341" s="1" t="s">
        <v>55</v>
      </c>
      <c r="D3341" s="6">
        <v>7.0</v>
      </c>
      <c r="E3341" s="6">
        <v>693851.0</v>
      </c>
      <c r="F3341" s="6">
        <v>0.0</v>
      </c>
      <c r="G3341" s="6">
        <v>12635.0</v>
      </c>
      <c r="H3341" s="6">
        <v>54.915</v>
      </c>
      <c r="I3341" s="6">
        <v>0.0</v>
      </c>
      <c r="J3341" s="6">
        <v>54.915</v>
      </c>
    </row>
    <row r="3342">
      <c r="A3342" s="1" t="s">
        <v>24</v>
      </c>
      <c r="B3342" s="1" t="s">
        <v>1192</v>
      </c>
      <c r="C3342" s="1" t="s">
        <v>55</v>
      </c>
      <c r="D3342" s="6">
        <v>8.0</v>
      </c>
      <c r="E3342" s="6">
        <v>887165.0</v>
      </c>
      <c r="F3342" s="6">
        <v>0.0</v>
      </c>
      <c r="G3342" s="6">
        <v>12635.0</v>
      </c>
      <c r="H3342" s="6">
        <v>70.2149</v>
      </c>
      <c r="I3342" s="6">
        <v>0.0</v>
      </c>
      <c r="J3342" s="6">
        <v>70.2149</v>
      </c>
    </row>
    <row r="3343">
      <c r="A3343" s="1" t="s">
        <v>24</v>
      </c>
      <c r="B3343" s="1" t="s">
        <v>1192</v>
      </c>
      <c r="C3343" s="1" t="s">
        <v>55</v>
      </c>
      <c r="D3343" s="6">
        <v>9.0</v>
      </c>
      <c r="E3343" s="6">
        <v>704777.0</v>
      </c>
      <c r="F3343" s="6">
        <v>0.0</v>
      </c>
      <c r="G3343" s="6">
        <v>12635.0</v>
      </c>
      <c r="H3343" s="6">
        <v>55.7797</v>
      </c>
      <c r="I3343" s="6">
        <v>0.0</v>
      </c>
      <c r="J3343" s="6">
        <v>55.7797</v>
      </c>
    </row>
    <row r="3344">
      <c r="A3344" s="1" t="s">
        <v>24</v>
      </c>
      <c r="B3344" s="1" t="s">
        <v>1192</v>
      </c>
      <c r="C3344" s="1" t="s">
        <v>55</v>
      </c>
      <c r="D3344" s="6">
        <v>10.0</v>
      </c>
      <c r="E3344" s="6">
        <v>967351.0</v>
      </c>
      <c r="F3344" s="6">
        <v>0.0</v>
      </c>
      <c r="G3344" s="6">
        <v>12635.0</v>
      </c>
      <c r="H3344" s="6">
        <v>76.5612</v>
      </c>
      <c r="I3344" s="6">
        <v>0.0</v>
      </c>
      <c r="J3344" s="6">
        <v>76.5612</v>
      </c>
    </row>
    <row r="3345">
      <c r="A3345" s="1" t="s">
        <v>24</v>
      </c>
      <c r="B3345" s="1" t="s">
        <v>1192</v>
      </c>
      <c r="C3345" s="1" t="s">
        <v>55</v>
      </c>
      <c r="D3345" s="6">
        <v>11.0</v>
      </c>
      <c r="E3345" s="6">
        <v>735372.0</v>
      </c>
      <c r="F3345" s="6">
        <v>0.0</v>
      </c>
      <c r="G3345" s="6">
        <v>12635.0</v>
      </c>
      <c r="H3345" s="6">
        <v>58.2012</v>
      </c>
      <c r="I3345" s="6">
        <v>0.0</v>
      </c>
      <c r="J3345" s="6">
        <v>58.2012</v>
      </c>
    </row>
    <row r="3346">
      <c r="A3346" s="1" t="s">
        <v>24</v>
      </c>
      <c r="B3346" s="1" t="s">
        <v>1192</v>
      </c>
      <c r="C3346" s="1" t="s">
        <v>55</v>
      </c>
      <c r="D3346" s="6">
        <v>12.0</v>
      </c>
      <c r="E3346" s="6">
        <v>902222.0</v>
      </c>
      <c r="F3346" s="6">
        <v>54.0</v>
      </c>
      <c r="G3346" s="6">
        <v>12635.0</v>
      </c>
      <c r="H3346" s="6">
        <v>71.4066</v>
      </c>
      <c r="I3346" s="6">
        <v>0.0043</v>
      </c>
      <c r="J3346" s="6">
        <v>71.4023</v>
      </c>
    </row>
    <row r="3347">
      <c r="A3347" s="1" t="s">
        <v>24</v>
      </c>
      <c r="B3347" s="1" t="s">
        <v>1192</v>
      </c>
      <c r="C3347" s="1" t="s">
        <v>55</v>
      </c>
      <c r="D3347" s="6">
        <v>13.0</v>
      </c>
      <c r="E3347" s="6">
        <v>1021942.0</v>
      </c>
      <c r="F3347" s="6">
        <v>0.0</v>
      </c>
      <c r="G3347" s="6">
        <v>12635.0</v>
      </c>
      <c r="H3347" s="6">
        <v>80.8818</v>
      </c>
      <c r="I3347" s="6">
        <v>0.0</v>
      </c>
      <c r="J3347" s="6">
        <v>80.8818</v>
      </c>
    </row>
    <row r="3348">
      <c r="A3348" s="1" t="s">
        <v>24</v>
      </c>
      <c r="B3348" s="1" t="s">
        <v>1192</v>
      </c>
      <c r="C3348" s="1" t="s">
        <v>55</v>
      </c>
      <c r="D3348" s="6">
        <v>14.0</v>
      </c>
      <c r="E3348" s="6">
        <v>743980.0</v>
      </c>
      <c r="F3348" s="6">
        <v>0.0</v>
      </c>
      <c r="G3348" s="6">
        <v>12635.0</v>
      </c>
      <c r="H3348" s="6">
        <v>58.8825</v>
      </c>
      <c r="I3348" s="6">
        <v>0.0</v>
      </c>
      <c r="J3348" s="6">
        <v>58.8825</v>
      </c>
    </row>
    <row r="3349">
      <c r="A3349" s="1" t="s">
        <v>24</v>
      </c>
      <c r="B3349" s="1" t="s">
        <v>1192</v>
      </c>
      <c r="C3349" s="1" t="s">
        <v>55</v>
      </c>
      <c r="D3349" s="6">
        <v>15.0</v>
      </c>
      <c r="E3349" s="6">
        <v>978977.0</v>
      </c>
      <c r="F3349" s="6">
        <v>0.0</v>
      </c>
      <c r="G3349" s="6">
        <v>12635.0</v>
      </c>
      <c r="H3349" s="6">
        <v>77.4814</v>
      </c>
      <c r="I3349" s="6">
        <v>0.0</v>
      </c>
      <c r="J3349" s="6">
        <v>77.4814</v>
      </c>
    </row>
    <row r="3350">
      <c r="A3350" s="1" t="s">
        <v>24</v>
      </c>
      <c r="B3350" s="1" t="s">
        <v>1192</v>
      </c>
      <c r="C3350" s="1" t="s">
        <v>55</v>
      </c>
      <c r="D3350" s="6">
        <v>16.0</v>
      </c>
      <c r="E3350" s="6">
        <v>734260.0</v>
      </c>
      <c r="F3350" s="6">
        <v>157.0</v>
      </c>
      <c r="G3350" s="6">
        <v>12635.0</v>
      </c>
      <c r="H3350" s="6">
        <v>58.1132</v>
      </c>
      <c r="I3350" s="6">
        <v>0.0124</v>
      </c>
      <c r="J3350" s="6">
        <v>58.1008</v>
      </c>
    </row>
    <row r="3351">
      <c r="A3351" s="1" t="s">
        <v>24</v>
      </c>
      <c r="B3351" s="1" t="s">
        <v>1192</v>
      </c>
      <c r="C3351" s="1" t="s">
        <v>55</v>
      </c>
      <c r="D3351" s="6">
        <v>17.0</v>
      </c>
      <c r="E3351" s="6">
        <v>1008558.0</v>
      </c>
      <c r="F3351" s="6">
        <v>83.0</v>
      </c>
      <c r="G3351" s="6">
        <v>12635.0</v>
      </c>
      <c r="H3351" s="6">
        <v>79.8226</v>
      </c>
      <c r="I3351" s="6">
        <v>0.0066</v>
      </c>
      <c r="J3351" s="6">
        <v>79.816</v>
      </c>
    </row>
    <row r="3352">
      <c r="A3352" s="1" t="s">
        <v>24</v>
      </c>
      <c r="B3352" s="1" t="s">
        <v>1192</v>
      </c>
      <c r="C3352" s="1" t="s">
        <v>55</v>
      </c>
      <c r="D3352" s="6">
        <v>18.0</v>
      </c>
      <c r="E3352" s="6">
        <v>769131.0</v>
      </c>
      <c r="F3352" s="6">
        <v>118.0</v>
      </c>
      <c r="G3352" s="6">
        <v>12635.0</v>
      </c>
      <c r="H3352" s="6">
        <v>60.8731</v>
      </c>
      <c r="I3352" s="6">
        <v>0.0093</v>
      </c>
      <c r="J3352" s="6">
        <v>60.8637</v>
      </c>
    </row>
    <row r="3353">
      <c r="A3353" s="1" t="s">
        <v>24</v>
      </c>
      <c r="B3353" s="1" t="s">
        <v>1192</v>
      </c>
      <c r="C3353" s="1" t="s">
        <v>55</v>
      </c>
      <c r="D3353" s="6">
        <v>19.0</v>
      </c>
      <c r="E3353" s="6">
        <v>943481.0</v>
      </c>
      <c r="F3353" s="6">
        <v>0.0</v>
      </c>
      <c r="G3353" s="6">
        <v>12635.0</v>
      </c>
      <c r="H3353" s="6">
        <v>74.672</v>
      </c>
      <c r="I3353" s="6">
        <v>0.0</v>
      </c>
      <c r="J3353" s="6">
        <v>74.672</v>
      </c>
    </row>
    <row r="3354">
      <c r="A3354" s="1" t="s">
        <v>24</v>
      </c>
      <c r="B3354" s="1" t="s">
        <v>1192</v>
      </c>
      <c r="C3354" s="1" t="s">
        <v>55</v>
      </c>
      <c r="D3354" s="6">
        <v>20.0</v>
      </c>
      <c r="E3354" s="6">
        <v>1126074.0</v>
      </c>
      <c r="F3354" s="6">
        <v>30.0</v>
      </c>
      <c r="G3354" s="6">
        <v>12635.0</v>
      </c>
      <c r="H3354" s="6">
        <v>89.1234</v>
      </c>
      <c r="I3354" s="6">
        <v>0.0024</v>
      </c>
      <c r="J3354" s="6">
        <v>89.121</v>
      </c>
    </row>
    <row r="3355">
      <c r="A3355" s="1" t="s">
        <v>24</v>
      </c>
      <c r="B3355" s="1" t="s">
        <v>1192</v>
      </c>
      <c r="C3355" s="1" t="s">
        <v>55</v>
      </c>
      <c r="D3355" s="6">
        <v>21.0</v>
      </c>
      <c r="E3355" s="6">
        <v>1477444.0</v>
      </c>
      <c r="F3355" s="6">
        <v>0.0</v>
      </c>
      <c r="G3355" s="6">
        <v>12635.0</v>
      </c>
      <c r="H3355" s="6">
        <v>116.9326</v>
      </c>
      <c r="I3355" s="6">
        <v>0.0</v>
      </c>
      <c r="J3355" s="6">
        <v>116.9326</v>
      </c>
    </row>
    <row r="3356">
      <c r="A3356" s="1" t="s">
        <v>24</v>
      </c>
      <c r="B3356" s="1" t="s">
        <v>1192</v>
      </c>
      <c r="C3356" s="1" t="s">
        <v>55</v>
      </c>
      <c r="D3356" s="6">
        <v>22.0</v>
      </c>
      <c r="E3356" s="6">
        <v>1263105.0</v>
      </c>
      <c r="F3356" s="6">
        <v>0.0</v>
      </c>
      <c r="G3356" s="6">
        <v>12635.0</v>
      </c>
      <c r="H3356" s="6">
        <v>99.9687</v>
      </c>
      <c r="I3356" s="6">
        <v>0.0</v>
      </c>
      <c r="J3356" s="6">
        <v>99.9687</v>
      </c>
    </row>
    <row r="3357">
      <c r="A3357" s="1" t="s">
        <v>24</v>
      </c>
      <c r="B3357" s="1" t="s">
        <v>1192</v>
      </c>
      <c r="C3357" s="1" t="s">
        <v>55</v>
      </c>
      <c r="D3357" s="6">
        <v>23.0</v>
      </c>
      <c r="E3357" s="6">
        <v>1020433.0</v>
      </c>
      <c r="F3357" s="6">
        <v>0.0</v>
      </c>
      <c r="G3357" s="6">
        <v>12635.0</v>
      </c>
      <c r="H3357" s="6">
        <v>80.7624</v>
      </c>
      <c r="I3357" s="6">
        <v>0.0</v>
      </c>
      <c r="J3357" s="6">
        <v>80.7624</v>
      </c>
    </row>
    <row r="3358">
      <c r="A3358" s="1" t="s">
        <v>24</v>
      </c>
      <c r="B3358" s="1" t="s">
        <v>1192</v>
      </c>
      <c r="C3358" s="1" t="s">
        <v>55</v>
      </c>
      <c r="D3358" s="6">
        <v>24.0</v>
      </c>
      <c r="E3358" s="6">
        <v>1310514.0</v>
      </c>
      <c r="F3358" s="6">
        <v>0.0</v>
      </c>
      <c r="G3358" s="6">
        <v>12635.0</v>
      </c>
      <c r="H3358" s="6">
        <v>103.7209</v>
      </c>
      <c r="I3358" s="6">
        <v>0.0</v>
      </c>
      <c r="J3358" s="6">
        <v>103.7209</v>
      </c>
    </row>
    <row r="3359">
      <c r="A3359" s="1" t="s">
        <v>24</v>
      </c>
      <c r="B3359" s="1" t="s">
        <v>1192</v>
      </c>
      <c r="C3359" s="1" t="s">
        <v>55</v>
      </c>
      <c r="D3359" s="6">
        <v>25.0</v>
      </c>
      <c r="E3359" s="6">
        <v>1025371.0</v>
      </c>
      <c r="F3359" s="6">
        <v>0.0</v>
      </c>
      <c r="G3359" s="6">
        <v>12635.0</v>
      </c>
      <c r="H3359" s="6">
        <v>81.1532</v>
      </c>
      <c r="I3359" s="6">
        <v>0.0</v>
      </c>
      <c r="J3359" s="6">
        <v>81.1532</v>
      </c>
    </row>
    <row r="3360">
      <c r="A3360" s="1" t="s">
        <v>24</v>
      </c>
      <c r="B3360" s="1" t="s">
        <v>1192</v>
      </c>
      <c r="C3360" s="1" t="s">
        <v>55</v>
      </c>
      <c r="D3360" s="6">
        <v>26.0</v>
      </c>
      <c r="E3360" s="6">
        <v>1177045.0</v>
      </c>
      <c r="F3360" s="6">
        <v>0.0</v>
      </c>
      <c r="G3360" s="6">
        <v>12635.0</v>
      </c>
      <c r="H3360" s="6">
        <v>93.1575</v>
      </c>
      <c r="I3360" s="6">
        <v>0.0</v>
      </c>
      <c r="J3360" s="6">
        <v>93.1575</v>
      </c>
    </row>
    <row r="3361">
      <c r="A3361" s="1" t="s">
        <v>24</v>
      </c>
      <c r="B3361" s="1" t="s">
        <v>1192</v>
      </c>
      <c r="C3361" s="1" t="s">
        <v>55</v>
      </c>
      <c r="D3361" s="6">
        <v>27.0</v>
      </c>
      <c r="E3361" s="6">
        <v>1280301.0</v>
      </c>
      <c r="F3361" s="6">
        <v>0.0</v>
      </c>
      <c r="G3361" s="6">
        <v>12635.0</v>
      </c>
      <c r="H3361" s="6">
        <v>101.3297</v>
      </c>
      <c r="I3361" s="6">
        <v>0.0</v>
      </c>
      <c r="J3361" s="6">
        <v>101.3297</v>
      </c>
    </row>
    <row r="3362">
      <c r="A3362" s="1" t="s">
        <v>24</v>
      </c>
      <c r="B3362" s="1" t="s">
        <v>1192</v>
      </c>
      <c r="C3362" s="1" t="s">
        <v>55</v>
      </c>
      <c r="D3362" s="6">
        <v>28.0</v>
      </c>
      <c r="E3362" s="6">
        <v>946125.0</v>
      </c>
      <c r="F3362" s="6">
        <v>0.0</v>
      </c>
      <c r="G3362" s="6">
        <v>12635.0</v>
      </c>
      <c r="H3362" s="6">
        <v>74.8813</v>
      </c>
      <c r="I3362" s="6">
        <v>0.0</v>
      </c>
      <c r="J3362" s="6">
        <v>74.8813</v>
      </c>
    </row>
    <row r="3363">
      <c r="A3363" s="1" t="s">
        <v>24</v>
      </c>
      <c r="B3363" s="1" t="s">
        <v>1192</v>
      </c>
      <c r="C3363" s="1" t="s">
        <v>55</v>
      </c>
      <c r="D3363" s="6">
        <v>29.0</v>
      </c>
      <c r="E3363" s="6">
        <v>1202056.0</v>
      </c>
      <c r="F3363" s="6">
        <v>0.0</v>
      </c>
      <c r="G3363" s="6">
        <v>12635.0</v>
      </c>
      <c r="H3363" s="6">
        <v>95.137</v>
      </c>
      <c r="I3363" s="6">
        <v>0.0</v>
      </c>
      <c r="J3363" s="6">
        <v>95.137</v>
      </c>
    </row>
    <row r="3364">
      <c r="A3364" s="1" t="s">
        <v>24</v>
      </c>
      <c r="B3364" s="1" t="s">
        <v>1192</v>
      </c>
      <c r="C3364" s="1" t="s">
        <v>55</v>
      </c>
      <c r="D3364" s="6">
        <v>30.0</v>
      </c>
      <c r="E3364" s="6">
        <v>880930.0</v>
      </c>
      <c r="F3364" s="6">
        <v>0.0</v>
      </c>
      <c r="G3364" s="6">
        <v>12635.0</v>
      </c>
      <c r="H3364" s="6">
        <v>69.7214</v>
      </c>
      <c r="I3364" s="6">
        <v>0.0</v>
      </c>
      <c r="J3364" s="6">
        <v>69.7214</v>
      </c>
    </row>
    <row r="3365">
      <c r="A3365" s="1" t="s">
        <v>24</v>
      </c>
      <c r="B3365" s="1" t="s">
        <v>1192</v>
      </c>
      <c r="C3365" s="1" t="s">
        <v>55</v>
      </c>
      <c r="D3365" s="6">
        <v>31.0</v>
      </c>
      <c r="E3365" s="6">
        <v>1146602.0</v>
      </c>
      <c r="F3365" s="6">
        <v>0.0</v>
      </c>
      <c r="G3365" s="6">
        <v>12635.0</v>
      </c>
      <c r="H3365" s="6">
        <v>90.7481</v>
      </c>
      <c r="I3365" s="6">
        <v>0.0</v>
      </c>
      <c r="J3365" s="6">
        <v>90.7481</v>
      </c>
    </row>
    <row r="3366">
      <c r="A3366" s="1" t="s">
        <v>24</v>
      </c>
      <c r="B3366" s="1" t="s">
        <v>1192</v>
      </c>
      <c r="C3366" s="1" t="s">
        <v>55</v>
      </c>
      <c r="D3366" s="6">
        <v>32.0</v>
      </c>
      <c r="E3366" s="6">
        <v>867511.0</v>
      </c>
      <c r="F3366" s="6">
        <v>0.0</v>
      </c>
      <c r="G3366" s="6">
        <v>12635.0</v>
      </c>
      <c r="H3366" s="6">
        <v>68.6594</v>
      </c>
      <c r="I3366" s="6">
        <v>0.0</v>
      </c>
      <c r="J3366" s="6">
        <v>68.6594</v>
      </c>
    </row>
    <row r="3367">
      <c r="A3367" s="1" t="s">
        <v>24</v>
      </c>
      <c r="B3367" s="1" t="s">
        <v>1192</v>
      </c>
      <c r="C3367" s="1" t="s">
        <v>55</v>
      </c>
      <c r="D3367" s="6">
        <v>33.0</v>
      </c>
      <c r="E3367" s="6">
        <v>1033110.0</v>
      </c>
      <c r="F3367" s="6">
        <v>0.0</v>
      </c>
      <c r="G3367" s="6">
        <v>12635.0</v>
      </c>
      <c r="H3367" s="6">
        <v>81.7657</v>
      </c>
      <c r="I3367" s="6">
        <v>0.0</v>
      </c>
      <c r="J3367" s="6">
        <v>81.7657</v>
      </c>
    </row>
    <row r="3368">
      <c r="A3368" s="1" t="s">
        <v>24</v>
      </c>
      <c r="B3368" s="1" t="s">
        <v>1192</v>
      </c>
      <c r="C3368" s="1" t="s">
        <v>46</v>
      </c>
      <c r="D3368" s="6">
        <v>1.0</v>
      </c>
      <c r="E3368" s="6">
        <v>117734.0</v>
      </c>
      <c r="F3368" s="6">
        <v>0.0</v>
      </c>
      <c r="G3368" s="6">
        <v>12169.0</v>
      </c>
      <c r="H3368" s="6">
        <v>9.6749</v>
      </c>
      <c r="I3368" s="6">
        <v>0.0</v>
      </c>
      <c r="J3368" s="6">
        <v>9.6749</v>
      </c>
    </row>
    <row r="3369">
      <c r="A3369" s="1" t="s">
        <v>24</v>
      </c>
      <c r="B3369" s="1" t="s">
        <v>1192</v>
      </c>
      <c r="C3369" s="1" t="s">
        <v>46</v>
      </c>
      <c r="D3369" s="6">
        <v>2.0</v>
      </c>
      <c r="E3369" s="6">
        <v>471044.0</v>
      </c>
      <c r="F3369" s="6">
        <v>0.0</v>
      </c>
      <c r="G3369" s="6">
        <v>12169.0</v>
      </c>
      <c r="H3369" s="6">
        <v>38.7085</v>
      </c>
      <c r="I3369" s="6">
        <v>0.0</v>
      </c>
      <c r="J3369" s="6">
        <v>38.7085</v>
      </c>
    </row>
    <row r="3370">
      <c r="A3370" s="1" t="s">
        <v>24</v>
      </c>
      <c r="B3370" s="1" t="s">
        <v>1192</v>
      </c>
      <c r="C3370" s="1" t="s">
        <v>46</v>
      </c>
      <c r="D3370" s="6">
        <v>3.0</v>
      </c>
      <c r="E3370" s="6">
        <v>290356.0</v>
      </c>
      <c r="F3370" s="6">
        <v>0.0</v>
      </c>
      <c r="G3370" s="6">
        <v>12169.0</v>
      </c>
      <c r="H3370" s="6">
        <v>23.8603</v>
      </c>
      <c r="I3370" s="6">
        <v>0.0</v>
      </c>
      <c r="J3370" s="6">
        <v>23.8603</v>
      </c>
    </row>
    <row r="3371">
      <c r="A3371" s="1" t="s">
        <v>24</v>
      </c>
      <c r="B3371" s="1" t="s">
        <v>1192</v>
      </c>
      <c r="C3371" s="1" t="s">
        <v>46</v>
      </c>
      <c r="D3371" s="6">
        <v>4.0</v>
      </c>
      <c r="E3371" s="6">
        <v>252185.0</v>
      </c>
      <c r="F3371" s="6">
        <v>0.0</v>
      </c>
      <c r="G3371" s="6">
        <v>12169.0</v>
      </c>
      <c r="H3371" s="6">
        <v>20.7236</v>
      </c>
      <c r="I3371" s="6">
        <v>0.0</v>
      </c>
      <c r="J3371" s="6">
        <v>20.7236</v>
      </c>
    </row>
    <row r="3372">
      <c r="A3372" s="1" t="s">
        <v>24</v>
      </c>
      <c r="B3372" s="1" t="s">
        <v>1192</v>
      </c>
      <c r="C3372" s="1" t="s">
        <v>46</v>
      </c>
      <c r="D3372" s="6">
        <v>5.0</v>
      </c>
      <c r="E3372" s="6">
        <v>180835.0</v>
      </c>
      <c r="F3372" s="6">
        <v>0.0</v>
      </c>
      <c r="G3372" s="6">
        <v>12169.0</v>
      </c>
      <c r="H3372" s="6">
        <v>14.8603</v>
      </c>
      <c r="I3372" s="6">
        <v>0.0</v>
      </c>
      <c r="J3372" s="6">
        <v>14.8603</v>
      </c>
    </row>
    <row r="3373">
      <c r="A3373" s="1" t="s">
        <v>24</v>
      </c>
      <c r="B3373" s="1" t="s">
        <v>1192</v>
      </c>
      <c r="C3373" s="1" t="s">
        <v>46</v>
      </c>
      <c r="D3373" s="6">
        <v>6.0</v>
      </c>
      <c r="E3373" s="6">
        <v>150718.0</v>
      </c>
      <c r="F3373" s="6">
        <v>0.0</v>
      </c>
      <c r="G3373" s="6">
        <v>12169.0</v>
      </c>
      <c r="H3373" s="6">
        <v>12.3854</v>
      </c>
      <c r="I3373" s="6">
        <v>0.0</v>
      </c>
      <c r="J3373" s="6">
        <v>12.3854</v>
      </c>
    </row>
    <row r="3374">
      <c r="A3374" s="1" t="s">
        <v>24</v>
      </c>
      <c r="B3374" s="1" t="s">
        <v>1192</v>
      </c>
      <c r="C3374" s="1" t="s">
        <v>46</v>
      </c>
      <c r="D3374" s="6">
        <v>7.0</v>
      </c>
      <c r="E3374" s="6">
        <v>199819.0</v>
      </c>
      <c r="F3374" s="6">
        <v>0.0</v>
      </c>
      <c r="G3374" s="6">
        <v>12169.0</v>
      </c>
      <c r="H3374" s="6">
        <v>16.4203</v>
      </c>
      <c r="I3374" s="6">
        <v>0.0</v>
      </c>
      <c r="J3374" s="6">
        <v>16.4203</v>
      </c>
    </row>
    <row r="3375">
      <c r="A3375" s="1" t="s">
        <v>24</v>
      </c>
      <c r="B3375" s="1" t="s">
        <v>1192</v>
      </c>
      <c r="C3375" s="1" t="s">
        <v>46</v>
      </c>
      <c r="D3375" s="6">
        <v>8.0</v>
      </c>
      <c r="E3375" s="6">
        <v>130614.0</v>
      </c>
      <c r="F3375" s="6">
        <v>0.0</v>
      </c>
      <c r="G3375" s="6">
        <v>12169.0</v>
      </c>
      <c r="H3375" s="6">
        <v>10.7333</v>
      </c>
      <c r="I3375" s="6">
        <v>0.0</v>
      </c>
      <c r="J3375" s="6">
        <v>10.7333</v>
      </c>
    </row>
    <row r="3376">
      <c r="A3376" s="1" t="s">
        <v>24</v>
      </c>
      <c r="B3376" s="1" t="s">
        <v>1192</v>
      </c>
      <c r="C3376" s="1" t="s">
        <v>46</v>
      </c>
      <c r="D3376" s="6">
        <v>9.0</v>
      </c>
      <c r="E3376" s="6">
        <v>179591.0</v>
      </c>
      <c r="F3376" s="6">
        <v>0.0</v>
      </c>
      <c r="G3376" s="6">
        <v>12169.0</v>
      </c>
      <c r="H3376" s="6">
        <v>14.7581</v>
      </c>
      <c r="I3376" s="6">
        <v>0.0</v>
      </c>
      <c r="J3376" s="6">
        <v>14.7581</v>
      </c>
    </row>
    <row r="3377">
      <c r="A3377" s="1" t="s">
        <v>24</v>
      </c>
      <c r="B3377" s="1" t="s">
        <v>1192</v>
      </c>
      <c r="C3377" s="1" t="s">
        <v>46</v>
      </c>
      <c r="D3377" s="6">
        <v>10.0</v>
      </c>
      <c r="E3377" s="6">
        <v>273764.0</v>
      </c>
      <c r="F3377" s="6">
        <v>0.0</v>
      </c>
      <c r="G3377" s="6">
        <v>12169.0</v>
      </c>
      <c r="H3377" s="6">
        <v>22.4968</v>
      </c>
      <c r="I3377" s="6">
        <v>0.0</v>
      </c>
      <c r="J3377" s="6">
        <v>22.4968</v>
      </c>
    </row>
    <row r="3378">
      <c r="A3378" s="1" t="s">
        <v>24</v>
      </c>
      <c r="B3378" s="1" t="s">
        <v>1192</v>
      </c>
      <c r="C3378" s="1" t="s">
        <v>46</v>
      </c>
      <c r="D3378" s="6">
        <v>11.0</v>
      </c>
      <c r="E3378" s="6">
        <v>234274.0</v>
      </c>
      <c r="F3378" s="6">
        <v>0.0</v>
      </c>
      <c r="G3378" s="6">
        <v>12169.0</v>
      </c>
      <c r="H3378" s="6">
        <v>19.2517</v>
      </c>
      <c r="I3378" s="6">
        <v>0.0</v>
      </c>
      <c r="J3378" s="6">
        <v>19.2517</v>
      </c>
    </row>
    <row r="3379">
      <c r="A3379" s="1" t="s">
        <v>24</v>
      </c>
      <c r="B3379" s="1" t="s">
        <v>1192</v>
      </c>
      <c r="C3379" s="1" t="s">
        <v>46</v>
      </c>
      <c r="D3379" s="6">
        <v>12.0</v>
      </c>
      <c r="E3379" s="6">
        <v>167054.0</v>
      </c>
      <c r="F3379" s="6">
        <v>0.0</v>
      </c>
      <c r="G3379" s="6">
        <v>12169.0</v>
      </c>
      <c r="H3379" s="6">
        <v>13.7278</v>
      </c>
      <c r="I3379" s="6">
        <v>0.0</v>
      </c>
      <c r="J3379" s="6">
        <v>13.7278</v>
      </c>
    </row>
    <row r="3380">
      <c r="A3380" s="1" t="s">
        <v>24</v>
      </c>
      <c r="B3380" s="1" t="s">
        <v>1192</v>
      </c>
      <c r="C3380" s="1" t="s">
        <v>46</v>
      </c>
      <c r="D3380" s="6">
        <v>13.0</v>
      </c>
      <c r="E3380" s="6">
        <v>138477.0</v>
      </c>
      <c r="F3380" s="6">
        <v>0.0</v>
      </c>
      <c r="G3380" s="6">
        <v>12169.0</v>
      </c>
      <c r="H3380" s="6">
        <v>11.3795</v>
      </c>
      <c r="I3380" s="6">
        <v>0.0</v>
      </c>
      <c r="J3380" s="6">
        <v>11.3795</v>
      </c>
    </row>
    <row r="3381">
      <c r="A3381" s="1" t="s">
        <v>24</v>
      </c>
      <c r="B3381" s="1" t="s">
        <v>1192</v>
      </c>
      <c r="C3381" s="1" t="s">
        <v>46</v>
      </c>
      <c r="D3381" s="6">
        <v>14.0</v>
      </c>
      <c r="E3381" s="6">
        <v>202585.0</v>
      </c>
      <c r="F3381" s="6">
        <v>0.0</v>
      </c>
      <c r="G3381" s="6">
        <v>12169.0</v>
      </c>
      <c r="H3381" s="6">
        <v>16.6476</v>
      </c>
      <c r="I3381" s="6">
        <v>0.0</v>
      </c>
      <c r="J3381" s="6">
        <v>16.6476</v>
      </c>
    </row>
    <row r="3382">
      <c r="A3382" s="1" t="s">
        <v>24</v>
      </c>
      <c r="B3382" s="1" t="s">
        <v>1192</v>
      </c>
      <c r="C3382" s="1" t="s">
        <v>46</v>
      </c>
      <c r="D3382" s="6">
        <v>15.0</v>
      </c>
      <c r="E3382" s="6">
        <v>125792.0</v>
      </c>
      <c r="F3382" s="6">
        <v>0.0</v>
      </c>
      <c r="G3382" s="6">
        <v>12169.0</v>
      </c>
      <c r="H3382" s="6">
        <v>10.3371</v>
      </c>
      <c r="I3382" s="6">
        <v>0.0</v>
      </c>
      <c r="J3382" s="6">
        <v>10.3371</v>
      </c>
    </row>
    <row r="3383">
      <c r="A3383" s="1" t="s">
        <v>24</v>
      </c>
      <c r="B3383" s="1" t="s">
        <v>1192</v>
      </c>
      <c r="C3383" s="1" t="s">
        <v>46</v>
      </c>
      <c r="D3383" s="6">
        <v>16.0</v>
      </c>
      <c r="E3383" s="6">
        <v>513855.0</v>
      </c>
      <c r="F3383" s="6">
        <v>0.0</v>
      </c>
      <c r="G3383" s="6">
        <v>12169.0</v>
      </c>
      <c r="H3383" s="6">
        <v>42.2266</v>
      </c>
      <c r="I3383" s="6">
        <v>0.0</v>
      </c>
      <c r="J3383" s="6">
        <v>42.2266</v>
      </c>
    </row>
    <row r="3384">
      <c r="A3384" s="1" t="s">
        <v>24</v>
      </c>
      <c r="B3384" s="1" t="s">
        <v>1192</v>
      </c>
      <c r="C3384" s="1" t="s">
        <v>46</v>
      </c>
      <c r="D3384" s="6">
        <v>17.0</v>
      </c>
      <c r="E3384" s="6">
        <v>328511.0</v>
      </c>
      <c r="F3384" s="6">
        <v>0.0</v>
      </c>
      <c r="G3384" s="6">
        <v>12169.0</v>
      </c>
      <c r="H3384" s="6">
        <v>26.9957</v>
      </c>
      <c r="I3384" s="6">
        <v>0.0</v>
      </c>
      <c r="J3384" s="6">
        <v>26.9957</v>
      </c>
    </row>
    <row r="3385">
      <c r="A3385" s="1" t="s">
        <v>24</v>
      </c>
      <c r="B3385" s="1" t="s">
        <v>1192</v>
      </c>
      <c r="C3385" s="1" t="s">
        <v>46</v>
      </c>
      <c r="D3385" s="6">
        <v>18.0</v>
      </c>
      <c r="E3385" s="6">
        <v>271118.0</v>
      </c>
      <c r="F3385" s="6">
        <v>0.0</v>
      </c>
      <c r="G3385" s="6">
        <v>12169.0</v>
      </c>
      <c r="H3385" s="6">
        <v>22.2794</v>
      </c>
      <c r="I3385" s="6">
        <v>0.0</v>
      </c>
      <c r="J3385" s="6">
        <v>22.2794</v>
      </c>
    </row>
    <row r="3386">
      <c r="A3386" s="1" t="s">
        <v>24</v>
      </c>
      <c r="B3386" s="1" t="s">
        <v>1192</v>
      </c>
      <c r="C3386" s="1" t="s">
        <v>46</v>
      </c>
      <c r="D3386" s="6">
        <v>19.0</v>
      </c>
      <c r="E3386" s="6">
        <v>181970.0</v>
      </c>
      <c r="F3386" s="6">
        <v>0.0</v>
      </c>
      <c r="G3386" s="6">
        <v>12169.0</v>
      </c>
      <c r="H3386" s="6">
        <v>14.9536</v>
      </c>
      <c r="I3386" s="6">
        <v>0.0</v>
      </c>
      <c r="J3386" s="6">
        <v>14.9536</v>
      </c>
    </row>
    <row r="3387">
      <c r="A3387" s="1" t="s">
        <v>24</v>
      </c>
      <c r="B3387" s="1" t="s">
        <v>1192</v>
      </c>
      <c r="C3387" s="1" t="s">
        <v>46</v>
      </c>
      <c r="D3387" s="6">
        <v>20.0</v>
      </c>
      <c r="E3387" s="6">
        <v>161952.0</v>
      </c>
      <c r="F3387" s="6">
        <v>0.0</v>
      </c>
      <c r="G3387" s="6">
        <v>12169.0</v>
      </c>
      <c r="H3387" s="6">
        <v>13.3086</v>
      </c>
      <c r="I3387" s="6">
        <v>0.0</v>
      </c>
      <c r="J3387" s="6">
        <v>13.3086</v>
      </c>
    </row>
    <row r="3388">
      <c r="A3388" s="1" t="s">
        <v>24</v>
      </c>
      <c r="B3388" s="1" t="s">
        <v>1192</v>
      </c>
      <c r="C3388" s="1" t="s">
        <v>46</v>
      </c>
      <c r="D3388" s="6">
        <v>21.0</v>
      </c>
      <c r="E3388" s="6">
        <v>200458.0</v>
      </c>
      <c r="F3388" s="6">
        <v>0.0</v>
      </c>
      <c r="G3388" s="6">
        <v>12169.0</v>
      </c>
      <c r="H3388" s="6">
        <v>16.4728</v>
      </c>
      <c r="I3388" s="6">
        <v>0.0</v>
      </c>
      <c r="J3388" s="6">
        <v>16.4728</v>
      </c>
    </row>
    <row r="3389">
      <c r="A3389" s="1" t="s">
        <v>24</v>
      </c>
      <c r="B3389" s="1" t="s">
        <v>1192</v>
      </c>
      <c r="C3389" s="1" t="s">
        <v>46</v>
      </c>
      <c r="D3389" s="6">
        <v>22.0</v>
      </c>
      <c r="E3389" s="6">
        <v>122726.0</v>
      </c>
      <c r="F3389" s="6">
        <v>0.0</v>
      </c>
      <c r="G3389" s="6">
        <v>12169.0</v>
      </c>
      <c r="H3389" s="6">
        <v>10.0851</v>
      </c>
      <c r="I3389" s="6">
        <v>0.0</v>
      </c>
      <c r="J3389" s="6">
        <v>10.0851</v>
      </c>
    </row>
    <row r="3390">
      <c r="A3390" s="1" t="s">
        <v>24</v>
      </c>
      <c r="B3390" s="1" t="s">
        <v>1192</v>
      </c>
      <c r="C3390" s="1" t="s">
        <v>46</v>
      </c>
      <c r="D3390" s="6">
        <v>23.0</v>
      </c>
      <c r="E3390" s="6">
        <v>174303.0</v>
      </c>
      <c r="F3390" s="6">
        <v>0.0</v>
      </c>
      <c r="G3390" s="6">
        <v>12169.0</v>
      </c>
      <c r="H3390" s="6">
        <v>14.3235</v>
      </c>
      <c r="I3390" s="6">
        <v>0.0</v>
      </c>
      <c r="J3390" s="6">
        <v>14.3235</v>
      </c>
    </row>
    <row r="3391">
      <c r="A3391" s="1" t="s">
        <v>24</v>
      </c>
      <c r="B3391" s="1" t="s">
        <v>1192</v>
      </c>
      <c r="C3391" s="1" t="s">
        <v>46</v>
      </c>
      <c r="D3391" s="6">
        <v>24.0</v>
      </c>
      <c r="E3391" s="6">
        <v>276584.0</v>
      </c>
      <c r="F3391" s="6">
        <v>0.0</v>
      </c>
      <c r="G3391" s="6">
        <v>12169.0</v>
      </c>
      <c r="H3391" s="6">
        <v>22.7286</v>
      </c>
      <c r="I3391" s="6">
        <v>0.0</v>
      </c>
      <c r="J3391" s="6">
        <v>22.7286</v>
      </c>
    </row>
    <row r="3392">
      <c r="A3392" s="1" t="s">
        <v>24</v>
      </c>
      <c r="B3392" s="1" t="s">
        <v>1192</v>
      </c>
      <c r="C3392" s="1" t="s">
        <v>46</v>
      </c>
      <c r="D3392" s="6">
        <v>25.0</v>
      </c>
      <c r="E3392" s="6">
        <v>251945.0</v>
      </c>
      <c r="F3392" s="6">
        <v>0.0</v>
      </c>
      <c r="G3392" s="6">
        <v>12169.0</v>
      </c>
      <c r="H3392" s="6">
        <v>20.7038</v>
      </c>
      <c r="I3392" s="6">
        <v>0.0</v>
      </c>
      <c r="J3392" s="6">
        <v>20.7038</v>
      </c>
    </row>
    <row r="3393">
      <c r="A3393" s="1" t="s">
        <v>24</v>
      </c>
      <c r="B3393" s="1" t="s">
        <v>1192</v>
      </c>
      <c r="C3393" s="1" t="s">
        <v>46</v>
      </c>
      <c r="D3393" s="6">
        <v>26.0</v>
      </c>
      <c r="E3393" s="6">
        <v>165786.0</v>
      </c>
      <c r="F3393" s="6">
        <v>0.0</v>
      </c>
      <c r="G3393" s="6">
        <v>12169.0</v>
      </c>
      <c r="H3393" s="6">
        <v>13.6236</v>
      </c>
      <c r="I3393" s="6">
        <v>0.0</v>
      </c>
      <c r="J3393" s="6">
        <v>13.6236</v>
      </c>
    </row>
    <row r="3394">
      <c r="A3394" s="1" t="s">
        <v>24</v>
      </c>
      <c r="B3394" s="1" t="s">
        <v>1192</v>
      </c>
      <c r="C3394" s="1" t="s">
        <v>46</v>
      </c>
      <c r="D3394" s="6">
        <v>27.0</v>
      </c>
      <c r="E3394" s="6">
        <v>131239.0</v>
      </c>
      <c r="F3394" s="6">
        <v>0.0</v>
      </c>
      <c r="G3394" s="6">
        <v>12169.0</v>
      </c>
      <c r="H3394" s="6">
        <v>10.7847</v>
      </c>
      <c r="I3394" s="6">
        <v>0.0</v>
      </c>
      <c r="J3394" s="6">
        <v>10.7847</v>
      </c>
    </row>
    <row r="3395">
      <c r="A3395" s="1" t="s">
        <v>24</v>
      </c>
      <c r="B3395" s="1" t="s">
        <v>1192</v>
      </c>
      <c r="C3395" s="1" t="s">
        <v>46</v>
      </c>
      <c r="D3395" s="6">
        <v>28.0</v>
      </c>
      <c r="E3395" s="6">
        <v>214994.0</v>
      </c>
      <c r="F3395" s="6">
        <v>0.0</v>
      </c>
      <c r="G3395" s="6">
        <v>12169.0</v>
      </c>
      <c r="H3395" s="6">
        <v>17.6674</v>
      </c>
      <c r="I3395" s="6">
        <v>0.0</v>
      </c>
      <c r="J3395" s="6">
        <v>17.6674</v>
      </c>
    </row>
    <row r="3396">
      <c r="A3396" s="1" t="s">
        <v>24</v>
      </c>
      <c r="B3396" s="1" t="s">
        <v>1192</v>
      </c>
      <c r="C3396" s="1" t="s">
        <v>46</v>
      </c>
      <c r="D3396" s="6">
        <v>29.0</v>
      </c>
      <c r="E3396" s="6">
        <v>136968.0</v>
      </c>
      <c r="F3396" s="6">
        <v>0.0</v>
      </c>
      <c r="G3396" s="6">
        <v>12169.0</v>
      </c>
      <c r="H3396" s="6">
        <v>11.2555</v>
      </c>
      <c r="I3396" s="6">
        <v>0.0</v>
      </c>
      <c r="J3396" s="6">
        <v>11.2555</v>
      </c>
    </row>
    <row r="3397">
      <c r="A3397" s="1" t="s">
        <v>24</v>
      </c>
      <c r="B3397" s="1" t="s">
        <v>1192</v>
      </c>
      <c r="C3397" s="1" t="s">
        <v>46</v>
      </c>
      <c r="D3397" s="6">
        <v>30.0</v>
      </c>
      <c r="E3397" s="6">
        <v>574948.0</v>
      </c>
      <c r="F3397" s="6">
        <v>0.0</v>
      </c>
      <c r="G3397" s="6">
        <v>12169.0</v>
      </c>
      <c r="H3397" s="6">
        <v>47.2469</v>
      </c>
      <c r="I3397" s="6">
        <v>0.0</v>
      </c>
      <c r="J3397" s="6">
        <v>47.2469</v>
      </c>
    </row>
    <row r="3398">
      <c r="A3398" s="1" t="s">
        <v>24</v>
      </c>
      <c r="B3398" s="1" t="s">
        <v>1192</v>
      </c>
      <c r="C3398" s="1" t="s">
        <v>46</v>
      </c>
      <c r="D3398" s="6">
        <v>31.0</v>
      </c>
      <c r="E3398" s="6">
        <v>362836.0</v>
      </c>
      <c r="F3398" s="6">
        <v>0.0</v>
      </c>
      <c r="G3398" s="6">
        <v>12169.0</v>
      </c>
      <c r="H3398" s="6">
        <v>29.8164</v>
      </c>
      <c r="I3398" s="6">
        <v>0.0</v>
      </c>
      <c r="J3398" s="6">
        <v>29.8164</v>
      </c>
    </row>
    <row r="3399">
      <c r="A3399" s="1" t="s">
        <v>24</v>
      </c>
      <c r="B3399" s="1" t="s">
        <v>1192</v>
      </c>
      <c r="C3399" s="1" t="s">
        <v>46</v>
      </c>
      <c r="D3399" s="6">
        <v>32.0</v>
      </c>
      <c r="E3399" s="6">
        <v>288756.0</v>
      </c>
      <c r="F3399" s="6">
        <v>0.0</v>
      </c>
      <c r="G3399" s="6">
        <v>12169.0</v>
      </c>
      <c r="H3399" s="6">
        <v>23.7288</v>
      </c>
      <c r="I3399" s="6">
        <v>0.0</v>
      </c>
      <c r="J3399" s="6">
        <v>23.7288</v>
      </c>
    </row>
    <row r="3400">
      <c r="A3400" s="1" t="s">
        <v>24</v>
      </c>
      <c r="B3400" s="1" t="s">
        <v>1192</v>
      </c>
      <c r="C3400" s="1" t="s">
        <v>46</v>
      </c>
      <c r="D3400" s="6">
        <v>33.0</v>
      </c>
      <c r="E3400" s="6">
        <v>187893.0</v>
      </c>
      <c r="F3400" s="6">
        <v>0.0</v>
      </c>
      <c r="G3400" s="6">
        <v>12169.0</v>
      </c>
      <c r="H3400" s="6">
        <v>15.4403</v>
      </c>
      <c r="I3400" s="6">
        <v>0.0</v>
      </c>
      <c r="J3400" s="6">
        <v>15.4403</v>
      </c>
    </row>
    <row r="3401">
      <c r="A3401" s="1" t="s">
        <v>24</v>
      </c>
      <c r="B3401" s="1" t="s">
        <v>1192</v>
      </c>
      <c r="C3401" s="1" t="s">
        <v>1213</v>
      </c>
      <c r="D3401" s="6">
        <v>1.0</v>
      </c>
      <c r="E3401" s="6">
        <v>30.0</v>
      </c>
      <c r="F3401" s="6">
        <v>0.0</v>
      </c>
      <c r="G3401" s="6">
        <v>3161.0</v>
      </c>
      <c r="H3401" s="6">
        <v>0.0095</v>
      </c>
      <c r="I3401" s="6">
        <v>0.0</v>
      </c>
      <c r="J3401" s="6">
        <v>0.0095</v>
      </c>
    </row>
    <row r="3402">
      <c r="A3402" s="1" t="s">
        <v>24</v>
      </c>
      <c r="B3402" s="1" t="s">
        <v>1192</v>
      </c>
      <c r="C3402" s="1" t="s">
        <v>1213</v>
      </c>
      <c r="D3402" s="6">
        <v>2.0</v>
      </c>
      <c r="E3402" s="6">
        <v>4305.0</v>
      </c>
      <c r="F3402" s="6">
        <v>0.0</v>
      </c>
      <c r="G3402" s="6">
        <v>3161.0</v>
      </c>
      <c r="H3402" s="6">
        <v>1.3619</v>
      </c>
      <c r="I3402" s="6">
        <v>0.0</v>
      </c>
      <c r="J3402" s="6">
        <v>1.3619</v>
      </c>
    </row>
    <row r="3403">
      <c r="A3403" s="1" t="s">
        <v>24</v>
      </c>
      <c r="B3403" s="1" t="s">
        <v>1192</v>
      </c>
      <c r="C3403" s="1" t="s">
        <v>1213</v>
      </c>
      <c r="D3403" s="6">
        <v>3.0</v>
      </c>
      <c r="E3403" s="6">
        <v>5080.0</v>
      </c>
      <c r="F3403" s="6">
        <v>0.0</v>
      </c>
      <c r="G3403" s="6">
        <v>3161.0</v>
      </c>
      <c r="H3403" s="6">
        <v>1.6071</v>
      </c>
      <c r="I3403" s="6">
        <v>0.0</v>
      </c>
      <c r="J3403" s="6">
        <v>1.6071</v>
      </c>
    </row>
    <row r="3404">
      <c r="A3404" s="1" t="s">
        <v>24</v>
      </c>
      <c r="B3404" s="1" t="s">
        <v>1192</v>
      </c>
      <c r="C3404" s="1" t="s">
        <v>1213</v>
      </c>
      <c r="D3404" s="6">
        <v>4.0</v>
      </c>
      <c r="E3404" s="6">
        <v>4250.0</v>
      </c>
      <c r="F3404" s="6">
        <v>0.0</v>
      </c>
      <c r="G3404" s="6">
        <v>3161.0</v>
      </c>
      <c r="H3404" s="6">
        <v>1.3445</v>
      </c>
      <c r="I3404" s="6">
        <v>0.0</v>
      </c>
      <c r="J3404" s="6">
        <v>1.3445</v>
      </c>
    </row>
    <row r="3405">
      <c r="A3405" s="1" t="s">
        <v>24</v>
      </c>
      <c r="B3405" s="1" t="s">
        <v>1192</v>
      </c>
      <c r="C3405" s="1" t="s">
        <v>1213</v>
      </c>
      <c r="D3405" s="6">
        <v>5.0</v>
      </c>
      <c r="E3405" s="6">
        <v>4220.0</v>
      </c>
      <c r="F3405" s="6">
        <v>0.0</v>
      </c>
      <c r="G3405" s="6">
        <v>3161.0</v>
      </c>
      <c r="H3405" s="6">
        <v>1.335</v>
      </c>
      <c r="I3405" s="6">
        <v>0.0</v>
      </c>
      <c r="J3405" s="6">
        <v>1.335</v>
      </c>
    </row>
    <row r="3406">
      <c r="A3406" s="1" t="s">
        <v>24</v>
      </c>
      <c r="B3406" s="1" t="s">
        <v>1192</v>
      </c>
      <c r="C3406" s="1" t="s">
        <v>1213</v>
      </c>
      <c r="D3406" s="6">
        <v>6.0</v>
      </c>
      <c r="E3406" s="6">
        <v>3805.0</v>
      </c>
      <c r="F3406" s="6">
        <v>0.0</v>
      </c>
      <c r="G3406" s="6">
        <v>3161.0</v>
      </c>
      <c r="H3406" s="6">
        <v>1.2037</v>
      </c>
      <c r="I3406" s="6">
        <v>0.0</v>
      </c>
      <c r="J3406" s="6">
        <v>1.2037</v>
      </c>
    </row>
    <row r="3407">
      <c r="A3407" s="1" t="s">
        <v>24</v>
      </c>
      <c r="B3407" s="1" t="s">
        <v>1192</v>
      </c>
      <c r="C3407" s="1" t="s">
        <v>1213</v>
      </c>
      <c r="D3407" s="6">
        <v>7.0</v>
      </c>
      <c r="E3407" s="6">
        <v>3360.0</v>
      </c>
      <c r="F3407" s="6">
        <v>0.0</v>
      </c>
      <c r="G3407" s="6">
        <v>3161.0</v>
      </c>
      <c r="H3407" s="6">
        <v>1.063</v>
      </c>
      <c r="I3407" s="6">
        <v>0.0</v>
      </c>
      <c r="J3407" s="6">
        <v>1.063</v>
      </c>
    </row>
    <row r="3408">
      <c r="A3408" s="1" t="s">
        <v>24</v>
      </c>
      <c r="B3408" s="1" t="s">
        <v>1192</v>
      </c>
      <c r="C3408" s="1" t="s">
        <v>1213</v>
      </c>
      <c r="D3408" s="6">
        <v>8.0</v>
      </c>
      <c r="E3408" s="6">
        <v>3285.0</v>
      </c>
      <c r="F3408" s="6">
        <v>0.0</v>
      </c>
      <c r="G3408" s="6">
        <v>3161.0</v>
      </c>
      <c r="H3408" s="6">
        <v>1.0392</v>
      </c>
      <c r="I3408" s="6">
        <v>0.0</v>
      </c>
      <c r="J3408" s="6">
        <v>1.0392</v>
      </c>
    </row>
    <row r="3409">
      <c r="A3409" s="1" t="s">
        <v>24</v>
      </c>
      <c r="B3409" s="1" t="s">
        <v>1192</v>
      </c>
      <c r="C3409" s="1" t="s">
        <v>1213</v>
      </c>
      <c r="D3409" s="6">
        <v>9.0</v>
      </c>
      <c r="E3409" s="6">
        <v>40.0</v>
      </c>
      <c r="F3409" s="6">
        <v>0.0</v>
      </c>
      <c r="G3409" s="6">
        <v>3161.0</v>
      </c>
      <c r="H3409" s="6">
        <v>0.0127</v>
      </c>
      <c r="I3409" s="6">
        <v>0.0</v>
      </c>
      <c r="J3409" s="6">
        <v>0.0127</v>
      </c>
    </row>
    <row r="3410">
      <c r="A3410" s="1" t="s">
        <v>24</v>
      </c>
      <c r="B3410" s="1" t="s">
        <v>1192</v>
      </c>
      <c r="C3410" s="1" t="s">
        <v>1213</v>
      </c>
      <c r="D3410" s="6">
        <v>10.0</v>
      </c>
      <c r="E3410" s="6">
        <v>15.0</v>
      </c>
      <c r="F3410" s="6">
        <v>0.0</v>
      </c>
      <c r="G3410" s="6">
        <v>3161.0</v>
      </c>
      <c r="H3410" s="6">
        <v>0.0047</v>
      </c>
      <c r="I3410" s="6">
        <v>0.0</v>
      </c>
      <c r="J3410" s="6">
        <v>0.0047</v>
      </c>
    </row>
    <row r="3411">
      <c r="A3411" s="1" t="s">
        <v>24</v>
      </c>
      <c r="B3411" s="1" t="s">
        <v>1192</v>
      </c>
      <c r="C3411" s="1" t="s">
        <v>1213</v>
      </c>
      <c r="D3411" s="6">
        <v>11.0</v>
      </c>
      <c r="E3411" s="6">
        <v>45.0</v>
      </c>
      <c r="F3411" s="6">
        <v>0.0</v>
      </c>
      <c r="G3411" s="6">
        <v>3161.0</v>
      </c>
      <c r="H3411" s="6">
        <v>0.0142</v>
      </c>
      <c r="I3411" s="6">
        <v>0.0</v>
      </c>
      <c r="J3411" s="6">
        <v>0.0142</v>
      </c>
    </row>
    <row r="3412">
      <c r="A3412" s="1" t="s">
        <v>24</v>
      </c>
      <c r="B3412" s="1" t="s">
        <v>1192</v>
      </c>
      <c r="C3412" s="1" t="s">
        <v>1213</v>
      </c>
      <c r="D3412" s="6">
        <v>12.0</v>
      </c>
      <c r="E3412" s="6">
        <v>45.0</v>
      </c>
      <c r="F3412" s="6">
        <v>0.0</v>
      </c>
      <c r="G3412" s="6">
        <v>3161.0</v>
      </c>
      <c r="H3412" s="6">
        <v>0.0142</v>
      </c>
      <c r="I3412" s="6">
        <v>0.0</v>
      </c>
      <c r="J3412" s="6">
        <v>0.0142</v>
      </c>
    </row>
    <row r="3413">
      <c r="A3413" s="1" t="s">
        <v>24</v>
      </c>
      <c r="B3413" s="1" t="s">
        <v>1192</v>
      </c>
      <c r="C3413" s="1" t="s">
        <v>1213</v>
      </c>
      <c r="D3413" s="6">
        <v>13.0</v>
      </c>
      <c r="E3413" s="6">
        <v>15.0</v>
      </c>
      <c r="F3413" s="6">
        <v>0.0</v>
      </c>
      <c r="G3413" s="6">
        <v>3161.0</v>
      </c>
      <c r="H3413" s="6">
        <v>0.0047</v>
      </c>
      <c r="I3413" s="6">
        <v>0.0</v>
      </c>
      <c r="J3413" s="6">
        <v>0.0047</v>
      </c>
    </row>
    <row r="3414">
      <c r="A3414" s="1" t="s">
        <v>24</v>
      </c>
      <c r="B3414" s="1" t="s">
        <v>1192</v>
      </c>
      <c r="C3414" s="1" t="s">
        <v>1213</v>
      </c>
      <c r="D3414" s="6">
        <v>14.0</v>
      </c>
      <c r="E3414" s="6">
        <v>60.0</v>
      </c>
      <c r="F3414" s="6">
        <v>0.0</v>
      </c>
      <c r="G3414" s="6">
        <v>3161.0</v>
      </c>
      <c r="H3414" s="6">
        <v>0.019</v>
      </c>
      <c r="I3414" s="6">
        <v>0.0</v>
      </c>
      <c r="J3414" s="6">
        <v>0.019</v>
      </c>
    </row>
    <row r="3415">
      <c r="A3415" s="1" t="s">
        <v>24</v>
      </c>
      <c r="B3415" s="1" t="s">
        <v>1192</v>
      </c>
      <c r="C3415" s="1" t="s">
        <v>1213</v>
      </c>
      <c r="D3415" s="6">
        <v>15.0</v>
      </c>
      <c r="E3415" s="6">
        <v>0.0</v>
      </c>
      <c r="F3415" s="6">
        <v>0.0</v>
      </c>
      <c r="G3415" s="6">
        <v>3161.0</v>
      </c>
      <c r="H3415" s="6">
        <v>0.0</v>
      </c>
      <c r="I3415" s="6">
        <v>0.0</v>
      </c>
      <c r="J3415" s="6">
        <v>0.0</v>
      </c>
    </row>
    <row r="3416">
      <c r="A3416" s="1" t="s">
        <v>24</v>
      </c>
      <c r="B3416" s="1" t="s">
        <v>1192</v>
      </c>
      <c r="C3416" s="1" t="s">
        <v>1213</v>
      </c>
      <c r="D3416" s="6">
        <v>16.0</v>
      </c>
      <c r="E3416" s="6">
        <v>5495.0</v>
      </c>
      <c r="F3416" s="6">
        <v>0.0</v>
      </c>
      <c r="G3416" s="6">
        <v>3161.0</v>
      </c>
      <c r="H3416" s="6">
        <v>1.7384</v>
      </c>
      <c r="I3416" s="6">
        <v>0.0</v>
      </c>
      <c r="J3416" s="6">
        <v>1.7384</v>
      </c>
    </row>
    <row r="3417">
      <c r="A3417" s="1" t="s">
        <v>24</v>
      </c>
      <c r="B3417" s="1" t="s">
        <v>1192</v>
      </c>
      <c r="C3417" s="1" t="s">
        <v>1213</v>
      </c>
      <c r="D3417" s="6">
        <v>17.0</v>
      </c>
      <c r="E3417" s="6">
        <v>4210.0</v>
      </c>
      <c r="F3417" s="6">
        <v>0.0</v>
      </c>
      <c r="G3417" s="6">
        <v>3161.0</v>
      </c>
      <c r="H3417" s="6">
        <v>1.3319</v>
      </c>
      <c r="I3417" s="6">
        <v>0.0</v>
      </c>
      <c r="J3417" s="6">
        <v>1.3319</v>
      </c>
    </row>
    <row r="3418">
      <c r="A3418" s="1" t="s">
        <v>24</v>
      </c>
      <c r="B3418" s="1" t="s">
        <v>1192</v>
      </c>
      <c r="C3418" s="1" t="s">
        <v>1213</v>
      </c>
      <c r="D3418" s="6">
        <v>18.0</v>
      </c>
      <c r="E3418" s="6">
        <v>4655.0</v>
      </c>
      <c r="F3418" s="6">
        <v>0.0</v>
      </c>
      <c r="G3418" s="6">
        <v>3161.0</v>
      </c>
      <c r="H3418" s="6">
        <v>1.4726</v>
      </c>
      <c r="I3418" s="6">
        <v>0.0</v>
      </c>
      <c r="J3418" s="6">
        <v>1.4726</v>
      </c>
    </row>
    <row r="3419">
      <c r="A3419" s="1" t="s">
        <v>24</v>
      </c>
      <c r="B3419" s="1" t="s">
        <v>1192</v>
      </c>
      <c r="C3419" s="1" t="s">
        <v>1213</v>
      </c>
      <c r="D3419" s="6">
        <v>19.0</v>
      </c>
      <c r="E3419" s="6">
        <v>4030.0</v>
      </c>
      <c r="F3419" s="6">
        <v>0.0</v>
      </c>
      <c r="G3419" s="6">
        <v>3161.0</v>
      </c>
      <c r="H3419" s="6">
        <v>1.2749</v>
      </c>
      <c r="I3419" s="6">
        <v>0.0</v>
      </c>
      <c r="J3419" s="6">
        <v>1.2749</v>
      </c>
    </row>
    <row r="3420">
      <c r="A3420" s="1" t="s">
        <v>24</v>
      </c>
      <c r="B3420" s="1" t="s">
        <v>1192</v>
      </c>
      <c r="C3420" s="1" t="s">
        <v>1213</v>
      </c>
      <c r="D3420" s="6">
        <v>20.0</v>
      </c>
      <c r="E3420" s="6">
        <v>5020.0</v>
      </c>
      <c r="F3420" s="6">
        <v>0.0</v>
      </c>
      <c r="G3420" s="6">
        <v>3161.0</v>
      </c>
      <c r="H3420" s="6">
        <v>1.5881</v>
      </c>
      <c r="I3420" s="6">
        <v>0.0</v>
      </c>
      <c r="J3420" s="6">
        <v>1.5881</v>
      </c>
    </row>
    <row r="3421">
      <c r="A3421" s="1" t="s">
        <v>24</v>
      </c>
      <c r="B3421" s="1" t="s">
        <v>1192</v>
      </c>
      <c r="C3421" s="1" t="s">
        <v>1213</v>
      </c>
      <c r="D3421" s="6">
        <v>21.0</v>
      </c>
      <c r="E3421" s="6">
        <v>4980.0</v>
      </c>
      <c r="F3421" s="6">
        <v>0.0</v>
      </c>
      <c r="G3421" s="6">
        <v>3161.0</v>
      </c>
      <c r="H3421" s="6">
        <v>1.5755</v>
      </c>
      <c r="I3421" s="6">
        <v>0.0</v>
      </c>
      <c r="J3421" s="6">
        <v>1.5755</v>
      </c>
    </row>
    <row r="3422">
      <c r="A3422" s="1" t="s">
        <v>24</v>
      </c>
      <c r="B3422" s="1" t="s">
        <v>1192</v>
      </c>
      <c r="C3422" s="1" t="s">
        <v>1213</v>
      </c>
      <c r="D3422" s="6">
        <v>22.0</v>
      </c>
      <c r="E3422" s="6">
        <v>4150.0</v>
      </c>
      <c r="F3422" s="6">
        <v>0.0</v>
      </c>
      <c r="G3422" s="6">
        <v>3161.0</v>
      </c>
      <c r="H3422" s="6">
        <v>1.3129</v>
      </c>
      <c r="I3422" s="6">
        <v>0.0</v>
      </c>
      <c r="J3422" s="6">
        <v>1.3129</v>
      </c>
    </row>
    <row r="3423">
      <c r="A3423" s="1" t="s">
        <v>24</v>
      </c>
      <c r="B3423" s="1" t="s">
        <v>1192</v>
      </c>
      <c r="C3423" s="1" t="s">
        <v>1213</v>
      </c>
      <c r="D3423" s="6">
        <v>23.0</v>
      </c>
      <c r="E3423" s="6">
        <v>170.0</v>
      </c>
      <c r="F3423" s="6">
        <v>0.0</v>
      </c>
      <c r="G3423" s="6">
        <v>3161.0</v>
      </c>
      <c r="H3423" s="6">
        <v>0.0538</v>
      </c>
      <c r="I3423" s="6">
        <v>0.0</v>
      </c>
      <c r="J3423" s="6">
        <v>0.0538</v>
      </c>
    </row>
    <row r="3424">
      <c r="A3424" s="1" t="s">
        <v>24</v>
      </c>
      <c r="B3424" s="1" t="s">
        <v>1192</v>
      </c>
      <c r="C3424" s="1" t="s">
        <v>1213</v>
      </c>
      <c r="D3424" s="6">
        <v>24.0</v>
      </c>
      <c r="E3424" s="6">
        <v>105.0</v>
      </c>
      <c r="F3424" s="6">
        <v>0.0</v>
      </c>
      <c r="G3424" s="6">
        <v>3161.0</v>
      </c>
      <c r="H3424" s="6">
        <v>0.0332</v>
      </c>
      <c r="I3424" s="6">
        <v>0.0</v>
      </c>
      <c r="J3424" s="6">
        <v>0.0332</v>
      </c>
    </row>
    <row r="3425">
      <c r="A3425" s="1" t="s">
        <v>24</v>
      </c>
      <c r="B3425" s="1" t="s">
        <v>1192</v>
      </c>
      <c r="C3425" s="1" t="s">
        <v>1213</v>
      </c>
      <c r="D3425" s="6">
        <v>25.0</v>
      </c>
      <c r="E3425" s="6">
        <v>45.0</v>
      </c>
      <c r="F3425" s="6">
        <v>0.0</v>
      </c>
      <c r="G3425" s="6">
        <v>3161.0</v>
      </c>
      <c r="H3425" s="6">
        <v>0.0142</v>
      </c>
      <c r="I3425" s="6">
        <v>0.0</v>
      </c>
      <c r="J3425" s="6">
        <v>0.0142</v>
      </c>
    </row>
    <row r="3426">
      <c r="A3426" s="1" t="s">
        <v>24</v>
      </c>
      <c r="B3426" s="1" t="s">
        <v>1192</v>
      </c>
      <c r="C3426" s="1" t="s">
        <v>1213</v>
      </c>
      <c r="D3426" s="6">
        <v>26.0</v>
      </c>
      <c r="E3426" s="6">
        <v>0.0</v>
      </c>
      <c r="F3426" s="6">
        <v>0.0</v>
      </c>
      <c r="G3426" s="6">
        <v>3161.0</v>
      </c>
      <c r="H3426" s="6">
        <v>0.0</v>
      </c>
      <c r="I3426" s="6">
        <v>0.0</v>
      </c>
      <c r="J3426" s="6">
        <v>0.0</v>
      </c>
    </row>
    <row r="3427">
      <c r="A3427" s="1" t="s">
        <v>24</v>
      </c>
      <c r="B3427" s="1" t="s">
        <v>1192</v>
      </c>
      <c r="C3427" s="1" t="s">
        <v>1213</v>
      </c>
      <c r="D3427" s="6">
        <v>27.0</v>
      </c>
      <c r="E3427" s="6">
        <v>45.0</v>
      </c>
      <c r="F3427" s="6">
        <v>0.0</v>
      </c>
      <c r="G3427" s="6">
        <v>3161.0</v>
      </c>
      <c r="H3427" s="6">
        <v>0.0142</v>
      </c>
      <c r="I3427" s="6">
        <v>0.0</v>
      </c>
      <c r="J3427" s="6">
        <v>0.0142</v>
      </c>
    </row>
    <row r="3428">
      <c r="A3428" s="1" t="s">
        <v>24</v>
      </c>
      <c r="B3428" s="1" t="s">
        <v>1192</v>
      </c>
      <c r="C3428" s="1" t="s">
        <v>1213</v>
      </c>
      <c r="D3428" s="6">
        <v>28.0</v>
      </c>
      <c r="E3428" s="6">
        <v>30.0</v>
      </c>
      <c r="F3428" s="6">
        <v>0.0</v>
      </c>
      <c r="G3428" s="6">
        <v>3161.0</v>
      </c>
      <c r="H3428" s="6">
        <v>0.0095</v>
      </c>
      <c r="I3428" s="6">
        <v>0.0</v>
      </c>
      <c r="J3428" s="6">
        <v>0.0095</v>
      </c>
    </row>
    <row r="3429">
      <c r="A3429" s="1" t="s">
        <v>24</v>
      </c>
      <c r="B3429" s="1" t="s">
        <v>1192</v>
      </c>
      <c r="C3429" s="1" t="s">
        <v>1213</v>
      </c>
      <c r="D3429" s="6">
        <v>29.0</v>
      </c>
      <c r="E3429" s="6">
        <v>90.0</v>
      </c>
      <c r="F3429" s="6">
        <v>0.0</v>
      </c>
      <c r="G3429" s="6">
        <v>3161.0</v>
      </c>
      <c r="H3429" s="6">
        <v>0.0285</v>
      </c>
      <c r="I3429" s="6">
        <v>0.0</v>
      </c>
      <c r="J3429" s="6">
        <v>0.0285</v>
      </c>
    </row>
    <row r="3430">
      <c r="A3430" s="1" t="s">
        <v>24</v>
      </c>
      <c r="B3430" s="1" t="s">
        <v>1192</v>
      </c>
      <c r="C3430" s="1" t="s">
        <v>1213</v>
      </c>
      <c r="D3430" s="6">
        <v>30.0</v>
      </c>
      <c r="E3430" s="6">
        <v>5795.0</v>
      </c>
      <c r="F3430" s="6">
        <v>0.0</v>
      </c>
      <c r="G3430" s="6">
        <v>3161.0</v>
      </c>
      <c r="H3430" s="6">
        <v>1.8333</v>
      </c>
      <c r="I3430" s="6">
        <v>0.0</v>
      </c>
      <c r="J3430" s="6">
        <v>1.8333</v>
      </c>
    </row>
    <row r="3431">
      <c r="A3431" s="1" t="s">
        <v>24</v>
      </c>
      <c r="B3431" s="1" t="s">
        <v>1192</v>
      </c>
      <c r="C3431" s="1" t="s">
        <v>1213</v>
      </c>
      <c r="D3431" s="6">
        <v>31.0</v>
      </c>
      <c r="E3431" s="6">
        <v>5615.0</v>
      </c>
      <c r="F3431" s="6">
        <v>0.0</v>
      </c>
      <c r="G3431" s="6">
        <v>3161.0</v>
      </c>
      <c r="H3431" s="6">
        <v>1.7763</v>
      </c>
      <c r="I3431" s="6">
        <v>0.0</v>
      </c>
      <c r="J3431" s="6">
        <v>1.7763</v>
      </c>
    </row>
    <row r="3432">
      <c r="A3432" s="1" t="s">
        <v>24</v>
      </c>
      <c r="B3432" s="1" t="s">
        <v>1192</v>
      </c>
      <c r="C3432" s="1" t="s">
        <v>1213</v>
      </c>
      <c r="D3432" s="6">
        <v>32.0</v>
      </c>
      <c r="E3432" s="6">
        <v>5175.0</v>
      </c>
      <c r="F3432" s="6">
        <v>0.0</v>
      </c>
      <c r="G3432" s="6">
        <v>3161.0</v>
      </c>
      <c r="H3432" s="6">
        <v>1.6371</v>
      </c>
      <c r="I3432" s="6">
        <v>0.0</v>
      </c>
      <c r="J3432" s="6">
        <v>1.6371</v>
      </c>
    </row>
    <row r="3433">
      <c r="A3433" s="1" t="s">
        <v>24</v>
      </c>
      <c r="B3433" s="1" t="s">
        <v>1192</v>
      </c>
      <c r="C3433" s="1" t="s">
        <v>1213</v>
      </c>
      <c r="D3433" s="6">
        <v>33.0</v>
      </c>
      <c r="E3433" s="6">
        <v>4695.0</v>
      </c>
      <c r="F3433" s="6">
        <v>0.0</v>
      </c>
      <c r="G3433" s="6">
        <v>3161.0</v>
      </c>
      <c r="H3433" s="6">
        <v>1.4853</v>
      </c>
      <c r="I3433" s="6">
        <v>0.0</v>
      </c>
      <c r="J3433" s="6">
        <v>1.4853</v>
      </c>
    </row>
    <row r="3434">
      <c r="A3434" s="1" t="s">
        <v>26</v>
      </c>
      <c r="B3434" s="1" t="s">
        <v>180</v>
      </c>
      <c r="C3434" s="1" t="s">
        <v>1205</v>
      </c>
      <c r="D3434" s="6">
        <v>1.0</v>
      </c>
      <c r="E3434" s="6">
        <v>267704.0</v>
      </c>
      <c r="F3434" s="6">
        <v>337250.0</v>
      </c>
      <c r="G3434" s="6">
        <v>4138.0</v>
      </c>
      <c r="H3434" s="6">
        <v>64.6941</v>
      </c>
      <c r="I3434" s="6">
        <v>81.5007</v>
      </c>
      <c r="J3434" s="6">
        <v>-16.8067</v>
      </c>
    </row>
    <row r="3435">
      <c r="A3435" s="1" t="s">
        <v>26</v>
      </c>
      <c r="B3435" s="1" t="s">
        <v>180</v>
      </c>
      <c r="C3435" s="1" t="s">
        <v>1205</v>
      </c>
      <c r="D3435" s="6">
        <v>2.0</v>
      </c>
      <c r="E3435" s="6">
        <v>467112.0</v>
      </c>
      <c r="F3435" s="6">
        <v>391950.0</v>
      </c>
      <c r="G3435" s="6">
        <v>4138.0</v>
      </c>
      <c r="H3435" s="6">
        <v>112.8835</v>
      </c>
      <c r="I3435" s="6">
        <v>94.7197</v>
      </c>
      <c r="J3435" s="6">
        <v>18.1638</v>
      </c>
    </row>
    <row r="3436">
      <c r="A3436" s="1" t="s">
        <v>26</v>
      </c>
      <c r="B3436" s="1" t="s">
        <v>180</v>
      </c>
      <c r="C3436" s="1" t="s">
        <v>1205</v>
      </c>
      <c r="D3436" s="6">
        <v>3.0</v>
      </c>
      <c r="E3436" s="6">
        <v>334545.0</v>
      </c>
      <c r="F3436" s="6">
        <v>337350.0</v>
      </c>
      <c r="G3436" s="6">
        <v>4138.0</v>
      </c>
      <c r="H3436" s="6">
        <v>80.847</v>
      </c>
      <c r="I3436" s="6">
        <v>81.5249</v>
      </c>
      <c r="J3436" s="6">
        <v>-0.6779</v>
      </c>
    </row>
    <row r="3437">
      <c r="A3437" s="1" t="s">
        <v>26</v>
      </c>
      <c r="B3437" s="1" t="s">
        <v>180</v>
      </c>
      <c r="C3437" s="1" t="s">
        <v>1205</v>
      </c>
      <c r="D3437" s="6">
        <v>4.0</v>
      </c>
      <c r="E3437" s="6">
        <v>374124.0</v>
      </c>
      <c r="F3437" s="6">
        <v>330050.0</v>
      </c>
      <c r="G3437" s="6">
        <v>4138.0</v>
      </c>
      <c r="H3437" s="6">
        <v>90.4118</v>
      </c>
      <c r="I3437" s="6">
        <v>79.7608</v>
      </c>
      <c r="J3437" s="6">
        <v>10.651</v>
      </c>
    </row>
    <row r="3438">
      <c r="A3438" s="1" t="s">
        <v>26</v>
      </c>
      <c r="B3438" s="1" t="s">
        <v>180</v>
      </c>
      <c r="C3438" s="1" t="s">
        <v>1205</v>
      </c>
      <c r="D3438" s="6">
        <v>5.0</v>
      </c>
      <c r="E3438" s="6">
        <v>305377.0</v>
      </c>
      <c r="F3438" s="6">
        <v>404050.0</v>
      </c>
      <c r="G3438" s="6">
        <v>4138.0</v>
      </c>
      <c r="H3438" s="6">
        <v>73.7982</v>
      </c>
      <c r="I3438" s="6">
        <v>97.6438</v>
      </c>
      <c r="J3438" s="6">
        <v>-23.8456</v>
      </c>
    </row>
    <row r="3439">
      <c r="A3439" s="1" t="s">
        <v>26</v>
      </c>
      <c r="B3439" s="1" t="s">
        <v>180</v>
      </c>
      <c r="C3439" s="1" t="s">
        <v>1205</v>
      </c>
      <c r="D3439" s="6">
        <v>6.0</v>
      </c>
      <c r="E3439" s="6">
        <v>449814.0</v>
      </c>
      <c r="F3439" s="6">
        <v>469150.0</v>
      </c>
      <c r="G3439" s="6">
        <v>4138.0</v>
      </c>
      <c r="H3439" s="6">
        <v>108.7032</v>
      </c>
      <c r="I3439" s="6">
        <v>113.376</v>
      </c>
      <c r="J3439" s="6">
        <v>-4.6728</v>
      </c>
    </row>
    <row r="3440">
      <c r="A3440" s="1" t="s">
        <v>26</v>
      </c>
      <c r="B3440" s="1" t="s">
        <v>180</v>
      </c>
      <c r="C3440" s="1" t="s">
        <v>1205</v>
      </c>
      <c r="D3440" s="6">
        <v>7.0</v>
      </c>
      <c r="E3440" s="6">
        <v>452984.0</v>
      </c>
      <c r="F3440" s="6">
        <v>417950.0</v>
      </c>
      <c r="G3440" s="6">
        <v>4138.0</v>
      </c>
      <c r="H3440" s="6">
        <v>109.4693</v>
      </c>
      <c r="I3440" s="6">
        <v>101.0029</v>
      </c>
      <c r="J3440" s="6">
        <v>8.4664</v>
      </c>
    </row>
    <row r="3441">
      <c r="A3441" s="1" t="s">
        <v>26</v>
      </c>
      <c r="B3441" s="1" t="s">
        <v>180</v>
      </c>
      <c r="C3441" s="1" t="s">
        <v>1205</v>
      </c>
      <c r="D3441" s="6">
        <v>8.0</v>
      </c>
      <c r="E3441" s="6">
        <v>309134.0</v>
      </c>
      <c r="F3441" s="6">
        <v>348850.0</v>
      </c>
      <c r="G3441" s="6">
        <v>4138.0</v>
      </c>
      <c r="H3441" s="6">
        <v>74.7061</v>
      </c>
      <c r="I3441" s="6">
        <v>84.304</v>
      </c>
      <c r="J3441" s="6">
        <v>-9.5979</v>
      </c>
    </row>
    <row r="3442">
      <c r="A3442" s="1" t="s">
        <v>26</v>
      </c>
      <c r="B3442" s="1" t="s">
        <v>180</v>
      </c>
      <c r="C3442" s="1" t="s">
        <v>1205</v>
      </c>
      <c r="D3442" s="6">
        <v>9.0</v>
      </c>
      <c r="E3442" s="6">
        <v>386990.0</v>
      </c>
      <c r="F3442" s="6">
        <v>435050.0</v>
      </c>
      <c r="G3442" s="6">
        <v>4138.0</v>
      </c>
      <c r="H3442" s="6">
        <v>93.521</v>
      </c>
      <c r="I3442" s="6">
        <v>105.1353</v>
      </c>
      <c r="J3442" s="6">
        <v>-11.6143</v>
      </c>
    </row>
    <row r="3443">
      <c r="A3443" s="1" t="s">
        <v>26</v>
      </c>
      <c r="B3443" s="1" t="s">
        <v>180</v>
      </c>
      <c r="C3443" s="1" t="s">
        <v>1205</v>
      </c>
      <c r="D3443" s="6">
        <v>10.0</v>
      </c>
      <c r="E3443" s="6">
        <v>344118.0</v>
      </c>
      <c r="F3443" s="6">
        <v>462600.0</v>
      </c>
      <c r="G3443" s="6">
        <v>4138.0</v>
      </c>
      <c r="H3443" s="6">
        <v>83.1605</v>
      </c>
      <c r="I3443" s="6">
        <v>111.7931</v>
      </c>
      <c r="J3443" s="6">
        <v>-28.6327</v>
      </c>
    </row>
    <row r="3444">
      <c r="A3444" s="1" t="s">
        <v>26</v>
      </c>
      <c r="B3444" s="1" t="s">
        <v>180</v>
      </c>
      <c r="C3444" s="1" t="s">
        <v>1205</v>
      </c>
      <c r="D3444" s="6">
        <v>11.0</v>
      </c>
      <c r="E3444" s="6">
        <v>373881.0</v>
      </c>
      <c r="F3444" s="6">
        <v>386650.0</v>
      </c>
      <c r="G3444" s="6">
        <v>4138.0</v>
      </c>
      <c r="H3444" s="6">
        <v>90.3531</v>
      </c>
      <c r="I3444" s="6">
        <v>93.4389</v>
      </c>
      <c r="J3444" s="6">
        <v>-3.0858</v>
      </c>
    </row>
    <row r="3445">
      <c r="A3445" s="1" t="s">
        <v>26</v>
      </c>
      <c r="B3445" s="1" t="s">
        <v>180</v>
      </c>
      <c r="C3445" s="1" t="s">
        <v>1205</v>
      </c>
      <c r="D3445" s="6">
        <v>12.0</v>
      </c>
      <c r="E3445" s="6">
        <v>298820.0</v>
      </c>
      <c r="F3445" s="6">
        <v>404100.0</v>
      </c>
      <c r="G3445" s="6">
        <v>4138.0</v>
      </c>
      <c r="H3445" s="6">
        <v>72.2136</v>
      </c>
      <c r="I3445" s="6">
        <v>97.6559</v>
      </c>
      <c r="J3445" s="6">
        <v>-25.4422</v>
      </c>
    </row>
    <row r="3446">
      <c r="A3446" s="1" t="s">
        <v>26</v>
      </c>
      <c r="B3446" s="1" t="s">
        <v>180</v>
      </c>
      <c r="C3446" s="1" t="s">
        <v>1205</v>
      </c>
      <c r="D3446" s="6">
        <v>13.0</v>
      </c>
      <c r="E3446" s="6">
        <v>441730.0</v>
      </c>
      <c r="F3446" s="6">
        <v>449200.0</v>
      </c>
      <c r="G3446" s="6">
        <v>4138.0</v>
      </c>
      <c r="H3446" s="6">
        <v>106.7496</v>
      </c>
      <c r="I3446" s="6">
        <v>108.5549</v>
      </c>
      <c r="J3446" s="6">
        <v>-1.8052</v>
      </c>
    </row>
    <row r="3447">
      <c r="A3447" s="1" t="s">
        <v>26</v>
      </c>
      <c r="B3447" s="1" t="s">
        <v>180</v>
      </c>
      <c r="C3447" s="1" t="s">
        <v>1205</v>
      </c>
      <c r="D3447" s="6">
        <v>14.0</v>
      </c>
      <c r="E3447" s="6">
        <v>410508.0</v>
      </c>
      <c r="F3447" s="6">
        <v>469900.0</v>
      </c>
      <c r="G3447" s="6">
        <v>4138.0</v>
      </c>
      <c r="H3447" s="6">
        <v>99.2044</v>
      </c>
      <c r="I3447" s="6">
        <v>113.5573</v>
      </c>
      <c r="J3447" s="6">
        <v>-14.3528</v>
      </c>
    </row>
    <row r="3448">
      <c r="A3448" s="1" t="s">
        <v>26</v>
      </c>
      <c r="B3448" s="1" t="s">
        <v>180</v>
      </c>
      <c r="C3448" s="1" t="s">
        <v>1205</v>
      </c>
      <c r="D3448" s="6">
        <v>15.0</v>
      </c>
      <c r="E3448" s="6">
        <v>307704.0</v>
      </c>
      <c r="F3448" s="6">
        <v>471100.0</v>
      </c>
      <c r="G3448" s="6">
        <v>4138.0</v>
      </c>
      <c r="H3448" s="6">
        <v>74.3606</v>
      </c>
      <c r="I3448" s="6">
        <v>113.8473</v>
      </c>
      <c r="J3448" s="6">
        <v>-39.4867</v>
      </c>
    </row>
    <row r="3449">
      <c r="A3449" s="1" t="s">
        <v>26</v>
      </c>
      <c r="B3449" s="1" t="s">
        <v>180</v>
      </c>
      <c r="C3449" s="1" t="s">
        <v>1205</v>
      </c>
      <c r="D3449" s="6">
        <v>16.0</v>
      </c>
      <c r="E3449" s="6">
        <v>526197.0</v>
      </c>
      <c r="F3449" s="6">
        <v>622850.0</v>
      </c>
      <c r="G3449" s="6">
        <v>4138.0</v>
      </c>
      <c r="H3449" s="6">
        <v>127.1622</v>
      </c>
      <c r="I3449" s="6">
        <v>150.5196</v>
      </c>
      <c r="J3449" s="6">
        <v>-23.3574</v>
      </c>
    </row>
    <row r="3450">
      <c r="A3450" s="1" t="s">
        <v>26</v>
      </c>
      <c r="B3450" s="1" t="s">
        <v>180</v>
      </c>
      <c r="C3450" s="1" t="s">
        <v>1205</v>
      </c>
      <c r="D3450" s="6">
        <v>17.0</v>
      </c>
      <c r="E3450" s="6">
        <v>393760.0</v>
      </c>
      <c r="F3450" s="6">
        <v>560100.0</v>
      </c>
      <c r="G3450" s="6">
        <v>4138.0</v>
      </c>
      <c r="H3450" s="6">
        <v>95.1571</v>
      </c>
      <c r="I3450" s="6">
        <v>135.3552</v>
      </c>
      <c r="J3450" s="6">
        <v>-40.1982</v>
      </c>
    </row>
    <row r="3451">
      <c r="A3451" s="1" t="s">
        <v>26</v>
      </c>
      <c r="B3451" s="1" t="s">
        <v>180</v>
      </c>
      <c r="C3451" s="1" t="s">
        <v>1205</v>
      </c>
      <c r="D3451" s="6">
        <v>18.0</v>
      </c>
      <c r="E3451" s="6">
        <v>431259.0</v>
      </c>
      <c r="F3451" s="6">
        <v>559600.0</v>
      </c>
      <c r="G3451" s="6">
        <v>4138.0</v>
      </c>
      <c r="H3451" s="6">
        <v>104.2192</v>
      </c>
      <c r="I3451" s="6">
        <v>135.2344</v>
      </c>
      <c r="J3451" s="6">
        <v>-31.0152</v>
      </c>
    </row>
    <row r="3452">
      <c r="A3452" s="1" t="s">
        <v>26</v>
      </c>
      <c r="B3452" s="1" t="s">
        <v>180</v>
      </c>
      <c r="C3452" s="1" t="s">
        <v>1205</v>
      </c>
      <c r="D3452" s="6">
        <v>19.0</v>
      </c>
      <c r="E3452" s="6">
        <v>309896.0</v>
      </c>
      <c r="F3452" s="6">
        <v>435450.0</v>
      </c>
      <c r="G3452" s="6">
        <v>4138.0</v>
      </c>
      <c r="H3452" s="6">
        <v>74.8903</v>
      </c>
      <c r="I3452" s="6">
        <v>105.232</v>
      </c>
      <c r="J3452" s="6">
        <v>-30.3417</v>
      </c>
    </row>
    <row r="3453">
      <c r="A3453" s="1" t="s">
        <v>26</v>
      </c>
      <c r="B3453" s="1" t="s">
        <v>180</v>
      </c>
      <c r="C3453" s="1" t="s">
        <v>1205</v>
      </c>
      <c r="D3453" s="6">
        <v>20.0</v>
      </c>
      <c r="E3453" s="6">
        <v>499876.0</v>
      </c>
      <c r="F3453" s="6">
        <v>595100.0</v>
      </c>
      <c r="G3453" s="6">
        <v>4138.0</v>
      </c>
      <c r="H3453" s="6">
        <v>120.8014</v>
      </c>
      <c r="I3453" s="6">
        <v>143.8134</v>
      </c>
      <c r="J3453" s="6">
        <v>-23.0121</v>
      </c>
    </row>
    <row r="3454">
      <c r="A3454" s="1" t="s">
        <v>26</v>
      </c>
      <c r="B3454" s="1" t="s">
        <v>180</v>
      </c>
      <c r="C3454" s="1" t="s">
        <v>1205</v>
      </c>
      <c r="D3454" s="6">
        <v>21.0</v>
      </c>
      <c r="E3454" s="6">
        <v>728531.0</v>
      </c>
      <c r="F3454" s="6">
        <v>628850.0</v>
      </c>
      <c r="G3454" s="6">
        <v>4138.0</v>
      </c>
      <c r="H3454" s="6">
        <v>176.0587</v>
      </c>
      <c r="I3454" s="6">
        <v>151.9696</v>
      </c>
      <c r="J3454" s="6">
        <v>24.0892</v>
      </c>
    </row>
    <row r="3455">
      <c r="A3455" s="1" t="s">
        <v>26</v>
      </c>
      <c r="B3455" s="1" t="s">
        <v>180</v>
      </c>
      <c r="C3455" s="1" t="s">
        <v>1205</v>
      </c>
      <c r="D3455" s="6">
        <v>22.0</v>
      </c>
      <c r="E3455" s="6">
        <v>386437.0</v>
      </c>
      <c r="F3455" s="6">
        <v>566500.0</v>
      </c>
      <c r="G3455" s="6">
        <v>4138.0</v>
      </c>
      <c r="H3455" s="6">
        <v>93.3874</v>
      </c>
      <c r="I3455" s="6">
        <v>136.9019</v>
      </c>
      <c r="J3455" s="6">
        <v>-43.5145</v>
      </c>
    </row>
    <row r="3456">
      <c r="A3456" s="1" t="s">
        <v>26</v>
      </c>
      <c r="B3456" s="1" t="s">
        <v>180</v>
      </c>
      <c r="C3456" s="1" t="s">
        <v>1205</v>
      </c>
      <c r="D3456" s="6">
        <v>23.0</v>
      </c>
      <c r="E3456" s="6">
        <v>466206.0</v>
      </c>
      <c r="F3456" s="6">
        <v>576950.0</v>
      </c>
      <c r="G3456" s="6">
        <v>4138.0</v>
      </c>
      <c r="H3456" s="6">
        <v>112.6646</v>
      </c>
      <c r="I3456" s="6">
        <v>139.4273</v>
      </c>
      <c r="J3456" s="6">
        <v>-26.7627</v>
      </c>
    </row>
    <row r="3457">
      <c r="A3457" s="1" t="s">
        <v>26</v>
      </c>
      <c r="B3457" s="1" t="s">
        <v>180</v>
      </c>
      <c r="C3457" s="1" t="s">
        <v>1205</v>
      </c>
      <c r="D3457" s="6">
        <v>24.0</v>
      </c>
      <c r="E3457" s="6">
        <v>395991.0</v>
      </c>
      <c r="F3457" s="6">
        <v>581700.0</v>
      </c>
      <c r="G3457" s="6">
        <v>4138.0</v>
      </c>
      <c r="H3457" s="6">
        <v>95.6962</v>
      </c>
      <c r="I3457" s="6">
        <v>140.5752</v>
      </c>
      <c r="J3457" s="6">
        <v>-44.8789</v>
      </c>
    </row>
    <row r="3458">
      <c r="A3458" s="1" t="s">
        <v>26</v>
      </c>
      <c r="B3458" s="1" t="s">
        <v>180</v>
      </c>
      <c r="C3458" s="1" t="s">
        <v>1205</v>
      </c>
      <c r="D3458" s="6">
        <v>25.0</v>
      </c>
      <c r="E3458" s="6">
        <v>467443.0</v>
      </c>
      <c r="F3458" s="6">
        <v>600150.0</v>
      </c>
      <c r="G3458" s="6">
        <v>4138.0</v>
      </c>
      <c r="H3458" s="6">
        <v>112.9635</v>
      </c>
      <c r="I3458" s="6">
        <v>145.0338</v>
      </c>
      <c r="J3458" s="6">
        <v>-32.0703</v>
      </c>
    </row>
    <row r="3459">
      <c r="A3459" s="1" t="s">
        <v>26</v>
      </c>
      <c r="B3459" s="1" t="s">
        <v>180</v>
      </c>
      <c r="C3459" s="1" t="s">
        <v>1205</v>
      </c>
      <c r="D3459" s="6">
        <v>26.0</v>
      </c>
      <c r="E3459" s="6">
        <v>350619.0</v>
      </c>
      <c r="F3459" s="6">
        <v>482200.0</v>
      </c>
      <c r="G3459" s="6">
        <v>4138.0</v>
      </c>
      <c r="H3459" s="6">
        <v>84.7315</v>
      </c>
      <c r="I3459" s="6">
        <v>116.5297</v>
      </c>
      <c r="J3459" s="6">
        <v>-31.7982</v>
      </c>
    </row>
    <row r="3460">
      <c r="A3460" s="1" t="s">
        <v>26</v>
      </c>
      <c r="B3460" s="1" t="s">
        <v>180</v>
      </c>
      <c r="C3460" s="1" t="s">
        <v>1205</v>
      </c>
      <c r="D3460" s="6">
        <v>27.0</v>
      </c>
      <c r="E3460" s="6">
        <v>544251.0</v>
      </c>
      <c r="F3460" s="6">
        <v>538650.0</v>
      </c>
      <c r="G3460" s="6">
        <v>4138.0</v>
      </c>
      <c r="H3460" s="6">
        <v>131.5251</v>
      </c>
      <c r="I3460" s="6">
        <v>130.1716</v>
      </c>
      <c r="J3460" s="6">
        <v>1.3536</v>
      </c>
    </row>
    <row r="3461">
      <c r="A3461" s="1" t="s">
        <v>26</v>
      </c>
      <c r="B3461" s="1" t="s">
        <v>180</v>
      </c>
      <c r="C3461" s="1" t="s">
        <v>1205</v>
      </c>
      <c r="D3461" s="6">
        <v>28.0</v>
      </c>
      <c r="E3461" s="6">
        <v>514659.0</v>
      </c>
      <c r="F3461" s="6">
        <v>500850.0</v>
      </c>
      <c r="G3461" s="6">
        <v>4138.0</v>
      </c>
      <c r="H3461" s="6">
        <v>124.3739</v>
      </c>
      <c r="I3461" s="6">
        <v>121.0367</v>
      </c>
      <c r="J3461" s="6">
        <v>3.3371</v>
      </c>
    </row>
    <row r="3462">
      <c r="A3462" s="1" t="s">
        <v>26</v>
      </c>
      <c r="B3462" s="1" t="s">
        <v>180</v>
      </c>
      <c r="C3462" s="1" t="s">
        <v>1205</v>
      </c>
      <c r="D3462" s="6">
        <v>29.0</v>
      </c>
      <c r="E3462" s="6">
        <v>376761.0</v>
      </c>
      <c r="F3462" s="6">
        <v>477550.0</v>
      </c>
      <c r="G3462" s="6">
        <v>4138.0</v>
      </c>
      <c r="H3462" s="6">
        <v>91.0491</v>
      </c>
      <c r="I3462" s="6">
        <v>115.406</v>
      </c>
      <c r="J3462" s="6">
        <v>-24.3569</v>
      </c>
    </row>
    <row r="3463">
      <c r="A3463" s="1" t="s">
        <v>26</v>
      </c>
      <c r="B3463" s="1" t="s">
        <v>180</v>
      </c>
      <c r="C3463" s="1" t="s">
        <v>1205</v>
      </c>
      <c r="D3463" s="6">
        <v>30.0</v>
      </c>
      <c r="E3463" s="6">
        <v>660797.0</v>
      </c>
      <c r="F3463" s="6">
        <v>568200.0</v>
      </c>
      <c r="G3463" s="6">
        <v>4138.0</v>
      </c>
      <c r="H3463" s="6">
        <v>159.6899</v>
      </c>
      <c r="I3463" s="6">
        <v>137.3127</v>
      </c>
      <c r="J3463" s="6">
        <v>22.3772</v>
      </c>
    </row>
    <row r="3464">
      <c r="A3464" s="1" t="s">
        <v>26</v>
      </c>
      <c r="B3464" s="1" t="s">
        <v>180</v>
      </c>
      <c r="C3464" s="1" t="s">
        <v>1205</v>
      </c>
      <c r="D3464" s="6">
        <v>31.0</v>
      </c>
      <c r="E3464" s="6">
        <v>523287.0</v>
      </c>
      <c r="F3464" s="6">
        <v>563850.0</v>
      </c>
      <c r="G3464" s="6">
        <v>4138.0</v>
      </c>
      <c r="H3464" s="6">
        <v>126.4589</v>
      </c>
      <c r="I3464" s="6">
        <v>136.2615</v>
      </c>
      <c r="J3464" s="6">
        <v>-9.8026</v>
      </c>
    </row>
    <row r="3465">
      <c r="A3465" s="1" t="s">
        <v>26</v>
      </c>
      <c r="B3465" s="1" t="s">
        <v>180</v>
      </c>
      <c r="C3465" s="1" t="s">
        <v>1205</v>
      </c>
      <c r="D3465" s="6">
        <v>32.0</v>
      </c>
      <c r="E3465" s="6">
        <v>619537.0</v>
      </c>
      <c r="F3465" s="6">
        <v>624500.0</v>
      </c>
      <c r="G3465" s="6">
        <v>4138.0</v>
      </c>
      <c r="H3465" s="6">
        <v>149.7189</v>
      </c>
      <c r="I3465" s="6">
        <v>150.9183</v>
      </c>
      <c r="J3465" s="6">
        <v>-1.1994</v>
      </c>
    </row>
    <row r="3466">
      <c r="A3466" s="1" t="s">
        <v>26</v>
      </c>
      <c r="B3466" s="1" t="s">
        <v>180</v>
      </c>
      <c r="C3466" s="1" t="s">
        <v>1205</v>
      </c>
      <c r="D3466" s="6">
        <v>33.0</v>
      </c>
      <c r="E3466" s="6">
        <v>517632.0</v>
      </c>
      <c r="F3466" s="6">
        <v>570250.0</v>
      </c>
      <c r="G3466" s="6">
        <v>4138.0</v>
      </c>
      <c r="H3466" s="6">
        <v>125.0923</v>
      </c>
      <c r="I3466" s="6">
        <v>137.8081</v>
      </c>
      <c r="J3466" s="6">
        <v>-12.7158</v>
      </c>
    </row>
    <row r="3467">
      <c r="A3467" s="1" t="s">
        <v>26</v>
      </c>
      <c r="B3467" s="1" t="s">
        <v>180</v>
      </c>
      <c r="C3467" s="1" t="s">
        <v>52</v>
      </c>
      <c r="D3467" s="6">
        <v>1.0</v>
      </c>
      <c r="E3467" s="6">
        <v>2286.0</v>
      </c>
      <c r="F3467" s="6">
        <v>2981.0</v>
      </c>
      <c r="G3467" s="6">
        <v>4017.0</v>
      </c>
      <c r="H3467" s="6">
        <v>0.5691</v>
      </c>
      <c r="I3467" s="6">
        <v>0.7421</v>
      </c>
      <c r="J3467" s="6">
        <v>-0.173</v>
      </c>
    </row>
    <row r="3468">
      <c r="A3468" s="1" t="s">
        <v>26</v>
      </c>
      <c r="B3468" s="1" t="s">
        <v>180</v>
      </c>
      <c r="C3468" s="1" t="s">
        <v>52</v>
      </c>
      <c r="D3468" s="6">
        <v>2.0</v>
      </c>
      <c r="E3468" s="6">
        <v>2467.0</v>
      </c>
      <c r="F3468" s="6">
        <v>3584.0</v>
      </c>
      <c r="G3468" s="6">
        <v>4017.0</v>
      </c>
      <c r="H3468" s="6">
        <v>0.6141</v>
      </c>
      <c r="I3468" s="6">
        <v>0.8922</v>
      </c>
      <c r="J3468" s="6">
        <v>-0.2781</v>
      </c>
    </row>
    <row r="3469">
      <c r="A3469" s="1" t="s">
        <v>26</v>
      </c>
      <c r="B3469" s="1" t="s">
        <v>180</v>
      </c>
      <c r="C3469" s="1" t="s">
        <v>52</v>
      </c>
      <c r="D3469" s="6">
        <v>3.0</v>
      </c>
      <c r="E3469" s="6">
        <v>3013.0</v>
      </c>
      <c r="F3469" s="6">
        <v>3071.0</v>
      </c>
      <c r="G3469" s="6">
        <v>4017.0</v>
      </c>
      <c r="H3469" s="6">
        <v>0.7501</v>
      </c>
      <c r="I3469" s="6">
        <v>0.7645</v>
      </c>
      <c r="J3469" s="6">
        <v>-0.0144</v>
      </c>
    </row>
    <row r="3470">
      <c r="A3470" s="1" t="s">
        <v>26</v>
      </c>
      <c r="B3470" s="1" t="s">
        <v>180</v>
      </c>
      <c r="C3470" s="1" t="s">
        <v>52</v>
      </c>
      <c r="D3470" s="6">
        <v>4.0</v>
      </c>
      <c r="E3470" s="6">
        <v>2558.0</v>
      </c>
      <c r="F3470" s="6">
        <v>2909.0</v>
      </c>
      <c r="G3470" s="6">
        <v>4017.0</v>
      </c>
      <c r="H3470" s="6">
        <v>0.6368</v>
      </c>
      <c r="I3470" s="6">
        <v>0.7242</v>
      </c>
      <c r="J3470" s="6">
        <v>-0.0874</v>
      </c>
    </row>
    <row r="3471">
      <c r="A3471" s="1" t="s">
        <v>26</v>
      </c>
      <c r="B3471" s="1" t="s">
        <v>180</v>
      </c>
      <c r="C3471" s="1" t="s">
        <v>52</v>
      </c>
      <c r="D3471" s="6">
        <v>5.0</v>
      </c>
      <c r="E3471" s="6">
        <v>2823.0</v>
      </c>
      <c r="F3471" s="6">
        <v>3214.0</v>
      </c>
      <c r="G3471" s="6">
        <v>4017.0</v>
      </c>
      <c r="H3471" s="6">
        <v>0.7028</v>
      </c>
      <c r="I3471" s="6">
        <v>0.8001</v>
      </c>
      <c r="J3471" s="6">
        <v>-0.0973</v>
      </c>
    </row>
    <row r="3472">
      <c r="A3472" s="1" t="s">
        <v>26</v>
      </c>
      <c r="B3472" s="1" t="s">
        <v>180</v>
      </c>
      <c r="C3472" s="1" t="s">
        <v>52</v>
      </c>
      <c r="D3472" s="6">
        <v>6.0</v>
      </c>
      <c r="E3472" s="6">
        <v>3136.0</v>
      </c>
      <c r="F3472" s="6">
        <v>3185.0</v>
      </c>
      <c r="G3472" s="6">
        <v>4017.0</v>
      </c>
      <c r="H3472" s="6">
        <v>0.7807</v>
      </c>
      <c r="I3472" s="6">
        <v>0.7929</v>
      </c>
      <c r="J3472" s="6">
        <v>-0.0122</v>
      </c>
    </row>
    <row r="3473">
      <c r="A3473" s="1" t="s">
        <v>26</v>
      </c>
      <c r="B3473" s="1" t="s">
        <v>180</v>
      </c>
      <c r="C3473" s="1" t="s">
        <v>52</v>
      </c>
      <c r="D3473" s="6">
        <v>7.0</v>
      </c>
      <c r="E3473" s="6">
        <v>3001.0</v>
      </c>
      <c r="F3473" s="6">
        <v>3379.0</v>
      </c>
      <c r="G3473" s="6">
        <v>4017.0</v>
      </c>
      <c r="H3473" s="6">
        <v>0.7471</v>
      </c>
      <c r="I3473" s="6">
        <v>0.8412</v>
      </c>
      <c r="J3473" s="6">
        <v>-0.0941</v>
      </c>
    </row>
    <row r="3474">
      <c r="A3474" s="1" t="s">
        <v>26</v>
      </c>
      <c r="B3474" s="1" t="s">
        <v>180</v>
      </c>
      <c r="C3474" s="1" t="s">
        <v>52</v>
      </c>
      <c r="D3474" s="6">
        <v>8.0</v>
      </c>
      <c r="E3474" s="6">
        <v>2877.0</v>
      </c>
      <c r="F3474" s="6">
        <v>3129.0</v>
      </c>
      <c r="G3474" s="6">
        <v>4017.0</v>
      </c>
      <c r="H3474" s="6">
        <v>0.7162</v>
      </c>
      <c r="I3474" s="6">
        <v>0.7789</v>
      </c>
      <c r="J3474" s="6">
        <v>-0.0627</v>
      </c>
    </row>
    <row r="3475">
      <c r="A3475" s="1" t="s">
        <v>26</v>
      </c>
      <c r="B3475" s="1" t="s">
        <v>180</v>
      </c>
      <c r="C3475" s="1" t="s">
        <v>52</v>
      </c>
      <c r="D3475" s="6">
        <v>9.0</v>
      </c>
      <c r="E3475" s="6">
        <v>2338.0</v>
      </c>
      <c r="F3475" s="6">
        <v>3187.0</v>
      </c>
      <c r="G3475" s="6">
        <v>4017.0</v>
      </c>
      <c r="H3475" s="6">
        <v>0.582</v>
      </c>
      <c r="I3475" s="6">
        <v>0.7934</v>
      </c>
      <c r="J3475" s="6">
        <v>-0.2114</v>
      </c>
    </row>
    <row r="3476">
      <c r="A3476" s="1" t="s">
        <v>26</v>
      </c>
      <c r="B3476" s="1" t="s">
        <v>180</v>
      </c>
      <c r="C3476" s="1" t="s">
        <v>52</v>
      </c>
      <c r="D3476" s="6">
        <v>10.0</v>
      </c>
      <c r="E3476" s="6">
        <v>3172.0</v>
      </c>
      <c r="F3476" s="6">
        <v>3435.0</v>
      </c>
      <c r="G3476" s="6">
        <v>4017.0</v>
      </c>
      <c r="H3476" s="6">
        <v>0.7896</v>
      </c>
      <c r="I3476" s="6">
        <v>0.8551</v>
      </c>
      <c r="J3476" s="6">
        <v>-0.0655</v>
      </c>
    </row>
    <row r="3477">
      <c r="A3477" s="1" t="s">
        <v>26</v>
      </c>
      <c r="B3477" s="1" t="s">
        <v>180</v>
      </c>
      <c r="C3477" s="1" t="s">
        <v>52</v>
      </c>
      <c r="D3477" s="6">
        <v>11.0</v>
      </c>
      <c r="E3477" s="6">
        <v>2482.0</v>
      </c>
      <c r="F3477" s="6">
        <v>2835.0</v>
      </c>
      <c r="G3477" s="6">
        <v>4017.0</v>
      </c>
      <c r="H3477" s="6">
        <v>0.6179</v>
      </c>
      <c r="I3477" s="6">
        <v>0.7058</v>
      </c>
      <c r="J3477" s="6">
        <v>-0.0879</v>
      </c>
    </row>
    <row r="3478">
      <c r="A3478" s="1" t="s">
        <v>26</v>
      </c>
      <c r="B3478" s="1" t="s">
        <v>180</v>
      </c>
      <c r="C3478" s="1" t="s">
        <v>52</v>
      </c>
      <c r="D3478" s="6">
        <v>12.0</v>
      </c>
      <c r="E3478" s="6">
        <v>2813.0</v>
      </c>
      <c r="F3478" s="6">
        <v>3467.0</v>
      </c>
      <c r="G3478" s="6">
        <v>4017.0</v>
      </c>
      <c r="H3478" s="6">
        <v>0.7003</v>
      </c>
      <c r="I3478" s="6">
        <v>0.8631</v>
      </c>
      <c r="J3478" s="6">
        <v>-0.1628</v>
      </c>
    </row>
    <row r="3479">
      <c r="A3479" s="1" t="s">
        <v>26</v>
      </c>
      <c r="B3479" s="1" t="s">
        <v>180</v>
      </c>
      <c r="C3479" s="1" t="s">
        <v>52</v>
      </c>
      <c r="D3479" s="6">
        <v>13.0</v>
      </c>
      <c r="E3479" s="6">
        <v>2950.0</v>
      </c>
      <c r="F3479" s="6">
        <v>3291.0</v>
      </c>
      <c r="G3479" s="6">
        <v>4017.0</v>
      </c>
      <c r="H3479" s="6">
        <v>0.7344</v>
      </c>
      <c r="I3479" s="6">
        <v>0.8193</v>
      </c>
      <c r="J3479" s="6">
        <v>-0.0849</v>
      </c>
    </row>
    <row r="3480">
      <c r="A3480" s="1" t="s">
        <v>26</v>
      </c>
      <c r="B3480" s="1" t="s">
        <v>180</v>
      </c>
      <c r="C3480" s="1" t="s">
        <v>52</v>
      </c>
      <c r="D3480" s="6">
        <v>14.0</v>
      </c>
      <c r="E3480" s="6">
        <v>2732.0</v>
      </c>
      <c r="F3480" s="6">
        <v>3036.0</v>
      </c>
      <c r="G3480" s="6">
        <v>4017.0</v>
      </c>
      <c r="H3480" s="6">
        <v>0.6801</v>
      </c>
      <c r="I3480" s="6">
        <v>0.7558</v>
      </c>
      <c r="J3480" s="6">
        <v>-0.0757</v>
      </c>
    </row>
    <row r="3481">
      <c r="A3481" s="1" t="s">
        <v>26</v>
      </c>
      <c r="B3481" s="1" t="s">
        <v>180</v>
      </c>
      <c r="C3481" s="1" t="s">
        <v>52</v>
      </c>
      <c r="D3481" s="6">
        <v>15.0</v>
      </c>
      <c r="E3481" s="6">
        <v>2929.0</v>
      </c>
      <c r="F3481" s="6">
        <v>3339.0</v>
      </c>
      <c r="G3481" s="6">
        <v>4017.0</v>
      </c>
      <c r="H3481" s="6">
        <v>0.7292</v>
      </c>
      <c r="I3481" s="6">
        <v>0.8312</v>
      </c>
      <c r="J3481" s="6">
        <v>-0.1021</v>
      </c>
    </row>
    <row r="3482">
      <c r="A3482" s="1" t="s">
        <v>26</v>
      </c>
      <c r="B3482" s="1" t="s">
        <v>180</v>
      </c>
      <c r="C3482" s="1" t="s">
        <v>52</v>
      </c>
      <c r="D3482" s="6">
        <v>16.0</v>
      </c>
      <c r="E3482" s="6">
        <v>2950.0</v>
      </c>
      <c r="F3482" s="6">
        <v>3294.0</v>
      </c>
      <c r="G3482" s="6">
        <v>4017.0</v>
      </c>
      <c r="H3482" s="6">
        <v>0.7344</v>
      </c>
      <c r="I3482" s="6">
        <v>0.82</v>
      </c>
      <c r="J3482" s="6">
        <v>-0.0856</v>
      </c>
    </row>
    <row r="3483">
      <c r="A3483" s="1" t="s">
        <v>26</v>
      </c>
      <c r="B3483" s="1" t="s">
        <v>180</v>
      </c>
      <c r="C3483" s="1" t="s">
        <v>52</v>
      </c>
      <c r="D3483" s="6">
        <v>17.0</v>
      </c>
      <c r="E3483" s="6">
        <v>3782.0</v>
      </c>
      <c r="F3483" s="6">
        <v>3565.0</v>
      </c>
      <c r="G3483" s="6">
        <v>4017.0</v>
      </c>
      <c r="H3483" s="6">
        <v>0.9415</v>
      </c>
      <c r="I3483" s="6">
        <v>0.8875</v>
      </c>
      <c r="J3483" s="6">
        <v>0.054</v>
      </c>
    </row>
    <row r="3484">
      <c r="A3484" s="1" t="s">
        <v>26</v>
      </c>
      <c r="B3484" s="1" t="s">
        <v>180</v>
      </c>
      <c r="C3484" s="1" t="s">
        <v>52</v>
      </c>
      <c r="D3484" s="6">
        <v>18.0</v>
      </c>
      <c r="E3484" s="6">
        <v>3106.0</v>
      </c>
      <c r="F3484" s="6">
        <v>3543.0</v>
      </c>
      <c r="G3484" s="6">
        <v>4017.0</v>
      </c>
      <c r="H3484" s="6">
        <v>0.7732</v>
      </c>
      <c r="I3484" s="6">
        <v>0.882</v>
      </c>
      <c r="J3484" s="6">
        <v>-0.1088</v>
      </c>
    </row>
    <row r="3485">
      <c r="A3485" s="1" t="s">
        <v>26</v>
      </c>
      <c r="B3485" s="1" t="s">
        <v>180</v>
      </c>
      <c r="C3485" s="1" t="s">
        <v>52</v>
      </c>
      <c r="D3485" s="6">
        <v>19.0</v>
      </c>
      <c r="E3485" s="6">
        <v>3056.0</v>
      </c>
      <c r="F3485" s="6">
        <v>3528.0</v>
      </c>
      <c r="G3485" s="6">
        <v>4017.0</v>
      </c>
      <c r="H3485" s="6">
        <v>0.7608</v>
      </c>
      <c r="I3485" s="6">
        <v>0.8783</v>
      </c>
      <c r="J3485" s="6">
        <v>-0.1175</v>
      </c>
    </row>
    <row r="3486">
      <c r="A3486" s="1" t="s">
        <v>26</v>
      </c>
      <c r="B3486" s="1" t="s">
        <v>180</v>
      </c>
      <c r="C3486" s="1" t="s">
        <v>52</v>
      </c>
      <c r="D3486" s="6">
        <v>20.0</v>
      </c>
      <c r="E3486" s="6">
        <v>3671.0</v>
      </c>
      <c r="F3486" s="6">
        <v>3731.0</v>
      </c>
      <c r="G3486" s="6">
        <v>4017.0</v>
      </c>
      <c r="H3486" s="6">
        <v>0.9139</v>
      </c>
      <c r="I3486" s="6">
        <v>0.9288</v>
      </c>
      <c r="J3486" s="6">
        <v>-0.0149</v>
      </c>
    </row>
    <row r="3487">
      <c r="A3487" s="1" t="s">
        <v>26</v>
      </c>
      <c r="B3487" s="1" t="s">
        <v>180</v>
      </c>
      <c r="C3487" s="1" t="s">
        <v>52</v>
      </c>
      <c r="D3487" s="6">
        <v>21.0</v>
      </c>
      <c r="E3487" s="6">
        <v>3935.0</v>
      </c>
      <c r="F3487" s="6">
        <v>3845.0</v>
      </c>
      <c r="G3487" s="6">
        <v>4017.0</v>
      </c>
      <c r="H3487" s="6">
        <v>0.9796</v>
      </c>
      <c r="I3487" s="6">
        <v>0.9572</v>
      </c>
      <c r="J3487" s="6">
        <v>0.0224</v>
      </c>
    </row>
    <row r="3488">
      <c r="A3488" s="1" t="s">
        <v>26</v>
      </c>
      <c r="B3488" s="1" t="s">
        <v>180</v>
      </c>
      <c r="C3488" s="1" t="s">
        <v>52</v>
      </c>
      <c r="D3488" s="6">
        <v>22.0</v>
      </c>
      <c r="E3488" s="6">
        <v>3613.0</v>
      </c>
      <c r="F3488" s="6">
        <v>3805.0</v>
      </c>
      <c r="G3488" s="6">
        <v>4017.0</v>
      </c>
      <c r="H3488" s="6">
        <v>0.8994</v>
      </c>
      <c r="I3488" s="6">
        <v>0.9472</v>
      </c>
      <c r="J3488" s="6">
        <v>-0.0478</v>
      </c>
    </row>
    <row r="3489">
      <c r="A3489" s="1" t="s">
        <v>26</v>
      </c>
      <c r="B3489" s="1" t="s">
        <v>180</v>
      </c>
      <c r="C3489" s="1" t="s">
        <v>52</v>
      </c>
      <c r="D3489" s="6">
        <v>23.0</v>
      </c>
      <c r="E3489" s="6">
        <v>3121.0</v>
      </c>
      <c r="F3489" s="6">
        <v>3558.0</v>
      </c>
      <c r="G3489" s="6">
        <v>4017.0</v>
      </c>
      <c r="H3489" s="6">
        <v>0.7769</v>
      </c>
      <c r="I3489" s="6">
        <v>0.8857</v>
      </c>
      <c r="J3489" s="6">
        <v>-0.1088</v>
      </c>
    </row>
    <row r="3490">
      <c r="A3490" s="1" t="s">
        <v>26</v>
      </c>
      <c r="B3490" s="1" t="s">
        <v>180</v>
      </c>
      <c r="C3490" s="1" t="s">
        <v>52</v>
      </c>
      <c r="D3490" s="6">
        <v>24.0</v>
      </c>
      <c r="E3490" s="6">
        <v>3835.0</v>
      </c>
      <c r="F3490" s="6">
        <v>4059.0</v>
      </c>
      <c r="G3490" s="6">
        <v>4017.0</v>
      </c>
      <c r="H3490" s="6">
        <v>0.9547</v>
      </c>
      <c r="I3490" s="6">
        <v>1.0105</v>
      </c>
      <c r="J3490" s="6">
        <v>-0.0558</v>
      </c>
    </row>
    <row r="3491">
      <c r="A3491" s="1" t="s">
        <v>26</v>
      </c>
      <c r="B3491" s="1" t="s">
        <v>180</v>
      </c>
      <c r="C3491" s="1" t="s">
        <v>52</v>
      </c>
      <c r="D3491" s="6">
        <v>25.0</v>
      </c>
      <c r="E3491" s="6">
        <v>3288.0</v>
      </c>
      <c r="F3491" s="6">
        <v>3704.0</v>
      </c>
      <c r="G3491" s="6">
        <v>4017.0</v>
      </c>
      <c r="H3491" s="6">
        <v>0.8185</v>
      </c>
      <c r="I3491" s="6">
        <v>0.9221</v>
      </c>
      <c r="J3491" s="6">
        <v>-0.1036</v>
      </c>
    </row>
    <row r="3492">
      <c r="A3492" s="1" t="s">
        <v>26</v>
      </c>
      <c r="B3492" s="1" t="s">
        <v>180</v>
      </c>
      <c r="C3492" s="1" t="s">
        <v>52</v>
      </c>
      <c r="D3492" s="6">
        <v>26.0</v>
      </c>
      <c r="E3492" s="6">
        <v>3391.0</v>
      </c>
      <c r="F3492" s="6">
        <v>3849.0</v>
      </c>
      <c r="G3492" s="6">
        <v>4017.0</v>
      </c>
      <c r="H3492" s="6">
        <v>0.8442</v>
      </c>
      <c r="I3492" s="6">
        <v>0.9582</v>
      </c>
      <c r="J3492" s="6">
        <v>-0.114</v>
      </c>
    </row>
    <row r="3493">
      <c r="A3493" s="1" t="s">
        <v>26</v>
      </c>
      <c r="B3493" s="1" t="s">
        <v>180</v>
      </c>
      <c r="C3493" s="1" t="s">
        <v>52</v>
      </c>
      <c r="D3493" s="6">
        <v>27.0</v>
      </c>
      <c r="E3493" s="6">
        <v>3708.0</v>
      </c>
      <c r="F3493" s="6">
        <v>4214.0</v>
      </c>
      <c r="G3493" s="6">
        <v>4017.0</v>
      </c>
      <c r="H3493" s="6">
        <v>0.9231</v>
      </c>
      <c r="I3493" s="6">
        <v>1.049</v>
      </c>
      <c r="J3493" s="6">
        <v>-0.126</v>
      </c>
    </row>
    <row r="3494">
      <c r="A3494" s="1" t="s">
        <v>26</v>
      </c>
      <c r="B3494" s="1" t="s">
        <v>180</v>
      </c>
      <c r="C3494" s="1" t="s">
        <v>52</v>
      </c>
      <c r="D3494" s="6">
        <v>28.0</v>
      </c>
      <c r="E3494" s="6">
        <v>3213.0</v>
      </c>
      <c r="F3494" s="6">
        <v>3878.0</v>
      </c>
      <c r="G3494" s="6">
        <v>4017.0</v>
      </c>
      <c r="H3494" s="6">
        <v>0.7999</v>
      </c>
      <c r="I3494" s="6">
        <v>0.9654</v>
      </c>
      <c r="J3494" s="6">
        <v>-0.1655</v>
      </c>
    </row>
    <row r="3495">
      <c r="A3495" s="1" t="s">
        <v>26</v>
      </c>
      <c r="B3495" s="1" t="s">
        <v>180</v>
      </c>
      <c r="C3495" s="1" t="s">
        <v>52</v>
      </c>
      <c r="D3495" s="6">
        <v>29.0</v>
      </c>
      <c r="E3495" s="6">
        <v>3386.0</v>
      </c>
      <c r="F3495" s="6">
        <v>4373.0</v>
      </c>
      <c r="G3495" s="6">
        <v>4017.0</v>
      </c>
      <c r="H3495" s="6">
        <v>0.8429</v>
      </c>
      <c r="I3495" s="6">
        <v>1.0886</v>
      </c>
      <c r="J3495" s="6">
        <v>-0.2457</v>
      </c>
    </row>
    <row r="3496">
      <c r="A3496" s="1" t="s">
        <v>26</v>
      </c>
      <c r="B3496" s="1" t="s">
        <v>180</v>
      </c>
      <c r="C3496" s="1" t="s">
        <v>52</v>
      </c>
      <c r="D3496" s="6">
        <v>30.0</v>
      </c>
      <c r="E3496" s="6">
        <v>3850.0</v>
      </c>
      <c r="F3496" s="6">
        <v>4583.0</v>
      </c>
      <c r="G3496" s="6">
        <v>4017.0</v>
      </c>
      <c r="H3496" s="6">
        <v>0.9584</v>
      </c>
      <c r="I3496" s="6">
        <v>1.1409</v>
      </c>
      <c r="J3496" s="6">
        <v>-0.1825</v>
      </c>
    </row>
    <row r="3497">
      <c r="A3497" s="1" t="s">
        <v>26</v>
      </c>
      <c r="B3497" s="1" t="s">
        <v>180</v>
      </c>
      <c r="C3497" s="1" t="s">
        <v>52</v>
      </c>
      <c r="D3497" s="6">
        <v>31.0</v>
      </c>
      <c r="E3497" s="6">
        <v>5175.0</v>
      </c>
      <c r="F3497" s="6">
        <v>5263.0</v>
      </c>
      <c r="G3497" s="6">
        <v>4017.0</v>
      </c>
      <c r="H3497" s="6">
        <v>1.2883</v>
      </c>
      <c r="I3497" s="6">
        <v>1.3102</v>
      </c>
      <c r="J3497" s="6">
        <v>-0.0219</v>
      </c>
    </row>
    <row r="3498">
      <c r="A3498" s="1" t="s">
        <v>26</v>
      </c>
      <c r="B3498" s="1" t="s">
        <v>180</v>
      </c>
      <c r="C3498" s="1" t="s">
        <v>52</v>
      </c>
      <c r="D3498" s="6">
        <v>32.0</v>
      </c>
      <c r="E3498" s="6">
        <v>4676.0</v>
      </c>
      <c r="F3498" s="6">
        <v>5262.0</v>
      </c>
      <c r="G3498" s="6">
        <v>4017.0</v>
      </c>
      <c r="H3498" s="6">
        <v>1.1641</v>
      </c>
      <c r="I3498" s="6">
        <v>1.3099</v>
      </c>
      <c r="J3498" s="6">
        <v>-0.1459</v>
      </c>
    </row>
    <row r="3499">
      <c r="A3499" s="1" t="s">
        <v>26</v>
      </c>
      <c r="B3499" s="1" t="s">
        <v>180</v>
      </c>
      <c r="C3499" s="1" t="s">
        <v>52</v>
      </c>
      <c r="D3499" s="6">
        <v>33.0</v>
      </c>
      <c r="E3499" s="6">
        <v>5133.0</v>
      </c>
      <c r="F3499" s="6">
        <v>5659.0</v>
      </c>
      <c r="G3499" s="6">
        <v>4017.0</v>
      </c>
      <c r="H3499" s="6">
        <v>1.2778</v>
      </c>
      <c r="I3499" s="6">
        <v>1.4088</v>
      </c>
      <c r="J3499" s="6">
        <v>-0.1309</v>
      </c>
    </row>
    <row r="3500">
      <c r="A3500" s="1" t="s">
        <v>26</v>
      </c>
      <c r="B3500" s="1" t="s">
        <v>180</v>
      </c>
      <c r="C3500" s="1" t="s">
        <v>53</v>
      </c>
      <c r="D3500" s="6">
        <v>1.0</v>
      </c>
      <c r="E3500" s="6">
        <v>2540.0</v>
      </c>
      <c r="F3500" s="6">
        <v>4044.0</v>
      </c>
      <c r="G3500" s="6">
        <v>4029.0</v>
      </c>
      <c r="H3500" s="6">
        <v>0.6304</v>
      </c>
      <c r="I3500" s="6">
        <v>1.0037</v>
      </c>
      <c r="J3500" s="6">
        <v>-0.3733</v>
      </c>
    </row>
    <row r="3501">
      <c r="A3501" s="1" t="s">
        <v>26</v>
      </c>
      <c r="B3501" s="1" t="s">
        <v>180</v>
      </c>
      <c r="C3501" s="1" t="s">
        <v>53</v>
      </c>
      <c r="D3501" s="6">
        <v>2.0</v>
      </c>
      <c r="E3501" s="6">
        <v>3386.0</v>
      </c>
      <c r="F3501" s="6">
        <v>4730.0</v>
      </c>
      <c r="G3501" s="6">
        <v>4029.0</v>
      </c>
      <c r="H3501" s="6">
        <v>0.8404</v>
      </c>
      <c r="I3501" s="6">
        <v>1.174</v>
      </c>
      <c r="J3501" s="6">
        <v>-0.3336</v>
      </c>
    </row>
    <row r="3502">
      <c r="A3502" s="1" t="s">
        <v>26</v>
      </c>
      <c r="B3502" s="1" t="s">
        <v>180</v>
      </c>
      <c r="C3502" s="1" t="s">
        <v>53</v>
      </c>
      <c r="D3502" s="6">
        <v>3.0</v>
      </c>
      <c r="E3502" s="6">
        <v>3096.0</v>
      </c>
      <c r="F3502" s="6">
        <v>4190.0</v>
      </c>
      <c r="G3502" s="6">
        <v>4029.0</v>
      </c>
      <c r="H3502" s="6">
        <v>0.7684</v>
      </c>
      <c r="I3502" s="6">
        <v>1.04</v>
      </c>
      <c r="J3502" s="6">
        <v>-0.2715</v>
      </c>
    </row>
    <row r="3503">
      <c r="A3503" s="1" t="s">
        <v>26</v>
      </c>
      <c r="B3503" s="1" t="s">
        <v>180</v>
      </c>
      <c r="C3503" s="1" t="s">
        <v>53</v>
      </c>
      <c r="D3503" s="6">
        <v>4.0</v>
      </c>
      <c r="E3503" s="6">
        <v>3018.0</v>
      </c>
      <c r="F3503" s="6">
        <v>4377.0</v>
      </c>
      <c r="G3503" s="6">
        <v>4029.0</v>
      </c>
      <c r="H3503" s="6">
        <v>0.7491</v>
      </c>
      <c r="I3503" s="6">
        <v>1.0864</v>
      </c>
      <c r="J3503" s="6">
        <v>-0.3373</v>
      </c>
    </row>
    <row r="3504">
      <c r="A3504" s="1" t="s">
        <v>26</v>
      </c>
      <c r="B3504" s="1" t="s">
        <v>180</v>
      </c>
      <c r="C3504" s="1" t="s">
        <v>53</v>
      </c>
      <c r="D3504" s="6">
        <v>5.0</v>
      </c>
      <c r="E3504" s="6">
        <v>2855.0</v>
      </c>
      <c r="F3504" s="6">
        <v>4476.0</v>
      </c>
      <c r="G3504" s="6">
        <v>4029.0</v>
      </c>
      <c r="H3504" s="6">
        <v>0.7086</v>
      </c>
      <c r="I3504" s="6">
        <v>1.1109</v>
      </c>
      <c r="J3504" s="6">
        <v>-0.4023</v>
      </c>
    </row>
    <row r="3505">
      <c r="A3505" s="1" t="s">
        <v>26</v>
      </c>
      <c r="B3505" s="1" t="s">
        <v>180</v>
      </c>
      <c r="C3505" s="1" t="s">
        <v>53</v>
      </c>
      <c r="D3505" s="6">
        <v>6.0</v>
      </c>
      <c r="E3505" s="6">
        <v>3403.0</v>
      </c>
      <c r="F3505" s="6">
        <v>4303.0</v>
      </c>
      <c r="G3505" s="6">
        <v>4029.0</v>
      </c>
      <c r="H3505" s="6">
        <v>0.8446</v>
      </c>
      <c r="I3505" s="6">
        <v>1.068</v>
      </c>
      <c r="J3505" s="6">
        <v>-0.2234</v>
      </c>
    </row>
    <row r="3506">
      <c r="A3506" s="1" t="s">
        <v>26</v>
      </c>
      <c r="B3506" s="1" t="s">
        <v>180</v>
      </c>
      <c r="C3506" s="1" t="s">
        <v>53</v>
      </c>
      <c r="D3506" s="6">
        <v>7.0</v>
      </c>
      <c r="E3506" s="6">
        <v>3275.0</v>
      </c>
      <c r="F3506" s="6">
        <v>4626.0</v>
      </c>
      <c r="G3506" s="6">
        <v>4029.0</v>
      </c>
      <c r="H3506" s="6">
        <v>0.8129</v>
      </c>
      <c r="I3506" s="6">
        <v>1.1482</v>
      </c>
      <c r="J3506" s="6">
        <v>-0.3353</v>
      </c>
    </row>
    <row r="3507">
      <c r="A3507" s="1" t="s">
        <v>26</v>
      </c>
      <c r="B3507" s="1" t="s">
        <v>180</v>
      </c>
      <c r="C3507" s="1" t="s">
        <v>53</v>
      </c>
      <c r="D3507" s="6">
        <v>8.0</v>
      </c>
      <c r="E3507" s="6">
        <v>2772.0</v>
      </c>
      <c r="F3507" s="6">
        <v>4686.0</v>
      </c>
      <c r="G3507" s="6">
        <v>4029.0</v>
      </c>
      <c r="H3507" s="6">
        <v>0.688</v>
      </c>
      <c r="I3507" s="6">
        <v>1.1631</v>
      </c>
      <c r="J3507" s="6">
        <v>-0.4751</v>
      </c>
    </row>
    <row r="3508">
      <c r="A3508" s="1" t="s">
        <v>26</v>
      </c>
      <c r="B3508" s="1" t="s">
        <v>180</v>
      </c>
      <c r="C3508" s="1" t="s">
        <v>53</v>
      </c>
      <c r="D3508" s="6">
        <v>9.0</v>
      </c>
      <c r="E3508" s="6">
        <v>2914.0</v>
      </c>
      <c r="F3508" s="6">
        <v>4980.0</v>
      </c>
      <c r="G3508" s="6">
        <v>4029.0</v>
      </c>
      <c r="H3508" s="6">
        <v>0.7233</v>
      </c>
      <c r="I3508" s="6">
        <v>1.236</v>
      </c>
      <c r="J3508" s="6">
        <v>-0.5128</v>
      </c>
    </row>
    <row r="3509">
      <c r="A3509" s="1" t="s">
        <v>26</v>
      </c>
      <c r="B3509" s="1" t="s">
        <v>180</v>
      </c>
      <c r="C3509" s="1" t="s">
        <v>53</v>
      </c>
      <c r="D3509" s="6">
        <v>10.0</v>
      </c>
      <c r="E3509" s="6">
        <v>3331.0</v>
      </c>
      <c r="F3509" s="6">
        <v>6661.0</v>
      </c>
      <c r="G3509" s="6">
        <v>4029.0</v>
      </c>
      <c r="H3509" s="6">
        <v>0.8268</v>
      </c>
      <c r="I3509" s="6">
        <v>1.6533</v>
      </c>
      <c r="J3509" s="6">
        <v>-0.8265</v>
      </c>
    </row>
    <row r="3510">
      <c r="A3510" s="1" t="s">
        <v>26</v>
      </c>
      <c r="B3510" s="1" t="s">
        <v>180</v>
      </c>
      <c r="C3510" s="1" t="s">
        <v>53</v>
      </c>
      <c r="D3510" s="6">
        <v>11.0</v>
      </c>
      <c r="E3510" s="6">
        <v>3227.0</v>
      </c>
      <c r="F3510" s="6">
        <v>5078.0</v>
      </c>
      <c r="G3510" s="6">
        <v>4029.0</v>
      </c>
      <c r="H3510" s="6">
        <v>0.8009</v>
      </c>
      <c r="I3510" s="6">
        <v>1.2604</v>
      </c>
      <c r="J3510" s="6">
        <v>-0.4594</v>
      </c>
    </row>
    <row r="3511">
      <c r="A3511" s="1" t="s">
        <v>26</v>
      </c>
      <c r="B3511" s="1" t="s">
        <v>180</v>
      </c>
      <c r="C3511" s="1" t="s">
        <v>53</v>
      </c>
      <c r="D3511" s="6">
        <v>12.0</v>
      </c>
      <c r="E3511" s="6">
        <v>3019.0</v>
      </c>
      <c r="F3511" s="6">
        <v>6284.0</v>
      </c>
      <c r="G3511" s="6">
        <v>4029.0</v>
      </c>
      <c r="H3511" s="6">
        <v>0.7493</v>
      </c>
      <c r="I3511" s="6">
        <v>1.5597</v>
      </c>
      <c r="J3511" s="6">
        <v>-0.8104</v>
      </c>
    </row>
    <row r="3512">
      <c r="A3512" s="1" t="s">
        <v>26</v>
      </c>
      <c r="B3512" s="1" t="s">
        <v>180</v>
      </c>
      <c r="C3512" s="1" t="s">
        <v>53</v>
      </c>
      <c r="D3512" s="6">
        <v>13.0</v>
      </c>
      <c r="E3512" s="6">
        <v>3489.0</v>
      </c>
      <c r="F3512" s="6">
        <v>4940.0</v>
      </c>
      <c r="G3512" s="6">
        <v>4029.0</v>
      </c>
      <c r="H3512" s="6">
        <v>0.866</v>
      </c>
      <c r="I3512" s="6">
        <v>1.2261</v>
      </c>
      <c r="J3512" s="6">
        <v>-0.3601</v>
      </c>
    </row>
    <row r="3513">
      <c r="A3513" s="1" t="s">
        <v>26</v>
      </c>
      <c r="B3513" s="1" t="s">
        <v>180</v>
      </c>
      <c r="C3513" s="1" t="s">
        <v>53</v>
      </c>
      <c r="D3513" s="6">
        <v>14.0</v>
      </c>
      <c r="E3513" s="6">
        <v>3321.0</v>
      </c>
      <c r="F3513" s="6">
        <v>5456.0</v>
      </c>
      <c r="G3513" s="6">
        <v>4029.0</v>
      </c>
      <c r="H3513" s="6">
        <v>0.8243</v>
      </c>
      <c r="I3513" s="6">
        <v>1.3542</v>
      </c>
      <c r="J3513" s="6">
        <v>-0.5299</v>
      </c>
    </row>
    <row r="3514">
      <c r="A3514" s="1" t="s">
        <v>26</v>
      </c>
      <c r="B3514" s="1" t="s">
        <v>180</v>
      </c>
      <c r="C3514" s="1" t="s">
        <v>53</v>
      </c>
      <c r="D3514" s="6">
        <v>15.0</v>
      </c>
      <c r="E3514" s="6">
        <v>3103.0</v>
      </c>
      <c r="F3514" s="6">
        <v>4866.0</v>
      </c>
      <c r="G3514" s="6">
        <v>4029.0</v>
      </c>
      <c r="H3514" s="6">
        <v>0.7702</v>
      </c>
      <c r="I3514" s="6">
        <v>1.2077</v>
      </c>
      <c r="J3514" s="6">
        <v>-0.4376</v>
      </c>
    </row>
    <row r="3515">
      <c r="A3515" s="1" t="s">
        <v>26</v>
      </c>
      <c r="B3515" s="1" t="s">
        <v>180</v>
      </c>
      <c r="C3515" s="1" t="s">
        <v>53</v>
      </c>
      <c r="D3515" s="6">
        <v>16.0</v>
      </c>
      <c r="E3515" s="6">
        <v>3977.0</v>
      </c>
      <c r="F3515" s="6">
        <v>4729.0</v>
      </c>
      <c r="G3515" s="6">
        <v>4029.0</v>
      </c>
      <c r="H3515" s="6">
        <v>0.9871</v>
      </c>
      <c r="I3515" s="6">
        <v>1.1737</v>
      </c>
      <c r="J3515" s="6">
        <v>-0.1866</v>
      </c>
    </row>
    <row r="3516">
      <c r="A3516" s="1" t="s">
        <v>26</v>
      </c>
      <c r="B3516" s="1" t="s">
        <v>180</v>
      </c>
      <c r="C3516" s="1" t="s">
        <v>53</v>
      </c>
      <c r="D3516" s="6">
        <v>17.0</v>
      </c>
      <c r="E3516" s="6">
        <v>3842.0</v>
      </c>
      <c r="F3516" s="6">
        <v>7215.0</v>
      </c>
      <c r="G3516" s="6">
        <v>4029.0</v>
      </c>
      <c r="H3516" s="6">
        <v>0.9536</v>
      </c>
      <c r="I3516" s="6">
        <v>1.7908</v>
      </c>
      <c r="J3516" s="6">
        <v>-0.8372</v>
      </c>
    </row>
    <row r="3517">
      <c r="A3517" s="1" t="s">
        <v>26</v>
      </c>
      <c r="B3517" s="1" t="s">
        <v>180</v>
      </c>
      <c r="C3517" s="1" t="s">
        <v>53</v>
      </c>
      <c r="D3517" s="6">
        <v>18.0</v>
      </c>
      <c r="E3517" s="6">
        <v>3675.0</v>
      </c>
      <c r="F3517" s="6">
        <v>6020.0</v>
      </c>
      <c r="G3517" s="6">
        <v>4029.0</v>
      </c>
      <c r="H3517" s="6">
        <v>0.9121</v>
      </c>
      <c r="I3517" s="6">
        <v>1.4942</v>
      </c>
      <c r="J3517" s="6">
        <v>-0.582</v>
      </c>
    </row>
    <row r="3518">
      <c r="A3518" s="1" t="s">
        <v>26</v>
      </c>
      <c r="B3518" s="1" t="s">
        <v>180</v>
      </c>
      <c r="C3518" s="1" t="s">
        <v>53</v>
      </c>
      <c r="D3518" s="6">
        <v>19.0</v>
      </c>
      <c r="E3518" s="6">
        <v>3144.0</v>
      </c>
      <c r="F3518" s="6">
        <v>4929.0</v>
      </c>
      <c r="G3518" s="6">
        <v>4029.0</v>
      </c>
      <c r="H3518" s="6">
        <v>0.7803</v>
      </c>
      <c r="I3518" s="6">
        <v>1.2234</v>
      </c>
      <c r="J3518" s="6">
        <v>-0.443</v>
      </c>
    </row>
    <row r="3519">
      <c r="A3519" s="1" t="s">
        <v>26</v>
      </c>
      <c r="B3519" s="1" t="s">
        <v>180</v>
      </c>
      <c r="C3519" s="1" t="s">
        <v>53</v>
      </c>
      <c r="D3519" s="6">
        <v>20.0</v>
      </c>
      <c r="E3519" s="6">
        <v>3969.0</v>
      </c>
      <c r="F3519" s="6">
        <v>4750.0</v>
      </c>
      <c r="G3519" s="6">
        <v>4029.0</v>
      </c>
      <c r="H3519" s="6">
        <v>0.9851</v>
      </c>
      <c r="I3519" s="6">
        <v>1.179</v>
      </c>
      <c r="J3519" s="6">
        <v>-0.1938</v>
      </c>
    </row>
    <row r="3520">
      <c r="A3520" s="1" t="s">
        <v>26</v>
      </c>
      <c r="B3520" s="1" t="s">
        <v>180</v>
      </c>
      <c r="C3520" s="1" t="s">
        <v>53</v>
      </c>
      <c r="D3520" s="6">
        <v>21.0</v>
      </c>
      <c r="E3520" s="6">
        <v>4931.0</v>
      </c>
      <c r="F3520" s="6">
        <v>4599.0</v>
      </c>
      <c r="G3520" s="6">
        <v>4029.0</v>
      </c>
      <c r="H3520" s="6">
        <v>1.2239</v>
      </c>
      <c r="I3520" s="6">
        <v>1.1415</v>
      </c>
      <c r="J3520" s="6">
        <v>0.0824</v>
      </c>
    </row>
    <row r="3521">
      <c r="A3521" s="1" t="s">
        <v>26</v>
      </c>
      <c r="B3521" s="1" t="s">
        <v>180</v>
      </c>
      <c r="C3521" s="1" t="s">
        <v>53</v>
      </c>
      <c r="D3521" s="6">
        <v>22.0</v>
      </c>
      <c r="E3521" s="6">
        <v>3670.0</v>
      </c>
      <c r="F3521" s="6">
        <v>4494.0</v>
      </c>
      <c r="G3521" s="6">
        <v>4029.0</v>
      </c>
      <c r="H3521" s="6">
        <v>0.9109</v>
      </c>
      <c r="I3521" s="6">
        <v>1.1154</v>
      </c>
      <c r="J3521" s="6">
        <v>-0.2045</v>
      </c>
    </row>
    <row r="3522">
      <c r="A3522" s="1" t="s">
        <v>26</v>
      </c>
      <c r="B3522" s="1" t="s">
        <v>180</v>
      </c>
      <c r="C3522" s="1" t="s">
        <v>53</v>
      </c>
      <c r="D3522" s="6">
        <v>23.0</v>
      </c>
      <c r="E3522" s="6">
        <v>3767.0</v>
      </c>
      <c r="F3522" s="6">
        <v>5867.0</v>
      </c>
      <c r="G3522" s="6">
        <v>4029.0</v>
      </c>
      <c r="H3522" s="6">
        <v>0.935</v>
      </c>
      <c r="I3522" s="6">
        <v>1.4562</v>
      </c>
      <c r="J3522" s="6">
        <v>-0.5212</v>
      </c>
    </row>
    <row r="3523">
      <c r="A3523" s="1" t="s">
        <v>26</v>
      </c>
      <c r="B3523" s="1" t="s">
        <v>180</v>
      </c>
      <c r="C3523" s="1" t="s">
        <v>53</v>
      </c>
      <c r="D3523" s="6">
        <v>24.0</v>
      </c>
      <c r="E3523" s="6">
        <v>3905.0</v>
      </c>
      <c r="F3523" s="6">
        <v>6586.0</v>
      </c>
      <c r="G3523" s="6">
        <v>4029.0</v>
      </c>
      <c r="H3523" s="6">
        <v>0.9692</v>
      </c>
      <c r="I3523" s="6">
        <v>1.6346</v>
      </c>
      <c r="J3523" s="6">
        <v>-0.6654</v>
      </c>
    </row>
    <row r="3524">
      <c r="A3524" s="1" t="s">
        <v>26</v>
      </c>
      <c r="B3524" s="1" t="s">
        <v>180</v>
      </c>
      <c r="C3524" s="1" t="s">
        <v>53</v>
      </c>
      <c r="D3524" s="6">
        <v>25.0</v>
      </c>
      <c r="E3524" s="6">
        <v>4108.0</v>
      </c>
      <c r="F3524" s="6">
        <v>5679.0</v>
      </c>
      <c r="G3524" s="6">
        <v>4029.0</v>
      </c>
      <c r="H3524" s="6">
        <v>1.0196</v>
      </c>
      <c r="I3524" s="6">
        <v>1.4095</v>
      </c>
      <c r="J3524" s="6">
        <v>-0.3899</v>
      </c>
    </row>
    <row r="3525">
      <c r="A3525" s="1" t="s">
        <v>26</v>
      </c>
      <c r="B3525" s="1" t="s">
        <v>180</v>
      </c>
      <c r="C3525" s="1" t="s">
        <v>53</v>
      </c>
      <c r="D3525" s="6">
        <v>26.0</v>
      </c>
      <c r="E3525" s="6">
        <v>3613.0</v>
      </c>
      <c r="F3525" s="6">
        <v>6006.0</v>
      </c>
      <c r="G3525" s="6">
        <v>4029.0</v>
      </c>
      <c r="H3525" s="6">
        <v>0.8967</v>
      </c>
      <c r="I3525" s="6">
        <v>1.4907</v>
      </c>
      <c r="J3525" s="6">
        <v>-0.5939</v>
      </c>
    </row>
    <row r="3526">
      <c r="A3526" s="1" t="s">
        <v>26</v>
      </c>
      <c r="B3526" s="1" t="s">
        <v>180</v>
      </c>
      <c r="C3526" s="1" t="s">
        <v>53</v>
      </c>
      <c r="D3526" s="6">
        <v>27.0</v>
      </c>
      <c r="E3526" s="6">
        <v>4621.0</v>
      </c>
      <c r="F3526" s="6">
        <v>4939.0</v>
      </c>
      <c r="G3526" s="6">
        <v>4029.0</v>
      </c>
      <c r="H3526" s="6">
        <v>1.1469</v>
      </c>
      <c r="I3526" s="6">
        <v>1.2259</v>
      </c>
      <c r="J3526" s="6">
        <v>-0.0789</v>
      </c>
    </row>
    <row r="3527">
      <c r="A3527" s="1" t="s">
        <v>26</v>
      </c>
      <c r="B3527" s="1" t="s">
        <v>180</v>
      </c>
      <c r="C3527" s="1" t="s">
        <v>53</v>
      </c>
      <c r="D3527" s="6">
        <v>28.0</v>
      </c>
      <c r="E3527" s="6">
        <v>4267.0</v>
      </c>
      <c r="F3527" s="6">
        <v>5246.0</v>
      </c>
      <c r="G3527" s="6">
        <v>4029.0</v>
      </c>
      <c r="H3527" s="6">
        <v>1.0591</v>
      </c>
      <c r="I3527" s="6">
        <v>1.3021</v>
      </c>
      <c r="J3527" s="6">
        <v>-0.243</v>
      </c>
    </row>
    <row r="3528">
      <c r="A3528" s="1" t="s">
        <v>26</v>
      </c>
      <c r="B3528" s="1" t="s">
        <v>180</v>
      </c>
      <c r="C3528" s="1" t="s">
        <v>53</v>
      </c>
      <c r="D3528" s="6">
        <v>29.0</v>
      </c>
      <c r="E3528" s="6">
        <v>3831.0</v>
      </c>
      <c r="F3528" s="6">
        <v>5483.0</v>
      </c>
      <c r="G3528" s="6">
        <v>4029.0</v>
      </c>
      <c r="H3528" s="6">
        <v>0.9509</v>
      </c>
      <c r="I3528" s="6">
        <v>1.3609</v>
      </c>
      <c r="J3528" s="6">
        <v>-0.41</v>
      </c>
    </row>
    <row r="3529">
      <c r="A3529" s="1" t="s">
        <v>26</v>
      </c>
      <c r="B3529" s="1" t="s">
        <v>180</v>
      </c>
      <c r="C3529" s="1" t="s">
        <v>53</v>
      </c>
      <c r="D3529" s="6">
        <v>30.0</v>
      </c>
      <c r="E3529" s="6">
        <v>5189.0</v>
      </c>
      <c r="F3529" s="6">
        <v>5923.0</v>
      </c>
      <c r="G3529" s="6">
        <v>4029.0</v>
      </c>
      <c r="H3529" s="6">
        <v>1.2879</v>
      </c>
      <c r="I3529" s="6">
        <v>1.4701</v>
      </c>
      <c r="J3529" s="6">
        <v>-0.1822</v>
      </c>
    </row>
    <row r="3530">
      <c r="A3530" s="1" t="s">
        <v>26</v>
      </c>
      <c r="B3530" s="1" t="s">
        <v>180</v>
      </c>
      <c r="C3530" s="1" t="s">
        <v>53</v>
      </c>
      <c r="D3530" s="6">
        <v>31.0</v>
      </c>
      <c r="E3530" s="6">
        <v>5203.0</v>
      </c>
      <c r="F3530" s="6">
        <v>6401.0</v>
      </c>
      <c r="G3530" s="6">
        <v>4029.0</v>
      </c>
      <c r="H3530" s="6">
        <v>1.2914</v>
      </c>
      <c r="I3530" s="6">
        <v>1.5887</v>
      </c>
      <c r="J3530" s="6">
        <v>-0.2973</v>
      </c>
    </row>
    <row r="3531">
      <c r="A3531" s="1" t="s">
        <v>26</v>
      </c>
      <c r="B3531" s="1" t="s">
        <v>180</v>
      </c>
      <c r="C3531" s="1" t="s">
        <v>53</v>
      </c>
      <c r="D3531" s="6">
        <v>32.0</v>
      </c>
      <c r="E3531" s="6">
        <v>5530.0</v>
      </c>
      <c r="F3531" s="6">
        <v>6799.0</v>
      </c>
      <c r="G3531" s="6">
        <v>4029.0</v>
      </c>
      <c r="H3531" s="6">
        <v>1.3725</v>
      </c>
      <c r="I3531" s="6">
        <v>1.6875</v>
      </c>
      <c r="J3531" s="6">
        <v>-0.315</v>
      </c>
    </row>
    <row r="3532">
      <c r="A3532" s="1" t="s">
        <v>26</v>
      </c>
      <c r="B3532" s="1" t="s">
        <v>180</v>
      </c>
      <c r="C3532" s="1" t="s">
        <v>53</v>
      </c>
      <c r="D3532" s="6">
        <v>33.0</v>
      </c>
      <c r="E3532" s="6">
        <v>5242.0</v>
      </c>
      <c r="F3532" s="6">
        <v>6088.0</v>
      </c>
      <c r="G3532" s="6">
        <v>4029.0</v>
      </c>
      <c r="H3532" s="6">
        <v>1.3011</v>
      </c>
      <c r="I3532" s="6">
        <v>1.511</v>
      </c>
      <c r="J3532" s="6">
        <v>-0.21</v>
      </c>
    </row>
    <row r="3533">
      <c r="A3533" s="1" t="s">
        <v>26</v>
      </c>
      <c r="B3533" s="1" t="s">
        <v>180</v>
      </c>
      <c r="C3533" s="1" t="s">
        <v>54</v>
      </c>
      <c r="D3533" s="6">
        <v>1.0</v>
      </c>
      <c r="E3533" s="6">
        <v>1430.0</v>
      </c>
      <c r="F3533" s="6">
        <v>2012.0</v>
      </c>
      <c r="G3533" s="6">
        <v>4022.0</v>
      </c>
      <c r="H3533" s="6">
        <v>0.3555</v>
      </c>
      <c r="I3533" s="6">
        <v>0.5002</v>
      </c>
      <c r="J3533" s="6">
        <v>-0.1447</v>
      </c>
    </row>
    <row r="3534">
      <c r="A3534" s="1" t="s">
        <v>26</v>
      </c>
      <c r="B3534" s="1" t="s">
        <v>180</v>
      </c>
      <c r="C3534" s="1" t="s">
        <v>54</v>
      </c>
      <c r="D3534" s="6">
        <v>2.0</v>
      </c>
      <c r="E3534" s="6">
        <v>2422.0</v>
      </c>
      <c r="F3534" s="6">
        <v>3304.0</v>
      </c>
      <c r="G3534" s="6">
        <v>4022.0</v>
      </c>
      <c r="H3534" s="6">
        <v>0.6022</v>
      </c>
      <c r="I3534" s="6">
        <v>0.8215</v>
      </c>
      <c r="J3534" s="6">
        <v>-0.2193</v>
      </c>
    </row>
    <row r="3535">
      <c r="A3535" s="1" t="s">
        <v>26</v>
      </c>
      <c r="B3535" s="1" t="s">
        <v>180</v>
      </c>
      <c r="C3535" s="1" t="s">
        <v>54</v>
      </c>
      <c r="D3535" s="6">
        <v>3.0</v>
      </c>
      <c r="E3535" s="6">
        <v>1935.0</v>
      </c>
      <c r="F3535" s="6">
        <v>2143.0</v>
      </c>
      <c r="G3535" s="6">
        <v>4022.0</v>
      </c>
      <c r="H3535" s="6">
        <v>0.4811</v>
      </c>
      <c r="I3535" s="6">
        <v>0.5328</v>
      </c>
      <c r="J3535" s="6">
        <v>-0.0517</v>
      </c>
    </row>
    <row r="3536">
      <c r="A3536" s="1" t="s">
        <v>26</v>
      </c>
      <c r="B3536" s="1" t="s">
        <v>180</v>
      </c>
      <c r="C3536" s="1" t="s">
        <v>54</v>
      </c>
      <c r="D3536" s="6">
        <v>4.0</v>
      </c>
      <c r="E3536" s="6">
        <v>2208.0</v>
      </c>
      <c r="F3536" s="6">
        <v>2245.0</v>
      </c>
      <c r="G3536" s="6">
        <v>4022.0</v>
      </c>
      <c r="H3536" s="6">
        <v>0.549</v>
      </c>
      <c r="I3536" s="6">
        <v>0.5582</v>
      </c>
      <c r="J3536" s="6">
        <v>-0.0092</v>
      </c>
    </row>
    <row r="3537">
      <c r="A3537" s="1" t="s">
        <v>26</v>
      </c>
      <c r="B3537" s="1" t="s">
        <v>180</v>
      </c>
      <c r="C3537" s="1" t="s">
        <v>54</v>
      </c>
      <c r="D3537" s="6">
        <v>5.0</v>
      </c>
      <c r="E3537" s="6">
        <v>1888.0</v>
      </c>
      <c r="F3537" s="6">
        <v>2925.0</v>
      </c>
      <c r="G3537" s="6">
        <v>4022.0</v>
      </c>
      <c r="H3537" s="6">
        <v>0.4694</v>
      </c>
      <c r="I3537" s="6">
        <v>0.7273</v>
      </c>
      <c r="J3537" s="6">
        <v>-0.2578</v>
      </c>
    </row>
    <row r="3538">
      <c r="A3538" s="1" t="s">
        <v>26</v>
      </c>
      <c r="B3538" s="1" t="s">
        <v>180</v>
      </c>
      <c r="C3538" s="1" t="s">
        <v>54</v>
      </c>
      <c r="D3538" s="6">
        <v>6.0</v>
      </c>
      <c r="E3538" s="6">
        <v>2785.0</v>
      </c>
      <c r="F3538" s="6">
        <v>2938.0</v>
      </c>
      <c r="G3538" s="6">
        <v>4022.0</v>
      </c>
      <c r="H3538" s="6">
        <v>0.6924</v>
      </c>
      <c r="I3538" s="6">
        <v>0.7305</v>
      </c>
      <c r="J3538" s="6">
        <v>-0.038</v>
      </c>
    </row>
    <row r="3539">
      <c r="A3539" s="1" t="s">
        <v>26</v>
      </c>
      <c r="B3539" s="1" t="s">
        <v>180</v>
      </c>
      <c r="C3539" s="1" t="s">
        <v>54</v>
      </c>
      <c r="D3539" s="6">
        <v>7.0</v>
      </c>
      <c r="E3539" s="6">
        <v>2714.0</v>
      </c>
      <c r="F3539" s="6">
        <v>2943.0</v>
      </c>
      <c r="G3539" s="6">
        <v>4022.0</v>
      </c>
      <c r="H3539" s="6">
        <v>0.6748</v>
      </c>
      <c r="I3539" s="6">
        <v>0.7317</v>
      </c>
      <c r="J3539" s="6">
        <v>-0.0569</v>
      </c>
    </row>
    <row r="3540">
      <c r="A3540" s="1" t="s">
        <v>26</v>
      </c>
      <c r="B3540" s="1" t="s">
        <v>180</v>
      </c>
      <c r="C3540" s="1" t="s">
        <v>54</v>
      </c>
      <c r="D3540" s="6">
        <v>8.0</v>
      </c>
      <c r="E3540" s="6">
        <v>1944.0</v>
      </c>
      <c r="F3540" s="6">
        <v>2424.0</v>
      </c>
      <c r="G3540" s="6">
        <v>4022.0</v>
      </c>
      <c r="H3540" s="6">
        <v>0.4833</v>
      </c>
      <c r="I3540" s="6">
        <v>0.6027</v>
      </c>
      <c r="J3540" s="6">
        <v>-0.1193</v>
      </c>
    </row>
    <row r="3541">
      <c r="A3541" s="1" t="s">
        <v>26</v>
      </c>
      <c r="B3541" s="1" t="s">
        <v>180</v>
      </c>
      <c r="C3541" s="1" t="s">
        <v>54</v>
      </c>
      <c r="D3541" s="6">
        <v>9.0</v>
      </c>
      <c r="E3541" s="6">
        <v>2174.0</v>
      </c>
      <c r="F3541" s="6">
        <v>2756.0</v>
      </c>
      <c r="G3541" s="6">
        <v>4022.0</v>
      </c>
      <c r="H3541" s="6">
        <v>0.5405</v>
      </c>
      <c r="I3541" s="6">
        <v>0.6852</v>
      </c>
      <c r="J3541" s="6">
        <v>-0.1447</v>
      </c>
    </row>
    <row r="3542">
      <c r="A3542" s="1" t="s">
        <v>26</v>
      </c>
      <c r="B3542" s="1" t="s">
        <v>180</v>
      </c>
      <c r="C3542" s="1" t="s">
        <v>54</v>
      </c>
      <c r="D3542" s="6">
        <v>10.0</v>
      </c>
      <c r="E3542" s="6">
        <v>2061.0</v>
      </c>
      <c r="F3542" s="6">
        <v>3233.0</v>
      </c>
      <c r="G3542" s="6">
        <v>4022.0</v>
      </c>
      <c r="H3542" s="6">
        <v>0.5124</v>
      </c>
      <c r="I3542" s="6">
        <v>0.8038</v>
      </c>
      <c r="J3542" s="6">
        <v>-0.2914</v>
      </c>
    </row>
    <row r="3543">
      <c r="A3543" s="1" t="s">
        <v>26</v>
      </c>
      <c r="B3543" s="1" t="s">
        <v>180</v>
      </c>
      <c r="C3543" s="1" t="s">
        <v>54</v>
      </c>
      <c r="D3543" s="6">
        <v>11.0</v>
      </c>
      <c r="E3543" s="6">
        <v>2292.0</v>
      </c>
      <c r="F3543" s="6">
        <v>2402.0</v>
      </c>
      <c r="G3543" s="6">
        <v>4022.0</v>
      </c>
      <c r="H3543" s="6">
        <v>0.5699</v>
      </c>
      <c r="I3543" s="6">
        <v>0.5972</v>
      </c>
      <c r="J3543" s="6">
        <v>-0.0273</v>
      </c>
    </row>
    <row r="3544">
      <c r="A3544" s="1" t="s">
        <v>26</v>
      </c>
      <c r="B3544" s="1" t="s">
        <v>180</v>
      </c>
      <c r="C3544" s="1" t="s">
        <v>54</v>
      </c>
      <c r="D3544" s="6">
        <v>12.0</v>
      </c>
      <c r="E3544" s="6">
        <v>1886.0</v>
      </c>
      <c r="F3544" s="6">
        <v>2757.0</v>
      </c>
      <c r="G3544" s="6">
        <v>4022.0</v>
      </c>
      <c r="H3544" s="6">
        <v>0.4689</v>
      </c>
      <c r="I3544" s="6">
        <v>0.6855</v>
      </c>
      <c r="J3544" s="6">
        <v>-0.2166</v>
      </c>
    </row>
    <row r="3545">
      <c r="A3545" s="1" t="s">
        <v>26</v>
      </c>
      <c r="B3545" s="1" t="s">
        <v>180</v>
      </c>
      <c r="C3545" s="1" t="s">
        <v>54</v>
      </c>
      <c r="D3545" s="6">
        <v>13.0</v>
      </c>
      <c r="E3545" s="6">
        <v>2864.0</v>
      </c>
      <c r="F3545" s="6">
        <v>3147.0</v>
      </c>
      <c r="G3545" s="6">
        <v>4022.0</v>
      </c>
      <c r="H3545" s="6">
        <v>0.7121</v>
      </c>
      <c r="I3545" s="6">
        <v>0.7824</v>
      </c>
      <c r="J3545" s="6">
        <v>-0.0704</v>
      </c>
    </row>
    <row r="3546">
      <c r="A3546" s="1" t="s">
        <v>26</v>
      </c>
      <c r="B3546" s="1" t="s">
        <v>180</v>
      </c>
      <c r="C3546" s="1" t="s">
        <v>54</v>
      </c>
      <c r="D3546" s="6">
        <v>14.0</v>
      </c>
      <c r="E3546" s="6">
        <v>2483.0</v>
      </c>
      <c r="F3546" s="6">
        <v>2668.0</v>
      </c>
      <c r="G3546" s="6">
        <v>4022.0</v>
      </c>
      <c r="H3546" s="6">
        <v>0.6174</v>
      </c>
      <c r="I3546" s="6">
        <v>0.6634</v>
      </c>
      <c r="J3546" s="6">
        <v>-0.046</v>
      </c>
    </row>
    <row r="3547">
      <c r="A3547" s="1" t="s">
        <v>26</v>
      </c>
      <c r="B3547" s="1" t="s">
        <v>180</v>
      </c>
      <c r="C3547" s="1" t="s">
        <v>54</v>
      </c>
      <c r="D3547" s="6">
        <v>15.0</v>
      </c>
      <c r="E3547" s="6">
        <v>1996.0</v>
      </c>
      <c r="F3547" s="6">
        <v>2522.0</v>
      </c>
      <c r="G3547" s="6">
        <v>4022.0</v>
      </c>
      <c r="H3547" s="6">
        <v>0.4963</v>
      </c>
      <c r="I3547" s="6">
        <v>0.6271</v>
      </c>
      <c r="J3547" s="6">
        <v>-0.1308</v>
      </c>
    </row>
    <row r="3548">
      <c r="A3548" s="1" t="s">
        <v>26</v>
      </c>
      <c r="B3548" s="1" t="s">
        <v>180</v>
      </c>
      <c r="C3548" s="1" t="s">
        <v>54</v>
      </c>
      <c r="D3548" s="6">
        <v>16.0</v>
      </c>
      <c r="E3548" s="6">
        <v>3055.0</v>
      </c>
      <c r="F3548" s="6">
        <v>3022.0</v>
      </c>
      <c r="G3548" s="6">
        <v>4022.0</v>
      </c>
      <c r="H3548" s="6">
        <v>0.7596</v>
      </c>
      <c r="I3548" s="6">
        <v>0.7514</v>
      </c>
      <c r="J3548" s="6">
        <v>0.0082</v>
      </c>
    </row>
    <row r="3549">
      <c r="A3549" s="1" t="s">
        <v>26</v>
      </c>
      <c r="B3549" s="1" t="s">
        <v>180</v>
      </c>
      <c r="C3549" s="1" t="s">
        <v>54</v>
      </c>
      <c r="D3549" s="6">
        <v>17.0</v>
      </c>
      <c r="E3549" s="6">
        <v>2512.0</v>
      </c>
      <c r="F3549" s="6">
        <v>2824.0</v>
      </c>
      <c r="G3549" s="6">
        <v>4022.0</v>
      </c>
      <c r="H3549" s="6">
        <v>0.6246</v>
      </c>
      <c r="I3549" s="6">
        <v>0.7021</v>
      </c>
      <c r="J3549" s="6">
        <v>-0.0776</v>
      </c>
    </row>
    <row r="3550">
      <c r="A3550" s="1" t="s">
        <v>26</v>
      </c>
      <c r="B3550" s="1" t="s">
        <v>180</v>
      </c>
      <c r="C3550" s="1" t="s">
        <v>54</v>
      </c>
      <c r="D3550" s="6">
        <v>18.0</v>
      </c>
      <c r="E3550" s="6">
        <v>2703.0</v>
      </c>
      <c r="F3550" s="6">
        <v>2930.0</v>
      </c>
      <c r="G3550" s="6">
        <v>4022.0</v>
      </c>
      <c r="H3550" s="6">
        <v>0.6721</v>
      </c>
      <c r="I3550" s="6">
        <v>0.7285</v>
      </c>
      <c r="J3550" s="6">
        <v>-0.0564</v>
      </c>
    </row>
    <row r="3551">
      <c r="A3551" s="1" t="s">
        <v>26</v>
      </c>
      <c r="B3551" s="1" t="s">
        <v>180</v>
      </c>
      <c r="C3551" s="1" t="s">
        <v>54</v>
      </c>
      <c r="D3551" s="6">
        <v>19.0</v>
      </c>
      <c r="E3551" s="6">
        <v>2066.0</v>
      </c>
      <c r="F3551" s="6">
        <v>3233.0</v>
      </c>
      <c r="G3551" s="6">
        <v>4022.0</v>
      </c>
      <c r="H3551" s="6">
        <v>0.5137</v>
      </c>
      <c r="I3551" s="6">
        <v>0.8038</v>
      </c>
      <c r="J3551" s="6">
        <v>-0.2902</v>
      </c>
    </row>
    <row r="3552">
      <c r="A3552" s="1" t="s">
        <v>26</v>
      </c>
      <c r="B3552" s="1" t="s">
        <v>180</v>
      </c>
      <c r="C3552" s="1" t="s">
        <v>54</v>
      </c>
      <c r="D3552" s="6">
        <v>20.0</v>
      </c>
      <c r="E3552" s="6">
        <v>3323.0</v>
      </c>
      <c r="F3552" s="6">
        <v>3324.0</v>
      </c>
      <c r="G3552" s="6">
        <v>4022.0</v>
      </c>
      <c r="H3552" s="6">
        <v>0.8262</v>
      </c>
      <c r="I3552" s="6">
        <v>0.8265</v>
      </c>
      <c r="J3552" s="6">
        <v>-2.0E-4</v>
      </c>
    </row>
    <row r="3553">
      <c r="A3553" s="1" t="s">
        <v>26</v>
      </c>
      <c r="B3553" s="1" t="s">
        <v>180</v>
      </c>
      <c r="C3553" s="1" t="s">
        <v>54</v>
      </c>
      <c r="D3553" s="6">
        <v>21.0</v>
      </c>
      <c r="E3553" s="6">
        <v>3230.0</v>
      </c>
      <c r="F3553" s="6">
        <v>3114.0</v>
      </c>
      <c r="G3553" s="6">
        <v>4022.0</v>
      </c>
      <c r="H3553" s="6">
        <v>0.8031</v>
      </c>
      <c r="I3553" s="6">
        <v>0.7742</v>
      </c>
      <c r="J3553" s="6">
        <v>0.0288</v>
      </c>
    </row>
    <row r="3554">
      <c r="A3554" s="1" t="s">
        <v>26</v>
      </c>
      <c r="B3554" s="1" t="s">
        <v>180</v>
      </c>
      <c r="C3554" s="1" t="s">
        <v>54</v>
      </c>
      <c r="D3554" s="6">
        <v>22.0</v>
      </c>
      <c r="E3554" s="6">
        <v>2338.0</v>
      </c>
      <c r="F3554" s="6">
        <v>2717.0</v>
      </c>
      <c r="G3554" s="6">
        <v>4022.0</v>
      </c>
      <c r="H3554" s="6">
        <v>0.5813</v>
      </c>
      <c r="I3554" s="6">
        <v>0.6755</v>
      </c>
      <c r="J3554" s="6">
        <v>-0.0942</v>
      </c>
    </row>
    <row r="3555">
      <c r="A3555" s="1" t="s">
        <v>26</v>
      </c>
      <c r="B3555" s="1" t="s">
        <v>180</v>
      </c>
      <c r="C3555" s="1" t="s">
        <v>54</v>
      </c>
      <c r="D3555" s="6">
        <v>23.0</v>
      </c>
      <c r="E3555" s="6">
        <v>2621.0</v>
      </c>
      <c r="F3555" s="6">
        <v>3051.0</v>
      </c>
      <c r="G3555" s="6">
        <v>4022.0</v>
      </c>
      <c r="H3555" s="6">
        <v>0.6517</v>
      </c>
      <c r="I3555" s="6">
        <v>0.7586</v>
      </c>
      <c r="J3555" s="6">
        <v>-0.1069</v>
      </c>
    </row>
    <row r="3556">
      <c r="A3556" s="1" t="s">
        <v>26</v>
      </c>
      <c r="B3556" s="1" t="s">
        <v>180</v>
      </c>
      <c r="C3556" s="1" t="s">
        <v>54</v>
      </c>
      <c r="D3556" s="6">
        <v>24.0</v>
      </c>
      <c r="E3556" s="6">
        <v>2323.0</v>
      </c>
      <c r="F3556" s="6">
        <v>3153.0</v>
      </c>
      <c r="G3556" s="6">
        <v>4022.0</v>
      </c>
      <c r="H3556" s="6">
        <v>0.5776</v>
      </c>
      <c r="I3556" s="6">
        <v>0.7839</v>
      </c>
      <c r="J3556" s="6">
        <v>-0.2064</v>
      </c>
    </row>
    <row r="3557">
      <c r="A3557" s="1" t="s">
        <v>26</v>
      </c>
      <c r="B3557" s="1" t="s">
        <v>180</v>
      </c>
      <c r="C3557" s="1" t="s">
        <v>54</v>
      </c>
      <c r="D3557" s="6">
        <v>25.0</v>
      </c>
      <c r="E3557" s="6">
        <v>2764.0</v>
      </c>
      <c r="F3557" s="6">
        <v>3280.0</v>
      </c>
      <c r="G3557" s="6">
        <v>4022.0</v>
      </c>
      <c r="H3557" s="6">
        <v>0.6872</v>
      </c>
      <c r="I3557" s="6">
        <v>0.8155</v>
      </c>
      <c r="J3557" s="6">
        <v>-0.1283</v>
      </c>
    </row>
    <row r="3558">
      <c r="A3558" s="1" t="s">
        <v>26</v>
      </c>
      <c r="B3558" s="1" t="s">
        <v>180</v>
      </c>
      <c r="C3558" s="1" t="s">
        <v>54</v>
      </c>
      <c r="D3558" s="6">
        <v>26.0</v>
      </c>
      <c r="E3558" s="6">
        <v>2182.0</v>
      </c>
      <c r="F3558" s="6">
        <v>3733.0</v>
      </c>
      <c r="G3558" s="6">
        <v>4022.0</v>
      </c>
      <c r="H3558" s="6">
        <v>0.5425</v>
      </c>
      <c r="I3558" s="6">
        <v>0.9281</v>
      </c>
      <c r="J3558" s="6">
        <v>-0.3856</v>
      </c>
    </row>
    <row r="3559">
      <c r="A3559" s="1" t="s">
        <v>26</v>
      </c>
      <c r="B3559" s="1" t="s">
        <v>180</v>
      </c>
      <c r="C3559" s="1" t="s">
        <v>54</v>
      </c>
      <c r="D3559" s="6">
        <v>27.0</v>
      </c>
      <c r="E3559" s="6">
        <v>3340.0</v>
      </c>
      <c r="F3559" s="6">
        <v>3612.0</v>
      </c>
      <c r="G3559" s="6">
        <v>4022.0</v>
      </c>
      <c r="H3559" s="6">
        <v>0.8304</v>
      </c>
      <c r="I3559" s="6">
        <v>0.8981</v>
      </c>
      <c r="J3559" s="6">
        <v>-0.0676</v>
      </c>
    </row>
    <row r="3560">
      <c r="A3560" s="1" t="s">
        <v>26</v>
      </c>
      <c r="B3560" s="1" t="s">
        <v>180</v>
      </c>
      <c r="C3560" s="1" t="s">
        <v>54</v>
      </c>
      <c r="D3560" s="6">
        <v>28.0</v>
      </c>
      <c r="E3560" s="6">
        <v>2844.0</v>
      </c>
      <c r="F3560" s="6">
        <v>3505.0</v>
      </c>
      <c r="G3560" s="6">
        <v>4022.0</v>
      </c>
      <c r="H3560" s="6">
        <v>0.7071</v>
      </c>
      <c r="I3560" s="6">
        <v>0.8715</v>
      </c>
      <c r="J3560" s="6">
        <v>-0.1643</v>
      </c>
    </row>
    <row r="3561">
      <c r="A3561" s="1" t="s">
        <v>26</v>
      </c>
      <c r="B3561" s="1" t="s">
        <v>180</v>
      </c>
      <c r="C3561" s="1" t="s">
        <v>54</v>
      </c>
      <c r="D3561" s="6">
        <v>29.0</v>
      </c>
      <c r="E3561" s="6">
        <v>2152.0</v>
      </c>
      <c r="F3561" s="6">
        <v>3156.0</v>
      </c>
      <c r="G3561" s="6">
        <v>4022.0</v>
      </c>
      <c r="H3561" s="6">
        <v>0.5351</v>
      </c>
      <c r="I3561" s="6">
        <v>0.7847</v>
      </c>
      <c r="J3561" s="6">
        <v>-0.2496</v>
      </c>
    </row>
    <row r="3562">
      <c r="A3562" s="1" t="s">
        <v>26</v>
      </c>
      <c r="B3562" s="1" t="s">
        <v>180</v>
      </c>
      <c r="C3562" s="1" t="s">
        <v>54</v>
      </c>
      <c r="D3562" s="6">
        <v>30.0</v>
      </c>
      <c r="E3562" s="6">
        <v>3654.0</v>
      </c>
      <c r="F3562" s="6">
        <v>3801.0</v>
      </c>
      <c r="G3562" s="6">
        <v>4022.0</v>
      </c>
      <c r="H3562" s="6">
        <v>0.9085</v>
      </c>
      <c r="I3562" s="6">
        <v>0.9451</v>
      </c>
      <c r="J3562" s="6">
        <v>-0.0365</v>
      </c>
    </row>
    <row r="3563">
      <c r="A3563" s="1" t="s">
        <v>26</v>
      </c>
      <c r="B3563" s="1" t="s">
        <v>180</v>
      </c>
      <c r="C3563" s="1" t="s">
        <v>54</v>
      </c>
      <c r="D3563" s="6">
        <v>31.0</v>
      </c>
      <c r="E3563" s="6">
        <v>3203.0</v>
      </c>
      <c r="F3563" s="6">
        <v>3784.0</v>
      </c>
      <c r="G3563" s="6">
        <v>4022.0</v>
      </c>
      <c r="H3563" s="6">
        <v>0.7964</v>
      </c>
      <c r="I3563" s="6">
        <v>0.9408</v>
      </c>
      <c r="J3563" s="6">
        <v>-0.1445</v>
      </c>
    </row>
    <row r="3564">
      <c r="A3564" s="1" t="s">
        <v>26</v>
      </c>
      <c r="B3564" s="1" t="s">
        <v>180</v>
      </c>
      <c r="C3564" s="1" t="s">
        <v>54</v>
      </c>
      <c r="D3564" s="6">
        <v>32.0</v>
      </c>
      <c r="E3564" s="6">
        <v>3841.0</v>
      </c>
      <c r="F3564" s="6">
        <v>4183.0</v>
      </c>
      <c r="G3564" s="6">
        <v>4022.0</v>
      </c>
      <c r="H3564" s="6">
        <v>0.955</v>
      </c>
      <c r="I3564" s="6">
        <v>1.04</v>
      </c>
      <c r="J3564" s="6">
        <v>-0.085</v>
      </c>
    </row>
    <row r="3565">
      <c r="A3565" s="1" t="s">
        <v>26</v>
      </c>
      <c r="B3565" s="1" t="s">
        <v>180</v>
      </c>
      <c r="C3565" s="1" t="s">
        <v>54</v>
      </c>
      <c r="D3565" s="6">
        <v>33.0</v>
      </c>
      <c r="E3565" s="6">
        <v>3242.0</v>
      </c>
      <c r="F3565" s="6">
        <v>3861.0</v>
      </c>
      <c r="G3565" s="6">
        <v>4022.0</v>
      </c>
      <c r="H3565" s="6">
        <v>0.8061</v>
      </c>
      <c r="I3565" s="6">
        <v>0.96</v>
      </c>
      <c r="J3565" s="6">
        <v>-0.1539</v>
      </c>
    </row>
    <row r="3566">
      <c r="A3566" s="1" t="s">
        <v>26</v>
      </c>
      <c r="B3566" s="1" t="s">
        <v>180</v>
      </c>
      <c r="C3566" s="1" t="s">
        <v>47</v>
      </c>
      <c r="D3566" s="6">
        <v>1.0</v>
      </c>
      <c r="E3566" s="6">
        <v>3523.0</v>
      </c>
      <c r="F3566" s="6">
        <v>3932.0</v>
      </c>
      <c r="G3566" s="6">
        <v>4025.0</v>
      </c>
      <c r="H3566" s="6">
        <v>0.8753</v>
      </c>
      <c r="I3566" s="6">
        <v>0.9769</v>
      </c>
      <c r="J3566" s="6">
        <v>-0.1016</v>
      </c>
    </row>
    <row r="3567">
      <c r="A3567" s="1" t="s">
        <v>26</v>
      </c>
      <c r="B3567" s="1" t="s">
        <v>180</v>
      </c>
      <c r="C3567" s="1" t="s">
        <v>47</v>
      </c>
      <c r="D3567" s="6">
        <v>2.0</v>
      </c>
      <c r="E3567" s="6">
        <v>3833.0</v>
      </c>
      <c r="F3567" s="6">
        <v>4199.0</v>
      </c>
      <c r="G3567" s="6">
        <v>4025.0</v>
      </c>
      <c r="H3567" s="6">
        <v>0.9523</v>
      </c>
      <c r="I3567" s="6">
        <v>1.0432</v>
      </c>
      <c r="J3567" s="6">
        <v>-0.0909</v>
      </c>
    </row>
    <row r="3568">
      <c r="A3568" s="1" t="s">
        <v>26</v>
      </c>
      <c r="B3568" s="1" t="s">
        <v>180</v>
      </c>
      <c r="C3568" s="1" t="s">
        <v>47</v>
      </c>
      <c r="D3568" s="6">
        <v>3.0</v>
      </c>
      <c r="E3568" s="6">
        <v>4125.0</v>
      </c>
      <c r="F3568" s="6">
        <v>3911.0</v>
      </c>
      <c r="G3568" s="6">
        <v>4025.0</v>
      </c>
      <c r="H3568" s="6">
        <v>1.0248</v>
      </c>
      <c r="I3568" s="6">
        <v>0.9717</v>
      </c>
      <c r="J3568" s="6">
        <v>0.0532</v>
      </c>
    </row>
    <row r="3569">
      <c r="A3569" s="1" t="s">
        <v>26</v>
      </c>
      <c r="B3569" s="1" t="s">
        <v>180</v>
      </c>
      <c r="C3569" s="1" t="s">
        <v>47</v>
      </c>
      <c r="D3569" s="6">
        <v>4.0</v>
      </c>
      <c r="E3569" s="6">
        <v>3414.0</v>
      </c>
      <c r="F3569" s="6">
        <v>3511.0</v>
      </c>
      <c r="G3569" s="6">
        <v>4025.0</v>
      </c>
      <c r="H3569" s="6">
        <v>0.8482</v>
      </c>
      <c r="I3569" s="6">
        <v>0.8723</v>
      </c>
      <c r="J3569" s="6">
        <v>-0.0241</v>
      </c>
    </row>
    <row r="3570">
      <c r="A3570" s="1" t="s">
        <v>26</v>
      </c>
      <c r="B3570" s="1" t="s">
        <v>180</v>
      </c>
      <c r="C3570" s="1" t="s">
        <v>47</v>
      </c>
      <c r="D3570" s="6">
        <v>5.0</v>
      </c>
      <c r="E3570" s="6">
        <v>3827.0</v>
      </c>
      <c r="F3570" s="6">
        <v>4286.0</v>
      </c>
      <c r="G3570" s="6">
        <v>4025.0</v>
      </c>
      <c r="H3570" s="6">
        <v>0.9508</v>
      </c>
      <c r="I3570" s="6">
        <v>1.0648</v>
      </c>
      <c r="J3570" s="6">
        <v>-0.114</v>
      </c>
    </row>
    <row r="3571">
      <c r="A3571" s="1" t="s">
        <v>26</v>
      </c>
      <c r="B3571" s="1" t="s">
        <v>180</v>
      </c>
      <c r="C3571" s="1" t="s">
        <v>47</v>
      </c>
      <c r="D3571" s="6">
        <v>6.0</v>
      </c>
      <c r="E3571" s="6">
        <v>4288.0</v>
      </c>
      <c r="F3571" s="6">
        <v>4287.0</v>
      </c>
      <c r="G3571" s="6">
        <v>4025.0</v>
      </c>
      <c r="H3571" s="6">
        <v>1.0653</v>
      </c>
      <c r="I3571" s="6">
        <v>1.0651</v>
      </c>
      <c r="J3571" s="6">
        <v>2.0E-4</v>
      </c>
    </row>
    <row r="3572">
      <c r="A3572" s="1" t="s">
        <v>26</v>
      </c>
      <c r="B3572" s="1" t="s">
        <v>180</v>
      </c>
      <c r="C3572" s="1" t="s">
        <v>47</v>
      </c>
      <c r="D3572" s="6">
        <v>7.0</v>
      </c>
      <c r="E3572" s="6">
        <v>3941.0</v>
      </c>
      <c r="F3572" s="6">
        <v>4423.0</v>
      </c>
      <c r="G3572" s="6">
        <v>4025.0</v>
      </c>
      <c r="H3572" s="6">
        <v>0.9791</v>
      </c>
      <c r="I3572" s="6">
        <v>1.0989</v>
      </c>
      <c r="J3572" s="6">
        <v>-0.1198</v>
      </c>
    </row>
    <row r="3573">
      <c r="A3573" s="1" t="s">
        <v>26</v>
      </c>
      <c r="B3573" s="1" t="s">
        <v>180</v>
      </c>
      <c r="C3573" s="1" t="s">
        <v>47</v>
      </c>
      <c r="D3573" s="6">
        <v>8.0</v>
      </c>
      <c r="E3573" s="6">
        <v>3665.0</v>
      </c>
      <c r="F3573" s="6">
        <v>4314.0</v>
      </c>
      <c r="G3573" s="6">
        <v>4025.0</v>
      </c>
      <c r="H3573" s="6">
        <v>0.9106</v>
      </c>
      <c r="I3573" s="6">
        <v>1.0718</v>
      </c>
      <c r="J3573" s="6">
        <v>-0.1612</v>
      </c>
    </row>
    <row r="3574">
      <c r="A3574" s="1" t="s">
        <v>26</v>
      </c>
      <c r="B3574" s="1" t="s">
        <v>180</v>
      </c>
      <c r="C3574" s="1" t="s">
        <v>47</v>
      </c>
      <c r="D3574" s="6">
        <v>9.0</v>
      </c>
      <c r="E3574" s="6">
        <v>3538.0</v>
      </c>
      <c r="F3574" s="6">
        <v>4284.0</v>
      </c>
      <c r="G3574" s="6">
        <v>4025.0</v>
      </c>
      <c r="H3574" s="6">
        <v>0.879</v>
      </c>
      <c r="I3574" s="6">
        <v>1.0643</v>
      </c>
      <c r="J3574" s="6">
        <v>-0.1853</v>
      </c>
    </row>
    <row r="3575">
      <c r="A3575" s="1" t="s">
        <v>26</v>
      </c>
      <c r="B3575" s="1" t="s">
        <v>180</v>
      </c>
      <c r="C3575" s="1" t="s">
        <v>47</v>
      </c>
      <c r="D3575" s="6">
        <v>10.0</v>
      </c>
      <c r="E3575" s="6">
        <v>4639.0</v>
      </c>
      <c r="F3575" s="6">
        <v>4921.0</v>
      </c>
      <c r="G3575" s="6">
        <v>4025.0</v>
      </c>
      <c r="H3575" s="6">
        <v>1.1525</v>
      </c>
      <c r="I3575" s="6">
        <v>1.2226</v>
      </c>
      <c r="J3575" s="6">
        <v>-0.0701</v>
      </c>
    </row>
    <row r="3576">
      <c r="A3576" s="1" t="s">
        <v>26</v>
      </c>
      <c r="B3576" s="1" t="s">
        <v>180</v>
      </c>
      <c r="C3576" s="1" t="s">
        <v>47</v>
      </c>
      <c r="D3576" s="6">
        <v>11.0</v>
      </c>
      <c r="E3576" s="6">
        <v>3713.0</v>
      </c>
      <c r="F3576" s="6">
        <v>3789.0</v>
      </c>
      <c r="G3576" s="6">
        <v>4025.0</v>
      </c>
      <c r="H3576" s="6">
        <v>0.9225</v>
      </c>
      <c r="I3576" s="6">
        <v>0.9414</v>
      </c>
      <c r="J3576" s="6">
        <v>-0.0189</v>
      </c>
    </row>
    <row r="3577">
      <c r="A3577" s="1" t="s">
        <v>26</v>
      </c>
      <c r="B3577" s="1" t="s">
        <v>180</v>
      </c>
      <c r="C3577" s="1" t="s">
        <v>47</v>
      </c>
      <c r="D3577" s="6">
        <v>12.0</v>
      </c>
      <c r="E3577" s="6">
        <v>4205.0</v>
      </c>
      <c r="F3577" s="6">
        <v>4666.0</v>
      </c>
      <c r="G3577" s="6">
        <v>4025.0</v>
      </c>
      <c r="H3577" s="6">
        <v>1.0447</v>
      </c>
      <c r="I3577" s="6">
        <v>1.1593</v>
      </c>
      <c r="J3577" s="6">
        <v>-0.1145</v>
      </c>
    </row>
    <row r="3578">
      <c r="A3578" s="1" t="s">
        <v>26</v>
      </c>
      <c r="B3578" s="1" t="s">
        <v>180</v>
      </c>
      <c r="C3578" s="1" t="s">
        <v>47</v>
      </c>
      <c r="D3578" s="6">
        <v>13.0</v>
      </c>
      <c r="E3578" s="6">
        <v>4455.0</v>
      </c>
      <c r="F3578" s="6">
        <v>4724.0</v>
      </c>
      <c r="G3578" s="6">
        <v>4025.0</v>
      </c>
      <c r="H3578" s="6">
        <v>1.1068</v>
      </c>
      <c r="I3578" s="6">
        <v>1.1737</v>
      </c>
      <c r="J3578" s="6">
        <v>-0.0668</v>
      </c>
    </row>
    <row r="3579">
      <c r="A3579" s="1" t="s">
        <v>26</v>
      </c>
      <c r="B3579" s="1" t="s">
        <v>180</v>
      </c>
      <c r="C3579" s="1" t="s">
        <v>47</v>
      </c>
      <c r="D3579" s="6">
        <v>14.0</v>
      </c>
      <c r="E3579" s="6">
        <v>3759.0</v>
      </c>
      <c r="F3579" s="6">
        <v>4160.0</v>
      </c>
      <c r="G3579" s="6">
        <v>4025.0</v>
      </c>
      <c r="H3579" s="6">
        <v>0.9339</v>
      </c>
      <c r="I3579" s="6">
        <v>1.0335</v>
      </c>
      <c r="J3579" s="6">
        <v>-0.0996</v>
      </c>
    </row>
    <row r="3580">
      <c r="A3580" s="1" t="s">
        <v>26</v>
      </c>
      <c r="B3580" s="1" t="s">
        <v>180</v>
      </c>
      <c r="C3580" s="1" t="s">
        <v>47</v>
      </c>
      <c r="D3580" s="6">
        <v>15.0</v>
      </c>
      <c r="E3580" s="6">
        <v>4237.0</v>
      </c>
      <c r="F3580" s="6">
        <v>4760.0</v>
      </c>
      <c r="G3580" s="6">
        <v>4025.0</v>
      </c>
      <c r="H3580" s="6">
        <v>1.0527</v>
      </c>
      <c r="I3580" s="6">
        <v>1.1826</v>
      </c>
      <c r="J3580" s="6">
        <v>-0.1299</v>
      </c>
    </row>
    <row r="3581">
      <c r="A3581" s="1" t="s">
        <v>26</v>
      </c>
      <c r="B3581" s="1" t="s">
        <v>180</v>
      </c>
      <c r="C3581" s="1" t="s">
        <v>47</v>
      </c>
      <c r="D3581" s="6">
        <v>16.0</v>
      </c>
      <c r="E3581" s="6">
        <v>4260.0</v>
      </c>
      <c r="F3581" s="6">
        <v>4635.0</v>
      </c>
      <c r="G3581" s="6">
        <v>4025.0</v>
      </c>
      <c r="H3581" s="6">
        <v>1.0584</v>
      </c>
      <c r="I3581" s="6">
        <v>1.1516</v>
      </c>
      <c r="J3581" s="6">
        <v>-0.0932</v>
      </c>
    </row>
    <row r="3582">
      <c r="A3582" s="1" t="s">
        <v>26</v>
      </c>
      <c r="B3582" s="1" t="s">
        <v>180</v>
      </c>
      <c r="C3582" s="1" t="s">
        <v>47</v>
      </c>
      <c r="D3582" s="6">
        <v>17.0</v>
      </c>
      <c r="E3582" s="6">
        <v>5185.0</v>
      </c>
      <c r="F3582" s="6">
        <v>4989.0</v>
      </c>
      <c r="G3582" s="6">
        <v>4025.0</v>
      </c>
      <c r="H3582" s="6">
        <v>1.2882</v>
      </c>
      <c r="I3582" s="6">
        <v>1.2395</v>
      </c>
      <c r="J3582" s="6">
        <v>0.0487</v>
      </c>
    </row>
    <row r="3583">
      <c r="A3583" s="1" t="s">
        <v>26</v>
      </c>
      <c r="B3583" s="1" t="s">
        <v>180</v>
      </c>
      <c r="C3583" s="1" t="s">
        <v>47</v>
      </c>
      <c r="D3583" s="6">
        <v>18.0</v>
      </c>
      <c r="E3583" s="6">
        <v>4135.0</v>
      </c>
      <c r="F3583" s="6">
        <v>4739.0</v>
      </c>
      <c r="G3583" s="6">
        <v>4025.0</v>
      </c>
      <c r="H3583" s="6">
        <v>1.0273</v>
      </c>
      <c r="I3583" s="6">
        <v>1.1774</v>
      </c>
      <c r="J3583" s="6">
        <v>-0.1501</v>
      </c>
    </row>
    <row r="3584">
      <c r="A3584" s="1" t="s">
        <v>26</v>
      </c>
      <c r="B3584" s="1" t="s">
        <v>180</v>
      </c>
      <c r="C3584" s="1" t="s">
        <v>47</v>
      </c>
      <c r="D3584" s="6">
        <v>19.0</v>
      </c>
      <c r="E3584" s="6">
        <v>4146.0</v>
      </c>
      <c r="F3584" s="6">
        <v>4670.0</v>
      </c>
      <c r="G3584" s="6">
        <v>4025.0</v>
      </c>
      <c r="H3584" s="6">
        <v>1.0301</v>
      </c>
      <c r="I3584" s="6">
        <v>1.1602</v>
      </c>
      <c r="J3584" s="6">
        <v>-0.1302</v>
      </c>
    </row>
    <row r="3585">
      <c r="A3585" s="1" t="s">
        <v>26</v>
      </c>
      <c r="B3585" s="1" t="s">
        <v>180</v>
      </c>
      <c r="C3585" s="1" t="s">
        <v>47</v>
      </c>
      <c r="D3585" s="6">
        <v>20.0</v>
      </c>
      <c r="E3585" s="6">
        <v>4902.0</v>
      </c>
      <c r="F3585" s="6">
        <v>5117.0</v>
      </c>
      <c r="G3585" s="6">
        <v>4025.0</v>
      </c>
      <c r="H3585" s="6">
        <v>1.2179</v>
      </c>
      <c r="I3585" s="6">
        <v>1.2713</v>
      </c>
      <c r="J3585" s="6">
        <v>-0.0534</v>
      </c>
    </row>
    <row r="3586">
      <c r="A3586" s="1" t="s">
        <v>26</v>
      </c>
      <c r="B3586" s="1" t="s">
        <v>180</v>
      </c>
      <c r="C3586" s="1" t="s">
        <v>47</v>
      </c>
      <c r="D3586" s="6">
        <v>21.0</v>
      </c>
      <c r="E3586" s="6">
        <v>6525.0</v>
      </c>
      <c r="F3586" s="6">
        <v>5019.0</v>
      </c>
      <c r="G3586" s="6">
        <v>4025.0</v>
      </c>
      <c r="H3586" s="6">
        <v>1.6211</v>
      </c>
      <c r="I3586" s="6">
        <v>1.247</v>
      </c>
      <c r="J3586" s="6">
        <v>0.3742</v>
      </c>
    </row>
    <row r="3587">
      <c r="A3587" s="1" t="s">
        <v>26</v>
      </c>
      <c r="B3587" s="1" t="s">
        <v>180</v>
      </c>
      <c r="C3587" s="1" t="s">
        <v>47</v>
      </c>
      <c r="D3587" s="6">
        <v>22.0</v>
      </c>
      <c r="E3587" s="6">
        <v>5371.0</v>
      </c>
      <c r="F3587" s="6">
        <v>5294.0</v>
      </c>
      <c r="G3587" s="6">
        <v>4025.0</v>
      </c>
      <c r="H3587" s="6">
        <v>1.3344</v>
      </c>
      <c r="I3587" s="6">
        <v>1.3153</v>
      </c>
      <c r="J3587" s="6">
        <v>0.0191</v>
      </c>
    </row>
    <row r="3588">
      <c r="A3588" s="1" t="s">
        <v>26</v>
      </c>
      <c r="B3588" s="1" t="s">
        <v>180</v>
      </c>
      <c r="C3588" s="1" t="s">
        <v>47</v>
      </c>
      <c r="D3588" s="6">
        <v>23.0</v>
      </c>
      <c r="E3588" s="6">
        <v>4540.0</v>
      </c>
      <c r="F3588" s="6">
        <v>5257.0</v>
      </c>
      <c r="G3588" s="6">
        <v>4025.0</v>
      </c>
      <c r="H3588" s="6">
        <v>1.128</v>
      </c>
      <c r="I3588" s="6">
        <v>1.3061</v>
      </c>
      <c r="J3588" s="6">
        <v>-0.1781</v>
      </c>
    </row>
    <row r="3589">
      <c r="A3589" s="1" t="s">
        <v>26</v>
      </c>
      <c r="B3589" s="1" t="s">
        <v>180</v>
      </c>
      <c r="C3589" s="1" t="s">
        <v>47</v>
      </c>
      <c r="D3589" s="6">
        <v>24.0</v>
      </c>
      <c r="E3589" s="6">
        <v>5729.0</v>
      </c>
      <c r="F3589" s="6">
        <v>6146.0</v>
      </c>
      <c r="G3589" s="6">
        <v>4025.0</v>
      </c>
      <c r="H3589" s="6">
        <v>1.4234</v>
      </c>
      <c r="I3589" s="6">
        <v>1.527</v>
      </c>
      <c r="J3589" s="6">
        <v>-0.1036</v>
      </c>
    </row>
    <row r="3590">
      <c r="A3590" s="1" t="s">
        <v>26</v>
      </c>
      <c r="B3590" s="1" t="s">
        <v>180</v>
      </c>
      <c r="C3590" s="1" t="s">
        <v>47</v>
      </c>
      <c r="D3590" s="6">
        <v>25.0</v>
      </c>
      <c r="E3590" s="6">
        <v>4821.0</v>
      </c>
      <c r="F3590" s="6">
        <v>5317.0</v>
      </c>
      <c r="G3590" s="6">
        <v>4025.0</v>
      </c>
      <c r="H3590" s="6">
        <v>1.1978</v>
      </c>
      <c r="I3590" s="6">
        <v>1.321</v>
      </c>
      <c r="J3590" s="6">
        <v>-0.1232</v>
      </c>
    </row>
    <row r="3591">
      <c r="A3591" s="1" t="s">
        <v>26</v>
      </c>
      <c r="B3591" s="1" t="s">
        <v>180</v>
      </c>
      <c r="C3591" s="1" t="s">
        <v>47</v>
      </c>
      <c r="D3591" s="6">
        <v>26.0</v>
      </c>
      <c r="E3591" s="6">
        <v>5090.0</v>
      </c>
      <c r="F3591" s="6">
        <v>5717.0</v>
      </c>
      <c r="G3591" s="6">
        <v>4025.0</v>
      </c>
      <c r="H3591" s="6">
        <v>1.2646</v>
      </c>
      <c r="I3591" s="6">
        <v>1.4204</v>
      </c>
      <c r="J3591" s="6">
        <v>-0.1558</v>
      </c>
    </row>
    <row r="3592">
      <c r="A3592" s="1" t="s">
        <v>26</v>
      </c>
      <c r="B3592" s="1" t="s">
        <v>180</v>
      </c>
      <c r="C3592" s="1" t="s">
        <v>47</v>
      </c>
      <c r="D3592" s="6">
        <v>27.0</v>
      </c>
      <c r="E3592" s="6">
        <v>5751.0</v>
      </c>
      <c r="F3592" s="6">
        <v>5684.0</v>
      </c>
      <c r="G3592" s="6">
        <v>4025.0</v>
      </c>
      <c r="H3592" s="6">
        <v>1.4288</v>
      </c>
      <c r="I3592" s="6">
        <v>1.4122</v>
      </c>
      <c r="J3592" s="6">
        <v>0.0166</v>
      </c>
    </row>
    <row r="3593">
      <c r="A3593" s="1" t="s">
        <v>26</v>
      </c>
      <c r="B3593" s="1" t="s">
        <v>180</v>
      </c>
      <c r="C3593" s="1" t="s">
        <v>47</v>
      </c>
      <c r="D3593" s="6">
        <v>28.0</v>
      </c>
      <c r="E3593" s="6">
        <v>4936.0</v>
      </c>
      <c r="F3593" s="6">
        <v>5379.0</v>
      </c>
      <c r="G3593" s="6">
        <v>4025.0</v>
      </c>
      <c r="H3593" s="6">
        <v>1.2263</v>
      </c>
      <c r="I3593" s="6">
        <v>1.3364</v>
      </c>
      <c r="J3593" s="6">
        <v>-0.1101</v>
      </c>
    </row>
    <row r="3594">
      <c r="A3594" s="1" t="s">
        <v>26</v>
      </c>
      <c r="B3594" s="1" t="s">
        <v>180</v>
      </c>
      <c r="C3594" s="1" t="s">
        <v>47</v>
      </c>
      <c r="D3594" s="6">
        <v>29.0</v>
      </c>
      <c r="E3594" s="6">
        <v>5328.0</v>
      </c>
      <c r="F3594" s="6">
        <v>5527.0</v>
      </c>
      <c r="G3594" s="6">
        <v>4025.0</v>
      </c>
      <c r="H3594" s="6">
        <v>1.3237</v>
      </c>
      <c r="I3594" s="6">
        <v>1.3732</v>
      </c>
      <c r="J3594" s="6">
        <v>-0.0494</v>
      </c>
    </row>
    <row r="3595">
      <c r="A3595" s="1" t="s">
        <v>26</v>
      </c>
      <c r="B3595" s="1" t="s">
        <v>180</v>
      </c>
      <c r="C3595" s="1" t="s">
        <v>47</v>
      </c>
      <c r="D3595" s="6">
        <v>30.0</v>
      </c>
      <c r="E3595" s="6">
        <v>5607.0</v>
      </c>
      <c r="F3595" s="6">
        <v>5266.0</v>
      </c>
      <c r="G3595" s="6">
        <v>4025.0</v>
      </c>
      <c r="H3595" s="6">
        <v>1.393</v>
      </c>
      <c r="I3595" s="6">
        <v>1.3083</v>
      </c>
      <c r="J3595" s="6">
        <v>0.0847</v>
      </c>
    </row>
    <row r="3596">
      <c r="A3596" s="1" t="s">
        <v>26</v>
      </c>
      <c r="B3596" s="1" t="s">
        <v>180</v>
      </c>
      <c r="C3596" s="1" t="s">
        <v>47</v>
      </c>
      <c r="D3596" s="6">
        <v>31.0</v>
      </c>
      <c r="E3596" s="6">
        <v>7324.0</v>
      </c>
      <c r="F3596" s="6">
        <v>6172.0</v>
      </c>
      <c r="G3596" s="6">
        <v>4025.0</v>
      </c>
      <c r="H3596" s="6">
        <v>1.8196</v>
      </c>
      <c r="I3596" s="6">
        <v>1.5334</v>
      </c>
      <c r="J3596" s="6">
        <v>0.2862</v>
      </c>
    </row>
    <row r="3597">
      <c r="A3597" s="1" t="s">
        <v>26</v>
      </c>
      <c r="B3597" s="1" t="s">
        <v>180</v>
      </c>
      <c r="C3597" s="1" t="s">
        <v>47</v>
      </c>
      <c r="D3597" s="6">
        <v>32.0</v>
      </c>
      <c r="E3597" s="6">
        <v>6262.0</v>
      </c>
      <c r="F3597" s="6">
        <v>6086.0</v>
      </c>
      <c r="G3597" s="6">
        <v>4025.0</v>
      </c>
      <c r="H3597" s="6">
        <v>1.5558</v>
      </c>
      <c r="I3597" s="6">
        <v>1.512</v>
      </c>
      <c r="J3597" s="6">
        <v>0.0437</v>
      </c>
    </row>
    <row r="3598">
      <c r="A3598" s="1" t="s">
        <v>26</v>
      </c>
      <c r="B3598" s="1" t="s">
        <v>180</v>
      </c>
      <c r="C3598" s="1" t="s">
        <v>47</v>
      </c>
      <c r="D3598" s="6">
        <v>33.0</v>
      </c>
      <c r="E3598" s="6">
        <v>7057.0</v>
      </c>
      <c r="F3598" s="6">
        <v>6987.0</v>
      </c>
      <c r="G3598" s="6">
        <v>4025.0</v>
      </c>
      <c r="H3598" s="6">
        <v>1.7533</v>
      </c>
      <c r="I3598" s="6">
        <v>1.7359</v>
      </c>
      <c r="J3598" s="6">
        <v>0.0174</v>
      </c>
    </row>
    <row r="3599">
      <c r="A3599" s="1" t="s">
        <v>26</v>
      </c>
      <c r="B3599" s="1" t="s">
        <v>180</v>
      </c>
      <c r="C3599" s="1" t="s">
        <v>48</v>
      </c>
      <c r="D3599" s="6">
        <v>1.0</v>
      </c>
      <c r="E3599" s="6">
        <v>3587.0</v>
      </c>
      <c r="F3599" s="6">
        <v>4016.0</v>
      </c>
      <c r="G3599" s="6">
        <v>4024.0</v>
      </c>
      <c r="H3599" s="6">
        <v>0.8914</v>
      </c>
      <c r="I3599" s="6">
        <v>0.998</v>
      </c>
      <c r="J3599" s="6">
        <v>-0.1066</v>
      </c>
    </row>
    <row r="3600">
      <c r="A3600" s="1" t="s">
        <v>26</v>
      </c>
      <c r="B3600" s="1" t="s">
        <v>180</v>
      </c>
      <c r="C3600" s="1" t="s">
        <v>48</v>
      </c>
      <c r="D3600" s="6">
        <v>2.0</v>
      </c>
      <c r="E3600" s="6">
        <v>3863.0</v>
      </c>
      <c r="F3600" s="6">
        <v>4368.0</v>
      </c>
      <c r="G3600" s="6">
        <v>4024.0</v>
      </c>
      <c r="H3600" s="6">
        <v>0.96</v>
      </c>
      <c r="I3600" s="6">
        <v>1.0855</v>
      </c>
      <c r="J3600" s="6">
        <v>-0.1255</v>
      </c>
    </row>
    <row r="3601">
      <c r="A3601" s="1" t="s">
        <v>26</v>
      </c>
      <c r="B3601" s="1" t="s">
        <v>180</v>
      </c>
      <c r="C3601" s="1" t="s">
        <v>48</v>
      </c>
      <c r="D3601" s="6">
        <v>3.0</v>
      </c>
      <c r="E3601" s="6">
        <v>4191.0</v>
      </c>
      <c r="F3601" s="6">
        <v>3976.0</v>
      </c>
      <c r="G3601" s="6">
        <v>4024.0</v>
      </c>
      <c r="H3601" s="6">
        <v>1.0415</v>
      </c>
      <c r="I3601" s="6">
        <v>0.9881</v>
      </c>
      <c r="J3601" s="6">
        <v>0.0534</v>
      </c>
    </row>
    <row r="3602">
      <c r="A3602" s="1" t="s">
        <v>26</v>
      </c>
      <c r="B3602" s="1" t="s">
        <v>180</v>
      </c>
      <c r="C3602" s="1" t="s">
        <v>48</v>
      </c>
      <c r="D3602" s="6">
        <v>4.0</v>
      </c>
      <c r="E3602" s="6">
        <v>3479.0</v>
      </c>
      <c r="F3602" s="6">
        <v>3620.0</v>
      </c>
      <c r="G3602" s="6">
        <v>4024.0</v>
      </c>
      <c r="H3602" s="6">
        <v>0.8646</v>
      </c>
      <c r="I3602" s="6">
        <v>0.8996</v>
      </c>
      <c r="J3602" s="6">
        <v>-0.035</v>
      </c>
    </row>
    <row r="3603">
      <c r="A3603" s="1" t="s">
        <v>26</v>
      </c>
      <c r="B3603" s="1" t="s">
        <v>180</v>
      </c>
      <c r="C3603" s="1" t="s">
        <v>48</v>
      </c>
      <c r="D3603" s="6">
        <v>5.0</v>
      </c>
      <c r="E3603" s="6">
        <v>3937.0</v>
      </c>
      <c r="F3603" s="6">
        <v>4489.0</v>
      </c>
      <c r="G3603" s="6">
        <v>4024.0</v>
      </c>
      <c r="H3603" s="6">
        <v>0.9784</v>
      </c>
      <c r="I3603" s="6">
        <v>1.1156</v>
      </c>
      <c r="J3603" s="6">
        <v>-0.1372</v>
      </c>
    </row>
    <row r="3604">
      <c r="A3604" s="1" t="s">
        <v>26</v>
      </c>
      <c r="B3604" s="1" t="s">
        <v>180</v>
      </c>
      <c r="C3604" s="1" t="s">
        <v>48</v>
      </c>
      <c r="D3604" s="6">
        <v>6.0</v>
      </c>
      <c r="E3604" s="6">
        <v>4533.0</v>
      </c>
      <c r="F3604" s="6">
        <v>4487.0</v>
      </c>
      <c r="G3604" s="6">
        <v>4024.0</v>
      </c>
      <c r="H3604" s="6">
        <v>1.1265</v>
      </c>
      <c r="I3604" s="6">
        <v>1.1151</v>
      </c>
      <c r="J3604" s="6">
        <v>0.0114</v>
      </c>
    </row>
    <row r="3605">
      <c r="A3605" s="1" t="s">
        <v>26</v>
      </c>
      <c r="B3605" s="1" t="s">
        <v>180</v>
      </c>
      <c r="C3605" s="1" t="s">
        <v>48</v>
      </c>
      <c r="D3605" s="6">
        <v>7.0</v>
      </c>
      <c r="E3605" s="6">
        <v>3924.0</v>
      </c>
      <c r="F3605" s="6">
        <v>4502.0</v>
      </c>
      <c r="G3605" s="6">
        <v>4024.0</v>
      </c>
      <c r="H3605" s="6">
        <v>0.9751</v>
      </c>
      <c r="I3605" s="6">
        <v>1.1188</v>
      </c>
      <c r="J3605" s="6">
        <v>-0.1436</v>
      </c>
    </row>
    <row r="3606">
      <c r="A3606" s="1" t="s">
        <v>26</v>
      </c>
      <c r="B3606" s="1" t="s">
        <v>180</v>
      </c>
      <c r="C3606" s="1" t="s">
        <v>48</v>
      </c>
      <c r="D3606" s="6">
        <v>8.0</v>
      </c>
      <c r="E3606" s="6">
        <v>3767.0</v>
      </c>
      <c r="F3606" s="6">
        <v>4463.0</v>
      </c>
      <c r="G3606" s="6">
        <v>4024.0</v>
      </c>
      <c r="H3606" s="6">
        <v>0.9361</v>
      </c>
      <c r="I3606" s="6">
        <v>1.1091</v>
      </c>
      <c r="J3606" s="6">
        <v>-0.173</v>
      </c>
    </row>
    <row r="3607">
      <c r="A3607" s="1" t="s">
        <v>26</v>
      </c>
      <c r="B3607" s="1" t="s">
        <v>180</v>
      </c>
      <c r="C3607" s="1" t="s">
        <v>48</v>
      </c>
      <c r="D3607" s="6">
        <v>9.0</v>
      </c>
      <c r="E3607" s="6">
        <v>3624.0</v>
      </c>
      <c r="F3607" s="6">
        <v>4351.0</v>
      </c>
      <c r="G3607" s="6">
        <v>4024.0</v>
      </c>
      <c r="H3607" s="6">
        <v>0.9006</v>
      </c>
      <c r="I3607" s="6">
        <v>1.0813</v>
      </c>
      <c r="J3607" s="6">
        <v>-0.1807</v>
      </c>
    </row>
    <row r="3608">
      <c r="A3608" s="1" t="s">
        <v>26</v>
      </c>
      <c r="B3608" s="1" t="s">
        <v>180</v>
      </c>
      <c r="C3608" s="1" t="s">
        <v>48</v>
      </c>
      <c r="D3608" s="6">
        <v>10.0</v>
      </c>
      <c r="E3608" s="6">
        <v>4813.0</v>
      </c>
      <c r="F3608" s="6">
        <v>5113.0</v>
      </c>
      <c r="G3608" s="6">
        <v>4024.0</v>
      </c>
      <c r="H3608" s="6">
        <v>1.1961</v>
      </c>
      <c r="I3608" s="6">
        <v>1.2706</v>
      </c>
      <c r="J3608" s="6">
        <v>-0.0746</v>
      </c>
    </row>
    <row r="3609">
      <c r="A3609" s="1" t="s">
        <v>26</v>
      </c>
      <c r="B3609" s="1" t="s">
        <v>180</v>
      </c>
      <c r="C3609" s="1" t="s">
        <v>48</v>
      </c>
      <c r="D3609" s="6">
        <v>11.0</v>
      </c>
      <c r="E3609" s="6">
        <v>3761.0</v>
      </c>
      <c r="F3609" s="6">
        <v>3884.0</v>
      </c>
      <c r="G3609" s="6">
        <v>4024.0</v>
      </c>
      <c r="H3609" s="6">
        <v>0.9346</v>
      </c>
      <c r="I3609" s="6">
        <v>0.9652</v>
      </c>
      <c r="J3609" s="6">
        <v>-0.0306</v>
      </c>
    </row>
    <row r="3610">
      <c r="A3610" s="1" t="s">
        <v>26</v>
      </c>
      <c r="B3610" s="1" t="s">
        <v>180</v>
      </c>
      <c r="C3610" s="1" t="s">
        <v>48</v>
      </c>
      <c r="D3610" s="6">
        <v>12.0</v>
      </c>
      <c r="E3610" s="6">
        <v>4297.0</v>
      </c>
      <c r="F3610" s="6">
        <v>4660.0</v>
      </c>
      <c r="G3610" s="6">
        <v>4024.0</v>
      </c>
      <c r="H3610" s="6">
        <v>1.0678</v>
      </c>
      <c r="I3610" s="6">
        <v>1.1581</v>
      </c>
      <c r="J3610" s="6">
        <v>-0.0902</v>
      </c>
    </row>
    <row r="3611">
      <c r="A3611" s="1" t="s">
        <v>26</v>
      </c>
      <c r="B3611" s="1" t="s">
        <v>180</v>
      </c>
      <c r="C3611" s="1" t="s">
        <v>48</v>
      </c>
      <c r="D3611" s="6">
        <v>13.0</v>
      </c>
      <c r="E3611" s="6">
        <v>4670.0</v>
      </c>
      <c r="F3611" s="6">
        <v>4815.0</v>
      </c>
      <c r="G3611" s="6">
        <v>4024.0</v>
      </c>
      <c r="H3611" s="6">
        <v>1.1605</v>
      </c>
      <c r="I3611" s="6">
        <v>1.1966</v>
      </c>
      <c r="J3611" s="6">
        <v>-0.036</v>
      </c>
    </row>
    <row r="3612">
      <c r="A3612" s="1" t="s">
        <v>26</v>
      </c>
      <c r="B3612" s="1" t="s">
        <v>180</v>
      </c>
      <c r="C3612" s="1" t="s">
        <v>48</v>
      </c>
      <c r="D3612" s="6">
        <v>14.0</v>
      </c>
      <c r="E3612" s="6">
        <v>3907.0</v>
      </c>
      <c r="F3612" s="6">
        <v>4200.0</v>
      </c>
      <c r="G3612" s="6">
        <v>4024.0</v>
      </c>
      <c r="H3612" s="6">
        <v>0.9709</v>
      </c>
      <c r="I3612" s="6">
        <v>1.0437</v>
      </c>
      <c r="J3612" s="6">
        <v>-0.0728</v>
      </c>
    </row>
    <row r="3613">
      <c r="A3613" s="1" t="s">
        <v>26</v>
      </c>
      <c r="B3613" s="1" t="s">
        <v>180</v>
      </c>
      <c r="C3613" s="1" t="s">
        <v>48</v>
      </c>
      <c r="D3613" s="6">
        <v>15.0</v>
      </c>
      <c r="E3613" s="6">
        <v>4345.0</v>
      </c>
      <c r="F3613" s="6">
        <v>4935.0</v>
      </c>
      <c r="G3613" s="6">
        <v>4024.0</v>
      </c>
      <c r="H3613" s="6">
        <v>1.0798</v>
      </c>
      <c r="I3613" s="6">
        <v>1.2264</v>
      </c>
      <c r="J3613" s="6">
        <v>-0.1466</v>
      </c>
    </row>
    <row r="3614">
      <c r="A3614" s="1" t="s">
        <v>26</v>
      </c>
      <c r="B3614" s="1" t="s">
        <v>180</v>
      </c>
      <c r="C3614" s="1" t="s">
        <v>48</v>
      </c>
      <c r="D3614" s="6">
        <v>16.0</v>
      </c>
      <c r="E3614" s="6">
        <v>4345.0</v>
      </c>
      <c r="F3614" s="6">
        <v>4881.0</v>
      </c>
      <c r="G3614" s="6">
        <v>4024.0</v>
      </c>
      <c r="H3614" s="6">
        <v>1.0798</v>
      </c>
      <c r="I3614" s="6">
        <v>1.213</v>
      </c>
      <c r="J3614" s="6">
        <v>-0.1332</v>
      </c>
    </row>
    <row r="3615">
      <c r="A3615" s="1" t="s">
        <v>26</v>
      </c>
      <c r="B3615" s="1" t="s">
        <v>180</v>
      </c>
      <c r="C3615" s="1" t="s">
        <v>48</v>
      </c>
      <c r="D3615" s="6">
        <v>17.0</v>
      </c>
      <c r="E3615" s="6">
        <v>5191.0</v>
      </c>
      <c r="F3615" s="6">
        <v>5224.0</v>
      </c>
      <c r="G3615" s="6">
        <v>4024.0</v>
      </c>
      <c r="H3615" s="6">
        <v>1.29</v>
      </c>
      <c r="I3615" s="6">
        <v>1.2982</v>
      </c>
      <c r="J3615" s="6">
        <v>-0.0082</v>
      </c>
    </row>
    <row r="3616">
      <c r="A3616" s="1" t="s">
        <v>26</v>
      </c>
      <c r="B3616" s="1" t="s">
        <v>180</v>
      </c>
      <c r="C3616" s="1" t="s">
        <v>48</v>
      </c>
      <c r="D3616" s="6">
        <v>18.0</v>
      </c>
      <c r="E3616" s="6">
        <v>4199.0</v>
      </c>
      <c r="F3616" s="6">
        <v>5001.0</v>
      </c>
      <c r="G3616" s="6">
        <v>4024.0</v>
      </c>
      <c r="H3616" s="6">
        <v>1.0435</v>
      </c>
      <c r="I3616" s="6">
        <v>1.2428</v>
      </c>
      <c r="J3616" s="6">
        <v>-0.1993</v>
      </c>
    </row>
    <row r="3617">
      <c r="A3617" s="1" t="s">
        <v>26</v>
      </c>
      <c r="B3617" s="1" t="s">
        <v>180</v>
      </c>
      <c r="C3617" s="1" t="s">
        <v>48</v>
      </c>
      <c r="D3617" s="6">
        <v>19.0</v>
      </c>
      <c r="E3617" s="6">
        <v>4246.0</v>
      </c>
      <c r="F3617" s="6">
        <v>4862.0</v>
      </c>
      <c r="G3617" s="6">
        <v>4024.0</v>
      </c>
      <c r="H3617" s="6">
        <v>1.0552</v>
      </c>
      <c r="I3617" s="6">
        <v>1.2083</v>
      </c>
      <c r="J3617" s="6">
        <v>-0.1531</v>
      </c>
    </row>
    <row r="3618">
      <c r="A3618" s="1" t="s">
        <v>26</v>
      </c>
      <c r="B3618" s="1" t="s">
        <v>180</v>
      </c>
      <c r="C3618" s="1" t="s">
        <v>48</v>
      </c>
      <c r="D3618" s="6">
        <v>20.0</v>
      </c>
      <c r="E3618" s="6">
        <v>5151.0</v>
      </c>
      <c r="F3618" s="6">
        <v>5355.0</v>
      </c>
      <c r="G3618" s="6">
        <v>4024.0</v>
      </c>
      <c r="H3618" s="6">
        <v>1.2801</v>
      </c>
      <c r="I3618" s="6">
        <v>1.3308</v>
      </c>
      <c r="J3618" s="6">
        <v>-0.0507</v>
      </c>
    </row>
    <row r="3619">
      <c r="A3619" s="1" t="s">
        <v>26</v>
      </c>
      <c r="B3619" s="1" t="s">
        <v>180</v>
      </c>
      <c r="C3619" s="1" t="s">
        <v>48</v>
      </c>
      <c r="D3619" s="6">
        <v>21.0</v>
      </c>
      <c r="E3619" s="6">
        <v>6723.0</v>
      </c>
      <c r="F3619" s="6">
        <v>5101.0</v>
      </c>
      <c r="G3619" s="6">
        <v>4024.0</v>
      </c>
      <c r="H3619" s="6">
        <v>1.6707</v>
      </c>
      <c r="I3619" s="6">
        <v>1.2676</v>
      </c>
      <c r="J3619" s="6">
        <v>0.4031</v>
      </c>
    </row>
    <row r="3620">
      <c r="A3620" s="1" t="s">
        <v>26</v>
      </c>
      <c r="B3620" s="1" t="s">
        <v>180</v>
      </c>
      <c r="C3620" s="1" t="s">
        <v>48</v>
      </c>
      <c r="D3620" s="6">
        <v>22.0</v>
      </c>
      <c r="E3620" s="6">
        <v>5563.0</v>
      </c>
      <c r="F3620" s="6">
        <v>5472.0</v>
      </c>
      <c r="G3620" s="6">
        <v>4024.0</v>
      </c>
      <c r="H3620" s="6">
        <v>1.3825</v>
      </c>
      <c r="I3620" s="6">
        <v>1.3598</v>
      </c>
      <c r="J3620" s="6">
        <v>0.0226</v>
      </c>
    </row>
    <row r="3621">
      <c r="A3621" s="1" t="s">
        <v>26</v>
      </c>
      <c r="B3621" s="1" t="s">
        <v>180</v>
      </c>
      <c r="C3621" s="1" t="s">
        <v>48</v>
      </c>
      <c r="D3621" s="6">
        <v>23.0</v>
      </c>
      <c r="E3621" s="6">
        <v>4852.0</v>
      </c>
      <c r="F3621" s="6">
        <v>5443.0</v>
      </c>
      <c r="G3621" s="6">
        <v>4024.0</v>
      </c>
      <c r="H3621" s="6">
        <v>1.2058</v>
      </c>
      <c r="I3621" s="6">
        <v>1.3526</v>
      </c>
      <c r="J3621" s="6">
        <v>-0.1469</v>
      </c>
    </row>
    <row r="3622">
      <c r="A3622" s="1" t="s">
        <v>26</v>
      </c>
      <c r="B3622" s="1" t="s">
        <v>180</v>
      </c>
      <c r="C3622" s="1" t="s">
        <v>48</v>
      </c>
      <c r="D3622" s="6">
        <v>24.0</v>
      </c>
      <c r="E3622" s="6">
        <v>5846.0</v>
      </c>
      <c r="F3622" s="6">
        <v>6089.0</v>
      </c>
      <c r="G3622" s="6">
        <v>4024.0</v>
      </c>
      <c r="H3622" s="6">
        <v>1.4528</v>
      </c>
      <c r="I3622" s="6">
        <v>1.5132</v>
      </c>
      <c r="J3622" s="6">
        <v>-0.0604</v>
      </c>
    </row>
    <row r="3623">
      <c r="A3623" s="1" t="s">
        <v>26</v>
      </c>
      <c r="B3623" s="1" t="s">
        <v>180</v>
      </c>
      <c r="C3623" s="1" t="s">
        <v>48</v>
      </c>
      <c r="D3623" s="6">
        <v>25.0</v>
      </c>
      <c r="E3623" s="6">
        <v>5070.0</v>
      </c>
      <c r="F3623" s="6">
        <v>5453.0</v>
      </c>
      <c r="G3623" s="6">
        <v>4024.0</v>
      </c>
      <c r="H3623" s="6">
        <v>1.2599</v>
      </c>
      <c r="I3623" s="6">
        <v>1.3551</v>
      </c>
      <c r="J3623" s="6">
        <v>-0.0952</v>
      </c>
    </row>
    <row r="3624">
      <c r="A3624" s="1" t="s">
        <v>26</v>
      </c>
      <c r="B3624" s="1" t="s">
        <v>180</v>
      </c>
      <c r="C3624" s="1" t="s">
        <v>48</v>
      </c>
      <c r="D3624" s="6">
        <v>26.0</v>
      </c>
      <c r="E3624" s="6">
        <v>5294.0</v>
      </c>
      <c r="F3624" s="6">
        <v>5862.0</v>
      </c>
      <c r="G3624" s="6">
        <v>4024.0</v>
      </c>
      <c r="H3624" s="6">
        <v>1.3156</v>
      </c>
      <c r="I3624" s="6">
        <v>1.4568</v>
      </c>
      <c r="J3624" s="6">
        <v>-0.1412</v>
      </c>
    </row>
    <row r="3625">
      <c r="A3625" s="1" t="s">
        <v>26</v>
      </c>
      <c r="B3625" s="1" t="s">
        <v>180</v>
      </c>
      <c r="C3625" s="1" t="s">
        <v>48</v>
      </c>
      <c r="D3625" s="6">
        <v>27.0</v>
      </c>
      <c r="E3625" s="6">
        <v>6131.0</v>
      </c>
      <c r="F3625" s="6">
        <v>5806.0</v>
      </c>
      <c r="G3625" s="6">
        <v>4024.0</v>
      </c>
      <c r="H3625" s="6">
        <v>1.5236</v>
      </c>
      <c r="I3625" s="6">
        <v>1.4428</v>
      </c>
      <c r="J3625" s="6">
        <v>0.0808</v>
      </c>
    </row>
    <row r="3626">
      <c r="A3626" s="1" t="s">
        <v>26</v>
      </c>
      <c r="B3626" s="1" t="s">
        <v>180</v>
      </c>
      <c r="C3626" s="1" t="s">
        <v>48</v>
      </c>
      <c r="D3626" s="6">
        <v>28.0</v>
      </c>
      <c r="E3626" s="6">
        <v>5135.0</v>
      </c>
      <c r="F3626" s="6">
        <v>5560.0</v>
      </c>
      <c r="G3626" s="6">
        <v>4024.0</v>
      </c>
      <c r="H3626" s="6">
        <v>1.2761</v>
      </c>
      <c r="I3626" s="6">
        <v>1.3817</v>
      </c>
      <c r="J3626" s="6">
        <v>-0.1056</v>
      </c>
    </row>
    <row r="3627">
      <c r="A3627" s="1" t="s">
        <v>26</v>
      </c>
      <c r="B3627" s="1" t="s">
        <v>180</v>
      </c>
      <c r="C3627" s="1" t="s">
        <v>48</v>
      </c>
      <c r="D3627" s="6">
        <v>29.0</v>
      </c>
      <c r="E3627" s="6">
        <v>5485.0</v>
      </c>
      <c r="F3627" s="6">
        <v>5729.0</v>
      </c>
      <c r="G3627" s="6">
        <v>4024.0</v>
      </c>
      <c r="H3627" s="6">
        <v>1.3631</v>
      </c>
      <c r="I3627" s="6">
        <v>1.4237</v>
      </c>
      <c r="J3627" s="6">
        <v>-0.0606</v>
      </c>
    </row>
    <row r="3628">
      <c r="A3628" s="1" t="s">
        <v>26</v>
      </c>
      <c r="B3628" s="1" t="s">
        <v>180</v>
      </c>
      <c r="C3628" s="1" t="s">
        <v>48</v>
      </c>
      <c r="D3628" s="6">
        <v>30.0</v>
      </c>
      <c r="E3628" s="6">
        <v>5771.0</v>
      </c>
      <c r="F3628" s="6">
        <v>5632.0</v>
      </c>
      <c r="G3628" s="6">
        <v>4024.0</v>
      </c>
      <c r="H3628" s="6">
        <v>1.4341</v>
      </c>
      <c r="I3628" s="6">
        <v>1.3996</v>
      </c>
      <c r="J3628" s="6">
        <v>0.0345</v>
      </c>
    </row>
    <row r="3629">
      <c r="A3629" s="1" t="s">
        <v>26</v>
      </c>
      <c r="B3629" s="1" t="s">
        <v>180</v>
      </c>
      <c r="C3629" s="1" t="s">
        <v>48</v>
      </c>
      <c r="D3629" s="6">
        <v>31.0</v>
      </c>
      <c r="E3629" s="6">
        <v>7512.0</v>
      </c>
      <c r="F3629" s="6">
        <v>6458.0</v>
      </c>
      <c r="G3629" s="6">
        <v>4024.0</v>
      </c>
      <c r="H3629" s="6">
        <v>1.8668</v>
      </c>
      <c r="I3629" s="6">
        <v>1.6049</v>
      </c>
      <c r="J3629" s="6">
        <v>0.2619</v>
      </c>
    </row>
    <row r="3630">
      <c r="A3630" s="1" t="s">
        <v>26</v>
      </c>
      <c r="B3630" s="1" t="s">
        <v>180</v>
      </c>
      <c r="C3630" s="1" t="s">
        <v>48</v>
      </c>
      <c r="D3630" s="6">
        <v>32.0</v>
      </c>
      <c r="E3630" s="6">
        <v>6520.0</v>
      </c>
      <c r="F3630" s="6">
        <v>6419.0</v>
      </c>
      <c r="G3630" s="6">
        <v>4024.0</v>
      </c>
      <c r="H3630" s="6">
        <v>1.6203</v>
      </c>
      <c r="I3630" s="6">
        <v>1.5952</v>
      </c>
      <c r="J3630" s="6">
        <v>0.0251</v>
      </c>
    </row>
    <row r="3631">
      <c r="A3631" s="1" t="s">
        <v>26</v>
      </c>
      <c r="B3631" s="1" t="s">
        <v>180</v>
      </c>
      <c r="C3631" s="1" t="s">
        <v>48</v>
      </c>
      <c r="D3631" s="6">
        <v>33.0</v>
      </c>
      <c r="E3631" s="6">
        <v>7301.0</v>
      </c>
      <c r="F3631" s="6">
        <v>7362.0</v>
      </c>
      <c r="G3631" s="6">
        <v>4024.0</v>
      </c>
      <c r="H3631" s="6">
        <v>1.8144</v>
      </c>
      <c r="I3631" s="6">
        <v>1.8295</v>
      </c>
      <c r="J3631" s="6">
        <v>-0.0152</v>
      </c>
    </row>
    <row r="3632">
      <c r="A3632" s="1" t="s">
        <v>26</v>
      </c>
      <c r="B3632" s="1" t="s">
        <v>180</v>
      </c>
      <c r="C3632" s="1" t="s">
        <v>50</v>
      </c>
      <c r="D3632" s="6">
        <v>1.0</v>
      </c>
      <c r="E3632" s="6">
        <v>2026.0</v>
      </c>
      <c r="F3632" s="6">
        <v>2277.0</v>
      </c>
      <c r="G3632" s="6">
        <v>4018.0</v>
      </c>
      <c r="H3632" s="6">
        <v>0.5042</v>
      </c>
      <c r="I3632" s="6">
        <v>0.5667</v>
      </c>
      <c r="J3632" s="6">
        <v>-0.0625</v>
      </c>
    </row>
    <row r="3633">
      <c r="A3633" s="1" t="s">
        <v>26</v>
      </c>
      <c r="B3633" s="1" t="s">
        <v>180</v>
      </c>
      <c r="C3633" s="1" t="s">
        <v>50</v>
      </c>
      <c r="D3633" s="6">
        <v>2.0</v>
      </c>
      <c r="E3633" s="6">
        <v>2131.0</v>
      </c>
      <c r="F3633" s="6">
        <v>2559.0</v>
      </c>
      <c r="G3633" s="6">
        <v>4018.0</v>
      </c>
      <c r="H3633" s="6">
        <v>0.5304</v>
      </c>
      <c r="I3633" s="6">
        <v>0.6369</v>
      </c>
      <c r="J3633" s="6">
        <v>-0.1065</v>
      </c>
    </row>
    <row r="3634">
      <c r="A3634" s="1" t="s">
        <v>26</v>
      </c>
      <c r="B3634" s="1" t="s">
        <v>180</v>
      </c>
      <c r="C3634" s="1" t="s">
        <v>50</v>
      </c>
      <c r="D3634" s="6">
        <v>3.0</v>
      </c>
      <c r="E3634" s="6">
        <v>2668.0</v>
      </c>
      <c r="F3634" s="6">
        <v>2163.0</v>
      </c>
      <c r="G3634" s="6">
        <v>4018.0</v>
      </c>
      <c r="H3634" s="6">
        <v>0.664</v>
      </c>
      <c r="I3634" s="6">
        <v>0.5383</v>
      </c>
      <c r="J3634" s="6">
        <v>0.1257</v>
      </c>
    </row>
    <row r="3635">
      <c r="A3635" s="1" t="s">
        <v>26</v>
      </c>
      <c r="B3635" s="1" t="s">
        <v>180</v>
      </c>
      <c r="C3635" s="1" t="s">
        <v>50</v>
      </c>
      <c r="D3635" s="6">
        <v>4.0</v>
      </c>
      <c r="E3635" s="6">
        <v>2072.0</v>
      </c>
      <c r="F3635" s="6">
        <v>1928.0</v>
      </c>
      <c r="G3635" s="6">
        <v>4018.0</v>
      </c>
      <c r="H3635" s="6">
        <v>0.5157</v>
      </c>
      <c r="I3635" s="6">
        <v>0.4798</v>
      </c>
      <c r="J3635" s="6">
        <v>0.0358</v>
      </c>
    </row>
    <row r="3636">
      <c r="A3636" s="1" t="s">
        <v>26</v>
      </c>
      <c r="B3636" s="1" t="s">
        <v>180</v>
      </c>
      <c r="C3636" s="1" t="s">
        <v>50</v>
      </c>
      <c r="D3636" s="6">
        <v>5.0</v>
      </c>
      <c r="E3636" s="6">
        <v>2355.0</v>
      </c>
      <c r="F3636" s="6">
        <v>2560.0</v>
      </c>
      <c r="G3636" s="6">
        <v>4018.0</v>
      </c>
      <c r="H3636" s="6">
        <v>0.5861</v>
      </c>
      <c r="I3636" s="6">
        <v>0.6371</v>
      </c>
      <c r="J3636" s="6">
        <v>-0.051</v>
      </c>
    </row>
    <row r="3637">
      <c r="A3637" s="1" t="s">
        <v>26</v>
      </c>
      <c r="B3637" s="1" t="s">
        <v>180</v>
      </c>
      <c r="C3637" s="1" t="s">
        <v>50</v>
      </c>
      <c r="D3637" s="6">
        <v>6.0</v>
      </c>
      <c r="E3637" s="6">
        <v>2653.0</v>
      </c>
      <c r="F3637" s="6">
        <v>2603.0</v>
      </c>
      <c r="G3637" s="6">
        <v>4018.0</v>
      </c>
      <c r="H3637" s="6">
        <v>0.6603</v>
      </c>
      <c r="I3637" s="6">
        <v>0.6478</v>
      </c>
      <c r="J3637" s="6">
        <v>0.0124</v>
      </c>
    </row>
    <row r="3638">
      <c r="A3638" s="1" t="s">
        <v>26</v>
      </c>
      <c r="B3638" s="1" t="s">
        <v>180</v>
      </c>
      <c r="C3638" s="1" t="s">
        <v>50</v>
      </c>
      <c r="D3638" s="6">
        <v>7.0</v>
      </c>
      <c r="E3638" s="6">
        <v>2424.0</v>
      </c>
      <c r="F3638" s="6">
        <v>2827.0</v>
      </c>
      <c r="G3638" s="6">
        <v>4018.0</v>
      </c>
      <c r="H3638" s="6">
        <v>0.6033</v>
      </c>
      <c r="I3638" s="6">
        <v>0.7036</v>
      </c>
      <c r="J3638" s="6">
        <v>-0.1003</v>
      </c>
    </row>
    <row r="3639">
      <c r="A3639" s="1" t="s">
        <v>26</v>
      </c>
      <c r="B3639" s="1" t="s">
        <v>180</v>
      </c>
      <c r="C3639" s="1" t="s">
        <v>50</v>
      </c>
      <c r="D3639" s="6">
        <v>8.0</v>
      </c>
      <c r="E3639" s="6">
        <v>2350.0</v>
      </c>
      <c r="F3639" s="6">
        <v>2663.0</v>
      </c>
      <c r="G3639" s="6">
        <v>4018.0</v>
      </c>
      <c r="H3639" s="6">
        <v>0.5849</v>
      </c>
      <c r="I3639" s="6">
        <v>0.6628</v>
      </c>
      <c r="J3639" s="6">
        <v>-0.0779</v>
      </c>
    </row>
    <row r="3640">
      <c r="A3640" s="1" t="s">
        <v>26</v>
      </c>
      <c r="B3640" s="1" t="s">
        <v>180</v>
      </c>
      <c r="C3640" s="1" t="s">
        <v>50</v>
      </c>
      <c r="D3640" s="6">
        <v>9.0</v>
      </c>
      <c r="E3640" s="6">
        <v>2080.0</v>
      </c>
      <c r="F3640" s="6">
        <v>2779.0</v>
      </c>
      <c r="G3640" s="6">
        <v>4018.0</v>
      </c>
      <c r="H3640" s="6">
        <v>0.5177</v>
      </c>
      <c r="I3640" s="6">
        <v>0.6916</v>
      </c>
      <c r="J3640" s="6">
        <v>-0.174</v>
      </c>
    </row>
    <row r="3641">
      <c r="A3641" s="1" t="s">
        <v>26</v>
      </c>
      <c r="B3641" s="1" t="s">
        <v>180</v>
      </c>
      <c r="C3641" s="1" t="s">
        <v>50</v>
      </c>
      <c r="D3641" s="6">
        <v>10.0</v>
      </c>
      <c r="E3641" s="6">
        <v>3160.0</v>
      </c>
      <c r="F3641" s="6">
        <v>3168.0</v>
      </c>
      <c r="G3641" s="6">
        <v>4018.0</v>
      </c>
      <c r="H3641" s="6">
        <v>0.7865</v>
      </c>
      <c r="I3641" s="6">
        <v>0.7885</v>
      </c>
      <c r="J3641" s="6">
        <v>-0.002</v>
      </c>
    </row>
    <row r="3642">
      <c r="A3642" s="1" t="s">
        <v>26</v>
      </c>
      <c r="B3642" s="1" t="s">
        <v>180</v>
      </c>
      <c r="C3642" s="1" t="s">
        <v>50</v>
      </c>
      <c r="D3642" s="6">
        <v>11.0</v>
      </c>
      <c r="E3642" s="6">
        <v>2383.0</v>
      </c>
      <c r="F3642" s="6">
        <v>2276.0</v>
      </c>
      <c r="G3642" s="6">
        <v>4018.0</v>
      </c>
      <c r="H3642" s="6">
        <v>0.5931</v>
      </c>
      <c r="I3642" s="6">
        <v>0.5665</v>
      </c>
      <c r="J3642" s="6">
        <v>0.0266</v>
      </c>
    </row>
    <row r="3643">
      <c r="A3643" s="1" t="s">
        <v>26</v>
      </c>
      <c r="B3643" s="1" t="s">
        <v>180</v>
      </c>
      <c r="C3643" s="1" t="s">
        <v>50</v>
      </c>
      <c r="D3643" s="6">
        <v>12.0</v>
      </c>
      <c r="E3643" s="6">
        <v>2677.0</v>
      </c>
      <c r="F3643" s="6">
        <v>2818.0</v>
      </c>
      <c r="G3643" s="6">
        <v>4018.0</v>
      </c>
      <c r="H3643" s="6">
        <v>0.6663</v>
      </c>
      <c r="I3643" s="6">
        <v>0.7013</v>
      </c>
      <c r="J3643" s="6">
        <v>-0.0351</v>
      </c>
    </row>
    <row r="3644">
      <c r="A3644" s="1" t="s">
        <v>26</v>
      </c>
      <c r="B3644" s="1" t="s">
        <v>180</v>
      </c>
      <c r="C3644" s="1" t="s">
        <v>50</v>
      </c>
      <c r="D3644" s="6">
        <v>13.0</v>
      </c>
      <c r="E3644" s="6">
        <v>2942.0</v>
      </c>
      <c r="F3644" s="6">
        <v>3029.0</v>
      </c>
      <c r="G3644" s="6">
        <v>4018.0</v>
      </c>
      <c r="H3644" s="6">
        <v>0.7322</v>
      </c>
      <c r="I3644" s="6">
        <v>0.7539</v>
      </c>
      <c r="J3644" s="6">
        <v>-0.0217</v>
      </c>
    </row>
    <row r="3645">
      <c r="A3645" s="1" t="s">
        <v>26</v>
      </c>
      <c r="B3645" s="1" t="s">
        <v>180</v>
      </c>
      <c r="C3645" s="1" t="s">
        <v>50</v>
      </c>
      <c r="D3645" s="6">
        <v>14.0</v>
      </c>
      <c r="E3645" s="6">
        <v>2372.0</v>
      </c>
      <c r="F3645" s="6">
        <v>2857.0</v>
      </c>
      <c r="G3645" s="6">
        <v>4018.0</v>
      </c>
      <c r="H3645" s="6">
        <v>0.5903</v>
      </c>
      <c r="I3645" s="6">
        <v>0.7111</v>
      </c>
      <c r="J3645" s="6">
        <v>-0.1207</v>
      </c>
    </row>
    <row r="3646">
      <c r="A3646" s="1" t="s">
        <v>26</v>
      </c>
      <c r="B3646" s="1" t="s">
        <v>180</v>
      </c>
      <c r="C3646" s="1" t="s">
        <v>50</v>
      </c>
      <c r="D3646" s="6">
        <v>15.0</v>
      </c>
      <c r="E3646" s="6">
        <v>2676.0</v>
      </c>
      <c r="F3646" s="6">
        <v>3211.0</v>
      </c>
      <c r="G3646" s="6">
        <v>4018.0</v>
      </c>
      <c r="H3646" s="6">
        <v>0.666</v>
      </c>
      <c r="I3646" s="6">
        <v>0.7992</v>
      </c>
      <c r="J3646" s="6">
        <v>-0.1332</v>
      </c>
    </row>
    <row r="3647">
      <c r="A3647" s="1" t="s">
        <v>26</v>
      </c>
      <c r="B3647" s="1" t="s">
        <v>180</v>
      </c>
      <c r="C3647" s="1" t="s">
        <v>50</v>
      </c>
      <c r="D3647" s="6">
        <v>16.0</v>
      </c>
      <c r="E3647" s="6">
        <v>2643.0</v>
      </c>
      <c r="F3647" s="6">
        <v>3176.0</v>
      </c>
      <c r="G3647" s="6">
        <v>4018.0</v>
      </c>
      <c r="H3647" s="6">
        <v>0.6578</v>
      </c>
      <c r="I3647" s="6">
        <v>0.7904</v>
      </c>
      <c r="J3647" s="6">
        <v>-0.1327</v>
      </c>
    </row>
    <row r="3648">
      <c r="A3648" s="1" t="s">
        <v>26</v>
      </c>
      <c r="B3648" s="1" t="s">
        <v>180</v>
      </c>
      <c r="C3648" s="1" t="s">
        <v>50</v>
      </c>
      <c r="D3648" s="6">
        <v>17.0</v>
      </c>
      <c r="E3648" s="6">
        <v>3511.0</v>
      </c>
      <c r="F3648" s="6">
        <v>3419.0</v>
      </c>
      <c r="G3648" s="6">
        <v>4018.0</v>
      </c>
      <c r="H3648" s="6">
        <v>0.8738</v>
      </c>
      <c r="I3648" s="6">
        <v>0.8509</v>
      </c>
      <c r="J3648" s="6">
        <v>0.0229</v>
      </c>
    </row>
    <row r="3649">
      <c r="A3649" s="1" t="s">
        <v>26</v>
      </c>
      <c r="B3649" s="1" t="s">
        <v>180</v>
      </c>
      <c r="C3649" s="1" t="s">
        <v>50</v>
      </c>
      <c r="D3649" s="6">
        <v>18.0</v>
      </c>
      <c r="E3649" s="6">
        <v>2664.0</v>
      </c>
      <c r="F3649" s="6">
        <v>3207.0</v>
      </c>
      <c r="G3649" s="6">
        <v>4018.0</v>
      </c>
      <c r="H3649" s="6">
        <v>0.663</v>
      </c>
      <c r="I3649" s="6">
        <v>0.7982</v>
      </c>
      <c r="J3649" s="6">
        <v>-0.1351</v>
      </c>
    </row>
    <row r="3650">
      <c r="A3650" s="1" t="s">
        <v>26</v>
      </c>
      <c r="B3650" s="1" t="s">
        <v>180</v>
      </c>
      <c r="C3650" s="1" t="s">
        <v>50</v>
      </c>
      <c r="D3650" s="6">
        <v>19.0</v>
      </c>
      <c r="E3650" s="6">
        <v>2608.0</v>
      </c>
      <c r="F3650" s="6">
        <v>2979.0</v>
      </c>
      <c r="G3650" s="6">
        <v>4018.0</v>
      </c>
      <c r="H3650" s="6">
        <v>0.6491</v>
      </c>
      <c r="I3650" s="6">
        <v>0.7414</v>
      </c>
      <c r="J3650" s="6">
        <v>-0.0923</v>
      </c>
    </row>
    <row r="3651">
      <c r="A3651" s="1" t="s">
        <v>26</v>
      </c>
      <c r="B3651" s="1" t="s">
        <v>180</v>
      </c>
      <c r="C3651" s="1" t="s">
        <v>50</v>
      </c>
      <c r="D3651" s="6">
        <v>20.0</v>
      </c>
      <c r="E3651" s="6">
        <v>3255.0</v>
      </c>
      <c r="F3651" s="6">
        <v>3184.0</v>
      </c>
      <c r="G3651" s="6">
        <v>4018.0</v>
      </c>
      <c r="H3651" s="6">
        <v>0.8101</v>
      </c>
      <c r="I3651" s="6">
        <v>0.7924</v>
      </c>
      <c r="J3651" s="6">
        <v>0.0177</v>
      </c>
    </row>
    <row r="3652">
      <c r="A3652" s="1" t="s">
        <v>26</v>
      </c>
      <c r="B3652" s="1" t="s">
        <v>180</v>
      </c>
      <c r="C3652" s="1" t="s">
        <v>50</v>
      </c>
      <c r="D3652" s="6">
        <v>21.0</v>
      </c>
      <c r="E3652" s="6">
        <v>3649.0</v>
      </c>
      <c r="F3652" s="6">
        <v>2887.0</v>
      </c>
      <c r="G3652" s="6">
        <v>4018.0</v>
      </c>
      <c r="H3652" s="6">
        <v>0.9082</v>
      </c>
      <c r="I3652" s="6">
        <v>0.7185</v>
      </c>
      <c r="J3652" s="6">
        <v>0.1896</v>
      </c>
    </row>
    <row r="3653">
      <c r="A3653" s="1" t="s">
        <v>26</v>
      </c>
      <c r="B3653" s="1" t="s">
        <v>180</v>
      </c>
      <c r="C3653" s="1" t="s">
        <v>50</v>
      </c>
      <c r="D3653" s="6">
        <v>22.0</v>
      </c>
      <c r="E3653" s="6">
        <v>3288.0</v>
      </c>
      <c r="F3653" s="6">
        <v>3198.0</v>
      </c>
      <c r="G3653" s="6">
        <v>4018.0</v>
      </c>
      <c r="H3653" s="6">
        <v>0.8183</v>
      </c>
      <c r="I3653" s="6">
        <v>0.7959</v>
      </c>
      <c r="J3653" s="6">
        <v>0.0224</v>
      </c>
    </row>
    <row r="3654">
      <c r="A3654" s="1" t="s">
        <v>26</v>
      </c>
      <c r="B3654" s="1" t="s">
        <v>180</v>
      </c>
      <c r="C3654" s="1" t="s">
        <v>50</v>
      </c>
      <c r="D3654" s="6">
        <v>23.0</v>
      </c>
      <c r="E3654" s="6">
        <v>2796.0</v>
      </c>
      <c r="F3654" s="6">
        <v>3432.0</v>
      </c>
      <c r="G3654" s="6">
        <v>4018.0</v>
      </c>
      <c r="H3654" s="6">
        <v>0.6959</v>
      </c>
      <c r="I3654" s="6">
        <v>0.8542</v>
      </c>
      <c r="J3654" s="6">
        <v>-0.1583</v>
      </c>
    </row>
    <row r="3655">
      <c r="A3655" s="1" t="s">
        <v>26</v>
      </c>
      <c r="B3655" s="1" t="s">
        <v>180</v>
      </c>
      <c r="C3655" s="1" t="s">
        <v>50</v>
      </c>
      <c r="D3655" s="6">
        <v>24.0</v>
      </c>
      <c r="E3655" s="6">
        <v>3729.0</v>
      </c>
      <c r="F3655" s="6">
        <v>3999.0</v>
      </c>
      <c r="G3655" s="6">
        <v>4018.0</v>
      </c>
      <c r="H3655" s="6">
        <v>0.9281</v>
      </c>
      <c r="I3655" s="6">
        <v>0.9953</v>
      </c>
      <c r="J3655" s="6">
        <v>-0.0672</v>
      </c>
    </row>
    <row r="3656">
      <c r="A3656" s="1" t="s">
        <v>26</v>
      </c>
      <c r="B3656" s="1" t="s">
        <v>180</v>
      </c>
      <c r="C3656" s="1" t="s">
        <v>50</v>
      </c>
      <c r="D3656" s="6">
        <v>25.0</v>
      </c>
      <c r="E3656" s="6">
        <v>2977.0</v>
      </c>
      <c r="F3656" s="6">
        <v>3379.0</v>
      </c>
      <c r="G3656" s="6">
        <v>4018.0</v>
      </c>
      <c r="H3656" s="6">
        <v>0.7409</v>
      </c>
      <c r="I3656" s="6">
        <v>0.841</v>
      </c>
      <c r="J3656" s="6">
        <v>-0.1</v>
      </c>
    </row>
    <row r="3657">
      <c r="A3657" s="1" t="s">
        <v>26</v>
      </c>
      <c r="B3657" s="1" t="s">
        <v>180</v>
      </c>
      <c r="C3657" s="1" t="s">
        <v>50</v>
      </c>
      <c r="D3657" s="6">
        <v>26.0</v>
      </c>
      <c r="E3657" s="6">
        <v>3081.0</v>
      </c>
      <c r="F3657" s="6">
        <v>3463.0</v>
      </c>
      <c r="G3657" s="6">
        <v>4018.0</v>
      </c>
      <c r="H3657" s="6">
        <v>0.7668</v>
      </c>
      <c r="I3657" s="6">
        <v>0.8619</v>
      </c>
      <c r="J3657" s="6">
        <v>-0.0951</v>
      </c>
    </row>
    <row r="3658">
      <c r="A3658" s="1" t="s">
        <v>26</v>
      </c>
      <c r="B3658" s="1" t="s">
        <v>180</v>
      </c>
      <c r="C3658" s="1" t="s">
        <v>50</v>
      </c>
      <c r="D3658" s="6">
        <v>27.0</v>
      </c>
      <c r="E3658" s="6">
        <v>3576.0</v>
      </c>
      <c r="F3658" s="6">
        <v>3277.0</v>
      </c>
      <c r="G3658" s="6">
        <v>4018.0</v>
      </c>
      <c r="H3658" s="6">
        <v>0.89</v>
      </c>
      <c r="I3658" s="6">
        <v>0.8156</v>
      </c>
      <c r="J3658" s="6">
        <v>0.0744</v>
      </c>
    </row>
    <row r="3659">
      <c r="A3659" s="1" t="s">
        <v>26</v>
      </c>
      <c r="B3659" s="1" t="s">
        <v>180</v>
      </c>
      <c r="C3659" s="1" t="s">
        <v>50</v>
      </c>
      <c r="D3659" s="6">
        <v>28.0</v>
      </c>
      <c r="E3659" s="6">
        <v>2995.0</v>
      </c>
      <c r="F3659" s="6">
        <v>3610.0</v>
      </c>
      <c r="G3659" s="6">
        <v>4018.0</v>
      </c>
      <c r="H3659" s="6">
        <v>0.7454</v>
      </c>
      <c r="I3659" s="6">
        <v>0.8985</v>
      </c>
      <c r="J3659" s="6">
        <v>-0.1531</v>
      </c>
    </row>
    <row r="3660">
      <c r="A3660" s="1" t="s">
        <v>26</v>
      </c>
      <c r="B3660" s="1" t="s">
        <v>180</v>
      </c>
      <c r="C3660" s="1" t="s">
        <v>50</v>
      </c>
      <c r="D3660" s="6">
        <v>29.0</v>
      </c>
      <c r="E3660" s="6">
        <v>3241.0</v>
      </c>
      <c r="F3660" s="6">
        <v>3638.0</v>
      </c>
      <c r="G3660" s="6">
        <v>4018.0</v>
      </c>
      <c r="H3660" s="6">
        <v>0.8066</v>
      </c>
      <c r="I3660" s="6">
        <v>0.9054</v>
      </c>
      <c r="J3660" s="6">
        <v>-0.0988</v>
      </c>
    </row>
    <row r="3661">
      <c r="A3661" s="1" t="s">
        <v>26</v>
      </c>
      <c r="B3661" s="1" t="s">
        <v>180</v>
      </c>
      <c r="C3661" s="1" t="s">
        <v>50</v>
      </c>
      <c r="D3661" s="6">
        <v>30.0</v>
      </c>
      <c r="E3661" s="6">
        <v>3332.0</v>
      </c>
      <c r="F3661" s="6">
        <v>3356.0</v>
      </c>
      <c r="G3661" s="6">
        <v>4018.0</v>
      </c>
      <c r="H3661" s="6">
        <v>0.8293</v>
      </c>
      <c r="I3661" s="6">
        <v>0.8352</v>
      </c>
      <c r="J3661" s="6">
        <v>-0.006</v>
      </c>
    </row>
    <row r="3662">
      <c r="A3662" s="1" t="s">
        <v>26</v>
      </c>
      <c r="B3662" s="1" t="s">
        <v>180</v>
      </c>
      <c r="C3662" s="1" t="s">
        <v>50</v>
      </c>
      <c r="D3662" s="6">
        <v>31.0</v>
      </c>
      <c r="E3662" s="6">
        <v>4812.0</v>
      </c>
      <c r="F3662" s="6">
        <v>4036.0</v>
      </c>
      <c r="G3662" s="6">
        <v>4018.0</v>
      </c>
      <c r="H3662" s="6">
        <v>1.1976</v>
      </c>
      <c r="I3662" s="6">
        <v>1.0045</v>
      </c>
      <c r="J3662" s="6">
        <v>0.1931</v>
      </c>
    </row>
    <row r="3663">
      <c r="A3663" s="1" t="s">
        <v>26</v>
      </c>
      <c r="B3663" s="1" t="s">
        <v>180</v>
      </c>
      <c r="C3663" s="1" t="s">
        <v>50</v>
      </c>
      <c r="D3663" s="6">
        <v>32.0</v>
      </c>
      <c r="E3663" s="6">
        <v>3844.0</v>
      </c>
      <c r="F3663" s="6">
        <v>3838.0</v>
      </c>
      <c r="G3663" s="6">
        <v>4018.0</v>
      </c>
      <c r="H3663" s="6">
        <v>0.9567</v>
      </c>
      <c r="I3663" s="6">
        <v>0.9552</v>
      </c>
      <c r="J3663" s="6">
        <v>0.0015</v>
      </c>
    </row>
    <row r="3664">
      <c r="A3664" s="1" t="s">
        <v>26</v>
      </c>
      <c r="B3664" s="1" t="s">
        <v>180</v>
      </c>
      <c r="C3664" s="1" t="s">
        <v>50</v>
      </c>
      <c r="D3664" s="6">
        <v>33.0</v>
      </c>
      <c r="E3664" s="6">
        <v>4284.0</v>
      </c>
      <c r="F3664" s="6">
        <v>4118.0</v>
      </c>
      <c r="G3664" s="6">
        <v>4018.0</v>
      </c>
      <c r="H3664" s="6">
        <v>1.0662</v>
      </c>
      <c r="I3664" s="6">
        <v>1.0249</v>
      </c>
      <c r="J3664" s="6">
        <v>0.0413</v>
      </c>
    </row>
    <row r="3665">
      <c r="A3665" s="1" t="s">
        <v>26</v>
      </c>
      <c r="B3665" s="1" t="s">
        <v>180</v>
      </c>
      <c r="C3665" s="1" t="s">
        <v>1209</v>
      </c>
      <c r="D3665" s="6">
        <v>1.0</v>
      </c>
      <c r="E3665" s="6">
        <v>2035.0</v>
      </c>
      <c r="F3665" s="6">
        <v>2344.0</v>
      </c>
      <c r="G3665" s="6">
        <v>2413.0</v>
      </c>
      <c r="H3665" s="6">
        <v>0.8433</v>
      </c>
      <c r="I3665" s="6">
        <v>0.9714</v>
      </c>
      <c r="J3665" s="6">
        <v>-0.1281</v>
      </c>
    </row>
    <row r="3666">
      <c r="A3666" s="1" t="s">
        <v>26</v>
      </c>
      <c r="B3666" s="1" t="s">
        <v>180</v>
      </c>
      <c r="C3666" s="1" t="s">
        <v>1209</v>
      </c>
      <c r="D3666" s="6">
        <v>2.0</v>
      </c>
      <c r="E3666" s="6">
        <v>5025.0</v>
      </c>
      <c r="F3666" s="6">
        <v>4243.0</v>
      </c>
      <c r="G3666" s="6">
        <v>2413.0</v>
      </c>
      <c r="H3666" s="6">
        <v>2.0825</v>
      </c>
      <c r="I3666" s="6">
        <v>1.7584</v>
      </c>
      <c r="J3666" s="6">
        <v>0.3241</v>
      </c>
    </row>
    <row r="3667">
      <c r="A3667" s="1" t="s">
        <v>26</v>
      </c>
      <c r="B3667" s="1" t="s">
        <v>180</v>
      </c>
      <c r="C3667" s="1" t="s">
        <v>1209</v>
      </c>
      <c r="D3667" s="6">
        <v>3.0</v>
      </c>
      <c r="E3667" s="6">
        <v>1990.0</v>
      </c>
      <c r="F3667" s="6">
        <v>1512.0</v>
      </c>
      <c r="G3667" s="6">
        <v>2413.0</v>
      </c>
      <c r="H3667" s="6">
        <v>0.8247</v>
      </c>
      <c r="I3667" s="6">
        <v>0.6266</v>
      </c>
      <c r="J3667" s="6">
        <v>0.1981</v>
      </c>
    </row>
    <row r="3668">
      <c r="A3668" s="1" t="s">
        <v>26</v>
      </c>
      <c r="B3668" s="1" t="s">
        <v>180</v>
      </c>
      <c r="C3668" s="1" t="s">
        <v>1209</v>
      </c>
      <c r="D3668" s="6">
        <v>4.0</v>
      </c>
      <c r="E3668" s="6">
        <v>940.0</v>
      </c>
      <c r="F3668" s="6">
        <v>767.0</v>
      </c>
      <c r="G3668" s="6">
        <v>2413.0</v>
      </c>
      <c r="H3668" s="6">
        <v>0.3896</v>
      </c>
      <c r="I3668" s="6">
        <v>0.3179</v>
      </c>
      <c r="J3668" s="6">
        <v>0.0717</v>
      </c>
    </row>
    <row r="3669">
      <c r="A3669" s="1" t="s">
        <v>26</v>
      </c>
      <c r="B3669" s="1" t="s">
        <v>180</v>
      </c>
      <c r="C3669" s="1" t="s">
        <v>1209</v>
      </c>
      <c r="D3669" s="6">
        <v>5.0</v>
      </c>
      <c r="E3669" s="6">
        <v>735.0</v>
      </c>
      <c r="F3669" s="6">
        <v>561.0</v>
      </c>
      <c r="G3669" s="6">
        <v>2413.0</v>
      </c>
      <c r="H3669" s="6">
        <v>0.3046</v>
      </c>
      <c r="I3669" s="6">
        <v>0.2325</v>
      </c>
      <c r="J3669" s="6">
        <v>0.0721</v>
      </c>
    </row>
    <row r="3670">
      <c r="A3670" s="1" t="s">
        <v>26</v>
      </c>
      <c r="B3670" s="1" t="s">
        <v>180</v>
      </c>
      <c r="C3670" s="1" t="s">
        <v>1209</v>
      </c>
      <c r="D3670" s="6">
        <v>6.0</v>
      </c>
      <c r="E3670" s="6">
        <v>5175.0</v>
      </c>
      <c r="F3670" s="6">
        <v>4142.0</v>
      </c>
      <c r="G3670" s="6">
        <v>2413.0</v>
      </c>
      <c r="H3670" s="6">
        <v>2.1446</v>
      </c>
      <c r="I3670" s="6">
        <v>1.7165</v>
      </c>
      <c r="J3670" s="6">
        <v>0.4281</v>
      </c>
    </row>
    <row r="3671">
      <c r="A3671" s="1" t="s">
        <v>26</v>
      </c>
      <c r="B3671" s="1" t="s">
        <v>180</v>
      </c>
      <c r="C3671" s="1" t="s">
        <v>1209</v>
      </c>
      <c r="D3671" s="6">
        <v>7.0</v>
      </c>
      <c r="E3671" s="6">
        <v>7215.0</v>
      </c>
      <c r="F3671" s="6">
        <v>5163.0</v>
      </c>
      <c r="G3671" s="6">
        <v>2413.0</v>
      </c>
      <c r="H3671" s="6">
        <v>2.9901</v>
      </c>
      <c r="I3671" s="6">
        <v>2.1397</v>
      </c>
      <c r="J3671" s="6">
        <v>0.8504</v>
      </c>
    </row>
    <row r="3672">
      <c r="A3672" s="1" t="s">
        <v>26</v>
      </c>
      <c r="B3672" s="1" t="s">
        <v>180</v>
      </c>
      <c r="C3672" s="1" t="s">
        <v>1209</v>
      </c>
      <c r="D3672" s="6">
        <v>8.0</v>
      </c>
      <c r="E3672" s="6">
        <v>4545.0</v>
      </c>
      <c r="F3672" s="6">
        <v>3057.0</v>
      </c>
      <c r="G3672" s="6">
        <v>2413.0</v>
      </c>
      <c r="H3672" s="6">
        <v>1.8835</v>
      </c>
      <c r="I3672" s="6">
        <v>1.2669</v>
      </c>
      <c r="J3672" s="6">
        <v>0.6167</v>
      </c>
    </row>
    <row r="3673">
      <c r="A3673" s="1" t="s">
        <v>26</v>
      </c>
      <c r="B3673" s="1" t="s">
        <v>180</v>
      </c>
      <c r="C3673" s="1" t="s">
        <v>1209</v>
      </c>
      <c r="D3673" s="6">
        <v>9.0</v>
      </c>
      <c r="E3673" s="6">
        <v>2880.0</v>
      </c>
      <c r="F3673" s="6">
        <v>2254.0</v>
      </c>
      <c r="G3673" s="6">
        <v>2413.0</v>
      </c>
      <c r="H3673" s="6">
        <v>1.1935</v>
      </c>
      <c r="I3673" s="6">
        <v>0.9341</v>
      </c>
      <c r="J3673" s="6">
        <v>0.2594</v>
      </c>
    </row>
    <row r="3674">
      <c r="A3674" s="1" t="s">
        <v>26</v>
      </c>
      <c r="B3674" s="1" t="s">
        <v>180</v>
      </c>
      <c r="C3674" s="1" t="s">
        <v>1209</v>
      </c>
      <c r="D3674" s="6">
        <v>10.0</v>
      </c>
      <c r="E3674" s="6">
        <v>870.0</v>
      </c>
      <c r="F3674" s="6">
        <v>714.0</v>
      </c>
      <c r="G3674" s="6">
        <v>2413.0</v>
      </c>
      <c r="H3674" s="6">
        <v>0.3605</v>
      </c>
      <c r="I3674" s="6">
        <v>0.2959</v>
      </c>
      <c r="J3674" s="6">
        <v>0.0646</v>
      </c>
    </row>
    <row r="3675">
      <c r="A3675" s="1" t="s">
        <v>26</v>
      </c>
      <c r="B3675" s="1" t="s">
        <v>180</v>
      </c>
      <c r="C3675" s="1" t="s">
        <v>1209</v>
      </c>
      <c r="D3675" s="6">
        <v>11.0</v>
      </c>
      <c r="E3675" s="6">
        <v>430.0</v>
      </c>
      <c r="F3675" s="6">
        <v>408.0</v>
      </c>
      <c r="G3675" s="6">
        <v>2413.0</v>
      </c>
      <c r="H3675" s="6">
        <v>0.1782</v>
      </c>
      <c r="I3675" s="6">
        <v>0.1691</v>
      </c>
      <c r="J3675" s="6">
        <v>0.0091</v>
      </c>
    </row>
    <row r="3676">
      <c r="A3676" s="1" t="s">
        <v>26</v>
      </c>
      <c r="B3676" s="1" t="s">
        <v>180</v>
      </c>
      <c r="C3676" s="1" t="s">
        <v>1209</v>
      </c>
      <c r="D3676" s="6">
        <v>12.0</v>
      </c>
      <c r="E3676" s="6">
        <v>480.0</v>
      </c>
      <c r="F3676" s="6">
        <v>502.0</v>
      </c>
      <c r="G3676" s="6">
        <v>2413.0</v>
      </c>
      <c r="H3676" s="6">
        <v>0.1989</v>
      </c>
      <c r="I3676" s="6">
        <v>0.208</v>
      </c>
      <c r="J3676" s="6">
        <v>-0.0091</v>
      </c>
    </row>
    <row r="3677">
      <c r="A3677" s="1" t="s">
        <v>26</v>
      </c>
      <c r="B3677" s="1" t="s">
        <v>180</v>
      </c>
      <c r="C3677" s="1" t="s">
        <v>1209</v>
      </c>
      <c r="D3677" s="6">
        <v>13.0</v>
      </c>
      <c r="E3677" s="6">
        <v>5735.0</v>
      </c>
      <c r="F3677" s="6">
        <v>4555.0</v>
      </c>
      <c r="G3677" s="6">
        <v>2413.0</v>
      </c>
      <c r="H3677" s="6">
        <v>2.3767</v>
      </c>
      <c r="I3677" s="6">
        <v>1.8877</v>
      </c>
      <c r="J3677" s="6">
        <v>0.489</v>
      </c>
    </row>
    <row r="3678">
      <c r="A3678" s="1" t="s">
        <v>26</v>
      </c>
      <c r="B3678" s="1" t="s">
        <v>180</v>
      </c>
      <c r="C3678" s="1" t="s">
        <v>1209</v>
      </c>
      <c r="D3678" s="6">
        <v>14.0</v>
      </c>
      <c r="E3678" s="6">
        <v>5875.0</v>
      </c>
      <c r="F3678" s="6">
        <v>4501.0</v>
      </c>
      <c r="G3678" s="6">
        <v>2413.0</v>
      </c>
      <c r="H3678" s="6">
        <v>2.4347</v>
      </c>
      <c r="I3678" s="6">
        <v>1.8653</v>
      </c>
      <c r="J3678" s="6">
        <v>0.5694</v>
      </c>
    </row>
    <row r="3679">
      <c r="A3679" s="1" t="s">
        <v>26</v>
      </c>
      <c r="B3679" s="1" t="s">
        <v>180</v>
      </c>
      <c r="C3679" s="1" t="s">
        <v>1209</v>
      </c>
      <c r="D3679" s="6">
        <v>15.0</v>
      </c>
      <c r="E3679" s="6">
        <v>4235.0</v>
      </c>
      <c r="F3679" s="6">
        <v>3261.0</v>
      </c>
      <c r="G3679" s="6">
        <v>2413.0</v>
      </c>
      <c r="H3679" s="6">
        <v>1.7551</v>
      </c>
      <c r="I3679" s="6">
        <v>1.3514</v>
      </c>
      <c r="J3679" s="6">
        <v>0.4036</v>
      </c>
    </row>
    <row r="3680">
      <c r="A3680" s="1" t="s">
        <v>26</v>
      </c>
      <c r="B3680" s="1" t="s">
        <v>180</v>
      </c>
      <c r="C3680" s="1" t="s">
        <v>1209</v>
      </c>
      <c r="D3680" s="6">
        <v>16.0</v>
      </c>
      <c r="E3680" s="6">
        <v>7075.0</v>
      </c>
      <c r="F3680" s="6">
        <v>5226.0</v>
      </c>
      <c r="G3680" s="6">
        <v>2413.0</v>
      </c>
      <c r="H3680" s="6">
        <v>2.932</v>
      </c>
      <c r="I3680" s="6">
        <v>2.1658</v>
      </c>
      <c r="J3680" s="6">
        <v>0.7663</v>
      </c>
    </row>
    <row r="3681">
      <c r="A3681" s="1" t="s">
        <v>26</v>
      </c>
      <c r="B3681" s="1" t="s">
        <v>180</v>
      </c>
      <c r="C3681" s="1" t="s">
        <v>1209</v>
      </c>
      <c r="D3681" s="6">
        <v>17.0</v>
      </c>
      <c r="E3681" s="6">
        <v>2850.0</v>
      </c>
      <c r="F3681" s="6">
        <v>2219.0</v>
      </c>
      <c r="G3681" s="6">
        <v>2413.0</v>
      </c>
      <c r="H3681" s="6">
        <v>1.1811</v>
      </c>
      <c r="I3681" s="6">
        <v>0.9196</v>
      </c>
      <c r="J3681" s="6">
        <v>0.2615</v>
      </c>
    </row>
    <row r="3682">
      <c r="A3682" s="1" t="s">
        <v>26</v>
      </c>
      <c r="B3682" s="1" t="s">
        <v>180</v>
      </c>
      <c r="C3682" s="1" t="s">
        <v>1209</v>
      </c>
      <c r="D3682" s="6">
        <v>18.0</v>
      </c>
      <c r="E3682" s="6">
        <v>1665.0</v>
      </c>
      <c r="F3682" s="6">
        <v>1299.0</v>
      </c>
      <c r="G3682" s="6">
        <v>2413.0</v>
      </c>
      <c r="H3682" s="6">
        <v>0.69</v>
      </c>
      <c r="I3682" s="6">
        <v>0.5383</v>
      </c>
      <c r="J3682" s="6">
        <v>0.1517</v>
      </c>
    </row>
    <row r="3683">
      <c r="A3683" s="1" t="s">
        <v>26</v>
      </c>
      <c r="B3683" s="1" t="s">
        <v>180</v>
      </c>
      <c r="C3683" s="1" t="s">
        <v>1209</v>
      </c>
      <c r="D3683" s="6">
        <v>19.0</v>
      </c>
      <c r="E3683" s="6">
        <v>1205.0</v>
      </c>
      <c r="F3683" s="6">
        <v>918.0</v>
      </c>
      <c r="G3683" s="6">
        <v>2413.0</v>
      </c>
      <c r="H3683" s="6">
        <v>0.4994</v>
      </c>
      <c r="I3683" s="6">
        <v>0.3804</v>
      </c>
      <c r="J3683" s="6">
        <v>0.1189</v>
      </c>
    </row>
    <row r="3684">
      <c r="A3684" s="1" t="s">
        <v>26</v>
      </c>
      <c r="B3684" s="1" t="s">
        <v>180</v>
      </c>
      <c r="C3684" s="1" t="s">
        <v>1209</v>
      </c>
      <c r="D3684" s="6">
        <v>20.0</v>
      </c>
      <c r="E3684" s="6">
        <v>6450.0</v>
      </c>
      <c r="F3684" s="6">
        <v>4801.0</v>
      </c>
      <c r="G3684" s="6">
        <v>2413.0</v>
      </c>
      <c r="H3684" s="6">
        <v>2.673</v>
      </c>
      <c r="I3684" s="6">
        <v>1.9896</v>
      </c>
      <c r="J3684" s="6">
        <v>0.6834</v>
      </c>
    </row>
    <row r="3685">
      <c r="A3685" s="1" t="s">
        <v>26</v>
      </c>
      <c r="B3685" s="1" t="s">
        <v>180</v>
      </c>
      <c r="C3685" s="1" t="s">
        <v>1209</v>
      </c>
      <c r="D3685" s="6">
        <v>21.0</v>
      </c>
      <c r="E3685" s="6">
        <v>8190.0</v>
      </c>
      <c r="F3685" s="6">
        <v>5810.0</v>
      </c>
      <c r="G3685" s="6">
        <v>2413.0</v>
      </c>
      <c r="H3685" s="6">
        <v>3.3941</v>
      </c>
      <c r="I3685" s="6">
        <v>2.4078</v>
      </c>
      <c r="J3685" s="6">
        <v>0.9863</v>
      </c>
    </row>
    <row r="3686">
      <c r="A3686" s="1" t="s">
        <v>26</v>
      </c>
      <c r="B3686" s="1" t="s">
        <v>180</v>
      </c>
      <c r="C3686" s="1" t="s">
        <v>1209</v>
      </c>
      <c r="D3686" s="6">
        <v>22.0</v>
      </c>
      <c r="E3686" s="6">
        <v>4735.0</v>
      </c>
      <c r="F3686" s="6">
        <v>3421.0</v>
      </c>
      <c r="G3686" s="6">
        <v>2413.0</v>
      </c>
      <c r="H3686" s="6">
        <v>1.9623</v>
      </c>
      <c r="I3686" s="6">
        <v>1.4177</v>
      </c>
      <c r="J3686" s="6">
        <v>0.5446</v>
      </c>
    </row>
    <row r="3687">
      <c r="A3687" s="1" t="s">
        <v>26</v>
      </c>
      <c r="B3687" s="1" t="s">
        <v>180</v>
      </c>
      <c r="C3687" s="1" t="s">
        <v>1209</v>
      </c>
      <c r="D3687" s="6">
        <v>23.0</v>
      </c>
      <c r="E3687" s="6">
        <v>3705.0</v>
      </c>
      <c r="F3687" s="6">
        <v>2661.0</v>
      </c>
      <c r="G3687" s="6">
        <v>2413.0</v>
      </c>
      <c r="H3687" s="6">
        <v>1.5354</v>
      </c>
      <c r="I3687" s="6">
        <v>1.1028</v>
      </c>
      <c r="J3687" s="6">
        <v>0.4327</v>
      </c>
    </row>
    <row r="3688">
      <c r="A3688" s="1" t="s">
        <v>26</v>
      </c>
      <c r="B3688" s="1" t="s">
        <v>180</v>
      </c>
      <c r="C3688" s="1" t="s">
        <v>1209</v>
      </c>
      <c r="D3688" s="6">
        <v>24.0</v>
      </c>
      <c r="E3688" s="6">
        <v>1150.0</v>
      </c>
      <c r="F3688" s="6">
        <v>691.0</v>
      </c>
      <c r="G3688" s="6">
        <v>2413.0</v>
      </c>
      <c r="H3688" s="6">
        <v>0.4766</v>
      </c>
      <c r="I3688" s="6">
        <v>0.2864</v>
      </c>
      <c r="J3688" s="6">
        <v>0.1902</v>
      </c>
    </row>
    <row r="3689">
      <c r="A3689" s="1" t="s">
        <v>26</v>
      </c>
      <c r="B3689" s="1" t="s">
        <v>180</v>
      </c>
      <c r="C3689" s="1" t="s">
        <v>1209</v>
      </c>
      <c r="D3689" s="6">
        <v>25.0</v>
      </c>
      <c r="E3689" s="6">
        <v>510.0</v>
      </c>
      <c r="F3689" s="6">
        <v>380.0</v>
      </c>
      <c r="G3689" s="6">
        <v>2413.0</v>
      </c>
      <c r="H3689" s="6">
        <v>0.2114</v>
      </c>
      <c r="I3689" s="6">
        <v>0.1575</v>
      </c>
      <c r="J3689" s="6">
        <v>0.0539</v>
      </c>
    </row>
    <row r="3690">
      <c r="A3690" s="1" t="s">
        <v>26</v>
      </c>
      <c r="B3690" s="1" t="s">
        <v>180</v>
      </c>
      <c r="C3690" s="1" t="s">
        <v>1209</v>
      </c>
      <c r="D3690" s="6">
        <v>26.0</v>
      </c>
      <c r="E3690" s="6">
        <v>590.0</v>
      </c>
      <c r="F3690" s="6">
        <v>383.0</v>
      </c>
      <c r="G3690" s="6">
        <v>2413.0</v>
      </c>
      <c r="H3690" s="6">
        <v>0.2445</v>
      </c>
      <c r="I3690" s="6">
        <v>0.1587</v>
      </c>
      <c r="J3690" s="6">
        <v>0.0858</v>
      </c>
    </row>
    <row r="3691">
      <c r="A3691" s="1" t="s">
        <v>26</v>
      </c>
      <c r="B3691" s="1" t="s">
        <v>180</v>
      </c>
      <c r="C3691" s="1" t="s">
        <v>1209</v>
      </c>
      <c r="D3691" s="6">
        <v>27.0</v>
      </c>
      <c r="E3691" s="6">
        <v>2975.0</v>
      </c>
      <c r="F3691" s="6">
        <v>2219.0</v>
      </c>
      <c r="G3691" s="6">
        <v>2413.0</v>
      </c>
      <c r="H3691" s="6">
        <v>1.2329</v>
      </c>
      <c r="I3691" s="6">
        <v>0.9196</v>
      </c>
      <c r="J3691" s="6">
        <v>0.3133</v>
      </c>
    </row>
    <row r="3692">
      <c r="A3692" s="1" t="s">
        <v>26</v>
      </c>
      <c r="B3692" s="1" t="s">
        <v>180</v>
      </c>
      <c r="C3692" s="1" t="s">
        <v>1209</v>
      </c>
      <c r="D3692" s="6">
        <v>28.0</v>
      </c>
      <c r="E3692" s="6">
        <v>4770.0</v>
      </c>
      <c r="F3692" s="6">
        <v>4113.0</v>
      </c>
      <c r="G3692" s="6">
        <v>2413.0</v>
      </c>
      <c r="H3692" s="6">
        <v>1.9768</v>
      </c>
      <c r="I3692" s="6">
        <v>1.7045</v>
      </c>
      <c r="J3692" s="6">
        <v>0.2723</v>
      </c>
    </row>
    <row r="3693">
      <c r="A3693" s="1" t="s">
        <v>26</v>
      </c>
      <c r="B3693" s="1" t="s">
        <v>180</v>
      </c>
      <c r="C3693" s="1" t="s">
        <v>1209</v>
      </c>
      <c r="D3693" s="6">
        <v>29.0</v>
      </c>
      <c r="E3693" s="6">
        <v>3345.0</v>
      </c>
      <c r="F3693" s="6">
        <v>3336.0</v>
      </c>
      <c r="G3693" s="6">
        <v>2413.0</v>
      </c>
      <c r="H3693" s="6">
        <v>1.3862</v>
      </c>
      <c r="I3693" s="6">
        <v>1.3825</v>
      </c>
      <c r="J3693" s="6">
        <v>0.0037</v>
      </c>
    </row>
    <row r="3694">
      <c r="A3694" s="1" t="s">
        <v>26</v>
      </c>
      <c r="B3694" s="1" t="s">
        <v>180</v>
      </c>
      <c r="C3694" s="1" t="s">
        <v>1209</v>
      </c>
      <c r="D3694" s="6">
        <v>30.0</v>
      </c>
      <c r="E3694" s="6">
        <v>7225.0</v>
      </c>
      <c r="F3694" s="6">
        <v>6153.0</v>
      </c>
      <c r="G3694" s="6">
        <v>2413.0</v>
      </c>
      <c r="H3694" s="6">
        <v>2.9942</v>
      </c>
      <c r="I3694" s="6">
        <v>2.5499</v>
      </c>
      <c r="J3694" s="6">
        <v>0.4443</v>
      </c>
    </row>
    <row r="3695">
      <c r="A3695" s="1" t="s">
        <v>26</v>
      </c>
      <c r="B3695" s="1" t="s">
        <v>180</v>
      </c>
      <c r="C3695" s="1" t="s">
        <v>1209</v>
      </c>
      <c r="D3695" s="6">
        <v>31.0</v>
      </c>
      <c r="E3695" s="6">
        <v>2935.0</v>
      </c>
      <c r="F3695" s="6">
        <v>2127.0</v>
      </c>
      <c r="G3695" s="6">
        <v>2413.0</v>
      </c>
      <c r="H3695" s="6">
        <v>1.2163</v>
      </c>
      <c r="I3695" s="6">
        <v>0.8815</v>
      </c>
      <c r="J3695" s="6">
        <v>0.3349</v>
      </c>
    </row>
    <row r="3696">
      <c r="A3696" s="1" t="s">
        <v>26</v>
      </c>
      <c r="B3696" s="1" t="s">
        <v>180</v>
      </c>
      <c r="C3696" s="1" t="s">
        <v>1209</v>
      </c>
      <c r="D3696" s="6">
        <v>32.0</v>
      </c>
      <c r="E3696" s="6">
        <v>2105.0</v>
      </c>
      <c r="F3696" s="6">
        <v>1471.0</v>
      </c>
      <c r="G3696" s="6">
        <v>2413.0</v>
      </c>
      <c r="H3696" s="6">
        <v>0.8724</v>
      </c>
      <c r="I3696" s="6">
        <v>0.6096</v>
      </c>
      <c r="J3696" s="6">
        <v>0.2627</v>
      </c>
    </row>
    <row r="3697">
      <c r="A3697" s="1" t="s">
        <v>26</v>
      </c>
      <c r="B3697" s="1" t="s">
        <v>180</v>
      </c>
      <c r="C3697" s="1" t="s">
        <v>1209</v>
      </c>
      <c r="D3697" s="6">
        <v>33.0</v>
      </c>
      <c r="E3697" s="6">
        <v>1710.0</v>
      </c>
      <c r="F3697" s="6">
        <v>1128.0</v>
      </c>
      <c r="G3697" s="6">
        <v>2413.0</v>
      </c>
      <c r="H3697" s="6">
        <v>0.7087</v>
      </c>
      <c r="I3697" s="6">
        <v>0.4675</v>
      </c>
      <c r="J3697" s="6">
        <v>0.2412</v>
      </c>
    </row>
    <row r="3698">
      <c r="A3698" s="1" t="s">
        <v>26</v>
      </c>
      <c r="B3698" s="1" t="s">
        <v>180</v>
      </c>
      <c r="C3698" s="1" t="s">
        <v>1210</v>
      </c>
      <c r="D3698" s="6">
        <v>1.0</v>
      </c>
      <c r="E3698" s="6">
        <v>3380.0</v>
      </c>
      <c r="F3698" s="6">
        <v>3144.0</v>
      </c>
      <c r="G3698" s="6">
        <v>3563.0</v>
      </c>
      <c r="H3698" s="6">
        <v>0.9486</v>
      </c>
      <c r="I3698" s="6">
        <v>0.8824</v>
      </c>
      <c r="J3698" s="6">
        <v>0.0662</v>
      </c>
    </row>
    <row r="3699">
      <c r="A3699" s="1" t="s">
        <v>26</v>
      </c>
      <c r="B3699" s="1" t="s">
        <v>180</v>
      </c>
      <c r="C3699" s="1" t="s">
        <v>1210</v>
      </c>
      <c r="D3699" s="6">
        <v>2.0</v>
      </c>
      <c r="E3699" s="6">
        <v>7075.0</v>
      </c>
      <c r="F3699" s="6">
        <v>5427.0</v>
      </c>
      <c r="G3699" s="6">
        <v>3563.0</v>
      </c>
      <c r="H3699" s="6">
        <v>1.9857</v>
      </c>
      <c r="I3699" s="6">
        <v>1.5232</v>
      </c>
      <c r="J3699" s="6">
        <v>0.4625</v>
      </c>
    </row>
    <row r="3700">
      <c r="A3700" s="1" t="s">
        <v>26</v>
      </c>
      <c r="B3700" s="1" t="s">
        <v>180</v>
      </c>
      <c r="C3700" s="1" t="s">
        <v>1210</v>
      </c>
      <c r="D3700" s="6">
        <v>3.0</v>
      </c>
      <c r="E3700" s="6">
        <v>8340.0</v>
      </c>
      <c r="F3700" s="6">
        <v>5459.0</v>
      </c>
      <c r="G3700" s="6">
        <v>3563.0</v>
      </c>
      <c r="H3700" s="6">
        <v>2.3407</v>
      </c>
      <c r="I3700" s="6">
        <v>1.5321</v>
      </c>
      <c r="J3700" s="6">
        <v>0.8086</v>
      </c>
    </row>
    <row r="3701">
      <c r="A3701" s="1" t="s">
        <v>26</v>
      </c>
      <c r="B3701" s="1" t="s">
        <v>180</v>
      </c>
      <c r="C3701" s="1" t="s">
        <v>1210</v>
      </c>
      <c r="D3701" s="6">
        <v>4.0</v>
      </c>
      <c r="E3701" s="6">
        <v>7735.0</v>
      </c>
      <c r="F3701" s="6">
        <v>5073.0</v>
      </c>
      <c r="G3701" s="6">
        <v>3563.0</v>
      </c>
      <c r="H3701" s="6">
        <v>2.1709</v>
      </c>
      <c r="I3701" s="6">
        <v>1.4238</v>
      </c>
      <c r="J3701" s="6">
        <v>0.7471</v>
      </c>
    </row>
    <row r="3702">
      <c r="A3702" s="1" t="s">
        <v>26</v>
      </c>
      <c r="B3702" s="1" t="s">
        <v>180</v>
      </c>
      <c r="C3702" s="1" t="s">
        <v>1210</v>
      </c>
      <c r="D3702" s="6">
        <v>5.0</v>
      </c>
      <c r="E3702" s="6">
        <v>7845.0</v>
      </c>
      <c r="F3702" s="6">
        <v>4901.0</v>
      </c>
      <c r="G3702" s="6">
        <v>3563.0</v>
      </c>
      <c r="H3702" s="6">
        <v>2.2018</v>
      </c>
      <c r="I3702" s="6">
        <v>1.3755</v>
      </c>
      <c r="J3702" s="6">
        <v>0.8263</v>
      </c>
    </row>
    <row r="3703">
      <c r="A3703" s="1" t="s">
        <v>26</v>
      </c>
      <c r="B3703" s="1" t="s">
        <v>180</v>
      </c>
      <c r="C3703" s="1" t="s">
        <v>1210</v>
      </c>
      <c r="D3703" s="6">
        <v>6.0</v>
      </c>
      <c r="E3703" s="6">
        <v>11405.0</v>
      </c>
      <c r="F3703" s="6">
        <v>8064.0</v>
      </c>
      <c r="G3703" s="6">
        <v>3563.0</v>
      </c>
      <c r="H3703" s="6">
        <v>3.201</v>
      </c>
      <c r="I3703" s="6">
        <v>2.2633</v>
      </c>
      <c r="J3703" s="6">
        <v>0.9377</v>
      </c>
    </row>
    <row r="3704">
      <c r="A3704" s="1" t="s">
        <v>26</v>
      </c>
      <c r="B3704" s="1" t="s">
        <v>180</v>
      </c>
      <c r="C3704" s="1" t="s">
        <v>1210</v>
      </c>
      <c r="D3704" s="6">
        <v>7.0</v>
      </c>
      <c r="E3704" s="6">
        <v>11415.0</v>
      </c>
      <c r="F3704" s="6">
        <v>7701.0</v>
      </c>
      <c r="G3704" s="6">
        <v>3563.0</v>
      </c>
      <c r="H3704" s="6">
        <v>3.2038</v>
      </c>
      <c r="I3704" s="6">
        <v>2.1614</v>
      </c>
      <c r="J3704" s="6">
        <v>1.0424</v>
      </c>
    </row>
    <row r="3705">
      <c r="A3705" s="1" t="s">
        <v>26</v>
      </c>
      <c r="B3705" s="1" t="s">
        <v>180</v>
      </c>
      <c r="C3705" s="1" t="s">
        <v>1210</v>
      </c>
      <c r="D3705" s="6">
        <v>8.0</v>
      </c>
      <c r="E3705" s="6">
        <v>8060.0</v>
      </c>
      <c r="F3705" s="6">
        <v>5344.0</v>
      </c>
      <c r="G3705" s="6">
        <v>3563.0</v>
      </c>
      <c r="H3705" s="6">
        <v>2.2621</v>
      </c>
      <c r="I3705" s="6">
        <v>1.4999</v>
      </c>
      <c r="J3705" s="6">
        <v>0.7623</v>
      </c>
    </row>
    <row r="3706">
      <c r="A3706" s="1" t="s">
        <v>26</v>
      </c>
      <c r="B3706" s="1" t="s">
        <v>180</v>
      </c>
      <c r="C3706" s="1" t="s">
        <v>1210</v>
      </c>
      <c r="D3706" s="6">
        <v>9.0</v>
      </c>
      <c r="E3706" s="6">
        <v>4335.0</v>
      </c>
      <c r="F3706" s="6">
        <v>3145.0</v>
      </c>
      <c r="G3706" s="6">
        <v>3563.0</v>
      </c>
      <c r="H3706" s="6">
        <v>1.2167</v>
      </c>
      <c r="I3706" s="6">
        <v>0.8827</v>
      </c>
      <c r="J3706" s="6">
        <v>0.334</v>
      </c>
    </row>
    <row r="3707">
      <c r="A3707" s="1" t="s">
        <v>26</v>
      </c>
      <c r="B3707" s="1" t="s">
        <v>180</v>
      </c>
      <c r="C3707" s="1" t="s">
        <v>1210</v>
      </c>
      <c r="D3707" s="6">
        <v>10.0</v>
      </c>
      <c r="E3707" s="6">
        <v>4700.0</v>
      </c>
      <c r="F3707" s="6">
        <v>3200.0</v>
      </c>
      <c r="G3707" s="6">
        <v>3563.0</v>
      </c>
      <c r="H3707" s="6">
        <v>1.3191</v>
      </c>
      <c r="I3707" s="6">
        <v>0.8981</v>
      </c>
      <c r="J3707" s="6">
        <v>0.421</v>
      </c>
    </row>
    <row r="3708">
      <c r="A3708" s="1" t="s">
        <v>26</v>
      </c>
      <c r="B3708" s="1" t="s">
        <v>180</v>
      </c>
      <c r="C3708" s="1" t="s">
        <v>1210</v>
      </c>
      <c r="D3708" s="6">
        <v>11.0</v>
      </c>
      <c r="E3708" s="6">
        <v>4105.0</v>
      </c>
      <c r="F3708" s="6">
        <v>2916.0</v>
      </c>
      <c r="G3708" s="6">
        <v>3563.0</v>
      </c>
      <c r="H3708" s="6">
        <v>1.1521</v>
      </c>
      <c r="I3708" s="6">
        <v>0.8184</v>
      </c>
      <c r="J3708" s="6">
        <v>0.3337</v>
      </c>
    </row>
    <row r="3709">
      <c r="A3709" s="1" t="s">
        <v>26</v>
      </c>
      <c r="B3709" s="1" t="s">
        <v>180</v>
      </c>
      <c r="C3709" s="1" t="s">
        <v>1210</v>
      </c>
      <c r="D3709" s="6">
        <v>12.0</v>
      </c>
      <c r="E3709" s="6">
        <v>4055.0</v>
      </c>
      <c r="F3709" s="6">
        <v>2702.0</v>
      </c>
      <c r="G3709" s="6">
        <v>3563.0</v>
      </c>
      <c r="H3709" s="6">
        <v>1.1381</v>
      </c>
      <c r="I3709" s="6">
        <v>0.7583</v>
      </c>
      <c r="J3709" s="6">
        <v>0.3797</v>
      </c>
    </row>
    <row r="3710">
      <c r="A3710" s="1" t="s">
        <v>26</v>
      </c>
      <c r="B3710" s="1" t="s">
        <v>180</v>
      </c>
      <c r="C3710" s="1" t="s">
        <v>1210</v>
      </c>
      <c r="D3710" s="6">
        <v>13.0</v>
      </c>
      <c r="E3710" s="6">
        <v>8880.0</v>
      </c>
      <c r="F3710" s="6">
        <v>6286.0</v>
      </c>
      <c r="G3710" s="6">
        <v>3563.0</v>
      </c>
      <c r="H3710" s="6">
        <v>2.4923</v>
      </c>
      <c r="I3710" s="6">
        <v>1.7642</v>
      </c>
      <c r="J3710" s="6">
        <v>0.728</v>
      </c>
    </row>
    <row r="3711">
      <c r="A3711" s="1" t="s">
        <v>26</v>
      </c>
      <c r="B3711" s="1" t="s">
        <v>180</v>
      </c>
      <c r="C3711" s="1" t="s">
        <v>1210</v>
      </c>
      <c r="D3711" s="6">
        <v>14.0</v>
      </c>
      <c r="E3711" s="6">
        <v>7115.0</v>
      </c>
      <c r="F3711" s="6">
        <v>4897.0</v>
      </c>
      <c r="G3711" s="6">
        <v>3563.0</v>
      </c>
      <c r="H3711" s="6">
        <v>1.9969</v>
      </c>
      <c r="I3711" s="6">
        <v>1.3744</v>
      </c>
      <c r="J3711" s="6">
        <v>0.6225</v>
      </c>
    </row>
    <row r="3712">
      <c r="A3712" s="1" t="s">
        <v>26</v>
      </c>
      <c r="B3712" s="1" t="s">
        <v>180</v>
      </c>
      <c r="C3712" s="1" t="s">
        <v>1210</v>
      </c>
      <c r="D3712" s="6">
        <v>15.0</v>
      </c>
      <c r="E3712" s="6">
        <v>5165.0</v>
      </c>
      <c r="F3712" s="6">
        <v>3687.0</v>
      </c>
      <c r="G3712" s="6">
        <v>3563.0</v>
      </c>
      <c r="H3712" s="6">
        <v>1.4496</v>
      </c>
      <c r="I3712" s="6">
        <v>1.0348</v>
      </c>
      <c r="J3712" s="6">
        <v>0.4148</v>
      </c>
    </row>
    <row r="3713">
      <c r="A3713" s="1" t="s">
        <v>26</v>
      </c>
      <c r="B3713" s="1" t="s">
        <v>180</v>
      </c>
      <c r="C3713" s="1" t="s">
        <v>1210</v>
      </c>
      <c r="D3713" s="6">
        <v>16.0</v>
      </c>
      <c r="E3713" s="6">
        <v>9340.0</v>
      </c>
      <c r="F3713" s="6">
        <v>6389.0</v>
      </c>
      <c r="G3713" s="6">
        <v>3563.0</v>
      </c>
      <c r="H3713" s="6">
        <v>2.6214</v>
      </c>
      <c r="I3713" s="6">
        <v>1.7932</v>
      </c>
      <c r="J3713" s="6">
        <v>0.8282</v>
      </c>
    </row>
    <row r="3714">
      <c r="A3714" s="1" t="s">
        <v>26</v>
      </c>
      <c r="B3714" s="1" t="s">
        <v>180</v>
      </c>
      <c r="C3714" s="1" t="s">
        <v>1210</v>
      </c>
      <c r="D3714" s="6">
        <v>17.0</v>
      </c>
      <c r="E3714" s="6">
        <v>9980.0</v>
      </c>
      <c r="F3714" s="6">
        <v>6735.0</v>
      </c>
      <c r="G3714" s="6">
        <v>3563.0</v>
      </c>
      <c r="H3714" s="6">
        <v>2.801</v>
      </c>
      <c r="I3714" s="6">
        <v>1.8903</v>
      </c>
      <c r="J3714" s="6">
        <v>0.9107</v>
      </c>
    </row>
    <row r="3715">
      <c r="A3715" s="1" t="s">
        <v>26</v>
      </c>
      <c r="B3715" s="1" t="s">
        <v>180</v>
      </c>
      <c r="C3715" s="1" t="s">
        <v>1210</v>
      </c>
      <c r="D3715" s="6">
        <v>18.0</v>
      </c>
      <c r="E3715" s="6">
        <v>9515.0</v>
      </c>
      <c r="F3715" s="6">
        <v>6184.0</v>
      </c>
      <c r="G3715" s="6">
        <v>3563.0</v>
      </c>
      <c r="H3715" s="6">
        <v>2.6705</v>
      </c>
      <c r="I3715" s="6">
        <v>1.7356</v>
      </c>
      <c r="J3715" s="6">
        <v>0.9349</v>
      </c>
    </row>
    <row r="3716">
      <c r="A3716" s="1" t="s">
        <v>26</v>
      </c>
      <c r="B3716" s="1" t="s">
        <v>180</v>
      </c>
      <c r="C3716" s="1" t="s">
        <v>1210</v>
      </c>
      <c r="D3716" s="6">
        <v>19.0</v>
      </c>
      <c r="E3716" s="6">
        <v>8030.0</v>
      </c>
      <c r="F3716" s="6">
        <v>5285.0</v>
      </c>
      <c r="G3716" s="6">
        <v>3563.0</v>
      </c>
      <c r="H3716" s="6">
        <v>2.2537</v>
      </c>
      <c r="I3716" s="6">
        <v>1.4833</v>
      </c>
      <c r="J3716" s="6">
        <v>0.7704</v>
      </c>
    </row>
    <row r="3717">
      <c r="A3717" s="1" t="s">
        <v>26</v>
      </c>
      <c r="B3717" s="1" t="s">
        <v>180</v>
      </c>
      <c r="C3717" s="1" t="s">
        <v>1210</v>
      </c>
      <c r="D3717" s="6">
        <v>20.0</v>
      </c>
      <c r="E3717" s="6">
        <v>14640.0</v>
      </c>
      <c r="F3717" s="6">
        <v>9933.0</v>
      </c>
      <c r="G3717" s="6">
        <v>3563.0</v>
      </c>
      <c r="H3717" s="6">
        <v>4.1089</v>
      </c>
      <c r="I3717" s="6">
        <v>2.7878</v>
      </c>
      <c r="J3717" s="6">
        <v>1.3211</v>
      </c>
    </row>
    <row r="3718">
      <c r="A3718" s="1" t="s">
        <v>26</v>
      </c>
      <c r="B3718" s="1" t="s">
        <v>180</v>
      </c>
      <c r="C3718" s="1" t="s">
        <v>1210</v>
      </c>
      <c r="D3718" s="6">
        <v>21.0</v>
      </c>
      <c r="E3718" s="6">
        <v>23275.0</v>
      </c>
      <c r="F3718" s="6">
        <v>14442.0</v>
      </c>
      <c r="G3718" s="6">
        <v>3563.0</v>
      </c>
      <c r="H3718" s="6">
        <v>6.5324</v>
      </c>
      <c r="I3718" s="6">
        <v>4.0533</v>
      </c>
      <c r="J3718" s="6">
        <v>2.4791</v>
      </c>
    </row>
    <row r="3719">
      <c r="A3719" s="1" t="s">
        <v>26</v>
      </c>
      <c r="B3719" s="1" t="s">
        <v>180</v>
      </c>
      <c r="C3719" s="1" t="s">
        <v>1210</v>
      </c>
      <c r="D3719" s="6">
        <v>22.0</v>
      </c>
      <c r="E3719" s="6">
        <v>11690.0</v>
      </c>
      <c r="F3719" s="6">
        <v>7533.0</v>
      </c>
      <c r="G3719" s="6">
        <v>3563.0</v>
      </c>
      <c r="H3719" s="6">
        <v>3.2809</v>
      </c>
      <c r="I3719" s="6">
        <v>2.1142</v>
      </c>
      <c r="J3719" s="6">
        <v>1.1667</v>
      </c>
    </row>
    <row r="3720">
      <c r="A3720" s="1" t="s">
        <v>26</v>
      </c>
      <c r="B3720" s="1" t="s">
        <v>180</v>
      </c>
      <c r="C3720" s="1" t="s">
        <v>1210</v>
      </c>
      <c r="D3720" s="6">
        <v>23.0</v>
      </c>
      <c r="E3720" s="6">
        <v>5365.0</v>
      </c>
      <c r="F3720" s="6">
        <v>3520.0</v>
      </c>
      <c r="G3720" s="6">
        <v>3563.0</v>
      </c>
      <c r="H3720" s="6">
        <v>1.5058</v>
      </c>
      <c r="I3720" s="6">
        <v>0.9879</v>
      </c>
      <c r="J3720" s="6">
        <v>0.5178</v>
      </c>
    </row>
    <row r="3721">
      <c r="A3721" s="1" t="s">
        <v>26</v>
      </c>
      <c r="B3721" s="1" t="s">
        <v>180</v>
      </c>
      <c r="C3721" s="1" t="s">
        <v>1210</v>
      </c>
      <c r="D3721" s="6">
        <v>24.0</v>
      </c>
      <c r="E3721" s="6">
        <v>6485.0</v>
      </c>
      <c r="F3721" s="6">
        <v>3780.0</v>
      </c>
      <c r="G3721" s="6">
        <v>3563.0</v>
      </c>
      <c r="H3721" s="6">
        <v>1.8201</v>
      </c>
      <c r="I3721" s="6">
        <v>1.0609</v>
      </c>
      <c r="J3721" s="6">
        <v>0.7592</v>
      </c>
    </row>
    <row r="3722">
      <c r="A3722" s="1" t="s">
        <v>26</v>
      </c>
      <c r="B3722" s="1" t="s">
        <v>180</v>
      </c>
      <c r="C3722" s="1" t="s">
        <v>1210</v>
      </c>
      <c r="D3722" s="6">
        <v>25.0</v>
      </c>
      <c r="E3722" s="6">
        <v>6420.0</v>
      </c>
      <c r="F3722" s="6">
        <v>4189.0</v>
      </c>
      <c r="G3722" s="6">
        <v>3563.0</v>
      </c>
      <c r="H3722" s="6">
        <v>1.8019</v>
      </c>
      <c r="I3722" s="6">
        <v>1.1757</v>
      </c>
      <c r="J3722" s="6">
        <v>0.6262</v>
      </c>
    </row>
    <row r="3723">
      <c r="A3723" s="1" t="s">
        <v>26</v>
      </c>
      <c r="B3723" s="1" t="s">
        <v>180</v>
      </c>
      <c r="C3723" s="1" t="s">
        <v>1210</v>
      </c>
      <c r="D3723" s="6">
        <v>26.0</v>
      </c>
      <c r="E3723" s="6">
        <v>4660.0</v>
      </c>
      <c r="F3723" s="6">
        <v>3094.0</v>
      </c>
      <c r="G3723" s="6">
        <v>3563.0</v>
      </c>
      <c r="H3723" s="6">
        <v>1.3079</v>
      </c>
      <c r="I3723" s="6">
        <v>0.8684</v>
      </c>
      <c r="J3723" s="6">
        <v>0.4395</v>
      </c>
    </row>
    <row r="3724">
      <c r="A3724" s="1" t="s">
        <v>26</v>
      </c>
      <c r="B3724" s="1" t="s">
        <v>180</v>
      </c>
      <c r="C3724" s="1" t="s">
        <v>1210</v>
      </c>
      <c r="D3724" s="6">
        <v>27.0</v>
      </c>
      <c r="E3724" s="6">
        <v>8220.0</v>
      </c>
      <c r="F3724" s="6">
        <v>5388.0</v>
      </c>
      <c r="G3724" s="6">
        <v>3563.0</v>
      </c>
      <c r="H3724" s="6">
        <v>2.307</v>
      </c>
      <c r="I3724" s="6">
        <v>1.5122</v>
      </c>
      <c r="J3724" s="6">
        <v>0.7948</v>
      </c>
    </row>
    <row r="3725">
      <c r="A3725" s="1" t="s">
        <v>26</v>
      </c>
      <c r="B3725" s="1" t="s">
        <v>180</v>
      </c>
      <c r="C3725" s="1" t="s">
        <v>1210</v>
      </c>
      <c r="D3725" s="6">
        <v>28.0</v>
      </c>
      <c r="E3725" s="6">
        <v>6585.0</v>
      </c>
      <c r="F3725" s="6">
        <v>5120.0</v>
      </c>
      <c r="G3725" s="6">
        <v>3563.0</v>
      </c>
      <c r="H3725" s="6">
        <v>1.8482</v>
      </c>
      <c r="I3725" s="6">
        <v>1.437</v>
      </c>
      <c r="J3725" s="6">
        <v>0.4112</v>
      </c>
    </row>
    <row r="3726">
      <c r="A3726" s="1" t="s">
        <v>26</v>
      </c>
      <c r="B3726" s="1" t="s">
        <v>180</v>
      </c>
      <c r="C3726" s="1" t="s">
        <v>1210</v>
      </c>
      <c r="D3726" s="6">
        <v>29.0</v>
      </c>
      <c r="E3726" s="6">
        <v>5155.0</v>
      </c>
      <c r="F3726" s="6">
        <v>4447.0</v>
      </c>
      <c r="G3726" s="6">
        <v>3563.0</v>
      </c>
      <c r="H3726" s="6">
        <v>1.4468</v>
      </c>
      <c r="I3726" s="6">
        <v>1.2481</v>
      </c>
      <c r="J3726" s="6">
        <v>0.1987</v>
      </c>
    </row>
    <row r="3727">
      <c r="A3727" s="1" t="s">
        <v>26</v>
      </c>
      <c r="B3727" s="1" t="s">
        <v>180</v>
      </c>
      <c r="C3727" s="1" t="s">
        <v>1210</v>
      </c>
      <c r="D3727" s="6">
        <v>30.0</v>
      </c>
      <c r="E3727" s="6">
        <v>9735.0</v>
      </c>
      <c r="F3727" s="6">
        <v>7778.0</v>
      </c>
      <c r="G3727" s="6">
        <v>3563.0</v>
      </c>
      <c r="H3727" s="6">
        <v>2.7322</v>
      </c>
      <c r="I3727" s="6">
        <v>2.183</v>
      </c>
      <c r="J3727" s="6">
        <v>0.5493</v>
      </c>
    </row>
    <row r="3728">
      <c r="A3728" s="1" t="s">
        <v>26</v>
      </c>
      <c r="B3728" s="1" t="s">
        <v>180</v>
      </c>
      <c r="C3728" s="1" t="s">
        <v>1210</v>
      </c>
      <c r="D3728" s="6">
        <v>31.0</v>
      </c>
      <c r="E3728" s="6">
        <v>11735.0</v>
      </c>
      <c r="F3728" s="6">
        <v>7976.0</v>
      </c>
      <c r="G3728" s="6">
        <v>3563.0</v>
      </c>
      <c r="H3728" s="6">
        <v>3.2936</v>
      </c>
      <c r="I3728" s="6">
        <v>2.2386</v>
      </c>
      <c r="J3728" s="6">
        <v>1.055</v>
      </c>
    </row>
    <row r="3729">
      <c r="A3729" s="1" t="s">
        <v>26</v>
      </c>
      <c r="B3729" s="1" t="s">
        <v>180</v>
      </c>
      <c r="C3729" s="1" t="s">
        <v>1210</v>
      </c>
      <c r="D3729" s="6">
        <v>32.0</v>
      </c>
      <c r="E3729" s="6">
        <v>12520.0</v>
      </c>
      <c r="F3729" s="6">
        <v>8110.0</v>
      </c>
      <c r="G3729" s="6">
        <v>3563.0</v>
      </c>
      <c r="H3729" s="6">
        <v>3.5139</v>
      </c>
      <c r="I3729" s="6">
        <v>2.2762</v>
      </c>
      <c r="J3729" s="6">
        <v>1.2377</v>
      </c>
    </row>
    <row r="3730">
      <c r="A3730" s="1" t="s">
        <v>26</v>
      </c>
      <c r="B3730" s="1" t="s">
        <v>180</v>
      </c>
      <c r="C3730" s="1" t="s">
        <v>1210</v>
      </c>
      <c r="D3730" s="6">
        <v>33.0</v>
      </c>
      <c r="E3730" s="6">
        <v>11420.0</v>
      </c>
      <c r="F3730" s="6">
        <v>7530.0</v>
      </c>
      <c r="G3730" s="6">
        <v>3563.0</v>
      </c>
      <c r="H3730" s="6">
        <v>3.2052</v>
      </c>
      <c r="I3730" s="6">
        <v>2.1134</v>
      </c>
      <c r="J3730" s="6">
        <v>1.0918</v>
      </c>
    </row>
    <row r="3731">
      <c r="A3731" s="1" t="s">
        <v>26</v>
      </c>
      <c r="B3731" s="1" t="s">
        <v>180</v>
      </c>
      <c r="C3731" s="1" t="s">
        <v>1211</v>
      </c>
      <c r="D3731" s="6">
        <v>1.0</v>
      </c>
      <c r="E3731" s="6">
        <v>4000.0</v>
      </c>
      <c r="F3731" s="6">
        <v>2619.0</v>
      </c>
      <c r="G3731" s="6">
        <v>3742.0</v>
      </c>
      <c r="H3731" s="6">
        <v>1.0689</v>
      </c>
      <c r="I3731" s="6">
        <v>0.6999</v>
      </c>
      <c r="J3731" s="6">
        <v>0.3691</v>
      </c>
    </row>
    <row r="3732">
      <c r="A3732" s="1" t="s">
        <v>26</v>
      </c>
      <c r="B3732" s="1" t="s">
        <v>180</v>
      </c>
      <c r="C3732" s="1" t="s">
        <v>1211</v>
      </c>
      <c r="D3732" s="6">
        <v>2.0</v>
      </c>
      <c r="E3732" s="6">
        <v>8680.0</v>
      </c>
      <c r="F3732" s="6">
        <v>5780.0</v>
      </c>
      <c r="G3732" s="6">
        <v>3742.0</v>
      </c>
      <c r="H3732" s="6">
        <v>2.3196</v>
      </c>
      <c r="I3732" s="6">
        <v>1.5446</v>
      </c>
      <c r="J3732" s="6">
        <v>0.775</v>
      </c>
    </row>
    <row r="3733">
      <c r="A3733" s="1" t="s">
        <v>26</v>
      </c>
      <c r="B3733" s="1" t="s">
        <v>180</v>
      </c>
      <c r="C3733" s="1" t="s">
        <v>1211</v>
      </c>
      <c r="D3733" s="6">
        <v>3.0</v>
      </c>
      <c r="E3733" s="6">
        <v>10005.0</v>
      </c>
      <c r="F3733" s="6">
        <v>5929.0</v>
      </c>
      <c r="G3733" s="6">
        <v>3742.0</v>
      </c>
      <c r="H3733" s="6">
        <v>2.6737</v>
      </c>
      <c r="I3733" s="6">
        <v>1.5844</v>
      </c>
      <c r="J3733" s="6">
        <v>1.0893</v>
      </c>
    </row>
    <row r="3734">
      <c r="A3734" s="1" t="s">
        <v>26</v>
      </c>
      <c r="B3734" s="1" t="s">
        <v>180</v>
      </c>
      <c r="C3734" s="1" t="s">
        <v>1211</v>
      </c>
      <c r="D3734" s="6">
        <v>4.0</v>
      </c>
      <c r="E3734" s="6">
        <v>10610.0</v>
      </c>
      <c r="F3734" s="6">
        <v>6263.0</v>
      </c>
      <c r="G3734" s="6">
        <v>3742.0</v>
      </c>
      <c r="H3734" s="6">
        <v>2.8354</v>
      </c>
      <c r="I3734" s="6">
        <v>1.6737</v>
      </c>
      <c r="J3734" s="6">
        <v>1.1617</v>
      </c>
    </row>
    <row r="3735">
      <c r="A3735" s="1" t="s">
        <v>26</v>
      </c>
      <c r="B3735" s="1" t="s">
        <v>180</v>
      </c>
      <c r="C3735" s="1" t="s">
        <v>1211</v>
      </c>
      <c r="D3735" s="6">
        <v>5.0</v>
      </c>
      <c r="E3735" s="6">
        <v>11215.0</v>
      </c>
      <c r="F3735" s="6">
        <v>6088.0</v>
      </c>
      <c r="G3735" s="6">
        <v>3742.0</v>
      </c>
      <c r="H3735" s="6">
        <v>2.9971</v>
      </c>
      <c r="I3735" s="6">
        <v>1.6269</v>
      </c>
      <c r="J3735" s="6">
        <v>1.3701</v>
      </c>
    </row>
    <row r="3736">
      <c r="A3736" s="1" t="s">
        <v>26</v>
      </c>
      <c r="B3736" s="1" t="s">
        <v>180</v>
      </c>
      <c r="C3736" s="1" t="s">
        <v>1211</v>
      </c>
      <c r="D3736" s="6">
        <v>6.0</v>
      </c>
      <c r="E3736" s="6">
        <v>19205.0</v>
      </c>
      <c r="F3736" s="6">
        <v>11466.0</v>
      </c>
      <c r="G3736" s="6">
        <v>3742.0</v>
      </c>
      <c r="H3736" s="6">
        <v>5.1323</v>
      </c>
      <c r="I3736" s="6">
        <v>3.0641</v>
      </c>
      <c r="J3736" s="6">
        <v>2.0681</v>
      </c>
    </row>
    <row r="3737">
      <c r="A3737" s="1" t="s">
        <v>26</v>
      </c>
      <c r="B3737" s="1" t="s">
        <v>180</v>
      </c>
      <c r="C3737" s="1" t="s">
        <v>1211</v>
      </c>
      <c r="D3737" s="6">
        <v>7.0</v>
      </c>
      <c r="E3737" s="6">
        <v>15775.0</v>
      </c>
      <c r="F3737" s="6">
        <v>8987.0</v>
      </c>
      <c r="G3737" s="6">
        <v>3742.0</v>
      </c>
      <c r="H3737" s="6">
        <v>4.2157</v>
      </c>
      <c r="I3737" s="6">
        <v>2.4017</v>
      </c>
      <c r="J3737" s="6">
        <v>1.814</v>
      </c>
    </row>
    <row r="3738">
      <c r="A3738" s="1" t="s">
        <v>26</v>
      </c>
      <c r="B3738" s="1" t="s">
        <v>180</v>
      </c>
      <c r="C3738" s="1" t="s">
        <v>1211</v>
      </c>
      <c r="D3738" s="6">
        <v>8.0</v>
      </c>
      <c r="E3738" s="6">
        <v>13070.0</v>
      </c>
      <c r="F3738" s="6">
        <v>7313.0</v>
      </c>
      <c r="G3738" s="6">
        <v>3742.0</v>
      </c>
      <c r="H3738" s="6">
        <v>3.4928</v>
      </c>
      <c r="I3738" s="6">
        <v>1.9543</v>
      </c>
      <c r="J3738" s="6">
        <v>1.5385</v>
      </c>
    </row>
    <row r="3739">
      <c r="A3739" s="1" t="s">
        <v>26</v>
      </c>
      <c r="B3739" s="1" t="s">
        <v>180</v>
      </c>
      <c r="C3739" s="1" t="s">
        <v>1211</v>
      </c>
      <c r="D3739" s="6">
        <v>9.0</v>
      </c>
      <c r="E3739" s="6">
        <v>6830.0</v>
      </c>
      <c r="F3739" s="6">
        <v>4451.0</v>
      </c>
      <c r="G3739" s="6">
        <v>3742.0</v>
      </c>
      <c r="H3739" s="6">
        <v>1.8252</v>
      </c>
      <c r="I3739" s="6">
        <v>1.1895</v>
      </c>
      <c r="J3739" s="6">
        <v>0.6358</v>
      </c>
    </row>
    <row r="3740">
      <c r="A3740" s="1" t="s">
        <v>26</v>
      </c>
      <c r="B3740" s="1" t="s">
        <v>180</v>
      </c>
      <c r="C3740" s="1" t="s">
        <v>1211</v>
      </c>
      <c r="D3740" s="6">
        <v>10.0</v>
      </c>
      <c r="E3740" s="6">
        <v>8005.0</v>
      </c>
      <c r="F3740" s="6">
        <v>4679.0</v>
      </c>
      <c r="G3740" s="6">
        <v>3742.0</v>
      </c>
      <c r="H3740" s="6">
        <v>2.1392</v>
      </c>
      <c r="I3740" s="6">
        <v>1.2504</v>
      </c>
      <c r="J3740" s="6">
        <v>0.8888</v>
      </c>
    </row>
    <row r="3741">
      <c r="A3741" s="1" t="s">
        <v>26</v>
      </c>
      <c r="B3741" s="1" t="s">
        <v>180</v>
      </c>
      <c r="C3741" s="1" t="s">
        <v>1211</v>
      </c>
      <c r="D3741" s="6">
        <v>11.0</v>
      </c>
      <c r="E3741" s="6">
        <v>5375.0</v>
      </c>
      <c r="F3741" s="6">
        <v>3666.0</v>
      </c>
      <c r="G3741" s="6">
        <v>3742.0</v>
      </c>
      <c r="H3741" s="6">
        <v>1.4364</v>
      </c>
      <c r="I3741" s="6">
        <v>0.9797</v>
      </c>
      <c r="J3741" s="6">
        <v>0.4567</v>
      </c>
    </row>
    <row r="3742">
      <c r="A3742" s="1" t="s">
        <v>26</v>
      </c>
      <c r="B3742" s="1" t="s">
        <v>180</v>
      </c>
      <c r="C3742" s="1" t="s">
        <v>1211</v>
      </c>
      <c r="D3742" s="6">
        <v>12.0</v>
      </c>
      <c r="E3742" s="6">
        <v>5270.0</v>
      </c>
      <c r="F3742" s="6">
        <v>3683.0</v>
      </c>
      <c r="G3742" s="6">
        <v>3742.0</v>
      </c>
      <c r="H3742" s="6">
        <v>1.4083</v>
      </c>
      <c r="I3742" s="6">
        <v>0.9842</v>
      </c>
      <c r="J3742" s="6">
        <v>0.4241</v>
      </c>
    </row>
    <row r="3743">
      <c r="A3743" s="1" t="s">
        <v>26</v>
      </c>
      <c r="B3743" s="1" t="s">
        <v>180</v>
      </c>
      <c r="C3743" s="1" t="s">
        <v>1211</v>
      </c>
      <c r="D3743" s="6">
        <v>13.0</v>
      </c>
      <c r="E3743" s="6">
        <v>12490.0</v>
      </c>
      <c r="F3743" s="6">
        <v>8264.0</v>
      </c>
      <c r="G3743" s="6">
        <v>3742.0</v>
      </c>
      <c r="H3743" s="6">
        <v>3.3378</v>
      </c>
      <c r="I3743" s="6">
        <v>2.2084</v>
      </c>
      <c r="J3743" s="6">
        <v>1.1293</v>
      </c>
    </row>
    <row r="3744">
      <c r="A3744" s="1" t="s">
        <v>26</v>
      </c>
      <c r="B3744" s="1" t="s">
        <v>180</v>
      </c>
      <c r="C3744" s="1" t="s">
        <v>1211</v>
      </c>
      <c r="D3744" s="6">
        <v>14.0</v>
      </c>
      <c r="E3744" s="6">
        <v>7935.0</v>
      </c>
      <c r="F3744" s="6">
        <v>5118.0</v>
      </c>
      <c r="G3744" s="6">
        <v>3742.0</v>
      </c>
      <c r="H3744" s="6">
        <v>2.1205</v>
      </c>
      <c r="I3744" s="6">
        <v>1.3677</v>
      </c>
      <c r="J3744" s="6">
        <v>0.7528</v>
      </c>
    </row>
    <row r="3745">
      <c r="A3745" s="1" t="s">
        <v>26</v>
      </c>
      <c r="B3745" s="1" t="s">
        <v>180</v>
      </c>
      <c r="C3745" s="1" t="s">
        <v>1211</v>
      </c>
      <c r="D3745" s="6">
        <v>15.0</v>
      </c>
      <c r="E3745" s="6">
        <v>6415.0</v>
      </c>
      <c r="F3745" s="6">
        <v>4332.0</v>
      </c>
      <c r="G3745" s="6">
        <v>3742.0</v>
      </c>
      <c r="H3745" s="6">
        <v>1.7143</v>
      </c>
      <c r="I3745" s="6">
        <v>1.1577</v>
      </c>
      <c r="J3745" s="6">
        <v>0.5567</v>
      </c>
    </row>
    <row r="3746">
      <c r="A3746" s="1" t="s">
        <v>26</v>
      </c>
      <c r="B3746" s="1" t="s">
        <v>180</v>
      </c>
      <c r="C3746" s="1" t="s">
        <v>1211</v>
      </c>
      <c r="D3746" s="6">
        <v>16.0</v>
      </c>
      <c r="E3746" s="6">
        <v>10485.0</v>
      </c>
      <c r="F3746" s="6">
        <v>6898.0</v>
      </c>
      <c r="G3746" s="6">
        <v>3742.0</v>
      </c>
      <c r="H3746" s="6">
        <v>2.802</v>
      </c>
      <c r="I3746" s="6">
        <v>1.8434</v>
      </c>
      <c r="J3746" s="6">
        <v>0.9586</v>
      </c>
    </row>
    <row r="3747">
      <c r="A3747" s="1" t="s">
        <v>26</v>
      </c>
      <c r="B3747" s="1" t="s">
        <v>180</v>
      </c>
      <c r="C3747" s="1" t="s">
        <v>1211</v>
      </c>
      <c r="D3747" s="6">
        <v>17.0</v>
      </c>
      <c r="E3747" s="6">
        <v>14075.0</v>
      </c>
      <c r="F3747" s="6">
        <v>8388.0</v>
      </c>
      <c r="G3747" s="6">
        <v>3742.0</v>
      </c>
      <c r="H3747" s="6">
        <v>3.7614</v>
      </c>
      <c r="I3747" s="6">
        <v>2.2416</v>
      </c>
      <c r="J3747" s="6">
        <v>1.5198</v>
      </c>
    </row>
    <row r="3748">
      <c r="A3748" s="1" t="s">
        <v>26</v>
      </c>
      <c r="B3748" s="1" t="s">
        <v>180</v>
      </c>
      <c r="C3748" s="1" t="s">
        <v>1211</v>
      </c>
      <c r="D3748" s="6">
        <v>18.0</v>
      </c>
      <c r="E3748" s="6">
        <v>12955.0</v>
      </c>
      <c r="F3748" s="6">
        <v>7570.0</v>
      </c>
      <c r="G3748" s="6">
        <v>3742.0</v>
      </c>
      <c r="H3748" s="6">
        <v>3.4621</v>
      </c>
      <c r="I3748" s="6">
        <v>2.023</v>
      </c>
      <c r="J3748" s="6">
        <v>1.4391</v>
      </c>
    </row>
    <row r="3749">
      <c r="A3749" s="1" t="s">
        <v>26</v>
      </c>
      <c r="B3749" s="1" t="s">
        <v>180</v>
      </c>
      <c r="C3749" s="1" t="s">
        <v>1211</v>
      </c>
      <c r="D3749" s="6">
        <v>19.0</v>
      </c>
      <c r="E3749" s="6">
        <v>10635.0</v>
      </c>
      <c r="F3749" s="6">
        <v>6151.0</v>
      </c>
      <c r="G3749" s="6">
        <v>3742.0</v>
      </c>
      <c r="H3749" s="6">
        <v>2.8421</v>
      </c>
      <c r="I3749" s="6">
        <v>1.6438</v>
      </c>
      <c r="J3749" s="6">
        <v>1.1983</v>
      </c>
    </row>
    <row r="3750">
      <c r="A3750" s="1" t="s">
        <v>26</v>
      </c>
      <c r="B3750" s="1" t="s">
        <v>180</v>
      </c>
      <c r="C3750" s="1" t="s">
        <v>1211</v>
      </c>
      <c r="D3750" s="6">
        <v>20.0</v>
      </c>
      <c r="E3750" s="6">
        <v>22070.0</v>
      </c>
      <c r="F3750" s="6">
        <v>13209.0</v>
      </c>
      <c r="G3750" s="6">
        <v>3742.0</v>
      </c>
      <c r="H3750" s="6">
        <v>5.8979</v>
      </c>
      <c r="I3750" s="6">
        <v>3.5299</v>
      </c>
      <c r="J3750" s="6">
        <v>2.368</v>
      </c>
    </row>
    <row r="3751">
      <c r="A3751" s="1" t="s">
        <v>26</v>
      </c>
      <c r="B3751" s="1" t="s">
        <v>180</v>
      </c>
      <c r="C3751" s="1" t="s">
        <v>1211</v>
      </c>
      <c r="D3751" s="6">
        <v>21.0</v>
      </c>
      <c r="E3751" s="6">
        <v>33910.0</v>
      </c>
      <c r="F3751" s="6">
        <v>18038.0</v>
      </c>
      <c r="G3751" s="6">
        <v>3742.0</v>
      </c>
      <c r="H3751" s="6">
        <v>9.062</v>
      </c>
      <c r="I3751" s="6">
        <v>4.8204</v>
      </c>
      <c r="J3751" s="6">
        <v>4.2416</v>
      </c>
    </row>
    <row r="3752">
      <c r="A3752" s="1" t="s">
        <v>26</v>
      </c>
      <c r="B3752" s="1" t="s">
        <v>180</v>
      </c>
      <c r="C3752" s="1" t="s">
        <v>1211</v>
      </c>
      <c r="D3752" s="6">
        <v>22.0</v>
      </c>
      <c r="E3752" s="6">
        <v>19780.0</v>
      </c>
      <c r="F3752" s="6">
        <v>10469.0</v>
      </c>
      <c r="G3752" s="6">
        <v>3742.0</v>
      </c>
      <c r="H3752" s="6">
        <v>5.2859</v>
      </c>
      <c r="I3752" s="6">
        <v>2.7977</v>
      </c>
      <c r="J3752" s="6">
        <v>2.4882</v>
      </c>
    </row>
    <row r="3753">
      <c r="A3753" s="1" t="s">
        <v>26</v>
      </c>
      <c r="B3753" s="1" t="s">
        <v>180</v>
      </c>
      <c r="C3753" s="1" t="s">
        <v>1211</v>
      </c>
      <c r="D3753" s="6">
        <v>23.0</v>
      </c>
      <c r="E3753" s="6">
        <v>8865.0</v>
      </c>
      <c r="F3753" s="6">
        <v>5547.0</v>
      </c>
      <c r="G3753" s="6">
        <v>3742.0</v>
      </c>
      <c r="H3753" s="6">
        <v>2.3691</v>
      </c>
      <c r="I3753" s="6">
        <v>1.4824</v>
      </c>
      <c r="J3753" s="6">
        <v>0.8867</v>
      </c>
    </row>
    <row r="3754">
      <c r="A3754" s="1" t="s">
        <v>26</v>
      </c>
      <c r="B3754" s="1" t="s">
        <v>180</v>
      </c>
      <c r="C3754" s="1" t="s">
        <v>1211</v>
      </c>
      <c r="D3754" s="6">
        <v>24.0</v>
      </c>
      <c r="E3754" s="6">
        <v>10490.0</v>
      </c>
      <c r="F3754" s="6">
        <v>5802.0</v>
      </c>
      <c r="G3754" s="6">
        <v>3742.0</v>
      </c>
      <c r="H3754" s="6">
        <v>2.8033</v>
      </c>
      <c r="I3754" s="6">
        <v>1.5505</v>
      </c>
      <c r="J3754" s="6">
        <v>1.2528</v>
      </c>
    </row>
    <row r="3755">
      <c r="A3755" s="1" t="s">
        <v>26</v>
      </c>
      <c r="B3755" s="1" t="s">
        <v>180</v>
      </c>
      <c r="C3755" s="1" t="s">
        <v>1211</v>
      </c>
      <c r="D3755" s="6">
        <v>25.0</v>
      </c>
      <c r="E3755" s="6">
        <v>9240.0</v>
      </c>
      <c r="F3755" s="6">
        <v>5684.0</v>
      </c>
      <c r="G3755" s="6">
        <v>3742.0</v>
      </c>
      <c r="H3755" s="6">
        <v>2.4693</v>
      </c>
      <c r="I3755" s="6">
        <v>1.519</v>
      </c>
      <c r="J3755" s="6">
        <v>0.9503</v>
      </c>
    </row>
    <row r="3756">
      <c r="A3756" s="1" t="s">
        <v>26</v>
      </c>
      <c r="B3756" s="1" t="s">
        <v>180</v>
      </c>
      <c r="C3756" s="1" t="s">
        <v>1211</v>
      </c>
      <c r="D3756" s="6">
        <v>26.0</v>
      </c>
      <c r="E3756" s="6">
        <v>7500.0</v>
      </c>
      <c r="F3756" s="6">
        <v>4721.0</v>
      </c>
      <c r="G3756" s="6">
        <v>3742.0</v>
      </c>
      <c r="H3756" s="6">
        <v>2.0043</v>
      </c>
      <c r="I3756" s="6">
        <v>1.2616</v>
      </c>
      <c r="J3756" s="6">
        <v>0.7427</v>
      </c>
    </row>
    <row r="3757">
      <c r="A3757" s="1" t="s">
        <v>26</v>
      </c>
      <c r="B3757" s="1" t="s">
        <v>180</v>
      </c>
      <c r="C3757" s="1" t="s">
        <v>1211</v>
      </c>
      <c r="D3757" s="6">
        <v>27.0</v>
      </c>
      <c r="E3757" s="6">
        <v>13405.0</v>
      </c>
      <c r="F3757" s="6">
        <v>8161.0</v>
      </c>
      <c r="G3757" s="6">
        <v>3742.0</v>
      </c>
      <c r="H3757" s="6">
        <v>3.5823</v>
      </c>
      <c r="I3757" s="6">
        <v>2.1809</v>
      </c>
      <c r="J3757" s="6">
        <v>1.4014</v>
      </c>
    </row>
    <row r="3758">
      <c r="A3758" s="1" t="s">
        <v>26</v>
      </c>
      <c r="B3758" s="1" t="s">
        <v>180</v>
      </c>
      <c r="C3758" s="1" t="s">
        <v>1211</v>
      </c>
      <c r="D3758" s="6">
        <v>28.0</v>
      </c>
      <c r="E3758" s="6">
        <v>8180.0</v>
      </c>
      <c r="F3758" s="6">
        <v>5198.0</v>
      </c>
      <c r="G3758" s="6">
        <v>3742.0</v>
      </c>
      <c r="H3758" s="6">
        <v>2.186</v>
      </c>
      <c r="I3758" s="6">
        <v>1.3891</v>
      </c>
      <c r="J3758" s="6">
        <v>0.7969</v>
      </c>
    </row>
    <row r="3759">
      <c r="A3759" s="1" t="s">
        <v>26</v>
      </c>
      <c r="B3759" s="1" t="s">
        <v>180</v>
      </c>
      <c r="C3759" s="1" t="s">
        <v>1211</v>
      </c>
      <c r="D3759" s="6">
        <v>29.0</v>
      </c>
      <c r="E3759" s="6">
        <v>7565.0</v>
      </c>
      <c r="F3759" s="6">
        <v>4853.0</v>
      </c>
      <c r="G3759" s="6">
        <v>3742.0</v>
      </c>
      <c r="H3759" s="6">
        <v>2.0216</v>
      </c>
      <c r="I3759" s="6">
        <v>1.2969</v>
      </c>
      <c r="J3759" s="6">
        <v>0.7247</v>
      </c>
    </row>
    <row r="3760">
      <c r="A3760" s="1" t="s">
        <v>26</v>
      </c>
      <c r="B3760" s="1" t="s">
        <v>180</v>
      </c>
      <c r="C3760" s="1" t="s">
        <v>1211</v>
      </c>
      <c r="D3760" s="6">
        <v>30.0</v>
      </c>
      <c r="E3760" s="6">
        <v>12990.0</v>
      </c>
      <c r="F3760" s="6">
        <v>8310.0</v>
      </c>
      <c r="G3760" s="6">
        <v>3742.0</v>
      </c>
      <c r="H3760" s="6">
        <v>3.4714</v>
      </c>
      <c r="I3760" s="6">
        <v>2.2207</v>
      </c>
      <c r="J3760" s="6">
        <v>1.2507</v>
      </c>
    </row>
    <row r="3761">
      <c r="A3761" s="1" t="s">
        <v>26</v>
      </c>
      <c r="B3761" s="1" t="s">
        <v>180</v>
      </c>
      <c r="C3761" s="1" t="s">
        <v>1211</v>
      </c>
      <c r="D3761" s="6">
        <v>31.0</v>
      </c>
      <c r="E3761" s="6">
        <v>15725.0</v>
      </c>
      <c r="F3761" s="6">
        <v>9468.0</v>
      </c>
      <c r="G3761" s="6">
        <v>3742.0</v>
      </c>
      <c r="H3761" s="6">
        <v>4.2023</v>
      </c>
      <c r="I3761" s="6">
        <v>2.5302</v>
      </c>
      <c r="J3761" s="6">
        <v>1.6721</v>
      </c>
    </row>
    <row r="3762">
      <c r="A3762" s="1" t="s">
        <v>26</v>
      </c>
      <c r="B3762" s="1" t="s">
        <v>180</v>
      </c>
      <c r="C3762" s="1" t="s">
        <v>1211</v>
      </c>
      <c r="D3762" s="6">
        <v>32.0</v>
      </c>
      <c r="E3762" s="6">
        <v>17745.0</v>
      </c>
      <c r="F3762" s="6">
        <v>10341.0</v>
      </c>
      <c r="G3762" s="6">
        <v>3742.0</v>
      </c>
      <c r="H3762" s="6">
        <v>4.7421</v>
      </c>
      <c r="I3762" s="6">
        <v>2.7635</v>
      </c>
      <c r="J3762" s="6">
        <v>1.9786</v>
      </c>
    </row>
    <row r="3763">
      <c r="A3763" s="1" t="s">
        <v>26</v>
      </c>
      <c r="B3763" s="1" t="s">
        <v>180</v>
      </c>
      <c r="C3763" s="1" t="s">
        <v>1211</v>
      </c>
      <c r="D3763" s="6">
        <v>33.0</v>
      </c>
      <c r="E3763" s="6">
        <v>17760.0</v>
      </c>
      <c r="F3763" s="6">
        <v>10457.0</v>
      </c>
      <c r="G3763" s="6">
        <v>3742.0</v>
      </c>
      <c r="H3763" s="6">
        <v>4.7461</v>
      </c>
      <c r="I3763" s="6">
        <v>2.7945</v>
      </c>
      <c r="J3763" s="6">
        <v>1.9516</v>
      </c>
    </row>
    <row r="3764">
      <c r="A3764" s="1" t="s">
        <v>26</v>
      </c>
      <c r="B3764" s="1" t="s">
        <v>180</v>
      </c>
      <c r="C3764" s="1" t="s">
        <v>55</v>
      </c>
      <c r="D3764" s="6">
        <v>1.0</v>
      </c>
      <c r="E3764" s="6">
        <v>265370.0</v>
      </c>
      <c r="F3764" s="6">
        <v>0.0</v>
      </c>
      <c r="G3764" s="6">
        <v>4032.0</v>
      </c>
      <c r="H3764" s="6">
        <v>65.816</v>
      </c>
      <c r="I3764" s="6">
        <v>0.0</v>
      </c>
      <c r="J3764" s="6">
        <v>65.816</v>
      </c>
    </row>
    <row r="3765">
      <c r="A3765" s="1" t="s">
        <v>26</v>
      </c>
      <c r="B3765" s="1" t="s">
        <v>180</v>
      </c>
      <c r="C3765" s="1" t="s">
        <v>55</v>
      </c>
      <c r="D3765" s="6">
        <v>2.0</v>
      </c>
      <c r="E3765" s="6">
        <v>236490.0</v>
      </c>
      <c r="F3765" s="6">
        <v>0.0</v>
      </c>
      <c r="G3765" s="6">
        <v>4032.0</v>
      </c>
      <c r="H3765" s="6">
        <v>58.6533</v>
      </c>
      <c r="I3765" s="6">
        <v>0.0</v>
      </c>
      <c r="J3765" s="6">
        <v>58.6533</v>
      </c>
    </row>
    <row r="3766">
      <c r="A3766" s="1" t="s">
        <v>26</v>
      </c>
      <c r="B3766" s="1" t="s">
        <v>180</v>
      </c>
      <c r="C3766" s="1" t="s">
        <v>55</v>
      </c>
      <c r="D3766" s="6">
        <v>3.0</v>
      </c>
      <c r="E3766" s="6">
        <v>254200.0</v>
      </c>
      <c r="F3766" s="6">
        <v>0.0</v>
      </c>
      <c r="G3766" s="6">
        <v>4032.0</v>
      </c>
      <c r="H3766" s="6">
        <v>63.0456</v>
      </c>
      <c r="I3766" s="6">
        <v>0.0</v>
      </c>
      <c r="J3766" s="6">
        <v>63.0456</v>
      </c>
    </row>
    <row r="3767">
      <c r="A3767" s="1" t="s">
        <v>26</v>
      </c>
      <c r="B3767" s="1" t="s">
        <v>180</v>
      </c>
      <c r="C3767" s="1" t="s">
        <v>55</v>
      </c>
      <c r="D3767" s="6">
        <v>4.0</v>
      </c>
      <c r="E3767" s="6">
        <v>211561.0</v>
      </c>
      <c r="F3767" s="6">
        <v>0.0</v>
      </c>
      <c r="G3767" s="6">
        <v>4032.0</v>
      </c>
      <c r="H3767" s="6">
        <v>52.4705</v>
      </c>
      <c r="I3767" s="6">
        <v>0.0</v>
      </c>
      <c r="J3767" s="6">
        <v>52.4705</v>
      </c>
    </row>
    <row r="3768">
      <c r="A3768" s="1" t="s">
        <v>26</v>
      </c>
      <c r="B3768" s="1" t="s">
        <v>180</v>
      </c>
      <c r="C3768" s="1" t="s">
        <v>55</v>
      </c>
      <c r="D3768" s="6">
        <v>5.0</v>
      </c>
      <c r="E3768" s="6">
        <v>253539.0</v>
      </c>
      <c r="F3768" s="6">
        <v>0.0</v>
      </c>
      <c r="G3768" s="6">
        <v>4032.0</v>
      </c>
      <c r="H3768" s="6">
        <v>62.8817</v>
      </c>
      <c r="I3768" s="6">
        <v>0.0</v>
      </c>
      <c r="J3768" s="6">
        <v>62.8817</v>
      </c>
    </row>
    <row r="3769">
      <c r="A3769" s="1" t="s">
        <v>26</v>
      </c>
      <c r="B3769" s="1" t="s">
        <v>180</v>
      </c>
      <c r="C3769" s="1" t="s">
        <v>55</v>
      </c>
      <c r="D3769" s="6">
        <v>6.0</v>
      </c>
      <c r="E3769" s="6">
        <v>286605.0</v>
      </c>
      <c r="F3769" s="6">
        <v>0.0</v>
      </c>
      <c r="G3769" s="6">
        <v>4032.0</v>
      </c>
      <c r="H3769" s="6">
        <v>71.0826</v>
      </c>
      <c r="I3769" s="6">
        <v>0.0</v>
      </c>
      <c r="J3769" s="6">
        <v>71.0826</v>
      </c>
    </row>
    <row r="3770">
      <c r="A3770" s="1" t="s">
        <v>26</v>
      </c>
      <c r="B3770" s="1" t="s">
        <v>180</v>
      </c>
      <c r="C3770" s="1" t="s">
        <v>55</v>
      </c>
      <c r="D3770" s="6">
        <v>7.0</v>
      </c>
      <c r="E3770" s="6">
        <v>256210.0</v>
      </c>
      <c r="F3770" s="6">
        <v>0.0</v>
      </c>
      <c r="G3770" s="6">
        <v>4032.0</v>
      </c>
      <c r="H3770" s="6">
        <v>63.5441</v>
      </c>
      <c r="I3770" s="6">
        <v>0.0</v>
      </c>
      <c r="J3770" s="6">
        <v>63.5441</v>
      </c>
    </row>
    <row r="3771">
      <c r="A3771" s="1" t="s">
        <v>26</v>
      </c>
      <c r="B3771" s="1" t="s">
        <v>180</v>
      </c>
      <c r="C3771" s="1" t="s">
        <v>55</v>
      </c>
      <c r="D3771" s="6">
        <v>8.0</v>
      </c>
      <c r="E3771" s="6">
        <v>269863.0</v>
      </c>
      <c r="F3771" s="6">
        <v>0.0</v>
      </c>
      <c r="G3771" s="6">
        <v>4032.0</v>
      </c>
      <c r="H3771" s="6">
        <v>66.9303</v>
      </c>
      <c r="I3771" s="6">
        <v>0.0</v>
      </c>
      <c r="J3771" s="6">
        <v>66.9303</v>
      </c>
    </row>
    <row r="3772">
      <c r="A3772" s="1" t="s">
        <v>26</v>
      </c>
      <c r="B3772" s="1" t="s">
        <v>180</v>
      </c>
      <c r="C3772" s="1" t="s">
        <v>55</v>
      </c>
      <c r="D3772" s="6">
        <v>9.0</v>
      </c>
      <c r="E3772" s="6">
        <v>243260.0</v>
      </c>
      <c r="F3772" s="6">
        <v>0.0</v>
      </c>
      <c r="G3772" s="6">
        <v>4032.0</v>
      </c>
      <c r="H3772" s="6">
        <v>60.3323</v>
      </c>
      <c r="I3772" s="6">
        <v>0.0</v>
      </c>
      <c r="J3772" s="6">
        <v>60.3323</v>
      </c>
    </row>
    <row r="3773">
      <c r="A3773" s="1" t="s">
        <v>26</v>
      </c>
      <c r="B3773" s="1" t="s">
        <v>180</v>
      </c>
      <c r="C3773" s="1" t="s">
        <v>55</v>
      </c>
      <c r="D3773" s="6">
        <v>10.0</v>
      </c>
      <c r="E3773" s="6">
        <v>304286.0</v>
      </c>
      <c r="F3773" s="6">
        <v>0.0</v>
      </c>
      <c r="G3773" s="6">
        <v>4032.0</v>
      </c>
      <c r="H3773" s="6">
        <v>75.4678</v>
      </c>
      <c r="I3773" s="6">
        <v>0.0</v>
      </c>
      <c r="J3773" s="6">
        <v>75.4678</v>
      </c>
    </row>
    <row r="3774">
      <c r="A3774" s="1" t="s">
        <v>26</v>
      </c>
      <c r="B3774" s="1" t="s">
        <v>180</v>
      </c>
      <c r="C3774" s="1" t="s">
        <v>55</v>
      </c>
      <c r="D3774" s="6">
        <v>11.0</v>
      </c>
      <c r="E3774" s="6">
        <v>249755.0</v>
      </c>
      <c r="F3774" s="6">
        <v>0.0</v>
      </c>
      <c r="G3774" s="6">
        <v>4032.0</v>
      </c>
      <c r="H3774" s="6">
        <v>61.9432</v>
      </c>
      <c r="I3774" s="6">
        <v>0.0</v>
      </c>
      <c r="J3774" s="6">
        <v>61.9432</v>
      </c>
    </row>
    <row r="3775">
      <c r="A3775" s="1" t="s">
        <v>26</v>
      </c>
      <c r="B3775" s="1" t="s">
        <v>180</v>
      </c>
      <c r="C3775" s="1" t="s">
        <v>55</v>
      </c>
      <c r="D3775" s="6">
        <v>12.0</v>
      </c>
      <c r="E3775" s="6">
        <v>298005.0</v>
      </c>
      <c r="F3775" s="6">
        <v>0.0</v>
      </c>
      <c r="G3775" s="6">
        <v>4032.0</v>
      </c>
      <c r="H3775" s="6">
        <v>73.91</v>
      </c>
      <c r="I3775" s="6">
        <v>0.0</v>
      </c>
      <c r="J3775" s="6">
        <v>73.91</v>
      </c>
    </row>
    <row r="3776">
      <c r="A3776" s="1" t="s">
        <v>26</v>
      </c>
      <c r="B3776" s="1" t="s">
        <v>180</v>
      </c>
      <c r="C3776" s="1" t="s">
        <v>55</v>
      </c>
      <c r="D3776" s="6">
        <v>13.0</v>
      </c>
      <c r="E3776" s="6">
        <v>319708.0</v>
      </c>
      <c r="F3776" s="6">
        <v>0.0</v>
      </c>
      <c r="G3776" s="6">
        <v>4032.0</v>
      </c>
      <c r="H3776" s="6">
        <v>79.2927</v>
      </c>
      <c r="I3776" s="6">
        <v>0.0</v>
      </c>
      <c r="J3776" s="6">
        <v>79.2927</v>
      </c>
    </row>
    <row r="3777">
      <c r="A3777" s="1" t="s">
        <v>26</v>
      </c>
      <c r="B3777" s="1" t="s">
        <v>180</v>
      </c>
      <c r="C3777" s="1" t="s">
        <v>55</v>
      </c>
      <c r="D3777" s="6">
        <v>14.0</v>
      </c>
      <c r="E3777" s="6">
        <v>272820.0</v>
      </c>
      <c r="F3777" s="6">
        <v>0.0</v>
      </c>
      <c r="G3777" s="6">
        <v>4032.0</v>
      </c>
      <c r="H3777" s="6">
        <v>67.6637</v>
      </c>
      <c r="I3777" s="6">
        <v>0.0</v>
      </c>
      <c r="J3777" s="6">
        <v>67.6637</v>
      </c>
    </row>
    <row r="3778">
      <c r="A3778" s="1" t="s">
        <v>26</v>
      </c>
      <c r="B3778" s="1" t="s">
        <v>180</v>
      </c>
      <c r="C3778" s="1" t="s">
        <v>55</v>
      </c>
      <c r="D3778" s="6">
        <v>15.0</v>
      </c>
      <c r="E3778" s="6">
        <v>320319.0</v>
      </c>
      <c r="F3778" s="6">
        <v>0.0</v>
      </c>
      <c r="G3778" s="6">
        <v>4032.0</v>
      </c>
      <c r="H3778" s="6">
        <v>79.4442</v>
      </c>
      <c r="I3778" s="6">
        <v>0.0</v>
      </c>
      <c r="J3778" s="6">
        <v>79.4442</v>
      </c>
    </row>
    <row r="3779">
      <c r="A3779" s="1" t="s">
        <v>26</v>
      </c>
      <c r="B3779" s="1" t="s">
        <v>180</v>
      </c>
      <c r="C3779" s="1" t="s">
        <v>55</v>
      </c>
      <c r="D3779" s="6">
        <v>16.0</v>
      </c>
      <c r="E3779" s="6">
        <v>279500.0</v>
      </c>
      <c r="F3779" s="6">
        <v>0.0</v>
      </c>
      <c r="G3779" s="6">
        <v>4032.0</v>
      </c>
      <c r="H3779" s="6">
        <v>69.3204</v>
      </c>
      <c r="I3779" s="6">
        <v>0.0</v>
      </c>
      <c r="J3779" s="6">
        <v>69.3204</v>
      </c>
    </row>
    <row r="3780">
      <c r="A3780" s="1" t="s">
        <v>26</v>
      </c>
      <c r="B3780" s="1" t="s">
        <v>180</v>
      </c>
      <c r="C3780" s="1" t="s">
        <v>55</v>
      </c>
      <c r="D3780" s="6">
        <v>17.0</v>
      </c>
      <c r="E3780" s="6">
        <v>325590.0</v>
      </c>
      <c r="F3780" s="6">
        <v>0.0</v>
      </c>
      <c r="G3780" s="6">
        <v>4032.0</v>
      </c>
      <c r="H3780" s="6">
        <v>80.7515</v>
      </c>
      <c r="I3780" s="6">
        <v>0.0</v>
      </c>
      <c r="J3780" s="6">
        <v>80.7515</v>
      </c>
    </row>
    <row r="3781">
      <c r="A3781" s="1" t="s">
        <v>26</v>
      </c>
      <c r="B3781" s="1" t="s">
        <v>180</v>
      </c>
      <c r="C3781" s="1" t="s">
        <v>55</v>
      </c>
      <c r="D3781" s="6">
        <v>18.0</v>
      </c>
      <c r="E3781" s="6">
        <v>266220.0</v>
      </c>
      <c r="F3781" s="6">
        <v>0.0</v>
      </c>
      <c r="G3781" s="6">
        <v>4032.0</v>
      </c>
      <c r="H3781" s="6">
        <v>66.0268</v>
      </c>
      <c r="I3781" s="6">
        <v>0.0</v>
      </c>
      <c r="J3781" s="6">
        <v>66.0268</v>
      </c>
    </row>
    <row r="3782">
      <c r="A3782" s="1" t="s">
        <v>26</v>
      </c>
      <c r="B3782" s="1" t="s">
        <v>180</v>
      </c>
      <c r="C3782" s="1" t="s">
        <v>55</v>
      </c>
      <c r="D3782" s="6">
        <v>19.0</v>
      </c>
      <c r="E3782" s="6">
        <v>285465.0</v>
      </c>
      <c r="F3782" s="6">
        <v>0.0</v>
      </c>
      <c r="G3782" s="6">
        <v>4032.0</v>
      </c>
      <c r="H3782" s="6">
        <v>70.7999</v>
      </c>
      <c r="I3782" s="6">
        <v>0.0</v>
      </c>
      <c r="J3782" s="6">
        <v>70.7999</v>
      </c>
    </row>
    <row r="3783">
      <c r="A3783" s="1" t="s">
        <v>26</v>
      </c>
      <c r="B3783" s="1" t="s">
        <v>180</v>
      </c>
      <c r="C3783" s="1" t="s">
        <v>55</v>
      </c>
      <c r="D3783" s="6">
        <v>20.0</v>
      </c>
      <c r="E3783" s="6">
        <v>348320.0</v>
      </c>
      <c r="F3783" s="6">
        <v>0.0</v>
      </c>
      <c r="G3783" s="6">
        <v>4032.0</v>
      </c>
      <c r="H3783" s="6">
        <v>86.3889</v>
      </c>
      <c r="I3783" s="6">
        <v>0.0</v>
      </c>
      <c r="J3783" s="6">
        <v>86.3889</v>
      </c>
    </row>
    <row r="3784">
      <c r="A3784" s="1" t="s">
        <v>26</v>
      </c>
      <c r="B3784" s="1" t="s">
        <v>180</v>
      </c>
      <c r="C3784" s="1" t="s">
        <v>55</v>
      </c>
      <c r="D3784" s="6">
        <v>21.0</v>
      </c>
      <c r="E3784" s="6">
        <v>423628.0</v>
      </c>
      <c r="F3784" s="6">
        <v>81.0</v>
      </c>
      <c r="G3784" s="6">
        <v>4032.0</v>
      </c>
      <c r="H3784" s="6">
        <v>105.0665</v>
      </c>
      <c r="I3784" s="6">
        <v>0.0201</v>
      </c>
      <c r="J3784" s="6">
        <v>105.0464</v>
      </c>
    </row>
    <row r="3785">
      <c r="A3785" s="1" t="s">
        <v>26</v>
      </c>
      <c r="B3785" s="1" t="s">
        <v>180</v>
      </c>
      <c r="C3785" s="1" t="s">
        <v>55</v>
      </c>
      <c r="D3785" s="6">
        <v>22.0</v>
      </c>
      <c r="E3785" s="6">
        <v>342155.0</v>
      </c>
      <c r="F3785" s="6">
        <v>0.0</v>
      </c>
      <c r="G3785" s="6">
        <v>4032.0</v>
      </c>
      <c r="H3785" s="6">
        <v>84.8599</v>
      </c>
      <c r="I3785" s="6">
        <v>0.0</v>
      </c>
      <c r="J3785" s="6">
        <v>84.8599</v>
      </c>
    </row>
    <row r="3786">
      <c r="A3786" s="1" t="s">
        <v>26</v>
      </c>
      <c r="B3786" s="1" t="s">
        <v>180</v>
      </c>
      <c r="C3786" s="1" t="s">
        <v>55</v>
      </c>
      <c r="D3786" s="6">
        <v>23.0</v>
      </c>
      <c r="E3786" s="6">
        <v>307860.0</v>
      </c>
      <c r="F3786" s="6">
        <v>0.0</v>
      </c>
      <c r="G3786" s="6">
        <v>4032.0</v>
      </c>
      <c r="H3786" s="6">
        <v>76.3542</v>
      </c>
      <c r="I3786" s="6">
        <v>0.0</v>
      </c>
      <c r="J3786" s="6">
        <v>76.3542</v>
      </c>
    </row>
    <row r="3787">
      <c r="A3787" s="1" t="s">
        <v>26</v>
      </c>
      <c r="B3787" s="1" t="s">
        <v>180</v>
      </c>
      <c r="C3787" s="1" t="s">
        <v>55</v>
      </c>
      <c r="D3787" s="6">
        <v>24.0</v>
      </c>
      <c r="E3787" s="6">
        <v>357490.0</v>
      </c>
      <c r="F3787" s="6">
        <v>0.0</v>
      </c>
      <c r="G3787" s="6">
        <v>4032.0</v>
      </c>
      <c r="H3787" s="6">
        <v>88.6632</v>
      </c>
      <c r="I3787" s="6">
        <v>0.0</v>
      </c>
      <c r="J3787" s="6">
        <v>88.6632</v>
      </c>
    </row>
    <row r="3788">
      <c r="A3788" s="1" t="s">
        <v>26</v>
      </c>
      <c r="B3788" s="1" t="s">
        <v>180</v>
      </c>
      <c r="C3788" s="1" t="s">
        <v>55</v>
      </c>
      <c r="D3788" s="6">
        <v>25.0</v>
      </c>
      <c r="E3788" s="6">
        <v>319875.0</v>
      </c>
      <c r="F3788" s="6">
        <v>0.0</v>
      </c>
      <c r="G3788" s="6">
        <v>4032.0</v>
      </c>
      <c r="H3788" s="6">
        <v>79.3341</v>
      </c>
      <c r="I3788" s="6">
        <v>0.0</v>
      </c>
      <c r="J3788" s="6">
        <v>79.3341</v>
      </c>
    </row>
    <row r="3789">
      <c r="A3789" s="1" t="s">
        <v>26</v>
      </c>
      <c r="B3789" s="1" t="s">
        <v>180</v>
      </c>
      <c r="C3789" s="1" t="s">
        <v>55</v>
      </c>
      <c r="D3789" s="6">
        <v>26.0</v>
      </c>
      <c r="E3789" s="6">
        <v>348600.0</v>
      </c>
      <c r="F3789" s="6">
        <v>0.0</v>
      </c>
      <c r="G3789" s="6">
        <v>4032.0</v>
      </c>
      <c r="H3789" s="6">
        <v>86.4583</v>
      </c>
      <c r="I3789" s="6">
        <v>0.0</v>
      </c>
      <c r="J3789" s="6">
        <v>86.4583</v>
      </c>
    </row>
    <row r="3790">
      <c r="A3790" s="1" t="s">
        <v>26</v>
      </c>
      <c r="B3790" s="1" t="s">
        <v>180</v>
      </c>
      <c r="C3790" s="1" t="s">
        <v>55</v>
      </c>
      <c r="D3790" s="6">
        <v>27.0</v>
      </c>
      <c r="E3790" s="6">
        <v>424578.0</v>
      </c>
      <c r="F3790" s="6">
        <v>0.0</v>
      </c>
      <c r="G3790" s="6">
        <v>4032.0</v>
      </c>
      <c r="H3790" s="6">
        <v>105.3021</v>
      </c>
      <c r="I3790" s="6">
        <v>0.0</v>
      </c>
      <c r="J3790" s="6">
        <v>105.3021</v>
      </c>
    </row>
    <row r="3791">
      <c r="A3791" s="1" t="s">
        <v>26</v>
      </c>
      <c r="B3791" s="1" t="s">
        <v>180</v>
      </c>
      <c r="C3791" s="1" t="s">
        <v>55</v>
      </c>
      <c r="D3791" s="6">
        <v>28.0</v>
      </c>
      <c r="E3791" s="6">
        <v>371355.0</v>
      </c>
      <c r="F3791" s="6">
        <v>0.0</v>
      </c>
      <c r="G3791" s="6">
        <v>4032.0</v>
      </c>
      <c r="H3791" s="6">
        <v>92.1019</v>
      </c>
      <c r="I3791" s="6">
        <v>0.0</v>
      </c>
      <c r="J3791" s="6">
        <v>92.1019</v>
      </c>
    </row>
    <row r="3792">
      <c r="A3792" s="1" t="s">
        <v>26</v>
      </c>
      <c r="B3792" s="1" t="s">
        <v>180</v>
      </c>
      <c r="C3792" s="1" t="s">
        <v>55</v>
      </c>
      <c r="D3792" s="6">
        <v>29.0</v>
      </c>
      <c r="E3792" s="6">
        <v>421435.0</v>
      </c>
      <c r="F3792" s="6">
        <v>0.0</v>
      </c>
      <c r="G3792" s="6">
        <v>4032.0</v>
      </c>
      <c r="H3792" s="6">
        <v>104.5226</v>
      </c>
      <c r="I3792" s="6">
        <v>0.0</v>
      </c>
      <c r="J3792" s="6">
        <v>104.5226</v>
      </c>
    </row>
    <row r="3793">
      <c r="A3793" s="1" t="s">
        <v>26</v>
      </c>
      <c r="B3793" s="1" t="s">
        <v>180</v>
      </c>
      <c r="C3793" s="1" t="s">
        <v>55</v>
      </c>
      <c r="D3793" s="6">
        <v>30.0</v>
      </c>
      <c r="E3793" s="6">
        <v>378260.0</v>
      </c>
      <c r="F3793" s="6">
        <v>0.0</v>
      </c>
      <c r="G3793" s="6">
        <v>4032.0</v>
      </c>
      <c r="H3793" s="6">
        <v>93.8145</v>
      </c>
      <c r="I3793" s="6">
        <v>0.0</v>
      </c>
      <c r="J3793" s="6">
        <v>93.8145</v>
      </c>
    </row>
    <row r="3794">
      <c r="A3794" s="1" t="s">
        <v>26</v>
      </c>
      <c r="B3794" s="1" t="s">
        <v>180</v>
      </c>
      <c r="C3794" s="1" t="s">
        <v>55</v>
      </c>
      <c r="D3794" s="6">
        <v>31.0</v>
      </c>
      <c r="E3794" s="6">
        <v>449615.0</v>
      </c>
      <c r="F3794" s="6">
        <v>0.0</v>
      </c>
      <c r="G3794" s="6">
        <v>4032.0</v>
      </c>
      <c r="H3794" s="6">
        <v>111.5117</v>
      </c>
      <c r="I3794" s="6">
        <v>0.0</v>
      </c>
      <c r="J3794" s="6">
        <v>111.5117</v>
      </c>
    </row>
    <row r="3795">
      <c r="A3795" s="1" t="s">
        <v>26</v>
      </c>
      <c r="B3795" s="1" t="s">
        <v>180</v>
      </c>
      <c r="C3795" s="1" t="s">
        <v>55</v>
      </c>
      <c r="D3795" s="6">
        <v>32.0</v>
      </c>
      <c r="E3795" s="6">
        <v>393225.0</v>
      </c>
      <c r="F3795" s="6">
        <v>0.0</v>
      </c>
      <c r="G3795" s="6">
        <v>4032.0</v>
      </c>
      <c r="H3795" s="6">
        <v>97.526</v>
      </c>
      <c r="I3795" s="6">
        <v>0.0</v>
      </c>
      <c r="J3795" s="6">
        <v>97.526</v>
      </c>
    </row>
    <row r="3796">
      <c r="A3796" s="1" t="s">
        <v>26</v>
      </c>
      <c r="B3796" s="1" t="s">
        <v>180</v>
      </c>
      <c r="C3796" s="1" t="s">
        <v>55</v>
      </c>
      <c r="D3796" s="6">
        <v>33.0</v>
      </c>
      <c r="E3796" s="6">
        <v>476508.0</v>
      </c>
      <c r="F3796" s="6">
        <v>0.0</v>
      </c>
      <c r="G3796" s="6">
        <v>4032.0</v>
      </c>
      <c r="H3796" s="6">
        <v>118.1815</v>
      </c>
      <c r="I3796" s="6">
        <v>0.0</v>
      </c>
      <c r="J3796" s="6">
        <v>118.1815</v>
      </c>
    </row>
    <row r="3797">
      <c r="A3797" s="1" t="s">
        <v>26</v>
      </c>
      <c r="B3797" s="1" t="s">
        <v>180</v>
      </c>
      <c r="C3797" s="1" t="s">
        <v>46</v>
      </c>
      <c r="D3797" s="6">
        <v>1.0</v>
      </c>
      <c r="E3797" s="6">
        <v>10772.0</v>
      </c>
      <c r="F3797" s="6">
        <v>0.0</v>
      </c>
      <c r="G3797" s="6">
        <v>3604.0</v>
      </c>
      <c r="H3797" s="6">
        <v>2.9889</v>
      </c>
      <c r="I3797" s="6">
        <v>0.0</v>
      </c>
      <c r="J3797" s="6">
        <v>2.9889</v>
      </c>
    </row>
    <row r="3798">
      <c r="A3798" s="1" t="s">
        <v>26</v>
      </c>
      <c r="B3798" s="1" t="s">
        <v>180</v>
      </c>
      <c r="C3798" s="1" t="s">
        <v>46</v>
      </c>
      <c r="D3798" s="6">
        <v>2.0</v>
      </c>
      <c r="E3798" s="6">
        <v>123682.0</v>
      </c>
      <c r="F3798" s="6">
        <v>0.0</v>
      </c>
      <c r="G3798" s="6">
        <v>3604.0</v>
      </c>
      <c r="H3798" s="6">
        <v>34.318</v>
      </c>
      <c r="I3798" s="6">
        <v>0.0</v>
      </c>
      <c r="J3798" s="6">
        <v>34.318</v>
      </c>
    </row>
    <row r="3799">
      <c r="A3799" s="1" t="s">
        <v>26</v>
      </c>
      <c r="B3799" s="1" t="s">
        <v>180</v>
      </c>
      <c r="C3799" s="1" t="s">
        <v>46</v>
      </c>
      <c r="D3799" s="6">
        <v>3.0</v>
      </c>
      <c r="E3799" s="6">
        <v>39705.0</v>
      </c>
      <c r="F3799" s="6">
        <v>0.0</v>
      </c>
      <c r="G3799" s="6">
        <v>3604.0</v>
      </c>
      <c r="H3799" s="6">
        <v>11.0169</v>
      </c>
      <c r="I3799" s="6">
        <v>0.0</v>
      </c>
      <c r="J3799" s="6">
        <v>11.0169</v>
      </c>
    </row>
    <row r="3800">
      <c r="A3800" s="1" t="s">
        <v>26</v>
      </c>
      <c r="B3800" s="1" t="s">
        <v>180</v>
      </c>
      <c r="C3800" s="1" t="s">
        <v>46</v>
      </c>
      <c r="D3800" s="6">
        <v>4.0</v>
      </c>
      <c r="E3800" s="6">
        <v>35597.0</v>
      </c>
      <c r="F3800" s="6">
        <v>0.0</v>
      </c>
      <c r="G3800" s="6">
        <v>3604.0</v>
      </c>
      <c r="H3800" s="6">
        <v>9.8771</v>
      </c>
      <c r="I3800" s="6">
        <v>0.0</v>
      </c>
      <c r="J3800" s="6">
        <v>9.8771</v>
      </c>
    </row>
    <row r="3801">
      <c r="A3801" s="1" t="s">
        <v>26</v>
      </c>
      <c r="B3801" s="1" t="s">
        <v>180</v>
      </c>
      <c r="C3801" s="1" t="s">
        <v>46</v>
      </c>
      <c r="D3801" s="6">
        <v>5.0</v>
      </c>
      <c r="E3801" s="6">
        <v>23535.0</v>
      </c>
      <c r="F3801" s="6">
        <v>0.0</v>
      </c>
      <c r="G3801" s="6">
        <v>3604.0</v>
      </c>
      <c r="H3801" s="6">
        <v>6.5302</v>
      </c>
      <c r="I3801" s="6">
        <v>0.0</v>
      </c>
      <c r="J3801" s="6">
        <v>6.5302</v>
      </c>
    </row>
    <row r="3802">
      <c r="A3802" s="1" t="s">
        <v>26</v>
      </c>
      <c r="B3802" s="1" t="s">
        <v>180</v>
      </c>
      <c r="C3802" s="1" t="s">
        <v>46</v>
      </c>
      <c r="D3802" s="6">
        <v>6.0</v>
      </c>
      <c r="E3802" s="6">
        <v>19044.0</v>
      </c>
      <c r="F3802" s="6">
        <v>0.0</v>
      </c>
      <c r="G3802" s="6">
        <v>3604.0</v>
      </c>
      <c r="H3802" s="6">
        <v>5.2841</v>
      </c>
      <c r="I3802" s="6">
        <v>0.0</v>
      </c>
      <c r="J3802" s="6">
        <v>5.2841</v>
      </c>
    </row>
    <row r="3803">
      <c r="A3803" s="1" t="s">
        <v>26</v>
      </c>
      <c r="B3803" s="1" t="s">
        <v>180</v>
      </c>
      <c r="C3803" s="1" t="s">
        <v>46</v>
      </c>
      <c r="D3803" s="6">
        <v>7.0</v>
      </c>
      <c r="E3803" s="6">
        <v>38500.0</v>
      </c>
      <c r="F3803" s="6">
        <v>0.0</v>
      </c>
      <c r="G3803" s="6">
        <v>3604.0</v>
      </c>
      <c r="H3803" s="6">
        <v>10.6826</v>
      </c>
      <c r="I3803" s="6">
        <v>0.0</v>
      </c>
      <c r="J3803" s="6">
        <v>10.6826</v>
      </c>
    </row>
    <row r="3804">
      <c r="A3804" s="1" t="s">
        <v>26</v>
      </c>
      <c r="B3804" s="1" t="s">
        <v>180</v>
      </c>
      <c r="C3804" s="1" t="s">
        <v>46</v>
      </c>
      <c r="D3804" s="6">
        <v>8.0</v>
      </c>
      <c r="E3804" s="6">
        <v>17923.0</v>
      </c>
      <c r="F3804" s="6">
        <v>0.0</v>
      </c>
      <c r="G3804" s="6">
        <v>3604.0</v>
      </c>
      <c r="H3804" s="6">
        <v>4.9731</v>
      </c>
      <c r="I3804" s="6">
        <v>0.0</v>
      </c>
      <c r="J3804" s="6">
        <v>4.9731</v>
      </c>
    </row>
    <row r="3805">
      <c r="A3805" s="1" t="s">
        <v>26</v>
      </c>
      <c r="B3805" s="1" t="s">
        <v>180</v>
      </c>
      <c r="C3805" s="1" t="s">
        <v>46</v>
      </c>
      <c r="D3805" s="6">
        <v>9.0</v>
      </c>
      <c r="E3805" s="6">
        <v>33470.0</v>
      </c>
      <c r="F3805" s="6">
        <v>0.0</v>
      </c>
      <c r="G3805" s="6">
        <v>3604.0</v>
      </c>
      <c r="H3805" s="6">
        <v>9.2869</v>
      </c>
      <c r="I3805" s="6">
        <v>0.0</v>
      </c>
      <c r="J3805" s="6">
        <v>9.2869</v>
      </c>
    </row>
    <row r="3806">
      <c r="A3806" s="1" t="s">
        <v>26</v>
      </c>
      <c r="B3806" s="1" t="s">
        <v>180</v>
      </c>
      <c r="C3806" s="1" t="s">
        <v>46</v>
      </c>
      <c r="D3806" s="6">
        <v>10.0</v>
      </c>
      <c r="E3806" s="6">
        <v>37547.0</v>
      </c>
      <c r="F3806" s="6">
        <v>0.0</v>
      </c>
      <c r="G3806" s="6">
        <v>3604.0</v>
      </c>
      <c r="H3806" s="6">
        <v>10.4181</v>
      </c>
      <c r="I3806" s="6">
        <v>0.0</v>
      </c>
      <c r="J3806" s="6">
        <v>10.4181</v>
      </c>
    </row>
    <row r="3807">
      <c r="A3807" s="1" t="s">
        <v>26</v>
      </c>
      <c r="B3807" s="1" t="s">
        <v>180</v>
      </c>
      <c r="C3807" s="1" t="s">
        <v>46</v>
      </c>
      <c r="D3807" s="6">
        <v>11.0</v>
      </c>
      <c r="E3807" s="6">
        <v>35265.0</v>
      </c>
      <c r="F3807" s="6">
        <v>0.0</v>
      </c>
      <c r="G3807" s="6">
        <v>3604.0</v>
      </c>
      <c r="H3807" s="6">
        <v>9.785</v>
      </c>
      <c r="I3807" s="6">
        <v>0.0</v>
      </c>
      <c r="J3807" s="6">
        <v>9.785</v>
      </c>
    </row>
    <row r="3808">
      <c r="A3808" s="1" t="s">
        <v>26</v>
      </c>
      <c r="B3808" s="1" t="s">
        <v>180</v>
      </c>
      <c r="C3808" s="1" t="s">
        <v>46</v>
      </c>
      <c r="D3808" s="6">
        <v>12.0</v>
      </c>
      <c r="E3808" s="6">
        <v>30172.0</v>
      </c>
      <c r="F3808" s="6">
        <v>0.0</v>
      </c>
      <c r="G3808" s="6">
        <v>3604.0</v>
      </c>
      <c r="H3808" s="6">
        <v>8.3718</v>
      </c>
      <c r="I3808" s="6">
        <v>0.0</v>
      </c>
      <c r="J3808" s="6">
        <v>8.3718</v>
      </c>
    </row>
    <row r="3809">
      <c r="A3809" s="1" t="s">
        <v>26</v>
      </c>
      <c r="B3809" s="1" t="s">
        <v>180</v>
      </c>
      <c r="C3809" s="1" t="s">
        <v>46</v>
      </c>
      <c r="D3809" s="6">
        <v>13.0</v>
      </c>
      <c r="E3809" s="6">
        <v>14430.0</v>
      </c>
      <c r="F3809" s="6">
        <v>0.0</v>
      </c>
      <c r="G3809" s="6">
        <v>3604.0</v>
      </c>
      <c r="H3809" s="6">
        <v>4.0039</v>
      </c>
      <c r="I3809" s="6">
        <v>0.0</v>
      </c>
      <c r="J3809" s="6">
        <v>4.0039</v>
      </c>
    </row>
    <row r="3810">
      <c r="A3810" s="1" t="s">
        <v>26</v>
      </c>
      <c r="B3810" s="1" t="s">
        <v>180</v>
      </c>
      <c r="C3810" s="1" t="s">
        <v>46</v>
      </c>
      <c r="D3810" s="6">
        <v>14.0</v>
      </c>
      <c r="E3810" s="6">
        <v>32464.0</v>
      </c>
      <c r="F3810" s="6">
        <v>0.0</v>
      </c>
      <c r="G3810" s="6">
        <v>3604.0</v>
      </c>
      <c r="H3810" s="6">
        <v>9.0078</v>
      </c>
      <c r="I3810" s="6">
        <v>0.0</v>
      </c>
      <c r="J3810" s="6">
        <v>9.0078</v>
      </c>
    </row>
    <row r="3811">
      <c r="A3811" s="1" t="s">
        <v>26</v>
      </c>
      <c r="B3811" s="1" t="s">
        <v>180</v>
      </c>
      <c r="C3811" s="1" t="s">
        <v>46</v>
      </c>
      <c r="D3811" s="6">
        <v>15.0</v>
      </c>
      <c r="E3811" s="6">
        <v>18782.0</v>
      </c>
      <c r="F3811" s="6">
        <v>0.0</v>
      </c>
      <c r="G3811" s="6">
        <v>3604.0</v>
      </c>
      <c r="H3811" s="6">
        <v>5.2114</v>
      </c>
      <c r="I3811" s="6">
        <v>0.0</v>
      </c>
      <c r="J3811" s="6">
        <v>5.2114</v>
      </c>
    </row>
    <row r="3812">
      <c r="A3812" s="1" t="s">
        <v>26</v>
      </c>
      <c r="B3812" s="1" t="s">
        <v>180</v>
      </c>
      <c r="C3812" s="1" t="s">
        <v>46</v>
      </c>
      <c r="D3812" s="6">
        <v>16.0</v>
      </c>
      <c r="E3812" s="6">
        <v>142527.0</v>
      </c>
      <c r="F3812" s="6">
        <v>0.0</v>
      </c>
      <c r="G3812" s="6">
        <v>3604.0</v>
      </c>
      <c r="H3812" s="6">
        <v>39.5469</v>
      </c>
      <c r="I3812" s="6">
        <v>0.0</v>
      </c>
      <c r="J3812" s="6">
        <v>39.5469</v>
      </c>
    </row>
    <row r="3813">
      <c r="A3813" s="1" t="s">
        <v>26</v>
      </c>
      <c r="B3813" s="1" t="s">
        <v>180</v>
      </c>
      <c r="C3813" s="1" t="s">
        <v>46</v>
      </c>
      <c r="D3813" s="6">
        <v>17.0</v>
      </c>
      <c r="E3813" s="6">
        <v>49921.0</v>
      </c>
      <c r="F3813" s="6">
        <v>0.0</v>
      </c>
      <c r="G3813" s="6">
        <v>3604.0</v>
      </c>
      <c r="H3813" s="6">
        <v>13.8516</v>
      </c>
      <c r="I3813" s="6">
        <v>0.0</v>
      </c>
      <c r="J3813" s="6">
        <v>13.8516</v>
      </c>
    </row>
    <row r="3814">
      <c r="A3814" s="1" t="s">
        <v>26</v>
      </c>
      <c r="B3814" s="1" t="s">
        <v>180</v>
      </c>
      <c r="C3814" s="1" t="s">
        <v>46</v>
      </c>
      <c r="D3814" s="6">
        <v>18.0</v>
      </c>
      <c r="E3814" s="6">
        <v>49052.0</v>
      </c>
      <c r="F3814" s="6">
        <v>0.0</v>
      </c>
      <c r="G3814" s="6">
        <v>3604.0</v>
      </c>
      <c r="H3814" s="6">
        <v>13.6104</v>
      </c>
      <c r="I3814" s="6">
        <v>0.0</v>
      </c>
      <c r="J3814" s="6">
        <v>13.6104</v>
      </c>
    </row>
    <row r="3815">
      <c r="A3815" s="1" t="s">
        <v>26</v>
      </c>
      <c r="B3815" s="1" t="s">
        <v>180</v>
      </c>
      <c r="C3815" s="1" t="s">
        <v>46</v>
      </c>
      <c r="D3815" s="6">
        <v>19.0</v>
      </c>
      <c r="E3815" s="6">
        <v>25927.0</v>
      </c>
      <c r="F3815" s="6">
        <v>0.0</v>
      </c>
      <c r="G3815" s="6">
        <v>3604.0</v>
      </c>
      <c r="H3815" s="6">
        <v>7.194</v>
      </c>
      <c r="I3815" s="6">
        <v>0.0</v>
      </c>
      <c r="J3815" s="6">
        <v>7.194</v>
      </c>
    </row>
    <row r="3816">
      <c r="A3816" s="1" t="s">
        <v>26</v>
      </c>
      <c r="B3816" s="1" t="s">
        <v>180</v>
      </c>
      <c r="C3816" s="1" t="s">
        <v>46</v>
      </c>
      <c r="D3816" s="6">
        <v>20.0</v>
      </c>
      <c r="E3816" s="6">
        <v>21151.0</v>
      </c>
      <c r="F3816" s="6">
        <v>0.0</v>
      </c>
      <c r="G3816" s="6">
        <v>3604.0</v>
      </c>
      <c r="H3816" s="6">
        <v>5.8688</v>
      </c>
      <c r="I3816" s="6">
        <v>0.0</v>
      </c>
      <c r="J3816" s="6">
        <v>5.8688</v>
      </c>
    </row>
    <row r="3817">
      <c r="A3817" s="1" t="s">
        <v>26</v>
      </c>
      <c r="B3817" s="1" t="s">
        <v>180</v>
      </c>
      <c r="C3817" s="1" t="s">
        <v>46</v>
      </c>
      <c r="D3817" s="6">
        <v>21.0</v>
      </c>
      <c r="E3817" s="6">
        <v>41572.0</v>
      </c>
      <c r="F3817" s="6">
        <v>0.0</v>
      </c>
      <c r="G3817" s="6">
        <v>3604.0</v>
      </c>
      <c r="H3817" s="6">
        <v>11.535</v>
      </c>
      <c r="I3817" s="6">
        <v>0.0</v>
      </c>
      <c r="J3817" s="6">
        <v>11.535</v>
      </c>
    </row>
    <row r="3818">
      <c r="A3818" s="1" t="s">
        <v>26</v>
      </c>
      <c r="B3818" s="1" t="s">
        <v>180</v>
      </c>
      <c r="C3818" s="1" t="s">
        <v>46</v>
      </c>
      <c r="D3818" s="6">
        <v>22.0</v>
      </c>
      <c r="E3818" s="6">
        <v>23227.0</v>
      </c>
      <c r="F3818" s="6">
        <v>0.0</v>
      </c>
      <c r="G3818" s="6">
        <v>3604.0</v>
      </c>
      <c r="H3818" s="6">
        <v>6.4448</v>
      </c>
      <c r="I3818" s="6">
        <v>0.0</v>
      </c>
      <c r="J3818" s="6">
        <v>6.4448</v>
      </c>
    </row>
    <row r="3819">
      <c r="A3819" s="1" t="s">
        <v>26</v>
      </c>
      <c r="B3819" s="1" t="s">
        <v>180</v>
      </c>
      <c r="C3819" s="1" t="s">
        <v>46</v>
      </c>
      <c r="D3819" s="6">
        <v>23.0</v>
      </c>
      <c r="E3819" s="6">
        <v>37094.0</v>
      </c>
      <c r="F3819" s="6">
        <v>0.0</v>
      </c>
      <c r="G3819" s="6">
        <v>3604.0</v>
      </c>
      <c r="H3819" s="6">
        <v>10.2925</v>
      </c>
      <c r="I3819" s="6">
        <v>0.0</v>
      </c>
      <c r="J3819" s="6">
        <v>10.2925</v>
      </c>
    </row>
    <row r="3820">
      <c r="A3820" s="1" t="s">
        <v>26</v>
      </c>
      <c r="B3820" s="1" t="s">
        <v>180</v>
      </c>
      <c r="C3820" s="1" t="s">
        <v>46</v>
      </c>
      <c r="D3820" s="6">
        <v>24.0</v>
      </c>
      <c r="E3820" s="6">
        <v>43212.0</v>
      </c>
      <c r="F3820" s="6">
        <v>0.0</v>
      </c>
      <c r="G3820" s="6">
        <v>3604.0</v>
      </c>
      <c r="H3820" s="6">
        <v>11.99</v>
      </c>
      <c r="I3820" s="6">
        <v>0.0</v>
      </c>
      <c r="J3820" s="6">
        <v>11.99</v>
      </c>
    </row>
    <row r="3821">
      <c r="A3821" s="1" t="s">
        <v>26</v>
      </c>
      <c r="B3821" s="1" t="s">
        <v>180</v>
      </c>
      <c r="C3821" s="1" t="s">
        <v>46</v>
      </c>
      <c r="D3821" s="6">
        <v>25.0</v>
      </c>
      <c r="E3821" s="6">
        <v>40060.0</v>
      </c>
      <c r="F3821" s="6">
        <v>0.0</v>
      </c>
      <c r="G3821" s="6">
        <v>3604.0</v>
      </c>
      <c r="H3821" s="6">
        <v>11.1154</v>
      </c>
      <c r="I3821" s="6">
        <v>0.0</v>
      </c>
      <c r="J3821" s="6">
        <v>11.1154</v>
      </c>
    </row>
    <row r="3822">
      <c r="A3822" s="1" t="s">
        <v>26</v>
      </c>
      <c r="B3822" s="1" t="s">
        <v>180</v>
      </c>
      <c r="C3822" s="1" t="s">
        <v>46</v>
      </c>
      <c r="D3822" s="6">
        <v>26.0</v>
      </c>
      <c r="E3822" s="6">
        <v>22968.0</v>
      </c>
      <c r="F3822" s="6">
        <v>0.0</v>
      </c>
      <c r="G3822" s="6">
        <v>3604.0</v>
      </c>
      <c r="H3822" s="6">
        <v>6.3729</v>
      </c>
      <c r="I3822" s="6">
        <v>0.0</v>
      </c>
      <c r="J3822" s="6">
        <v>6.3729</v>
      </c>
    </row>
    <row r="3823">
      <c r="A3823" s="1" t="s">
        <v>26</v>
      </c>
      <c r="B3823" s="1" t="s">
        <v>180</v>
      </c>
      <c r="C3823" s="1" t="s">
        <v>46</v>
      </c>
      <c r="D3823" s="6">
        <v>27.0</v>
      </c>
      <c r="E3823" s="6">
        <v>21309.0</v>
      </c>
      <c r="F3823" s="6">
        <v>0.0</v>
      </c>
      <c r="G3823" s="6">
        <v>3604.0</v>
      </c>
      <c r="H3823" s="6">
        <v>5.9126</v>
      </c>
      <c r="I3823" s="6">
        <v>0.0</v>
      </c>
      <c r="J3823" s="6">
        <v>5.9126</v>
      </c>
    </row>
    <row r="3824">
      <c r="A3824" s="1" t="s">
        <v>26</v>
      </c>
      <c r="B3824" s="1" t="s">
        <v>180</v>
      </c>
      <c r="C3824" s="1" t="s">
        <v>46</v>
      </c>
      <c r="D3824" s="6">
        <v>28.0</v>
      </c>
      <c r="E3824" s="6">
        <v>40496.0</v>
      </c>
      <c r="F3824" s="6">
        <v>0.0</v>
      </c>
      <c r="G3824" s="6">
        <v>3604.0</v>
      </c>
      <c r="H3824" s="6">
        <v>11.2364</v>
      </c>
      <c r="I3824" s="6">
        <v>0.0</v>
      </c>
      <c r="J3824" s="6">
        <v>11.2364</v>
      </c>
    </row>
    <row r="3825">
      <c r="A3825" s="1" t="s">
        <v>26</v>
      </c>
      <c r="B3825" s="1" t="s">
        <v>180</v>
      </c>
      <c r="C3825" s="1" t="s">
        <v>46</v>
      </c>
      <c r="D3825" s="6">
        <v>29.0</v>
      </c>
      <c r="E3825" s="6">
        <v>22595.0</v>
      </c>
      <c r="F3825" s="6">
        <v>0.0</v>
      </c>
      <c r="G3825" s="6">
        <v>3604.0</v>
      </c>
      <c r="H3825" s="6">
        <v>6.2694</v>
      </c>
      <c r="I3825" s="6">
        <v>0.0</v>
      </c>
      <c r="J3825" s="6">
        <v>6.2694</v>
      </c>
    </row>
    <row r="3826">
      <c r="A3826" s="1" t="s">
        <v>26</v>
      </c>
      <c r="B3826" s="1" t="s">
        <v>180</v>
      </c>
      <c r="C3826" s="1" t="s">
        <v>46</v>
      </c>
      <c r="D3826" s="6">
        <v>30.0</v>
      </c>
      <c r="E3826" s="6">
        <v>177694.0</v>
      </c>
      <c r="F3826" s="6">
        <v>0.0</v>
      </c>
      <c r="G3826" s="6">
        <v>3604.0</v>
      </c>
      <c r="H3826" s="6">
        <v>49.3047</v>
      </c>
      <c r="I3826" s="6">
        <v>0.0</v>
      </c>
      <c r="J3826" s="6">
        <v>49.3047</v>
      </c>
    </row>
    <row r="3827">
      <c r="A3827" s="1" t="s">
        <v>26</v>
      </c>
      <c r="B3827" s="1" t="s">
        <v>180</v>
      </c>
      <c r="C3827" s="1" t="s">
        <v>46</v>
      </c>
      <c r="D3827" s="6">
        <v>31.0</v>
      </c>
      <c r="E3827" s="6">
        <v>71012.0</v>
      </c>
      <c r="F3827" s="6">
        <v>0.0</v>
      </c>
      <c r="G3827" s="6">
        <v>3604.0</v>
      </c>
      <c r="H3827" s="6">
        <v>19.7037</v>
      </c>
      <c r="I3827" s="6">
        <v>0.0</v>
      </c>
      <c r="J3827" s="6">
        <v>19.7037</v>
      </c>
    </row>
    <row r="3828">
      <c r="A3828" s="1" t="s">
        <v>26</v>
      </c>
      <c r="B3828" s="1" t="s">
        <v>180</v>
      </c>
      <c r="C3828" s="1" t="s">
        <v>46</v>
      </c>
      <c r="D3828" s="6">
        <v>32.0</v>
      </c>
      <c r="E3828" s="6">
        <v>62062.0</v>
      </c>
      <c r="F3828" s="6">
        <v>0.0</v>
      </c>
      <c r="G3828" s="6">
        <v>3604.0</v>
      </c>
      <c r="H3828" s="6">
        <v>17.2203</v>
      </c>
      <c r="I3828" s="6">
        <v>0.0</v>
      </c>
      <c r="J3828" s="6">
        <v>17.2203</v>
      </c>
    </row>
    <row r="3829">
      <c r="A3829" s="1" t="s">
        <v>26</v>
      </c>
      <c r="B3829" s="1" t="s">
        <v>180</v>
      </c>
      <c r="C3829" s="1" t="s">
        <v>46</v>
      </c>
      <c r="D3829" s="6">
        <v>33.0</v>
      </c>
      <c r="E3829" s="6">
        <v>41804.0</v>
      </c>
      <c r="F3829" s="6">
        <v>0.0</v>
      </c>
      <c r="G3829" s="6">
        <v>3604.0</v>
      </c>
      <c r="H3829" s="6">
        <v>11.5993</v>
      </c>
      <c r="I3829" s="6">
        <v>0.0</v>
      </c>
      <c r="J3829" s="6">
        <v>11.5993</v>
      </c>
    </row>
    <row r="3830">
      <c r="A3830" s="1" t="s">
        <v>26</v>
      </c>
      <c r="B3830" s="1" t="s">
        <v>180</v>
      </c>
      <c r="C3830" s="1" t="s">
        <v>1213</v>
      </c>
      <c r="D3830" s="6">
        <v>1.0</v>
      </c>
      <c r="E3830" s="6">
        <v>15.0</v>
      </c>
      <c r="F3830" s="6">
        <v>0.0</v>
      </c>
      <c r="G3830" s="6">
        <v>645.0</v>
      </c>
      <c r="H3830" s="6">
        <v>0.0233</v>
      </c>
      <c r="I3830" s="6">
        <v>0.0</v>
      </c>
      <c r="J3830" s="6">
        <v>0.0233</v>
      </c>
    </row>
    <row r="3831">
      <c r="A3831" s="1" t="s">
        <v>26</v>
      </c>
      <c r="B3831" s="1" t="s">
        <v>180</v>
      </c>
      <c r="C3831" s="1" t="s">
        <v>1213</v>
      </c>
      <c r="D3831" s="6">
        <v>2.0</v>
      </c>
      <c r="E3831" s="6">
        <v>2815.0</v>
      </c>
      <c r="F3831" s="6">
        <v>0.0</v>
      </c>
      <c r="G3831" s="6">
        <v>645.0</v>
      </c>
      <c r="H3831" s="6">
        <v>4.3643</v>
      </c>
      <c r="I3831" s="6">
        <v>0.0</v>
      </c>
      <c r="J3831" s="6">
        <v>4.3643</v>
      </c>
    </row>
    <row r="3832">
      <c r="A3832" s="1" t="s">
        <v>26</v>
      </c>
      <c r="B3832" s="1" t="s">
        <v>180</v>
      </c>
      <c r="C3832" s="1" t="s">
        <v>1213</v>
      </c>
      <c r="D3832" s="6">
        <v>3.0</v>
      </c>
      <c r="E3832" s="6">
        <v>2460.0</v>
      </c>
      <c r="F3832" s="6">
        <v>0.0</v>
      </c>
      <c r="G3832" s="6">
        <v>645.0</v>
      </c>
      <c r="H3832" s="6">
        <v>3.814</v>
      </c>
      <c r="I3832" s="6">
        <v>0.0</v>
      </c>
      <c r="J3832" s="6">
        <v>3.814</v>
      </c>
    </row>
    <row r="3833">
      <c r="A3833" s="1" t="s">
        <v>26</v>
      </c>
      <c r="B3833" s="1" t="s">
        <v>180</v>
      </c>
      <c r="C3833" s="1" t="s">
        <v>1213</v>
      </c>
      <c r="D3833" s="6">
        <v>4.0</v>
      </c>
      <c r="E3833" s="6">
        <v>2090.0</v>
      </c>
      <c r="F3833" s="6">
        <v>0.0</v>
      </c>
      <c r="G3833" s="6">
        <v>645.0</v>
      </c>
      <c r="H3833" s="6">
        <v>3.2403</v>
      </c>
      <c r="I3833" s="6">
        <v>0.0</v>
      </c>
      <c r="J3833" s="6">
        <v>3.2403</v>
      </c>
    </row>
    <row r="3834">
      <c r="A3834" s="1" t="s">
        <v>26</v>
      </c>
      <c r="B3834" s="1" t="s">
        <v>180</v>
      </c>
      <c r="C3834" s="1" t="s">
        <v>1213</v>
      </c>
      <c r="D3834" s="6">
        <v>5.0</v>
      </c>
      <c r="E3834" s="6">
        <v>1820.0</v>
      </c>
      <c r="F3834" s="6">
        <v>0.0</v>
      </c>
      <c r="G3834" s="6">
        <v>645.0</v>
      </c>
      <c r="H3834" s="6">
        <v>2.8217</v>
      </c>
      <c r="I3834" s="6">
        <v>0.0</v>
      </c>
      <c r="J3834" s="6">
        <v>2.8217</v>
      </c>
    </row>
    <row r="3835">
      <c r="A3835" s="1" t="s">
        <v>26</v>
      </c>
      <c r="B3835" s="1" t="s">
        <v>180</v>
      </c>
      <c r="C3835" s="1" t="s">
        <v>1213</v>
      </c>
      <c r="D3835" s="6">
        <v>6.0</v>
      </c>
      <c r="E3835" s="6">
        <v>1750.0</v>
      </c>
      <c r="F3835" s="6">
        <v>0.0</v>
      </c>
      <c r="G3835" s="6">
        <v>645.0</v>
      </c>
      <c r="H3835" s="6">
        <v>2.7132</v>
      </c>
      <c r="I3835" s="6">
        <v>0.0</v>
      </c>
      <c r="J3835" s="6">
        <v>2.7132</v>
      </c>
    </row>
    <row r="3836">
      <c r="A3836" s="1" t="s">
        <v>26</v>
      </c>
      <c r="B3836" s="1" t="s">
        <v>180</v>
      </c>
      <c r="C3836" s="1" t="s">
        <v>1213</v>
      </c>
      <c r="D3836" s="6">
        <v>7.0</v>
      </c>
      <c r="E3836" s="6">
        <v>1735.0</v>
      </c>
      <c r="F3836" s="6">
        <v>0.0</v>
      </c>
      <c r="G3836" s="6">
        <v>645.0</v>
      </c>
      <c r="H3836" s="6">
        <v>2.6899</v>
      </c>
      <c r="I3836" s="6">
        <v>0.0</v>
      </c>
      <c r="J3836" s="6">
        <v>2.6899</v>
      </c>
    </row>
    <row r="3837">
      <c r="A3837" s="1" t="s">
        <v>26</v>
      </c>
      <c r="B3837" s="1" t="s">
        <v>180</v>
      </c>
      <c r="C3837" s="1" t="s">
        <v>1213</v>
      </c>
      <c r="D3837" s="6">
        <v>8.0</v>
      </c>
      <c r="E3837" s="6">
        <v>1560.0</v>
      </c>
      <c r="F3837" s="6">
        <v>0.0</v>
      </c>
      <c r="G3837" s="6">
        <v>645.0</v>
      </c>
      <c r="H3837" s="6">
        <v>2.4186</v>
      </c>
      <c r="I3837" s="6">
        <v>0.0</v>
      </c>
      <c r="J3837" s="6">
        <v>2.4186</v>
      </c>
    </row>
    <row r="3838">
      <c r="A3838" s="1" t="s">
        <v>26</v>
      </c>
      <c r="B3838" s="1" t="s">
        <v>180</v>
      </c>
      <c r="C3838" s="1" t="s">
        <v>1213</v>
      </c>
      <c r="D3838" s="6">
        <v>9.0</v>
      </c>
      <c r="E3838" s="6">
        <v>70.0</v>
      </c>
      <c r="F3838" s="6">
        <v>0.0</v>
      </c>
      <c r="G3838" s="6">
        <v>645.0</v>
      </c>
      <c r="H3838" s="6">
        <v>0.1085</v>
      </c>
      <c r="I3838" s="6">
        <v>0.0</v>
      </c>
      <c r="J3838" s="6">
        <v>0.1085</v>
      </c>
    </row>
    <row r="3839">
      <c r="A3839" s="1" t="s">
        <v>26</v>
      </c>
      <c r="B3839" s="1" t="s">
        <v>180</v>
      </c>
      <c r="C3839" s="1" t="s">
        <v>1213</v>
      </c>
      <c r="D3839" s="6">
        <v>10.0</v>
      </c>
      <c r="E3839" s="6">
        <v>0.0</v>
      </c>
      <c r="F3839" s="6">
        <v>0.0</v>
      </c>
      <c r="G3839" s="6">
        <v>645.0</v>
      </c>
      <c r="H3839" s="6">
        <v>0.0</v>
      </c>
      <c r="I3839" s="6">
        <v>0.0</v>
      </c>
      <c r="J3839" s="6">
        <v>0.0</v>
      </c>
    </row>
    <row r="3840">
      <c r="A3840" s="1" t="s">
        <v>26</v>
      </c>
      <c r="B3840" s="1" t="s">
        <v>180</v>
      </c>
      <c r="C3840" s="1" t="s">
        <v>1213</v>
      </c>
      <c r="D3840" s="6">
        <v>11.0</v>
      </c>
      <c r="E3840" s="6">
        <v>0.0</v>
      </c>
      <c r="F3840" s="6">
        <v>0.0</v>
      </c>
      <c r="G3840" s="6">
        <v>645.0</v>
      </c>
      <c r="H3840" s="6">
        <v>0.0</v>
      </c>
      <c r="I3840" s="6">
        <v>0.0</v>
      </c>
      <c r="J3840" s="6">
        <v>0.0</v>
      </c>
    </row>
    <row r="3841">
      <c r="A3841" s="1" t="s">
        <v>26</v>
      </c>
      <c r="B3841" s="1" t="s">
        <v>180</v>
      </c>
      <c r="C3841" s="1" t="s">
        <v>1213</v>
      </c>
      <c r="D3841" s="6">
        <v>12.0</v>
      </c>
      <c r="E3841" s="6">
        <v>0.0</v>
      </c>
      <c r="F3841" s="6">
        <v>0.0</v>
      </c>
      <c r="G3841" s="6">
        <v>645.0</v>
      </c>
      <c r="H3841" s="6">
        <v>0.0</v>
      </c>
      <c r="I3841" s="6">
        <v>0.0</v>
      </c>
      <c r="J3841" s="6">
        <v>0.0</v>
      </c>
    </row>
    <row r="3842">
      <c r="A3842" s="1" t="s">
        <v>26</v>
      </c>
      <c r="B3842" s="1" t="s">
        <v>180</v>
      </c>
      <c r="C3842" s="1" t="s">
        <v>1213</v>
      </c>
      <c r="D3842" s="6">
        <v>13.0</v>
      </c>
      <c r="E3842" s="6">
        <v>0.0</v>
      </c>
      <c r="F3842" s="6">
        <v>0.0</v>
      </c>
      <c r="G3842" s="6">
        <v>645.0</v>
      </c>
      <c r="H3842" s="6">
        <v>0.0</v>
      </c>
      <c r="I3842" s="6">
        <v>0.0</v>
      </c>
      <c r="J3842" s="6">
        <v>0.0</v>
      </c>
    </row>
    <row r="3843">
      <c r="A3843" s="1" t="s">
        <v>26</v>
      </c>
      <c r="B3843" s="1" t="s">
        <v>180</v>
      </c>
      <c r="C3843" s="1" t="s">
        <v>1213</v>
      </c>
      <c r="D3843" s="6">
        <v>14.0</v>
      </c>
      <c r="E3843" s="6">
        <v>0.0</v>
      </c>
      <c r="F3843" s="6">
        <v>0.0</v>
      </c>
      <c r="G3843" s="6">
        <v>645.0</v>
      </c>
      <c r="H3843" s="6">
        <v>0.0</v>
      </c>
      <c r="I3843" s="6">
        <v>0.0</v>
      </c>
      <c r="J3843" s="6">
        <v>0.0</v>
      </c>
    </row>
    <row r="3844">
      <c r="A3844" s="1" t="s">
        <v>26</v>
      </c>
      <c r="B3844" s="1" t="s">
        <v>180</v>
      </c>
      <c r="C3844" s="1" t="s">
        <v>1213</v>
      </c>
      <c r="D3844" s="6">
        <v>15.0</v>
      </c>
      <c r="E3844" s="6">
        <v>0.0</v>
      </c>
      <c r="F3844" s="6">
        <v>0.0</v>
      </c>
      <c r="G3844" s="6">
        <v>645.0</v>
      </c>
      <c r="H3844" s="6">
        <v>0.0</v>
      </c>
      <c r="I3844" s="6">
        <v>0.0</v>
      </c>
      <c r="J3844" s="6">
        <v>0.0</v>
      </c>
    </row>
    <row r="3845">
      <c r="A3845" s="1" t="s">
        <v>26</v>
      </c>
      <c r="B3845" s="1" t="s">
        <v>180</v>
      </c>
      <c r="C3845" s="1" t="s">
        <v>1213</v>
      </c>
      <c r="D3845" s="6">
        <v>16.0</v>
      </c>
      <c r="E3845" s="6">
        <v>3340.0</v>
      </c>
      <c r="F3845" s="6">
        <v>0.0</v>
      </c>
      <c r="G3845" s="6">
        <v>645.0</v>
      </c>
      <c r="H3845" s="6">
        <v>5.1783</v>
      </c>
      <c r="I3845" s="6">
        <v>0.0</v>
      </c>
      <c r="J3845" s="6">
        <v>5.1783</v>
      </c>
    </row>
    <row r="3846">
      <c r="A3846" s="1" t="s">
        <v>26</v>
      </c>
      <c r="B3846" s="1" t="s">
        <v>180</v>
      </c>
      <c r="C3846" s="1" t="s">
        <v>1213</v>
      </c>
      <c r="D3846" s="6">
        <v>17.0</v>
      </c>
      <c r="E3846" s="6">
        <v>2405.0</v>
      </c>
      <c r="F3846" s="6">
        <v>0.0</v>
      </c>
      <c r="G3846" s="6">
        <v>645.0</v>
      </c>
      <c r="H3846" s="6">
        <v>3.7287</v>
      </c>
      <c r="I3846" s="6">
        <v>0.0</v>
      </c>
      <c r="J3846" s="6">
        <v>3.7287</v>
      </c>
    </row>
    <row r="3847">
      <c r="A3847" s="1" t="s">
        <v>26</v>
      </c>
      <c r="B3847" s="1" t="s">
        <v>180</v>
      </c>
      <c r="C3847" s="1" t="s">
        <v>1213</v>
      </c>
      <c r="D3847" s="6">
        <v>18.0</v>
      </c>
      <c r="E3847" s="6">
        <v>2355.0</v>
      </c>
      <c r="F3847" s="6">
        <v>0.0</v>
      </c>
      <c r="G3847" s="6">
        <v>645.0</v>
      </c>
      <c r="H3847" s="6">
        <v>3.6512</v>
      </c>
      <c r="I3847" s="6">
        <v>0.0</v>
      </c>
      <c r="J3847" s="6">
        <v>3.6512</v>
      </c>
    </row>
    <row r="3848">
      <c r="A3848" s="1" t="s">
        <v>26</v>
      </c>
      <c r="B3848" s="1" t="s">
        <v>180</v>
      </c>
      <c r="C3848" s="1" t="s">
        <v>1213</v>
      </c>
      <c r="D3848" s="6">
        <v>19.0</v>
      </c>
      <c r="E3848" s="6">
        <v>2110.0</v>
      </c>
      <c r="F3848" s="6">
        <v>0.0</v>
      </c>
      <c r="G3848" s="6">
        <v>645.0</v>
      </c>
      <c r="H3848" s="6">
        <v>3.2713</v>
      </c>
      <c r="I3848" s="6">
        <v>0.0</v>
      </c>
      <c r="J3848" s="6">
        <v>3.2713</v>
      </c>
    </row>
    <row r="3849">
      <c r="A3849" s="1" t="s">
        <v>26</v>
      </c>
      <c r="B3849" s="1" t="s">
        <v>180</v>
      </c>
      <c r="C3849" s="1" t="s">
        <v>1213</v>
      </c>
      <c r="D3849" s="6">
        <v>20.0</v>
      </c>
      <c r="E3849" s="6">
        <v>1660.0</v>
      </c>
      <c r="F3849" s="6">
        <v>0.0</v>
      </c>
      <c r="G3849" s="6">
        <v>645.0</v>
      </c>
      <c r="H3849" s="6">
        <v>2.5736</v>
      </c>
      <c r="I3849" s="6">
        <v>0.0</v>
      </c>
      <c r="J3849" s="6">
        <v>2.5736</v>
      </c>
    </row>
    <row r="3850">
      <c r="A3850" s="1" t="s">
        <v>26</v>
      </c>
      <c r="B3850" s="1" t="s">
        <v>180</v>
      </c>
      <c r="C3850" s="1" t="s">
        <v>1213</v>
      </c>
      <c r="D3850" s="6">
        <v>21.0</v>
      </c>
      <c r="E3850" s="6">
        <v>1140.0</v>
      </c>
      <c r="F3850" s="6">
        <v>0.0</v>
      </c>
      <c r="G3850" s="6">
        <v>645.0</v>
      </c>
      <c r="H3850" s="6">
        <v>1.7674</v>
      </c>
      <c r="I3850" s="6">
        <v>0.0</v>
      </c>
      <c r="J3850" s="6">
        <v>1.7674</v>
      </c>
    </row>
    <row r="3851">
      <c r="A3851" s="1" t="s">
        <v>26</v>
      </c>
      <c r="B3851" s="1" t="s">
        <v>180</v>
      </c>
      <c r="C3851" s="1" t="s">
        <v>1213</v>
      </c>
      <c r="D3851" s="6">
        <v>22.0</v>
      </c>
      <c r="E3851" s="6">
        <v>1145.0</v>
      </c>
      <c r="F3851" s="6">
        <v>0.0</v>
      </c>
      <c r="G3851" s="6">
        <v>645.0</v>
      </c>
      <c r="H3851" s="6">
        <v>1.7752</v>
      </c>
      <c r="I3851" s="6">
        <v>0.0</v>
      </c>
      <c r="J3851" s="6">
        <v>1.7752</v>
      </c>
    </row>
    <row r="3852">
      <c r="A3852" s="1" t="s">
        <v>26</v>
      </c>
      <c r="B3852" s="1" t="s">
        <v>180</v>
      </c>
      <c r="C3852" s="1" t="s">
        <v>1213</v>
      </c>
      <c r="D3852" s="6">
        <v>23.0</v>
      </c>
      <c r="E3852" s="6">
        <v>45.0</v>
      </c>
      <c r="F3852" s="6">
        <v>0.0</v>
      </c>
      <c r="G3852" s="6">
        <v>645.0</v>
      </c>
      <c r="H3852" s="6">
        <v>0.0698</v>
      </c>
      <c r="I3852" s="6">
        <v>0.0</v>
      </c>
      <c r="J3852" s="6">
        <v>0.0698</v>
      </c>
    </row>
    <row r="3853">
      <c r="A3853" s="1" t="s">
        <v>26</v>
      </c>
      <c r="B3853" s="1" t="s">
        <v>180</v>
      </c>
      <c r="C3853" s="1" t="s">
        <v>1213</v>
      </c>
      <c r="D3853" s="6">
        <v>24.0</v>
      </c>
      <c r="E3853" s="6">
        <v>0.0</v>
      </c>
      <c r="F3853" s="6">
        <v>0.0</v>
      </c>
      <c r="G3853" s="6">
        <v>645.0</v>
      </c>
      <c r="H3853" s="6">
        <v>0.0</v>
      </c>
      <c r="I3853" s="6">
        <v>0.0</v>
      </c>
      <c r="J3853" s="6">
        <v>0.0</v>
      </c>
    </row>
    <row r="3854">
      <c r="A3854" s="1" t="s">
        <v>26</v>
      </c>
      <c r="B3854" s="1" t="s">
        <v>180</v>
      </c>
      <c r="C3854" s="1" t="s">
        <v>1213</v>
      </c>
      <c r="D3854" s="6">
        <v>25.0</v>
      </c>
      <c r="E3854" s="6">
        <v>0.0</v>
      </c>
      <c r="F3854" s="6">
        <v>0.0</v>
      </c>
      <c r="G3854" s="6">
        <v>645.0</v>
      </c>
      <c r="H3854" s="6">
        <v>0.0</v>
      </c>
      <c r="I3854" s="6">
        <v>0.0</v>
      </c>
      <c r="J3854" s="6">
        <v>0.0</v>
      </c>
    </row>
    <row r="3855">
      <c r="A3855" s="1" t="s">
        <v>26</v>
      </c>
      <c r="B3855" s="1" t="s">
        <v>180</v>
      </c>
      <c r="C3855" s="1" t="s">
        <v>1213</v>
      </c>
      <c r="D3855" s="6">
        <v>26.0</v>
      </c>
      <c r="E3855" s="6">
        <v>0.0</v>
      </c>
      <c r="F3855" s="6">
        <v>0.0</v>
      </c>
      <c r="G3855" s="6">
        <v>645.0</v>
      </c>
      <c r="H3855" s="6">
        <v>0.0</v>
      </c>
      <c r="I3855" s="6">
        <v>0.0</v>
      </c>
      <c r="J3855" s="6">
        <v>0.0</v>
      </c>
    </row>
    <row r="3856">
      <c r="A3856" s="1" t="s">
        <v>26</v>
      </c>
      <c r="B3856" s="1" t="s">
        <v>180</v>
      </c>
      <c r="C3856" s="1" t="s">
        <v>1213</v>
      </c>
      <c r="D3856" s="6">
        <v>27.0</v>
      </c>
      <c r="E3856" s="6">
        <v>0.0</v>
      </c>
      <c r="F3856" s="6">
        <v>0.0</v>
      </c>
      <c r="G3856" s="6">
        <v>645.0</v>
      </c>
      <c r="H3856" s="6">
        <v>0.0</v>
      </c>
      <c r="I3856" s="6">
        <v>0.0</v>
      </c>
      <c r="J3856" s="6">
        <v>0.0</v>
      </c>
    </row>
    <row r="3857">
      <c r="A3857" s="1" t="s">
        <v>26</v>
      </c>
      <c r="B3857" s="1" t="s">
        <v>180</v>
      </c>
      <c r="C3857" s="1" t="s">
        <v>1213</v>
      </c>
      <c r="D3857" s="6">
        <v>28.0</v>
      </c>
      <c r="E3857" s="6">
        <v>30.0</v>
      </c>
      <c r="F3857" s="6">
        <v>0.0</v>
      </c>
      <c r="G3857" s="6">
        <v>645.0</v>
      </c>
      <c r="H3857" s="6">
        <v>0.0465</v>
      </c>
      <c r="I3857" s="6">
        <v>0.0</v>
      </c>
      <c r="J3857" s="6">
        <v>0.0465</v>
      </c>
    </row>
    <row r="3858">
      <c r="A3858" s="1" t="s">
        <v>26</v>
      </c>
      <c r="B3858" s="1" t="s">
        <v>180</v>
      </c>
      <c r="C3858" s="1" t="s">
        <v>1213</v>
      </c>
      <c r="D3858" s="6">
        <v>29.0</v>
      </c>
      <c r="E3858" s="6">
        <v>15.0</v>
      </c>
      <c r="F3858" s="6">
        <v>0.0</v>
      </c>
      <c r="G3858" s="6">
        <v>645.0</v>
      </c>
      <c r="H3858" s="6">
        <v>0.0233</v>
      </c>
      <c r="I3858" s="6">
        <v>0.0</v>
      </c>
      <c r="J3858" s="6">
        <v>0.0233</v>
      </c>
    </row>
    <row r="3859">
      <c r="A3859" s="1" t="s">
        <v>26</v>
      </c>
      <c r="B3859" s="1" t="s">
        <v>180</v>
      </c>
      <c r="C3859" s="1" t="s">
        <v>1213</v>
      </c>
      <c r="D3859" s="6">
        <v>30.0</v>
      </c>
      <c r="E3859" s="6">
        <v>3800.0</v>
      </c>
      <c r="F3859" s="6">
        <v>0.0</v>
      </c>
      <c r="G3859" s="6">
        <v>645.0</v>
      </c>
      <c r="H3859" s="6">
        <v>5.8915</v>
      </c>
      <c r="I3859" s="6">
        <v>0.0</v>
      </c>
      <c r="J3859" s="6">
        <v>5.8915</v>
      </c>
    </row>
    <row r="3860">
      <c r="A3860" s="1" t="s">
        <v>26</v>
      </c>
      <c r="B3860" s="1" t="s">
        <v>180</v>
      </c>
      <c r="C3860" s="1" t="s">
        <v>1213</v>
      </c>
      <c r="D3860" s="6">
        <v>31.0</v>
      </c>
      <c r="E3860" s="6">
        <v>2625.0</v>
      </c>
      <c r="F3860" s="6">
        <v>0.0</v>
      </c>
      <c r="G3860" s="6">
        <v>645.0</v>
      </c>
      <c r="H3860" s="6">
        <v>4.0698</v>
      </c>
      <c r="I3860" s="6">
        <v>0.0</v>
      </c>
      <c r="J3860" s="6">
        <v>4.0698</v>
      </c>
    </row>
    <row r="3861">
      <c r="A3861" s="1" t="s">
        <v>26</v>
      </c>
      <c r="B3861" s="1" t="s">
        <v>180</v>
      </c>
      <c r="C3861" s="1" t="s">
        <v>1213</v>
      </c>
      <c r="D3861" s="6">
        <v>32.0</v>
      </c>
      <c r="E3861" s="6">
        <v>2845.0</v>
      </c>
      <c r="F3861" s="6">
        <v>0.0</v>
      </c>
      <c r="G3861" s="6">
        <v>645.0</v>
      </c>
      <c r="H3861" s="6">
        <v>4.4109</v>
      </c>
      <c r="I3861" s="6">
        <v>0.0</v>
      </c>
      <c r="J3861" s="6">
        <v>4.4109</v>
      </c>
    </row>
    <row r="3862">
      <c r="A3862" s="1" t="s">
        <v>26</v>
      </c>
      <c r="B3862" s="1" t="s">
        <v>180</v>
      </c>
      <c r="C3862" s="1" t="s">
        <v>1213</v>
      </c>
      <c r="D3862" s="6">
        <v>33.0</v>
      </c>
      <c r="E3862" s="6">
        <v>2170.0</v>
      </c>
      <c r="F3862" s="6">
        <v>0.0</v>
      </c>
      <c r="G3862" s="6">
        <v>645.0</v>
      </c>
      <c r="H3862" s="6">
        <v>3.3643</v>
      </c>
      <c r="I3862" s="6">
        <v>0.0</v>
      </c>
      <c r="J3862" s="6">
        <v>3.3643</v>
      </c>
    </row>
    <row r="3863">
      <c r="A3863" s="1" t="s">
        <v>26</v>
      </c>
      <c r="B3863" s="1" t="s">
        <v>1192</v>
      </c>
      <c r="C3863" s="1" t="s">
        <v>1205</v>
      </c>
      <c r="D3863" s="6">
        <v>1.0</v>
      </c>
      <c r="E3863" s="6">
        <v>267402.0</v>
      </c>
      <c r="F3863" s="6">
        <v>278500.0</v>
      </c>
      <c r="G3863" s="6">
        <v>1889.0</v>
      </c>
      <c r="H3863" s="6">
        <v>141.5574</v>
      </c>
      <c r="I3863" s="6">
        <v>147.4325</v>
      </c>
      <c r="J3863" s="6">
        <v>-5.8751</v>
      </c>
    </row>
    <row r="3864">
      <c r="A3864" s="1" t="s">
        <v>26</v>
      </c>
      <c r="B3864" s="1" t="s">
        <v>1192</v>
      </c>
      <c r="C3864" s="1" t="s">
        <v>1205</v>
      </c>
      <c r="D3864" s="6">
        <v>2.0</v>
      </c>
      <c r="E3864" s="6">
        <v>306925.0</v>
      </c>
      <c r="F3864" s="6">
        <v>307250.0</v>
      </c>
      <c r="G3864" s="6">
        <v>1889.0</v>
      </c>
      <c r="H3864" s="6">
        <v>162.4801</v>
      </c>
      <c r="I3864" s="6">
        <v>162.6522</v>
      </c>
      <c r="J3864" s="6">
        <v>-0.172</v>
      </c>
    </row>
    <row r="3865">
      <c r="A3865" s="1" t="s">
        <v>26</v>
      </c>
      <c r="B3865" s="1" t="s">
        <v>1192</v>
      </c>
      <c r="C3865" s="1" t="s">
        <v>1205</v>
      </c>
      <c r="D3865" s="6">
        <v>3.0</v>
      </c>
      <c r="E3865" s="6">
        <v>325269.0</v>
      </c>
      <c r="F3865" s="6">
        <v>327650.0</v>
      </c>
      <c r="G3865" s="6">
        <v>1889.0</v>
      </c>
      <c r="H3865" s="6">
        <v>172.1911</v>
      </c>
      <c r="I3865" s="6">
        <v>173.4516</v>
      </c>
      <c r="J3865" s="6">
        <v>-1.2605</v>
      </c>
    </row>
    <row r="3866">
      <c r="A3866" s="1" t="s">
        <v>26</v>
      </c>
      <c r="B3866" s="1" t="s">
        <v>1192</v>
      </c>
      <c r="C3866" s="1" t="s">
        <v>1205</v>
      </c>
      <c r="D3866" s="6">
        <v>4.0</v>
      </c>
      <c r="E3866" s="6">
        <v>333870.0</v>
      </c>
      <c r="F3866" s="6">
        <v>340250.0</v>
      </c>
      <c r="G3866" s="6">
        <v>1889.0</v>
      </c>
      <c r="H3866" s="6">
        <v>176.7443</v>
      </c>
      <c r="I3866" s="6">
        <v>180.1218</v>
      </c>
      <c r="J3866" s="6">
        <v>-3.3774</v>
      </c>
    </row>
    <row r="3867">
      <c r="A3867" s="1" t="s">
        <v>26</v>
      </c>
      <c r="B3867" s="1" t="s">
        <v>1192</v>
      </c>
      <c r="C3867" s="1" t="s">
        <v>1205</v>
      </c>
      <c r="D3867" s="6">
        <v>5.0</v>
      </c>
      <c r="E3867" s="6">
        <v>369580.0</v>
      </c>
      <c r="F3867" s="6">
        <v>380600.0</v>
      </c>
      <c r="G3867" s="6">
        <v>1889.0</v>
      </c>
      <c r="H3867" s="6">
        <v>195.6485</v>
      </c>
      <c r="I3867" s="6">
        <v>201.4823</v>
      </c>
      <c r="J3867" s="6">
        <v>-5.8338</v>
      </c>
    </row>
    <row r="3868">
      <c r="A3868" s="1" t="s">
        <v>26</v>
      </c>
      <c r="B3868" s="1" t="s">
        <v>1192</v>
      </c>
      <c r="C3868" s="1" t="s">
        <v>1205</v>
      </c>
      <c r="D3868" s="6">
        <v>6.0</v>
      </c>
      <c r="E3868" s="6">
        <v>361321.0</v>
      </c>
      <c r="F3868" s="6">
        <v>388100.0</v>
      </c>
      <c r="G3868" s="6">
        <v>1889.0</v>
      </c>
      <c r="H3868" s="6">
        <v>191.2763</v>
      </c>
      <c r="I3868" s="6">
        <v>205.4526</v>
      </c>
      <c r="J3868" s="6">
        <v>-14.1763</v>
      </c>
    </row>
    <row r="3869">
      <c r="A3869" s="1" t="s">
        <v>26</v>
      </c>
      <c r="B3869" s="1" t="s">
        <v>1192</v>
      </c>
      <c r="C3869" s="1" t="s">
        <v>1205</v>
      </c>
      <c r="D3869" s="6">
        <v>7.0</v>
      </c>
      <c r="E3869" s="6">
        <v>379038.0</v>
      </c>
      <c r="F3869" s="6">
        <v>383750.0</v>
      </c>
      <c r="G3869" s="6">
        <v>1889.0</v>
      </c>
      <c r="H3869" s="6">
        <v>200.6554</v>
      </c>
      <c r="I3869" s="6">
        <v>203.1498</v>
      </c>
      <c r="J3869" s="6">
        <v>-2.4944</v>
      </c>
    </row>
    <row r="3870">
      <c r="A3870" s="1" t="s">
        <v>26</v>
      </c>
      <c r="B3870" s="1" t="s">
        <v>1192</v>
      </c>
      <c r="C3870" s="1" t="s">
        <v>1205</v>
      </c>
      <c r="D3870" s="6">
        <v>8.0</v>
      </c>
      <c r="E3870" s="6">
        <v>337021.0</v>
      </c>
      <c r="F3870" s="6">
        <v>368400.0</v>
      </c>
      <c r="G3870" s="6">
        <v>1889.0</v>
      </c>
      <c r="H3870" s="6">
        <v>178.4124</v>
      </c>
      <c r="I3870" s="6">
        <v>195.0238</v>
      </c>
      <c r="J3870" s="6">
        <v>-16.6114</v>
      </c>
    </row>
    <row r="3871">
      <c r="A3871" s="1" t="s">
        <v>26</v>
      </c>
      <c r="B3871" s="1" t="s">
        <v>1192</v>
      </c>
      <c r="C3871" s="1" t="s">
        <v>1205</v>
      </c>
      <c r="D3871" s="6">
        <v>9.0</v>
      </c>
      <c r="E3871" s="6">
        <v>344511.0</v>
      </c>
      <c r="F3871" s="6">
        <v>355950.0</v>
      </c>
      <c r="G3871" s="6">
        <v>1889.0</v>
      </c>
      <c r="H3871" s="6">
        <v>182.3774</v>
      </c>
      <c r="I3871" s="6">
        <v>188.433</v>
      </c>
      <c r="J3871" s="6">
        <v>-6.0556</v>
      </c>
    </row>
    <row r="3872">
      <c r="A3872" s="1" t="s">
        <v>26</v>
      </c>
      <c r="B3872" s="1" t="s">
        <v>1192</v>
      </c>
      <c r="C3872" s="1" t="s">
        <v>1205</v>
      </c>
      <c r="D3872" s="6">
        <v>10.0</v>
      </c>
      <c r="E3872" s="6">
        <v>359400.0</v>
      </c>
      <c r="F3872" s="6">
        <v>377100.0</v>
      </c>
      <c r="G3872" s="6">
        <v>1889.0</v>
      </c>
      <c r="H3872" s="6">
        <v>190.2594</v>
      </c>
      <c r="I3872" s="6">
        <v>199.6294</v>
      </c>
      <c r="J3872" s="6">
        <v>-9.37</v>
      </c>
    </row>
    <row r="3873">
      <c r="A3873" s="1" t="s">
        <v>26</v>
      </c>
      <c r="B3873" s="1" t="s">
        <v>1192</v>
      </c>
      <c r="C3873" s="1" t="s">
        <v>1205</v>
      </c>
      <c r="D3873" s="6">
        <v>11.0</v>
      </c>
      <c r="E3873" s="6">
        <v>406993.0</v>
      </c>
      <c r="F3873" s="6">
        <v>411750.0</v>
      </c>
      <c r="G3873" s="6">
        <v>1889.0</v>
      </c>
      <c r="H3873" s="6">
        <v>215.4542</v>
      </c>
      <c r="I3873" s="6">
        <v>217.9725</v>
      </c>
      <c r="J3873" s="6">
        <v>-2.5183</v>
      </c>
    </row>
    <row r="3874">
      <c r="A3874" s="1" t="s">
        <v>26</v>
      </c>
      <c r="B3874" s="1" t="s">
        <v>1192</v>
      </c>
      <c r="C3874" s="1" t="s">
        <v>1205</v>
      </c>
      <c r="D3874" s="6">
        <v>12.0</v>
      </c>
      <c r="E3874" s="6">
        <v>351827.0</v>
      </c>
      <c r="F3874" s="6">
        <v>396800.0</v>
      </c>
      <c r="G3874" s="6">
        <v>1889.0</v>
      </c>
      <c r="H3874" s="6">
        <v>186.2504</v>
      </c>
      <c r="I3874" s="6">
        <v>210.0582</v>
      </c>
      <c r="J3874" s="6">
        <v>-23.8078</v>
      </c>
    </row>
    <row r="3875">
      <c r="A3875" s="1" t="s">
        <v>26</v>
      </c>
      <c r="B3875" s="1" t="s">
        <v>1192</v>
      </c>
      <c r="C3875" s="1" t="s">
        <v>1205</v>
      </c>
      <c r="D3875" s="6">
        <v>13.0</v>
      </c>
      <c r="E3875" s="6">
        <v>414754.0</v>
      </c>
      <c r="F3875" s="6">
        <v>420200.0</v>
      </c>
      <c r="G3875" s="6">
        <v>1889.0</v>
      </c>
      <c r="H3875" s="6">
        <v>219.5627</v>
      </c>
      <c r="I3875" s="6">
        <v>222.4457</v>
      </c>
      <c r="J3875" s="6">
        <v>-2.883</v>
      </c>
    </row>
    <row r="3876">
      <c r="A3876" s="1" t="s">
        <v>26</v>
      </c>
      <c r="B3876" s="1" t="s">
        <v>1192</v>
      </c>
      <c r="C3876" s="1" t="s">
        <v>1205</v>
      </c>
      <c r="D3876" s="6">
        <v>14.0</v>
      </c>
      <c r="E3876" s="6">
        <v>395096.0</v>
      </c>
      <c r="F3876" s="6">
        <v>413900.0</v>
      </c>
      <c r="G3876" s="6">
        <v>1889.0</v>
      </c>
      <c r="H3876" s="6">
        <v>209.1562</v>
      </c>
      <c r="I3876" s="6">
        <v>219.1106</v>
      </c>
      <c r="J3876" s="6">
        <v>-9.9545</v>
      </c>
    </row>
    <row r="3877">
      <c r="A3877" s="1" t="s">
        <v>26</v>
      </c>
      <c r="B3877" s="1" t="s">
        <v>1192</v>
      </c>
      <c r="C3877" s="1" t="s">
        <v>1205</v>
      </c>
      <c r="D3877" s="6">
        <v>15.0</v>
      </c>
      <c r="E3877" s="6">
        <v>353667.0</v>
      </c>
      <c r="F3877" s="6">
        <v>396650.0</v>
      </c>
      <c r="G3877" s="6">
        <v>1889.0</v>
      </c>
      <c r="H3877" s="6">
        <v>187.2245</v>
      </c>
      <c r="I3877" s="6">
        <v>209.9788</v>
      </c>
      <c r="J3877" s="6">
        <v>-22.7544</v>
      </c>
    </row>
    <row r="3878">
      <c r="A3878" s="1" t="s">
        <v>26</v>
      </c>
      <c r="B3878" s="1" t="s">
        <v>1192</v>
      </c>
      <c r="C3878" s="1" t="s">
        <v>1205</v>
      </c>
      <c r="D3878" s="6">
        <v>16.0</v>
      </c>
      <c r="E3878" s="6">
        <v>380373.0</v>
      </c>
      <c r="F3878" s="6">
        <v>372450.0</v>
      </c>
      <c r="G3878" s="6">
        <v>1889.0</v>
      </c>
      <c r="H3878" s="6">
        <v>201.3621</v>
      </c>
      <c r="I3878" s="6">
        <v>197.1678</v>
      </c>
      <c r="J3878" s="6">
        <v>4.1943</v>
      </c>
    </row>
    <row r="3879">
      <c r="A3879" s="1" t="s">
        <v>26</v>
      </c>
      <c r="B3879" s="1" t="s">
        <v>1192</v>
      </c>
      <c r="C3879" s="1" t="s">
        <v>1205</v>
      </c>
      <c r="D3879" s="6">
        <v>17.0</v>
      </c>
      <c r="E3879" s="6">
        <v>347087.0</v>
      </c>
      <c r="F3879" s="6">
        <v>385950.0</v>
      </c>
      <c r="G3879" s="6">
        <v>1889.0</v>
      </c>
      <c r="H3879" s="6">
        <v>183.7411</v>
      </c>
      <c r="I3879" s="6">
        <v>204.3145</v>
      </c>
      <c r="J3879" s="6">
        <v>-20.5733</v>
      </c>
    </row>
    <row r="3880">
      <c r="A3880" s="1" t="s">
        <v>26</v>
      </c>
      <c r="B3880" s="1" t="s">
        <v>1192</v>
      </c>
      <c r="C3880" s="1" t="s">
        <v>1205</v>
      </c>
      <c r="D3880" s="6">
        <v>18.0</v>
      </c>
      <c r="E3880" s="6">
        <v>381854.0</v>
      </c>
      <c r="F3880" s="6">
        <v>367250.0</v>
      </c>
      <c r="G3880" s="6">
        <v>1889.0</v>
      </c>
      <c r="H3880" s="6">
        <v>202.1461</v>
      </c>
      <c r="I3880" s="6">
        <v>194.415</v>
      </c>
      <c r="J3880" s="6">
        <v>7.7311</v>
      </c>
    </row>
    <row r="3881">
      <c r="A3881" s="1" t="s">
        <v>26</v>
      </c>
      <c r="B3881" s="1" t="s">
        <v>1192</v>
      </c>
      <c r="C3881" s="1" t="s">
        <v>1205</v>
      </c>
      <c r="D3881" s="6">
        <v>19.0</v>
      </c>
      <c r="E3881" s="6">
        <v>404595.0</v>
      </c>
      <c r="F3881" s="6">
        <v>453150.0</v>
      </c>
      <c r="G3881" s="6">
        <v>1889.0</v>
      </c>
      <c r="H3881" s="6">
        <v>214.1848</v>
      </c>
      <c r="I3881" s="6">
        <v>239.8888</v>
      </c>
      <c r="J3881" s="6">
        <v>-25.7041</v>
      </c>
    </row>
    <row r="3882">
      <c r="A3882" s="1" t="s">
        <v>26</v>
      </c>
      <c r="B3882" s="1" t="s">
        <v>1192</v>
      </c>
      <c r="C3882" s="1" t="s">
        <v>1205</v>
      </c>
      <c r="D3882" s="6">
        <v>20.0</v>
      </c>
      <c r="E3882" s="6">
        <v>482833.0</v>
      </c>
      <c r="F3882" s="6">
        <v>466550.0</v>
      </c>
      <c r="G3882" s="6">
        <v>1889.0</v>
      </c>
      <c r="H3882" s="6">
        <v>255.6024</v>
      </c>
      <c r="I3882" s="6">
        <v>246.9825</v>
      </c>
      <c r="J3882" s="6">
        <v>8.6199</v>
      </c>
    </row>
    <row r="3883">
      <c r="A3883" s="1" t="s">
        <v>26</v>
      </c>
      <c r="B3883" s="1" t="s">
        <v>1192</v>
      </c>
      <c r="C3883" s="1" t="s">
        <v>1205</v>
      </c>
      <c r="D3883" s="6">
        <v>21.0</v>
      </c>
      <c r="E3883" s="6">
        <v>531688.0</v>
      </c>
      <c r="F3883" s="6">
        <v>489400.0</v>
      </c>
      <c r="G3883" s="6">
        <v>1889.0</v>
      </c>
      <c r="H3883" s="6">
        <v>281.4653</v>
      </c>
      <c r="I3883" s="6">
        <v>259.0789</v>
      </c>
      <c r="J3883" s="6">
        <v>22.3864</v>
      </c>
    </row>
    <row r="3884">
      <c r="A3884" s="1" t="s">
        <v>26</v>
      </c>
      <c r="B3884" s="1" t="s">
        <v>1192</v>
      </c>
      <c r="C3884" s="1" t="s">
        <v>1205</v>
      </c>
      <c r="D3884" s="6">
        <v>22.0</v>
      </c>
      <c r="E3884" s="6">
        <v>393747.0</v>
      </c>
      <c r="F3884" s="6">
        <v>422450.0</v>
      </c>
      <c r="G3884" s="6">
        <v>1889.0</v>
      </c>
      <c r="H3884" s="6">
        <v>208.442</v>
      </c>
      <c r="I3884" s="6">
        <v>223.6368</v>
      </c>
      <c r="J3884" s="6">
        <v>-15.1948</v>
      </c>
    </row>
    <row r="3885">
      <c r="A3885" s="1" t="s">
        <v>26</v>
      </c>
      <c r="B3885" s="1" t="s">
        <v>1192</v>
      </c>
      <c r="C3885" s="1" t="s">
        <v>1205</v>
      </c>
      <c r="D3885" s="6">
        <v>23.0</v>
      </c>
      <c r="E3885" s="6">
        <v>425322.0</v>
      </c>
      <c r="F3885" s="6">
        <v>448700.0</v>
      </c>
      <c r="G3885" s="6">
        <v>1889.0</v>
      </c>
      <c r="H3885" s="6">
        <v>225.1572</v>
      </c>
      <c r="I3885" s="6">
        <v>237.5331</v>
      </c>
      <c r="J3885" s="6">
        <v>-12.3759</v>
      </c>
    </row>
    <row r="3886">
      <c r="A3886" s="1" t="s">
        <v>26</v>
      </c>
      <c r="B3886" s="1" t="s">
        <v>1192</v>
      </c>
      <c r="C3886" s="1" t="s">
        <v>1205</v>
      </c>
      <c r="D3886" s="6">
        <v>24.0</v>
      </c>
      <c r="E3886" s="6">
        <v>412438.0</v>
      </c>
      <c r="F3886" s="6">
        <v>433000.0</v>
      </c>
      <c r="G3886" s="6">
        <v>1889.0</v>
      </c>
      <c r="H3886" s="6">
        <v>218.3367</v>
      </c>
      <c r="I3886" s="6">
        <v>229.2218</v>
      </c>
      <c r="J3886" s="6">
        <v>-10.8851</v>
      </c>
    </row>
    <row r="3887">
      <c r="A3887" s="1" t="s">
        <v>26</v>
      </c>
      <c r="B3887" s="1" t="s">
        <v>1192</v>
      </c>
      <c r="C3887" s="1" t="s">
        <v>1205</v>
      </c>
      <c r="D3887" s="6">
        <v>25.0</v>
      </c>
      <c r="E3887" s="6">
        <v>447976.0</v>
      </c>
      <c r="F3887" s="6">
        <v>441350.0</v>
      </c>
      <c r="G3887" s="6">
        <v>1889.0</v>
      </c>
      <c r="H3887" s="6">
        <v>237.1498</v>
      </c>
      <c r="I3887" s="6">
        <v>233.6421</v>
      </c>
      <c r="J3887" s="6">
        <v>3.5077</v>
      </c>
    </row>
    <row r="3888">
      <c r="A3888" s="1" t="s">
        <v>26</v>
      </c>
      <c r="B3888" s="1" t="s">
        <v>1192</v>
      </c>
      <c r="C3888" s="1" t="s">
        <v>1205</v>
      </c>
      <c r="D3888" s="6">
        <v>26.0</v>
      </c>
      <c r="E3888" s="6">
        <v>458640.0</v>
      </c>
      <c r="F3888" s="6">
        <v>520550.0</v>
      </c>
      <c r="G3888" s="6">
        <v>1889.0</v>
      </c>
      <c r="H3888" s="6">
        <v>242.7951</v>
      </c>
      <c r="I3888" s="6">
        <v>275.5691</v>
      </c>
      <c r="J3888" s="6">
        <v>-32.774</v>
      </c>
    </row>
    <row r="3889">
      <c r="A3889" s="1" t="s">
        <v>26</v>
      </c>
      <c r="B3889" s="1" t="s">
        <v>1192</v>
      </c>
      <c r="C3889" s="1" t="s">
        <v>1205</v>
      </c>
      <c r="D3889" s="6">
        <v>27.0</v>
      </c>
      <c r="E3889" s="6">
        <v>503555.0</v>
      </c>
      <c r="F3889" s="6">
        <v>512850.0</v>
      </c>
      <c r="G3889" s="6">
        <v>1889.0</v>
      </c>
      <c r="H3889" s="6">
        <v>266.5723</v>
      </c>
      <c r="I3889" s="6">
        <v>271.4929</v>
      </c>
      <c r="J3889" s="6">
        <v>-4.9206</v>
      </c>
    </row>
    <row r="3890">
      <c r="A3890" s="1" t="s">
        <v>26</v>
      </c>
      <c r="B3890" s="1" t="s">
        <v>1192</v>
      </c>
      <c r="C3890" s="1" t="s">
        <v>1205</v>
      </c>
      <c r="D3890" s="6">
        <v>28.0</v>
      </c>
      <c r="E3890" s="6">
        <v>463285.0</v>
      </c>
      <c r="F3890" s="6">
        <v>465450.0</v>
      </c>
      <c r="G3890" s="6">
        <v>1889.0</v>
      </c>
      <c r="H3890" s="6">
        <v>245.2541</v>
      </c>
      <c r="I3890" s="6">
        <v>246.4002</v>
      </c>
      <c r="J3890" s="6">
        <v>-1.1461</v>
      </c>
    </row>
    <row r="3891">
      <c r="A3891" s="1" t="s">
        <v>26</v>
      </c>
      <c r="B3891" s="1" t="s">
        <v>1192</v>
      </c>
      <c r="C3891" s="1" t="s">
        <v>1205</v>
      </c>
      <c r="D3891" s="6">
        <v>29.0</v>
      </c>
      <c r="E3891" s="6">
        <v>420618.0</v>
      </c>
      <c r="F3891" s="6">
        <v>459900.0</v>
      </c>
      <c r="G3891" s="6">
        <v>1889.0</v>
      </c>
      <c r="H3891" s="6">
        <v>222.667</v>
      </c>
      <c r="I3891" s="6">
        <v>243.4621</v>
      </c>
      <c r="J3891" s="6">
        <v>-20.7951</v>
      </c>
    </row>
    <row r="3892">
      <c r="A3892" s="1" t="s">
        <v>26</v>
      </c>
      <c r="B3892" s="1" t="s">
        <v>1192</v>
      </c>
      <c r="C3892" s="1" t="s">
        <v>1205</v>
      </c>
      <c r="D3892" s="6">
        <v>30.0</v>
      </c>
      <c r="E3892" s="6">
        <v>508029.0</v>
      </c>
      <c r="F3892" s="6">
        <v>487950.0</v>
      </c>
      <c r="G3892" s="6">
        <v>1889.0</v>
      </c>
      <c r="H3892" s="6">
        <v>268.9407</v>
      </c>
      <c r="I3892" s="6">
        <v>258.3113</v>
      </c>
      <c r="J3892" s="6">
        <v>10.6294</v>
      </c>
    </row>
    <row r="3893">
      <c r="A3893" s="1" t="s">
        <v>26</v>
      </c>
      <c r="B3893" s="1" t="s">
        <v>1192</v>
      </c>
      <c r="C3893" s="1" t="s">
        <v>1205</v>
      </c>
      <c r="D3893" s="6">
        <v>31.0</v>
      </c>
      <c r="E3893" s="6">
        <v>485481.0</v>
      </c>
      <c r="F3893" s="6">
        <v>499750.0</v>
      </c>
      <c r="G3893" s="6">
        <v>1889.0</v>
      </c>
      <c r="H3893" s="6">
        <v>257.0042</v>
      </c>
      <c r="I3893" s="6">
        <v>264.558</v>
      </c>
      <c r="J3893" s="6">
        <v>-7.5537</v>
      </c>
    </row>
    <row r="3894">
      <c r="A3894" s="1" t="s">
        <v>26</v>
      </c>
      <c r="B3894" s="1" t="s">
        <v>1192</v>
      </c>
      <c r="C3894" s="1" t="s">
        <v>1205</v>
      </c>
      <c r="D3894" s="6">
        <v>32.0</v>
      </c>
      <c r="E3894" s="6">
        <v>540204.0</v>
      </c>
      <c r="F3894" s="6">
        <v>555750.0</v>
      </c>
      <c r="G3894" s="6">
        <v>1889.0</v>
      </c>
      <c r="H3894" s="6">
        <v>285.9735</v>
      </c>
      <c r="I3894" s="6">
        <v>294.2033</v>
      </c>
      <c r="J3894" s="6">
        <v>-8.2298</v>
      </c>
    </row>
    <row r="3895">
      <c r="A3895" s="1" t="s">
        <v>26</v>
      </c>
      <c r="B3895" s="1" t="s">
        <v>1192</v>
      </c>
      <c r="C3895" s="1" t="s">
        <v>1205</v>
      </c>
      <c r="D3895" s="6">
        <v>33.0</v>
      </c>
      <c r="E3895" s="6">
        <v>565370.0</v>
      </c>
      <c r="F3895" s="6">
        <v>580050.0</v>
      </c>
      <c r="G3895" s="6">
        <v>1889.0</v>
      </c>
      <c r="H3895" s="6">
        <v>299.2959</v>
      </c>
      <c r="I3895" s="6">
        <v>307.0672</v>
      </c>
      <c r="J3895" s="6">
        <v>-7.7713</v>
      </c>
    </row>
    <row r="3896">
      <c r="A3896" s="1" t="s">
        <v>26</v>
      </c>
      <c r="B3896" s="1" t="s">
        <v>1192</v>
      </c>
      <c r="C3896" s="1" t="s">
        <v>52</v>
      </c>
      <c r="D3896" s="6">
        <v>1.0</v>
      </c>
      <c r="E3896" s="6">
        <v>1025.0</v>
      </c>
      <c r="F3896" s="6">
        <v>1617.0</v>
      </c>
      <c r="G3896" s="6">
        <v>1843.0</v>
      </c>
      <c r="H3896" s="6">
        <v>0.5562</v>
      </c>
      <c r="I3896" s="6">
        <v>0.8774</v>
      </c>
      <c r="J3896" s="6">
        <v>-0.3212</v>
      </c>
    </row>
    <row r="3897">
      <c r="A3897" s="1" t="s">
        <v>26</v>
      </c>
      <c r="B3897" s="1" t="s">
        <v>1192</v>
      </c>
      <c r="C3897" s="1" t="s">
        <v>52</v>
      </c>
      <c r="D3897" s="6">
        <v>2.0</v>
      </c>
      <c r="E3897" s="6">
        <v>1001.0</v>
      </c>
      <c r="F3897" s="6">
        <v>1666.0</v>
      </c>
      <c r="G3897" s="6">
        <v>1843.0</v>
      </c>
      <c r="H3897" s="6">
        <v>0.5431</v>
      </c>
      <c r="I3897" s="6">
        <v>0.904</v>
      </c>
      <c r="J3897" s="6">
        <v>-0.3608</v>
      </c>
    </row>
    <row r="3898">
      <c r="A3898" s="1" t="s">
        <v>26</v>
      </c>
      <c r="B3898" s="1" t="s">
        <v>1192</v>
      </c>
      <c r="C3898" s="1" t="s">
        <v>52</v>
      </c>
      <c r="D3898" s="6">
        <v>3.0</v>
      </c>
      <c r="E3898" s="6">
        <v>1520.0</v>
      </c>
      <c r="F3898" s="6">
        <v>1869.0</v>
      </c>
      <c r="G3898" s="6">
        <v>1843.0</v>
      </c>
      <c r="H3898" s="6">
        <v>0.8247</v>
      </c>
      <c r="I3898" s="6">
        <v>1.0141</v>
      </c>
      <c r="J3898" s="6">
        <v>-0.1894</v>
      </c>
    </row>
    <row r="3899">
      <c r="A3899" s="1" t="s">
        <v>26</v>
      </c>
      <c r="B3899" s="1" t="s">
        <v>1192</v>
      </c>
      <c r="C3899" s="1" t="s">
        <v>52</v>
      </c>
      <c r="D3899" s="6">
        <v>4.0</v>
      </c>
      <c r="E3899" s="6">
        <v>1343.0</v>
      </c>
      <c r="F3899" s="6">
        <v>1755.0</v>
      </c>
      <c r="G3899" s="6">
        <v>1843.0</v>
      </c>
      <c r="H3899" s="6">
        <v>0.7287</v>
      </c>
      <c r="I3899" s="6">
        <v>0.9523</v>
      </c>
      <c r="J3899" s="6">
        <v>-0.2235</v>
      </c>
    </row>
    <row r="3900">
      <c r="A3900" s="1" t="s">
        <v>26</v>
      </c>
      <c r="B3900" s="1" t="s">
        <v>1192</v>
      </c>
      <c r="C3900" s="1" t="s">
        <v>52</v>
      </c>
      <c r="D3900" s="6">
        <v>5.0</v>
      </c>
      <c r="E3900" s="6">
        <v>1522.0</v>
      </c>
      <c r="F3900" s="6">
        <v>2039.0</v>
      </c>
      <c r="G3900" s="6">
        <v>1843.0</v>
      </c>
      <c r="H3900" s="6">
        <v>0.8258</v>
      </c>
      <c r="I3900" s="6">
        <v>1.1063</v>
      </c>
      <c r="J3900" s="6">
        <v>-0.2805</v>
      </c>
    </row>
    <row r="3901">
      <c r="A3901" s="1" t="s">
        <v>26</v>
      </c>
      <c r="B3901" s="1" t="s">
        <v>1192</v>
      </c>
      <c r="C3901" s="1" t="s">
        <v>52</v>
      </c>
      <c r="D3901" s="6">
        <v>6.0</v>
      </c>
      <c r="E3901" s="6">
        <v>1543.0</v>
      </c>
      <c r="F3901" s="6">
        <v>2013.0</v>
      </c>
      <c r="G3901" s="6">
        <v>1843.0</v>
      </c>
      <c r="H3901" s="6">
        <v>0.8372</v>
      </c>
      <c r="I3901" s="6">
        <v>1.0922</v>
      </c>
      <c r="J3901" s="6">
        <v>-0.255</v>
      </c>
    </row>
    <row r="3902">
      <c r="A3902" s="1" t="s">
        <v>26</v>
      </c>
      <c r="B3902" s="1" t="s">
        <v>1192</v>
      </c>
      <c r="C3902" s="1" t="s">
        <v>52</v>
      </c>
      <c r="D3902" s="6">
        <v>7.0</v>
      </c>
      <c r="E3902" s="6">
        <v>1438.0</v>
      </c>
      <c r="F3902" s="6">
        <v>1924.0</v>
      </c>
      <c r="G3902" s="6">
        <v>1843.0</v>
      </c>
      <c r="H3902" s="6">
        <v>0.7802</v>
      </c>
      <c r="I3902" s="6">
        <v>1.044</v>
      </c>
      <c r="J3902" s="6">
        <v>-0.2637</v>
      </c>
    </row>
    <row r="3903">
      <c r="A3903" s="1" t="s">
        <v>26</v>
      </c>
      <c r="B3903" s="1" t="s">
        <v>1192</v>
      </c>
      <c r="C3903" s="1" t="s">
        <v>52</v>
      </c>
      <c r="D3903" s="6">
        <v>8.0</v>
      </c>
      <c r="E3903" s="6">
        <v>1443.0</v>
      </c>
      <c r="F3903" s="6">
        <v>1961.0</v>
      </c>
      <c r="G3903" s="6">
        <v>1843.0</v>
      </c>
      <c r="H3903" s="6">
        <v>0.783</v>
      </c>
      <c r="I3903" s="6">
        <v>1.064</v>
      </c>
      <c r="J3903" s="6">
        <v>-0.2811</v>
      </c>
    </row>
    <row r="3904">
      <c r="A3904" s="1" t="s">
        <v>26</v>
      </c>
      <c r="B3904" s="1" t="s">
        <v>1192</v>
      </c>
      <c r="C3904" s="1" t="s">
        <v>52</v>
      </c>
      <c r="D3904" s="6">
        <v>9.0</v>
      </c>
      <c r="E3904" s="6">
        <v>1042.0</v>
      </c>
      <c r="F3904" s="6">
        <v>1726.0</v>
      </c>
      <c r="G3904" s="6">
        <v>1843.0</v>
      </c>
      <c r="H3904" s="6">
        <v>0.5654</v>
      </c>
      <c r="I3904" s="6">
        <v>0.9365</v>
      </c>
      <c r="J3904" s="6">
        <v>-0.3711</v>
      </c>
    </row>
    <row r="3905">
      <c r="A3905" s="1" t="s">
        <v>26</v>
      </c>
      <c r="B3905" s="1" t="s">
        <v>1192</v>
      </c>
      <c r="C3905" s="1" t="s">
        <v>52</v>
      </c>
      <c r="D3905" s="6">
        <v>10.0</v>
      </c>
      <c r="E3905" s="6">
        <v>1600.0</v>
      </c>
      <c r="F3905" s="6">
        <v>2083.0</v>
      </c>
      <c r="G3905" s="6">
        <v>1843.0</v>
      </c>
      <c r="H3905" s="6">
        <v>0.8681</v>
      </c>
      <c r="I3905" s="6">
        <v>1.1302</v>
      </c>
      <c r="J3905" s="6">
        <v>-0.2621</v>
      </c>
    </row>
    <row r="3906">
      <c r="A3906" s="1" t="s">
        <v>26</v>
      </c>
      <c r="B3906" s="1" t="s">
        <v>1192</v>
      </c>
      <c r="C3906" s="1" t="s">
        <v>52</v>
      </c>
      <c r="D3906" s="6">
        <v>11.0</v>
      </c>
      <c r="E3906" s="6">
        <v>1407.0</v>
      </c>
      <c r="F3906" s="6">
        <v>2127.0</v>
      </c>
      <c r="G3906" s="6">
        <v>1843.0</v>
      </c>
      <c r="H3906" s="6">
        <v>0.7634</v>
      </c>
      <c r="I3906" s="6">
        <v>1.1541</v>
      </c>
      <c r="J3906" s="6">
        <v>-0.3907</v>
      </c>
    </row>
    <row r="3907">
      <c r="A3907" s="1" t="s">
        <v>26</v>
      </c>
      <c r="B3907" s="1" t="s">
        <v>1192</v>
      </c>
      <c r="C3907" s="1" t="s">
        <v>52</v>
      </c>
      <c r="D3907" s="6">
        <v>12.0</v>
      </c>
      <c r="E3907" s="6">
        <v>1515.0</v>
      </c>
      <c r="F3907" s="6">
        <v>2210.0</v>
      </c>
      <c r="G3907" s="6">
        <v>1843.0</v>
      </c>
      <c r="H3907" s="6">
        <v>0.822</v>
      </c>
      <c r="I3907" s="6">
        <v>1.1991</v>
      </c>
      <c r="J3907" s="6">
        <v>-0.3771</v>
      </c>
    </row>
    <row r="3908">
      <c r="A3908" s="1" t="s">
        <v>26</v>
      </c>
      <c r="B3908" s="1" t="s">
        <v>1192</v>
      </c>
      <c r="C3908" s="1" t="s">
        <v>52</v>
      </c>
      <c r="D3908" s="6">
        <v>13.0</v>
      </c>
      <c r="E3908" s="6">
        <v>1458.0</v>
      </c>
      <c r="F3908" s="6">
        <v>1977.0</v>
      </c>
      <c r="G3908" s="6">
        <v>1843.0</v>
      </c>
      <c r="H3908" s="6">
        <v>0.7911</v>
      </c>
      <c r="I3908" s="6">
        <v>1.0727</v>
      </c>
      <c r="J3908" s="6">
        <v>-0.2816</v>
      </c>
    </row>
    <row r="3909">
      <c r="A3909" s="1" t="s">
        <v>26</v>
      </c>
      <c r="B3909" s="1" t="s">
        <v>1192</v>
      </c>
      <c r="C3909" s="1" t="s">
        <v>52</v>
      </c>
      <c r="D3909" s="6">
        <v>14.0</v>
      </c>
      <c r="E3909" s="6">
        <v>1413.0</v>
      </c>
      <c r="F3909" s="6">
        <v>2019.0</v>
      </c>
      <c r="G3909" s="6">
        <v>1843.0</v>
      </c>
      <c r="H3909" s="6">
        <v>0.7667</v>
      </c>
      <c r="I3909" s="6">
        <v>1.0955</v>
      </c>
      <c r="J3909" s="6">
        <v>-0.3288</v>
      </c>
    </row>
    <row r="3910">
      <c r="A3910" s="1" t="s">
        <v>26</v>
      </c>
      <c r="B3910" s="1" t="s">
        <v>1192</v>
      </c>
      <c r="C3910" s="1" t="s">
        <v>52</v>
      </c>
      <c r="D3910" s="6">
        <v>15.0</v>
      </c>
      <c r="E3910" s="6">
        <v>1484.0</v>
      </c>
      <c r="F3910" s="6">
        <v>2238.0</v>
      </c>
      <c r="G3910" s="6">
        <v>1843.0</v>
      </c>
      <c r="H3910" s="6">
        <v>0.8052</v>
      </c>
      <c r="I3910" s="6">
        <v>1.2143</v>
      </c>
      <c r="J3910" s="6">
        <v>-0.4091</v>
      </c>
    </row>
    <row r="3911">
      <c r="A3911" s="1" t="s">
        <v>26</v>
      </c>
      <c r="B3911" s="1" t="s">
        <v>1192</v>
      </c>
      <c r="C3911" s="1" t="s">
        <v>52</v>
      </c>
      <c r="D3911" s="6">
        <v>16.0</v>
      </c>
      <c r="E3911" s="6">
        <v>1390.0</v>
      </c>
      <c r="F3911" s="6">
        <v>1786.0</v>
      </c>
      <c r="G3911" s="6">
        <v>1843.0</v>
      </c>
      <c r="H3911" s="6">
        <v>0.7542</v>
      </c>
      <c r="I3911" s="6">
        <v>0.9691</v>
      </c>
      <c r="J3911" s="6">
        <v>-0.2149</v>
      </c>
    </row>
    <row r="3912">
      <c r="A3912" s="1" t="s">
        <v>26</v>
      </c>
      <c r="B3912" s="1" t="s">
        <v>1192</v>
      </c>
      <c r="C3912" s="1" t="s">
        <v>52</v>
      </c>
      <c r="D3912" s="6">
        <v>17.0</v>
      </c>
      <c r="E3912" s="6">
        <v>1912.0</v>
      </c>
      <c r="F3912" s="6">
        <v>2352.0</v>
      </c>
      <c r="G3912" s="6">
        <v>1843.0</v>
      </c>
      <c r="H3912" s="6">
        <v>1.0374</v>
      </c>
      <c r="I3912" s="6">
        <v>1.2762</v>
      </c>
      <c r="J3912" s="6">
        <v>-0.2387</v>
      </c>
    </row>
    <row r="3913">
      <c r="A3913" s="1" t="s">
        <v>26</v>
      </c>
      <c r="B3913" s="1" t="s">
        <v>1192</v>
      </c>
      <c r="C3913" s="1" t="s">
        <v>52</v>
      </c>
      <c r="D3913" s="6">
        <v>18.0</v>
      </c>
      <c r="E3913" s="6">
        <v>1740.0</v>
      </c>
      <c r="F3913" s="6">
        <v>2302.0</v>
      </c>
      <c r="G3913" s="6">
        <v>1843.0</v>
      </c>
      <c r="H3913" s="6">
        <v>0.9441</v>
      </c>
      <c r="I3913" s="6">
        <v>1.2491</v>
      </c>
      <c r="J3913" s="6">
        <v>-0.3049</v>
      </c>
    </row>
    <row r="3914">
      <c r="A3914" s="1" t="s">
        <v>26</v>
      </c>
      <c r="B3914" s="1" t="s">
        <v>1192</v>
      </c>
      <c r="C3914" s="1" t="s">
        <v>52</v>
      </c>
      <c r="D3914" s="6">
        <v>19.0</v>
      </c>
      <c r="E3914" s="6">
        <v>1951.0</v>
      </c>
      <c r="F3914" s="6">
        <v>2570.0</v>
      </c>
      <c r="G3914" s="6">
        <v>1843.0</v>
      </c>
      <c r="H3914" s="6">
        <v>1.0586</v>
      </c>
      <c r="I3914" s="6">
        <v>1.3945</v>
      </c>
      <c r="J3914" s="6">
        <v>-0.3359</v>
      </c>
    </row>
    <row r="3915">
      <c r="A3915" s="1" t="s">
        <v>26</v>
      </c>
      <c r="B3915" s="1" t="s">
        <v>1192</v>
      </c>
      <c r="C3915" s="1" t="s">
        <v>52</v>
      </c>
      <c r="D3915" s="6">
        <v>20.0</v>
      </c>
      <c r="E3915" s="6">
        <v>2154.0</v>
      </c>
      <c r="F3915" s="6">
        <v>2731.0</v>
      </c>
      <c r="G3915" s="6">
        <v>1843.0</v>
      </c>
      <c r="H3915" s="6">
        <v>1.1687</v>
      </c>
      <c r="I3915" s="6">
        <v>1.4818</v>
      </c>
      <c r="J3915" s="6">
        <v>-0.3131</v>
      </c>
    </row>
    <row r="3916">
      <c r="A3916" s="1" t="s">
        <v>26</v>
      </c>
      <c r="B3916" s="1" t="s">
        <v>1192</v>
      </c>
      <c r="C3916" s="1" t="s">
        <v>52</v>
      </c>
      <c r="D3916" s="6">
        <v>21.0</v>
      </c>
      <c r="E3916" s="6">
        <v>2271.0</v>
      </c>
      <c r="F3916" s="6">
        <v>2605.0</v>
      </c>
      <c r="G3916" s="6">
        <v>1843.0</v>
      </c>
      <c r="H3916" s="6">
        <v>1.2322</v>
      </c>
      <c r="I3916" s="6">
        <v>1.4135</v>
      </c>
      <c r="J3916" s="6">
        <v>-0.1812</v>
      </c>
    </row>
    <row r="3917">
      <c r="A3917" s="1" t="s">
        <v>26</v>
      </c>
      <c r="B3917" s="1" t="s">
        <v>1192</v>
      </c>
      <c r="C3917" s="1" t="s">
        <v>52</v>
      </c>
      <c r="D3917" s="6">
        <v>22.0</v>
      </c>
      <c r="E3917" s="6">
        <v>2172.0</v>
      </c>
      <c r="F3917" s="6">
        <v>2646.0</v>
      </c>
      <c r="G3917" s="6">
        <v>1843.0</v>
      </c>
      <c r="H3917" s="6">
        <v>1.1785</v>
      </c>
      <c r="I3917" s="6">
        <v>1.4357</v>
      </c>
      <c r="J3917" s="6">
        <v>-0.2572</v>
      </c>
    </row>
    <row r="3918">
      <c r="A3918" s="1" t="s">
        <v>26</v>
      </c>
      <c r="B3918" s="1" t="s">
        <v>1192</v>
      </c>
      <c r="C3918" s="1" t="s">
        <v>52</v>
      </c>
      <c r="D3918" s="6">
        <v>23.0</v>
      </c>
      <c r="E3918" s="6">
        <v>1703.0</v>
      </c>
      <c r="F3918" s="6">
        <v>2359.0</v>
      </c>
      <c r="G3918" s="6">
        <v>1843.0</v>
      </c>
      <c r="H3918" s="6">
        <v>0.924</v>
      </c>
      <c r="I3918" s="6">
        <v>1.28</v>
      </c>
      <c r="J3918" s="6">
        <v>-0.3559</v>
      </c>
    </row>
    <row r="3919">
      <c r="A3919" s="1" t="s">
        <v>26</v>
      </c>
      <c r="B3919" s="1" t="s">
        <v>1192</v>
      </c>
      <c r="C3919" s="1" t="s">
        <v>52</v>
      </c>
      <c r="D3919" s="6">
        <v>24.0</v>
      </c>
      <c r="E3919" s="6">
        <v>2221.0</v>
      </c>
      <c r="F3919" s="6">
        <v>2707.0</v>
      </c>
      <c r="G3919" s="6">
        <v>1843.0</v>
      </c>
      <c r="H3919" s="6">
        <v>1.2051</v>
      </c>
      <c r="I3919" s="6">
        <v>1.4688</v>
      </c>
      <c r="J3919" s="6">
        <v>-0.2637</v>
      </c>
    </row>
    <row r="3920">
      <c r="A3920" s="1" t="s">
        <v>26</v>
      </c>
      <c r="B3920" s="1" t="s">
        <v>1192</v>
      </c>
      <c r="C3920" s="1" t="s">
        <v>52</v>
      </c>
      <c r="D3920" s="6">
        <v>25.0</v>
      </c>
      <c r="E3920" s="6">
        <v>1886.0</v>
      </c>
      <c r="F3920" s="6">
        <v>2506.0</v>
      </c>
      <c r="G3920" s="6">
        <v>1843.0</v>
      </c>
      <c r="H3920" s="6">
        <v>1.0233</v>
      </c>
      <c r="I3920" s="6">
        <v>1.3597</v>
      </c>
      <c r="J3920" s="6">
        <v>-0.3364</v>
      </c>
    </row>
    <row r="3921">
      <c r="A3921" s="1" t="s">
        <v>26</v>
      </c>
      <c r="B3921" s="1" t="s">
        <v>1192</v>
      </c>
      <c r="C3921" s="1" t="s">
        <v>52</v>
      </c>
      <c r="D3921" s="6">
        <v>26.0</v>
      </c>
      <c r="E3921" s="6">
        <v>2181.0</v>
      </c>
      <c r="F3921" s="6">
        <v>2930.0</v>
      </c>
      <c r="G3921" s="6">
        <v>1843.0</v>
      </c>
      <c r="H3921" s="6">
        <v>1.1834</v>
      </c>
      <c r="I3921" s="6">
        <v>1.5898</v>
      </c>
      <c r="J3921" s="6">
        <v>-0.4064</v>
      </c>
    </row>
    <row r="3922">
      <c r="A3922" s="1" t="s">
        <v>26</v>
      </c>
      <c r="B3922" s="1" t="s">
        <v>1192</v>
      </c>
      <c r="C3922" s="1" t="s">
        <v>52</v>
      </c>
      <c r="D3922" s="6">
        <v>27.0</v>
      </c>
      <c r="E3922" s="6">
        <v>2084.0</v>
      </c>
      <c r="F3922" s="6">
        <v>2700.0</v>
      </c>
      <c r="G3922" s="6">
        <v>1843.0</v>
      </c>
      <c r="H3922" s="6">
        <v>1.1308</v>
      </c>
      <c r="I3922" s="6">
        <v>1.465</v>
      </c>
      <c r="J3922" s="6">
        <v>-0.3342</v>
      </c>
    </row>
    <row r="3923">
      <c r="A3923" s="1" t="s">
        <v>26</v>
      </c>
      <c r="B3923" s="1" t="s">
        <v>1192</v>
      </c>
      <c r="C3923" s="1" t="s">
        <v>52</v>
      </c>
      <c r="D3923" s="6">
        <v>28.0</v>
      </c>
      <c r="E3923" s="6">
        <v>1675.0</v>
      </c>
      <c r="F3923" s="6">
        <v>2443.0</v>
      </c>
      <c r="G3923" s="6">
        <v>1843.0</v>
      </c>
      <c r="H3923" s="6">
        <v>0.9088</v>
      </c>
      <c r="I3923" s="6">
        <v>1.3256</v>
      </c>
      <c r="J3923" s="6">
        <v>-0.4167</v>
      </c>
    </row>
    <row r="3924">
      <c r="A3924" s="1" t="s">
        <v>26</v>
      </c>
      <c r="B3924" s="1" t="s">
        <v>1192</v>
      </c>
      <c r="C3924" s="1" t="s">
        <v>52</v>
      </c>
      <c r="D3924" s="6">
        <v>29.0</v>
      </c>
      <c r="E3924" s="6">
        <v>1834.0</v>
      </c>
      <c r="F3924" s="6">
        <v>2832.0</v>
      </c>
      <c r="G3924" s="6">
        <v>1843.0</v>
      </c>
      <c r="H3924" s="6">
        <v>0.9951</v>
      </c>
      <c r="I3924" s="6">
        <v>1.5366</v>
      </c>
      <c r="J3924" s="6">
        <v>-0.5415</v>
      </c>
    </row>
    <row r="3925">
      <c r="A3925" s="1" t="s">
        <v>26</v>
      </c>
      <c r="B3925" s="1" t="s">
        <v>1192</v>
      </c>
      <c r="C3925" s="1" t="s">
        <v>52</v>
      </c>
      <c r="D3925" s="6">
        <v>30.0</v>
      </c>
      <c r="E3925" s="6">
        <v>1962.0</v>
      </c>
      <c r="F3925" s="6">
        <v>2840.0</v>
      </c>
      <c r="G3925" s="6">
        <v>1843.0</v>
      </c>
      <c r="H3925" s="6">
        <v>1.0646</v>
      </c>
      <c r="I3925" s="6">
        <v>1.541</v>
      </c>
      <c r="J3925" s="6">
        <v>-0.4764</v>
      </c>
    </row>
    <row r="3926">
      <c r="A3926" s="1" t="s">
        <v>26</v>
      </c>
      <c r="B3926" s="1" t="s">
        <v>1192</v>
      </c>
      <c r="C3926" s="1" t="s">
        <v>52</v>
      </c>
      <c r="D3926" s="6">
        <v>31.0</v>
      </c>
      <c r="E3926" s="6">
        <v>2754.0</v>
      </c>
      <c r="F3926" s="6">
        <v>3262.0</v>
      </c>
      <c r="G3926" s="6">
        <v>1843.0</v>
      </c>
      <c r="H3926" s="6">
        <v>1.4943</v>
      </c>
      <c r="I3926" s="6">
        <v>1.7699</v>
      </c>
      <c r="J3926" s="6">
        <v>-0.2756</v>
      </c>
    </row>
    <row r="3927">
      <c r="A3927" s="1" t="s">
        <v>26</v>
      </c>
      <c r="B3927" s="1" t="s">
        <v>1192</v>
      </c>
      <c r="C3927" s="1" t="s">
        <v>52</v>
      </c>
      <c r="D3927" s="6">
        <v>32.0</v>
      </c>
      <c r="E3927" s="6">
        <v>2555.0</v>
      </c>
      <c r="F3927" s="6">
        <v>3284.0</v>
      </c>
      <c r="G3927" s="6">
        <v>1843.0</v>
      </c>
      <c r="H3927" s="6">
        <v>1.3863</v>
      </c>
      <c r="I3927" s="6">
        <v>1.7819</v>
      </c>
      <c r="J3927" s="6">
        <v>-0.3956</v>
      </c>
    </row>
    <row r="3928">
      <c r="A3928" s="1" t="s">
        <v>26</v>
      </c>
      <c r="B3928" s="1" t="s">
        <v>1192</v>
      </c>
      <c r="C3928" s="1" t="s">
        <v>52</v>
      </c>
      <c r="D3928" s="6">
        <v>33.0</v>
      </c>
      <c r="E3928" s="6">
        <v>2675.0</v>
      </c>
      <c r="F3928" s="6">
        <v>3726.0</v>
      </c>
      <c r="G3928" s="6">
        <v>1843.0</v>
      </c>
      <c r="H3928" s="6">
        <v>1.4514</v>
      </c>
      <c r="I3928" s="6">
        <v>2.0217</v>
      </c>
      <c r="J3928" s="6">
        <v>-0.5703</v>
      </c>
    </row>
    <row r="3929">
      <c r="A3929" s="1" t="s">
        <v>26</v>
      </c>
      <c r="B3929" s="1" t="s">
        <v>1192</v>
      </c>
      <c r="C3929" s="1" t="s">
        <v>53</v>
      </c>
      <c r="D3929" s="6">
        <v>1.0</v>
      </c>
      <c r="E3929" s="6">
        <v>1105.0</v>
      </c>
      <c r="F3929" s="6">
        <v>1734.0</v>
      </c>
      <c r="G3929" s="6">
        <v>1843.0</v>
      </c>
      <c r="H3929" s="6">
        <v>0.5996</v>
      </c>
      <c r="I3929" s="6">
        <v>0.9409</v>
      </c>
      <c r="J3929" s="6">
        <v>-0.3413</v>
      </c>
    </row>
    <row r="3930">
      <c r="A3930" s="1" t="s">
        <v>26</v>
      </c>
      <c r="B3930" s="1" t="s">
        <v>1192</v>
      </c>
      <c r="C3930" s="1" t="s">
        <v>53</v>
      </c>
      <c r="D3930" s="6">
        <v>2.0</v>
      </c>
      <c r="E3930" s="6">
        <v>1350.0</v>
      </c>
      <c r="F3930" s="6">
        <v>1969.0</v>
      </c>
      <c r="G3930" s="6">
        <v>1843.0</v>
      </c>
      <c r="H3930" s="6">
        <v>0.7325</v>
      </c>
      <c r="I3930" s="6">
        <v>1.0684</v>
      </c>
      <c r="J3930" s="6">
        <v>-0.3359</v>
      </c>
    </row>
    <row r="3931">
      <c r="A3931" s="1" t="s">
        <v>26</v>
      </c>
      <c r="B3931" s="1" t="s">
        <v>1192</v>
      </c>
      <c r="C3931" s="1" t="s">
        <v>53</v>
      </c>
      <c r="D3931" s="6">
        <v>3.0</v>
      </c>
      <c r="E3931" s="6">
        <v>1505.0</v>
      </c>
      <c r="F3931" s="6">
        <v>2014.0</v>
      </c>
      <c r="G3931" s="6">
        <v>1843.0</v>
      </c>
      <c r="H3931" s="6">
        <v>0.8166</v>
      </c>
      <c r="I3931" s="6">
        <v>1.0928</v>
      </c>
      <c r="J3931" s="6">
        <v>-0.2762</v>
      </c>
    </row>
    <row r="3932">
      <c r="A3932" s="1" t="s">
        <v>26</v>
      </c>
      <c r="B3932" s="1" t="s">
        <v>1192</v>
      </c>
      <c r="C3932" s="1" t="s">
        <v>53</v>
      </c>
      <c r="D3932" s="6">
        <v>4.0</v>
      </c>
      <c r="E3932" s="6">
        <v>1558.0</v>
      </c>
      <c r="F3932" s="6">
        <v>1973.0</v>
      </c>
      <c r="G3932" s="6">
        <v>1843.0</v>
      </c>
      <c r="H3932" s="6">
        <v>0.8454</v>
      </c>
      <c r="I3932" s="6">
        <v>1.0705</v>
      </c>
      <c r="J3932" s="6">
        <v>-0.2252</v>
      </c>
    </row>
    <row r="3933">
      <c r="A3933" s="1" t="s">
        <v>26</v>
      </c>
      <c r="B3933" s="1" t="s">
        <v>1192</v>
      </c>
      <c r="C3933" s="1" t="s">
        <v>53</v>
      </c>
      <c r="D3933" s="6">
        <v>5.0</v>
      </c>
      <c r="E3933" s="6">
        <v>1546.0</v>
      </c>
      <c r="F3933" s="6">
        <v>2064.0</v>
      </c>
      <c r="G3933" s="6">
        <v>1843.0</v>
      </c>
      <c r="H3933" s="6">
        <v>0.8388</v>
      </c>
      <c r="I3933" s="6">
        <v>1.1199</v>
      </c>
      <c r="J3933" s="6">
        <v>-0.2811</v>
      </c>
    </row>
    <row r="3934">
      <c r="A3934" s="1" t="s">
        <v>26</v>
      </c>
      <c r="B3934" s="1" t="s">
        <v>1192</v>
      </c>
      <c r="C3934" s="1" t="s">
        <v>53</v>
      </c>
      <c r="D3934" s="6">
        <v>6.0</v>
      </c>
      <c r="E3934" s="6">
        <v>1648.0</v>
      </c>
      <c r="F3934" s="6">
        <v>2169.0</v>
      </c>
      <c r="G3934" s="6">
        <v>1843.0</v>
      </c>
      <c r="H3934" s="6">
        <v>0.8942</v>
      </c>
      <c r="I3934" s="6">
        <v>1.1769</v>
      </c>
      <c r="J3934" s="6">
        <v>-0.2827</v>
      </c>
    </row>
    <row r="3935">
      <c r="A3935" s="1" t="s">
        <v>26</v>
      </c>
      <c r="B3935" s="1" t="s">
        <v>1192</v>
      </c>
      <c r="C3935" s="1" t="s">
        <v>53</v>
      </c>
      <c r="D3935" s="6">
        <v>7.0</v>
      </c>
      <c r="E3935" s="6">
        <v>1515.0</v>
      </c>
      <c r="F3935" s="6">
        <v>2004.0</v>
      </c>
      <c r="G3935" s="6">
        <v>1843.0</v>
      </c>
      <c r="H3935" s="6">
        <v>0.822</v>
      </c>
      <c r="I3935" s="6">
        <v>1.0874</v>
      </c>
      <c r="J3935" s="6">
        <v>-0.2653</v>
      </c>
    </row>
    <row r="3936">
      <c r="A3936" s="1" t="s">
        <v>26</v>
      </c>
      <c r="B3936" s="1" t="s">
        <v>1192</v>
      </c>
      <c r="C3936" s="1" t="s">
        <v>53</v>
      </c>
      <c r="D3936" s="6">
        <v>8.0</v>
      </c>
      <c r="E3936" s="6">
        <v>1352.0</v>
      </c>
      <c r="F3936" s="6">
        <v>1844.0</v>
      </c>
      <c r="G3936" s="6">
        <v>1843.0</v>
      </c>
      <c r="H3936" s="6">
        <v>0.7336</v>
      </c>
      <c r="I3936" s="6">
        <v>1.0005</v>
      </c>
      <c r="J3936" s="6">
        <v>-0.267</v>
      </c>
    </row>
    <row r="3937">
      <c r="A3937" s="1" t="s">
        <v>26</v>
      </c>
      <c r="B3937" s="1" t="s">
        <v>1192</v>
      </c>
      <c r="C3937" s="1" t="s">
        <v>53</v>
      </c>
      <c r="D3937" s="6">
        <v>9.0</v>
      </c>
      <c r="E3937" s="6">
        <v>1240.0</v>
      </c>
      <c r="F3937" s="6">
        <v>1738.0</v>
      </c>
      <c r="G3937" s="6">
        <v>1843.0</v>
      </c>
      <c r="H3937" s="6">
        <v>0.6728</v>
      </c>
      <c r="I3937" s="6">
        <v>0.943</v>
      </c>
      <c r="J3937" s="6">
        <v>-0.2702</v>
      </c>
    </row>
    <row r="3938">
      <c r="A3938" s="1" t="s">
        <v>26</v>
      </c>
      <c r="B3938" s="1" t="s">
        <v>1192</v>
      </c>
      <c r="C3938" s="1" t="s">
        <v>53</v>
      </c>
      <c r="D3938" s="6">
        <v>10.0</v>
      </c>
      <c r="E3938" s="6">
        <v>1583.0</v>
      </c>
      <c r="F3938" s="6">
        <v>2062.0</v>
      </c>
      <c r="G3938" s="6">
        <v>1843.0</v>
      </c>
      <c r="H3938" s="6">
        <v>0.8589</v>
      </c>
      <c r="I3938" s="6">
        <v>1.1188</v>
      </c>
      <c r="J3938" s="6">
        <v>-0.2599</v>
      </c>
    </row>
    <row r="3939">
      <c r="A3939" s="1" t="s">
        <v>26</v>
      </c>
      <c r="B3939" s="1" t="s">
        <v>1192</v>
      </c>
      <c r="C3939" s="1" t="s">
        <v>53</v>
      </c>
      <c r="D3939" s="6">
        <v>11.0</v>
      </c>
      <c r="E3939" s="6">
        <v>1663.0</v>
      </c>
      <c r="F3939" s="6">
        <v>2288.0</v>
      </c>
      <c r="G3939" s="6">
        <v>1843.0</v>
      </c>
      <c r="H3939" s="6">
        <v>0.9023</v>
      </c>
      <c r="I3939" s="6">
        <v>1.2415</v>
      </c>
      <c r="J3939" s="6">
        <v>-0.3391</v>
      </c>
    </row>
    <row r="3940">
      <c r="A3940" s="1" t="s">
        <v>26</v>
      </c>
      <c r="B3940" s="1" t="s">
        <v>1192</v>
      </c>
      <c r="C3940" s="1" t="s">
        <v>53</v>
      </c>
      <c r="D3940" s="6">
        <v>12.0</v>
      </c>
      <c r="E3940" s="6">
        <v>1622.0</v>
      </c>
      <c r="F3940" s="6">
        <v>2276.0</v>
      </c>
      <c r="G3940" s="6">
        <v>1843.0</v>
      </c>
      <c r="H3940" s="6">
        <v>0.8801</v>
      </c>
      <c r="I3940" s="6">
        <v>1.2349</v>
      </c>
      <c r="J3940" s="6">
        <v>-0.3549</v>
      </c>
    </row>
    <row r="3941">
      <c r="A3941" s="1" t="s">
        <v>26</v>
      </c>
      <c r="B3941" s="1" t="s">
        <v>1192</v>
      </c>
      <c r="C3941" s="1" t="s">
        <v>53</v>
      </c>
      <c r="D3941" s="6">
        <v>13.0</v>
      </c>
      <c r="E3941" s="6">
        <v>1679.0</v>
      </c>
      <c r="F3941" s="6">
        <v>2170.0</v>
      </c>
      <c r="G3941" s="6">
        <v>1843.0</v>
      </c>
      <c r="H3941" s="6">
        <v>0.911</v>
      </c>
      <c r="I3941" s="6">
        <v>1.1774</v>
      </c>
      <c r="J3941" s="6">
        <v>-0.2664</v>
      </c>
    </row>
    <row r="3942">
      <c r="A3942" s="1" t="s">
        <v>26</v>
      </c>
      <c r="B3942" s="1" t="s">
        <v>1192</v>
      </c>
      <c r="C3942" s="1" t="s">
        <v>53</v>
      </c>
      <c r="D3942" s="6">
        <v>14.0</v>
      </c>
      <c r="E3942" s="6">
        <v>1693.0</v>
      </c>
      <c r="F3942" s="6">
        <v>2144.0</v>
      </c>
      <c r="G3942" s="6">
        <v>1843.0</v>
      </c>
      <c r="H3942" s="6">
        <v>0.9186</v>
      </c>
      <c r="I3942" s="6">
        <v>1.1633</v>
      </c>
      <c r="J3942" s="6">
        <v>-0.2447</v>
      </c>
    </row>
    <row r="3943">
      <c r="A3943" s="1" t="s">
        <v>26</v>
      </c>
      <c r="B3943" s="1" t="s">
        <v>1192</v>
      </c>
      <c r="C3943" s="1" t="s">
        <v>53</v>
      </c>
      <c r="D3943" s="6">
        <v>15.0</v>
      </c>
      <c r="E3943" s="6">
        <v>1530.0</v>
      </c>
      <c r="F3943" s="6">
        <v>2273.0</v>
      </c>
      <c r="G3943" s="6">
        <v>1843.0</v>
      </c>
      <c r="H3943" s="6">
        <v>0.8302</v>
      </c>
      <c r="I3943" s="6">
        <v>1.2333</v>
      </c>
      <c r="J3943" s="6">
        <v>-0.4031</v>
      </c>
    </row>
    <row r="3944">
      <c r="A3944" s="1" t="s">
        <v>26</v>
      </c>
      <c r="B3944" s="1" t="s">
        <v>1192</v>
      </c>
      <c r="C3944" s="1" t="s">
        <v>53</v>
      </c>
      <c r="D3944" s="6">
        <v>16.0</v>
      </c>
      <c r="E3944" s="6">
        <v>1899.0</v>
      </c>
      <c r="F3944" s="6">
        <v>2196.0</v>
      </c>
      <c r="G3944" s="6">
        <v>1843.0</v>
      </c>
      <c r="H3944" s="6">
        <v>1.0304</v>
      </c>
      <c r="I3944" s="6">
        <v>1.1915</v>
      </c>
      <c r="J3944" s="6">
        <v>-0.1612</v>
      </c>
    </row>
    <row r="3945">
      <c r="A3945" s="1" t="s">
        <v>26</v>
      </c>
      <c r="B3945" s="1" t="s">
        <v>1192</v>
      </c>
      <c r="C3945" s="1" t="s">
        <v>53</v>
      </c>
      <c r="D3945" s="6">
        <v>17.0</v>
      </c>
      <c r="E3945" s="6">
        <v>1900.0</v>
      </c>
      <c r="F3945" s="6">
        <v>2316.0</v>
      </c>
      <c r="G3945" s="6">
        <v>1843.0</v>
      </c>
      <c r="H3945" s="6">
        <v>1.0309</v>
      </c>
      <c r="I3945" s="6">
        <v>1.2566</v>
      </c>
      <c r="J3945" s="6">
        <v>-0.2257</v>
      </c>
    </row>
    <row r="3946">
      <c r="A3946" s="1" t="s">
        <v>26</v>
      </c>
      <c r="B3946" s="1" t="s">
        <v>1192</v>
      </c>
      <c r="C3946" s="1" t="s">
        <v>53</v>
      </c>
      <c r="D3946" s="6">
        <v>18.0</v>
      </c>
      <c r="E3946" s="6">
        <v>1896.0</v>
      </c>
      <c r="F3946" s="6">
        <v>2316.0</v>
      </c>
      <c r="G3946" s="6">
        <v>1843.0</v>
      </c>
      <c r="H3946" s="6">
        <v>1.0288</v>
      </c>
      <c r="I3946" s="6">
        <v>1.2566</v>
      </c>
      <c r="J3946" s="6">
        <v>-0.2279</v>
      </c>
    </row>
    <row r="3947">
      <c r="A3947" s="1" t="s">
        <v>26</v>
      </c>
      <c r="B3947" s="1" t="s">
        <v>1192</v>
      </c>
      <c r="C3947" s="1" t="s">
        <v>53</v>
      </c>
      <c r="D3947" s="6">
        <v>19.0</v>
      </c>
      <c r="E3947" s="6">
        <v>1935.0</v>
      </c>
      <c r="F3947" s="6">
        <v>2586.0</v>
      </c>
      <c r="G3947" s="6">
        <v>1843.0</v>
      </c>
      <c r="H3947" s="6">
        <v>1.0499</v>
      </c>
      <c r="I3947" s="6">
        <v>1.4031</v>
      </c>
      <c r="J3947" s="6">
        <v>-0.3532</v>
      </c>
    </row>
    <row r="3948">
      <c r="A3948" s="1" t="s">
        <v>26</v>
      </c>
      <c r="B3948" s="1" t="s">
        <v>1192</v>
      </c>
      <c r="C3948" s="1" t="s">
        <v>53</v>
      </c>
      <c r="D3948" s="6">
        <v>20.0</v>
      </c>
      <c r="E3948" s="6">
        <v>2188.0</v>
      </c>
      <c r="F3948" s="6">
        <v>2831.0</v>
      </c>
      <c r="G3948" s="6">
        <v>1843.0</v>
      </c>
      <c r="H3948" s="6">
        <v>1.1872</v>
      </c>
      <c r="I3948" s="6">
        <v>1.5361</v>
      </c>
      <c r="J3948" s="6">
        <v>-0.3489</v>
      </c>
    </row>
    <row r="3949">
      <c r="A3949" s="1" t="s">
        <v>26</v>
      </c>
      <c r="B3949" s="1" t="s">
        <v>1192</v>
      </c>
      <c r="C3949" s="1" t="s">
        <v>53</v>
      </c>
      <c r="D3949" s="6">
        <v>21.0</v>
      </c>
      <c r="E3949" s="6">
        <v>2685.0</v>
      </c>
      <c r="F3949" s="6">
        <v>2791.0</v>
      </c>
      <c r="G3949" s="6">
        <v>1843.0</v>
      </c>
      <c r="H3949" s="6">
        <v>1.4569</v>
      </c>
      <c r="I3949" s="6">
        <v>1.5144</v>
      </c>
      <c r="J3949" s="6">
        <v>-0.0575</v>
      </c>
    </row>
    <row r="3950">
      <c r="A3950" s="1" t="s">
        <v>26</v>
      </c>
      <c r="B3950" s="1" t="s">
        <v>1192</v>
      </c>
      <c r="C3950" s="1" t="s">
        <v>53</v>
      </c>
      <c r="D3950" s="6">
        <v>22.0</v>
      </c>
      <c r="E3950" s="6">
        <v>2157.0</v>
      </c>
      <c r="F3950" s="6">
        <v>2695.0</v>
      </c>
      <c r="G3950" s="6">
        <v>1843.0</v>
      </c>
      <c r="H3950" s="6">
        <v>1.1704</v>
      </c>
      <c r="I3950" s="6">
        <v>1.4623</v>
      </c>
      <c r="J3950" s="6">
        <v>-0.2919</v>
      </c>
    </row>
    <row r="3951">
      <c r="A3951" s="1" t="s">
        <v>26</v>
      </c>
      <c r="B3951" s="1" t="s">
        <v>1192</v>
      </c>
      <c r="C3951" s="1" t="s">
        <v>53</v>
      </c>
      <c r="D3951" s="6">
        <v>23.0</v>
      </c>
      <c r="E3951" s="6">
        <v>2049.0</v>
      </c>
      <c r="F3951" s="6">
        <v>2487.0</v>
      </c>
      <c r="G3951" s="6">
        <v>1843.0</v>
      </c>
      <c r="H3951" s="6">
        <v>1.1118</v>
      </c>
      <c r="I3951" s="6">
        <v>1.3494</v>
      </c>
      <c r="J3951" s="6">
        <v>-0.2377</v>
      </c>
    </row>
    <row r="3952">
      <c r="A3952" s="1" t="s">
        <v>26</v>
      </c>
      <c r="B3952" s="1" t="s">
        <v>1192</v>
      </c>
      <c r="C3952" s="1" t="s">
        <v>53</v>
      </c>
      <c r="D3952" s="6">
        <v>24.0</v>
      </c>
      <c r="E3952" s="6">
        <v>2218.0</v>
      </c>
      <c r="F3952" s="6">
        <v>2741.0</v>
      </c>
      <c r="G3952" s="6">
        <v>1843.0</v>
      </c>
      <c r="H3952" s="6">
        <v>1.2035</v>
      </c>
      <c r="I3952" s="6">
        <v>1.4872</v>
      </c>
      <c r="J3952" s="6">
        <v>-0.2838</v>
      </c>
    </row>
    <row r="3953">
      <c r="A3953" s="1" t="s">
        <v>26</v>
      </c>
      <c r="B3953" s="1" t="s">
        <v>1192</v>
      </c>
      <c r="C3953" s="1" t="s">
        <v>53</v>
      </c>
      <c r="D3953" s="6">
        <v>25.0</v>
      </c>
      <c r="E3953" s="6">
        <v>2259.0</v>
      </c>
      <c r="F3953" s="6">
        <v>2813.0</v>
      </c>
      <c r="G3953" s="6">
        <v>1843.0</v>
      </c>
      <c r="H3953" s="6">
        <v>1.2257</v>
      </c>
      <c r="I3953" s="6">
        <v>1.5263</v>
      </c>
      <c r="J3953" s="6">
        <v>-0.3006</v>
      </c>
    </row>
    <row r="3954">
      <c r="A3954" s="1" t="s">
        <v>26</v>
      </c>
      <c r="B3954" s="1" t="s">
        <v>1192</v>
      </c>
      <c r="C3954" s="1" t="s">
        <v>53</v>
      </c>
      <c r="D3954" s="6">
        <v>26.0</v>
      </c>
      <c r="E3954" s="6">
        <v>2220.0</v>
      </c>
      <c r="F3954" s="6">
        <v>3054.0</v>
      </c>
      <c r="G3954" s="6">
        <v>1843.0</v>
      </c>
      <c r="H3954" s="6">
        <v>1.2046</v>
      </c>
      <c r="I3954" s="6">
        <v>1.6571</v>
      </c>
      <c r="J3954" s="6">
        <v>-0.4525</v>
      </c>
    </row>
    <row r="3955">
      <c r="A3955" s="1" t="s">
        <v>26</v>
      </c>
      <c r="B3955" s="1" t="s">
        <v>1192</v>
      </c>
      <c r="C3955" s="1" t="s">
        <v>53</v>
      </c>
      <c r="D3955" s="6">
        <v>27.0</v>
      </c>
      <c r="E3955" s="6">
        <v>2403.0</v>
      </c>
      <c r="F3955" s="6">
        <v>2899.0</v>
      </c>
      <c r="G3955" s="6">
        <v>1843.0</v>
      </c>
      <c r="H3955" s="6">
        <v>1.3039</v>
      </c>
      <c r="I3955" s="6">
        <v>1.573</v>
      </c>
      <c r="J3955" s="6">
        <v>-0.2691</v>
      </c>
    </row>
    <row r="3956">
      <c r="A3956" s="1" t="s">
        <v>26</v>
      </c>
      <c r="B3956" s="1" t="s">
        <v>1192</v>
      </c>
      <c r="C3956" s="1" t="s">
        <v>53</v>
      </c>
      <c r="D3956" s="6">
        <v>28.0</v>
      </c>
      <c r="E3956" s="6">
        <v>2178.0</v>
      </c>
      <c r="F3956" s="6">
        <v>2750.0</v>
      </c>
      <c r="G3956" s="6">
        <v>1843.0</v>
      </c>
      <c r="H3956" s="6">
        <v>1.1818</v>
      </c>
      <c r="I3956" s="6">
        <v>1.4921</v>
      </c>
      <c r="J3956" s="6">
        <v>-0.3104</v>
      </c>
    </row>
    <row r="3957">
      <c r="A3957" s="1" t="s">
        <v>26</v>
      </c>
      <c r="B3957" s="1" t="s">
        <v>1192</v>
      </c>
      <c r="C3957" s="1" t="s">
        <v>53</v>
      </c>
      <c r="D3957" s="6">
        <v>29.0</v>
      </c>
      <c r="E3957" s="6">
        <v>1956.0</v>
      </c>
      <c r="F3957" s="6">
        <v>3133.0</v>
      </c>
      <c r="G3957" s="6">
        <v>1843.0</v>
      </c>
      <c r="H3957" s="6">
        <v>1.0613</v>
      </c>
      <c r="I3957" s="6">
        <v>1.6999</v>
      </c>
      <c r="J3957" s="6">
        <v>-0.6386</v>
      </c>
    </row>
    <row r="3958">
      <c r="A3958" s="1" t="s">
        <v>26</v>
      </c>
      <c r="B3958" s="1" t="s">
        <v>1192</v>
      </c>
      <c r="C3958" s="1" t="s">
        <v>53</v>
      </c>
      <c r="D3958" s="6">
        <v>30.0</v>
      </c>
      <c r="E3958" s="6">
        <v>2552.0</v>
      </c>
      <c r="F3958" s="6">
        <v>3306.0</v>
      </c>
      <c r="G3958" s="6">
        <v>1843.0</v>
      </c>
      <c r="H3958" s="6">
        <v>1.3847</v>
      </c>
      <c r="I3958" s="6">
        <v>1.7938</v>
      </c>
      <c r="J3958" s="6">
        <v>-0.4091</v>
      </c>
    </row>
    <row r="3959">
      <c r="A3959" s="1" t="s">
        <v>26</v>
      </c>
      <c r="B3959" s="1" t="s">
        <v>1192</v>
      </c>
      <c r="C3959" s="1" t="s">
        <v>53</v>
      </c>
      <c r="D3959" s="6">
        <v>31.0</v>
      </c>
      <c r="E3959" s="6">
        <v>2662.0</v>
      </c>
      <c r="F3959" s="6">
        <v>3344.0</v>
      </c>
      <c r="G3959" s="6">
        <v>1843.0</v>
      </c>
      <c r="H3959" s="6">
        <v>1.4444</v>
      </c>
      <c r="I3959" s="6">
        <v>1.8144</v>
      </c>
      <c r="J3959" s="6">
        <v>-0.37</v>
      </c>
    </row>
    <row r="3960">
      <c r="A3960" s="1" t="s">
        <v>26</v>
      </c>
      <c r="B3960" s="1" t="s">
        <v>1192</v>
      </c>
      <c r="C3960" s="1" t="s">
        <v>53</v>
      </c>
      <c r="D3960" s="6">
        <v>32.0</v>
      </c>
      <c r="E3960" s="6">
        <v>2805.0</v>
      </c>
      <c r="F3960" s="6">
        <v>3495.0</v>
      </c>
      <c r="G3960" s="6">
        <v>1843.0</v>
      </c>
      <c r="H3960" s="6">
        <v>1.522</v>
      </c>
      <c r="I3960" s="6">
        <v>1.8964</v>
      </c>
      <c r="J3960" s="6">
        <v>-0.3744</v>
      </c>
    </row>
    <row r="3961">
      <c r="A3961" s="1" t="s">
        <v>26</v>
      </c>
      <c r="B3961" s="1" t="s">
        <v>1192</v>
      </c>
      <c r="C3961" s="1" t="s">
        <v>53</v>
      </c>
      <c r="D3961" s="6">
        <v>33.0</v>
      </c>
      <c r="E3961" s="6">
        <v>2698.0</v>
      </c>
      <c r="F3961" s="6">
        <v>3719.0</v>
      </c>
      <c r="G3961" s="6">
        <v>1843.0</v>
      </c>
      <c r="H3961" s="6">
        <v>1.4639</v>
      </c>
      <c r="I3961" s="6">
        <v>2.0179</v>
      </c>
      <c r="J3961" s="6">
        <v>-0.554</v>
      </c>
    </row>
    <row r="3962">
      <c r="A3962" s="1" t="s">
        <v>26</v>
      </c>
      <c r="B3962" s="1" t="s">
        <v>1192</v>
      </c>
      <c r="C3962" s="1" t="s">
        <v>54</v>
      </c>
      <c r="D3962" s="6">
        <v>1.0</v>
      </c>
      <c r="E3962" s="6">
        <v>658.0</v>
      </c>
      <c r="F3962" s="6">
        <v>1135.0</v>
      </c>
      <c r="G3962" s="6">
        <v>1843.0</v>
      </c>
      <c r="H3962" s="6">
        <v>0.357</v>
      </c>
      <c r="I3962" s="6">
        <v>0.6158</v>
      </c>
      <c r="J3962" s="6">
        <v>-0.2588</v>
      </c>
    </row>
    <row r="3963">
      <c r="A3963" s="1" t="s">
        <v>26</v>
      </c>
      <c r="B3963" s="1" t="s">
        <v>1192</v>
      </c>
      <c r="C3963" s="1" t="s">
        <v>54</v>
      </c>
      <c r="D3963" s="6">
        <v>2.0</v>
      </c>
      <c r="E3963" s="6">
        <v>1042.0</v>
      </c>
      <c r="F3963" s="6">
        <v>1427.0</v>
      </c>
      <c r="G3963" s="6">
        <v>1843.0</v>
      </c>
      <c r="H3963" s="6">
        <v>0.5654</v>
      </c>
      <c r="I3963" s="6">
        <v>0.7743</v>
      </c>
      <c r="J3963" s="6">
        <v>-0.2089</v>
      </c>
    </row>
    <row r="3964">
      <c r="A3964" s="1" t="s">
        <v>26</v>
      </c>
      <c r="B3964" s="1" t="s">
        <v>1192</v>
      </c>
      <c r="C3964" s="1" t="s">
        <v>54</v>
      </c>
      <c r="D3964" s="6">
        <v>3.0</v>
      </c>
      <c r="E3964" s="6">
        <v>1015.0</v>
      </c>
      <c r="F3964" s="6">
        <v>1383.0</v>
      </c>
      <c r="G3964" s="6">
        <v>1843.0</v>
      </c>
      <c r="H3964" s="6">
        <v>0.5507</v>
      </c>
      <c r="I3964" s="6">
        <v>0.7504</v>
      </c>
      <c r="J3964" s="6">
        <v>-0.1997</v>
      </c>
    </row>
    <row r="3965">
      <c r="A3965" s="1" t="s">
        <v>26</v>
      </c>
      <c r="B3965" s="1" t="s">
        <v>1192</v>
      </c>
      <c r="C3965" s="1" t="s">
        <v>54</v>
      </c>
      <c r="D3965" s="6">
        <v>4.0</v>
      </c>
      <c r="E3965" s="6">
        <v>1137.0</v>
      </c>
      <c r="F3965" s="6">
        <v>1463.0</v>
      </c>
      <c r="G3965" s="6">
        <v>1843.0</v>
      </c>
      <c r="H3965" s="6">
        <v>0.6169</v>
      </c>
      <c r="I3965" s="6">
        <v>0.7938</v>
      </c>
      <c r="J3965" s="6">
        <v>-0.1769</v>
      </c>
    </row>
    <row r="3966">
      <c r="A3966" s="1" t="s">
        <v>26</v>
      </c>
      <c r="B3966" s="1" t="s">
        <v>1192</v>
      </c>
      <c r="C3966" s="1" t="s">
        <v>54</v>
      </c>
      <c r="D3966" s="6">
        <v>5.0</v>
      </c>
      <c r="E3966" s="6">
        <v>1074.0</v>
      </c>
      <c r="F3966" s="6">
        <v>1572.0</v>
      </c>
      <c r="G3966" s="6">
        <v>1843.0</v>
      </c>
      <c r="H3966" s="6">
        <v>0.5827</v>
      </c>
      <c r="I3966" s="6">
        <v>0.853</v>
      </c>
      <c r="J3966" s="6">
        <v>-0.2702</v>
      </c>
    </row>
    <row r="3967">
      <c r="A3967" s="1" t="s">
        <v>26</v>
      </c>
      <c r="B3967" s="1" t="s">
        <v>1192</v>
      </c>
      <c r="C3967" s="1" t="s">
        <v>54</v>
      </c>
      <c r="D3967" s="6">
        <v>6.0</v>
      </c>
      <c r="E3967" s="6">
        <v>1376.0</v>
      </c>
      <c r="F3967" s="6">
        <v>1684.0</v>
      </c>
      <c r="G3967" s="6">
        <v>1843.0</v>
      </c>
      <c r="H3967" s="6">
        <v>0.7466</v>
      </c>
      <c r="I3967" s="6">
        <v>0.9137</v>
      </c>
      <c r="J3967" s="6">
        <v>-0.1671</v>
      </c>
    </row>
    <row r="3968">
      <c r="A3968" s="1" t="s">
        <v>26</v>
      </c>
      <c r="B3968" s="1" t="s">
        <v>1192</v>
      </c>
      <c r="C3968" s="1" t="s">
        <v>54</v>
      </c>
      <c r="D3968" s="6">
        <v>7.0</v>
      </c>
      <c r="E3968" s="6">
        <v>1292.0</v>
      </c>
      <c r="F3968" s="6">
        <v>1594.0</v>
      </c>
      <c r="G3968" s="6">
        <v>1843.0</v>
      </c>
      <c r="H3968" s="6">
        <v>0.701</v>
      </c>
      <c r="I3968" s="6">
        <v>0.8649</v>
      </c>
      <c r="J3968" s="6">
        <v>-0.1639</v>
      </c>
    </row>
    <row r="3969">
      <c r="A3969" s="1" t="s">
        <v>26</v>
      </c>
      <c r="B3969" s="1" t="s">
        <v>1192</v>
      </c>
      <c r="C3969" s="1" t="s">
        <v>54</v>
      </c>
      <c r="D3969" s="6">
        <v>8.0</v>
      </c>
      <c r="E3969" s="6">
        <v>1037.0</v>
      </c>
      <c r="F3969" s="6">
        <v>1502.0</v>
      </c>
      <c r="G3969" s="6">
        <v>1843.0</v>
      </c>
      <c r="H3969" s="6">
        <v>0.5627</v>
      </c>
      <c r="I3969" s="6">
        <v>0.815</v>
      </c>
      <c r="J3969" s="6">
        <v>-0.2523</v>
      </c>
    </row>
    <row r="3970">
      <c r="A3970" s="1" t="s">
        <v>26</v>
      </c>
      <c r="B3970" s="1" t="s">
        <v>1192</v>
      </c>
      <c r="C3970" s="1" t="s">
        <v>54</v>
      </c>
      <c r="D3970" s="6">
        <v>9.0</v>
      </c>
      <c r="E3970" s="6">
        <v>943.0</v>
      </c>
      <c r="F3970" s="6">
        <v>1428.0</v>
      </c>
      <c r="G3970" s="6">
        <v>1843.0</v>
      </c>
      <c r="H3970" s="6">
        <v>0.5117</v>
      </c>
      <c r="I3970" s="6">
        <v>0.7748</v>
      </c>
      <c r="J3970" s="6">
        <v>-0.2632</v>
      </c>
    </row>
    <row r="3971">
      <c r="A3971" s="1" t="s">
        <v>26</v>
      </c>
      <c r="B3971" s="1" t="s">
        <v>1192</v>
      </c>
      <c r="C3971" s="1" t="s">
        <v>54</v>
      </c>
      <c r="D3971" s="6">
        <v>10.0</v>
      </c>
      <c r="E3971" s="6">
        <v>988.0</v>
      </c>
      <c r="F3971" s="6">
        <v>1543.0</v>
      </c>
      <c r="G3971" s="6">
        <v>1843.0</v>
      </c>
      <c r="H3971" s="6">
        <v>0.5361</v>
      </c>
      <c r="I3971" s="6">
        <v>0.8372</v>
      </c>
      <c r="J3971" s="6">
        <v>-0.3011</v>
      </c>
    </row>
    <row r="3972">
      <c r="A3972" s="1" t="s">
        <v>26</v>
      </c>
      <c r="B3972" s="1" t="s">
        <v>1192</v>
      </c>
      <c r="C3972" s="1" t="s">
        <v>54</v>
      </c>
      <c r="D3972" s="6">
        <v>11.0</v>
      </c>
      <c r="E3972" s="6">
        <v>1214.0</v>
      </c>
      <c r="F3972" s="6">
        <v>1736.0</v>
      </c>
      <c r="G3972" s="6">
        <v>1843.0</v>
      </c>
      <c r="H3972" s="6">
        <v>0.6587</v>
      </c>
      <c r="I3972" s="6">
        <v>0.9419</v>
      </c>
      <c r="J3972" s="6">
        <v>-0.2832</v>
      </c>
    </row>
    <row r="3973">
      <c r="A3973" s="1" t="s">
        <v>26</v>
      </c>
      <c r="B3973" s="1" t="s">
        <v>1192</v>
      </c>
      <c r="C3973" s="1" t="s">
        <v>54</v>
      </c>
      <c r="D3973" s="6">
        <v>12.0</v>
      </c>
      <c r="E3973" s="6">
        <v>1006.0</v>
      </c>
      <c r="F3973" s="6">
        <v>1627.0</v>
      </c>
      <c r="G3973" s="6">
        <v>1843.0</v>
      </c>
      <c r="H3973" s="6">
        <v>0.5458</v>
      </c>
      <c r="I3973" s="6">
        <v>0.8828</v>
      </c>
      <c r="J3973" s="6">
        <v>-0.337</v>
      </c>
    </row>
    <row r="3974">
      <c r="A3974" s="1" t="s">
        <v>26</v>
      </c>
      <c r="B3974" s="1" t="s">
        <v>1192</v>
      </c>
      <c r="C3974" s="1" t="s">
        <v>54</v>
      </c>
      <c r="D3974" s="6">
        <v>13.0</v>
      </c>
      <c r="E3974" s="6">
        <v>1352.0</v>
      </c>
      <c r="F3974" s="6">
        <v>1675.0</v>
      </c>
      <c r="G3974" s="6">
        <v>1843.0</v>
      </c>
      <c r="H3974" s="6">
        <v>0.7336</v>
      </c>
      <c r="I3974" s="6">
        <v>0.9088</v>
      </c>
      <c r="J3974" s="6">
        <v>-0.1753</v>
      </c>
    </row>
    <row r="3975">
      <c r="A3975" s="1" t="s">
        <v>26</v>
      </c>
      <c r="B3975" s="1" t="s">
        <v>1192</v>
      </c>
      <c r="C3975" s="1" t="s">
        <v>54</v>
      </c>
      <c r="D3975" s="6">
        <v>14.0</v>
      </c>
      <c r="E3975" s="6">
        <v>1292.0</v>
      </c>
      <c r="F3975" s="6">
        <v>1748.0</v>
      </c>
      <c r="G3975" s="6">
        <v>1843.0</v>
      </c>
      <c r="H3975" s="6">
        <v>0.701</v>
      </c>
      <c r="I3975" s="6">
        <v>0.9485</v>
      </c>
      <c r="J3975" s="6">
        <v>-0.2474</v>
      </c>
    </row>
    <row r="3976">
      <c r="A3976" s="1" t="s">
        <v>26</v>
      </c>
      <c r="B3976" s="1" t="s">
        <v>1192</v>
      </c>
      <c r="C3976" s="1" t="s">
        <v>54</v>
      </c>
      <c r="D3976" s="6">
        <v>15.0</v>
      </c>
      <c r="E3976" s="6">
        <v>1010.0</v>
      </c>
      <c r="F3976" s="6">
        <v>1669.0</v>
      </c>
      <c r="G3976" s="6">
        <v>1843.0</v>
      </c>
      <c r="H3976" s="6">
        <v>0.548</v>
      </c>
      <c r="I3976" s="6">
        <v>0.9056</v>
      </c>
      <c r="J3976" s="6">
        <v>-0.3576</v>
      </c>
    </row>
    <row r="3977">
      <c r="A3977" s="1" t="s">
        <v>26</v>
      </c>
      <c r="B3977" s="1" t="s">
        <v>1192</v>
      </c>
      <c r="C3977" s="1" t="s">
        <v>54</v>
      </c>
      <c r="D3977" s="6">
        <v>16.0</v>
      </c>
      <c r="E3977" s="6">
        <v>1369.0</v>
      </c>
      <c r="F3977" s="6">
        <v>1699.0</v>
      </c>
      <c r="G3977" s="6">
        <v>1843.0</v>
      </c>
      <c r="H3977" s="6">
        <v>0.7428</v>
      </c>
      <c r="I3977" s="6">
        <v>0.9219</v>
      </c>
      <c r="J3977" s="6">
        <v>-0.1791</v>
      </c>
    </row>
    <row r="3978">
      <c r="A3978" s="1" t="s">
        <v>26</v>
      </c>
      <c r="B3978" s="1" t="s">
        <v>1192</v>
      </c>
      <c r="C3978" s="1" t="s">
        <v>54</v>
      </c>
      <c r="D3978" s="6">
        <v>17.0</v>
      </c>
      <c r="E3978" s="6">
        <v>1296.0</v>
      </c>
      <c r="F3978" s="6">
        <v>1684.0</v>
      </c>
      <c r="G3978" s="6">
        <v>1843.0</v>
      </c>
      <c r="H3978" s="6">
        <v>0.7032</v>
      </c>
      <c r="I3978" s="6">
        <v>0.9137</v>
      </c>
      <c r="J3978" s="6">
        <v>-0.2105</v>
      </c>
    </row>
    <row r="3979">
      <c r="A3979" s="1" t="s">
        <v>26</v>
      </c>
      <c r="B3979" s="1" t="s">
        <v>1192</v>
      </c>
      <c r="C3979" s="1" t="s">
        <v>54</v>
      </c>
      <c r="D3979" s="6">
        <v>18.0</v>
      </c>
      <c r="E3979" s="6">
        <v>1498.0</v>
      </c>
      <c r="F3979" s="6">
        <v>1775.0</v>
      </c>
      <c r="G3979" s="6">
        <v>1843.0</v>
      </c>
      <c r="H3979" s="6">
        <v>0.8128</v>
      </c>
      <c r="I3979" s="6">
        <v>0.9631</v>
      </c>
      <c r="J3979" s="6">
        <v>-0.1503</v>
      </c>
    </row>
    <row r="3980">
      <c r="A3980" s="1" t="s">
        <v>26</v>
      </c>
      <c r="B3980" s="1" t="s">
        <v>1192</v>
      </c>
      <c r="C3980" s="1" t="s">
        <v>54</v>
      </c>
      <c r="D3980" s="6">
        <v>19.0</v>
      </c>
      <c r="E3980" s="6">
        <v>1354.0</v>
      </c>
      <c r="F3980" s="6">
        <v>1968.0</v>
      </c>
      <c r="G3980" s="6">
        <v>1843.0</v>
      </c>
      <c r="H3980" s="6">
        <v>0.7347</v>
      </c>
      <c r="I3980" s="6">
        <v>1.0678</v>
      </c>
      <c r="J3980" s="6">
        <v>-0.3332</v>
      </c>
    </row>
    <row r="3981">
      <c r="A3981" s="1" t="s">
        <v>26</v>
      </c>
      <c r="B3981" s="1" t="s">
        <v>1192</v>
      </c>
      <c r="C3981" s="1" t="s">
        <v>54</v>
      </c>
      <c r="D3981" s="6">
        <v>20.0</v>
      </c>
      <c r="E3981" s="6">
        <v>1887.0</v>
      </c>
      <c r="F3981" s="6">
        <v>2288.0</v>
      </c>
      <c r="G3981" s="6">
        <v>1843.0</v>
      </c>
      <c r="H3981" s="6">
        <v>1.0239</v>
      </c>
      <c r="I3981" s="6">
        <v>1.2415</v>
      </c>
      <c r="J3981" s="6">
        <v>-0.2176</v>
      </c>
    </row>
    <row r="3982">
      <c r="A3982" s="1" t="s">
        <v>26</v>
      </c>
      <c r="B3982" s="1" t="s">
        <v>1192</v>
      </c>
      <c r="C3982" s="1" t="s">
        <v>54</v>
      </c>
      <c r="D3982" s="6">
        <v>21.0</v>
      </c>
      <c r="E3982" s="6">
        <v>2037.0</v>
      </c>
      <c r="F3982" s="6">
        <v>2338.0</v>
      </c>
      <c r="G3982" s="6">
        <v>1843.0</v>
      </c>
      <c r="H3982" s="6">
        <v>1.1053</v>
      </c>
      <c r="I3982" s="6">
        <v>1.2686</v>
      </c>
      <c r="J3982" s="6">
        <v>-0.1633</v>
      </c>
    </row>
    <row r="3983">
      <c r="A3983" s="1" t="s">
        <v>26</v>
      </c>
      <c r="B3983" s="1" t="s">
        <v>1192</v>
      </c>
      <c r="C3983" s="1" t="s">
        <v>54</v>
      </c>
      <c r="D3983" s="6">
        <v>22.0</v>
      </c>
      <c r="E3983" s="6">
        <v>1560.0</v>
      </c>
      <c r="F3983" s="6">
        <v>2025.0</v>
      </c>
      <c r="G3983" s="6">
        <v>1843.0</v>
      </c>
      <c r="H3983" s="6">
        <v>0.8464</v>
      </c>
      <c r="I3983" s="6">
        <v>1.0988</v>
      </c>
      <c r="J3983" s="6">
        <v>-0.2523</v>
      </c>
    </row>
    <row r="3984">
      <c r="A3984" s="1" t="s">
        <v>26</v>
      </c>
      <c r="B3984" s="1" t="s">
        <v>1192</v>
      </c>
      <c r="C3984" s="1" t="s">
        <v>54</v>
      </c>
      <c r="D3984" s="6">
        <v>23.0</v>
      </c>
      <c r="E3984" s="6">
        <v>1490.0</v>
      </c>
      <c r="F3984" s="6">
        <v>1992.0</v>
      </c>
      <c r="G3984" s="6">
        <v>1843.0</v>
      </c>
      <c r="H3984" s="6">
        <v>0.8085</v>
      </c>
      <c r="I3984" s="6">
        <v>1.0808</v>
      </c>
      <c r="J3984" s="6">
        <v>-0.2724</v>
      </c>
    </row>
    <row r="3985">
      <c r="A3985" s="1" t="s">
        <v>26</v>
      </c>
      <c r="B3985" s="1" t="s">
        <v>1192</v>
      </c>
      <c r="C3985" s="1" t="s">
        <v>54</v>
      </c>
      <c r="D3985" s="6">
        <v>24.0</v>
      </c>
      <c r="E3985" s="6">
        <v>1351.0</v>
      </c>
      <c r="F3985" s="6">
        <v>1901.0</v>
      </c>
      <c r="G3985" s="6">
        <v>1843.0</v>
      </c>
      <c r="H3985" s="6">
        <v>0.733</v>
      </c>
      <c r="I3985" s="6">
        <v>1.0315</v>
      </c>
      <c r="J3985" s="6">
        <v>-0.2984</v>
      </c>
    </row>
    <row r="3986">
      <c r="A3986" s="1" t="s">
        <v>26</v>
      </c>
      <c r="B3986" s="1" t="s">
        <v>1192</v>
      </c>
      <c r="C3986" s="1" t="s">
        <v>54</v>
      </c>
      <c r="D3986" s="6">
        <v>25.0</v>
      </c>
      <c r="E3986" s="6">
        <v>1554.0</v>
      </c>
      <c r="F3986" s="6">
        <v>2054.0</v>
      </c>
      <c r="G3986" s="6">
        <v>1843.0</v>
      </c>
      <c r="H3986" s="6">
        <v>0.8432</v>
      </c>
      <c r="I3986" s="6">
        <v>1.1145</v>
      </c>
      <c r="J3986" s="6">
        <v>-0.2713</v>
      </c>
    </row>
    <row r="3987">
      <c r="A3987" s="1" t="s">
        <v>26</v>
      </c>
      <c r="B3987" s="1" t="s">
        <v>1192</v>
      </c>
      <c r="C3987" s="1" t="s">
        <v>54</v>
      </c>
      <c r="D3987" s="6">
        <v>26.0</v>
      </c>
      <c r="E3987" s="6">
        <v>1444.0</v>
      </c>
      <c r="F3987" s="6">
        <v>2282.0</v>
      </c>
      <c r="G3987" s="6">
        <v>1843.0</v>
      </c>
      <c r="H3987" s="6">
        <v>0.7835</v>
      </c>
      <c r="I3987" s="6">
        <v>1.2382</v>
      </c>
      <c r="J3987" s="6">
        <v>-0.4547</v>
      </c>
    </row>
    <row r="3988">
      <c r="A3988" s="1" t="s">
        <v>26</v>
      </c>
      <c r="B3988" s="1" t="s">
        <v>1192</v>
      </c>
      <c r="C3988" s="1" t="s">
        <v>54</v>
      </c>
      <c r="D3988" s="6">
        <v>27.0</v>
      </c>
      <c r="E3988" s="6">
        <v>1885.0</v>
      </c>
      <c r="F3988" s="6">
        <v>2401.0</v>
      </c>
      <c r="G3988" s="6">
        <v>1843.0</v>
      </c>
      <c r="H3988" s="6">
        <v>1.0228</v>
      </c>
      <c r="I3988" s="6">
        <v>1.3028</v>
      </c>
      <c r="J3988" s="6">
        <v>-0.28</v>
      </c>
    </row>
    <row r="3989">
      <c r="A3989" s="1" t="s">
        <v>26</v>
      </c>
      <c r="B3989" s="1" t="s">
        <v>1192</v>
      </c>
      <c r="C3989" s="1" t="s">
        <v>54</v>
      </c>
      <c r="D3989" s="6">
        <v>28.0</v>
      </c>
      <c r="E3989" s="6">
        <v>1476.0</v>
      </c>
      <c r="F3989" s="6">
        <v>2103.0</v>
      </c>
      <c r="G3989" s="6">
        <v>1843.0</v>
      </c>
      <c r="H3989" s="6">
        <v>0.8009</v>
      </c>
      <c r="I3989" s="6">
        <v>1.1411</v>
      </c>
      <c r="J3989" s="6">
        <v>-0.3402</v>
      </c>
    </row>
    <row r="3990">
      <c r="A3990" s="1" t="s">
        <v>26</v>
      </c>
      <c r="B3990" s="1" t="s">
        <v>1192</v>
      </c>
      <c r="C3990" s="1" t="s">
        <v>54</v>
      </c>
      <c r="D3990" s="6">
        <v>29.0</v>
      </c>
      <c r="E3990" s="6">
        <v>1206.0</v>
      </c>
      <c r="F3990" s="6">
        <v>2125.0</v>
      </c>
      <c r="G3990" s="6">
        <v>1843.0</v>
      </c>
      <c r="H3990" s="6">
        <v>0.6544</v>
      </c>
      <c r="I3990" s="6">
        <v>1.153</v>
      </c>
      <c r="J3990" s="6">
        <v>-0.4986</v>
      </c>
    </row>
    <row r="3991">
      <c r="A3991" s="1" t="s">
        <v>26</v>
      </c>
      <c r="B3991" s="1" t="s">
        <v>1192</v>
      </c>
      <c r="C3991" s="1" t="s">
        <v>54</v>
      </c>
      <c r="D3991" s="6">
        <v>30.0</v>
      </c>
      <c r="E3991" s="6">
        <v>1841.0</v>
      </c>
      <c r="F3991" s="6">
        <v>2439.0</v>
      </c>
      <c r="G3991" s="6">
        <v>1843.0</v>
      </c>
      <c r="H3991" s="6">
        <v>0.9989</v>
      </c>
      <c r="I3991" s="6">
        <v>1.3234</v>
      </c>
      <c r="J3991" s="6">
        <v>-0.3245</v>
      </c>
    </row>
    <row r="3992">
      <c r="A3992" s="1" t="s">
        <v>26</v>
      </c>
      <c r="B3992" s="1" t="s">
        <v>1192</v>
      </c>
      <c r="C3992" s="1" t="s">
        <v>54</v>
      </c>
      <c r="D3992" s="6">
        <v>31.0</v>
      </c>
      <c r="E3992" s="6">
        <v>1729.0</v>
      </c>
      <c r="F3992" s="6">
        <v>2358.0</v>
      </c>
      <c r="G3992" s="6">
        <v>1843.0</v>
      </c>
      <c r="H3992" s="6">
        <v>0.9381</v>
      </c>
      <c r="I3992" s="6">
        <v>1.2794</v>
      </c>
      <c r="J3992" s="6">
        <v>-0.3413</v>
      </c>
    </row>
    <row r="3993">
      <c r="A3993" s="1" t="s">
        <v>26</v>
      </c>
      <c r="B3993" s="1" t="s">
        <v>1192</v>
      </c>
      <c r="C3993" s="1" t="s">
        <v>54</v>
      </c>
      <c r="D3993" s="6">
        <v>32.0</v>
      </c>
      <c r="E3993" s="6">
        <v>2045.0</v>
      </c>
      <c r="F3993" s="6">
        <v>2541.0</v>
      </c>
      <c r="G3993" s="6">
        <v>1843.0</v>
      </c>
      <c r="H3993" s="6">
        <v>1.1096</v>
      </c>
      <c r="I3993" s="6">
        <v>1.3787</v>
      </c>
      <c r="J3993" s="6">
        <v>-0.2691</v>
      </c>
    </row>
    <row r="3994">
      <c r="A3994" s="1" t="s">
        <v>26</v>
      </c>
      <c r="B3994" s="1" t="s">
        <v>1192</v>
      </c>
      <c r="C3994" s="1" t="s">
        <v>54</v>
      </c>
      <c r="D3994" s="6">
        <v>33.0</v>
      </c>
      <c r="E3994" s="6">
        <v>1760.0</v>
      </c>
      <c r="F3994" s="6">
        <v>2698.0</v>
      </c>
      <c r="G3994" s="6">
        <v>1843.0</v>
      </c>
      <c r="H3994" s="6">
        <v>0.955</v>
      </c>
      <c r="I3994" s="6">
        <v>1.4639</v>
      </c>
      <c r="J3994" s="6">
        <v>-0.509</v>
      </c>
    </row>
    <row r="3995">
      <c r="A3995" s="1" t="s">
        <v>26</v>
      </c>
      <c r="B3995" s="1" t="s">
        <v>1192</v>
      </c>
      <c r="C3995" s="1" t="s">
        <v>47</v>
      </c>
      <c r="D3995" s="6">
        <v>1.0</v>
      </c>
      <c r="E3995" s="6">
        <v>1509.0</v>
      </c>
      <c r="F3995" s="6">
        <v>2104.0</v>
      </c>
      <c r="G3995" s="6">
        <v>1841.0</v>
      </c>
      <c r="H3995" s="6">
        <v>0.8197</v>
      </c>
      <c r="I3995" s="6">
        <v>1.1429</v>
      </c>
      <c r="J3995" s="6">
        <v>-0.3232</v>
      </c>
    </row>
    <row r="3996">
      <c r="A3996" s="1" t="s">
        <v>26</v>
      </c>
      <c r="B3996" s="1" t="s">
        <v>1192</v>
      </c>
      <c r="C3996" s="1" t="s">
        <v>47</v>
      </c>
      <c r="D3996" s="6">
        <v>2.0</v>
      </c>
      <c r="E3996" s="6">
        <v>1465.0</v>
      </c>
      <c r="F3996" s="6">
        <v>1969.0</v>
      </c>
      <c r="G3996" s="6">
        <v>1841.0</v>
      </c>
      <c r="H3996" s="6">
        <v>0.7958</v>
      </c>
      <c r="I3996" s="6">
        <v>1.0695</v>
      </c>
      <c r="J3996" s="6">
        <v>-0.2738</v>
      </c>
    </row>
    <row r="3997">
      <c r="A3997" s="1" t="s">
        <v>26</v>
      </c>
      <c r="B3997" s="1" t="s">
        <v>1192</v>
      </c>
      <c r="C3997" s="1" t="s">
        <v>47</v>
      </c>
      <c r="D3997" s="6">
        <v>3.0</v>
      </c>
      <c r="E3997" s="6">
        <v>2064.0</v>
      </c>
      <c r="F3997" s="6">
        <v>2344.0</v>
      </c>
      <c r="G3997" s="6">
        <v>1841.0</v>
      </c>
      <c r="H3997" s="6">
        <v>1.1211</v>
      </c>
      <c r="I3997" s="6">
        <v>1.2732</v>
      </c>
      <c r="J3997" s="6">
        <v>-0.1521</v>
      </c>
    </row>
    <row r="3998">
      <c r="A3998" s="1" t="s">
        <v>26</v>
      </c>
      <c r="B3998" s="1" t="s">
        <v>1192</v>
      </c>
      <c r="C3998" s="1" t="s">
        <v>47</v>
      </c>
      <c r="D3998" s="6">
        <v>4.0</v>
      </c>
      <c r="E3998" s="6">
        <v>1789.0</v>
      </c>
      <c r="F3998" s="6">
        <v>2201.0</v>
      </c>
      <c r="G3998" s="6">
        <v>1841.0</v>
      </c>
      <c r="H3998" s="6">
        <v>0.9718</v>
      </c>
      <c r="I3998" s="6">
        <v>1.1955</v>
      </c>
      <c r="J3998" s="6">
        <v>-0.2238</v>
      </c>
    </row>
    <row r="3999">
      <c r="A3999" s="1" t="s">
        <v>26</v>
      </c>
      <c r="B3999" s="1" t="s">
        <v>1192</v>
      </c>
      <c r="C3999" s="1" t="s">
        <v>47</v>
      </c>
      <c r="D3999" s="6">
        <v>5.0</v>
      </c>
      <c r="E3999" s="6">
        <v>2059.0</v>
      </c>
      <c r="F3999" s="6">
        <v>2558.0</v>
      </c>
      <c r="G3999" s="6">
        <v>1841.0</v>
      </c>
      <c r="H3999" s="6">
        <v>1.1184</v>
      </c>
      <c r="I3999" s="6">
        <v>1.3895</v>
      </c>
      <c r="J3999" s="6">
        <v>-0.271</v>
      </c>
    </row>
    <row r="4000">
      <c r="A4000" s="1" t="s">
        <v>26</v>
      </c>
      <c r="B4000" s="1" t="s">
        <v>1192</v>
      </c>
      <c r="C4000" s="1" t="s">
        <v>47</v>
      </c>
      <c r="D4000" s="6">
        <v>6.0</v>
      </c>
      <c r="E4000" s="6">
        <v>2074.0</v>
      </c>
      <c r="F4000" s="6">
        <v>2641.0</v>
      </c>
      <c r="G4000" s="6">
        <v>1841.0</v>
      </c>
      <c r="H4000" s="6">
        <v>1.1266</v>
      </c>
      <c r="I4000" s="6">
        <v>1.4345</v>
      </c>
      <c r="J4000" s="6">
        <v>-0.308</v>
      </c>
    </row>
    <row r="4001">
      <c r="A4001" s="1" t="s">
        <v>26</v>
      </c>
      <c r="B4001" s="1" t="s">
        <v>1192</v>
      </c>
      <c r="C4001" s="1" t="s">
        <v>47</v>
      </c>
      <c r="D4001" s="6">
        <v>7.0</v>
      </c>
      <c r="E4001" s="6">
        <v>1889.0</v>
      </c>
      <c r="F4001" s="6">
        <v>2425.0</v>
      </c>
      <c r="G4001" s="6">
        <v>1841.0</v>
      </c>
      <c r="H4001" s="6">
        <v>1.0261</v>
      </c>
      <c r="I4001" s="6">
        <v>1.3172</v>
      </c>
      <c r="J4001" s="6">
        <v>-0.2911</v>
      </c>
    </row>
    <row r="4002">
      <c r="A4002" s="1" t="s">
        <v>26</v>
      </c>
      <c r="B4002" s="1" t="s">
        <v>1192</v>
      </c>
      <c r="C4002" s="1" t="s">
        <v>47</v>
      </c>
      <c r="D4002" s="6">
        <v>8.0</v>
      </c>
      <c r="E4002" s="6">
        <v>1855.0</v>
      </c>
      <c r="F4002" s="6">
        <v>2276.0</v>
      </c>
      <c r="G4002" s="6">
        <v>1841.0</v>
      </c>
      <c r="H4002" s="6">
        <v>1.0076</v>
      </c>
      <c r="I4002" s="6">
        <v>1.2363</v>
      </c>
      <c r="J4002" s="6">
        <v>-0.2287</v>
      </c>
    </row>
    <row r="4003">
      <c r="A4003" s="1" t="s">
        <v>26</v>
      </c>
      <c r="B4003" s="1" t="s">
        <v>1192</v>
      </c>
      <c r="C4003" s="1" t="s">
        <v>47</v>
      </c>
      <c r="D4003" s="6">
        <v>9.0</v>
      </c>
      <c r="E4003" s="6">
        <v>1446.0</v>
      </c>
      <c r="F4003" s="6">
        <v>2059.0</v>
      </c>
      <c r="G4003" s="6">
        <v>1841.0</v>
      </c>
      <c r="H4003" s="6">
        <v>0.7854</v>
      </c>
      <c r="I4003" s="6">
        <v>1.1184</v>
      </c>
      <c r="J4003" s="6">
        <v>-0.333</v>
      </c>
    </row>
    <row r="4004">
      <c r="A4004" s="1" t="s">
        <v>26</v>
      </c>
      <c r="B4004" s="1" t="s">
        <v>1192</v>
      </c>
      <c r="C4004" s="1" t="s">
        <v>47</v>
      </c>
      <c r="D4004" s="6">
        <v>10.0</v>
      </c>
      <c r="E4004" s="6">
        <v>2295.0</v>
      </c>
      <c r="F4004" s="6">
        <v>2890.0</v>
      </c>
      <c r="G4004" s="6">
        <v>1841.0</v>
      </c>
      <c r="H4004" s="6">
        <v>1.2466</v>
      </c>
      <c r="I4004" s="6">
        <v>1.5698</v>
      </c>
      <c r="J4004" s="6">
        <v>-0.3232</v>
      </c>
    </row>
    <row r="4005">
      <c r="A4005" s="1" t="s">
        <v>26</v>
      </c>
      <c r="B4005" s="1" t="s">
        <v>1192</v>
      </c>
      <c r="C4005" s="1" t="s">
        <v>47</v>
      </c>
      <c r="D4005" s="6">
        <v>11.0</v>
      </c>
      <c r="E4005" s="6">
        <v>1966.0</v>
      </c>
      <c r="F4005" s="6">
        <v>2942.0</v>
      </c>
      <c r="G4005" s="6">
        <v>1841.0</v>
      </c>
      <c r="H4005" s="6">
        <v>1.0679</v>
      </c>
      <c r="I4005" s="6">
        <v>1.598</v>
      </c>
      <c r="J4005" s="6">
        <v>-0.5301</v>
      </c>
    </row>
    <row r="4006">
      <c r="A4006" s="1" t="s">
        <v>26</v>
      </c>
      <c r="B4006" s="1" t="s">
        <v>1192</v>
      </c>
      <c r="C4006" s="1" t="s">
        <v>47</v>
      </c>
      <c r="D4006" s="6">
        <v>12.0</v>
      </c>
      <c r="E4006" s="6">
        <v>2206.0</v>
      </c>
      <c r="F4006" s="6">
        <v>2988.0</v>
      </c>
      <c r="G4006" s="6">
        <v>1841.0</v>
      </c>
      <c r="H4006" s="6">
        <v>1.1983</v>
      </c>
      <c r="I4006" s="6">
        <v>1.623</v>
      </c>
      <c r="J4006" s="6">
        <v>-0.4248</v>
      </c>
    </row>
    <row r="4007">
      <c r="A4007" s="1" t="s">
        <v>26</v>
      </c>
      <c r="B4007" s="1" t="s">
        <v>1192</v>
      </c>
      <c r="C4007" s="1" t="s">
        <v>47</v>
      </c>
      <c r="D4007" s="6">
        <v>13.0</v>
      </c>
      <c r="E4007" s="6">
        <v>2263.0</v>
      </c>
      <c r="F4007" s="6">
        <v>2989.0</v>
      </c>
      <c r="G4007" s="6">
        <v>1841.0</v>
      </c>
      <c r="H4007" s="6">
        <v>1.2292</v>
      </c>
      <c r="I4007" s="6">
        <v>1.6236</v>
      </c>
      <c r="J4007" s="6">
        <v>-0.3944</v>
      </c>
    </row>
    <row r="4008">
      <c r="A4008" s="1" t="s">
        <v>26</v>
      </c>
      <c r="B4008" s="1" t="s">
        <v>1192</v>
      </c>
      <c r="C4008" s="1" t="s">
        <v>47</v>
      </c>
      <c r="D4008" s="6">
        <v>14.0</v>
      </c>
      <c r="E4008" s="6">
        <v>2004.0</v>
      </c>
      <c r="F4008" s="6">
        <v>2642.0</v>
      </c>
      <c r="G4008" s="6">
        <v>1841.0</v>
      </c>
      <c r="H4008" s="6">
        <v>1.0885</v>
      </c>
      <c r="I4008" s="6">
        <v>1.4351</v>
      </c>
      <c r="J4008" s="6">
        <v>-0.3466</v>
      </c>
    </row>
    <row r="4009">
      <c r="A4009" s="1" t="s">
        <v>26</v>
      </c>
      <c r="B4009" s="1" t="s">
        <v>1192</v>
      </c>
      <c r="C4009" s="1" t="s">
        <v>47</v>
      </c>
      <c r="D4009" s="6">
        <v>15.0</v>
      </c>
      <c r="E4009" s="6">
        <v>2021.0</v>
      </c>
      <c r="F4009" s="6">
        <v>2867.0</v>
      </c>
      <c r="G4009" s="6">
        <v>1841.0</v>
      </c>
      <c r="H4009" s="6">
        <v>1.0978</v>
      </c>
      <c r="I4009" s="6">
        <v>1.5573</v>
      </c>
      <c r="J4009" s="6">
        <v>-0.4595</v>
      </c>
    </row>
    <row r="4010">
      <c r="A4010" s="1" t="s">
        <v>26</v>
      </c>
      <c r="B4010" s="1" t="s">
        <v>1192</v>
      </c>
      <c r="C4010" s="1" t="s">
        <v>47</v>
      </c>
      <c r="D4010" s="6">
        <v>16.0</v>
      </c>
      <c r="E4010" s="6">
        <v>1988.0</v>
      </c>
      <c r="F4010" s="6">
        <v>2460.0</v>
      </c>
      <c r="G4010" s="6">
        <v>1841.0</v>
      </c>
      <c r="H4010" s="6">
        <v>1.0798</v>
      </c>
      <c r="I4010" s="6">
        <v>1.3362</v>
      </c>
      <c r="J4010" s="6">
        <v>-0.2564</v>
      </c>
    </row>
    <row r="4011">
      <c r="A4011" s="1" t="s">
        <v>26</v>
      </c>
      <c r="B4011" s="1" t="s">
        <v>1192</v>
      </c>
      <c r="C4011" s="1" t="s">
        <v>47</v>
      </c>
      <c r="D4011" s="6">
        <v>17.0</v>
      </c>
      <c r="E4011" s="6">
        <v>2641.0</v>
      </c>
      <c r="F4011" s="6">
        <v>3088.0</v>
      </c>
      <c r="G4011" s="6">
        <v>1841.0</v>
      </c>
      <c r="H4011" s="6">
        <v>1.4345</v>
      </c>
      <c r="I4011" s="6">
        <v>1.6773</v>
      </c>
      <c r="J4011" s="6">
        <v>-0.2428</v>
      </c>
    </row>
    <row r="4012">
      <c r="A4012" s="1" t="s">
        <v>26</v>
      </c>
      <c r="B4012" s="1" t="s">
        <v>1192</v>
      </c>
      <c r="C4012" s="1" t="s">
        <v>47</v>
      </c>
      <c r="D4012" s="6">
        <v>18.0</v>
      </c>
      <c r="E4012" s="6">
        <v>2304.0</v>
      </c>
      <c r="F4012" s="6">
        <v>3107.0</v>
      </c>
      <c r="G4012" s="6">
        <v>1841.0</v>
      </c>
      <c r="H4012" s="6">
        <v>1.2515</v>
      </c>
      <c r="I4012" s="6">
        <v>1.6877</v>
      </c>
      <c r="J4012" s="6">
        <v>-0.4362</v>
      </c>
    </row>
    <row r="4013">
      <c r="A4013" s="1" t="s">
        <v>26</v>
      </c>
      <c r="B4013" s="1" t="s">
        <v>1192</v>
      </c>
      <c r="C4013" s="1" t="s">
        <v>47</v>
      </c>
      <c r="D4013" s="6">
        <v>19.0</v>
      </c>
      <c r="E4013" s="6">
        <v>2646.0</v>
      </c>
      <c r="F4013" s="6">
        <v>3324.0</v>
      </c>
      <c r="G4013" s="6">
        <v>1841.0</v>
      </c>
      <c r="H4013" s="6">
        <v>1.4373</v>
      </c>
      <c r="I4013" s="6">
        <v>1.8055</v>
      </c>
      <c r="J4013" s="6">
        <v>-0.3683</v>
      </c>
    </row>
    <row r="4014">
      <c r="A4014" s="1" t="s">
        <v>26</v>
      </c>
      <c r="B4014" s="1" t="s">
        <v>1192</v>
      </c>
      <c r="C4014" s="1" t="s">
        <v>47</v>
      </c>
      <c r="D4014" s="6">
        <v>20.0</v>
      </c>
      <c r="E4014" s="6">
        <v>2856.0</v>
      </c>
      <c r="F4014" s="6">
        <v>3486.0</v>
      </c>
      <c r="G4014" s="6">
        <v>1841.0</v>
      </c>
      <c r="H4014" s="6">
        <v>1.5513</v>
      </c>
      <c r="I4014" s="6">
        <v>1.8935</v>
      </c>
      <c r="J4014" s="6">
        <v>-0.3422</v>
      </c>
    </row>
    <row r="4015">
      <c r="A4015" s="1" t="s">
        <v>26</v>
      </c>
      <c r="B4015" s="1" t="s">
        <v>1192</v>
      </c>
      <c r="C4015" s="1" t="s">
        <v>47</v>
      </c>
      <c r="D4015" s="6">
        <v>21.0</v>
      </c>
      <c r="E4015" s="6">
        <v>3594.0</v>
      </c>
      <c r="F4015" s="6">
        <v>3396.0</v>
      </c>
      <c r="G4015" s="6">
        <v>1841.0</v>
      </c>
      <c r="H4015" s="6">
        <v>1.9522</v>
      </c>
      <c r="I4015" s="6">
        <v>1.8446</v>
      </c>
      <c r="J4015" s="6">
        <v>0.1076</v>
      </c>
    </row>
    <row r="4016">
      <c r="A4016" s="1" t="s">
        <v>26</v>
      </c>
      <c r="B4016" s="1" t="s">
        <v>1192</v>
      </c>
      <c r="C4016" s="1" t="s">
        <v>47</v>
      </c>
      <c r="D4016" s="6">
        <v>22.0</v>
      </c>
      <c r="E4016" s="6">
        <v>3083.0</v>
      </c>
      <c r="F4016" s="6">
        <v>3576.0</v>
      </c>
      <c r="G4016" s="6">
        <v>1841.0</v>
      </c>
      <c r="H4016" s="6">
        <v>1.6746</v>
      </c>
      <c r="I4016" s="6">
        <v>1.9424</v>
      </c>
      <c r="J4016" s="6">
        <v>-0.2678</v>
      </c>
    </row>
    <row r="4017">
      <c r="A4017" s="1" t="s">
        <v>26</v>
      </c>
      <c r="B4017" s="1" t="s">
        <v>1192</v>
      </c>
      <c r="C4017" s="1" t="s">
        <v>47</v>
      </c>
      <c r="D4017" s="6">
        <v>23.0</v>
      </c>
      <c r="E4017" s="6">
        <v>2507.0</v>
      </c>
      <c r="F4017" s="6">
        <v>3218.0</v>
      </c>
      <c r="G4017" s="6">
        <v>1841.0</v>
      </c>
      <c r="H4017" s="6">
        <v>1.3618</v>
      </c>
      <c r="I4017" s="6">
        <v>1.748</v>
      </c>
      <c r="J4017" s="6">
        <v>-0.3862</v>
      </c>
    </row>
    <row r="4018">
      <c r="A4018" s="1" t="s">
        <v>26</v>
      </c>
      <c r="B4018" s="1" t="s">
        <v>1192</v>
      </c>
      <c r="C4018" s="1" t="s">
        <v>47</v>
      </c>
      <c r="D4018" s="6">
        <v>24.0</v>
      </c>
      <c r="E4018" s="6">
        <v>3167.0</v>
      </c>
      <c r="F4018" s="6">
        <v>3927.0</v>
      </c>
      <c r="G4018" s="6">
        <v>1841.0</v>
      </c>
      <c r="H4018" s="6">
        <v>1.7203</v>
      </c>
      <c r="I4018" s="6">
        <v>2.1331</v>
      </c>
      <c r="J4018" s="6">
        <v>-0.4128</v>
      </c>
    </row>
    <row r="4019">
      <c r="A4019" s="1" t="s">
        <v>26</v>
      </c>
      <c r="B4019" s="1" t="s">
        <v>1192</v>
      </c>
      <c r="C4019" s="1" t="s">
        <v>47</v>
      </c>
      <c r="D4019" s="6">
        <v>25.0</v>
      </c>
      <c r="E4019" s="6">
        <v>2657.0</v>
      </c>
      <c r="F4019" s="6">
        <v>3630.0</v>
      </c>
      <c r="G4019" s="6">
        <v>1841.0</v>
      </c>
      <c r="H4019" s="6">
        <v>1.4432</v>
      </c>
      <c r="I4019" s="6">
        <v>1.9718</v>
      </c>
      <c r="J4019" s="6">
        <v>-0.5285</v>
      </c>
    </row>
    <row r="4020">
      <c r="A4020" s="1" t="s">
        <v>26</v>
      </c>
      <c r="B4020" s="1" t="s">
        <v>1192</v>
      </c>
      <c r="C4020" s="1" t="s">
        <v>47</v>
      </c>
      <c r="D4020" s="6">
        <v>26.0</v>
      </c>
      <c r="E4020" s="6">
        <v>3253.0</v>
      </c>
      <c r="F4020" s="6">
        <v>4309.0</v>
      </c>
      <c r="G4020" s="6">
        <v>1841.0</v>
      </c>
      <c r="H4020" s="6">
        <v>1.767</v>
      </c>
      <c r="I4020" s="6">
        <v>2.3406</v>
      </c>
      <c r="J4020" s="6">
        <v>-0.5736</v>
      </c>
    </row>
    <row r="4021">
      <c r="A4021" s="1" t="s">
        <v>26</v>
      </c>
      <c r="B4021" s="1" t="s">
        <v>1192</v>
      </c>
      <c r="C4021" s="1" t="s">
        <v>47</v>
      </c>
      <c r="D4021" s="6">
        <v>27.0</v>
      </c>
      <c r="E4021" s="6">
        <v>3105.0</v>
      </c>
      <c r="F4021" s="6">
        <v>3645.0</v>
      </c>
      <c r="G4021" s="6">
        <v>1841.0</v>
      </c>
      <c r="H4021" s="6">
        <v>1.6866</v>
      </c>
      <c r="I4021" s="6">
        <v>1.9799</v>
      </c>
      <c r="J4021" s="6">
        <v>-0.2933</v>
      </c>
    </row>
    <row r="4022">
      <c r="A4022" s="1" t="s">
        <v>26</v>
      </c>
      <c r="B4022" s="1" t="s">
        <v>1192</v>
      </c>
      <c r="C4022" s="1" t="s">
        <v>47</v>
      </c>
      <c r="D4022" s="6">
        <v>28.0</v>
      </c>
      <c r="E4022" s="6">
        <v>2580.0</v>
      </c>
      <c r="F4022" s="6">
        <v>3330.0</v>
      </c>
      <c r="G4022" s="6">
        <v>1841.0</v>
      </c>
      <c r="H4022" s="6">
        <v>1.4014</v>
      </c>
      <c r="I4022" s="6">
        <v>1.8088</v>
      </c>
      <c r="J4022" s="6">
        <v>-0.4074</v>
      </c>
    </row>
    <row r="4023">
      <c r="A4023" s="1" t="s">
        <v>26</v>
      </c>
      <c r="B4023" s="1" t="s">
        <v>1192</v>
      </c>
      <c r="C4023" s="1" t="s">
        <v>47</v>
      </c>
      <c r="D4023" s="6">
        <v>29.0</v>
      </c>
      <c r="E4023" s="6">
        <v>2740.0</v>
      </c>
      <c r="F4023" s="6">
        <v>3862.0</v>
      </c>
      <c r="G4023" s="6">
        <v>1841.0</v>
      </c>
      <c r="H4023" s="6">
        <v>1.4883</v>
      </c>
      <c r="I4023" s="6">
        <v>2.0978</v>
      </c>
      <c r="J4023" s="6">
        <v>-0.6095</v>
      </c>
    </row>
    <row r="4024">
      <c r="A4024" s="1" t="s">
        <v>26</v>
      </c>
      <c r="B4024" s="1" t="s">
        <v>1192</v>
      </c>
      <c r="C4024" s="1" t="s">
        <v>47</v>
      </c>
      <c r="D4024" s="6">
        <v>30.0</v>
      </c>
      <c r="E4024" s="6">
        <v>2955.0</v>
      </c>
      <c r="F4024" s="6">
        <v>3544.0</v>
      </c>
      <c r="G4024" s="6">
        <v>1841.0</v>
      </c>
      <c r="H4024" s="6">
        <v>1.6051</v>
      </c>
      <c r="I4024" s="6">
        <v>1.925</v>
      </c>
      <c r="J4024" s="6">
        <v>-0.3199</v>
      </c>
    </row>
    <row r="4025">
      <c r="A4025" s="1" t="s">
        <v>26</v>
      </c>
      <c r="B4025" s="1" t="s">
        <v>1192</v>
      </c>
      <c r="C4025" s="1" t="s">
        <v>47</v>
      </c>
      <c r="D4025" s="6">
        <v>31.0</v>
      </c>
      <c r="E4025" s="6">
        <v>3712.0</v>
      </c>
      <c r="F4025" s="6">
        <v>3847.0</v>
      </c>
      <c r="G4025" s="6">
        <v>1841.0</v>
      </c>
      <c r="H4025" s="6">
        <v>2.0163</v>
      </c>
      <c r="I4025" s="6">
        <v>2.0896</v>
      </c>
      <c r="J4025" s="6">
        <v>-0.0733</v>
      </c>
    </row>
    <row r="4026">
      <c r="A4026" s="1" t="s">
        <v>26</v>
      </c>
      <c r="B4026" s="1" t="s">
        <v>1192</v>
      </c>
      <c r="C4026" s="1" t="s">
        <v>47</v>
      </c>
      <c r="D4026" s="6">
        <v>32.0</v>
      </c>
      <c r="E4026" s="6">
        <v>3285.0</v>
      </c>
      <c r="F4026" s="6">
        <v>4158.0</v>
      </c>
      <c r="G4026" s="6">
        <v>1841.0</v>
      </c>
      <c r="H4026" s="6">
        <v>1.7844</v>
      </c>
      <c r="I4026" s="6">
        <v>2.2586</v>
      </c>
      <c r="J4026" s="6">
        <v>-0.4742</v>
      </c>
    </row>
    <row r="4027">
      <c r="A4027" s="1" t="s">
        <v>26</v>
      </c>
      <c r="B4027" s="1" t="s">
        <v>1192</v>
      </c>
      <c r="C4027" s="1" t="s">
        <v>47</v>
      </c>
      <c r="D4027" s="6">
        <v>33.0</v>
      </c>
      <c r="E4027" s="6">
        <v>3752.0</v>
      </c>
      <c r="F4027" s="6">
        <v>4935.0</v>
      </c>
      <c r="G4027" s="6">
        <v>1841.0</v>
      </c>
      <c r="H4027" s="6">
        <v>2.038</v>
      </c>
      <c r="I4027" s="6">
        <v>2.6806</v>
      </c>
      <c r="J4027" s="6">
        <v>-0.6426</v>
      </c>
    </row>
    <row r="4028">
      <c r="A4028" s="1" t="s">
        <v>26</v>
      </c>
      <c r="B4028" s="1" t="s">
        <v>1192</v>
      </c>
      <c r="C4028" s="1" t="s">
        <v>48</v>
      </c>
      <c r="D4028" s="6">
        <v>1.0</v>
      </c>
      <c r="E4028" s="6">
        <v>1536.0</v>
      </c>
      <c r="F4028" s="6">
        <v>2101.0</v>
      </c>
      <c r="G4028" s="6">
        <v>1843.0</v>
      </c>
      <c r="H4028" s="6">
        <v>0.8334</v>
      </c>
      <c r="I4028" s="6">
        <v>1.14</v>
      </c>
      <c r="J4028" s="6">
        <v>-0.3066</v>
      </c>
    </row>
    <row r="4029">
      <c r="A4029" s="1" t="s">
        <v>26</v>
      </c>
      <c r="B4029" s="1" t="s">
        <v>1192</v>
      </c>
      <c r="C4029" s="1" t="s">
        <v>48</v>
      </c>
      <c r="D4029" s="6">
        <v>2.0</v>
      </c>
      <c r="E4029" s="6">
        <v>1446.0</v>
      </c>
      <c r="F4029" s="6">
        <v>1963.0</v>
      </c>
      <c r="G4029" s="6">
        <v>1843.0</v>
      </c>
      <c r="H4029" s="6">
        <v>0.7846</v>
      </c>
      <c r="I4029" s="6">
        <v>1.0651</v>
      </c>
      <c r="J4029" s="6">
        <v>-0.2805</v>
      </c>
    </row>
    <row r="4030">
      <c r="A4030" s="1" t="s">
        <v>26</v>
      </c>
      <c r="B4030" s="1" t="s">
        <v>1192</v>
      </c>
      <c r="C4030" s="1" t="s">
        <v>48</v>
      </c>
      <c r="D4030" s="6">
        <v>3.0</v>
      </c>
      <c r="E4030" s="6">
        <v>2118.0</v>
      </c>
      <c r="F4030" s="6">
        <v>2452.0</v>
      </c>
      <c r="G4030" s="6">
        <v>1843.0</v>
      </c>
      <c r="H4030" s="6">
        <v>1.1492</v>
      </c>
      <c r="I4030" s="6">
        <v>1.3304</v>
      </c>
      <c r="J4030" s="6">
        <v>-0.1812</v>
      </c>
    </row>
    <row r="4031">
      <c r="A4031" s="1" t="s">
        <v>26</v>
      </c>
      <c r="B4031" s="1" t="s">
        <v>1192</v>
      </c>
      <c r="C4031" s="1" t="s">
        <v>48</v>
      </c>
      <c r="D4031" s="6">
        <v>4.0</v>
      </c>
      <c r="E4031" s="6">
        <v>1808.0</v>
      </c>
      <c r="F4031" s="6">
        <v>2228.0</v>
      </c>
      <c r="G4031" s="6">
        <v>1843.0</v>
      </c>
      <c r="H4031" s="6">
        <v>0.981</v>
      </c>
      <c r="I4031" s="6">
        <v>1.2089</v>
      </c>
      <c r="J4031" s="6">
        <v>-0.2279</v>
      </c>
    </row>
    <row r="4032">
      <c r="A4032" s="1" t="s">
        <v>26</v>
      </c>
      <c r="B4032" s="1" t="s">
        <v>1192</v>
      </c>
      <c r="C4032" s="1" t="s">
        <v>48</v>
      </c>
      <c r="D4032" s="6">
        <v>5.0</v>
      </c>
      <c r="E4032" s="6">
        <v>2112.0</v>
      </c>
      <c r="F4032" s="6">
        <v>2618.0</v>
      </c>
      <c r="G4032" s="6">
        <v>1843.0</v>
      </c>
      <c r="H4032" s="6">
        <v>1.146</v>
      </c>
      <c r="I4032" s="6">
        <v>1.4205</v>
      </c>
      <c r="J4032" s="6">
        <v>-0.2746</v>
      </c>
    </row>
    <row r="4033">
      <c r="A4033" s="1" t="s">
        <v>26</v>
      </c>
      <c r="B4033" s="1" t="s">
        <v>1192</v>
      </c>
      <c r="C4033" s="1" t="s">
        <v>48</v>
      </c>
      <c r="D4033" s="6">
        <v>6.0</v>
      </c>
      <c r="E4033" s="6">
        <v>2134.0</v>
      </c>
      <c r="F4033" s="6">
        <v>2776.0</v>
      </c>
      <c r="G4033" s="6">
        <v>1843.0</v>
      </c>
      <c r="H4033" s="6">
        <v>1.1579</v>
      </c>
      <c r="I4033" s="6">
        <v>1.5062</v>
      </c>
      <c r="J4033" s="6">
        <v>-0.3483</v>
      </c>
    </row>
    <row r="4034">
      <c r="A4034" s="1" t="s">
        <v>26</v>
      </c>
      <c r="B4034" s="1" t="s">
        <v>1192</v>
      </c>
      <c r="C4034" s="1" t="s">
        <v>48</v>
      </c>
      <c r="D4034" s="6">
        <v>7.0</v>
      </c>
      <c r="E4034" s="6">
        <v>1848.0</v>
      </c>
      <c r="F4034" s="6">
        <v>2494.0</v>
      </c>
      <c r="G4034" s="6">
        <v>1843.0</v>
      </c>
      <c r="H4034" s="6">
        <v>1.0027</v>
      </c>
      <c r="I4034" s="6">
        <v>1.3532</v>
      </c>
      <c r="J4034" s="6">
        <v>-0.3505</v>
      </c>
    </row>
    <row r="4035">
      <c r="A4035" s="1" t="s">
        <v>26</v>
      </c>
      <c r="B4035" s="1" t="s">
        <v>1192</v>
      </c>
      <c r="C4035" s="1" t="s">
        <v>48</v>
      </c>
      <c r="D4035" s="6">
        <v>8.0</v>
      </c>
      <c r="E4035" s="6">
        <v>1850.0</v>
      </c>
      <c r="F4035" s="6">
        <v>2345.0</v>
      </c>
      <c r="G4035" s="6">
        <v>1843.0</v>
      </c>
      <c r="H4035" s="6">
        <v>1.0038</v>
      </c>
      <c r="I4035" s="6">
        <v>1.2724</v>
      </c>
      <c r="J4035" s="6">
        <v>-0.2686</v>
      </c>
    </row>
    <row r="4036">
      <c r="A4036" s="1" t="s">
        <v>26</v>
      </c>
      <c r="B4036" s="1" t="s">
        <v>1192</v>
      </c>
      <c r="C4036" s="1" t="s">
        <v>48</v>
      </c>
      <c r="D4036" s="6">
        <v>9.0</v>
      </c>
      <c r="E4036" s="6">
        <v>1506.0</v>
      </c>
      <c r="F4036" s="6">
        <v>2033.0</v>
      </c>
      <c r="G4036" s="6">
        <v>1843.0</v>
      </c>
      <c r="H4036" s="6">
        <v>0.8171</v>
      </c>
      <c r="I4036" s="6">
        <v>1.1031</v>
      </c>
      <c r="J4036" s="6">
        <v>-0.2859</v>
      </c>
    </row>
    <row r="4037">
      <c r="A4037" s="1" t="s">
        <v>26</v>
      </c>
      <c r="B4037" s="1" t="s">
        <v>1192</v>
      </c>
      <c r="C4037" s="1" t="s">
        <v>48</v>
      </c>
      <c r="D4037" s="6">
        <v>10.0</v>
      </c>
      <c r="E4037" s="6">
        <v>2335.0</v>
      </c>
      <c r="F4037" s="6">
        <v>2879.0</v>
      </c>
      <c r="G4037" s="6">
        <v>1843.0</v>
      </c>
      <c r="H4037" s="6">
        <v>1.267</v>
      </c>
      <c r="I4037" s="6">
        <v>1.5621</v>
      </c>
      <c r="J4037" s="6">
        <v>-0.2952</v>
      </c>
    </row>
    <row r="4038">
      <c r="A4038" s="1" t="s">
        <v>26</v>
      </c>
      <c r="B4038" s="1" t="s">
        <v>1192</v>
      </c>
      <c r="C4038" s="1" t="s">
        <v>48</v>
      </c>
      <c r="D4038" s="6">
        <v>11.0</v>
      </c>
      <c r="E4038" s="6">
        <v>2042.0</v>
      </c>
      <c r="F4038" s="6">
        <v>3077.0</v>
      </c>
      <c r="G4038" s="6">
        <v>1843.0</v>
      </c>
      <c r="H4038" s="6">
        <v>1.108</v>
      </c>
      <c r="I4038" s="6">
        <v>1.6696</v>
      </c>
      <c r="J4038" s="6">
        <v>-0.5616</v>
      </c>
    </row>
    <row r="4039">
      <c r="A4039" s="1" t="s">
        <v>26</v>
      </c>
      <c r="B4039" s="1" t="s">
        <v>1192</v>
      </c>
      <c r="C4039" s="1" t="s">
        <v>48</v>
      </c>
      <c r="D4039" s="6">
        <v>12.0</v>
      </c>
      <c r="E4039" s="6">
        <v>2259.0</v>
      </c>
      <c r="F4039" s="6">
        <v>3022.0</v>
      </c>
      <c r="G4039" s="6">
        <v>1843.0</v>
      </c>
      <c r="H4039" s="6">
        <v>1.2257</v>
      </c>
      <c r="I4039" s="6">
        <v>1.6397</v>
      </c>
      <c r="J4039" s="6">
        <v>-0.414</v>
      </c>
    </row>
    <row r="4040">
      <c r="A4040" s="1" t="s">
        <v>26</v>
      </c>
      <c r="B4040" s="1" t="s">
        <v>1192</v>
      </c>
      <c r="C4040" s="1" t="s">
        <v>48</v>
      </c>
      <c r="D4040" s="6">
        <v>13.0</v>
      </c>
      <c r="E4040" s="6">
        <v>2407.0</v>
      </c>
      <c r="F4040" s="6">
        <v>3100.0</v>
      </c>
      <c r="G4040" s="6">
        <v>1843.0</v>
      </c>
      <c r="H4040" s="6">
        <v>1.306</v>
      </c>
      <c r="I4040" s="6">
        <v>1.682</v>
      </c>
      <c r="J4040" s="6">
        <v>-0.376</v>
      </c>
    </row>
    <row r="4041">
      <c r="A4041" s="1" t="s">
        <v>26</v>
      </c>
      <c r="B4041" s="1" t="s">
        <v>1192</v>
      </c>
      <c r="C4041" s="1" t="s">
        <v>48</v>
      </c>
      <c r="D4041" s="6">
        <v>14.0</v>
      </c>
      <c r="E4041" s="6">
        <v>2026.0</v>
      </c>
      <c r="F4041" s="6">
        <v>2692.0</v>
      </c>
      <c r="G4041" s="6">
        <v>1843.0</v>
      </c>
      <c r="H4041" s="6">
        <v>1.0993</v>
      </c>
      <c r="I4041" s="6">
        <v>1.4607</v>
      </c>
      <c r="J4041" s="6">
        <v>-0.3614</v>
      </c>
    </row>
    <row r="4042">
      <c r="A4042" s="1" t="s">
        <v>26</v>
      </c>
      <c r="B4042" s="1" t="s">
        <v>1192</v>
      </c>
      <c r="C4042" s="1" t="s">
        <v>48</v>
      </c>
      <c r="D4042" s="6">
        <v>15.0</v>
      </c>
      <c r="E4042" s="6">
        <v>2098.0</v>
      </c>
      <c r="F4042" s="6">
        <v>2916.0</v>
      </c>
      <c r="G4042" s="6">
        <v>1843.0</v>
      </c>
      <c r="H4042" s="6">
        <v>1.1384</v>
      </c>
      <c r="I4042" s="6">
        <v>1.5822</v>
      </c>
      <c r="J4042" s="6">
        <v>-0.4438</v>
      </c>
    </row>
    <row r="4043">
      <c r="A4043" s="1" t="s">
        <v>26</v>
      </c>
      <c r="B4043" s="1" t="s">
        <v>1192</v>
      </c>
      <c r="C4043" s="1" t="s">
        <v>48</v>
      </c>
      <c r="D4043" s="6">
        <v>16.0</v>
      </c>
      <c r="E4043" s="6">
        <v>1941.0</v>
      </c>
      <c r="F4043" s="6">
        <v>2510.0</v>
      </c>
      <c r="G4043" s="6">
        <v>1843.0</v>
      </c>
      <c r="H4043" s="6">
        <v>1.0532</v>
      </c>
      <c r="I4043" s="6">
        <v>1.3619</v>
      </c>
      <c r="J4043" s="6">
        <v>-0.3087</v>
      </c>
    </row>
    <row r="4044">
      <c r="A4044" s="1" t="s">
        <v>26</v>
      </c>
      <c r="B4044" s="1" t="s">
        <v>1192</v>
      </c>
      <c r="C4044" s="1" t="s">
        <v>48</v>
      </c>
      <c r="D4044" s="6">
        <v>17.0</v>
      </c>
      <c r="E4044" s="6">
        <v>2599.0</v>
      </c>
      <c r="F4044" s="6">
        <v>3119.0</v>
      </c>
      <c r="G4044" s="6">
        <v>1843.0</v>
      </c>
      <c r="H4044" s="6">
        <v>1.4102</v>
      </c>
      <c r="I4044" s="6">
        <v>1.6923</v>
      </c>
      <c r="J4044" s="6">
        <v>-0.2821</v>
      </c>
    </row>
    <row r="4045">
      <c r="A4045" s="1" t="s">
        <v>26</v>
      </c>
      <c r="B4045" s="1" t="s">
        <v>1192</v>
      </c>
      <c r="C4045" s="1" t="s">
        <v>48</v>
      </c>
      <c r="D4045" s="6">
        <v>18.0</v>
      </c>
      <c r="E4045" s="6">
        <v>2332.0</v>
      </c>
      <c r="F4045" s="6">
        <v>3194.0</v>
      </c>
      <c r="G4045" s="6">
        <v>1843.0</v>
      </c>
      <c r="H4045" s="6">
        <v>1.2653</v>
      </c>
      <c r="I4045" s="6">
        <v>1.733</v>
      </c>
      <c r="J4045" s="6">
        <v>-0.4677</v>
      </c>
    </row>
    <row r="4046">
      <c r="A4046" s="1" t="s">
        <v>26</v>
      </c>
      <c r="B4046" s="1" t="s">
        <v>1192</v>
      </c>
      <c r="C4046" s="1" t="s">
        <v>48</v>
      </c>
      <c r="D4046" s="6">
        <v>19.0</v>
      </c>
      <c r="E4046" s="6">
        <v>2665.0</v>
      </c>
      <c r="F4046" s="6">
        <v>3325.0</v>
      </c>
      <c r="G4046" s="6">
        <v>1843.0</v>
      </c>
      <c r="H4046" s="6">
        <v>1.446</v>
      </c>
      <c r="I4046" s="6">
        <v>1.8041</v>
      </c>
      <c r="J4046" s="6">
        <v>-0.3581</v>
      </c>
    </row>
    <row r="4047">
      <c r="A4047" s="1" t="s">
        <v>26</v>
      </c>
      <c r="B4047" s="1" t="s">
        <v>1192</v>
      </c>
      <c r="C4047" s="1" t="s">
        <v>48</v>
      </c>
      <c r="D4047" s="6">
        <v>20.0</v>
      </c>
      <c r="E4047" s="6">
        <v>3044.0</v>
      </c>
      <c r="F4047" s="6">
        <v>3721.0</v>
      </c>
      <c r="G4047" s="6">
        <v>1843.0</v>
      </c>
      <c r="H4047" s="6">
        <v>1.6517</v>
      </c>
      <c r="I4047" s="6">
        <v>2.019</v>
      </c>
      <c r="J4047" s="6">
        <v>-0.3673</v>
      </c>
    </row>
    <row r="4048">
      <c r="A4048" s="1" t="s">
        <v>26</v>
      </c>
      <c r="B4048" s="1" t="s">
        <v>1192</v>
      </c>
      <c r="C4048" s="1" t="s">
        <v>48</v>
      </c>
      <c r="D4048" s="6">
        <v>21.0</v>
      </c>
      <c r="E4048" s="6">
        <v>3615.0</v>
      </c>
      <c r="F4048" s="6">
        <v>3398.0</v>
      </c>
      <c r="G4048" s="6">
        <v>1843.0</v>
      </c>
      <c r="H4048" s="6">
        <v>1.9615</v>
      </c>
      <c r="I4048" s="6">
        <v>1.8437</v>
      </c>
      <c r="J4048" s="6">
        <v>0.1177</v>
      </c>
    </row>
    <row r="4049">
      <c r="A4049" s="1" t="s">
        <v>26</v>
      </c>
      <c r="B4049" s="1" t="s">
        <v>1192</v>
      </c>
      <c r="C4049" s="1" t="s">
        <v>48</v>
      </c>
      <c r="D4049" s="6">
        <v>22.0</v>
      </c>
      <c r="E4049" s="6">
        <v>3185.0</v>
      </c>
      <c r="F4049" s="6">
        <v>3647.0</v>
      </c>
      <c r="G4049" s="6">
        <v>1843.0</v>
      </c>
      <c r="H4049" s="6">
        <v>1.7282</v>
      </c>
      <c r="I4049" s="6">
        <v>1.9788</v>
      </c>
      <c r="J4049" s="6">
        <v>-0.2507</v>
      </c>
    </row>
    <row r="4050">
      <c r="A4050" s="1" t="s">
        <v>26</v>
      </c>
      <c r="B4050" s="1" t="s">
        <v>1192</v>
      </c>
      <c r="C4050" s="1" t="s">
        <v>48</v>
      </c>
      <c r="D4050" s="6">
        <v>23.0</v>
      </c>
      <c r="E4050" s="6">
        <v>2599.0</v>
      </c>
      <c r="F4050" s="6">
        <v>3265.0</v>
      </c>
      <c r="G4050" s="6">
        <v>1843.0</v>
      </c>
      <c r="H4050" s="6">
        <v>1.4102</v>
      </c>
      <c r="I4050" s="6">
        <v>1.7716</v>
      </c>
      <c r="J4050" s="6">
        <v>-0.3614</v>
      </c>
    </row>
    <row r="4051">
      <c r="A4051" s="1" t="s">
        <v>26</v>
      </c>
      <c r="B4051" s="1" t="s">
        <v>1192</v>
      </c>
      <c r="C4051" s="1" t="s">
        <v>48</v>
      </c>
      <c r="D4051" s="6">
        <v>24.0</v>
      </c>
      <c r="E4051" s="6">
        <v>3273.0</v>
      </c>
      <c r="F4051" s="6">
        <v>3987.0</v>
      </c>
      <c r="G4051" s="6">
        <v>1843.0</v>
      </c>
      <c r="H4051" s="6">
        <v>1.7759</v>
      </c>
      <c r="I4051" s="6">
        <v>2.1633</v>
      </c>
      <c r="J4051" s="6">
        <v>-0.3874</v>
      </c>
    </row>
    <row r="4052">
      <c r="A4052" s="1" t="s">
        <v>26</v>
      </c>
      <c r="B4052" s="1" t="s">
        <v>1192</v>
      </c>
      <c r="C4052" s="1" t="s">
        <v>48</v>
      </c>
      <c r="D4052" s="6">
        <v>25.0</v>
      </c>
      <c r="E4052" s="6">
        <v>2716.0</v>
      </c>
      <c r="F4052" s="6">
        <v>3585.0</v>
      </c>
      <c r="G4052" s="6">
        <v>1843.0</v>
      </c>
      <c r="H4052" s="6">
        <v>1.4737</v>
      </c>
      <c r="I4052" s="6">
        <v>1.9452</v>
      </c>
      <c r="J4052" s="6">
        <v>-0.4715</v>
      </c>
    </row>
    <row r="4053">
      <c r="A4053" s="1" t="s">
        <v>26</v>
      </c>
      <c r="B4053" s="1" t="s">
        <v>1192</v>
      </c>
      <c r="C4053" s="1" t="s">
        <v>48</v>
      </c>
      <c r="D4053" s="6">
        <v>26.0</v>
      </c>
      <c r="E4053" s="6">
        <v>3320.0</v>
      </c>
      <c r="F4053" s="6">
        <v>4317.0</v>
      </c>
      <c r="G4053" s="6">
        <v>1843.0</v>
      </c>
      <c r="H4053" s="6">
        <v>1.8014</v>
      </c>
      <c r="I4053" s="6">
        <v>2.3424</v>
      </c>
      <c r="J4053" s="6">
        <v>-0.541</v>
      </c>
    </row>
    <row r="4054">
      <c r="A4054" s="1" t="s">
        <v>26</v>
      </c>
      <c r="B4054" s="1" t="s">
        <v>1192</v>
      </c>
      <c r="C4054" s="1" t="s">
        <v>48</v>
      </c>
      <c r="D4054" s="6">
        <v>27.0</v>
      </c>
      <c r="E4054" s="6">
        <v>3364.0</v>
      </c>
      <c r="F4054" s="6">
        <v>3851.0</v>
      </c>
      <c r="G4054" s="6">
        <v>1843.0</v>
      </c>
      <c r="H4054" s="6">
        <v>1.8253</v>
      </c>
      <c r="I4054" s="6">
        <v>2.0895</v>
      </c>
      <c r="J4054" s="6">
        <v>-0.2642</v>
      </c>
    </row>
    <row r="4055">
      <c r="A4055" s="1" t="s">
        <v>26</v>
      </c>
      <c r="B4055" s="1" t="s">
        <v>1192</v>
      </c>
      <c r="C4055" s="1" t="s">
        <v>48</v>
      </c>
      <c r="D4055" s="6">
        <v>28.0</v>
      </c>
      <c r="E4055" s="6">
        <v>2596.0</v>
      </c>
      <c r="F4055" s="6">
        <v>3378.0</v>
      </c>
      <c r="G4055" s="6">
        <v>1843.0</v>
      </c>
      <c r="H4055" s="6">
        <v>1.4086</v>
      </c>
      <c r="I4055" s="6">
        <v>1.8329</v>
      </c>
      <c r="J4055" s="6">
        <v>-0.4243</v>
      </c>
    </row>
    <row r="4056">
      <c r="A4056" s="1" t="s">
        <v>26</v>
      </c>
      <c r="B4056" s="1" t="s">
        <v>1192</v>
      </c>
      <c r="C4056" s="1" t="s">
        <v>48</v>
      </c>
      <c r="D4056" s="6">
        <v>29.0</v>
      </c>
      <c r="E4056" s="6">
        <v>2839.0</v>
      </c>
      <c r="F4056" s="6">
        <v>3933.0</v>
      </c>
      <c r="G4056" s="6">
        <v>1843.0</v>
      </c>
      <c r="H4056" s="6">
        <v>1.5404</v>
      </c>
      <c r="I4056" s="6">
        <v>2.134</v>
      </c>
      <c r="J4056" s="6">
        <v>-0.5936</v>
      </c>
    </row>
    <row r="4057">
      <c r="A4057" s="1" t="s">
        <v>26</v>
      </c>
      <c r="B4057" s="1" t="s">
        <v>1192</v>
      </c>
      <c r="C4057" s="1" t="s">
        <v>48</v>
      </c>
      <c r="D4057" s="6">
        <v>30.0</v>
      </c>
      <c r="E4057" s="6">
        <v>2901.0</v>
      </c>
      <c r="F4057" s="6">
        <v>3604.0</v>
      </c>
      <c r="G4057" s="6">
        <v>1843.0</v>
      </c>
      <c r="H4057" s="6">
        <v>1.5741</v>
      </c>
      <c r="I4057" s="6">
        <v>1.9555</v>
      </c>
      <c r="J4057" s="6">
        <v>-0.3814</v>
      </c>
    </row>
    <row r="4058">
      <c r="A4058" s="1" t="s">
        <v>26</v>
      </c>
      <c r="B4058" s="1" t="s">
        <v>1192</v>
      </c>
      <c r="C4058" s="1" t="s">
        <v>48</v>
      </c>
      <c r="D4058" s="6">
        <v>31.0</v>
      </c>
      <c r="E4058" s="6">
        <v>3719.0</v>
      </c>
      <c r="F4058" s="6">
        <v>3970.0</v>
      </c>
      <c r="G4058" s="6">
        <v>1843.0</v>
      </c>
      <c r="H4058" s="6">
        <v>2.0179</v>
      </c>
      <c r="I4058" s="6">
        <v>2.1541</v>
      </c>
      <c r="J4058" s="6">
        <v>-0.1362</v>
      </c>
    </row>
    <row r="4059">
      <c r="A4059" s="1" t="s">
        <v>26</v>
      </c>
      <c r="B4059" s="1" t="s">
        <v>1192</v>
      </c>
      <c r="C4059" s="1" t="s">
        <v>48</v>
      </c>
      <c r="D4059" s="6">
        <v>32.0</v>
      </c>
      <c r="E4059" s="6">
        <v>3398.0</v>
      </c>
      <c r="F4059" s="6">
        <v>4258.0</v>
      </c>
      <c r="G4059" s="6">
        <v>1843.0</v>
      </c>
      <c r="H4059" s="6">
        <v>1.8437</v>
      </c>
      <c r="I4059" s="6">
        <v>2.3104</v>
      </c>
      <c r="J4059" s="6">
        <v>-0.4666</v>
      </c>
    </row>
    <row r="4060">
      <c r="A4060" s="1" t="s">
        <v>26</v>
      </c>
      <c r="B4060" s="1" t="s">
        <v>1192</v>
      </c>
      <c r="C4060" s="1" t="s">
        <v>48</v>
      </c>
      <c r="D4060" s="6">
        <v>33.0</v>
      </c>
      <c r="E4060" s="6">
        <v>3792.0</v>
      </c>
      <c r="F4060" s="6">
        <v>5050.0</v>
      </c>
      <c r="G4060" s="6">
        <v>1843.0</v>
      </c>
      <c r="H4060" s="6">
        <v>2.0575</v>
      </c>
      <c r="I4060" s="6">
        <v>2.7401</v>
      </c>
      <c r="J4060" s="6">
        <v>-0.6826</v>
      </c>
    </row>
    <row r="4061">
      <c r="A4061" s="1" t="s">
        <v>26</v>
      </c>
      <c r="B4061" s="1" t="s">
        <v>1192</v>
      </c>
      <c r="C4061" s="1" t="s">
        <v>50</v>
      </c>
      <c r="D4061" s="6">
        <v>1.0</v>
      </c>
      <c r="E4061" s="6">
        <v>979.0</v>
      </c>
      <c r="F4061" s="6">
        <v>1419.0</v>
      </c>
      <c r="G4061" s="6">
        <v>1842.0</v>
      </c>
      <c r="H4061" s="6">
        <v>0.5315</v>
      </c>
      <c r="I4061" s="6">
        <v>0.7704</v>
      </c>
      <c r="J4061" s="6">
        <v>-0.2389</v>
      </c>
    </row>
    <row r="4062">
      <c r="A4062" s="1" t="s">
        <v>26</v>
      </c>
      <c r="B4062" s="1" t="s">
        <v>1192</v>
      </c>
      <c r="C4062" s="1" t="s">
        <v>50</v>
      </c>
      <c r="D4062" s="6">
        <v>2.0</v>
      </c>
      <c r="E4062" s="6">
        <v>935.0</v>
      </c>
      <c r="F4062" s="6">
        <v>1340.0</v>
      </c>
      <c r="G4062" s="6">
        <v>1842.0</v>
      </c>
      <c r="H4062" s="6">
        <v>0.5076</v>
      </c>
      <c r="I4062" s="6">
        <v>0.7275</v>
      </c>
      <c r="J4062" s="6">
        <v>-0.2199</v>
      </c>
    </row>
    <row r="4063">
      <c r="A4063" s="1" t="s">
        <v>26</v>
      </c>
      <c r="B4063" s="1" t="s">
        <v>1192</v>
      </c>
      <c r="C4063" s="1" t="s">
        <v>50</v>
      </c>
      <c r="D4063" s="6">
        <v>3.0</v>
      </c>
      <c r="E4063" s="6">
        <v>1389.0</v>
      </c>
      <c r="F4063" s="6">
        <v>1620.0</v>
      </c>
      <c r="G4063" s="6">
        <v>1842.0</v>
      </c>
      <c r="H4063" s="6">
        <v>0.7541</v>
      </c>
      <c r="I4063" s="6">
        <v>0.8795</v>
      </c>
      <c r="J4063" s="6">
        <v>-0.1254</v>
      </c>
    </row>
    <row r="4064">
      <c r="A4064" s="1" t="s">
        <v>26</v>
      </c>
      <c r="B4064" s="1" t="s">
        <v>1192</v>
      </c>
      <c r="C4064" s="1" t="s">
        <v>50</v>
      </c>
      <c r="D4064" s="6">
        <v>4.0</v>
      </c>
      <c r="E4064" s="6">
        <v>1151.0</v>
      </c>
      <c r="F4064" s="6">
        <v>1435.0</v>
      </c>
      <c r="G4064" s="6">
        <v>1842.0</v>
      </c>
      <c r="H4064" s="6">
        <v>0.6249</v>
      </c>
      <c r="I4064" s="6">
        <v>0.779</v>
      </c>
      <c r="J4064" s="6">
        <v>-0.1542</v>
      </c>
    </row>
    <row r="4065">
      <c r="A4065" s="1" t="s">
        <v>26</v>
      </c>
      <c r="B4065" s="1" t="s">
        <v>1192</v>
      </c>
      <c r="C4065" s="1" t="s">
        <v>50</v>
      </c>
      <c r="D4065" s="6">
        <v>5.0</v>
      </c>
      <c r="E4065" s="6">
        <v>1337.0</v>
      </c>
      <c r="F4065" s="6">
        <v>1747.0</v>
      </c>
      <c r="G4065" s="6">
        <v>1842.0</v>
      </c>
      <c r="H4065" s="6">
        <v>0.7258</v>
      </c>
      <c r="I4065" s="6">
        <v>0.9484</v>
      </c>
      <c r="J4065" s="6">
        <v>-0.2226</v>
      </c>
    </row>
    <row r="4066">
      <c r="A4066" s="1" t="s">
        <v>26</v>
      </c>
      <c r="B4066" s="1" t="s">
        <v>1192</v>
      </c>
      <c r="C4066" s="1" t="s">
        <v>50</v>
      </c>
      <c r="D4066" s="6">
        <v>6.0</v>
      </c>
      <c r="E4066" s="6">
        <v>1365.0</v>
      </c>
      <c r="F4066" s="6">
        <v>1854.0</v>
      </c>
      <c r="G4066" s="6">
        <v>1842.0</v>
      </c>
      <c r="H4066" s="6">
        <v>0.741</v>
      </c>
      <c r="I4066" s="6">
        <v>1.0065</v>
      </c>
      <c r="J4066" s="6">
        <v>-0.2655</v>
      </c>
    </row>
    <row r="4067">
      <c r="A4067" s="1" t="s">
        <v>26</v>
      </c>
      <c r="B4067" s="1" t="s">
        <v>1192</v>
      </c>
      <c r="C4067" s="1" t="s">
        <v>50</v>
      </c>
      <c r="D4067" s="6">
        <v>7.0</v>
      </c>
      <c r="E4067" s="6">
        <v>1189.0</v>
      </c>
      <c r="F4067" s="6">
        <v>1712.0</v>
      </c>
      <c r="G4067" s="6">
        <v>1842.0</v>
      </c>
      <c r="H4067" s="6">
        <v>0.6455</v>
      </c>
      <c r="I4067" s="6">
        <v>0.9294</v>
      </c>
      <c r="J4067" s="6">
        <v>-0.2839</v>
      </c>
    </row>
    <row r="4068">
      <c r="A4068" s="1" t="s">
        <v>26</v>
      </c>
      <c r="B4068" s="1" t="s">
        <v>1192</v>
      </c>
      <c r="C4068" s="1" t="s">
        <v>50</v>
      </c>
      <c r="D4068" s="6">
        <v>8.0</v>
      </c>
      <c r="E4068" s="6">
        <v>1225.0</v>
      </c>
      <c r="F4068" s="6">
        <v>1683.0</v>
      </c>
      <c r="G4068" s="6">
        <v>1842.0</v>
      </c>
      <c r="H4068" s="6">
        <v>0.665</v>
      </c>
      <c r="I4068" s="6">
        <v>0.9137</v>
      </c>
      <c r="J4068" s="6">
        <v>-0.2486</v>
      </c>
    </row>
    <row r="4069">
      <c r="A4069" s="1" t="s">
        <v>26</v>
      </c>
      <c r="B4069" s="1" t="s">
        <v>1192</v>
      </c>
      <c r="C4069" s="1" t="s">
        <v>50</v>
      </c>
      <c r="D4069" s="6">
        <v>9.0</v>
      </c>
      <c r="E4069" s="6">
        <v>942.0</v>
      </c>
      <c r="F4069" s="6">
        <v>1393.0</v>
      </c>
      <c r="G4069" s="6">
        <v>1842.0</v>
      </c>
      <c r="H4069" s="6">
        <v>0.5114</v>
      </c>
      <c r="I4069" s="6">
        <v>0.7562</v>
      </c>
      <c r="J4069" s="6">
        <v>-0.2448</v>
      </c>
    </row>
    <row r="4070">
      <c r="A4070" s="1" t="s">
        <v>26</v>
      </c>
      <c r="B4070" s="1" t="s">
        <v>1192</v>
      </c>
      <c r="C4070" s="1" t="s">
        <v>50</v>
      </c>
      <c r="D4070" s="6">
        <v>10.0</v>
      </c>
      <c r="E4070" s="6">
        <v>1630.0</v>
      </c>
      <c r="F4070" s="6">
        <v>2012.0</v>
      </c>
      <c r="G4070" s="6">
        <v>1842.0</v>
      </c>
      <c r="H4070" s="6">
        <v>0.8849</v>
      </c>
      <c r="I4070" s="6">
        <v>1.0923</v>
      </c>
      <c r="J4070" s="6">
        <v>-0.2074</v>
      </c>
    </row>
    <row r="4071">
      <c r="A4071" s="1" t="s">
        <v>26</v>
      </c>
      <c r="B4071" s="1" t="s">
        <v>1192</v>
      </c>
      <c r="C4071" s="1" t="s">
        <v>50</v>
      </c>
      <c r="D4071" s="6">
        <v>11.0</v>
      </c>
      <c r="E4071" s="6">
        <v>1292.0</v>
      </c>
      <c r="F4071" s="6">
        <v>1989.0</v>
      </c>
      <c r="G4071" s="6">
        <v>1842.0</v>
      </c>
      <c r="H4071" s="6">
        <v>0.7014</v>
      </c>
      <c r="I4071" s="6">
        <v>1.0798</v>
      </c>
      <c r="J4071" s="6">
        <v>-0.3784</v>
      </c>
    </row>
    <row r="4072">
      <c r="A4072" s="1" t="s">
        <v>26</v>
      </c>
      <c r="B4072" s="1" t="s">
        <v>1192</v>
      </c>
      <c r="C4072" s="1" t="s">
        <v>50</v>
      </c>
      <c r="D4072" s="6">
        <v>12.0</v>
      </c>
      <c r="E4072" s="6">
        <v>1482.0</v>
      </c>
      <c r="F4072" s="6">
        <v>1992.0</v>
      </c>
      <c r="G4072" s="6">
        <v>1842.0</v>
      </c>
      <c r="H4072" s="6">
        <v>0.8046</v>
      </c>
      <c r="I4072" s="6">
        <v>1.0814</v>
      </c>
      <c r="J4072" s="6">
        <v>-0.2769</v>
      </c>
    </row>
    <row r="4073">
      <c r="A4073" s="1" t="s">
        <v>26</v>
      </c>
      <c r="B4073" s="1" t="s">
        <v>1192</v>
      </c>
      <c r="C4073" s="1" t="s">
        <v>50</v>
      </c>
      <c r="D4073" s="6">
        <v>13.0</v>
      </c>
      <c r="E4073" s="6">
        <v>1468.0</v>
      </c>
      <c r="F4073" s="6">
        <v>2072.0</v>
      </c>
      <c r="G4073" s="6">
        <v>1842.0</v>
      </c>
      <c r="H4073" s="6">
        <v>0.797</v>
      </c>
      <c r="I4073" s="6">
        <v>1.1249</v>
      </c>
      <c r="J4073" s="6">
        <v>-0.3279</v>
      </c>
    </row>
    <row r="4074">
      <c r="A4074" s="1" t="s">
        <v>26</v>
      </c>
      <c r="B4074" s="1" t="s">
        <v>1192</v>
      </c>
      <c r="C4074" s="1" t="s">
        <v>50</v>
      </c>
      <c r="D4074" s="6">
        <v>14.0</v>
      </c>
      <c r="E4074" s="6">
        <v>1303.0</v>
      </c>
      <c r="F4074" s="6">
        <v>1822.0</v>
      </c>
      <c r="G4074" s="6">
        <v>1842.0</v>
      </c>
      <c r="H4074" s="6">
        <v>0.7074</v>
      </c>
      <c r="I4074" s="6">
        <v>0.9891</v>
      </c>
      <c r="J4074" s="6">
        <v>-0.2818</v>
      </c>
    </row>
    <row r="4075">
      <c r="A4075" s="1" t="s">
        <v>26</v>
      </c>
      <c r="B4075" s="1" t="s">
        <v>1192</v>
      </c>
      <c r="C4075" s="1" t="s">
        <v>50</v>
      </c>
      <c r="D4075" s="6">
        <v>15.0</v>
      </c>
      <c r="E4075" s="6">
        <v>1405.0</v>
      </c>
      <c r="F4075" s="6">
        <v>2095.0</v>
      </c>
      <c r="G4075" s="6">
        <v>1842.0</v>
      </c>
      <c r="H4075" s="6">
        <v>0.7628</v>
      </c>
      <c r="I4075" s="6">
        <v>1.1374</v>
      </c>
      <c r="J4075" s="6">
        <v>-0.3746</v>
      </c>
    </row>
    <row r="4076">
      <c r="A4076" s="1" t="s">
        <v>26</v>
      </c>
      <c r="B4076" s="1" t="s">
        <v>1192</v>
      </c>
      <c r="C4076" s="1" t="s">
        <v>50</v>
      </c>
      <c r="D4076" s="6">
        <v>16.0</v>
      </c>
      <c r="E4076" s="6">
        <v>1198.0</v>
      </c>
      <c r="F4076" s="6">
        <v>1659.0</v>
      </c>
      <c r="G4076" s="6">
        <v>1842.0</v>
      </c>
      <c r="H4076" s="6">
        <v>0.6504</v>
      </c>
      <c r="I4076" s="6">
        <v>0.9007</v>
      </c>
      <c r="J4076" s="6">
        <v>-0.2503</v>
      </c>
    </row>
    <row r="4077">
      <c r="A4077" s="1" t="s">
        <v>26</v>
      </c>
      <c r="B4077" s="1" t="s">
        <v>1192</v>
      </c>
      <c r="C4077" s="1" t="s">
        <v>50</v>
      </c>
      <c r="D4077" s="6">
        <v>17.0</v>
      </c>
      <c r="E4077" s="6">
        <v>1858.0</v>
      </c>
      <c r="F4077" s="6">
        <v>2073.0</v>
      </c>
      <c r="G4077" s="6">
        <v>1842.0</v>
      </c>
      <c r="H4077" s="6">
        <v>1.0087</v>
      </c>
      <c r="I4077" s="6">
        <v>1.1254</v>
      </c>
      <c r="J4077" s="6">
        <v>-0.1167</v>
      </c>
    </row>
    <row r="4078">
      <c r="A4078" s="1" t="s">
        <v>26</v>
      </c>
      <c r="B4078" s="1" t="s">
        <v>1192</v>
      </c>
      <c r="C4078" s="1" t="s">
        <v>50</v>
      </c>
      <c r="D4078" s="6">
        <v>18.0</v>
      </c>
      <c r="E4078" s="6">
        <v>1516.0</v>
      </c>
      <c r="F4078" s="6">
        <v>2044.0</v>
      </c>
      <c r="G4078" s="6">
        <v>1842.0</v>
      </c>
      <c r="H4078" s="6">
        <v>0.823</v>
      </c>
      <c r="I4078" s="6">
        <v>1.1097</v>
      </c>
      <c r="J4078" s="6">
        <v>-0.2866</v>
      </c>
    </row>
    <row r="4079">
      <c r="A4079" s="1" t="s">
        <v>26</v>
      </c>
      <c r="B4079" s="1" t="s">
        <v>1192</v>
      </c>
      <c r="C4079" s="1" t="s">
        <v>50</v>
      </c>
      <c r="D4079" s="6">
        <v>19.0</v>
      </c>
      <c r="E4079" s="6">
        <v>1739.0</v>
      </c>
      <c r="F4079" s="6">
        <v>2186.0</v>
      </c>
      <c r="G4079" s="6">
        <v>1842.0</v>
      </c>
      <c r="H4079" s="6">
        <v>0.9441</v>
      </c>
      <c r="I4079" s="6">
        <v>1.1868</v>
      </c>
      <c r="J4079" s="6">
        <v>-0.2427</v>
      </c>
    </row>
    <row r="4080">
      <c r="A4080" s="1" t="s">
        <v>26</v>
      </c>
      <c r="B4080" s="1" t="s">
        <v>1192</v>
      </c>
      <c r="C4080" s="1" t="s">
        <v>50</v>
      </c>
      <c r="D4080" s="6">
        <v>20.0</v>
      </c>
      <c r="E4080" s="6">
        <v>1959.0</v>
      </c>
      <c r="F4080" s="6">
        <v>2490.0</v>
      </c>
      <c r="G4080" s="6">
        <v>1842.0</v>
      </c>
      <c r="H4080" s="6">
        <v>1.0635</v>
      </c>
      <c r="I4080" s="6">
        <v>1.3518</v>
      </c>
      <c r="J4080" s="6">
        <v>-0.2883</v>
      </c>
    </row>
    <row r="4081">
      <c r="A4081" s="1" t="s">
        <v>26</v>
      </c>
      <c r="B4081" s="1" t="s">
        <v>1192</v>
      </c>
      <c r="C4081" s="1" t="s">
        <v>50</v>
      </c>
      <c r="D4081" s="6">
        <v>21.0</v>
      </c>
      <c r="E4081" s="6">
        <v>2328.0</v>
      </c>
      <c r="F4081" s="6">
        <v>2269.0</v>
      </c>
      <c r="G4081" s="6">
        <v>1842.0</v>
      </c>
      <c r="H4081" s="6">
        <v>1.2638</v>
      </c>
      <c r="I4081" s="6">
        <v>1.2318</v>
      </c>
      <c r="J4081" s="6">
        <v>0.032</v>
      </c>
    </row>
    <row r="4082">
      <c r="A4082" s="1" t="s">
        <v>26</v>
      </c>
      <c r="B4082" s="1" t="s">
        <v>1192</v>
      </c>
      <c r="C4082" s="1" t="s">
        <v>50</v>
      </c>
      <c r="D4082" s="6">
        <v>22.0</v>
      </c>
      <c r="E4082" s="6">
        <v>2164.0</v>
      </c>
      <c r="F4082" s="6">
        <v>2531.0</v>
      </c>
      <c r="G4082" s="6">
        <v>1842.0</v>
      </c>
      <c r="H4082" s="6">
        <v>1.1748</v>
      </c>
      <c r="I4082" s="6">
        <v>1.374</v>
      </c>
      <c r="J4082" s="6">
        <v>-0.1992</v>
      </c>
    </row>
    <row r="4083">
      <c r="A4083" s="1" t="s">
        <v>26</v>
      </c>
      <c r="B4083" s="1" t="s">
        <v>1192</v>
      </c>
      <c r="C4083" s="1" t="s">
        <v>50</v>
      </c>
      <c r="D4083" s="6">
        <v>23.0</v>
      </c>
      <c r="E4083" s="6">
        <v>1612.0</v>
      </c>
      <c r="F4083" s="6">
        <v>2234.0</v>
      </c>
      <c r="G4083" s="6">
        <v>1842.0</v>
      </c>
      <c r="H4083" s="6">
        <v>0.8751</v>
      </c>
      <c r="I4083" s="6">
        <v>1.2128</v>
      </c>
      <c r="J4083" s="6">
        <v>-0.3377</v>
      </c>
    </row>
    <row r="4084">
      <c r="A4084" s="1" t="s">
        <v>26</v>
      </c>
      <c r="B4084" s="1" t="s">
        <v>1192</v>
      </c>
      <c r="C4084" s="1" t="s">
        <v>50</v>
      </c>
      <c r="D4084" s="6">
        <v>24.0</v>
      </c>
      <c r="E4084" s="6">
        <v>2120.0</v>
      </c>
      <c r="F4084" s="6">
        <v>2617.0</v>
      </c>
      <c r="G4084" s="6">
        <v>1842.0</v>
      </c>
      <c r="H4084" s="6">
        <v>1.1509</v>
      </c>
      <c r="I4084" s="6">
        <v>1.4207</v>
      </c>
      <c r="J4084" s="6">
        <v>-0.2698</v>
      </c>
    </row>
    <row r="4085">
      <c r="A4085" s="1" t="s">
        <v>26</v>
      </c>
      <c r="B4085" s="1" t="s">
        <v>1192</v>
      </c>
      <c r="C4085" s="1" t="s">
        <v>50</v>
      </c>
      <c r="D4085" s="6">
        <v>25.0</v>
      </c>
      <c r="E4085" s="6">
        <v>1738.0</v>
      </c>
      <c r="F4085" s="6">
        <v>2458.0</v>
      </c>
      <c r="G4085" s="6">
        <v>1842.0</v>
      </c>
      <c r="H4085" s="6">
        <v>0.9435</v>
      </c>
      <c r="I4085" s="6">
        <v>1.3344</v>
      </c>
      <c r="J4085" s="6">
        <v>-0.3909</v>
      </c>
    </row>
    <row r="4086">
      <c r="A4086" s="1" t="s">
        <v>26</v>
      </c>
      <c r="B4086" s="1" t="s">
        <v>1192</v>
      </c>
      <c r="C4086" s="1" t="s">
        <v>50</v>
      </c>
      <c r="D4086" s="6">
        <v>26.0</v>
      </c>
      <c r="E4086" s="6">
        <v>2107.0</v>
      </c>
      <c r="F4086" s="6">
        <v>2814.0</v>
      </c>
      <c r="G4086" s="6">
        <v>1842.0</v>
      </c>
      <c r="H4086" s="6">
        <v>1.1439</v>
      </c>
      <c r="I4086" s="6">
        <v>1.5277</v>
      </c>
      <c r="J4086" s="6">
        <v>-0.3838</v>
      </c>
    </row>
    <row r="4087">
      <c r="A4087" s="1" t="s">
        <v>26</v>
      </c>
      <c r="B4087" s="1" t="s">
        <v>1192</v>
      </c>
      <c r="C4087" s="1" t="s">
        <v>50</v>
      </c>
      <c r="D4087" s="6">
        <v>27.0</v>
      </c>
      <c r="E4087" s="6">
        <v>2105.0</v>
      </c>
      <c r="F4087" s="6">
        <v>2488.0</v>
      </c>
      <c r="G4087" s="6">
        <v>1842.0</v>
      </c>
      <c r="H4087" s="6">
        <v>1.1428</v>
      </c>
      <c r="I4087" s="6">
        <v>1.3507</v>
      </c>
      <c r="J4087" s="6">
        <v>-0.2079</v>
      </c>
    </row>
    <row r="4088">
      <c r="A4088" s="1" t="s">
        <v>26</v>
      </c>
      <c r="B4088" s="1" t="s">
        <v>1192</v>
      </c>
      <c r="C4088" s="1" t="s">
        <v>50</v>
      </c>
      <c r="D4088" s="6">
        <v>28.0</v>
      </c>
      <c r="E4088" s="6">
        <v>1613.0</v>
      </c>
      <c r="F4088" s="6">
        <v>2338.0</v>
      </c>
      <c r="G4088" s="6">
        <v>1842.0</v>
      </c>
      <c r="H4088" s="6">
        <v>0.8757</v>
      </c>
      <c r="I4088" s="6">
        <v>1.2693</v>
      </c>
      <c r="J4088" s="6">
        <v>-0.3936</v>
      </c>
    </row>
    <row r="4089">
      <c r="A4089" s="1" t="s">
        <v>26</v>
      </c>
      <c r="B4089" s="1" t="s">
        <v>1192</v>
      </c>
      <c r="C4089" s="1" t="s">
        <v>50</v>
      </c>
      <c r="D4089" s="6">
        <v>29.0</v>
      </c>
      <c r="E4089" s="6">
        <v>1795.0</v>
      </c>
      <c r="F4089" s="6">
        <v>2847.0</v>
      </c>
      <c r="G4089" s="6">
        <v>1842.0</v>
      </c>
      <c r="H4089" s="6">
        <v>0.9745</v>
      </c>
      <c r="I4089" s="6">
        <v>1.5456</v>
      </c>
      <c r="J4089" s="6">
        <v>-0.5711</v>
      </c>
    </row>
    <row r="4090">
      <c r="A4090" s="1" t="s">
        <v>26</v>
      </c>
      <c r="B4090" s="1" t="s">
        <v>1192</v>
      </c>
      <c r="C4090" s="1" t="s">
        <v>50</v>
      </c>
      <c r="D4090" s="6">
        <v>30.0</v>
      </c>
      <c r="E4090" s="6">
        <v>1739.0</v>
      </c>
      <c r="F4090" s="6">
        <v>2428.0</v>
      </c>
      <c r="G4090" s="6">
        <v>1842.0</v>
      </c>
      <c r="H4090" s="6">
        <v>0.9441</v>
      </c>
      <c r="I4090" s="6">
        <v>1.3181</v>
      </c>
      <c r="J4090" s="6">
        <v>-0.374</v>
      </c>
    </row>
    <row r="4091">
      <c r="A4091" s="1" t="s">
        <v>26</v>
      </c>
      <c r="B4091" s="1" t="s">
        <v>1192</v>
      </c>
      <c r="C4091" s="1" t="s">
        <v>50</v>
      </c>
      <c r="D4091" s="6">
        <v>31.0</v>
      </c>
      <c r="E4091" s="6">
        <v>2573.0</v>
      </c>
      <c r="F4091" s="6">
        <v>2677.0</v>
      </c>
      <c r="G4091" s="6">
        <v>1842.0</v>
      </c>
      <c r="H4091" s="6">
        <v>1.3969</v>
      </c>
      <c r="I4091" s="6">
        <v>1.4533</v>
      </c>
      <c r="J4091" s="6">
        <v>-0.0565</v>
      </c>
    </row>
    <row r="4092">
      <c r="A4092" s="1" t="s">
        <v>26</v>
      </c>
      <c r="B4092" s="1" t="s">
        <v>1192</v>
      </c>
      <c r="C4092" s="1" t="s">
        <v>50</v>
      </c>
      <c r="D4092" s="6">
        <v>32.0</v>
      </c>
      <c r="E4092" s="6">
        <v>2190.0</v>
      </c>
      <c r="F4092" s="6">
        <v>2835.0</v>
      </c>
      <c r="G4092" s="6">
        <v>1842.0</v>
      </c>
      <c r="H4092" s="6">
        <v>1.1889</v>
      </c>
      <c r="I4092" s="6">
        <v>1.5391</v>
      </c>
      <c r="J4092" s="6">
        <v>-0.3502</v>
      </c>
    </row>
    <row r="4093">
      <c r="A4093" s="1" t="s">
        <v>26</v>
      </c>
      <c r="B4093" s="1" t="s">
        <v>1192</v>
      </c>
      <c r="C4093" s="1" t="s">
        <v>50</v>
      </c>
      <c r="D4093" s="6">
        <v>33.0</v>
      </c>
      <c r="E4093" s="6">
        <v>2280.0</v>
      </c>
      <c r="F4093" s="6">
        <v>3170.0</v>
      </c>
      <c r="G4093" s="6">
        <v>1842.0</v>
      </c>
      <c r="H4093" s="6">
        <v>1.2378</v>
      </c>
      <c r="I4093" s="6">
        <v>1.721</v>
      </c>
      <c r="J4093" s="6">
        <v>-0.4832</v>
      </c>
    </row>
    <row r="4094">
      <c r="A4094" s="1" t="s">
        <v>26</v>
      </c>
      <c r="B4094" s="1" t="s">
        <v>1192</v>
      </c>
      <c r="C4094" s="1" t="s">
        <v>1209</v>
      </c>
      <c r="D4094" s="6">
        <v>1.0</v>
      </c>
      <c r="E4094" s="6">
        <v>1300.0</v>
      </c>
      <c r="F4094" s="6">
        <v>2054.0</v>
      </c>
      <c r="G4094" s="6">
        <v>1454.0</v>
      </c>
      <c r="H4094" s="6">
        <v>0.8941</v>
      </c>
      <c r="I4094" s="6">
        <v>1.4127</v>
      </c>
      <c r="J4094" s="6">
        <v>-0.5186</v>
      </c>
    </row>
    <row r="4095">
      <c r="A4095" s="1" t="s">
        <v>26</v>
      </c>
      <c r="B4095" s="1" t="s">
        <v>1192</v>
      </c>
      <c r="C4095" s="1" t="s">
        <v>1209</v>
      </c>
      <c r="D4095" s="6">
        <v>2.0</v>
      </c>
      <c r="E4095" s="6">
        <v>2435.0</v>
      </c>
      <c r="F4095" s="6">
        <v>2741.0</v>
      </c>
      <c r="G4095" s="6">
        <v>1454.0</v>
      </c>
      <c r="H4095" s="6">
        <v>1.6747</v>
      </c>
      <c r="I4095" s="6">
        <v>1.8851</v>
      </c>
      <c r="J4095" s="6">
        <v>-0.2105</v>
      </c>
    </row>
    <row r="4096">
      <c r="A4096" s="1" t="s">
        <v>26</v>
      </c>
      <c r="B4096" s="1" t="s">
        <v>1192</v>
      </c>
      <c r="C4096" s="1" t="s">
        <v>1209</v>
      </c>
      <c r="D4096" s="6">
        <v>3.0</v>
      </c>
      <c r="E4096" s="6">
        <v>990.0</v>
      </c>
      <c r="F4096" s="6">
        <v>1453.0</v>
      </c>
      <c r="G4096" s="6">
        <v>1454.0</v>
      </c>
      <c r="H4096" s="6">
        <v>0.6809</v>
      </c>
      <c r="I4096" s="6">
        <v>0.9993</v>
      </c>
      <c r="J4096" s="6">
        <v>-0.3184</v>
      </c>
    </row>
    <row r="4097">
      <c r="A4097" s="1" t="s">
        <v>26</v>
      </c>
      <c r="B4097" s="1" t="s">
        <v>1192</v>
      </c>
      <c r="C4097" s="1" t="s">
        <v>1209</v>
      </c>
      <c r="D4097" s="6">
        <v>4.0</v>
      </c>
      <c r="E4097" s="6">
        <v>1285.0</v>
      </c>
      <c r="F4097" s="6">
        <v>2206.0</v>
      </c>
      <c r="G4097" s="6">
        <v>1454.0</v>
      </c>
      <c r="H4097" s="6">
        <v>0.8838</v>
      </c>
      <c r="I4097" s="6">
        <v>1.5172</v>
      </c>
      <c r="J4097" s="6">
        <v>-0.6334</v>
      </c>
    </row>
    <row r="4098">
      <c r="A4098" s="1" t="s">
        <v>26</v>
      </c>
      <c r="B4098" s="1" t="s">
        <v>1192</v>
      </c>
      <c r="C4098" s="1" t="s">
        <v>1209</v>
      </c>
      <c r="D4098" s="6">
        <v>5.0</v>
      </c>
      <c r="E4098" s="6">
        <v>1365.0</v>
      </c>
      <c r="F4098" s="6">
        <v>2136.0</v>
      </c>
      <c r="G4098" s="6">
        <v>1454.0</v>
      </c>
      <c r="H4098" s="6">
        <v>0.9388</v>
      </c>
      <c r="I4098" s="6">
        <v>1.4691</v>
      </c>
      <c r="J4098" s="6">
        <v>-0.5303</v>
      </c>
    </row>
    <row r="4099">
      <c r="A4099" s="1" t="s">
        <v>26</v>
      </c>
      <c r="B4099" s="1" t="s">
        <v>1192</v>
      </c>
      <c r="C4099" s="1" t="s">
        <v>1209</v>
      </c>
      <c r="D4099" s="6">
        <v>6.0</v>
      </c>
      <c r="E4099" s="6">
        <v>3190.0</v>
      </c>
      <c r="F4099" s="6">
        <v>3982.0</v>
      </c>
      <c r="G4099" s="6">
        <v>1454.0</v>
      </c>
      <c r="H4099" s="6">
        <v>2.1939</v>
      </c>
      <c r="I4099" s="6">
        <v>2.7387</v>
      </c>
      <c r="J4099" s="6">
        <v>-0.5447</v>
      </c>
    </row>
    <row r="4100">
      <c r="A4100" s="1" t="s">
        <v>26</v>
      </c>
      <c r="B4100" s="1" t="s">
        <v>1192</v>
      </c>
      <c r="C4100" s="1" t="s">
        <v>1209</v>
      </c>
      <c r="D4100" s="6">
        <v>7.0</v>
      </c>
      <c r="E4100" s="6">
        <v>3785.0</v>
      </c>
      <c r="F4100" s="6">
        <v>3553.0</v>
      </c>
      <c r="G4100" s="6">
        <v>1454.0</v>
      </c>
      <c r="H4100" s="6">
        <v>2.6032</v>
      </c>
      <c r="I4100" s="6">
        <v>2.4436</v>
      </c>
      <c r="J4100" s="6">
        <v>0.1596</v>
      </c>
    </row>
    <row r="4101">
      <c r="A4101" s="1" t="s">
        <v>26</v>
      </c>
      <c r="B4101" s="1" t="s">
        <v>1192</v>
      </c>
      <c r="C4101" s="1" t="s">
        <v>1209</v>
      </c>
      <c r="D4101" s="6">
        <v>8.0</v>
      </c>
      <c r="E4101" s="6">
        <v>2930.0</v>
      </c>
      <c r="F4101" s="6">
        <v>3500.0</v>
      </c>
      <c r="G4101" s="6">
        <v>1454.0</v>
      </c>
      <c r="H4101" s="6">
        <v>2.0151</v>
      </c>
      <c r="I4101" s="6">
        <v>2.4072</v>
      </c>
      <c r="J4101" s="6">
        <v>-0.392</v>
      </c>
    </row>
    <row r="4102">
      <c r="A4102" s="1" t="s">
        <v>26</v>
      </c>
      <c r="B4102" s="1" t="s">
        <v>1192</v>
      </c>
      <c r="C4102" s="1" t="s">
        <v>1209</v>
      </c>
      <c r="D4102" s="6">
        <v>9.0</v>
      </c>
      <c r="E4102" s="6">
        <v>1470.0</v>
      </c>
      <c r="F4102" s="6">
        <v>2662.0</v>
      </c>
      <c r="G4102" s="6">
        <v>1454.0</v>
      </c>
      <c r="H4102" s="6">
        <v>1.011</v>
      </c>
      <c r="I4102" s="6">
        <v>1.8308</v>
      </c>
      <c r="J4102" s="6">
        <v>-0.8198</v>
      </c>
    </row>
    <row r="4103">
      <c r="A4103" s="1" t="s">
        <v>26</v>
      </c>
      <c r="B4103" s="1" t="s">
        <v>1192</v>
      </c>
      <c r="C4103" s="1" t="s">
        <v>1209</v>
      </c>
      <c r="D4103" s="6">
        <v>10.0</v>
      </c>
      <c r="E4103" s="6">
        <v>920.0</v>
      </c>
      <c r="F4103" s="6">
        <v>1698.0</v>
      </c>
      <c r="G4103" s="6">
        <v>1454.0</v>
      </c>
      <c r="H4103" s="6">
        <v>0.6327</v>
      </c>
      <c r="I4103" s="6">
        <v>1.1678</v>
      </c>
      <c r="J4103" s="6">
        <v>-0.5351</v>
      </c>
    </row>
    <row r="4104">
      <c r="A4104" s="1" t="s">
        <v>26</v>
      </c>
      <c r="B4104" s="1" t="s">
        <v>1192</v>
      </c>
      <c r="C4104" s="1" t="s">
        <v>1209</v>
      </c>
      <c r="D4104" s="6">
        <v>11.0</v>
      </c>
      <c r="E4104" s="6">
        <v>770.0</v>
      </c>
      <c r="F4104" s="6">
        <v>1556.0</v>
      </c>
      <c r="G4104" s="6">
        <v>1454.0</v>
      </c>
      <c r="H4104" s="6">
        <v>0.5296</v>
      </c>
      <c r="I4104" s="6">
        <v>1.0702</v>
      </c>
      <c r="J4104" s="6">
        <v>-0.5406</v>
      </c>
    </row>
    <row r="4105">
      <c r="A4105" s="1" t="s">
        <v>26</v>
      </c>
      <c r="B4105" s="1" t="s">
        <v>1192</v>
      </c>
      <c r="C4105" s="1" t="s">
        <v>1209</v>
      </c>
      <c r="D4105" s="6">
        <v>12.0</v>
      </c>
      <c r="E4105" s="6">
        <v>1085.0</v>
      </c>
      <c r="F4105" s="6">
        <v>2464.0</v>
      </c>
      <c r="G4105" s="6">
        <v>1454.0</v>
      </c>
      <c r="H4105" s="6">
        <v>0.7462</v>
      </c>
      <c r="I4105" s="6">
        <v>1.6946</v>
      </c>
      <c r="J4105" s="6">
        <v>-0.9484</v>
      </c>
    </row>
    <row r="4106">
      <c r="A4106" s="1" t="s">
        <v>26</v>
      </c>
      <c r="B4106" s="1" t="s">
        <v>1192</v>
      </c>
      <c r="C4106" s="1" t="s">
        <v>1209</v>
      </c>
      <c r="D4106" s="6">
        <v>13.0</v>
      </c>
      <c r="E4106" s="6">
        <v>3425.0</v>
      </c>
      <c r="F4106" s="6">
        <v>3815.0</v>
      </c>
      <c r="G4106" s="6">
        <v>1454.0</v>
      </c>
      <c r="H4106" s="6">
        <v>2.3556</v>
      </c>
      <c r="I4106" s="6">
        <v>2.6238</v>
      </c>
      <c r="J4106" s="6">
        <v>-0.2682</v>
      </c>
    </row>
    <row r="4107">
      <c r="A4107" s="1" t="s">
        <v>26</v>
      </c>
      <c r="B4107" s="1" t="s">
        <v>1192</v>
      </c>
      <c r="C4107" s="1" t="s">
        <v>1209</v>
      </c>
      <c r="D4107" s="6">
        <v>14.0</v>
      </c>
      <c r="E4107" s="6">
        <v>3905.0</v>
      </c>
      <c r="F4107" s="6">
        <v>4539.0</v>
      </c>
      <c r="G4107" s="6">
        <v>1454.0</v>
      </c>
      <c r="H4107" s="6">
        <v>2.6857</v>
      </c>
      <c r="I4107" s="6">
        <v>3.1217</v>
      </c>
      <c r="J4107" s="6">
        <v>-0.436</v>
      </c>
    </row>
    <row r="4108">
      <c r="A4108" s="1" t="s">
        <v>26</v>
      </c>
      <c r="B4108" s="1" t="s">
        <v>1192</v>
      </c>
      <c r="C4108" s="1" t="s">
        <v>1209</v>
      </c>
      <c r="D4108" s="6">
        <v>15.0</v>
      </c>
      <c r="E4108" s="6">
        <v>2210.0</v>
      </c>
      <c r="F4108" s="6">
        <v>3087.0</v>
      </c>
      <c r="G4108" s="6">
        <v>1454.0</v>
      </c>
      <c r="H4108" s="6">
        <v>1.5199</v>
      </c>
      <c r="I4108" s="6">
        <v>2.1231</v>
      </c>
      <c r="J4108" s="6">
        <v>-0.6032</v>
      </c>
    </row>
    <row r="4109">
      <c r="A4109" s="1" t="s">
        <v>26</v>
      </c>
      <c r="B4109" s="1" t="s">
        <v>1192</v>
      </c>
      <c r="C4109" s="1" t="s">
        <v>1209</v>
      </c>
      <c r="D4109" s="6">
        <v>16.0</v>
      </c>
      <c r="E4109" s="6">
        <v>3965.0</v>
      </c>
      <c r="F4109" s="6">
        <v>4057.0</v>
      </c>
      <c r="G4109" s="6">
        <v>1454.0</v>
      </c>
      <c r="H4109" s="6">
        <v>2.727</v>
      </c>
      <c r="I4109" s="6">
        <v>2.7902</v>
      </c>
      <c r="J4109" s="6">
        <v>-0.0633</v>
      </c>
    </row>
    <row r="4110">
      <c r="A4110" s="1" t="s">
        <v>26</v>
      </c>
      <c r="B4110" s="1" t="s">
        <v>1192</v>
      </c>
      <c r="C4110" s="1" t="s">
        <v>1209</v>
      </c>
      <c r="D4110" s="6">
        <v>17.0</v>
      </c>
      <c r="E4110" s="6">
        <v>2130.0</v>
      </c>
      <c r="F4110" s="6">
        <v>3111.0</v>
      </c>
      <c r="G4110" s="6">
        <v>1454.0</v>
      </c>
      <c r="H4110" s="6">
        <v>1.4649</v>
      </c>
      <c r="I4110" s="6">
        <v>2.1396</v>
      </c>
      <c r="J4110" s="6">
        <v>-0.6747</v>
      </c>
    </row>
    <row r="4111">
      <c r="A4111" s="1" t="s">
        <v>26</v>
      </c>
      <c r="B4111" s="1" t="s">
        <v>1192</v>
      </c>
      <c r="C4111" s="1" t="s">
        <v>1209</v>
      </c>
      <c r="D4111" s="6">
        <v>18.0</v>
      </c>
      <c r="E4111" s="6">
        <v>1895.0</v>
      </c>
      <c r="F4111" s="6">
        <v>2655.0</v>
      </c>
      <c r="G4111" s="6">
        <v>1454.0</v>
      </c>
      <c r="H4111" s="6">
        <v>1.3033</v>
      </c>
      <c r="I4111" s="6">
        <v>1.826</v>
      </c>
      <c r="J4111" s="6">
        <v>-0.5227</v>
      </c>
    </row>
    <row r="4112">
      <c r="A4112" s="1" t="s">
        <v>26</v>
      </c>
      <c r="B4112" s="1" t="s">
        <v>1192</v>
      </c>
      <c r="C4112" s="1" t="s">
        <v>1209</v>
      </c>
      <c r="D4112" s="6">
        <v>19.0</v>
      </c>
      <c r="E4112" s="6">
        <v>1750.0</v>
      </c>
      <c r="F4112" s="6">
        <v>2206.0</v>
      </c>
      <c r="G4112" s="6">
        <v>1454.0</v>
      </c>
      <c r="H4112" s="6">
        <v>1.2036</v>
      </c>
      <c r="I4112" s="6">
        <v>1.5172</v>
      </c>
      <c r="J4112" s="6">
        <v>-0.3136</v>
      </c>
    </row>
    <row r="4113">
      <c r="A4113" s="1" t="s">
        <v>26</v>
      </c>
      <c r="B4113" s="1" t="s">
        <v>1192</v>
      </c>
      <c r="C4113" s="1" t="s">
        <v>1209</v>
      </c>
      <c r="D4113" s="6">
        <v>20.0</v>
      </c>
      <c r="E4113" s="6">
        <v>4750.0</v>
      </c>
      <c r="F4113" s="6">
        <v>4626.0</v>
      </c>
      <c r="G4113" s="6">
        <v>1454.0</v>
      </c>
      <c r="H4113" s="6">
        <v>3.2669</v>
      </c>
      <c r="I4113" s="6">
        <v>3.1816</v>
      </c>
      <c r="J4113" s="6">
        <v>0.0853</v>
      </c>
    </row>
    <row r="4114">
      <c r="A4114" s="1" t="s">
        <v>26</v>
      </c>
      <c r="B4114" s="1" t="s">
        <v>1192</v>
      </c>
      <c r="C4114" s="1" t="s">
        <v>1209</v>
      </c>
      <c r="D4114" s="6">
        <v>21.0</v>
      </c>
      <c r="E4114" s="6">
        <v>6010.0</v>
      </c>
      <c r="F4114" s="6">
        <v>5331.0</v>
      </c>
      <c r="G4114" s="6">
        <v>1454.0</v>
      </c>
      <c r="H4114" s="6">
        <v>4.1334</v>
      </c>
      <c r="I4114" s="6">
        <v>3.6664</v>
      </c>
      <c r="J4114" s="6">
        <v>0.467</v>
      </c>
    </row>
    <row r="4115">
      <c r="A4115" s="1" t="s">
        <v>26</v>
      </c>
      <c r="B4115" s="1" t="s">
        <v>1192</v>
      </c>
      <c r="C4115" s="1" t="s">
        <v>1209</v>
      </c>
      <c r="D4115" s="6">
        <v>22.0</v>
      </c>
      <c r="E4115" s="6">
        <v>4310.0</v>
      </c>
      <c r="F4115" s="6">
        <v>4744.0</v>
      </c>
      <c r="G4115" s="6">
        <v>1454.0</v>
      </c>
      <c r="H4115" s="6">
        <v>2.9642</v>
      </c>
      <c r="I4115" s="6">
        <v>3.2627</v>
      </c>
      <c r="J4115" s="6">
        <v>-0.2985</v>
      </c>
    </row>
    <row r="4116">
      <c r="A4116" s="1" t="s">
        <v>26</v>
      </c>
      <c r="B4116" s="1" t="s">
        <v>1192</v>
      </c>
      <c r="C4116" s="1" t="s">
        <v>1209</v>
      </c>
      <c r="D4116" s="6">
        <v>23.0</v>
      </c>
      <c r="E4116" s="6">
        <v>2955.0</v>
      </c>
      <c r="F4116" s="6">
        <v>3660.0</v>
      </c>
      <c r="G4116" s="6">
        <v>1454.0</v>
      </c>
      <c r="H4116" s="6">
        <v>2.0323</v>
      </c>
      <c r="I4116" s="6">
        <v>2.5172</v>
      </c>
      <c r="J4116" s="6">
        <v>-0.4849</v>
      </c>
    </row>
    <row r="4117">
      <c r="A4117" s="1" t="s">
        <v>26</v>
      </c>
      <c r="B4117" s="1" t="s">
        <v>1192</v>
      </c>
      <c r="C4117" s="1" t="s">
        <v>1209</v>
      </c>
      <c r="D4117" s="6">
        <v>24.0</v>
      </c>
      <c r="E4117" s="6">
        <v>1565.0</v>
      </c>
      <c r="F4117" s="6">
        <v>2429.0</v>
      </c>
      <c r="G4117" s="6">
        <v>1454.0</v>
      </c>
      <c r="H4117" s="6">
        <v>1.0763</v>
      </c>
      <c r="I4117" s="6">
        <v>1.6706</v>
      </c>
      <c r="J4117" s="6">
        <v>-0.5942</v>
      </c>
    </row>
    <row r="4118">
      <c r="A4118" s="1" t="s">
        <v>26</v>
      </c>
      <c r="B4118" s="1" t="s">
        <v>1192</v>
      </c>
      <c r="C4118" s="1" t="s">
        <v>1209</v>
      </c>
      <c r="D4118" s="6">
        <v>25.0</v>
      </c>
      <c r="E4118" s="6">
        <v>1355.0</v>
      </c>
      <c r="F4118" s="6">
        <v>2701.0</v>
      </c>
      <c r="G4118" s="6">
        <v>1454.0</v>
      </c>
      <c r="H4118" s="6">
        <v>0.9319</v>
      </c>
      <c r="I4118" s="6">
        <v>1.8576</v>
      </c>
      <c r="J4118" s="6">
        <v>-0.9257</v>
      </c>
    </row>
    <row r="4119">
      <c r="A4119" s="1" t="s">
        <v>26</v>
      </c>
      <c r="B4119" s="1" t="s">
        <v>1192</v>
      </c>
      <c r="C4119" s="1" t="s">
        <v>1209</v>
      </c>
      <c r="D4119" s="6">
        <v>26.0</v>
      </c>
      <c r="E4119" s="6">
        <v>2135.0</v>
      </c>
      <c r="F4119" s="6">
        <v>3518.0</v>
      </c>
      <c r="G4119" s="6">
        <v>1454.0</v>
      </c>
      <c r="H4119" s="6">
        <v>1.4684</v>
      </c>
      <c r="I4119" s="6">
        <v>2.4195</v>
      </c>
      <c r="J4119" s="6">
        <v>-0.9512</v>
      </c>
    </row>
    <row r="4120">
      <c r="A4120" s="1" t="s">
        <v>26</v>
      </c>
      <c r="B4120" s="1" t="s">
        <v>1192</v>
      </c>
      <c r="C4120" s="1" t="s">
        <v>1209</v>
      </c>
      <c r="D4120" s="6">
        <v>27.0</v>
      </c>
      <c r="E4120" s="6">
        <v>2785.0</v>
      </c>
      <c r="F4120" s="6">
        <v>3661.0</v>
      </c>
      <c r="G4120" s="6">
        <v>1454.0</v>
      </c>
      <c r="H4120" s="6">
        <v>1.9154</v>
      </c>
      <c r="I4120" s="6">
        <v>2.5179</v>
      </c>
      <c r="J4120" s="6">
        <v>-0.6025</v>
      </c>
    </row>
    <row r="4121">
      <c r="A4121" s="1" t="s">
        <v>26</v>
      </c>
      <c r="B4121" s="1" t="s">
        <v>1192</v>
      </c>
      <c r="C4121" s="1" t="s">
        <v>1209</v>
      </c>
      <c r="D4121" s="6">
        <v>28.0</v>
      </c>
      <c r="E4121" s="6">
        <v>3155.0</v>
      </c>
      <c r="F4121" s="6">
        <v>4089.0</v>
      </c>
      <c r="G4121" s="6">
        <v>1454.0</v>
      </c>
      <c r="H4121" s="6">
        <v>2.1699</v>
      </c>
      <c r="I4121" s="6">
        <v>2.8122</v>
      </c>
      <c r="J4121" s="6">
        <v>-0.6424</v>
      </c>
    </row>
    <row r="4122">
      <c r="A4122" s="1" t="s">
        <v>26</v>
      </c>
      <c r="B4122" s="1" t="s">
        <v>1192</v>
      </c>
      <c r="C4122" s="1" t="s">
        <v>1209</v>
      </c>
      <c r="D4122" s="6">
        <v>29.0</v>
      </c>
      <c r="E4122" s="6">
        <v>2320.0</v>
      </c>
      <c r="F4122" s="6">
        <v>4263.0</v>
      </c>
      <c r="G4122" s="6">
        <v>1454.0</v>
      </c>
      <c r="H4122" s="6">
        <v>1.5956</v>
      </c>
      <c r="I4122" s="6">
        <v>2.9319</v>
      </c>
      <c r="J4122" s="6">
        <v>-1.3363</v>
      </c>
    </row>
    <row r="4123">
      <c r="A4123" s="1" t="s">
        <v>26</v>
      </c>
      <c r="B4123" s="1" t="s">
        <v>1192</v>
      </c>
      <c r="C4123" s="1" t="s">
        <v>1209</v>
      </c>
      <c r="D4123" s="6">
        <v>30.0</v>
      </c>
      <c r="E4123" s="6">
        <v>5200.0</v>
      </c>
      <c r="F4123" s="6">
        <v>5945.0</v>
      </c>
      <c r="G4123" s="6">
        <v>1454.0</v>
      </c>
      <c r="H4123" s="6">
        <v>3.5763</v>
      </c>
      <c r="I4123" s="6">
        <v>4.0887</v>
      </c>
      <c r="J4123" s="6">
        <v>-0.5124</v>
      </c>
    </row>
    <row r="4124">
      <c r="A4124" s="1" t="s">
        <v>26</v>
      </c>
      <c r="B4124" s="1" t="s">
        <v>1192</v>
      </c>
      <c r="C4124" s="1" t="s">
        <v>1209</v>
      </c>
      <c r="D4124" s="6">
        <v>31.0</v>
      </c>
      <c r="E4124" s="6">
        <v>2640.0</v>
      </c>
      <c r="F4124" s="6">
        <v>3371.0</v>
      </c>
      <c r="G4124" s="6">
        <v>1454.0</v>
      </c>
      <c r="H4124" s="6">
        <v>1.8157</v>
      </c>
      <c r="I4124" s="6">
        <v>2.3184</v>
      </c>
      <c r="J4124" s="6">
        <v>-0.5028</v>
      </c>
    </row>
    <row r="4125">
      <c r="A4125" s="1" t="s">
        <v>26</v>
      </c>
      <c r="B4125" s="1" t="s">
        <v>1192</v>
      </c>
      <c r="C4125" s="1" t="s">
        <v>1209</v>
      </c>
      <c r="D4125" s="6">
        <v>32.0</v>
      </c>
      <c r="E4125" s="6">
        <v>2625.0</v>
      </c>
      <c r="F4125" s="6">
        <v>3217.0</v>
      </c>
      <c r="G4125" s="6">
        <v>1454.0</v>
      </c>
      <c r="H4125" s="6">
        <v>1.8054</v>
      </c>
      <c r="I4125" s="6">
        <v>2.2125</v>
      </c>
      <c r="J4125" s="6">
        <v>-0.4072</v>
      </c>
    </row>
    <row r="4126">
      <c r="A4126" s="1" t="s">
        <v>26</v>
      </c>
      <c r="B4126" s="1" t="s">
        <v>1192</v>
      </c>
      <c r="C4126" s="1" t="s">
        <v>1209</v>
      </c>
      <c r="D4126" s="6">
        <v>33.0</v>
      </c>
      <c r="E4126" s="6">
        <v>1950.0</v>
      </c>
      <c r="F4126" s="6">
        <v>3069.0</v>
      </c>
      <c r="G4126" s="6">
        <v>1454.0</v>
      </c>
      <c r="H4126" s="6">
        <v>1.3411</v>
      </c>
      <c r="I4126" s="6">
        <v>2.1107</v>
      </c>
      <c r="J4126" s="6">
        <v>-0.7696</v>
      </c>
    </row>
    <row r="4127">
      <c r="A4127" s="1" t="s">
        <v>26</v>
      </c>
      <c r="B4127" s="1" t="s">
        <v>1192</v>
      </c>
      <c r="C4127" s="1" t="s">
        <v>1210</v>
      </c>
      <c r="D4127" s="6">
        <v>1.0</v>
      </c>
      <c r="E4127" s="6">
        <v>2300.0</v>
      </c>
      <c r="F4127" s="6">
        <v>2617.0</v>
      </c>
      <c r="G4127" s="6">
        <v>1772.0</v>
      </c>
      <c r="H4127" s="6">
        <v>1.298</v>
      </c>
      <c r="I4127" s="6">
        <v>1.4769</v>
      </c>
      <c r="J4127" s="6">
        <v>-0.1789</v>
      </c>
    </row>
    <row r="4128">
      <c r="A4128" s="1" t="s">
        <v>26</v>
      </c>
      <c r="B4128" s="1" t="s">
        <v>1192</v>
      </c>
      <c r="C4128" s="1" t="s">
        <v>1210</v>
      </c>
      <c r="D4128" s="6">
        <v>2.0</v>
      </c>
      <c r="E4128" s="6">
        <v>3770.0</v>
      </c>
      <c r="F4128" s="6">
        <v>3744.0</v>
      </c>
      <c r="G4128" s="6">
        <v>1772.0</v>
      </c>
      <c r="H4128" s="6">
        <v>2.1275</v>
      </c>
      <c r="I4128" s="6">
        <v>2.1129</v>
      </c>
      <c r="J4128" s="6">
        <v>0.0147</v>
      </c>
    </row>
    <row r="4129">
      <c r="A4129" s="1" t="s">
        <v>26</v>
      </c>
      <c r="B4129" s="1" t="s">
        <v>1192</v>
      </c>
      <c r="C4129" s="1" t="s">
        <v>1210</v>
      </c>
      <c r="D4129" s="6">
        <v>3.0</v>
      </c>
      <c r="E4129" s="6">
        <v>4385.0</v>
      </c>
      <c r="F4129" s="6">
        <v>3833.0</v>
      </c>
      <c r="G4129" s="6">
        <v>1772.0</v>
      </c>
      <c r="H4129" s="6">
        <v>2.4746</v>
      </c>
      <c r="I4129" s="6">
        <v>2.1631</v>
      </c>
      <c r="J4129" s="6">
        <v>0.3115</v>
      </c>
    </row>
    <row r="4130">
      <c r="A4130" s="1" t="s">
        <v>26</v>
      </c>
      <c r="B4130" s="1" t="s">
        <v>1192</v>
      </c>
      <c r="C4130" s="1" t="s">
        <v>1210</v>
      </c>
      <c r="D4130" s="6">
        <v>4.0</v>
      </c>
      <c r="E4130" s="6">
        <v>5680.0</v>
      </c>
      <c r="F4130" s="6">
        <v>5062.0</v>
      </c>
      <c r="G4130" s="6">
        <v>1772.0</v>
      </c>
      <c r="H4130" s="6">
        <v>3.2054</v>
      </c>
      <c r="I4130" s="6">
        <v>2.8567</v>
      </c>
      <c r="J4130" s="6">
        <v>0.3488</v>
      </c>
    </row>
    <row r="4131">
      <c r="A4131" s="1" t="s">
        <v>26</v>
      </c>
      <c r="B4131" s="1" t="s">
        <v>1192</v>
      </c>
      <c r="C4131" s="1" t="s">
        <v>1210</v>
      </c>
      <c r="D4131" s="6">
        <v>5.0</v>
      </c>
      <c r="E4131" s="6">
        <v>5705.0</v>
      </c>
      <c r="F4131" s="6">
        <v>4985.0</v>
      </c>
      <c r="G4131" s="6">
        <v>1772.0</v>
      </c>
      <c r="H4131" s="6">
        <v>3.2195</v>
      </c>
      <c r="I4131" s="6">
        <v>2.8132</v>
      </c>
      <c r="J4131" s="6">
        <v>0.4063</v>
      </c>
    </row>
    <row r="4132">
      <c r="A4132" s="1" t="s">
        <v>26</v>
      </c>
      <c r="B4132" s="1" t="s">
        <v>1192</v>
      </c>
      <c r="C4132" s="1" t="s">
        <v>1210</v>
      </c>
      <c r="D4132" s="6">
        <v>6.0</v>
      </c>
      <c r="E4132" s="6">
        <v>7080.0</v>
      </c>
      <c r="F4132" s="6">
        <v>6523.0</v>
      </c>
      <c r="G4132" s="6">
        <v>1772.0</v>
      </c>
      <c r="H4132" s="6">
        <v>3.9955</v>
      </c>
      <c r="I4132" s="6">
        <v>3.6812</v>
      </c>
      <c r="J4132" s="6">
        <v>0.3143</v>
      </c>
    </row>
    <row r="4133">
      <c r="A4133" s="1" t="s">
        <v>26</v>
      </c>
      <c r="B4133" s="1" t="s">
        <v>1192</v>
      </c>
      <c r="C4133" s="1" t="s">
        <v>1210</v>
      </c>
      <c r="D4133" s="6">
        <v>7.0</v>
      </c>
      <c r="E4133" s="6">
        <v>6855.0</v>
      </c>
      <c r="F4133" s="6">
        <v>5559.0</v>
      </c>
      <c r="G4133" s="6">
        <v>1772.0</v>
      </c>
      <c r="H4133" s="6">
        <v>3.8685</v>
      </c>
      <c r="I4133" s="6">
        <v>3.1371</v>
      </c>
      <c r="J4133" s="6">
        <v>0.7314</v>
      </c>
    </row>
    <row r="4134">
      <c r="A4134" s="1" t="s">
        <v>26</v>
      </c>
      <c r="B4134" s="1" t="s">
        <v>1192</v>
      </c>
      <c r="C4134" s="1" t="s">
        <v>1210</v>
      </c>
      <c r="D4134" s="6">
        <v>8.0</v>
      </c>
      <c r="E4134" s="6">
        <v>5430.0</v>
      </c>
      <c r="F4134" s="6">
        <v>5003.0</v>
      </c>
      <c r="G4134" s="6">
        <v>1772.0</v>
      </c>
      <c r="H4134" s="6">
        <v>3.0643</v>
      </c>
      <c r="I4134" s="6">
        <v>2.8234</v>
      </c>
      <c r="J4134" s="6">
        <v>0.241</v>
      </c>
    </row>
    <row r="4135">
      <c r="A4135" s="1" t="s">
        <v>26</v>
      </c>
      <c r="B4135" s="1" t="s">
        <v>1192</v>
      </c>
      <c r="C4135" s="1" t="s">
        <v>1210</v>
      </c>
      <c r="D4135" s="6">
        <v>9.0</v>
      </c>
      <c r="E4135" s="6">
        <v>2425.0</v>
      </c>
      <c r="F4135" s="6">
        <v>3292.0</v>
      </c>
      <c r="G4135" s="6">
        <v>1772.0</v>
      </c>
      <c r="H4135" s="6">
        <v>1.3685</v>
      </c>
      <c r="I4135" s="6">
        <v>1.8578</v>
      </c>
      <c r="J4135" s="6">
        <v>-0.4893</v>
      </c>
    </row>
    <row r="4136">
      <c r="A4136" s="1" t="s">
        <v>26</v>
      </c>
      <c r="B4136" s="1" t="s">
        <v>1192</v>
      </c>
      <c r="C4136" s="1" t="s">
        <v>1210</v>
      </c>
      <c r="D4136" s="6">
        <v>10.0</v>
      </c>
      <c r="E4136" s="6">
        <v>3540.0</v>
      </c>
      <c r="F4136" s="6">
        <v>3442.0</v>
      </c>
      <c r="G4136" s="6">
        <v>1772.0</v>
      </c>
      <c r="H4136" s="6">
        <v>1.9977</v>
      </c>
      <c r="I4136" s="6">
        <v>1.9424</v>
      </c>
      <c r="J4136" s="6">
        <v>0.0553</v>
      </c>
    </row>
    <row r="4137">
      <c r="A4137" s="1" t="s">
        <v>26</v>
      </c>
      <c r="B4137" s="1" t="s">
        <v>1192</v>
      </c>
      <c r="C4137" s="1" t="s">
        <v>1210</v>
      </c>
      <c r="D4137" s="6">
        <v>11.0</v>
      </c>
      <c r="E4137" s="6">
        <v>3100.0</v>
      </c>
      <c r="F4137" s="6">
        <v>3199.0</v>
      </c>
      <c r="G4137" s="6">
        <v>1772.0</v>
      </c>
      <c r="H4137" s="6">
        <v>1.7494</v>
      </c>
      <c r="I4137" s="6">
        <v>1.8053</v>
      </c>
      <c r="J4137" s="6">
        <v>-0.0559</v>
      </c>
    </row>
    <row r="4138">
      <c r="A4138" s="1" t="s">
        <v>26</v>
      </c>
      <c r="B4138" s="1" t="s">
        <v>1192</v>
      </c>
      <c r="C4138" s="1" t="s">
        <v>1210</v>
      </c>
      <c r="D4138" s="6">
        <v>12.0</v>
      </c>
      <c r="E4138" s="6">
        <v>3225.0</v>
      </c>
      <c r="F4138" s="6">
        <v>3761.0</v>
      </c>
      <c r="G4138" s="6">
        <v>1772.0</v>
      </c>
      <c r="H4138" s="6">
        <v>1.82</v>
      </c>
      <c r="I4138" s="6">
        <v>2.1225</v>
      </c>
      <c r="J4138" s="6">
        <v>-0.3025</v>
      </c>
    </row>
    <row r="4139">
      <c r="A4139" s="1" t="s">
        <v>26</v>
      </c>
      <c r="B4139" s="1" t="s">
        <v>1192</v>
      </c>
      <c r="C4139" s="1" t="s">
        <v>1210</v>
      </c>
      <c r="D4139" s="6">
        <v>13.0</v>
      </c>
      <c r="E4139" s="6">
        <v>5660.0</v>
      </c>
      <c r="F4139" s="6">
        <v>5096.0</v>
      </c>
      <c r="G4139" s="6">
        <v>1772.0</v>
      </c>
      <c r="H4139" s="6">
        <v>3.1941</v>
      </c>
      <c r="I4139" s="6">
        <v>2.8758</v>
      </c>
      <c r="J4139" s="6">
        <v>0.3183</v>
      </c>
    </row>
    <row r="4140">
      <c r="A4140" s="1" t="s">
        <v>26</v>
      </c>
      <c r="B4140" s="1" t="s">
        <v>1192</v>
      </c>
      <c r="C4140" s="1" t="s">
        <v>1210</v>
      </c>
      <c r="D4140" s="6">
        <v>14.0</v>
      </c>
      <c r="E4140" s="6">
        <v>4835.0</v>
      </c>
      <c r="F4140" s="6">
        <v>5099.0</v>
      </c>
      <c r="G4140" s="6">
        <v>1772.0</v>
      </c>
      <c r="H4140" s="6">
        <v>2.7286</v>
      </c>
      <c r="I4140" s="6">
        <v>2.8775</v>
      </c>
      <c r="J4140" s="6">
        <v>-0.149</v>
      </c>
    </row>
    <row r="4141">
      <c r="A4141" s="1" t="s">
        <v>26</v>
      </c>
      <c r="B4141" s="1" t="s">
        <v>1192</v>
      </c>
      <c r="C4141" s="1" t="s">
        <v>1210</v>
      </c>
      <c r="D4141" s="6">
        <v>15.0</v>
      </c>
      <c r="E4141" s="6">
        <v>3065.0</v>
      </c>
      <c r="F4141" s="6">
        <v>3676.0</v>
      </c>
      <c r="G4141" s="6">
        <v>1772.0</v>
      </c>
      <c r="H4141" s="6">
        <v>1.7297</v>
      </c>
      <c r="I4141" s="6">
        <v>2.0745</v>
      </c>
      <c r="J4141" s="6">
        <v>-0.3448</v>
      </c>
    </row>
    <row r="4142">
      <c r="A4142" s="1" t="s">
        <v>26</v>
      </c>
      <c r="B4142" s="1" t="s">
        <v>1192</v>
      </c>
      <c r="C4142" s="1" t="s">
        <v>1210</v>
      </c>
      <c r="D4142" s="6">
        <v>16.0</v>
      </c>
      <c r="E4142" s="6">
        <v>5280.0</v>
      </c>
      <c r="F4142" s="6">
        <v>4860.0</v>
      </c>
      <c r="G4142" s="6">
        <v>1772.0</v>
      </c>
      <c r="H4142" s="6">
        <v>2.9797</v>
      </c>
      <c r="I4142" s="6">
        <v>2.7427</v>
      </c>
      <c r="J4142" s="6">
        <v>0.237</v>
      </c>
    </row>
    <row r="4143">
      <c r="A4143" s="1" t="s">
        <v>26</v>
      </c>
      <c r="B4143" s="1" t="s">
        <v>1192</v>
      </c>
      <c r="C4143" s="1" t="s">
        <v>1210</v>
      </c>
      <c r="D4143" s="6">
        <v>17.0</v>
      </c>
      <c r="E4143" s="6">
        <v>5960.0</v>
      </c>
      <c r="F4143" s="6">
        <v>5603.0</v>
      </c>
      <c r="G4143" s="6">
        <v>1772.0</v>
      </c>
      <c r="H4143" s="6">
        <v>3.3634</v>
      </c>
      <c r="I4143" s="6">
        <v>3.162</v>
      </c>
      <c r="J4143" s="6">
        <v>0.2015</v>
      </c>
    </row>
    <row r="4144">
      <c r="A4144" s="1" t="s">
        <v>26</v>
      </c>
      <c r="B4144" s="1" t="s">
        <v>1192</v>
      </c>
      <c r="C4144" s="1" t="s">
        <v>1210</v>
      </c>
      <c r="D4144" s="6">
        <v>18.0</v>
      </c>
      <c r="E4144" s="6">
        <v>6285.0</v>
      </c>
      <c r="F4144" s="6">
        <v>5609.0</v>
      </c>
      <c r="G4144" s="6">
        <v>1772.0</v>
      </c>
      <c r="H4144" s="6">
        <v>3.5468</v>
      </c>
      <c r="I4144" s="6">
        <v>3.1653</v>
      </c>
      <c r="J4144" s="6">
        <v>0.3815</v>
      </c>
    </row>
    <row r="4145">
      <c r="A4145" s="1" t="s">
        <v>26</v>
      </c>
      <c r="B4145" s="1" t="s">
        <v>1192</v>
      </c>
      <c r="C4145" s="1" t="s">
        <v>1210</v>
      </c>
      <c r="D4145" s="6">
        <v>19.0</v>
      </c>
      <c r="E4145" s="6">
        <v>7010.0</v>
      </c>
      <c r="F4145" s="6">
        <v>5755.0</v>
      </c>
      <c r="G4145" s="6">
        <v>1772.0</v>
      </c>
      <c r="H4145" s="6">
        <v>3.956</v>
      </c>
      <c r="I4145" s="6">
        <v>3.2477</v>
      </c>
      <c r="J4145" s="6">
        <v>0.7082</v>
      </c>
    </row>
    <row r="4146">
      <c r="A4146" s="1" t="s">
        <v>26</v>
      </c>
      <c r="B4146" s="1" t="s">
        <v>1192</v>
      </c>
      <c r="C4146" s="1" t="s">
        <v>1210</v>
      </c>
      <c r="D4146" s="6">
        <v>20.0</v>
      </c>
      <c r="E4146" s="6">
        <v>9555.0</v>
      </c>
      <c r="F4146" s="6">
        <v>7983.0</v>
      </c>
      <c r="G4146" s="6">
        <v>1772.0</v>
      </c>
      <c r="H4146" s="6">
        <v>5.3922</v>
      </c>
      <c r="I4146" s="6">
        <v>4.5051</v>
      </c>
      <c r="J4146" s="6">
        <v>0.8871</v>
      </c>
    </row>
    <row r="4147">
      <c r="A4147" s="1" t="s">
        <v>26</v>
      </c>
      <c r="B4147" s="1" t="s">
        <v>1192</v>
      </c>
      <c r="C4147" s="1" t="s">
        <v>1210</v>
      </c>
      <c r="D4147" s="6">
        <v>21.0</v>
      </c>
      <c r="E4147" s="6">
        <v>16570.0</v>
      </c>
      <c r="F4147" s="6">
        <v>11725.0</v>
      </c>
      <c r="G4147" s="6">
        <v>1772.0</v>
      </c>
      <c r="H4147" s="6">
        <v>9.351</v>
      </c>
      <c r="I4147" s="6">
        <v>6.6168</v>
      </c>
      <c r="J4147" s="6">
        <v>2.7342</v>
      </c>
    </row>
    <row r="4148">
      <c r="A4148" s="1" t="s">
        <v>26</v>
      </c>
      <c r="B4148" s="1" t="s">
        <v>1192</v>
      </c>
      <c r="C4148" s="1" t="s">
        <v>1210</v>
      </c>
      <c r="D4148" s="6">
        <v>22.0</v>
      </c>
      <c r="E4148" s="6">
        <v>11015.0</v>
      </c>
      <c r="F4148" s="6">
        <v>8893.0</v>
      </c>
      <c r="G4148" s="6">
        <v>1772.0</v>
      </c>
      <c r="H4148" s="6">
        <v>6.2161</v>
      </c>
      <c r="I4148" s="6">
        <v>5.0186</v>
      </c>
      <c r="J4148" s="6">
        <v>1.1975</v>
      </c>
    </row>
    <row r="4149">
      <c r="A4149" s="1" t="s">
        <v>26</v>
      </c>
      <c r="B4149" s="1" t="s">
        <v>1192</v>
      </c>
      <c r="C4149" s="1" t="s">
        <v>1210</v>
      </c>
      <c r="D4149" s="6">
        <v>23.0</v>
      </c>
      <c r="E4149" s="6">
        <v>5545.0</v>
      </c>
      <c r="F4149" s="6">
        <v>5248.0</v>
      </c>
      <c r="G4149" s="6">
        <v>1772.0</v>
      </c>
      <c r="H4149" s="6">
        <v>3.1292</v>
      </c>
      <c r="I4149" s="6">
        <v>2.9616</v>
      </c>
      <c r="J4149" s="6">
        <v>0.1676</v>
      </c>
    </row>
    <row r="4150">
      <c r="A4150" s="1" t="s">
        <v>26</v>
      </c>
      <c r="B4150" s="1" t="s">
        <v>1192</v>
      </c>
      <c r="C4150" s="1" t="s">
        <v>1210</v>
      </c>
      <c r="D4150" s="6">
        <v>24.0</v>
      </c>
      <c r="E4150" s="6">
        <v>5565.0</v>
      </c>
      <c r="F4150" s="6">
        <v>4895.0</v>
      </c>
      <c r="G4150" s="6">
        <v>1772.0</v>
      </c>
      <c r="H4150" s="6">
        <v>3.1405</v>
      </c>
      <c r="I4150" s="6">
        <v>2.7624</v>
      </c>
      <c r="J4150" s="6">
        <v>0.3781</v>
      </c>
    </row>
    <row r="4151">
      <c r="A4151" s="1" t="s">
        <v>26</v>
      </c>
      <c r="B4151" s="1" t="s">
        <v>1192</v>
      </c>
      <c r="C4151" s="1" t="s">
        <v>1210</v>
      </c>
      <c r="D4151" s="6">
        <v>25.0</v>
      </c>
      <c r="E4151" s="6">
        <v>5305.0</v>
      </c>
      <c r="F4151" s="6">
        <v>5178.0</v>
      </c>
      <c r="G4151" s="6">
        <v>1772.0</v>
      </c>
      <c r="H4151" s="6">
        <v>2.9938</v>
      </c>
      <c r="I4151" s="6">
        <v>2.9221</v>
      </c>
      <c r="J4151" s="6">
        <v>0.0717</v>
      </c>
    </row>
    <row r="4152">
      <c r="A4152" s="1" t="s">
        <v>26</v>
      </c>
      <c r="B4152" s="1" t="s">
        <v>1192</v>
      </c>
      <c r="C4152" s="1" t="s">
        <v>1210</v>
      </c>
      <c r="D4152" s="6">
        <v>26.0</v>
      </c>
      <c r="E4152" s="6">
        <v>5430.0</v>
      </c>
      <c r="F4152" s="6">
        <v>6020.0</v>
      </c>
      <c r="G4152" s="6">
        <v>1772.0</v>
      </c>
      <c r="H4152" s="6">
        <v>3.0643</v>
      </c>
      <c r="I4152" s="6">
        <v>3.3973</v>
      </c>
      <c r="J4152" s="6">
        <v>-0.333</v>
      </c>
    </row>
    <row r="4153">
      <c r="A4153" s="1" t="s">
        <v>26</v>
      </c>
      <c r="B4153" s="1" t="s">
        <v>1192</v>
      </c>
      <c r="C4153" s="1" t="s">
        <v>1210</v>
      </c>
      <c r="D4153" s="6">
        <v>27.0</v>
      </c>
      <c r="E4153" s="6">
        <v>6065.0</v>
      </c>
      <c r="F4153" s="6">
        <v>5670.0</v>
      </c>
      <c r="G4153" s="6">
        <v>1772.0</v>
      </c>
      <c r="H4153" s="6">
        <v>3.4227</v>
      </c>
      <c r="I4153" s="6">
        <v>3.1998</v>
      </c>
      <c r="J4153" s="6">
        <v>0.2229</v>
      </c>
    </row>
    <row r="4154">
      <c r="A4154" s="1" t="s">
        <v>26</v>
      </c>
      <c r="B4154" s="1" t="s">
        <v>1192</v>
      </c>
      <c r="C4154" s="1" t="s">
        <v>1210</v>
      </c>
      <c r="D4154" s="6">
        <v>28.0</v>
      </c>
      <c r="E4154" s="6">
        <v>5025.0</v>
      </c>
      <c r="F4154" s="6">
        <v>5229.0</v>
      </c>
      <c r="G4154" s="6">
        <v>1772.0</v>
      </c>
      <c r="H4154" s="6">
        <v>2.8358</v>
      </c>
      <c r="I4154" s="6">
        <v>2.9509</v>
      </c>
      <c r="J4154" s="6">
        <v>-0.1151</v>
      </c>
    </row>
    <row r="4155">
      <c r="A4155" s="1" t="s">
        <v>26</v>
      </c>
      <c r="B4155" s="1" t="s">
        <v>1192</v>
      </c>
      <c r="C4155" s="1" t="s">
        <v>1210</v>
      </c>
      <c r="D4155" s="6">
        <v>29.0</v>
      </c>
      <c r="E4155" s="6">
        <v>3500.0</v>
      </c>
      <c r="F4155" s="6">
        <v>4858.0</v>
      </c>
      <c r="G4155" s="6">
        <v>1772.0</v>
      </c>
      <c r="H4155" s="6">
        <v>1.9752</v>
      </c>
      <c r="I4155" s="6">
        <v>2.7415</v>
      </c>
      <c r="J4155" s="6">
        <v>-0.7664</v>
      </c>
    </row>
    <row r="4156">
      <c r="A4156" s="1" t="s">
        <v>26</v>
      </c>
      <c r="B4156" s="1" t="s">
        <v>1192</v>
      </c>
      <c r="C4156" s="1" t="s">
        <v>1210</v>
      </c>
      <c r="D4156" s="6">
        <v>30.0</v>
      </c>
      <c r="E4156" s="6">
        <v>7280.0</v>
      </c>
      <c r="F4156" s="6">
        <v>7319.0</v>
      </c>
      <c r="G4156" s="6">
        <v>1772.0</v>
      </c>
      <c r="H4156" s="6">
        <v>4.1084</v>
      </c>
      <c r="I4156" s="6">
        <v>4.1304</v>
      </c>
      <c r="J4156" s="6">
        <v>-0.022</v>
      </c>
    </row>
    <row r="4157">
      <c r="A4157" s="1" t="s">
        <v>26</v>
      </c>
      <c r="B4157" s="1" t="s">
        <v>1192</v>
      </c>
      <c r="C4157" s="1" t="s">
        <v>1210</v>
      </c>
      <c r="D4157" s="6">
        <v>31.0</v>
      </c>
      <c r="E4157" s="6">
        <v>7390.0</v>
      </c>
      <c r="F4157" s="6">
        <v>6673.0</v>
      </c>
      <c r="G4157" s="6">
        <v>1772.0</v>
      </c>
      <c r="H4157" s="6">
        <v>4.1704</v>
      </c>
      <c r="I4157" s="6">
        <v>3.7658</v>
      </c>
      <c r="J4157" s="6">
        <v>0.4046</v>
      </c>
    </row>
    <row r="4158">
      <c r="A4158" s="1" t="s">
        <v>26</v>
      </c>
      <c r="B4158" s="1" t="s">
        <v>1192</v>
      </c>
      <c r="C4158" s="1" t="s">
        <v>1210</v>
      </c>
      <c r="D4158" s="6">
        <v>32.0</v>
      </c>
      <c r="E4158" s="6">
        <v>8910.0</v>
      </c>
      <c r="F4158" s="6">
        <v>7453.0</v>
      </c>
      <c r="G4158" s="6">
        <v>1772.0</v>
      </c>
      <c r="H4158" s="6">
        <v>5.0282</v>
      </c>
      <c r="I4158" s="6">
        <v>4.206</v>
      </c>
      <c r="J4158" s="6">
        <v>0.8222</v>
      </c>
    </row>
    <row r="4159">
      <c r="A4159" s="1" t="s">
        <v>26</v>
      </c>
      <c r="B4159" s="1" t="s">
        <v>1192</v>
      </c>
      <c r="C4159" s="1" t="s">
        <v>1210</v>
      </c>
      <c r="D4159" s="6">
        <v>33.0</v>
      </c>
      <c r="E4159" s="6">
        <v>8120.0</v>
      </c>
      <c r="F4159" s="6">
        <v>7322.0</v>
      </c>
      <c r="G4159" s="6">
        <v>1772.0</v>
      </c>
      <c r="H4159" s="6">
        <v>4.5824</v>
      </c>
      <c r="I4159" s="6">
        <v>4.1321</v>
      </c>
      <c r="J4159" s="6">
        <v>0.4503</v>
      </c>
    </row>
    <row r="4160">
      <c r="A4160" s="1" t="s">
        <v>26</v>
      </c>
      <c r="B4160" s="1" t="s">
        <v>1192</v>
      </c>
      <c r="C4160" s="1" t="s">
        <v>1211</v>
      </c>
      <c r="D4160" s="6">
        <v>1.0</v>
      </c>
      <c r="E4160" s="6">
        <v>2565.0</v>
      </c>
      <c r="F4160" s="6">
        <v>2537.0</v>
      </c>
      <c r="G4160" s="6">
        <v>1800.0</v>
      </c>
      <c r="H4160" s="6">
        <v>1.425</v>
      </c>
      <c r="I4160" s="6">
        <v>1.4094</v>
      </c>
      <c r="J4160" s="6">
        <v>0.0156</v>
      </c>
    </row>
    <row r="4161">
      <c r="A4161" s="1" t="s">
        <v>26</v>
      </c>
      <c r="B4161" s="1" t="s">
        <v>1192</v>
      </c>
      <c r="C4161" s="1" t="s">
        <v>1211</v>
      </c>
      <c r="D4161" s="6">
        <v>2.0</v>
      </c>
      <c r="E4161" s="6">
        <v>4695.0</v>
      </c>
      <c r="F4161" s="6">
        <v>3825.0</v>
      </c>
      <c r="G4161" s="6">
        <v>1800.0</v>
      </c>
      <c r="H4161" s="6">
        <v>2.6083</v>
      </c>
      <c r="I4161" s="6">
        <v>2.125</v>
      </c>
      <c r="J4161" s="6">
        <v>0.4833</v>
      </c>
    </row>
    <row r="4162">
      <c r="A4162" s="1" t="s">
        <v>26</v>
      </c>
      <c r="B4162" s="1" t="s">
        <v>1192</v>
      </c>
      <c r="C4162" s="1" t="s">
        <v>1211</v>
      </c>
      <c r="D4162" s="6">
        <v>3.0</v>
      </c>
      <c r="E4162" s="6">
        <v>6330.0</v>
      </c>
      <c r="F4162" s="6">
        <v>4843.0</v>
      </c>
      <c r="G4162" s="6">
        <v>1800.0</v>
      </c>
      <c r="H4162" s="6">
        <v>3.5167</v>
      </c>
      <c r="I4162" s="6">
        <v>2.6906</v>
      </c>
      <c r="J4162" s="6">
        <v>0.8261</v>
      </c>
    </row>
    <row r="4163">
      <c r="A4163" s="1" t="s">
        <v>26</v>
      </c>
      <c r="B4163" s="1" t="s">
        <v>1192</v>
      </c>
      <c r="C4163" s="1" t="s">
        <v>1211</v>
      </c>
      <c r="D4163" s="6">
        <v>4.0</v>
      </c>
      <c r="E4163" s="6">
        <v>6155.0</v>
      </c>
      <c r="F4163" s="6">
        <v>5233.0</v>
      </c>
      <c r="G4163" s="6">
        <v>1800.0</v>
      </c>
      <c r="H4163" s="6">
        <v>3.4194</v>
      </c>
      <c r="I4163" s="6">
        <v>2.9072</v>
      </c>
      <c r="J4163" s="6">
        <v>0.5122</v>
      </c>
    </row>
    <row r="4164">
      <c r="A4164" s="1" t="s">
        <v>26</v>
      </c>
      <c r="B4164" s="1" t="s">
        <v>1192</v>
      </c>
      <c r="C4164" s="1" t="s">
        <v>1211</v>
      </c>
      <c r="D4164" s="6">
        <v>5.0</v>
      </c>
      <c r="E4164" s="6">
        <v>7685.0</v>
      </c>
      <c r="F4164" s="6">
        <v>5623.0</v>
      </c>
      <c r="G4164" s="6">
        <v>1800.0</v>
      </c>
      <c r="H4164" s="6">
        <v>4.2694</v>
      </c>
      <c r="I4164" s="6">
        <v>3.1239</v>
      </c>
      <c r="J4164" s="6">
        <v>1.1456</v>
      </c>
    </row>
    <row r="4165">
      <c r="A4165" s="1" t="s">
        <v>26</v>
      </c>
      <c r="B4165" s="1" t="s">
        <v>1192</v>
      </c>
      <c r="C4165" s="1" t="s">
        <v>1211</v>
      </c>
      <c r="D4165" s="6">
        <v>6.0</v>
      </c>
      <c r="E4165" s="6">
        <v>10900.0</v>
      </c>
      <c r="F4165" s="6">
        <v>8037.0</v>
      </c>
      <c r="G4165" s="6">
        <v>1800.0</v>
      </c>
      <c r="H4165" s="6">
        <v>6.0556</v>
      </c>
      <c r="I4165" s="6">
        <v>4.465</v>
      </c>
      <c r="J4165" s="6">
        <v>1.5906</v>
      </c>
    </row>
    <row r="4166">
      <c r="A4166" s="1" t="s">
        <v>26</v>
      </c>
      <c r="B4166" s="1" t="s">
        <v>1192</v>
      </c>
      <c r="C4166" s="1" t="s">
        <v>1211</v>
      </c>
      <c r="D4166" s="6">
        <v>7.0</v>
      </c>
      <c r="E4166" s="6">
        <v>8485.0</v>
      </c>
      <c r="F4166" s="6">
        <v>6043.0</v>
      </c>
      <c r="G4166" s="6">
        <v>1800.0</v>
      </c>
      <c r="H4166" s="6">
        <v>4.7139</v>
      </c>
      <c r="I4166" s="6">
        <v>3.3572</v>
      </c>
      <c r="J4166" s="6">
        <v>1.3567</v>
      </c>
    </row>
    <row r="4167">
      <c r="A4167" s="1" t="s">
        <v>26</v>
      </c>
      <c r="B4167" s="1" t="s">
        <v>1192</v>
      </c>
      <c r="C4167" s="1" t="s">
        <v>1211</v>
      </c>
      <c r="D4167" s="6">
        <v>8.0</v>
      </c>
      <c r="E4167" s="6">
        <v>7780.0</v>
      </c>
      <c r="F4167" s="6">
        <v>5925.0</v>
      </c>
      <c r="G4167" s="6">
        <v>1800.0</v>
      </c>
      <c r="H4167" s="6">
        <v>4.3222</v>
      </c>
      <c r="I4167" s="6">
        <v>3.2917</v>
      </c>
      <c r="J4167" s="6">
        <v>1.0306</v>
      </c>
    </row>
    <row r="4168">
      <c r="A4168" s="1" t="s">
        <v>26</v>
      </c>
      <c r="B4168" s="1" t="s">
        <v>1192</v>
      </c>
      <c r="C4168" s="1" t="s">
        <v>1211</v>
      </c>
      <c r="D4168" s="6">
        <v>9.0</v>
      </c>
      <c r="E4168" s="6">
        <v>3625.0</v>
      </c>
      <c r="F4168" s="6">
        <v>3827.0</v>
      </c>
      <c r="G4168" s="6">
        <v>1800.0</v>
      </c>
      <c r="H4168" s="6">
        <v>2.0139</v>
      </c>
      <c r="I4168" s="6">
        <v>2.1261</v>
      </c>
      <c r="J4168" s="6">
        <v>-0.1122</v>
      </c>
    </row>
    <row r="4169">
      <c r="A4169" s="1" t="s">
        <v>26</v>
      </c>
      <c r="B4169" s="1" t="s">
        <v>1192</v>
      </c>
      <c r="C4169" s="1" t="s">
        <v>1211</v>
      </c>
      <c r="D4169" s="6">
        <v>10.0</v>
      </c>
      <c r="E4169" s="6">
        <v>4710.0</v>
      </c>
      <c r="F4169" s="6">
        <v>4032.0</v>
      </c>
      <c r="G4169" s="6">
        <v>1800.0</v>
      </c>
      <c r="H4169" s="6">
        <v>2.6167</v>
      </c>
      <c r="I4169" s="6">
        <v>2.24</v>
      </c>
      <c r="J4169" s="6">
        <v>0.3767</v>
      </c>
    </row>
    <row r="4170">
      <c r="A4170" s="1" t="s">
        <v>26</v>
      </c>
      <c r="B4170" s="1" t="s">
        <v>1192</v>
      </c>
      <c r="C4170" s="1" t="s">
        <v>1211</v>
      </c>
      <c r="D4170" s="6">
        <v>11.0</v>
      </c>
      <c r="E4170" s="6">
        <v>4075.0</v>
      </c>
      <c r="F4170" s="6">
        <v>3787.0</v>
      </c>
      <c r="G4170" s="6">
        <v>1800.0</v>
      </c>
      <c r="H4170" s="6">
        <v>2.2639</v>
      </c>
      <c r="I4170" s="6">
        <v>2.1039</v>
      </c>
      <c r="J4170" s="6">
        <v>0.16</v>
      </c>
    </row>
    <row r="4171">
      <c r="A4171" s="1" t="s">
        <v>26</v>
      </c>
      <c r="B4171" s="1" t="s">
        <v>1192</v>
      </c>
      <c r="C4171" s="1" t="s">
        <v>1211</v>
      </c>
      <c r="D4171" s="6">
        <v>12.0</v>
      </c>
      <c r="E4171" s="6">
        <v>4095.0</v>
      </c>
      <c r="F4171" s="6">
        <v>4400.0</v>
      </c>
      <c r="G4171" s="6">
        <v>1800.0</v>
      </c>
      <c r="H4171" s="6">
        <v>2.275</v>
      </c>
      <c r="I4171" s="6">
        <v>2.4444</v>
      </c>
      <c r="J4171" s="6">
        <v>-0.1694</v>
      </c>
    </row>
    <row r="4172">
      <c r="A4172" s="1" t="s">
        <v>26</v>
      </c>
      <c r="B4172" s="1" t="s">
        <v>1192</v>
      </c>
      <c r="C4172" s="1" t="s">
        <v>1211</v>
      </c>
      <c r="D4172" s="6">
        <v>13.0</v>
      </c>
      <c r="E4172" s="6">
        <v>7655.0</v>
      </c>
      <c r="F4172" s="6">
        <v>6220.0</v>
      </c>
      <c r="G4172" s="6">
        <v>1800.0</v>
      </c>
      <c r="H4172" s="6">
        <v>4.2528</v>
      </c>
      <c r="I4172" s="6">
        <v>3.4556</v>
      </c>
      <c r="J4172" s="6">
        <v>0.7972</v>
      </c>
    </row>
    <row r="4173">
      <c r="A4173" s="1" t="s">
        <v>26</v>
      </c>
      <c r="B4173" s="1" t="s">
        <v>1192</v>
      </c>
      <c r="C4173" s="1" t="s">
        <v>1211</v>
      </c>
      <c r="D4173" s="6">
        <v>14.0</v>
      </c>
      <c r="E4173" s="6">
        <v>5450.0</v>
      </c>
      <c r="F4173" s="6">
        <v>5408.0</v>
      </c>
      <c r="G4173" s="6">
        <v>1800.0</v>
      </c>
      <c r="H4173" s="6">
        <v>3.0278</v>
      </c>
      <c r="I4173" s="6">
        <v>3.0044</v>
      </c>
      <c r="J4173" s="6">
        <v>0.0233</v>
      </c>
    </row>
    <row r="4174">
      <c r="A4174" s="1" t="s">
        <v>26</v>
      </c>
      <c r="B4174" s="1" t="s">
        <v>1192</v>
      </c>
      <c r="C4174" s="1" t="s">
        <v>1211</v>
      </c>
      <c r="D4174" s="6">
        <v>15.0</v>
      </c>
      <c r="E4174" s="6">
        <v>4120.0</v>
      </c>
      <c r="F4174" s="6">
        <v>3981.0</v>
      </c>
      <c r="G4174" s="6">
        <v>1800.0</v>
      </c>
      <c r="H4174" s="6">
        <v>2.2889</v>
      </c>
      <c r="I4174" s="6">
        <v>2.2117</v>
      </c>
      <c r="J4174" s="6">
        <v>0.0772</v>
      </c>
    </row>
    <row r="4175">
      <c r="A4175" s="1" t="s">
        <v>26</v>
      </c>
      <c r="B4175" s="1" t="s">
        <v>1192</v>
      </c>
      <c r="C4175" s="1" t="s">
        <v>1211</v>
      </c>
      <c r="D4175" s="6">
        <v>16.0</v>
      </c>
      <c r="E4175" s="6">
        <v>5880.0</v>
      </c>
      <c r="F4175" s="6">
        <v>5025.0</v>
      </c>
      <c r="G4175" s="6">
        <v>1800.0</v>
      </c>
      <c r="H4175" s="6">
        <v>3.2667</v>
      </c>
      <c r="I4175" s="6">
        <v>2.7917</v>
      </c>
      <c r="J4175" s="6">
        <v>0.475</v>
      </c>
    </row>
    <row r="4176">
      <c r="A4176" s="1" t="s">
        <v>26</v>
      </c>
      <c r="B4176" s="1" t="s">
        <v>1192</v>
      </c>
      <c r="C4176" s="1" t="s">
        <v>1211</v>
      </c>
      <c r="D4176" s="6">
        <v>17.0</v>
      </c>
      <c r="E4176" s="6">
        <v>7550.0</v>
      </c>
      <c r="F4176" s="6">
        <v>6370.0</v>
      </c>
      <c r="G4176" s="6">
        <v>1800.0</v>
      </c>
      <c r="H4176" s="6">
        <v>4.1944</v>
      </c>
      <c r="I4176" s="6">
        <v>3.5389</v>
      </c>
      <c r="J4176" s="6">
        <v>0.6556</v>
      </c>
    </row>
    <row r="4177">
      <c r="A4177" s="1" t="s">
        <v>26</v>
      </c>
      <c r="B4177" s="1" t="s">
        <v>1192</v>
      </c>
      <c r="C4177" s="1" t="s">
        <v>1211</v>
      </c>
      <c r="D4177" s="6">
        <v>18.0</v>
      </c>
      <c r="E4177" s="6">
        <v>7480.0</v>
      </c>
      <c r="F4177" s="6">
        <v>6052.0</v>
      </c>
      <c r="G4177" s="6">
        <v>1800.0</v>
      </c>
      <c r="H4177" s="6">
        <v>4.1556</v>
      </c>
      <c r="I4177" s="6">
        <v>3.3622</v>
      </c>
      <c r="J4177" s="6">
        <v>0.7933</v>
      </c>
    </row>
    <row r="4178">
      <c r="A4178" s="1" t="s">
        <v>26</v>
      </c>
      <c r="B4178" s="1" t="s">
        <v>1192</v>
      </c>
      <c r="C4178" s="1" t="s">
        <v>1211</v>
      </c>
      <c r="D4178" s="6">
        <v>19.0</v>
      </c>
      <c r="E4178" s="6">
        <v>8400.0</v>
      </c>
      <c r="F4178" s="6">
        <v>6158.0</v>
      </c>
      <c r="G4178" s="6">
        <v>1800.0</v>
      </c>
      <c r="H4178" s="6">
        <v>4.6667</v>
      </c>
      <c r="I4178" s="6">
        <v>3.4211</v>
      </c>
      <c r="J4178" s="6">
        <v>1.2456</v>
      </c>
    </row>
    <row r="4179">
      <c r="A4179" s="1" t="s">
        <v>26</v>
      </c>
      <c r="B4179" s="1" t="s">
        <v>1192</v>
      </c>
      <c r="C4179" s="1" t="s">
        <v>1211</v>
      </c>
      <c r="D4179" s="6">
        <v>20.0</v>
      </c>
      <c r="E4179" s="6">
        <v>13990.0</v>
      </c>
      <c r="F4179" s="6">
        <v>10019.0</v>
      </c>
      <c r="G4179" s="6">
        <v>1800.0</v>
      </c>
      <c r="H4179" s="6">
        <v>7.7722</v>
      </c>
      <c r="I4179" s="6">
        <v>5.5661</v>
      </c>
      <c r="J4179" s="6">
        <v>2.2061</v>
      </c>
    </row>
    <row r="4180">
      <c r="A4180" s="1" t="s">
        <v>26</v>
      </c>
      <c r="B4180" s="1" t="s">
        <v>1192</v>
      </c>
      <c r="C4180" s="1" t="s">
        <v>1211</v>
      </c>
      <c r="D4180" s="6">
        <v>21.0</v>
      </c>
      <c r="E4180" s="6">
        <v>20555.0</v>
      </c>
      <c r="F4180" s="6">
        <v>13091.0</v>
      </c>
      <c r="G4180" s="6">
        <v>1800.0</v>
      </c>
      <c r="H4180" s="6">
        <v>11.4194</v>
      </c>
      <c r="I4180" s="6">
        <v>7.2728</v>
      </c>
      <c r="J4180" s="6">
        <v>4.1467</v>
      </c>
    </row>
    <row r="4181">
      <c r="A4181" s="1" t="s">
        <v>26</v>
      </c>
      <c r="B4181" s="1" t="s">
        <v>1192</v>
      </c>
      <c r="C4181" s="1" t="s">
        <v>1211</v>
      </c>
      <c r="D4181" s="6">
        <v>22.0</v>
      </c>
      <c r="E4181" s="6">
        <v>15030.0</v>
      </c>
      <c r="F4181" s="6">
        <v>10888.0</v>
      </c>
      <c r="G4181" s="6">
        <v>1800.0</v>
      </c>
      <c r="H4181" s="6">
        <v>8.35</v>
      </c>
      <c r="I4181" s="6">
        <v>6.0489</v>
      </c>
      <c r="J4181" s="6">
        <v>2.3011</v>
      </c>
    </row>
    <row r="4182">
      <c r="A4182" s="1" t="s">
        <v>26</v>
      </c>
      <c r="B4182" s="1" t="s">
        <v>1192</v>
      </c>
      <c r="C4182" s="1" t="s">
        <v>1211</v>
      </c>
      <c r="D4182" s="6">
        <v>23.0</v>
      </c>
      <c r="E4182" s="6">
        <v>6910.0</v>
      </c>
      <c r="F4182" s="6">
        <v>5817.0</v>
      </c>
      <c r="G4182" s="6">
        <v>1800.0</v>
      </c>
      <c r="H4182" s="6">
        <v>3.8389</v>
      </c>
      <c r="I4182" s="6">
        <v>3.2317</v>
      </c>
      <c r="J4182" s="6">
        <v>0.6072</v>
      </c>
    </row>
    <row r="4183">
      <c r="A4183" s="1" t="s">
        <v>26</v>
      </c>
      <c r="B4183" s="1" t="s">
        <v>1192</v>
      </c>
      <c r="C4183" s="1" t="s">
        <v>1211</v>
      </c>
      <c r="D4183" s="6">
        <v>24.0</v>
      </c>
      <c r="E4183" s="6">
        <v>6850.0</v>
      </c>
      <c r="F4183" s="6">
        <v>5929.0</v>
      </c>
      <c r="G4183" s="6">
        <v>1800.0</v>
      </c>
      <c r="H4183" s="6">
        <v>3.8056</v>
      </c>
      <c r="I4183" s="6">
        <v>3.2939</v>
      </c>
      <c r="J4183" s="6">
        <v>0.5117</v>
      </c>
    </row>
    <row r="4184">
      <c r="A4184" s="1" t="s">
        <v>26</v>
      </c>
      <c r="B4184" s="1" t="s">
        <v>1192</v>
      </c>
      <c r="C4184" s="1" t="s">
        <v>1211</v>
      </c>
      <c r="D4184" s="6">
        <v>25.0</v>
      </c>
      <c r="E4184" s="6">
        <v>6195.0</v>
      </c>
      <c r="F4184" s="6">
        <v>5591.0</v>
      </c>
      <c r="G4184" s="6">
        <v>1800.0</v>
      </c>
      <c r="H4184" s="6">
        <v>3.4417</v>
      </c>
      <c r="I4184" s="6">
        <v>3.1061</v>
      </c>
      <c r="J4184" s="6">
        <v>0.3356</v>
      </c>
    </row>
    <row r="4185">
      <c r="A4185" s="1" t="s">
        <v>26</v>
      </c>
      <c r="B4185" s="1" t="s">
        <v>1192</v>
      </c>
      <c r="C4185" s="1" t="s">
        <v>1211</v>
      </c>
      <c r="D4185" s="6">
        <v>26.0</v>
      </c>
      <c r="E4185" s="6">
        <v>6385.0</v>
      </c>
      <c r="F4185" s="6">
        <v>6567.0</v>
      </c>
      <c r="G4185" s="6">
        <v>1800.0</v>
      </c>
      <c r="H4185" s="6">
        <v>3.5472</v>
      </c>
      <c r="I4185" s="6">
        <v>3.6483</v>
      </c>
      <c r="J4185" s="6">
        <v>-0.1011</v>
      </c>
    </row>
    <row r="4186">
      <c r="A4186" s="1" t="s">
        <v>26</v>
      </c>
      <c r="B4186" s="1" t="s">
        <v>1192</v>
      </c>
      <c r="C4186" s="1" t="s">
        <v>1211</v>
      </c>
      <c r="D4186" s="6">
        <v>27.0</v>
      </c>
      <c r="E4186" s="6">
        <v>8410.0</v>
      </c>
      <c r="F4186" s="6">
        <v>6882.0</v>
      </c>
      <c r="G4186" s="6">
        <v>1800.0</v>
      </c>
      <c r="H4186" s="6">
        <v>4.6722</v>
      </c>
      <c r="I4186" s="6">
        <v>3.8233</v>
      </c>
      <c r="J4186" s="6">
        <v>0.8489</v>
      </c>
    </row>
    <row r="4187">
      <c r="A4187" s="1" t="s">
        <v>26</v>
      </c>
      <c r="B4187" s="1" t="s">
        <v>1192</v>
      </c>
      <c r="C4187" s="1" t="s">
        <v>1211</v>
      </c>
      <c r="D4187" s="6">
        <v>28.0</v>
      </c>
      <c r="E4187" s="6">
        <v>5870.0</v>
      </c>
      <c r="F4187" s="6">
        <v>5125.0</v>
      </c>
      <c r="G4187" s="6">
        <v>1800.0</v>
      </c>
      <c r="H4187" s="6">
        <v>3.2611</v>
      </c>
      <c r="I4187" s="6">
        <v>2.8472</v>
      </c>
      <c r="J4187" s="6">
        <v>0.4139</v>
      </c>
    </row>
    <row r="4188">
      <c r="A4188" s="1" t="s">
        <v>26</v>
      </c>
      <c r="B4188" s="1" t="s">
        <v>1192</v>
      </c>
      <c r="C4188" s="1" t="s">
        <v>1211</v>
      </c>
      <c r="D4188" s="6">
        <v>29.0</v>
      </c>
      <c r="E4188" s="6">
        <v>4575.0</v>
      </c>
      <c r="F4188" s="6">
        <v>4834.0</v>
      </c>
      <c r="G4188" s="6">
        <v>1800.0</v>
      </c>
      <c r="H4188" s="6">
        <v>2.5417</v>
      </c>
      <c r="I4188" s="6">
        <v>2.6856</v>
      </c>
      <c r="J4188" s="6">
        <v>-0.1439</v>
      </c>
    </row>
    <row r="4189">
      <c r="A4189" s="1" t="s">
        <v>26</v>
      </c>
      <c r="B4189" s="1" t="s">
        <v>1192</v>
      </c>
      <c r="C4189" s="1" t="s">
        <v>1211</v>
      </c>
      <c r="D4189" s="6">
        <v>30.0</v>
      </c>
      <c r="E4189" s="6">
        <v>8695.0</v>
      </c>
      <c r="F4189" s="6">
        <v>7419.0</v>
      </c>
      <c r="G4189" s="6">
        <v>1800.0</v>
      </c>
      <c r="H4189" s="6">
        <v>4.8306</v>
      </c>
      <c r="I4189" s="6">
        <v>4.1217</v>
      </c>
      <c r="J4189" s="6">
        <v>0.7089</v>
      </c>
    </row>
    <row r="4190">
      <c r="A4190" s="1" t="s">
        <v>26</v>
      </c>
      <c r="B4190" s="1" t="s">
        <v>1192</v>
      </c>
      <c r="C4190" s="1" t="s">
        <v>1211</v>
      </c>
      <c r="D4190" s="6">
        <v>31.0</v>
      </c>
      <c r="E4190" s="6">
        <v>9860.0</v>
      </c>
      <c r="F4190" s="6">
        <v>7883.0</v>
      </c>
      <c r="G4190" s="6">
        <v>1800.0</v>
      </c>
      <c r="H4190" s="6">
        <v>5.4778</v>
      </c>
      <c r="I4190" s="6">
        <v>4.3794</v>
      </c>
      <c r="J4190" s="6">
        <v>1.0983</v>
      </c>
    </row>
    <row r="4191">
      <c r="A4191" s="1" t="s">
        <v>26</v>
      </c>
      <c r="B4191" s="1" t="s">
        <v>1192</v>
      </c>
      <c r="C4191" s="1" t="s">
        <v>1211</v>
      </c>
      <c r="D4191" s="6">
        <v>32.0</v>
      </c>
      <c r="E4191" s="6">
        <v>11290.0</v>
      </c>
      <c r="F4191" s="6">
        <v>8252.0</v>
      </c>
      <c r="G4191" s="6">
        <v>1800.0</v>
      </c>
      <c r="H4191" s="6">
        <v>6.2722</v>
      </c>
      <c r="I4191" s="6">
        <v>4.5844</v>
      </c>
      <c r="J4191" s="6">
        <v>1.6878</v>
      </c>
    </row>
    <row r="4192">
      <c r="A4192" s="1" t="s">
        <v>26</v>
      </c>
      <c r="B4192" s="1" t="s">
        <v>1192</v>
      </c>
      <c r="C4192" s="1" t="s">
        <v>1211</v>
      </c>
      <c r="D4192" s="6">
        <v>33.0</v>
      </c>
      <c r="E4192" s="6">
        <v>11600.0</v>
      </c>
      <c r="F4192" s="6">
        <v>8428.0</v>
      </c>
      <c r="G4192" s="6">
        <v>1800.0</v>
      </c>
      <c r="H4192" s="6">
        <v>6.4444</v>
      </c>
      <c r="I4192" s="6">
        <v>4.6822</v>
      </c>
      <c r="J4192" s="6">
        <v>1.7622</v>
      </c>
    </row>
    <row r="4193">
      <c r="A4193" s="1" t="s">
        <v>26</v>
      </c>
      <c r="B4193" s="1" t="s">
        <v>1192</v>
      </c>
      <c r="C4193" s="1" t="s">
        <v>55</v>
      </c>
      <c r="D4193" s="6">
        <v>1.0</v>
      </c>
      <c r="E4193" s="6">
        <v>124330.0</v>
      </c>
      <c r="F4193" s="6">
        <v>0.0</v>
      </c>
      <c r="G4193" s="6">
        <v>1844.0</v>
      </c>
      <c r="H4193" s="6">
        <v>67.4241</v>
      </c>
      <c r="I4193" s="6">
        <v>0.0</v>
      </c>
      <c r="J4193" s="6">
        <v>67.4241</v>
      </c>
    </row>
    <row r="4194">
      <c r="A4194" s="1" t="s">
        <v>26</v>
      </c>
      <c r="B4194" s="1" t="s">
        <v>1192</v>
      </c>
      <c r="C4194" s="1" t="s">
        <v>55</v>
      </c>
      <c r="D4194" s="6">
        <v>2.0</v>
      </c>
      <c r="E4194" s="6">
        <v>104215.0</v>
      </c>
      <c r="F4194" s="6">
        <v>0.0</v>
      </c>
      <c r="G4194" s="6">
        <v>1844.0</v>
      </c>
      <c r="H4194" s="6">
        <v>56.5157</v>
      </c>
      <c r="I4194" s="6">
        <v>0.0</v>
      </c>
      <c r="J4194" s="6">
        <v>56.5157</v>
      </c>
    </row>
    <row r="4195">
      <c r="A4195" s="1" t="s">
        <v>26</v>
      </c>
      <c r="B4195" s="1" t="s">
        <v>1192</v>
      </c>
      <c r="C4195" s="1" t="s">
        <v>55</v>
      </c>
      <c r="D4195" s="6">
        <v>3.0</v>
      </c>
      <c r="E4195" s="6">
        <v>132828.0</v>
      </c>
      <c r="F4195" s="6">
        <v>0.0</v>
      </c>
      <c r="G4195" s="6">
        <v>1844.0</v>
      </c>
      <c r="H4195" s="6">
        <v>72.0325</v>
      </c>
      <c r="I4195" s="6">
        <v>0.0</v>
      </c>
      <c r="J4195" s="6">
        <v>72.0325</v>
      </c>
    </row>
    <row r="4196">
      <c r="A4196" s="1" t="s">
        <v>26</v>
      </c>
      <c r="B4196" s="1" t="s">
        <v>1192</v>
      </c>
      <c r="C4196" s="1" t="s">
        <v>55</v>
      </c>
      <c r="D4196" s="6">
        <v>4.0</v>
      </c>
      <c r="E4196" s="6">
        <v>116275.0</v>
      </c>
      <c r="F4196" s="6">
        <v>0.0</v>
      </c>
      <c r="G4196" s="6">
        <v>1844.0</v>
      </c>
      <c r="H4196" s="6">
        <v>63.0559</v>
      </c>
      <c r="I4196" s="6">
        <v>0.0</v>
      </c>
      <c r="J4196" s="6">
        <v>63.0559</v>
      </c>
    </row>
    <row r="4197">
      <c r="A4197" s="1" t="s">
        <v>26</v>
      </c>
      <c r="B4197" s="1" t="s">
        <v>1192</v>
      </c>
      <c r="C4197" s="1" t="s">
        <v>55</v>
      </c>
      <c r="D4197" s="6">
        <v>5.0</v>
      </c>
      <c r="E4197" s="6">
        <v>145100.0</v>
      </c>
      <c r="F4197" s="6">
        <v>0.0</v>
      </c>
      <c r="G4197" s="6">
        <v>1844.0</v>
      </c>
      <c r="H4197" s="6">
        <v>78.6876</v>
      </c>
      <c r="I4197" s="6">
        <v>0.0</v>
      </c>
      <c r="J4197" s="6">
        <v>78.6876</v>
      </c>
    </row>
    <row r="4198">
      <c r="A4198" s="1" t="s">
        <v>26</v>
      </c>
      <c r="B4198" s="1" t="s">
        <v>1192</v>
      </c>
      <c r="C4198" s="1" t="s">
        <v>55</v>
      </c>
      <c r="D4198" s="6">
        <v>6.0</v>
      </c>
      <c r="E4198" s="6">
        <v>148845.0</v>
      </c>
      <c r="F4198" s="6">
        <v>0.0</v>
      </c>
      <c r="G4198" s="6">
        <v>1844.0</v>
      </c>
      <c r="H4198" s="6">
        <v>80.7185</v>
      </c>
      <c r="I4198" s="6">
        <v>0.0</v>
      </c>
      <c r="J4198" s="6">
        <v>80.7185</v>
      </c>
    </row>
    <row r="4199">
      <c r="A4199" s="1" t="s">
        <v>26</v>
      </c>
      <c r="B4199" s="1" t="s">
        <v>1192</v>
      </c>
      <c r="C4199" s="1" t="s">
        <v>55</v>
      </c>
      <c r="D4199" s="6">
        <v>7.0</v>
      </c>
      <c r="E4199" s="6">
        <v>128780.0</v>
      </c>
      <c r="F4199" s="6">
        <v>0.0</v>
      </c>
      <c r="G4199" s="6">
        <v>1844.0</v>
      </c>
      <c r="H4199" s="6">
        <v>69.8373</v>
      </c>
      <c r="I4199" s="6">
        <v>0.0</v>
      </c>
      <c r="J4199" s="6">
        <v>69.8373</v>
      </c>
    </row>
    <row r="4200">
      <c r="A4200" s="1" t="s">
        <v>26</v>
      </c>
      <c r="B4200" s="1" t="s">
        <v>1192</v>
      </c>
      <c r="C4200" s="1" t="s">
        <v>55</v>
      </c>
      <c r="D4200" s="6">
        <v>8.0</v>
      </c>
      <c r="E4200" s="6">
        <v>140650.0</v>
      </c>
      <c r="F4200" s="6">
        <v>0.0</v>
      </c>
      <c r="G4200" s="6">
        <v>1844.0</v>
      </c>
      <c r="H4200" s="6">
        <v>76.2744</v>
      </c>
      <c r="I4200" s="6">
        <v>0.0</v>
      </c>
      <c r="J4200" s="6">
        <v>76.2744</v>
      </c>
    </row>
    <row r="4201">
      <c r="A4201" s="1" t="s">
        <v>26</v>
      </c>
      <c r="B4201" s="1" t="s">
        <v>1192</v>
      </c>
      <c r="C4201" s="1" t="s">
        <v>55</v>
      </c>
      <c r="D4201" s="6">
        <v>9.0</v>
      </c>
      <c r="E4201" s="6">
        <v>107350.0</v>
      </c>
      <c r="F4201" s="6">
        <v>0.0</v>
      </c>
      <c r="G4201" s="6">
        <v>1844.0</v>
      </c>
      <c r="H4201" s="6">
        <v>58.2158</v>
      </c>
      <c r="I4201" s="6">
        <v>0.0</v>
      </c>
      <c r="J4201" s="6">
        <v>58.2158</v>
      </c>
    </row>
    <row r="4202">
      <c r="A4202" s="1" t="s">
        <v>26</v>
      </c>
      <c r="B4202" s="1" t="s">
        <v>1192</v>
      </c>
      <c r="C4202" s="1" t="s">
        <v>55</v>
      </c>
      <c r="D4202" s="6">
        <v>10.0</v>
      </c>
      <c r="E4202" s="6">
        <v>155490.0</v>
      </c>
      <c r="F4202" s="6">
        <v>0.0</v>
      </c>
      <c r="G4202" s="6">
        <v>1844.0</v>
      </c>
      <c r="H4202" s="6">
        <v>84.3221</v>
      </c>
      <c r="I4202" s="6">
        <v>0.0</v>
      </c>
      <c r="J4202" s="6">
        <v>84.3221</v>
      </c>
    </row>
    <row r="4203">
      <c r="A4203" s="1" t="s">
        <v>26</v>
      </c>
      <c r="B4203" s="1" t="s">
        <v>1192</v>
      </c>
      <c r="C4203" s="1" t="s">
        <v>55</v>
      </c>
      <c r="D4203" s="6">
        <v>11.0</v>
      </c>
      <c r="E4203" s="6">
        <v>139100.0</v>
      </c>
      <c r="F4203" s="6">
        <v>0.0</v>
      </c>
      <c r="G4203" s="6">
        <v>1844.0</v>
      </c>
      <c r="H4203" s="6">
        <v>75.4338</v>
      </c>
      <c r="I4203" s="6">
        <v>0.0</v>
      </c>
      <c r="J4203" s="6">
        <v>75.4338</v>
      </c>
    </row>
    <row r="4204">
      <c r="A4204" s="1" t="s">
        <v>26</v>
      </c>
      <c r="B4204" s="1" t="s">
        <v>1192</v>
      </c>
      <c r="C4204" s="1" t="s">
        <v>55</v>
      </c>
      <c r="D4204" s="6">
        <v>12.0</v>
      </c>
      <c r="E4204" s="6">
        <v>164130.0</v>
      </c>
      <c r="F4204" s="6">
        <v>0.0</v>
      </c>
      <c r="G4204" s="6">
        <v>1844.0</v>
      </c>
      <c r="H4204" s="6">
        <v>89.0076</v>
      </c>
      <c r="I4204" s="6">
        <v>0.0</v>
      </c>
      <c r="J4204" s="6">
        <v>89.0076</v>
      </c>
    </row>
    <row r="4205">
      <c r="A4205" s="1" t="s">
        <v>26</v>
      </c>
      <c r="B4205" s="1" t="s">
        <v>1192</v>
      </c>
      <c r="C4205" s="1" t="s">
        <v>55</v>
      </c>
      <c r="D4205" s="6">
        <v>13.0</v>
      </c>
      <c r="E4205" s="6">
        <v>165975.0</v>
      </c>
      <c r="F4205" s="6">
        <v>0.0</v>
      </c>
      <c r="G4205" s="6">
        <v>1844.0</v>
      </c>
      <c r="H4205" s="6">
        <v>90.0081</v>
      </c>
      <c r="I4205" s="6">
        <v>0.0</v>
      </c>
      <c r="J4205" s="6">
        <v>90.0081</v>
      </c>
    </row>
    <row r="4206">
      <c r="A4206" s="1" t="s">
        <v>26</v>
      </c>
      <c r="B4206" s="1" t="s">
        <v>1192</v>
      </c>
      <c r="C4206" s="1" t="s">
        <v>55</v>
      </c>
      <c r="D4206" s="6">
        <v>14.0</v>
      </c>
      <c r="E4206" s="6">
        <v>142009.0</v>
      </c>
      <c r="F4206" s="6">
        <v>0.0</v>
      </c>
      <c r="G4206" s="6">
        <v>1844.0</v>
      </c>
      <c r="H4206" s="6">
        <v>77.0114</v>
      </c>
      <c r="I4206" s="6">
        <v>0.0</v>
      </c>
      <c r="J4206" s="6">
        <v>77.0114</v>
      </c>
    </row>
    <row r="4207">
      <c r="A4207" s="1" t="s">
        <v>26</v>
      </c>
      <c r="B4207" s="1" t="s">
        <v>1192</v>
      </c>
      <c r="C4207" s="1" t="s">
        <v>55</v>
      </c>
      <c r="D4207" s="6">
        <v>15.0</v>
      </c>
      <c r="E4207" s="6">
        <v>167080.0</v>
      </c>
      <c r="F4207" s="6">
        <v>0.0</v>
      </c>
      <c r="G4207" s="6">
        <v>1844.0</v>
      </c>
      <c r="H4207" s="6">
        <v>90.6074</v>
      </c>
      <c r="I4207" s="6">
        <v>0.0</v>
      </c>
      <c r="J4207" s="6">
        <v>90.6074</v>
      </c>
    </row>
    <row r="4208">
      <c r="A4208" s="1" t="s">
        <v>26</v>
      </c>
      <c r="B4208" s="1" t="s">
        <v>1192</v>
      </c>
      <c r="C4208" s="1" t="s">
        <v>55</v>
      </c>
      <c r="D4208" s="6">
        <v>16.0</v>
      </c>
      <c r="E4208" s="6">
        <v>130635.0</v>
      </c>
      <c r="F4208" s="6">
        <v>0.0</v>
      </c>
      <c r="G4208" s="6">
        <v>1844.0</v>
      </c>
      <c r="H4208" s="6">
        <v>70.8433</v>
      </c>
      <c r="I4208" s="6">
        <v>0.0</v>
      </c>
      <c r="J4208" s="6">
        <v>70.8433</v>
      </c>
    </row>
    <row r="4209">
      <c r="A4209" s="1" t="s">
        <v>26</v>
      </c>
      <c r="B4209" s="1" t="s">
        <v>1192</v>
      </c>
      <c r="C4209" s="1" t="s">
        <v>55</v>
      </c>
      <c r="D4209" s="6">
        <v>17.0</v>
      </c>
      <c r="E4209" s="6">
        <v>165840.0</v>
      </c>
      <c r="F4209" s="6">
        <v>0.0</v>
      </c>
      <c r="G4209" s="6">
        <v>1844.0</v>
      </c>
      <c r="H4209" s="6">
        <v>89.9349</v>
      </c>
      <c r="I4209" s="6">
        <v>0.0</v>
      </c>
      <c r="J4209" s="6">
        <v>89.9349</v>
      </c>
    </row>
    <row r="4210">
      <c r="A4210" s="1" t="s">
        <v>26</v>
      </c>
      <c r="B4210" s="1" t="s">
        <v>1192</v>
      </c>
      <c r="C4210" s="1" t="s">
        <v>55</v>
      </c>
      <c r="D4210" s="6">
        <v>18.0</v>
      </c>
      <c r="E4210" s="6">
        <v>149385.0</v>
      </c>
      <c r="F4210" s="6">
        <v>0.0</v>
      </c>
      <c r="G4210" s="6">
        <v>1844.0</v>
      </c>
      <c r="H4210" s="6">
        <v>81.0114</v>
      </c>
      <c r="I4210" s="6">
        <v>0.0</v>
      </c>
      <c r="J4210" s="6">
        <v>81.0114</v>
      </c>
    </row>
    <row r="4211">
      <c r="A4211" s="1" t="s">
        <v>26</v>
      </c>
      <c r="B4211" s="1" t="s">
        <v>1192</v>
      </c>
      <c r="C4211" s="1" t="s">
        <v>55</v>
      </c>
      <c r="D4211" s="6">
        <v>19.0</v>
      </c>
      <c r="E4211" s="6">
        <v>178755.0</v>
      </c>
      <c r="F4211" s="6">
        <v>0.0</v>
      </c>
      <c r="G4211" s="6">
        <v>1844.0</v>
      </c>
      <c r="H4211" s="6">
        <v>96.9387</v>
      </c>
      <c r="I4211" s="6">
        <v>0.0</v>
      </c>
      <c r="J4211" s="6">
        <v>96.9387</v>
      </c>
    </row>
    <row r="4212">
      <c r="A4212" s="1" t="s">
        <v>26</v>
      </c>
      <c r="B4212" s="1" t="s">
        <v>1192</v>
      </c>
      <c r="C4212" s="1" t="s">
        <v>55</v>
      </c>
      <c r="D4212" s="6">
        <v>20.0</v>
      </c>
      <c r="E4212" s="6">
        <v>205110.0</v>
      </c>
      <c r="F4212" s="6">
        <v>0.0</v>
      </c>
      <c r="G4212" s="6">
        <v>1844.0</v>
      </c>
      <c r="H4212" s="6">
        <v>111.231</v>
      </c>
      <c r="I4212" s="6">
        <v>0.0</v>
      </c>
      <c r="J4212" s="6">
        <v>111.231</v>
      </c>
    </row>
    <row r="4213">
      <c r="A4213" s="1" t="s">
        <v>26</v>
      </c>
      <c r="B4213" s="1" t="s">
        <v>1192</v>
      </c>
      <c r="C4213" s="1" t="s">
        <v>55</v>
      </c>
      <c r="D4213" s="6">
        <v>21.0</v>
      </c>
      <c r="E4213" s="6">
        <v>256560.0</v>
      </c>
      <c r="F4213" s="6">
        <v>0.0</v>
      </c>
      <c r="G4213" s="6">
        <v>1844.0</v>
      </c>
      <c r="H4213" s="6">
        <v>139.1323</v>
      </c>
      <c r="I4213" s="6">
        <v>0.0</v>
      </c>
      <c r="J4213" s="6">
        <v>139.1323</v>
      </c>
    </row>
    <row r="4214">
      <c r="A4214" s="1" t="s">
        <v>26</v>
      </c>
      <c r="B4214" s="1" t="s">
        <v>1192</v>
      </c>
      <c r="C4214" s="1" t="s">
        <v>55</v>
      </c>
      <c r="D4214" s="6">
        <v>22.0</v>
      </c>
      <c r="E4214" s="6">
        <v>223280.0</v>
      </c>
      <c r="F4214" s="6">
        <v>0.0</v>
      </c>
      <c r="G4214" s="6">
        <v>1844.0</v>
      </c>
      <c r="H4214" s="6">
        <v>121.0846</v>
      </c>
      <c r="I4214" s="6">
        <v>0.0</v>
      </c>
      <c r="J4214" s="6">
        <v>121.0846</v>
      </c>
    </row>
    <row r="4215">
      <c r="A4215" s="1" t="s">
        <v>26</v>
      </c>
      <c r="B4215" s="1" t="s">
        <v>1192</v>
      </c>
      <c r="C4215" s="1" t="s">
        <v>55</v>
      </c>
      <c r="D4215" s="6">
        <v>23.0</v>
      </c>
      <c r="E4215" s="6">
        <v>183480.0</v>
      </c>
      <c r="F4215" s="6">
        <v>0.0</v>
      </c>
      <c r="G4215" s="6">
        <v>1844.0</v>
      </c>
      <c r="H4215" s="6">
        <v>99.5011</v>
      </c>
      <c r="I4215" s="6">
        <v>0.0</v>
      </c>
      <c r="J4215" s="6">
        <v>99.5011</v>
      </c>
    </row>
    <row r="4216">
      <c r="A4216" s="1" t="s">
        <v>26</v>
      </c>
      <c r="B4216" s="1" t="s">
        <v>1192</v>
      </c>
      <c r="C4216" s="1" t="s">
        <v>55</v>
      </c>
      <c r="D4216" s="6">
        <v>24.0</v>
      </c>
      <c r="E4216" s="6">
        <v>211935.0</v>
      </c>
      <c r="F4216" s="6">
        <v>0.0</v>
      </c>
      <c r="G4216" s="6">
        <v>1844.0</v>
      </c>
      <c r="H4216" s="6">
        <v>114.9322</v>
      </c>
      <c r="I4216" s="6">
        <v>0.0</v>
      </c>
      <c r="J4216" s="6">
        <v>114.9322</v>
      </c>
    </row>
    <row r="4217">
      <c r="A4217" s="1" t="s">
        <v>26</v>
      </c>
      <c r="B4217" s="1" t="s">
        <v>1192</v>
      </c>
      <c r="C4217" s="1" t="s">
        <v>55</v>
      </c>
      <c r="D4217" s="6">
        <v>25.0</v>
      </c>
      <c r="E4217" s="6">
        <v>184210.0</v>
      </c>
      <c r="F4217" s="6">
        <v>0.0</v>
      </c>
      <c r="G4217" s="6">
        <v>1844.0</v>
      </c>
      <c r="H4217" s="6">
        <v>99.897</v>
      </c>
      <c r="I4217" s="6">
        <v>0.0</v>
      </c>
      <c r="J4217" s="6">
        <v>99.897</v>
      </c>
    </row>
    <row r="4218">
      <c r="A4218" s="1" t="s">
        <v>26</v>
      </c>
      <c r="B4218" s="1" t="s">
        <v>1192</v>
      </c>
      <c r="C4218" s="1" t="s">
        <v>55</v>
      </c>
      <c r="D4218" s="6">
        <v>26.0</v>
      </c>
      <c r="E4218" s="6">
        <v>233665.0</v>
      </c>
      <c r="F4218" s="6">
        <v>0.0</v>
      </c>
      <c r="G4218" s="6">
        <v>1844.0</v>
      </c>
      <c r="H4218" s="6">
        <v>126.7164</v>
      </c>
      <c r="I4218" s="6">
        <v>0.0</v>
      </c>
      <c r="J4218" s="6">
        <v>126.7164</v>
      </c>
    </row>
    <row r="4219">
      <c r="A4219" s="1" t="s">
        <v>26</v>
      </c>
      <c r="B4219" s="1" t="s">
        <v>1192</v>
      </c>
      <c r="C4219" s="1" t="s">
        <v>55</v>
      </c>
      <c r="D4219" s="6">
        <v>27.0</v>
      </c>
      <c r="E4219" s="6">
        <v>244570.0</v>
      </c>
      <c r="F4219" s="6">
        <v>0.0</v>
      </c>
      <c r="G4219" s="6">
        <v>1844.0</v>
      </c>
      <c r="H4219" s="6">
        <v>132.6302</v>
      </c>
      <c r="I4219" s="6">
        <v>0.0</v>
      </c>
      <c r="J4219" s="6">
        <v>132.6302</v>
      </c>
    </row>
    <row r="4220">
      <c r="A4220" s="1" t="s">
        <v>26</v>
      </c>
      <c r="B4220" s="1" t="s">
        <v>1192</v>
      </c>
      <c r="C4220" s="1" t="s">
        <v>55</v>
      </c>
      <c r="D4220" s="6">
        <v>28.0</v>
      </c>
      <c r="E4220" s="6">
        <v>199865.0</v>
      </c>
      <c r="F4220" s="6">
        <v>0.0</v>
      </c>
      <c r="G4220" s="6">
        <v>1844.0</v>
      </c>
      <c r="H4220" s="6">
        <v>108.3867</v>
      </c>
      <c r="I4220" s="6">
        <v>0.0</v>
      </c>
      <c r="J4220" s="6">
        <v>108.3867</v>
      </c>
    </row>
    <row r="4221">
      <c r="A4221" s="1" t="s">
        <v>26</v>
      </c>
      <c r="B4221" s="1" t="s">
        <v>1192</v>
      </c>
      <c r="C4221" s="1" t="s">
        <v>55</v>
      </c>
      <c r="D4221" s="6">
        <v>29.0</v>
      </c>
      <c r="E4221" s="6">
        <v>231157.0</v>
      </c>
      <c r="F4221" s="6">
        <v>0.0</v>
      </c>
      <c r="G4221" s="6">
        <v>1844.0</v>
      </c>
      <c r="H4221" s="6">
        <v>125.3563</v>
      </c>
      <c r="I4221" s="6">
        <v>0.0</v>
      </c>
      <c r="J4221" s="6">
        <v>125.3563</v>
      </c>
    </row>
    <row r="4222">
      <c r="A4222" s="1" t="s">
        <v>26</v>
      </c>
      <c r="B4222" s="1" t="s">
        <v>1192</v>
      </c>
      <c r="C4222" s="1" t="s">
        <v>55</v>
      </c>
      <c r="D4222" s="6">
        <v>30.0</v>
      </c>
      <c r="E4222" s="6">
        <v>195090.0</v>
      </c>
      <c r="F4222" s="6">
        <v>0.0</v>
      </c>
      <c r="G4222" s="6">
        <v>1844.0</v>
      </c>
      <c r="H4222" s="6">
        <v>105.7972</v>
      </c>
      <c r="I4222" s="6">
        <v>0.0</v>
      </c>
      <c r="J4222" s="6">
        <v>105.7972</v>
      </c>
    </row>
    <row r="4223">
      <c r="A4223" s="1" t="s">
        <v>26</v>
      </c>
      <c r="B4223" s="1" t="s">
        <v>1192</v>
      </c>
      <c r="C4223" s="1" t="s">
        <v>55</v>
      </c>
      <c r="D4223" s="6">
        <v>31.0</v>
      </c>
      <c r="E4223" s="6">
        <v>237260.0</v>
      </c>
      <c r="F4223" s="6">
        <v>0.0</v>
      </c>
      <c r="G4223" s="6">
        <v>1844.0</v>
      </c>
      <c r="H4223" s="6">
        <v>128.6659</v>
      </c>
      <c r="I4223" s="6">
        <v>0.0</v>
      </c>
      <c r="J4223" s="6">
        <v>128.6659</v>
      </c>
    </row>
    <row r="4224">
      <c r="A4224" s="1" t="s">
        <v>26</v>
      </c>
      <c r="B4224" s="1" t="s">
        <v>1192</v>
      </c>
      <c r="C4224" s="1" t="s">
        <v>55</v>
      </c>
      <c r="D4224" s="6">
        <v>32.0</v>
      </c>
      <c r="E4224" s="6">
        <v>212695.0</v>
      </c>
      <c r="F4224" s="6">
        <v>0.0</v>
      </c>
      <c r="G4224" s="6">
        <v>1844.0</v>
      </c>
      <c r="H4224" s="6">
        <v>115.3444</v>
      </c>
      <c r="I4224" s="6">
        <v>0.0</v>
      </c>
      <c r="J4224" s="6">
        <v>115.3444</v>
      </c>
    </row>
    <row r="4225">
      <c r="A4225" s="1" t="s">
        <v>26</v>
      </c>
      <c r="B4225" s="1" t="s">
        <v>1192</v>
      </c>
      <c r="C4225" s="1" t="s">
        <v>55</v>
      </c>
      <c r="D4225" s="6">
        <v>33.0</v>
      </c>
      <c r="E4225" s="6">
        <v>253160.0</v>
      </c>
      <c r="F4225" s="6">
        <v>0.0</v>
      </c>
      <c r="G4225" s="6">
        <v>1844.0</v>
      </c>
      <c r="H4225" s="6">
        <v>137.2885</v>
      </c>
      <c r="I4225" s="6">
        <v>0.0</v>
      </c>
      <c r="J4225" s="6">
        <v>137.2885</v>
      </c>
    </row>
    <row r="4226">
      <c r="A4226" s="1" t="s">
        <v>26</v>
      </c>
      <c r="B4226" s="1" t="s">
        <v>1192</v>
      </c>
      <c r="C4226" s="1" t="s">
        <v>46</v>
      </c>
      <c r="D4226" s="6">
        <v>1.0</v>
      </c>
      <c r="E4226" s="6">
        <v>13010.0</v>
      </c>
      <c r="F4226" s="6">
        <v>0.0</v>
      </c>
      <c r="G4226" s="6">
        <v>1769.0</v>
      </c>
      <c r="H4226" s="6">
        <v>7.3544</v>
      </c>
      <c r="I4226" s="6">
        <v>0.0</v>
      </c>
      <c r="J4226" s="6">
        <v>7.3544</v>
      </c>
    </row>
    <row r="4227">
      <c r="A4227" s="1" t="s">
        <v>26</v>
      </c>
      <c r="B4227" s="1" t="s">
        <v>1192</v>
      </c>
      <c r="C4227" s="1" t="s">
        <v>46</v>
      </c>
      <c r="D4227" s="6">
        <v>2.0</v>
      </c>
      <c r="E4227" s="6">
        <v>52590.0</v>
      </c>
      <c r="F4227" s="6">
        <v>0.0</v>
      </c>
      <c r="G4227" s="6">
        <v>1769.0</v>
      </c>
      <c r="H4227" s="6">
        <v>29.7287</v>
      </c>
      <c r="I4227" s="6">
        <v>0.0</v>
      </c>
      <c r="J4227" s="6">
        <v>29.7287</v>
      </c>
    </row>
    <row r="4228">
      <c r="A4228" s="1" t="s">
        <v>26</v>
      </c>
      <c r="B4228" s="1" t="s">
        <v>1192</v>
      </c>
      <c r="C4228" s="1" t="s">
        <v>46</v>
      </c>
      <c r="D4228" s="6">
        <v>3.0</v>
      </c>
      <c r="E4228" s="6">
        <v>34317.0</v>
      </c>
      <c r="F4228" s="6">
        <v>0.0</v>
      </c>
      <c r="G4228" s="6">
        <v>1769.0</v>
      </c>
      <c r="H4228" s="6">
        <v>19.3991</v>
      </c>
      <c r="I4228" s="6">
        <v>0.0</v>
      </c>
      <c r="J4228" s="6">
        <v>19.3991</v>
      </c>
    </row>
    <row r="4229">
      <c r="A4229" s="1" t="s">
        <v>26</v>
      </c>
      <c r="B4229" s="1" t="s">
        <v>1192</v>
      </c>
      <c r="C4229" s="1" t="s">
        <v>46</v>
      </c>
      <c r="D4229" s="6">
        <v>4.0</v>
      </c>
      <c r="E4229" s="6">
        <v>27330.0</v>
      </c>
      <c r="F4229" s="6">
        <v>0.0</v>
      </c>
      <c r="G4229" s="6">
        <v>1769.0</v>
      </c>
      <c r="H4229" s="6">
        <v>15.4494</v>
      </c>
      <c r="I4229" s="6">
        <v>0.0</v>
      </c>
      <c r="J4229" s="6">
        <v>15.4494</v>
      </c>
    </row>
    <row r="4230">
      <c r="A4230" s="1" t="s">
        <v>26</v>
      </c>
      <c r="B4230" s="1" t="s">
        <v>1192</v>
      </c>
      <c r="C4230" s="1" t="s">
        <v>46</v>
      </c>
      <c r="D4230" s="6">
        <v>5.0</v>
      </c>
      <c r="E4230" s="6">
        <v>19345.0</v>
      </c>
      <c r="F4230" s="6">
        <v>0.0</v>
      </c>
      <c r="G4230" s="6">
        <v>1769.0</v>
      </c>
      <c r="H4230" s="6">
        <v>10.9356</v>
      </c>
      <c r="I4230" s="6">
        <v>0.0</v>
      </c>
      <c r="J4230" s="6">
        <v>10.9356</v>
      </c>
    </row>
    <row r="4231">
      <c r="A4231" s="1" t="s">
        <v>26</v>
      </c>
      <c r="B4231" s="1" t="s">
        <v>1192</v>
      </c>
      <c r="C4231" s="1" t="s">
        <v>46</v>
      </c>
      <c r="D4231" s="6">
        <v>6.0</v>
      </c>
      <c r="E4231" s="6">
        <v>13610.0</v>
      </c>
      <c r="F4231" s="6">
        <v>0.0</v>
      </c>
      <c r="G4231" s="6">
        <v>1769.0</v>
      </c>
      <c r="H4231" s="6">
        <v>7.6936</v>
      </c>
      <c r="I4231" s="6">
        <v>0.0</v>
      </c>
      <c r="J4231" s="6">
        <v>7.6936</v>
      </c>
    </row>
    <row r="4232">
      <c r="A4232" s="1" t="s">
        <v>26</v>
      </c>
      <c r="B4232" s="1" t="s">
        <v>1192</v>
      </c>
      <c r="C4232" s="1" t="s">
        <v>46</v>
      </c>
      <c r="D4232" s="6">
        <v>7.0</v>
      </c>
      <c r="E4232" s="6">
        <v>26044.0</v>
      </c>
      <c r="F4232" s="6">
        <v>0.0</v>
      </c>
      <c r="G4232" s="6">
        <v>1769.0</v>
      </c>
      <c r="H4232" s="6">
        <v>14.7224</v>
      </c>
      <c r="I4232" s="6">
        <v>0.0</v>
      </c>
      <c r="J4232" s="6">
        <v>14.7224</v>
      </c>
    </row>
    <row r="4233">
      <c r="A4233" s="1" t="s">
        <v>26</v>
      </c>
      <c r="B4233" s="1" t="s">
        <v>1192</v>
      </c>
      <c r="C4233" s="1" t="s">
        <v>46</v>
      </c>
      <c r="D4233" s="6">
        <v>8.0</v>
      </c>
      <c r="E4233" s="6">
        <v>16045.0</v>
      </c>
      <c r="F4233" s="6">
        <v>0.0</v>
      </c>
      <c r="G4233" s="6">
        <v>1769.0</v>
      </c>
      <c r="H4233" s="6">
        <v>9.0701</v>
      </c>
      <c r="I4233" s="6">
        <v>0.0</v>
      </c>
      <c r="J4233" s="6">
        <v>9.0701</v>
      </c>
    </row>
    <row r="4234">
      <c r="A4234" s="1" t="s">
        <v>26</v>
      </c>
      <c r="B4234" s="1" t="s">
        <v>1192</v>
      </c>
      <c r="C4234" s="1" t="s">
        <v>46</v>
      </c>
      <c r="D4234" s="6">
        <v>9.0</v>
      </c>
      <c r="E4234" s="6">
        <v>22436.0</v>
      </c>
      <c r="F4234" s="6">
        <v>0.0</v>
      </c>
      <c r="G4234" s="6">
        <v>1769.0</v>
      </c>
      <c r="H4234" s="6">
        <v>12.6829</v>
      </c>
      <c r="I4234" s="6">
        <v>0.0</v>
      </c>
      <c r="J4234" s="6">
        <v>12.6829</v>
      </c>
    </row>
    <row r="4235">
      <c r="A4235" s="1" t="s">
        <v>26</v>
      </c>
      <c r="B4235" s="1" t="s">
        <v>1192</v>
      </c>
      <c r="C4235" s="1" t="s">
        <v>46</v>
      </c>
      <c r="D4235" s="6">
        <v>10.0</v>
      </c>
      <c r="E4235" s="6">
        <v>36862.0</v>
      </c>
      <c r="F4235" s="6">
        <v>0.0</v>
      </c>
      <c r="G4235" s="6">
        <v>1769.0</v>
      </c>
      <c r="H4235" s="6">
        <v>20.8378</v>
      </c>
      <c r="I4235" s="6">
        <v>0.0</v>
      </c>
      <c r="J4235" s="6">
        <v>20.8378</v>
      </c>
    </row>
    <row r="4236">
      <c r="A4236" s="1" t="s">
        <v>26</v>
      </c>
      <c r="B4236" s="1" t="s">
        <v>1192</v>
      </c>
      <c r="C4236" s="1" t="s">
        <v>46</v>
      </c>
      <c r="D4236" s="6">
        <v>11.0</v>
      </c>
      <c r="E4236" s="6">
        <v>38935.0</v>
      </c>
      <c r="F4236" s="6">
        <v>0.0</v>
      </c>
      <c r="G4236" s="6">
        <v>1769.0</v>
      </c>
      <c r="H4236" s="6">
        <v>22.0096</v>
      </c>
      <c r="I4236" s="6">
        <v>0.0</v>
      </c>
      <c r="J4236" s="6">
        <v>22.0096</v>
      </c>
    </row>
    <row r="4237">
      <c r="A4237" s="1" t="s">
        <v>26</v>
      </c>
      <c r="B4237" s="1" t="s">
        <v>1192</v>
      </c>
      <c r="C4237" s="1" t="s">
        <v>46</v>
      </c>
      <c r="D4237" s="6">
        <v>12.0</v>
      </c>
      <c r="E4237" s="6">
        <v>22275.0</v>
      </c>
      <c r="F4237" s="6">
        <v>0.0</v>
      </c>
      <c r="G4237" s="6">
        <v>1769.0</v>
      </c>
      <c r="H4237" s="6">
        <v>12.5919</v>
      </c>
      <c r="I4237" s="6">
        <v>0.0</v>
      </c>
      <c r="J4237" s="6">
        <v>12.5919</v>
      </c>
    </row>
    <row r="4238">
      <c r="A4238" s="1" t="s">
        <v>26</v>
      </c>
      <c r="B4238" s="1" t="s">
        <v>1192</v>
      </c>
      <c r="C4238" s="1" t="s">
        <v>46</v>
      </c>
      <c r="D4238" s="6">
        <v>13.0</v>
      </c>
      <c r="E4238" s="6">
        <v>15138.0</v>
      </c>
      <c r="F4238" s="6">
        <v>0.0</v>
      </c>
      <c r="G4238" s="6">
        <v>1769.0</v>
      </c>
      <c r="H4238" s="6">
        <v>8.5574</v>
      </c>
      <c r="I4238" s="6">
        <v>0.0</v>
      </c>
      <c r="J4238" s="6">
        <v>8.5574</v>
      </c>
    </row>
    <row r="4239">
      <c r="A4239" s="1" t="s">
        <v>26</v>
      </c>
      <c r="B4239" s="1" t="s">
        <v>1192</v>
      </c>
      <c r="C4239" s="1" t="s">
        <v>46</v>
      </c>
      <c r="D4239" s="6">
        <v>14.0</v>
      </c>
      <c r="E4239" s="6">
        <v>25867.0</v>
      </c>
      <c r="F4239" s="6">
        <v>0.0</v>
      </c>
      <c r="G4239" s="6">
        <v>1769.0</v>
      </c>
      <c r="H4239" s="6">
        <v>14.6224</v>
      </c>
      <c r="I4239" s="6">
        <v>0.0</v>
      </c>
      <c r="J4239" s="6">
        <v>14.6224</v>
      </c>
    </row>
    <row r="4240">
      <c r="A4240" s="1" t="s">
        <v>26</v>
      </c>
      <c r="B4240" s="1" t="s">
        <v>1192</v>
      </c>
      <c r="C4240" s="1" t="s">
        <v>46</v>
      </c>
      <c r="D4240" s="6">
        <v>15.0</v>
      </c>
      <c r="E4240" s="6">
        <v>22622.0</v>
      </c>
      <c r="F4240" s="6">
        <v>0.0</v>
      </c>
      <c r="G4240" s="6">
        <v>1769.0</v>
      </c>
      <c r="H4240" s="6">
        <v>12.788</v>
      </c>
      <c r="I4240" s="6">
        <v>0.0</v>
      </c>
      <c r="J4240" s="6">
        <v>12.788</v>
      </c>
    </row>
    <row r="4241">
      <c r="A4241" s="1" t="s">
        <v>26</v>
      </c>
      <c r="B4241" s="1" t="s">
        <v>1192</v>
      </c>
      <c r="C4241" s="1" t="s">
        <v>46</v>
      </c>
      <c r="D4241" s="6">
        <v>16.0</v>
      </c>
      <c r="E4241" s="6">
        <v>69991.0</v>
      </c>
      <c r="F4241" s="6">
        <v>0.0</v>
      </c>
      <c r="G4241" s="6">
        <v>1769.0</v>
      </c>
      <c r="H4241" s="6">
        <v>39.5653</v>
      </c>
      <c r="I4241" s="6">
        <v>0.0</v>
      </c>
      <c r="J4241" s="6">
        <v>39.5653</v>
      </c>
    </row>
    <row r="4242">
      <c r="A4242" s="1" t="s">
        <v>26</v>
      </c>
      <c r="B4242" s="1" t="s">
        <v>1192</v>
      </c>
      <c r="C4242" s="1" t="s">
        <v>46</v>
      </c>
      <c r="D4242" s="6">
        <v>17.0</v>
      </c>
      <c r="E4242" s="6">
        <v>40776.0</v>
      </c>
      <c r="F4242" s="6">
        <v>0.0</v>
      </c>
      <c r="G4242" s="6">
        <v>1769.0</v>
      </c>
      <c r="H4242" s="6">
        <v>23.0503</v>
      </c>
      <c r="I4242" s="6">
        <v>0.0</v>
      </c>
      <c r="J4242" s="6">
        <v>23.0503</v>
      </c>
    </row>
    <row r="4243">
      <c r="A4243" s="1" t="s">
        <v>26</v>
      </c>
      <c r="B4243" s="1" t="s">
        <v>1192</v>
      </c>
      <c r="C4243" s="1" t="s">
        <v>46</v>
      </c>
      <c r="D4243" s="6">
        <v>18.0</v>
      </c>
      <c r="E4243" s="6">
        <v>45840.0</v>
      </c>
      <c r="F4243" s="6">
        <v>0.0</v>
      </c>
      <c r="G4243" s="6">
        <v>1769.0</v>
      </c>
      <c r="H4243" s="6">
        <v>25.9129</v>
      </c>
      <c r="I4243" s="6">
        <v>0.0</v>
      </c>
      <c r="J4243" s="6">
        <v>25.9129</v>
      </c>
    </row>
    <row r="4244">
      <c r="A4244" s="1" t="s">
        <v>26</v>
      </c>
      <c r="B4244" s="1" t="s">
        <v>1192</v>
      </c>
      <c r="C4244" s="1" t="s">
        <v>46</v>
      </c>
      <c r="D4244" s="6">
        <v>19.0</v>
      </c>
      <c r="E4244" s="6">
        <v>29255.0</v>
      </c>
      <c r="F4244" s="6">
        <v>0.0</v>
      </c>
      <c r="G4244" s="6">
        <v>1769.0</v>
      </c>
      <c r="H4244" s="6">
        <v>16.5376</v>
      </c>
      <c r="I4244" s="6">
        <v>0.0</v>
      </c>
      <c r="J4244" s="6">
        <v>16.5376</v>
      </c>
    </row>
    <row r="4245">
      <c r="A4245" s="1" t="s">
        <v>26</v>
      </c>
      <c r="B4245" s="1" t="s">
        <v>1192</v>
      </c>
      <c r="C4245" s="1" t="s">
        <v>46</v>
      </c>
      <c r="D4245" s="6">
        <v>20.0</v>
      </c>
      <c r="E4245" s="6">
        <v>21624.0</v>
      </c>
      <c r="F4245" s="6">
        <v>0.0</v>
      </c>
      <c r="G4245" s="6">
        <v>1769.0</v>
      </c>
      <c r="H4245" s="6">
        <v>12.2239</v>
      </c>
      <c r="I4245" s="6">
        <v>0.0</v>
      </c>
      <c r="J4245" s="6">
        <v>12.2239</v>
      </c>
    </row>
    <row r="4246">
      <c r="A4246" s="1" t="s">
        <v>26</v>
      </c>
      <c r="B4246" s="1" t="s">
        <v>1192</v>
      </c>
      <c r="C4246" s="1" t="s">
        <v>46</v>
      </c>
      <c r="D4246" s="6">
        <v>21.0</v>
      </c>
      <c r="E4246" s="6">
        <v>25297.0</v>
      </c>
      <c r="F4246" s="6">
        <v>0.0</v>
      </c>
      <c r="G4246" s="6">
        <v>1769.0</v>
      </c>
      <c r="H4246" s="6">
        <v>14.3002</v>
      </c>
      <c r="I4246" s="6">
        <v>0.0</v>
      </c>
      <c r="J4246" s="6">
        <v>14.3002</v>
      </c>
    </row>
    <row r="4247">
      <c r="A4247" s="1" t="s">
        <v>26</v>
      </c>
      <c r="B4247" s="1" t="s">
        <v>1192</v>
      </c>
      <c r="C4247" s="1" t="s">
        <v>46</v>
      </c>
      <c r="D4247" s="6">
        <v>22.0</v>
      </c>
      <c r="E4247" s="6">
        <v>21150.0</v>
      </c>
      <c r="F4247" s="6">
        <v>0.0</v>
      </c>
      <c r="G4247" s="6">
        <v>1769.0</v>
      </c>
      <c r="H4247" s="6">
        <v>11.9559</v>
      </c>
      <c r="I4247" s="6">
        <v>0.0</v>
      </c>
      <c r="J4247" s="6">
        <v>11.9559</v>
      </c>
    </row>
    <row r="4248">
      <c r="A4248" s="1" t="s">
        <v>26</v>
      </c>
      <c r="B4248" s="1" t="s">
        <v>1192</v>
      </c>
      <c r="C4248" s="1" t="s">
        <v>46</v>
      </c>
      <c r="D4248" s="6">
        <v>23.0</v>
      </c>
      <c r="E4248" s="6">
        <v>30877.0</v>
      </c>
      <c r="F4248" s="6">
        <v>0.0</v>
      </c>
      <c r="G4248" s="6">
        <v>1769.0</v>
      </c>
      <c r="H4248" s="6">
        <v>17.4545</v>
      </c>
      <c r="I4248" s="6">
        <v>0.0</v>
      </c>
      <c r="J4248" s="6">
        <v>17.4545</v>
      </c>
    </row>
    <row r="4249">
      <c r="A4249" s="1" t="s">
        <v>26</v>
      </c>
      <c r="B4249" s="1" t="s">
        <v>1192</v>
      </c>
      <c r="C4249" s="1" t="s">
        <v>46</v>
      </c>
      <c r="D4249" s="6">
        <v>24.0</v>
      </c>
      <c r="E4249" s="6">
        <v>42505.0</v>
      </c>
      <c r="F4249" s="6">
        <v>0.0</v>
      </c>
      <c r="G4249" s="6">
        <v>1769.0</v>
      </c>
      <c r="H4249" s="6">
        <v>24.0277</v>
      </c>
      <c r="I4249" s="6">
        <v>0.0</v>
      </c>
      <c r="J4249" s="6">
        <v>24.0277</v>
      </c>
    </row>
    <row r="4250">
      <c r="A4250" s="1" t="s">
        <v>26</v>
      </c>
      <c r="B4250" s="1" t="s">
        <v>1192</v>
      </c>
      <c r="C4250" s="1" t="s">
        <v>46</v>
      </c>
      <c r="D4250" s="6">
        <v>25.0</v>
      </c>
      <c r="E4250" s="6">
        <v>37295.0</v>
      </c>
      <c r="F4250" s="6">
        <v>0.0</v>
      </c>
      <c r="G4250" s="6">
        <v>1769.0</v>
      </c>
      <c r="H4250" s="6">
        <v>21.0825</v>
      </c>
      <c r="I4250" s="6">
        <v>0.0</v>
      </c>
      <c r="J4250" s="6">
        <v>21.0825</v>
      </c>
    </row>
    <row r="4251">
      <c r="A4251" s="1" t="s">
        <v>26</v>
      </c>
      <c r="B4251" s="1" t="s">
        <v>1192</v>
      </c>
      <c r="C4251" s="1" t="s">
        <v>46</v>
      </c>
      <c r="D4251" s="6">
        <v>26.0</v>
      </c>
      <c r="E4251" s="6">
        <v>29017.0</v>
      </c>
      <c r="F4251" s="6">
        <v>0.0</v>
      </c>
      <c r="G4251" s="6">
        <v>1769.0</v>
      </c>
      <c r="H4251" s="6">
        <v>16.4031</v>
      </c>
      <c r="I4251" s="6">
        <v>0.0</v>
      </c>
      <c r="J4251" s="6">
        <v>16.4031</v>
      </c>
    </row>
    <row r="4252">
      <c r="A4252" s="1" t="s">
        <v>26</v>
      </c>
      <c r="B4252" s="1" t="s">
        <v>1192</v>
      </c>
      <c r="C4252" s="1" t="s">
        <v>46</v>
      </c>
      <c r="D4252" s="6">
        <v>27.0</v>
      </c>
      <c r="E4252" s="6">
        <v>20855.0</v>
      </c>
      <c r="F4252" s="6">
        <v>0.0</v>
      </c>
      <c r="G4252" s="6">
        <v>1769.0</v>
      </c>
      <c r="H4252" s="6">
        <v>11.7891</v>
      </c>
      <c r="I4252" s="6">
        <v>0.0</v>
      </c>
      <c r="J4252" s="6">
        <v>11.7891</v>
      </c>
    </row>
    <row r="4253">
      <c r="A4253" s="1" t="s">
        <v>26</v>
      </c>
      <c r="B4253" s="1" t="s">
        <v>1192</v>
      </c>
      <c r="C4253" s="1" t="s">
        <v>46</v>
      </c>
      <c r="D4253" s="6">
        <v>28.0</v>
      </c>
      <c r="E4253" s="6">
        <v>27830.0</v>
      </c>
      <c r="F4253" s="6">
        <v>0.0</v>
      </c>
      <c r="G4253" s="6">
        <v>1769.0</v>
      </c>
      <c r="H4253" s="6">
        <v>15.7321</v>
      </c>
      <c r="I4253" s="6">
        <v>0.0</v>
      </c>
      <c r="J4253" s="6">
        <v>15.7321</v>
      </c>
    </row>
    <row r="4254">
      <c r="A4254" s="1" t="s">
        <v>26</v>
      </c>
      <c r="B4254" s="1" t="s">
        <v>1192</v>
      </c>
      <c r="C4254" s="1" t="s">
        <v>46</v>
      </c>
      <c r="D4254" s="6">
        <v>29.0</v>
      </c>
      <c r="E4254" s="6">
        <v>22145.0</v>
      </c>
      <c r="F4254" s="6">
        <v>0.0</v>
      </c>
      <c r="G4254" s="6">
        <v>1769.0</v>
      </c>
      <c r="H4254" s="6">
        <v>12.5184</v>
      </c>
      <c r="I4254" s="6">
        <v>0.0</v>
      </c>
      <c r="J4254" s="6">
        <v>12.5184</v>
      </c>
    </row>
    <row r="4255">
      <c r="A4255" s="1" t="s">
        <v>26</v>
      </c>
      <c r="B4255" s="1" t="s">
        <v>1192</v>
      </c>
      <c r="C4255" s="1" t="s">
        <v>46</v>
      </c>
      <c r="D4255" s="6">
        <v>30.0</v>
      </c>
      <c r="E4255" s="6">
        <v>101335.0</v>
      </c>
      <c r="F4255" s="6">
        <v>0.0</v>
      </c>
      <c r="G4255" s="6">
        <v>1769.0</v>
      </c>
      <c r="H4255" s="6">
        <v>57.2838</v>
      </c>
      <c r="I4255" s="6">
        <v>0.0</v>
      </c>
      <c r="J4255" s="6">
        <v>57.2838</v>
      </c>
    </row>
    <row r="4256">
      <c r="A4256" s="1" t="s">
        <v>26</v>
      </c>
      <c r="B4256" s="1" t="s">
        <v>1192</v>
      </c>
      <c r="C4256" s="1" t="s">
        <v>46</v>
      </c>
      <c r="D4256" s="6">
        <v>31.0</v>
      </c>
      <c r="E4256" s="6">
        <v>59321.0</v>
      </c>
      <c r="F4256" s="6">
        <v>0.0</v>
      </c>
      <c r="G4256" s="6">
        <v>1769.0</v>
      </c>
      <c r="H4256" s="6">
        <v>33.5336</v>
      </c>
      <c r="I4256" s="6">
        <v>0.0</v>
      </c>
      <c r="J4256" s="6">
        <v>33.5336</v>
      </c>
    </row>
    <row r="4257">
      <c r="A4257" s="1" t="s">
        <v>26</v>
      </c>
      <c r="B4257" s="1" t="s">
        <v>1192</v>
      </c>
      <c r="C4257" s="1" t="s">
        <v>46</v>
      </c>
      <c r="D4257" s="6">
        <v>32.0</v>
      </c>
      <c r="E4257" s="6">
        <v>53200.0</v>
      </c>
      <c r="F4257" s="6">
        <v>0.0</v>
      </c>
      <c r="G4257" s="6">
        <v>1769.0</v>
      </c>
      <c r="H4257" s="6">
        <v>30.0735</v>
      </c>
      <c r="I4257" s="6">
        <v>0.0</v>
      </c>
      <c r="J4257" s="6">
        <v>30.0735</v>
      </c>
    </row>
    <row r="4258">
      <c r="A4258" s="1" t="s">
        <v>26</v>
      </c>
      <c r="B4258" s="1" t="s">
        <v>1192</v>
      </c>
      <c r="C4258" s="1" t="s">
        <v>46</v>
      </c>
      <c r="D4258" s="6">
        <v>33.0</v>
      </c>
      <c r="E4258" s="6">
        <v>33759.0</v>
      </c>
      <c r="F4258" s="6">
        <v>0.0</v>
      </c>
      <c r="G4258" s="6">
        <v>1769.0</v>
      </c>
      <c r="H4258" s="6">
        <v>19.0837</v>
      </c>
      <c r="I4258" s="6">
        <v>0.0</v>
      </c>
      <c r="J4258" s="6">
        <v>19.0837</v>
      </c>
    </row>
    <row r="4259">
      <c r="A4259" s="1" t="s">
        <v>26</v>
      </c>
      <c r="B4259" s="1" t="s">
        <v>1192</v>
      </c>
      <c r="C4259" s="1" t="s">
        <v>1213</v>
      </c>
      <c r="D4259" s="6">
        <v>1.0</v>
      </c>
      <c r="E4259" s="6">
        <v>0.0</v>
      </c>
      <c r="F4259" s="6">
        <v>0.0</v>
      </c>
      <c r="G4259" s="6">
        <v>408.0</v>
      </c>
      <c r="H4259" s="6">
        <v>0.0</v>
      </c>
      <c r="I4259" s="6">
        <v>0.0</v>
      </c>
      <c r="J4259" s="6">
        <v>0.0</v>
      </c>
    </row>
    <row r="4260">
      <c r="A4260" s="1" t="s">
        <v>26</v>
      </c>
      <c r="B4260" s="1" t="s">
        <v>1192</v>
      </c>
      <c r="C4260" s="1" t="s">
        <v>1213</v>
      </c>
      <c r="D4260" s="6">
        <v>2.0</v>
      </c>
      <c r="E4260" s="6">
        <v>1110.0</v>
      </c>
      <c r="F4260" s="6">
        <v>0.0</v>
      </c>
      <c r="G4260" s="6">
        <v>408.0</v>
      </c>
      <c r="H4260" s="6">
        <v>2.7206</v>
      </c>
      <c r="I4260" s="6">
        <v>0.0</v>
      </c>
      <c r="J4260" s="6">
        <v>2.7206</v>
      </c>
    </row>
    <row r="4261">
      <c r="A4261" s="1" t="s">
        <v>26</v>
      </c>
      <c r="B4261" s="1" t="s">
        <v>1192</v>
      </c>
      <c r="C4261" s="1" t="s">
        <v>1213</v>
      </c>
      <c r="D4261" s="6">
        <v>3.0</v>
      </c>
      <c r="E4261" s="6">
        <v>640.0</v>
      </c>
      <c r="F4261" s="6">
        <v>0.0</v>
      </c>
      <c r="G4261" s="6">
        <v>408.0</v>
      </c>
      <c r="H4261" s="6">
        <v>1.5686</v>
      </c>
      <c r="I4261" s="6">
        <v>0.0</v>
      </c>
      <c r="J4261" s="6">
        <v>1.5686</v>
      </c>
    </row>
    <row r="4262">
      <c r="A4262" s="1" t="s">
        <v>26</v>
      </c>
      <c r="B4262" s="1" t="s">
        <v>1192</v>
      </c>
      <c r="C4262" s="1" t="s">
        <v>1213</v>
      </c>
      <c r="D4262" s="6">
        <v>4.0</v>
      </c>
      <c r="E4262" s="6">
        <v>525.0</v>
      </c>
      <c r="F4262" s="6">
        <v>0.0</v>
      </c>
      <c r="G4262" s="6">
        <v>408.0</v>
      </c>
      <c r="H4262" s="6">
        <v>1.2868</v>
      </c>
      <c r="I4262" s="6">
        <v>0.0</v>
      </c>
      <c r="J4262" s="6">
        <v>1.2868</v>
      </c>
    </row>
    <row r="4263">
      <c r="A4263" s="1" t="s">
        <v>26</v>
      </c>
      <c r="B4263" s="1" t="s">
        <v>1192</v>
      </c>
      <c r="C4263" s="1" t="s">
        <v>1213</v>
      </c>
      <c r="D4263" s="6">
        <v>5.0</v>
      </c>
      <c r="E4263" s="6">
        <v>590.0</v>
      </c>
      <c r="F4263" s="6">
        <v>0.0</v>
      </c>
      <c r="G4263" s="6">
        <v>408.0</v>
      </c>
      <c r="H4263" s="6">
        <v>1.4461</v>
      </c>
      <c r="I4263" s="6">
        <v>0.0</v>
      </c>
      <c r="J4263" s="6">
        <v>1.4461</v>
      </c>
    </row>
    <row r="4264">
      <c r="A4264" s="1" t="s">
        <v>26</v>
      </c>
      <c r="B4264" s="1" t="s">
        <v>1192</v>
      </c>
      <c r="C4264" s="1" t="s">
        <v>1213</v>
      </c>
      <c r="D4264" s="6">
        <v>6.0</v>
      </c>
      <c r="E4264" s="6">
        <v>490.0</v>
      </c>
      <c r="F4264" s="6">
        <v>0.0</v>
      </c>
      <c r="G4264" s="6">
        <v>408.0</v>
      </c>
      <c r="H4264" s="6">
        <v>1.201</v>
      </c>
      <c r="I4264" s="6">
        <v>0.0</v>
      </c>
      <c r="J4264" s="6">
        <v>1.201</v>
      </c>
    </row>
    <row r="4265">
      <c r="A4265" s="1" t="s">
        <v>26</v>
      </c>
      <c r="B4265" s="1" t="s">
        <v>1192</v>
      </c>
      <c r="C4265" s="1" t="s">
        <v>1213</v>
      </c>
      <c r="D4265" s="6">
        <v>7.0</v>
      </c>
      <c r="E4265" s="6">
        <v>620.0</v>
      </c>
      <c r="F4265" s="6">
        <v>0.0</v>
      </c>
      <c r="G4265" s="6">
        <v>408.0</v>
      </c>
      <c r="H4265" s="6">
        <v>1.5196</v>
      </c>
      <c r="I4265" s="6">
        <v>0.0</v>
      </c>
      <c r="J4265" s="6">
        <v>1.5196</v>
      </c>
    </row>
    <row r="4266">
      <c r="A4266" s="1" t="s">
        <v>26</v>
      </c>
      <c r="B4266" s="1" t="s">
        <v>1192</v>
      </c>
      <c r="C4266" s="1" t="s">
        <v>1213</v>
      </c>
      <c r="D4266" s="6">
        <v>8.0</v>
      </c>
      <c r="E4266" s="6">
        <v>890.0</v>
      </c>
      <c r="F4266" s="6">
        <v>0.0</v>
      </c>
      <c r="G4266" s="6">
        <v>408.0</v>
      </c>
      <c r="H4266" s="6">
        <v>2.1814</v>
      </c>
      <c r="I4266" s="6">
        <v>0.0</v>
      </c>
      <c r="J4266" s="6">
        <v>2.1814</v>
      </c>
    </row>
    <row r="4267">
      <c r="A4267" s="1" t="s">
        <v>26</v>
      </c>
      <c r="B4267" s="1" t="s">
        <v>1192</v>
      </c>
      <c r="C4267" s="1" t="s">
        <v>1213</v>
      </c>
      <c r="D4267" s="6">
        <v>9.0</v>
      </c>
      <c r="E4267" s="6">
        <v>0.0</v>
      </c>
      <c r="F4267" s="6">
        <v>0.0</v>
      </c>
      <c r="G4267" s="6">
        <v>408.0</v>
      </c>
      <c r="H4267" s="6">
        <v>0.0</v>
      </c>
      <c r="I4267" s="6">
        <v>0.0</v>
      </c>
      <c r="J4267" s="6">
        <v>0.0</v>
      </c>
    </row>
    <row r="4268">
      <c r="A4268" s="1" t="s">
        <v>26</v>
      </c>
      <c r="B4268" s="1" t="s">
        <v>1192</v>
      </c>
      <c r="C4268" s="1" t="s">
        <v>1213</v>
      </c>
      <c r="D4268" s="6">
        <v>10.0</v>
      </c>
      <c r="E4268" s="6">
        <v>105.0</v>
      </c>
      <c r="F4268" s="6">
        <v>0.0</v>
      </c>
      <c r="G4268" s="6">
        <v>408.0</v>
      </c>
      <c r="H4268" s="6">
        <v>0.2574</v>
      </c>
      <c r="I4268" s="6">
        <v>0.0</v>
      </c>
      <c r="J4268" s="6">
        <v>0.2574</v>
      </c>
    </row>
    <row r="4269">
      <c r="A4269" s="1" t="s">
        <v>26</v>
      </c>
      <c r="B4269" s="1" t="s">
        <v>1192</v>
      </c>
      <c r="C4269" s="1" t="s">
        <v>1213</v>
      </c>
      <c r="D4269" s="6">
        <v>11.0</v>
      </c>
      <c r="E4269" s="6">
        <v>15.0</v>
      </c>
      <c r="F4269" s="6">
        <v>0.0</v>
      </c>
      <c r="G4269" s="6">
        <v>408.0</v>
      </c>
      <c r="H4269" s="6">
        <v>0.0368</v>
      </c>
      <c r="I4269" s="6">
        <v>0.0</v>
      </c>
      <c r="J4269" s="6">
        <v>0.0368</v>
      </c>
    </row>
    <row r="4270">
      <c r="A4270" s="1" t="s">
        <v>26</v>
      </c>
      <c r="B4270" s="1" t="s">
        <v>1192</v>
      </c>
      <c r="C4270" s="1" t="s">
        <v>1213</v>
      </c>
      <c r="D4270" s="6">
        <v>12.0</v>
      </c>
      <c r="E4270" s="6">
        <v>0.0</v>
      </c>
      <c r="F4270" s="6">
        <v>0.0</v>
      </c>
      <c r="G4270" s="6">
        <v>408.0</v>
      </c>
      <c r="H4270" s="6">
        <v>0.0</v>
      </c>
      <c r="I4270" s="6">
        <v>0.0</v>
      </c>
      <c r="J4270" s="6">
        <v>0.0</v>
      </c>
    </row>
    <row r="4271">
      <c r="A4271" s="1" t="s">
        <v>26</v>
      </c>
      <c r="B4271" s="1" t="s">
        <v>1192</v>
      </c>
      <c r="C4271" s="1" t="s">
        <v>1213</v>
      </c>
      <c r="D4271" s="6">
        <v>13.0</v>
      </c>
      <c r="E4271" s="6">
        <v>15.0</v>
      </c>
      <c r="F4271" s="6">
        <v>0.0</v>
      </c>
      <c r="G4271" s="6">
        <v>408.0</v>
      </c>
      <c r="H4271" s="6">
        <v>0.0368</v>
      </c>
      <c r="I4271" s="6">
        <v>0.0</v>
      </c>
      <c r="J4271" s="6">
        <v>0.0368</v>
      </c>
    </row>
    <row r="4272">
      <c r="A4272" s="1" t="s">
        <v>26</v>
      </c>
      <c r="B4272" s="1" t="s">
        <v>1192</v>
      </c>
      <c r="C4272" s="1" t="s">
        <v>1213</v>
      </c>
      <c r="D4272" s="6">
        <v>14.0</v>
      </c>
      <c r="E4272" s="6">
        <v>15.0</v>
      </c>
      <c r="F4272" s="6">
        <v>0.0</v>
      </c>
      <c r="G4272" s="6">
        <v>408.0</v>
      </c>
      <c r="H4272" s="6">
        <v>0.0368</v>
      </c>
      <c r="I4272" s="6">
        <v>0.0</v>
      </c>
      <c r="J4272" s="6">
        <v>0.0368</v>
      </c>
    </row>
    <row r="4273">
      <c r="A4273" s="1" t="s">
        <v>26</v>
      </c>
      <c r="B4273" s="1" t="s">
        <v>1192</v>
      </c>
      <c r="C4273" s="1" t="s">
        <v>1213</v>
      </c>
      <c r="D4273" s="6">
        <v>15.0</v>
      </c>
      <c r="E4273" s="6">
        <v>0.0</v>
      </c>
      <c r="F4273" s="6">
        <v>0.0</v>
      </c>
      <c r="G4273" s="6">
        <v>408.0</v>
      </c>
      <c r="H4273" s="6">
        <v>0.0</v>
      </c>
      <c r="I4273" s="6">
        <v>0.0</v>
      </c>
      <c r="J4273" s="6">
        <v>0.0</v>
      </c>
    </row>
    <row r="4274">
      <c r="A4274" s="1" t="s">
        <v>26</v>
      </c>
      <c r="B4274" s="1" t="s">
        <v>1192</v>
      </c>
      <c r="C4274" s="1" t="s">
        <v>1213</v>
      </c>
      <c r="D4274" s="6">
        <v>16.0</v>
      </c>
      <c r="E4274" s="6">
        <v>960.0</v>
      </c>
      <c r="F4274" s="6">
        <v>0.0</v>
      </c>
      <c r="G4274" s="6">
        <v>408.0</v>
      </c>
      <c r="H4274" s="6">
        <v>2.3529</v>
      </c>
      <c r="I4274" s="6">
        <v>0.0</v>
      </c>
      <c r="J4274" s="6">
        <v>2.3529</v>
      </c>
    </row>
    <row r="4275">
      <c r="A4275" s="1" t="s">
        <v>26</v>
      </c>
      <c r="B4275" s="1" t="s">
        <v>1192</v>
      </c>
      <c r="C4275" s="1" t="s">
        <v>1213</v>
      </c>
      <c r="D4275" s="6">
        <v>17.0</v>
      </c>
      <c r="E4275" s="6">
        <v>1045.0</v>
      </c>
      <c r="F4275" s="6">
        <v>0.0</v>
      </c>
      <c r="G4275" s="6">
        <v>408.0</v>
      </c>
      <c r="H4275" s="6">
        <v>2.5613</v>
      </c>
      <c r="I4275" s="6">
        <v>0.0</v>
      </c>
      <c r="J4275" s="6">
        <v>2.5613</v>
      </c>
    </row>
    <row r="4276">
      <c r="A4276" s="1" t="s">
        <v>26</v>
      </c>
      <c r="B4276" s="1" t="s">
        <v>1192</v>
      </c>
      <c r="C4276" s="1" t="s">
        <v>1213</v>
      </c>
      <c r="D4276" s="6">
        <v>18.0</v>
      </c>
      <c r="E4276" s="6">
        <v>985.0</v>
      </c>
      <c r="F4276" s="6">
        <v>0.0</v>
      </c>
      <c r="G4276" s="6">
        <v>408.0</v>
      </c>
      <c r="H4276" s="6">
        <v>2.4142</v>
      </c>
      <c r="I4276" s="6">
        <v>0.0</v>
      </c>
      <c r="J4276" s="6">
        <v>2.4142</v>
      </c>
    </row>
    <row r="4277">
      <c r="A4277" s="1" t="s">
        <v>26</v>
      </c>
      <c r="B4277" s="1" t="s">
        <v>1192</v>
      </c>
      <c r="C4277" s="1" t="s">
        <v>1213</v>
      </c>
      <c r="D4277" s="6">
        <v>19.0</v>
      </c>
      <c r="E4277" s="6">
        <v>830.0</v>
      </c>
      <c r="F4277" s="6">
        <v>0.0</v>
      </c>
      <c r="G4277" s="6">
        <v>408.0</v>
      </c>
      <c r="H4277" s="6">
        <v>2.0343</v>
      </c>
      <c r="I4277" s="6">
        <v>0.0</v>
      </c>
      <c r="J4277" s="6">
        <v>2.0343</v>
      </c>
    </row>
    <row r="4278">
      <c r="A4278" s="1" t="s">
        <v>26</v>
      </c>
      <c r="B4278" s="1" t="s">
        <v>1192</v>
      </c>
      <c r="C4278" s="1" t="s">
        <v>1213</v>
      </c>
      <c r="D4278" s="6">
        <v>20.0</v>
      </c>
      <c r="E4278" s="6">
        <v>770.0</v>
      </c>
      <c r="F4278" s="6">
        <v>0.0</v>
      </c>
      <c r="G4278" s="6">
        <v>408.0</v>
      </c>
      <c r="H4278" s="6">
        <v>1.8873</v>
      </c>
      <c r="I4278" s="6">
        <v>0.0</v>
      </c>
      <c r="J4278" s="6">
        <v>1.8873</v>
      </c>
    </row>
    <row r="4279">
      <c r="A4279" s="1" t="s">
        <v>26</v>
      </c>
      <c r="B4279" s="1" t="s">
        <v>1192</v>
      </c>
      <c r="C4279" s="1" t="s">
        <v>1213</v>
      </c>
      <c r="D4279" s="6">
        <v>21.0</v>
      </c>
      <c r="E4279" s="6">
        <v>980.0</v>
      </c>
      <c r="F4279" s="6">
        <v>0.0</v>
      </c>
      <c r="G4279" s="6">
        <v>408.0</v>
      </c>
      <c r="H4279" s="6">
        <v>2.402</v>
      </c>
      <c r="I4279" s="6">
        <v>0.0</v>
      </c>
      <c r="J4279" s="6">
        <v>2.402</v>
      </c>
    </row>
    <row r="4280">
      <c r="A4280" s="1" t="s">
        <v>26</v>
      </c>
      <c r="B4280" s="1" t="s">
        <v>1192</v>
      </c>
      <c r="C4280" s="1" t="s">
        <v>1213</v>
      </c>
      <c r="D4280" s="6">
        <v>22.0</v>
      </c>
      <c r="E4280" s="6">
        <v>955.0</v>
      </c>
      <c r="F4280" s="6">
        <v>0.0</v>
      </c>
      <c r="G4280" s="6">
        <v>408.0</v>
      </c>
      <c r="H4280" s="6">
        <v>2.3407</v>
      </c>
      <c r="I4280" s="6">
        <v>0.0</v>
      </c>
      <c r="J4280" s="6">
        <v>2.3407</v>
      </c>
    </row>
    <row r="4281">
      <c r="A4281" s="1" t="s">
        <v>26</v>
      </c>
      <c r="B4281" s="1" t="s">
        <v>1192</v>
      </c>
      <c r="C4281" s="1" t="s">
        <v>1213</v>
      </c>
      <c r="D4281" s="6">
        <v>23.0</v>
      </c>
      <c r="E4281" s="6">
        <v>50.0</v>
      </c>
      <c r="F4281" s="6">
        <v>0.0</v>
      </c>
      <c r="G4281" s="6">
        <v>408.0</v>
      </c>
      <c r="H4281" s="6">
        <v>0.1225</v>
      </c>
      <c r="I4281" s="6">
        <v>0.0</v>
      </c>
      <c r="J4281" s="6">
        <v>0.1225</v>
      </c>
    </row>
    <row r="4282">
      <c r="A4282" s="1" t="s">
        <v>26</v>
      </c>
      <c r="B4282" s="1" t="s">
        <v>1192</v>
      </c>
      <c r="C4282" s="1" t="s">
        <v>1213</v>
      </c>
      <c r="D4282" s="6">
        <v>24.0</v>
      </c>
      <c r="E4282" s="6">
        <v>0.0</v>
      </c>
      <c r="F4282" s="6">
        <v>0.0</v>
      </c>
      <c r="G4282" s="6">
        <v>408.0</v>
      </c>
      <c r="H4282" s="6">
        <v>0.0</v>
      </c>
      <c r="I4282" s="6">
        <v>0.0</v>
      </c>
      <c r="J4282" s="6">
        <v>0.0</v>
      </c>
    </row>
    <row r="4283">
      <c r="A4283" s="1" t="s">
        <v>26</v>
      </c>
      <c r="B4283" s="1" t="s">
        <v>1192</v>
      </c>
      <c r="C4283" s="1" t="s">
        <v>1213</v>
      </c>
      <c r="D4283" s="6">
        <v>25.0</v>
      </c>
      <c r="E4283" s="6">
        <v>0.0</v>
      </c>
      <c r="F4283" s="6">
        <v>0.0</v>
      </c>
      <c r="G4283" s="6">
        <v>408.0</v>
      </c>
      <c r="H4283" s="6">
        <v>0.0</v>
      </c>
      <c r="I4283" s="6">
        <v>0.0</v>
      </c>
      <c r="J4283" s="6">
        <v>0.0</v>
      </c>
    </row>
    <row r="4284">
      <c r="A4284" s="1" t="s">
        <v>26</v>
      </c>
      <c r="B4284" s="1" t="s">
        <v>1192</v>
      </c>
      <c r="C4284" s="1" t="s">
        <v>1213</v>
      </c>
      <c r="D4284" s="6">
        <v>26.0</v>
      </c>
      <c r="E4284" s="6">
        <v>0.0</v>
      </c>
      <c r="F4284" s="6">
        <v>0.0</v>
      </c>
      <c r="G4284" s="6">
        <v>408.0</v>
      </c>
      <c r="H4284" s="6">
        <v>0.0</v>
      </c>
      <c r="I4284" s="6">
        <v>0.0</v>
      </c>
      <c r="J4284" s="6">
        <v>0.0</v>
      </c>
    </row>
    <row r="4285">
      <c r="A4285" s="1" t="s">
        <v>26</v>
      </c>
      <c r="B4285" s="1" t="s">
        <v>1192</v>
      </c>
      <c r="C4285" s="1" t="s">
        <v>1213</v>
      </c>
      <c r="D4285" s="6">
        <v>27.0</v>
      </c>
      <c r="E4285" s="6">
        <v>0.0</v>
      </c>
      <c r="F4285" s="6">
        <v>0.0</v>
      </c>
      <c r="G4285" s="6">
        <v>408.0</v>
      </c>
      <c r="H4285" s="6">
        <v>0.0</v>
      </c>
      <c r="I4285" s="6">
        <v>0.0</v>
      </c>
      <c r="J4285" s="6">
        <v>0.0</v>
      </c>
    </row>
    <row r="4286">
      <c r="A4286" s="1" t="s">
        <v>26</v>
      </c>
      <c r="B4286" s="1" t="s">
        <v>1192</v>
      </c>
      <c r="C4286" s="1" t="s">
        <v>1213</v>
      </c>
      <c r="D4286" s="6">
        <v>28.0</v>
      </c>
      <c r="E4286" s="6">
        <v>0.0</v>
      </c>
      <c r="F4286" s="6">
        <v>0.0</v>
      </c>
      <c r="G4286" s="6">
        <v>408.0</v>
      </c>
      <c r="H4286" s="6">
        <v>0.0</v>
      </c>
      <c r="I4286" s="6">
        <v>0.0</v>
      </c>
      <c r="J4286" s="6">
        <v>0.0</v>
      </c>
    </row>
    <row r="4287">
      <c r="A4287" s="1" t="s">
        <v>26</v>
      </c>
      <c r="B4287" s="1" t="s">
        <v>1192</v>
      </c>
      <c r="C4287" s="1" t="s">
        <v>1213</v>
      </c>
      <c r="D4287" s="6">
        <v>29.0</v>
      </c>
      <c r="E4287" s="6">
        <v>0.0</v>
      </c>
      <c r="F4287" s="6">
        <v>0.0</v>
      </c>
      <c r="G4287" s="6">
        <v>408.0</v>
      </c>
      <c r="H4287" s="6">
        <v>0.0</v>
      </c>
      <c r="I4287" s="6">
        <v>0.0</v>
      </c>
      <c r="J4287" s="6">
        <v>0.0</v>
      </c>
    </row>
    <row r="4288">
      <c r="A4288" s="1" t="s">
        <v>26</v>
      </c>
      <c r="B4288" s="1" t="s">
        <v>1192</v>
      </c>
      <c r="C4288" s="1" t="s">
        <v>1213</v>
      </c>
      <c r="D4288" s="6">
        <v>30.0</v>
      </c>
      <c r="E4288" s="6">
        <v>1485.0</v>
      </c>
      <c r="F4288" s="6">
        <v>0.0</v>
      </c>
      <c r="G4288" s="6">
        <v>408.0</v>
      </c>
      <c r="H4288" s="6">
        <v>3.6397</v>
      </c>
      <c r="I4288" s="6">
        <v>0.0</v>
      </c>
      <c r="J4288" s="6">
        <v>3.6397</v>
      </c>
    </row>
    <row r="4289">
      <c r="A4289" s="1" t="s">
        <v>26</v>
      </c>
      <c r="B4289" s="1" t="s">
        <v>1192</v>
      </c>
      <c r="C4289" s="1" t="s">
        <v>1213</v>
      </c>
      <c r="D4289" s="6">
        <v>31.0</v>
      </c>
      <c r="E4289" s="6">
        <v>1285.0</v>
      </c>
      <c r="F4289" s="6">
        <v>0.0</v>
      </c>
      <c r="G4289" s="6">
        <v>408.0</v>
      </c>
      <c r="H4289" s="6">
        <v>3.1495</v>
      </c>
      <c r="I4289" s="6">
        <v>0.0</v>
      </c>
      <c r="J4289" s="6">
        <v>3.1495</v>
      </c>
    </row>
    <row r="4290">
      <c r="A4290" s="1" t="s">
        <v>26</v>
      </c>
      <c r="B4290" s="1" t="s">
        <v>1192</v>
      </c>
      <c r="C4290" s="1" t="s">
        <v>1213</v>
      </c>
      <c r="D4290" s="6">
        <v>32.0</v>
      </c>
      <c r="E4290" s="6">
        <v>1560.0</v>
      </c>
      <c r="F4290" s="6">
        <v>0.0</v>
      </c>
      <c r="G4290" s="6">
        <v>408.0</v>
      </c>
      <c r="H4290" s="6">
        <v>3.8235</v>
      </c>
      <c r="I4290" s="6">
        <v>0.0</v>
      </c>
      <c r="J4290" s="6">
        <v>3.8235</v>
      </c>
    </row>
    <row r="4291">
      <c r="A4291" s="1" t="s">
        <v>26</v>
      </c>
      <c r="B4291" s="1" t="s">
        <v>1192</v>
      </c>
      <c r="C4291" s="1" t="s">
        <v>1213</v>
      </c>
      <c r="D4291" s="6">
        <v>33.0</v>
      </c>
      <c r="E4291" s="6">
        <v>1180.0</v>
      </c>
      <c r="F4291" s="6">
        <v>0.0</v>
      </c>
      <c r="G4291" s="6">
        <v>408.0</v>
      </c>
      <c r="H4291" s="6">
        <v>2.8922</v>
      </c>
      <c r="I4291" s="6">
        <v>0.0</v>
      </c>
      <c r="J4291" s="6">
        <v>2.8922</v>
      </c>
    </row>
  </sheetData>
  <drawing r:id="rId2"/>
  <legacyDrawing r:id="rId3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37.88"/>
  </cols>
  <sheetData>
    <row r="1">
      <c r="A1" s="520" t="s">
        <v>2318</v>
      </c>
      <c r="B1" s="674" t="s">
        <v>2319</v>
      </c>
      <c r="C1" s="520" t="s">
        <v>2320</v>
      </c>
      <c r="D1" s="520" t="s">
        <v>2321</v>
      </c>
      <c r="E1" s="520" t="s">
        <v>206</v>
      </c>
      <c r="F1" s="520" t="s">
        <v>2322</v>
      </c>
      <c r="G1" s="520" t="s">
        <v>2323</v>
      </c>
      <c r="H1" s="520" t="s">
        <v>401</v>
      </c>
      <c r="I1" s="520" t="s">
        <v>2324</v>
      </c>
      <c r="J1" s="520" t="s">
        <v>73</v>
      </c>
      <c r="K1" s="520" t="s">
        <v>2325</v>
      </c>
      <c r="L1" s="520" t="s">
        <v>2326</v>
      </c>
      <c r="M1" s="520" t="s">
        <v>2327</v>
      </c>
      <c r="N1" s="520" t="s">
        <v>2328</v>
      </c>
      <c r="O1" s="520" t="s">
        <v>2329</v>
      </c>
      <c r="P1" s="520" t="s">
        <v>2330</v>
      </c>
      <c r="Q1" s="520" t="s">
        <v>2331</v>
      </c>
      <c r="R1" s="520" t="s">
        <v>2332</v>
      </c>
      <c r="S1" s="294"/>
      <c r="T1" s="294"/>
      <c r="U1" s="294"/>
      <c r="V1" s="294"/>
      <c r="W1" s="294"/>
      <c r="X1" s="294"/>
      <c r="Y1" s="294"/>
      <c r="Z1" s="294"/>
      <c r="AA1" s="294"/>
      <c r="AB1" s="294"/>
    </row>
    <row r="2">
      <c r="A2" s="294" t="s">
        <v>2333</v>
      </c>
      <c r="B2" s="675" t="s">
        <v>2334</v>
      </c>
      <c r="C2" s="675" t="s">
        <v>2335</v>
      </c>
      <c r="D2" s="294" t="s">
        <v>2336</v>
      </c>
      <c r="E2" s="294" t="s">
        <v>2337</v>
      </c>
      <c r="F2" s="294" t="s">
        <v>2338</v>
      </c>
      <c r="G2" s="294" t="s">
        <v>2339</v>
      </c>
      <c r="H2" s="294" t="s">
        <v>2340</v>
      </c>
      <c r="I2" s="294" t="s">
        <v>2341</v>
      </c>
      <c r="J2" s="294" t="s">
        <v>2342</v>
      </c>
      <c r="K2" s="294" t="s">
        <v>2343</v>
      </c>
      <c r="L2" s="294" t="s">
        <v>2344</v>
      </c>
      <c r="M2" s="294" t="s">
        <v>2345</v>
      </c>
      <c r="N2" s="294" t="s">
        <v>2346</v>
      </c>
      <c r="O2" s="294" t="s">
        <v>2347</v>
      </c>
      <c r="P2" s="294" t="s">
        <v>2348</v>
      </c>
      <c r="Q2" s="294" t="s">
        <v>2349</v>
      </c>
      <c r="R2" s="294" t="s">
        <v>2350</v>
      </c>
      <c r="S2" s="294"/>
      <c r="T2" s="294"/>
      <c r="U2" s="294"/>
      <c r="V2" s="294"/>
      <c r="W2" s="294"/>
      <c r="X2" s="294"/>
      <c r="Y2" s="294"/>
      <c r="Z2" s="294"/>
      <c r="AA2" s="294"/>
      <c r="AB2" s="294"/>
    </row>
    <row r="3">
      <c r="A3" s="294"/>
      <c r="B3" s="294"/>
      <c r="C3" s="294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4"/>
      <c r="P3" s="294"/>
      <c r="Q3" s="294"/>
      <c r="R3" s="294"/>
      <c r="S3" s="294"/>
      <c r="T3" s="294"/>
      <c r="U3" s="294"/>
      <c r="V3" s="294"/>
      <c r="W3" s="294"/>
      <c r="X3" s="294"/>
      <c r="Y3" s="294"/>
      <c r="Z3" s="294"/>
      <c r="AA3" s="294"/>
      <c r="AB3" s="294"/>
    </row>
    <row r="4">
      <c r="A4" s="294"/>
      <c r="B4" s="294"/>
      <c r="C4" s="294"/>
      <c r="D4" s="294"/>
      <c r="E4" s="294"/>
      <c r="F4" s="294"/>
      <c r="G4" s="294"/>
      <c r="H4" s="294"/>
      <c r="I4" s="294"/>
      <c r="J4" s="294"/>
      <c r="K4" s="294"/>
      <c r="L4" s="294"/>
      <c r="M4" s="294"/>
      <c r="N4" s="294"/>
      <c r="O4" s="294"/>
      <c r="P4" s="294"/>
      <c r="Q4" s="294"/>
      <c r="R4" s="294"/>
      <c r="S4" s="294"/>
      <c r="T4" s="294"/>
      <c r="U4" s="294"/>
      <c r="V4" s="294"/>
      <c r="W4" s="294"/>
      <c r="X4" s="294"/>
      <c r="Y4" s="294"/>
      <c r="Z4" s="294"/>
      <c r="AA4" s="294"/>
      <c r="AB4" s="294"/>
    </row>
    <row r="5">
      <c r="A5" s="294"/>
      <c r="B5" s="294"/>
      <c r="C5" s="294"/>
      <c r="D5" s="294"/>
      <c r="E5" s="294"/>
      <c r="F5" s="294"/>
      <c r="G5" s="294"/>
      <c r="H5" s="294"/>
      <c r="I5" s="294"/>
      <c r="J5" s="294"/>
      <c r="K5" s="294"/>
      <c r="L5" s="294"/>
      <c r="M5" s="294"/>
      <c r="N5" s="294"/>
      <c r="O5" s="294"/>
      <c r="P5" s="294"/>
      <c r="Q5" s="294"/>
      <c r="R5" s="294"/>
      <c r="S5" s="294"/>
      <c r="T5" s="294"/>
      <c r="U5" s="294"/>
      <c r="V5" s="294"/>
      <c r="W5" s="294"/>
      <c r="X5" s="294"/>
      <c r="Y5" s="294"/>
      <c r="Z5" s="294"/>
      <c r="AA5" s="294"/>
      <c r="AB5" s="294"/>
    </row>
    <row r="6">
      <c r="A6" s="294"/>
      <c r="B6" s="294"/>
      <c r="C6" s="294"/>
      <c r="D6" s="294"/>
      <c r="E6" s="294"/>
      <c r="F6" s="294"/>
      <c r="G6" s="294"/>
      <c r="H6" s="294"/>
      <c r="I6" s="294"/>
      <c r="J6" s="294"/>
      <c r="K6" s="294"/>
      <c r="L6" s="294"/>
      <c r="M6" s="294"/>
      <c r="N6" s="294"/>
      <c r="O6" s="294"/>
      <c r="P6" s="294"/>
      <c r="Q6" s="294"/>
      <c r="R6" s="294"/>
      <c r="S6" s="294"/>
      <c r="T6" s="294"/>
      <c r="U6" s="294"/>
      <c r="V6" s="294"/>
      <c r="W6" s="294"/>
      <c r="X6" s="294"/>
      <c r="Y6" s="294"/>
      <c r="Z6" s="294"/>
      <c r="AA6" s="294"/>
      <c r="AB6" s="294"/>
    </row>
    <row r="7">
      <c r="A7" s="294"/>
      <c r="B7" s="294"/>
      <c r="C7" s="294"/>
      <c r="D7" s="294"/>
      <c r="E7" s="294"/>
      <c r="F7" s="294"/>
      <c r="G7" s="294"/>
      <c r="H7" s="294"/>
      <c r="I7" s="294"/>
      <c r="J7" s="294"/>
      <c r="K7" s="294"/>
      <c r="L7" s="294"/>
      <c r="M7" s="294"/>
      <c r="N7" s="294"/>
      <c r="O7" s="294"/>
      <c r="P7" s="294"/>
      <c r="Q7" s="294"/>
      <c r="R7" s="294"/>
      <c r="S7" s="294"/>
      <c r="T7" s="294"/>
      <c r="U7" s="294"/>
      <c r="V7" s="294"/>
      <c r="W7" s="294"/>
      <c r="X7" s="294"/>
      <c r="Y7" s="294"/>
      <c r="Z7" s="294"/>
      <c r="AA7" s="294"/>
      <c r="AB7" s="294"/>
    </row>
    <row r="8">
      <c r="A8" s="294"/>
      <c r="B8" s="294"/>
      <c r="C8" s="294"/>
      <c r="D8" s="294"/>
      <c r="E8" s="294"/>
      <c r="F8" s="294"/>
      <c r="G8" s="294"/>
      <c r="H8" s="294"/>
      <c r="I8" s="294"/>
      <c r="J8" s="294"/>
      <c r="K8" s="294"/>
      <c r="L8" s="294"/>
      <c r="M8" s="294"/>
      <c r="N8" s="294"/>
      <c r="O8" s="294"/>
      <c r="P8" s="294"/>
      <c r="Q8" s="294"/>
      <c r="R8" s="294"/>
      <c r="S8" s="294"/>
      <c r="T8" s="294"/>
      <c r="U8" s="294"/>
      <c r="V8" s="294"/>
      <c r="W8" s="294"/>
      <c r="X8" s="294"/>
      <c r="Y8" s="294"/>
      <c r="Z8" s="294"/>
      <c r="AA8" s="294"/>
      <c r="AB8" s="294"/>
    </row>
    <row r="9">
      <c r="A9" s="294"/>
      <c r="B9" s="294"/>
      <c r="C9" s="294"/>
      <c r="D9" s="294"/>
      <c r="E9" s="294"/>
      <c r="F9" s="294"/>
      <c r="G9" s="294"/>
      <c r="H9" s="294"/>
      <c r="I9" s="294"/>
      <c r="J9" s="294"/>
      <c r="K9" s="294"/>
      <c r="L9" s="294"/>
      <c r="M9" s="294"/>
      <c r="N9" s="294"/>
      <c r="O9" s="294"/>
      <c r="P9" s="294"/>
      <c r="Q9" s="294"/>
      <c r="R9" s="294"/>
      <c r="S9" s="294"/>
      <c r="T9" s="294"/>
      <c r="U9" s="294"/>
      <c r="V9" s="294"/>
      <c r="W9" s="294"/>
      <c r="X9" s="294"/>
      <c r="Y9" s="294"/>
      <c r="Z9" s="294"/>
      <c r="AA9" s="294"/>
      <c r="AB9" s="294"/>
    </row>
    <row r="10">
      <c r="A10" s="294"/>
      <c r="B10" s="294"/>
      <c r="C10" s="294"/>
      <c r="D10" s="294"/>
      <c r="E10" s="294"/>
      <c r="F10" s="294"/>
      <c r="G10" s="294"/>
      <c r="H10" s="294"/>
      <c r="I10" s="294"/>
      <c r="J10" s="294"/>
      <c r="K10" s="294"/>
      <c r="L10" s="294"/>
      <c r="M10" s="294"/>
      <c r="N10" s="294"/>
      <c r="O10" s="294"/>
      <c r="P10" s="294"/>
      <c r="Q10" s="294"/>
      <c r="R10" s="294"/>
      <c r="S10" s="294"/>
      <c r="T10" s="294"/>
      <c r="U10" s="294"/>
      <c r="V10" s="294"/>
      <c r="W10" s="294"/>
      <c r="X10" s="294"/>
      <c r="Y10" s="294"/>
      <c r="Z10" s="294"/>
      <c r="AA10" s="294"/>
      <c r="AB10" s="294"/>
    </row>
    <row r="11">
      <c r="A11" s="294"/>
      <c r="B11" s="294"/>
      <c r="C11" s="294"/>
      <c r="D11" s="294"/>
      <c r="E11" s="294"/>
      <c r="F11" s="294"/>
      <c r="G11" s="294"/>
      <c r="H11" s="294"/>
      <c r="I11" s="294"/>
      <c r="J11" s="294"/>
      <c r="K11" s="294"/>
      <c r="L11" s="294"/>
      <c r="M11" s="294"/>
      <c r="N11" s="294"/>
      <c r="O11" s="294"/>
      <c r="P11" s="294"/>
      <c r="Q11" s="294"/>
      <c r="R11" s="294"/>
      <c r="S11" s="294"/>
      <c r="T11" s="294"/>
      <c r="U11" s="294"/>
      <c r="V11" s="294"/>
      <c r="W11" s="294"/>
      <c r="X11" s="294"/>
      <c r="Y11" s="294"/>
      <c r="Z11" s="294"/>
      <c r="AA11" s="294"/>
      <c r="AB11" s="294"/>
    </row>
    <row r="12">
      <c r="A12" s="294"/>
      <c r="B12" s="294"/>
      <c r="C12" s="294"/>
      <c r="D12" s="294"/>
      <c r="E12" s="294"/>
      <c r="F12" s="294"/>
      <c r="G12" s="294"/>
      <c r="H12" s="294"/>
      <c r="I12" s="294"/>
      <c r="J12" s="294"/>
      <c r="K12" s="294"/>
      <c r="L12" s="294"/>
      <c r="M12" s="294"/>
      <c r="N12" s="294"/>
      <c r="O12" s="294"/>
      <c r="P12" s="294"/>
      <c r="Q12" s="294"/>
      <c r="R12" s="294"/>
      <c r="S12" s="294"/>
      <c r="T12" s="294"/>
      <c r="U12" s="294"/>
      <c r="V12" s="294"/>
      <c r="W12" s="294"/>
      <c r="X12" s="294"/>
      <c r="Y12" s="294"/>
      <c r="Z12" s="294"/>
      <c r="AA12" s="294"/>
      <c r="AB12" s="294"/>
    </row>
    <row r="13">
      <c r="A13" s="294"/>
      <c r="B13" s="294"/>
      <c r="C13" s="294"/>
      <c r="D13" s="294"/>
      <c r="E13" s="294"/>
      <c r="F13" s="294"/>
      <c r="G13" s="294"/>
      <c r="H13" s="294"/>
      <c r="I13" s="294"/>
      <c r="J13" s="294"/>
      <c r="K13" s="294"/>
      <c r="L13" s="294"/>
      <c r="M13" s="294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  <c r="Y13" s="294"/>
      <c r="Z13" s="294"/>
      <c r="AA13" s="294"/>
      <c r="AB13" s="294"/>
    </row>
    <row r="14">
      <c r="A14" s="294"/>
      <c r="B14" s="294"/>
      <c r="C14" s="294"/>
      <c r="D14" s="294"/>
      <c r="E14" s="294"/>
      <c r="F14" s="294"/>
      <c r="G14" s="294"/>
      <c r="H14" s="294"/>
      <c r="I14" s="294"/>
      <c r="J14" s="294"/>
      <c r="K14" s="294"/>
      <c r="L14" s="294"/>
      <c r="M14" s="294"/>
      <c r="N14" s="294"/>
      <c r="O14" s="294"/>
      <c r="P14" s="294"/>
      <c r="Q14" s="294"/>
      <c r="R14" s="294"/>
      <c r="S14" s="294"/>
      <c r="T14" s="294"/>
      <c r="U14" s="294"/>
      <c r="V14" s="294"/>
      <c r="W14" s="294"/>
      <c r="X14" s="294"/>
      <c r="Y14" s="294"/>
      <c r="Z14" s="294"/>
      <c r="AA14" s="294"/>
      <c r="AB14" s="294"/>
    </row>
    <row r="15">
      <c r="A15" s="294"/>
      <c r="B15" s="294"/>
      <c r="C15" s="294"/>
      <c r="D15" s="294"/>
      <c r="E15" s="294"/>
      <c r="F15" s="294"/>
      <c r="G15" s="294"/>
      <c r="H15" s="294"/>
      <c r="I15" s="294"/>
      <c r="J15" s="294"/>
      <c r="K15" s="294"/>
      <c r="L15" s="294"/>
      <c r="M15" s="294"/>
      <c r="N15" s="294"/>
      <c r="O15" s="294"/>
      <c r="P15" s="294"/>
      <c r="Q15" s="294"/>
      <c r="R15" s="294"/>
      <c r="S15" s="294"/>
      <c r="T15" s="294"/>
      <c r="U15" s="294"/>
      <c r="V15" s="294"/>
      <c r="W15" s="294"/>
      <c r="X15" s="294"/>
      <c r="Y15" s="294"/>
      <c r="Z15" s="294"/>
      <c r="AA15" s="294"/>
      <c r="AB15" s="294"/>
    </row>
    <row r="16">
      <c r="A16" s="294"/>
      <c r="B16" s="294"/>
      <c r="C16" s="294"/>
      <c r="D16" s="294"/>
      <c r="E16" s="294"/>
      <c r="F16" s="294"/>
      <c r="G16" s="294"/>
      <c r="H16" s="294"/>
      <c r="I16" s="294"/>
      <c r="J16" s="294"/>
      <c r="K16" s="294"/>
      <c r="L16" s="294"/>
      <c r="M16" s="294"/>
      <c r="N16" s="294"/>
      <c r="O16" s="294"/>
      <c r="P16" s="294"/>
      <c r="Q16" s="294"/>
      <c r="R16" s="294"/>
      <c r="S16" s="294"/>
      <c r="T16" s="294"/>
      <c r="U16" s="294"/>
      <c r="V16" s="294"/>
      <c r="W16" s="294"/>
      <c r="X16" s="294"/>
      <c r="Y16" s="294"/>
      <c r="Z16" s="294"/>
      <c r="AA16" s="294"/>
      <c r="AB16" s="294"/>
    </row>
    <row r="17">
      <c r="A17" s="294"/>
      <c r="B17" s="294"/>
      <c r="C17" s="294"/>
      <c r="D17" s="294"/>
      <c r="E17" s="294"/>
      <c r="F17" s="294"/>
      <c r="G17" s="294"/>
      <c r="H17" s="294"/>
      <c r="I17" s="294"/>
      <c r="J17" s="294"/>
      <c r="K17" s="294"/>
      <c r="L17" s="294"/>
      <c r="M17" s="294"/>
      <c r="N17" s="294"/>
      <c r="O17" s="294"/>
      <c r="P17" s="294"/>
      <c r="Q17" s="294"/>
      <c r="R17" s="294"/>
      <c r="S17" s="294"/>
      <c r="T17" s="294"/>
      <c r="U17" s="294"/>
      <c r="V17" s="294"/>
      <c r="W17" s="294"/>
      <c r="X17" s="294"/>
      <c r="Y17" s="294"/>
      <c r="Z17" s="294"/>
      <c r="AA17" s="294"/>
      <c r="AB17" s="294"/>
    </row>
    <row r="18">
      <c r="A18" s="294"/>
      <c r="B18" s="294"/>
      <c r="C18" s="294"/>
      <c r="D18" s="294"/>
      <c r="E18" s="294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294"/>
      <c r="Q18" s="294"/>
      <c r="R18" s="294"/>
      <c r="S18" s="294"/>
      <c r="T18" s="294"/>
      <c r="U18" s="294"/>
      <c r="V18" s="294"/>
      <c r="W18" s="294"/>
      <c r="X18" s="294"/>
      <c r="Y18" s="294"/>
      <c r="Z18" s="294"/>
      <c r="AA18" s="294"/>
      <c r="AB18" s="294"/>
    </row>
    <row r="19">
      <c r="A19" s="294"/>
      <c r="B19" s="294"/>
      <c r="C19" s="294"/>
      <c r="D19" s="294"/>
      <c r="E19" s="294"/>
      <c r="F19" s="294"/>
      <c r="G19" s="294"/>
      <c r="H19" s="294"/>
      <c r="I19" s="294"/>
      <c r="J19" s="294"/>
      <c r="K19" s="294"/>
      <c r="L19" s="294"/>
      <c r="M19" s="294"/>
      <c r="N19" s="294"/>
      <c r="O19" s="294"/>
      <c r="P19" s="294"/>
      <c r="Q19" s="294"/>
      <c r="R19" s="294"/>
      <c r="S19" s="294"/>
      <c r="T19" s="294"/>
      <c r="U19" s="294"/>
      <c r="V19" s="294"/>
      <c r="W19" s="294"/>
      <c r="X19" s="294"/>
      <c r="Y19" s="294"/>
      <c r="Z19" s="294"/>
      <c r="AA19" s="294"/>
      <c r="AB19" s="294"/>
    </row>
    <row r="20">
      <c r="A20" s="294"/>
      <c r="B20" s="294"/>
      <c r="C20" s="294"/>
      <c r="D20" s="294"/>
      <c r="E20" s="294"/>
      <c r="F20" s="294"/>
      <c r="G20" s="294"/>
      <c r="H20" s="294"/>
      <c r="I20" s="294"/>
      <c r="J20" s="294"/>
      <c r="K20" s="294"/>
      <c r="L20" s="294"/>
      <c r="M20" s="294"/>
      <c r="N20" s="294"/>
      <c r="O20" s="294"/>
      <c r="P20" s="294"/>
      <c r="Q20" s="294"/>
      <c r="R20" s="294"/>
      <c r="S20" s="294"/>
      <c r="T20" s="294"/>
      <c r="U20" s="294"/>
      <c r="V20" s="294"/>
      <c r="W20" s="294"/>
      <c r="X20" s="294"/>
      <c r="Y20" s="294"/>
      <c r="Z20" s="294"/>
      <c r="AA20" s="294"/>
      <c r="AB20" s="294"/>
    </row>
    <row r="21">
      <c r="A21" s="294"/>
      <c r="B21" s="294"/>
      <c r="C21" s="294"/>
      <c r="D21" s="294"/>
      <c r="E21" s="294"/>
      <c r="F21" s="294"/>
      <c r="G21" s="294"/>
      <c r="H21" s="294"/>
      <c r="I21" s="294"/>
      <c r="J21" s="294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  <c r="Z21" s="294"/>
      <c r="AA21" s="294"/>
      <c r="AB21" s="294"/>
    </row>
    <row r="22">
      <c r="A22" s="294"/>
      <c r="B22" s="294"/>
      <c r="C22" s="294"/>
      <c r="D22" s="294"/>
      <c r="E22" s="294"/>
      <c r="F22" s="294"/>
      <c r="G22" s="294"/>
      <c r="H22" s="294"/>
      <c r="I22" s="294"/>
      <c r="J22" s="294"/>
      <c r="K22" s="294"/>
      <c r="L22" s="294"/>
      <c r="M22" s="294"/>
      <c r="N22" s="294"/>
      <c r="O22" s="294"/>
      <c r="P22" s="294"/>
      <c r="Q22" s="294"/>
      <c r="R22" s="294"/>
      <c r="S22" s="294"/>
      <c r="T22" s="294"/>
      <c r="U22" s="294"/>
      <c r="V22" s="294"/>
      <c r="W22" s="294"/>
      <c r="X22" s="294"/>
      <c r="Y22" s="294"/>
      <c r="Z22" s="294"/>
      <c r="AA22" s="294"/>
      <c r="AB22" s="294"/>
    </row>
    <row r="23">
      <c r="A23" s="294"/>
      <c r="B23" s="294"/>
      <c r="C23" s="294"/>
      <c r="D23" s="294"/>
      <c r="E23" s="294"/>
      <c r="F23" s="294"/>
      <c r="G23" s="294"/>
      <c r="H23" s="294"/>
      <c r="I23" s="294"/>
      <c r="J23" s="294"/>
      <c r="K23" s="294"/>
      <c r="L23" s="294"/>
      <c r="M23" s="294"/>
      <c r="N23" s="294"/>
      <c r="O23" s="294"/>
      <c r="P23" s="294"/>
      <c r="Q23" s="294"/>
      <c r="R23" s="294"/>
      <c r="S23" s="294"/>
      <c r="T23" s="294"/>
      <c r="U23" s="294"/>
      <c r="V23" s="294"/>
      <c r="W23" s="294"/>
      <c r="X23" s="294"/>
      <c r="Y23" s="294"/>
      <c r="Z23" s="294"/>
      <c r="AA23" s="294"/>
      <c r="AB23" s="294"/>
    </row>
    <row r="24">
      <c r="A24" s="294"/>
      <c r="B24" s="294"/>
      <c r="C24" s="294"/>
      <c r="D24" s="294"/>
      <c r="E24" s="294"/>
      <c r="F24" s="294"/>
      <c r="G24" s="294"/>
      <c r="H24" s="294"/>
      <c r="I24" s="294"/>
      <c r="J24" s="294"/>
      <c r="K24" s="294"/>
      <c r="L24" s="294"/>
      <c r="M24" s="294"/>
      <c r="N24" s="294"/>
      <c r="O24" s="294"/>
      <c r="P24" s="294"/>
      <c r="Q24" s="294"/>
      <c r="R24" s="294"/>
      <c r="S24" s="294"/>
      <c r="T24" s="294"/>
      <c r="U24" s="294"/>
      <c r="V24" s="294"/>
      <c r="W24" s="294"/>
      <c r="X24" s="294"/>
      <c r="Y24" s="294"/>
      <c r="Z24" s="294"/>
      <c r="AA24" s="294"/>
      <c r="AB24" s="294"/>
    </row>
    <row r="25">
      <c r="A25" s="294"/>
      <c r="B25" s="294"/>
      <c r="C25" s="294"/>
      <c r="D25" s="294"/>
      <c r="E25" s="294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294"/>
      <c r="S25" s="294"/>
      <c r="T25" s="294"/>
      <c r="U25" s="294"/>
      <c r="V25" s="294"/>
      <c r="W25" s="294"/>
      <c r="X25" s="294"/>
      <c r="Y25" s="294"/>
      <c r="Z25" s="294"/>
      <c r="AA25" s="294"/>
      <c r="AB25" s="294"/>
    </row>
    <row r="26">
      <c r="A26" s="294"/>
      <c r="B26" s="294"/>
      <c r="C26" s="294"/>
      <c r="D26" s="294"/>
      <c r="E26" s="294"/>
      <c r="F26" s="294"/>
      <c r="G26" s="294"/>
      <c r="H26" s="294"/>
      <c r="I26" s="294"/>
      <c r="J26" s="294"/>
      <c r="K26" s="294"/>
      <c r="L26" s="294"/>
      <c r="M26" s="294"/>
      <c r="N26" s="294"/>
      <c r="O26" s="294"/>
      <c r="P26" s="294"/>
      <c r="Q26" s="294"/>
      <c r="R26" s="294"/>
      <c r="S26" s="294"/>
      <c r="T26" s="294"/>
      <c r="U26" s="294"/>
      <c r="V26" s="294"/>
      <c r="W26" s="294"/>
      <c r="X26" s="294"/>
      <c r="Y26" s="294"/>
      <c r="Z26" s="294"/>
      <c r="AA26" s="294"/>
      <c r="AB26" s="294"/>
    </row>
    <row r="27">
      <c r="A27" s="294"/>
      <c r="B27" s="294"/>
      <c r="C27" s="294"/>
      <c r="D27" s="294"/>
      <c r="E27" s="294"/>
      <c r="F27" s="294"/>
      <c r="G27" s="294"/>
      <c r="H27" s="294"/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Y27" s="294"/>
      <c r="Z27" s="294"/>
      <c r="AA27" s="294"/>
      <c r="AB27" s="294"/>
    </row>
    <row r="28">
      <c r="A28" s="294"/>
      <c r="B28" s="294"/>
      <c r="C28" s="294"/>
      <c r="D28" s="294"/>
      <c r="E28" s="294"/>
      <c r="F28" s="294"/>
      <c r="G28" s="294"/>
      <c r="H28" s="294"/>
      <c r="I28" s="294"/>
      <c r="J28" s="294"/>
      <c r="K28" s="294"/>
      <c r="L28" s="294"/>
      <c r="M28" s="294"/>
      <c r="N28" s="294"/>
      <c r="O28" s="294"/>
      <c r="P28" s="294"/>
      <c r="Q28" s="294"/>
      <c r="R28" s="294"/>
      <c r="S28" s="294"/>
      <c r="T28" s="294"/>
      <c r="U28" s="294"/>
      <c r="V28" s="294"/>
      <c r="W28" s="294"/>
      <c r="X28" s="294"/>
      <c r="Y28" s="294"/>
      <c r="Z28" s="294"/>
      <c r="AA28" s="294"/>
      <c r="AB28" s="294"/>
    </row>
    <row r="29">
      <c r="A29" s="294"/>
      <c r="B29" s="294"/>
      <c r="C29" s="294"/>
      <c r="D29" s="294"/>
      <c r="E29" s="294"/>
      <c r="F29" s="294"/>
      <c r="G29" s="294"/>
      <c r="H29" s="294"/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Y29" s="294"/>
      <c r="Z29" s="294"/>
      <c r="AA29" s="294"/>
      <c r="AB29" s="294"/>
    </row>
    <row r="30">
      <c r="A30" s="294"/>
      <c r="B30" s="294"/>
      <c r="C30" s="294"/>
      <c r="D30" s="294"/>
      <c r="E30" s="294"/>
      <c r="F30" s="294"/>
      <c r="G30" s="294"/>
      <c r="H30" s="294"/>
      <c r="I30" s="294"/>
      <c r="J30" s="294"/>
      <c r="K30" s="294"/>
      <c r="L30" s="294"/>
      <c r="M30" s="294"/>
      <c r="N30" s="294"/>
      <c r="O30" s="294"/>
      <c r="P30" s="294"/>
      <c r="Q30" s="294"/>
      <c r="R30" s="294"/>
      <c r="S30" s="294"/>
      <c r="T30" s="294"/>
      <c r="U30" s="294"/>
      <c r="V30" s="294"/>
      <c r="W30" s="294"/>
      <c r="X30" s="294"/>
      <c r="Y30" s="294"/>
      <c r="Z30" s="294"/>
      <c r="AA30" s="294"/>
      <c r="AB30" s="294"/>
    </row>
    <row r="31">
      <c r="A31" s="294"/>
      <c r="B31" s="294"/>
      <c r="C31" s="294"/>
      <c r="D31" s="294"/>
      <c r="E31" s="294"/>
      <c r="F31" s="294"/>
      <c r="G31" s="294"/>
      <c r="H31" s="294"/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Y31" s="294"/>
      <c r="Z31" s="294"/>
      <c r="AA31" s="294"/>
      <c r="AB31" s="294"/>
    </row>
    <row r="32">
      <c r="A32" s="294"/>
      <c r="B32" s="294"/>
      <c r="C32" s="294"/>
      <c r="D32" s="294"/>
      <c r="E32" s="294"/>
      <c r="F32" s="294"/>
      <c r="G32" s="294"/>
      <c r="H32" s="294"/>
      <c r="I32" s="294"/>
      <c r="J32" s="294"/>
      <c r="K32" s="294"/>
      <c r="L32" s="294"/>
      <c r="M32" s="294"/>
      <c r="N32" s="294"/>
      <c r="O32" s="294"/>
      <c r="P32" s="294"/>
      <c r="Q32" s="294"/>
      <c r="R32" s="294"/>
      <c r="S32" s="294"/>
      <c r="T32" s="294"/>
      <c r="U32" s="294"/>
      <c r="V32" s="294"/>
      <c r="W32" s="294"/>
      <c r="X32" s="294"/>
      <c r="Y32" s="294"/>
      <c r="Z32" s="294"/>
      <c r="AA32" s="294"/>
      <c r="AB32" s="294"/>
    </row>
    <row r="33">
      <c r="A33" s="294"/>
      <c r="B33" s="294"/>
      <c r="C33" s="294"/>
      <c r="D33" s="294"/>
      <c r="E33" s="294"/>
      <c r="F33" s="294"/>
      <c r="G33" s="294"/>
      <c r="H33" s="294"/>
      <c r="I33" s="294"/>
      <c r="J33" s="294"/>
      <c r="K33" s="294"/>
      <c r="L33" s="294"/>
      <c r="M33" s="294"/>
      <c r="N33" s="294"/>
      <c r="O33" s="294"/>
      <c r="P33" s="294"/>
      <c r="Q33" s="294"/>
      <c r="R33" s="294"/>
      <c r="S33" s="294"/>
      <c r="T33" s="294"/>
      <c r="U33" s="294"/>
      <c r="V33" s="294"/>
      <c r="W33" s="294"/>
      <c r="X33" s="294"/>
      <c r="Y33" s="294"/>
      <c r="Z33" s="294"/>
      <c r="AA33" s="294"/>
      <c r="AB33" s="294"/>
    </row>
    <row r="34">
      <c r="A34" s="294"/>
      <c r="B34" s="294"/>
      <c r="C34" s="294"/>
      <c r="D34" s="294"/>
      <c r="E34" s="294"/>
      <c r="F34" s="294"/>
      <c r="G34" s="294"/>
      <c r="H34" s="294"/>
      <c r="I34" s="294"/>
      <c r="J34" s="294"/>
      <c r="K34" s="294"/>
      <c r="L34" s="294"/>
      <c r="M34" s="294"/>
      <c r="N34" s="294"/>
      <c r="O34" s="294"/>
      <c r="P34" s="294"/>
      <c r="Q34" s="294"/>
      <c r="R34" s="294"/>
      <c r="S34" s="294"/>
      <c r="T34" s="294"/>
      <c r="U34" s="294"/>
      <c r="V34" s="294"/>
      <c r="W34" s="294"/>
      <c r="X34" s="294"/>
      <c r="Y34" s="294"/>
      <c r="Z34" s="294"/>
      <c r="AA34" s="294"/>
      <c r="AB34" s="294"/>
    </row>
    <row r="35">
      <c r="A35" s="294"/>
      <c r="B35" s="294"/>
      <c r="C35" s="294"/>
      <c r="D35" s="294"/>
      <c r="E35" s="294"/>
      <c r="F35" s="294"/>
      <c r="G35" s="294"/>
      <c r="H35" s="294"/>
      <c r="I35" s="294"/>
      <c r="J35" s="294"/>
      <c r="K35" s="294"/>
      <c r="L35" s="294"/>
      <c r="M35" s="294"/>
      <c r="N35" s="294"/>
      <c r="O35" s="294"/>
      <c r="P35" s="294"/>
      <c r="Q35" s="294"/>
      <c r="R35" s="294"/>
      <c r="S35" s="294"/>
      <c r="T35" s="294"/>
      <c r="U35" s="294"/>
      <c r="V35" s="294"/>
      <c r="W35" s="294"/>
      <c r="X35" s="294"/>
      <c r="Y35" s="294"/>
      <c r="Z35" s="294"/>
      <c r="AA35" s="294"/>
      <c r="AB35" s="294"/>
    </row>
    <row r="36">
      <c r="A36" s="294"/>
      <c r="B36" s="294"/>
      <c r="C36" s="294"/>
      <c r="D36" s="294"/>
      <c r="E36" s="294"/>
      <c r="F36" s="294"/>
      <c r="G36" s="294"/>
      <c r="H36" s="294"/>
      <c r="I36" s="294"/>
      <c r="J36" s="294"/>
      <c r="K36" s="294"/>
      <c r="L36" s="294"/>
      <c r="M36" s="294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  <c r="Y36" s="294"/>
      <c r="Z36" s="294"/>
      <c r="AA36" s="294"/>
      <c r="AB36" s="294"/>
    </row>
    <row r="37">
      <c r="A37" s="294"/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294"/>
      <c r="M37" s="294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  <c r="Y37" s="294"/>
      <c r="Z37" s="294"/>
      <c r="AA37" s="294"/>
      <c r="AB37" s="294"/>
    </row>
    <row r="38">
      <c r="A38" s="294"/>
      <c r="B38" s="294"/>
      <c r="C38" s="294"/>
      <c r="D38" s="294"/>
      <c r="E38" s="294"/>
      <c r="F38" s="294"/>
      <c r="G38" s="294"/>
      <c r="H38" s="294"/>
      <c r="I38" s="294"/>
      <c r="J38" s="294"/>
      <c r="K38" s="294"/>
      <c r="L38" s="294"/>
      <c r="M38" s="294"/>
      <c r="N38" s="294"/>
      <c r="O38" s="294"/>
      <c r="P38" s="294"/>
      <c r="Q38" s="294"/>
      <c r="R38" s="294"/>
      <c r="S38" s="294"/>
      <c r="T38" s="294"/>
      <c r="U38" s="294"/>
      <c r="V38" s="294"/>
      <c r="W38" s="294"/>
      <c r="X38" s="294"/>
      <c r="Y38" s="294"/>
      <c r="Z38" s="294"/>
      <c r="AA38" s="294"/>
      <c r="AB38" s="294"/>
    </row>
    <row r="39">
      <c r="A39" s="294"/>
      <c r="B39" s="294"/>
      <c r="C39" s="294"/>
      <c r="D39" s="294"/>
      <c r="E39" s="294"/>
      <c r="F39" s="294"/>
      <c r="G39" s="294"/>
      <c r="H39" s="294"/>
      <c r="I39" s="294"/>
      <c r="J39" s="294"/>
      <c r="K39" s="294"/>
      <c r="L39" s="294"/>
      <c r="M39" s="294"/>
      <c r="N39" s="294"/>
      <c r="O39" s="294"/>
      <c r="P39" s="294"/>
      <c r="Q39" s="294"/>
      <c r="R39" s="294"/>
      <c r="S39" s="294"/>
      <c r="T39" s="294"/>
      <c r="U39" s="294"/>
      <c r="V39" s="294"/>
      <c r="W39" s="294"/>
      <c r="X39" s="294"/>
      <c r="Y39" s="294"/>
      <c r="Z39" s="294"/>
      <c r="AA39" s="294"/>
      <c r="AB39" s="294"/>
    </row>
    <row r="40">
      <c r="A40" s="294"/>
      <c r="B40" s="294"/>
      <c r="C40" s="294"/>
      <c r="D40" s="294"/>
      <c r="E40" s="294"/>
      <c r="F40" s="294"/>
      <c r="G40" s="294"/>
      <c r="H40" s="294"/>
      <c r="I40" s="294"/>
      <c r="J40" s="294"/>
      <c r="K40" s="294"/>
      <c r="L40" s="294"/>
      <c r="M40" s="294"/>
      <c r="N40" s="294"/>
      <c r="O40" s="294"/>
      <c r="P40" s="294"/>
      <c r="Q40" s="294"/>
      <c r="R40" s="294"/>
      <c r="S40" s="294"/>
      <c r="T40" s="294"/>
      <c r="U40" s="294"/>
      <c r="V40" s="294"/>
      <c r="W40" s="294"/>
      <c r="X40" s="294"/>
      <c r="Y40" s="294"/>
      <c r="Z40" s="294"/>
      <c r="AA40" s="294"/>
      <c r="AB40" s="294"/>
    </row>
    <row r="41">
      <c r="A41" s="294"/>
      <c r="B41" s="294"/>
      <c r="C41" s="294"/>
      <c r="D41" s="294"/>
      <c r="E41" s="294"/>
      <c r="F41" s="294"/>
      <c r="G41" s="294"/>
      <c r="H41" s="294"/>
      <c r="I41" s="294"/>
      <c r="J41" s="294"/>
      <c r="K41" s="294"/>
      <c r="L41" s="294"/>
      <c r="M41" s="294"/>
      <c r="N41" s="294"/>
      <c r="O41" s="294"/>
      <c r="P41" s="294"/>
      <c r="Q41" s="294"/>
      <c r="R41" s="294"/>
      <c r="S41" s="294"/>
      <c r="T41" s="294"/>
      <c r="U41" s="294"/>
      <c r="V41" s="294"/>
      <c r="W41" s="294"/>
      <c r="X41" s="294"/>
      <c r="Y41" s="294"/>
      <c r="Z41" s="294"/>
      <c r="AA41" s="294"/>
      <c r="AB41" s="294"/>
    </row>
    <row r="42">
      <c r="A42" s="294"/>
      <c r="B42" s="294"/>
      <c r="C42" s="294"/>
      <c r="D42" s="294"/>
      <c r="E42" s="294"/>
      <c r="F42" s="294"/>
      <c r="G42" s="294"/>
      <c r="H42" s="294"/>
      <c r="I42" s="294"/>
      <c r="J42" s="294"/>
      <c r="K42" s="294"/>
      <c r="L42" s="294"/>
      <c r="M42" s="294"/>
      <c r="N42" s="294"/>
      <c r="O42" s="294"/>
      <c r="P42" s="294"/>
      <c r="Q42" s="294"/>
      <c r="R42" s="294"/>
      <c r="S42" s="294"/>
      <c r="T42" s="294"/>
      <c r="U42" s="294"/>
      <c r="V42" s="294"/>
      <c r="W42" s="294"/>
      <c r="X42" s="294"/>
      <c r="Y42" s="294"/>
      <c r="Z42" s="294"/>
      <c r="AA42" s="294"/>
      <c r="AB42" s="294"/>
    </row>
    <row r="43">
      <c r="A43" s="294"/>
      <c r="B43" s="294"/>
      <c r="C43" s="294"/>
      <c r="D43" s="294"/>
      <c r="E43" s="294"/>
      <c r="F43" s="294"/>
      <c r="G43" s="294"/>
      <c r="H43" s="294"/>
      <c r="I43" s="294"/>
      <c r="J43" s="294"/>
      <c r="K43" s="294"/>
      <c r="L43" s="294"/>
      <c r="M43" s="294"/>
      <c r="N43" s="294"/>
      <c r="O43" s="294"/>
      <c r="P43" s="294"/>
      <c r="Q43" s="294"/>
      <c r="R43" s="294"/>
      <c r="S43" s="294"/>
      <c r="T43" s="294"/>
      <c r="U43" s="294"/>
      <c r="V43" s="294"/>
      <c r="W43" s="294"/>
      <c r="X43" s="294"/>
      <c r="Y43" s="294"/>
      <c r="Z43" s="294"/>
      <c r="AA43" s="294"/>
      <c r="AB43" s="294"/>
    </row>
    <row r="44">
      <c r="A44" s="294"/>
      <c r="B44" s="294"/>
      <c r="C44" s="294"/>
      <c r="D44" s="294"/>
      <c r="E44" s="294"/>
      <c r="F44" s="294"/>
      <c r="G44" s="294"/>
      <c r="H44" s="294"/>
      <c r="I44" s="294"/>
      <c r="J44" s="294"/>
      <c r="K44" s="294"/>
      <c r="L44" s="294"/>
      <c r="M44" s="294"/>
      <c r="N44" s="294"/>
      <c r="O44" s="294"/>
      <c r="P44" s="294"/>
      <c r="Q44" s="294"/>
      <c r="R44" s="294"/>
      <c r="S44" s="294"/>
      <c r="T44" s="294"/>
      <c r="U44" s="294"/>
      <c r="V44" s="294"/>
      <c r="W44" s="294"/>
      <c r="X44" s="294"/>
      <c r="Y44" s="294"/>
      <c r="Z44" s="294"/>
      <c r="AA44" s="294"/>
      <c r="AB44" s="294"/>
    </row>
    <row r="45">
      <c r="A45" s="294"/>
      <c r="B45" s="294"/>
      <c r="C45" s="294"/>
      <c r="D45" s="294"/>
      <c r="E45" s="294"/>
      <c r="F45" s="294"/>
      <c r="G45" s="294"/>
      <c r="H45" s="294"/>
      <c r="I45" s="294"/>
      <c r="J45" s="294"/>
      <c r="K45" s="294"/>
      <c r="L45" s="294"/>
      <c r="M45" s="294"/>
      <c r="N45" s="294"/>
      <c r="O45" s="294"/>
      <c r="P45" s="294"/>
      <c r="Q45" s="294"/>
      <c r="R45" s="294"/>
      <c r="S45" s="294"/>
      <c r="T45" s="294"/>
      <c r="U45" s="294"/>
      <c r="V45" s="294"/>
      <c r="W45" s="294"/>
      <c r="X45" s="294"/>
      <c r="Y45" s="294"/>
      <c r="Z45" s="294"/>
      <c r="AA45" s="294"/>
      <c r="AB45" s="294"/>
    </row>
    <row r="46">
      <c r="A46" s="294"/>
      <c r="B46" s="294"/>
      <c r="C46" s="294"/>
      <c r="D46" s="294"/>
      <c r="E46" s="294"/>
      <c r="F46" s="294"/>
      <c r="G46" s="294"/>
      <c r="H46" s="294"/>
      <c r="I46" s="294"/>
      <c r="J46" s="294"/>
      <c r="K46" s="294"/>
      <c r="L46" s="294"/>
      <c r="M46" s="294"/>
      <c r="N46" s="294"/>
      <c r="O46" s="294"/>
      <c r="P46" s="294"/>
      <c r="Q46" s="294"/>
      <c r="R46" s="294"/>
      <c r="S46" s="294"/>
      <c r="T46" s="294"/>
      <c r="U46" s="294"/>
      <c r="V46" s="294"/>
      <c r="W46" s="294"/>
      <c r="X46" s="294"/>
      <c r="Y46" s="294"/>
      <c r="Z46" s="294"/>
      <c r="AA46" s="294"/>
      <c r="AB46" s="294"/>
    </row>
    <row r="47">
      <c r="A47" s="294"/>
      <c r="B47" s="294"/>
      <c r="C47" s="294"/>
      <c r="D47" s="294"/>
      <c r="E47" s="294"/>
      <c r="F47" s="294"/>
      <c r="G47" s="294"/>
      <c r="H47" s="294"/>
      <c r="I47" s="294"/>
      <c r="J47" s="294"/>
      <c r="K47" s="294"/>
      <c r="L47" s="294"/>
      <c r="M47" s="294"/>
      <c r="N47" s="294"/>
      <c r="O47" s="294"/>
      <c r="P47" s="294"/>
      <c r="Q47" s="294"/>
      <c r="R47" s="294"/>
      <c r="S47" s="294"/>
      <c r="T47" s="294"/>
      <c r="U47" s="294"/>
      <c r="V47" s="294"/>
      <c r="W47" s="294"/>
      <c r="X47" s="294"/>
      <c r="Y47" s="294"/>
      <c r="Z47" s="294"/>
      <c r="AA47" s="294"/>
      <c r="AB47" s="294"/>
    </row>
    <row r="48">
      <c r="A48" s="294"/>
      <c r="B48" s="294"/>
      <c r="C48" s="294"/>
      <c r="D48" s="294"/>
      <c r="E48" s="294"/>
      <c r="F48" s="294"/>
      <c r="G48" s="294"/>
      <c r="H48" s="294"/>
      <c r="I48" s="294"/>
      <c r="J48" s="294"/>
      <c r="K48" s="294"/>
      <c r="L48" s="294"/>
      <c r="M48" s="294"/>
      <c r="N48" s="294"/>
      <c r="O48" s="294"/>
      <c r="P48" s="294"/>
      <c r="Q48" s="294"/>
      <c r="R48" s="294"/>
      <c r="S48" s="294"/>
      <c r="T48" s="294"/>
      <c r="U48" s="294"/>
      <c r="V48" s="294"/>
      <c r="W48" s="294"/>
      <c r="X48" s="294"/>
      <c r="Y48" s="294"/>
      <c r="Z48" s="294"/>
      <c r="AA48" s="294"/>
      <c r="AB48" s="294"/>
    </row>
    <row r="49">
      <c r="A49" s="294"/>
      <c r="B49" s="294"/>
      <c r="C49" s="294"/>
      <c r="D49" s="294"/>
      <c r="E49" s="294"/>
      <c r="F49" s="294"/>
      <c r="G49" s="294"/>
      <c r="H49" s="294"/>
      <c r="I49" s="294"/>
      <c r="J49" s="294"/>
      <c r="K49" s="294"/>
      <c r="L49" s="294"/>
      <c r="M49" s="294"/>
      <c r="N49" s="294"/>
      <c r="O49" s="294"/>
      <c r="P49" s="294"/>
      <c r="Q49" s="294"/>
      <c r="R49" s="294"/>
      <c r="S49" s="294"/>
      <c r="T49" s="294"/>
      <c r="U49" s="294"/>
      <c r="V49" s="294"/>
      <c r="W49" s="294"/>
      <c r="X49" s="294"/>
      <c r="Y49" s="294"/>
      <c r="Z49" s="294"/>
      <c r="AA49" s="294"/>
      <c r="AB49" s="294"/>
    </row>
    <row r="50">
      <c r="A50" s="294"/>
      <c r="B50" s="294"/>
      <c r="C50" s="294"/>
      <c r="D50" s="294"/>
      <c r="E50" s="294"/>
      <c r="F50" s="294"/>
      <c r="G50" s="294"/>
      <c r="H50" s="294"/>
      <c r="I50" s="294"/>
      <c r="J50" s="294"/>
      <c r="K50" s="294"/>
      <c r="L50" s="294"/>
      <c r="M50" s="294"/>
      <c r="N50" s="294"/>
      <c r="O50" s="294"/>
      <c r="P50" s="294"/>
      <c r="Q50" s="294"/>
      <c r="R50" s="294"/>
      <c r="S50" s="294"/>
      <c r="T50" s="294"/>
      <c r="U50" s="294"/>
      <c r="V50" s="294"/>
      <c r="W50" s="294"/>
      <c r="X50" s="294"/>
      <c r="Y50" s="294"/>
      <c r="Z50" s="294"/>
      <c r="AA50" s="294"/>
      <c r="AB50" s="294"/>
    </row>
    <row r="51">
      <c r="A51" s="294"/>
      <c r="B51" s="294"/>
      <c r="C51" s="294"/>
      <c r="D51" s="294"/>
      <c r="E51" s="294"/>
      <c r="F51" s="294"/>
      <c r="G51" s="294"/>
      <c r="H51" s="294"/>
      <c r="I51" s="294"/>
      <c r="J51" s="294"/>
      <c r="K51" s="294"/>
      <c r="L51" s="294"/>
      <c r="M51" s="294"/>
      <c r="N51" s="294"/>
      <c r="O51" s="294"/>
      <c r="P51" s="294"/>
      <c r="Q51" s="294"/>
      <c r="R51" s="294"/>
      <c r="S51" s="294"/>
      <c r="T51" s="294"/>
      <c r="U51" s="294"/>
      <c r="V51" s="294"/>
      <c r="W51" s="294"/>
      <c r="X51" s="294"/>
      <c r="Y51" s="294"/>
      <c r="Z51" s="294"/>
      <c r="AA51" s="294"/>
      <c r="AB51" s="294"/>
    </row>
    <row r="52">
      <c r="A52" s="294"/>
      <c r="B52" s="294"/>
      <c r="C52" s="294"/>
      <c r="D52" s="294"/>
      <c r="E52" s="294"/>
      <c r="F52" s="294"/>
      <c r="G52" s="294"/>
      <c r="H52" s="294"/>
      <c r="I52" s="294"/>
      <c r="J52" s="294"/>
      <c r="K52" s="294"/>
      <c r="L52" s="294"/>
      <c r="M52" s="294"/>
      <c r="N52" s="294"/>
      <c r="O52" s="294"/>
      <c r="P52" s="294"/>
      <c r="Q52" s="294"/>
      <c r="R52" s="294"/>
      <c r="S52" s="294"/>
      <c r="T52" s="294"/>
      <c r="U52" s="294"/>
      <c r="V52" s="294"/>
      <c r="W52" s="294"/>
      <c r="X52" s="294"/>
      <c r="Y52" s="294"/>
      <c r="Z52" s="294"/>
      <c r="AA52" s="294"/>
      <c r="AB52" s="294"/>
    </row>
    <row r="53">
      <c r="A53" s="294"/>
      <c r="B53" s="294"/>
      <c r="C53" s="294"/>
      <c r="D53" s="294"/>
      <c r="E53" s="294"/>
      <c r="F53" s="294"/>
      <c r="G53" s="294"/>
      <c r="H53" s="294"/>
      <c r="I53" s="294"/>
      <c r="J53" s="294"/>
      <c r="K53" s="294"/>
      <c r="L53" s="294"/>
      <c r="M53" s="294"/>
      <c r="N53" s="294"/>
      <c r="O53" s="294"/>
      <c r="P53" s="294"/>
      <c r="Q53" s="294"/>
      <c r="R53" s="294"/>
      <c r="S53" s="294"/>
      <c r="T53" s="294"/>
      <c r="U53" s="294"/>
      <c r="V53" s="294"/>
      <c r="W53" s="294"/>
      <c r="X53" s="294"/>
      <c r="Y53" s="294"/>
      <c r="Z53" s="294"/>
      <c r="AA53" s="294"/>
      <c r="AB53" s="294"/>
    </row>
    <row r="54">
      <c r="A54" s="294"/>
      <c r="B54" s="294"/>
      <c r="C54" s="294"/>
      <c r="D54" s="294"/>
      <c r="E54" s="294"/>
      <c r="F54" s="294"/>
      <c r="G54" s="294"/>
      <c r="H54" s="294"/>
      <c r="I54" s="294"/>
      <c r="J54" s="294"/>
      <c r="K54" s="294"/>
      <c r="L54" s="294"/>
      <c r="M54" s="294"/>
      <c r="N54" s="294"/>
      <c r="O54" s="294"/>
      <c r="P54" s="294"/>
      <c r="Q54" s="294"/>
      <c r="R54" s="294"/>
      <c r="S54" s="294"/>
      <c r="T54" s="294"/>
      <c r="U54" s="294"/>
      <c r="V54" s="294"/>
      <c r="W54" s="294"/>
      <c r="X54" s="294"/>
      <c r="Y54" s="294"/>
      <c r="Z54" s="294"/>
      <c r="AA54" s="294"/>
      <c r="AB54" s="294"/>
    </row>
    <row r="55">
      <c r="A55" s="294"/>
      <c r="B55" s="294"/>
      <c r="C55" s="294"/>
      <c r="D55" s="294"/>
      <c r="E55" s="294"/>
      <c r="F55" s="294"/>
      <c r="G55" s="294"/>
      <c r="H55" s="294"/>
      <c r="I55" s="294"/>
      <c r="J55" s="294"/>
      <c r="K55" s="294"/>
      <c r="L55" s="294"/>
      <c r="M55" s="294"/>
      <c r="N55" s="294"/>
      <c r="O55" s="294"/>
      <c r="P55" s="294"/>
      <c r="Q55" s="294"/>
      <c r="R55" s="294"/>
      <c r="S55" s="294"/>
      <c r="T55" s="294"/>
      <c r="U55" s="294"/>
      <c r="V55" s="294"/>
      <c r="W55" s="294"/>
      <c r="X55" s="294"/>
      <c r="Y55" s="294"/>
      <c r="Z55" s="294"/>
      <c r="AA55" s="294"/>
      <c r="AB55" s="294"/>
    </row>
    <row r="56">
      <c r="A56" s="294"/>
      <c r="B56" s="294"/>
      <c r="C56" s="294"/>
      <c r="D56" s="294"/>
      <c r="E56" s="294"/>
      <c r="F56" s="294"/>
      <c r="G56" s="294"/>
      <c r="H56" s="294"/>
      <c r="I56" s="294"/>
      <c r="J56" s="294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  <c r="AA56" s="294"/>
      <c r="AB56" s="294"/>
    </row>
    <row r="57">
      <c r="A57" s="294"/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  <c r="AA57" s="294"/>
      <c r="AB57" s="294"/>
    </row>
    <row r="58">
      <c r="A58" s="294"/>
      <c r="B58" s="294"/>
      <c r="C58" s="294"/>
      <c r="D58" s="294"/>
      <c r="E58" s="294"/>
      <c r="F58" s="294"/>
      <c r="G58" s="294"/>
      <c r="H58" s="294"/>
      <c r="I58" s="294"/>
      <c r="J58" s="294"/>
      <c r="K58" s="294"/>
      <c r="L58" s="294"/>
      <c r="M58" s="294"/>
      <c r="N58" s="294"/>
      <c r="O58" s="294"/>
      <c r="P58" s="294"/>
      <c r="Q58" s="294"/>
      <c r="R58" s="294"/>
      <c r="S58" s="294"/>
      <c r="T58" s="294"/>
      <c r="U58" s="294"/>
      <c r="V58" s="294"/>
      <c r="W58" s="294"/>
      <c r="X58" s="294"/>
      <c r="Y58" s="294"/>
      <c r="Z58" s="294"/>
      <c r="AA58" s="294"/>
      <c r="AB58" s="294"/>
    </row>
    <row r="59">
      <c r="A59" s="294"/>
      <c r="B59" s="294"/>
      <c r="C59" s="294"/>
      <c r="D59" s="294"/>
      <c r="E59" s="294"/>
      <c r="F59" s="294"/>
      <c r="G59" s="294"/>
      <c r="H59" s="294"/>
      <c r="I59" s="294"/>
      <c r="J59" s="294"/>
      <c r="K59" s="294"/>
      <c r="L59" s="294"/>
      <c r="M59" s="294"/>
      <c r="N59" s="294"/>
      <c r="O59" s="294"/>
      <c r="P59" s="294"/>
      <c r="Q59" s="294"/>
      <c r="R59" s="294"/>
      <c r="S59" s="294"/>
      <c r="T59" s="294"/>
      <c r="U59" s="294"/>
      <c r="V59" s="294"/>
      <c r="W59" s="294"/>
      <c r="X59" s="294"/>
      <c r="Y59" s="294"/>
      <c r="Z59" s="294"/>
      <c r="AA59" s="294"/>
      <c r="AB59" s="294"/>
    </row>
    <row r="60">
      <c r="A60" s="294"/>
      <c r="B60" s="294"/>
      <c r="C60" s="294"/>
      <c r="D60" s="294"/>
      <c r="E60" s="294"/>
      <c r="F60" s="294"/>
      <c r="G60" s="294"/>
      <c r="H60" s="294"/>
      <c r="I60" s="294"/>
      <c r="J60" s="294"/>
      <c r="K60" s="294"/>
      <c r="L60" s="294"/>
      <c r="M60" s="294"/>
      <c r="N60" s="294"/>
      <c r="O60" s="294"/>
      <c r="P60" s="294"/>
      <c r="Q60" s="294"/>
      <c r="R60" s="294"/>
      <c r="S60" s="294"/>
      <c r="T60" s="294"/>
      <c r="U60" s="294"/>
      <c r="V60" s="294"/>
      <c r="W60" s="294"/>
      <c r="X60" s="294"/>
      <c r="Y60" s="294"/>
      <c r="Z60" s="294"/>
      <c r="AA60" s="294"/>
      <c r="AB60" s="294"/>
    </row>
    <row r="61">
      <c r="A61" s="294"/>
      <c r="B61" s="294"/>
      <c r="C61" s="294"/>
      <c r="D61" s="294"/>
      <c r="E61" s="294"/>
      <c r="F61" s="294"/>
      <c r="G61" s="294"/>
      <c r="H61" s="294"/>
      <c r="I61" s="294"/>
      <c r="J61" s="294"/>
      <c r="K61" s="294"/>
      <c r="L61" s="294"/>
      <c r="M61" s="294"/>
      <c r="N61" s="294"/>
      <c r="O61" s="294"/>
      <c r="P61" s="294"/>
      <c r="Q61" s="294"/>
      <c r="R61" s="294"/>
      <c r="S61" s="294"/>
      <c r="T61" s="294"/>
      <c r="U61" s="294"/>
      <c r="V61" s="294"/>
      <c r="W61" s="294"/>
      <c r="X61" s="294"/>
      <c r="Y61" s="294"/>
      <c r="Z61" s="294"/>
      <c r="AA61" s="294"/>
      <c r="AB61" s="294"/>
    </row>
    <row r="62">
      <c r="A62" s="294"/>
      <c r="B62" s="294"/>
      <c r="C62" s="294"/>
      <c r="D62" s="294"/>
      <c r="E62" s="294"/>
      <c r="F62" s="294"/>
      <c r="G62" s="294"/>
      <c r="H62" s="294"/>
      <c r="I62" s="294"/>
      <c r="J62" s="294"/>
      <c r="K62" s="294"/>
      <c r="L62" s="294"/>
      <c r="M62" s="294"/>
      <c r="N62" s="294"/>
      <c r="O62" s="294"/>
      <c r="P62" s="294"/>
      <c r="Q62" s="294"/>
      <c r="R62" s="294"/>
      <c r="S62" s="294"/>
      <c r="T62" s="294"/>
      <c r="U62" s="294"/>
      <c r="V62" s="294"/>
      <c r="W62" s="294"/>
      <c r="X62" s="294"/>
      <c r="Y62" s="294"/>
      <c r="Z62" s="294"/>
      <c r="AA62" s="294"/>
      <c r="AB62" s="294"/>
    </row>
    <row r="63">
      <c r="A63" s="294"/>
      <c r="B63" s="294"/>
      <c r="C63" s="294"/>
      <c r="D63" s="294"/>
      <c r="E63" s="294"/>
      <c r="F63" s="294"/>
      <c r="G63" s="294"/>
      <c r="H63" s="294"/>
      <c r="I63" s="294"/>
      <c r="J63" s="294"/>
      <c r="K63" s="294"/>
      <c r="L63" s="294"/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  <c r="Z63" s="294"/>
      <c r="AA63" s="294"/>
      <c r="AB63" s="294"/>
    </row>
    <row r="64">
      <c r="A64" s="294"/>
      <c r="B64" s="294"/>
      <c r="C64" s="294"/>
      <c r="D64" s="294"/>
      <c r="E64" s="294"/>
      <c r="F64" s="294"/>
      <c r="G64" s="294"/>
      <c r="H64" s="294"/>
      <c r="I64" s="294"/>
      <c r="J64" s="294"/>
      <c r="K64" s="294"/>
      <c r="L64" s="294"/>
      <c r="M64" s="294"/>
      <c r="N64" s="294"/>
      <c r="O64" s="294"/>
      <c r="P64" s="294"/>
      <c r="Q64" s="294"/>
      <c r="R64" s="294"/>
      <c r="S64" s="294"/>
      <c r="T64" s="294"/>
      <c r="U64" s="294"/>
      <c r="V64" s="294"/>
      <c r="W64" s="294"/>
      <c r="X64" s="294"/>
      <c r="Y64" s="294"/>
      <c r="Z64" s="294"/>
      <c r="AA64" s="294"/>
      <c r="AB64" s="294"/>
    </row>
    <row r="65">
      <c r="A65" s="294"/>
      <c r="B65" s="294"/>
      <c r="C65" s="294"/>
      <c r="D65" s="294"/>
      <c r="E65" s="294"/>
      <c r="F65" s="294"/>
      <c r="G65" s="294"/>
      <c r="H65" s="294"/>
      <c r="I65" s="294"/>
      <c r="J65" s="294"/>
      <c r="K65" s="294"/>
      <c r="L65" s="294"/>
      <c r="M65" s="294"/>
      <c r="N65" s="294"/>
      <c r="O65" s="294"/>
      <c r="P65" s="294"/>
      <c r="Q65" s="294"/>
      <c r="R65" s="294"/>
      <c r="S65" s="294"/>
      <c r="T65" s="294"/>
      <c r="U65" s="294"/>
      <c r="V65" s="294"/>
      <c r="W65" s="294"/>
      <c r="X65" s="294"/>
      <c r="Y65" s="294"/>
      <c r="Z65" s="294"/>
      <c r="AA65" s="294"/>
      <c r="AB65" s="294"/>
    </row>
    <row r="66">
      <c r="A66" s="294"/>
      <c r="B66" s="294"/>
      <c r="C66" s="294"/>
      <c r="D66" s="294"/>
      <c r="E66" s="294"/>
      <c r="F66" s="294"/>
      <c r="G66" s="294"/>
      <c r="H66" s="294"/>
      <c r="I66" s="294"/>
      <c r="J66" s="294"/>
      <c r="K66" s="294"/>
      <c r="L66" s="294"/>
      <c r="M66" s="294"/>
      <c r="N66" s="294"/>
      <c r="O66" s="294"/>
      <c r="P66" s="294"/>
      <c r="Q66" s="294"/>
      <c r="R66" s="294"/>
      <c r="S66" s="294"/>
      <c r="T66" s="294"/>
      <c r="U66" s="294"/>
      <c r="V66" s="294"/>
      <c r="W66" s="294"/>
      <c r="X66" s="294"/>
      <c r="Y66" s="294"/>
      <c r="Z66" s="294"/>
      <c r="AA66" s="294"/>
      <c r="AB66" s="294"/>
    </row>
    <row r="67">
      <c r="A67" s="294"/>
      <c r="B67" s="294"/>
      <c r="C67" s="294"/>
      <c r="D67" s="294"/>
      <c r="E67" s="294"/>
      <c r="F67" s="294"/>
      <c r="G67" s="294"/>
      <c r="H67" s="294"/>
      <c r="I67" s="294"/>
      <c r="J67" s="294"/>
      <c r="K67" s="294"/>
      <c r="L67" s="294"/>
      <c r="M67" s="294"/>
      <c r="N67" s="294"/>
      <c r="O67" s="294"/>
      <c r="P67" s="294"/>
      <c r="Q67" s="294"/>
      <c r="R67" s="294"/>
      <c r="S67" s="294"/>
      <c r="T67" s="294"/>
      <c r="U67" s="294"/>
      <c r="V67" s="294"/>
      <c r="W67" s="294"/>
      <c r="X67" s="294"/>
      <c r="Y67" s="294"/>
      <c r="Z67" s="294"/>
      <c r="AA67" s="294"/>
      <c r="AB67" s="294"/>
    </row>
    <row r="68">
      <c r="A68" s="294"/>
      <c r="B68" s="294"/>
      <c r="C68" s="294"/>
      <c r="D68" s="294"/>
      <c r="E68" s="294"/>
      <c r="F68" s="294"/>
      <c r="G68" s="294"/>
      <c r="H68" s="294"/>
      <c r="I68" s="294"/>
      <c r="J68" s="294"/>
      <c r="K68" s="294"/>
      <c r="L68" s="294"/>
      <c r="M68" s="294"/>
      <c r="N68" s="294"/>
      <c r="O68" s="294"/>
      <c r="P68" s="294"/>
      <c r="Q68" s="294"/>
      <c r="R68" s="294"/>
      <c r="S68" s="294"/>
      <c r="T68" s="294"/>
      <c r="U68" s="294"/>
      <c r="V68" s="294"/>
      <c r="W68" s="294"/>
      <c r="X68" s="294"/>
      <c r="Y68" s="294"/>
      <c r="Z68" s="294"/>
      <c r="AA68" s="294"/>
      <c r="AB68" s="294"/>
    </row>
    <row r="69">
      <c r="A69" s="294"/>
      <c r="B69" s="294"/>
      <c r="C69" s="294"/>
      <c r="D69" s="294"/>
      <c r="E69" s="294"/>
      <c r="F69" s="294"/>
      <c r="G69" s="294"/>
      <c r="H69" s="294"/>
      <c r="I69" s="294"/>
      <c r="J69" s="294"/>
      <c r="K69" s="294"/>
      <c r="L69" s="294"/>
      <c r="M69" s="294"/>
      <c r="N69" s="294"/>
      <c r="O69" s="294"/>
      <c r="P69" s="294"/>
      <c r="Q69" s="294"/>
      <c r="R69" s="294"/>
      <c r="S69" s="294"/>
      <c r="T69" s="294"/>
      <c r="U69" s="294"/>
      <c r="V69" s="294"/>
      <c r="W69" s="294"/>
      <c r="X69" s="294"/>
      <c r="Y69" s="294"/>
      <c r="Z69" s="294"/>
      <c r="AA69" s="294"/>
      <c r="AB69" s="294"/>
    </row>
    <row r="70">
      <c r="A70" s="294"/>
      <c r="B70" s="294"/>
      <c r="C70" s="294"/>
      <c r="D70" s="294"/>
      <c r="E70" s="294"/>
      <c r="F70" s="294"/>
      <c r="G70" s="294"/>
      <c r="H70" s="294"/>
      <c r="I70" s="294"/>
      <c r="J70" s="294"/>
      <c r="K70" s="294"/>
      <c r="L70" s="294"/>
      <c r="M70" s="294"/>
      <c r="N70" s="294"/>
      <c r="O70" s="294"/>
      <c r="P70" s="294"/>
      <c r="Q70" s="294"/>
      <c r="R70" s="294"/>
      <c r="S70" s="294"/>
      <c r="T70" s="294"/>
      <c r="U70" s="294"/>
      <c r="V70" s="294"/>
      <c r="W70" s="294"/>
      <c r="X70" s="294"/>
      <c r="Y70" s="294"/>
      <c r="Z70" s="294"/>
      <c r="AA70" s="294"/>
      <c r="AB70" s="294"/>
    </row>
    <row r="71">
      <c r="A71" s="294"/>
      <c r="B71" s="294"/>
      <c r="C71" s="294"/>
      <c r="D71" s="294"/>
      <c r="E71" s="294"/>
      <c r="F71" s="294"/>
      <c r="G71" s="294"/>
      <c r="H71" s="294"/>
      <c r="I71" s="294"/>
      <c r="J71" s="294"/>
      <c r="K71" s="294"/>
      <c r="L71" s="294"/>
      <c r="M71" s="294"/>
      <c r="N71" s="294"/>
      <c r="O71" s="294"/>
      <c r="P71" s="294"/>
      <c r="Q71" s="294"/>
      <c r="R71" s="294"/>
      <c r="S71" s="294"/>
      <c r="T71" s="294"/>
      <c r="U71" s="294"/>
      <c r="V71" s="294"/>
      <c r="W71" s="294"/>
      <c r="X71" s="294"/>
      <c r="Y71" s="294"/>
      <c r="Z71" s="294"/>
      <c r="AA71" s="294"/>
      <c r="AB71" s="294"/>
    </row>
    <row r="72">
      <c r="A72" s="294"/>
      <c r="B72" s="294"/>
      <c r="C72" s="294"/>
      <c r="D72" s="294"/>
      <c r="E72" s="294"/>
      <c r="F72" s="294"/>
      <c r="G72" s="294"/>
      <c r="H72" s="294"/>
      <c r="I72" s="294"/>
      <c r="J72" s="294"/>
      <c r="K72" s="294"/>
      <c r="L72" s="294"/>
      <c r="M72" s="294"/>
      <c r="N72" s="294"/>
      <c r="O72" s="294"/>
      <c r="P72" s="294"/>
      <c r="Q72" s="294"/>
      <c r="R72" s="294"/>
      <c r="S72" s="294"/>
      <c r="T72" s="294"/>
      <c r="U72" s="294"/>
      <c r="V72" s="294"/>
      <c r="W72" s="294"/>
      <c r="X72" s="294"/>
      <c r="Y72" s="294"/>
      <c r="Z72" s="294"/>
      <c r="AA72" s="294"/>
      <c r="AB72" s="294"/>
    </row>
    <row r="73">
      <c r="A73" s="294"/>
      <c r="B73" s="294"/>
      <c r="C73" s="294"/>
      <c r="D73" s="294"/>
      <c r="E73" s="294"/>
      <c r="F73" s="294"/>
      <c r="G73" s="294"/>
      <c r="H73" s="294"/>
      <c r="I73" s="294"/>
      <c r="J73" s="294"/>
      <c r="K73" s="294"/>
      <c r="L73" s="294"/>
      <c r="M73" s="294"/>
      <c r="N73" s="294"/>
      <c r="O73" s="294"/>
      <c r="P73" s="294"/>
      <c r="Q73" s="294"/>
      <c r="R73" s="294"/>
      <c r="S73" s="294"/>
      <c r="T73" s="294"/>
      <c r="U73" s="294"/>
      <c r="V73" s="294"/>
      <c r="W73" s="294"/>
      <c r="X73" s="294"/>
      <c r="Y73" s="294"/>
      <c r="Z73" s="294"/>
      <c r="AA73" s="294"/>
      <c r="AB73" s="294"/>
    </row>
    <row r="74">
      <c r="A74" s="294"/>
      <c r="B74" s="294"/>
      <c r="C74" s="294"/>
      <c r="D74" s="294"/>
      <c r="E74" s="294"/>
      <c r="F74" s="294"/>
      <c r="G74" s="294"/>
      <c r="H74" s="294"/>
      <c r="I74" s="294"/>
      <c r="J74" s="294"/>
      <c r="K74" s="294"/>
      <c r="L74" s="294"/>
      <c r="M74" s="294"/>
      <c r="N74" s="294"/>
      <c r="O74" s="294"/>
      <c r="P74" s="294"/>
      <c r="Q74" s="294"/>
      <c r="R74" s="294"/>
      <c r="S74" s="294"/>
      <c r="T74" s="294"/>
      <c r="U74" s="294"/>
      <c r="V74" s="294"/>
      <c r="W74" s="294"/>
      <c r="X74" s="294"/>
      <c r="Y74" s="294"/>
      <c r="Z74" s="294"/>
      <c r="AA74" s="294"/>
      <c r="AB74" s="294"/>
    </row>
    <row r="75">
      <c r="A75" s="294"/>
      <c r="B75" s="294"/>
      <c r="C75" s="294"/>
      <c r="D75" s="294"/>
      <c r="E75" s="294"/>
      <c r="F75" s="294"/>
      <c r="G75" s="294"/>
      <c r="H75" s="294"/>
      <c r="I75" s="294"/>
      <c r="J75" s="294"/>
      <c r="K75" s="294"/>
      <c r="L75" s="294"/>
      <c r="M75" s="294"/>
      <c r="N75" s="294"/>
      <c r="O75" s="294"/>
      <c r="P75" s="294"/>
      <c r="Q75" s="294"/>
      <c r="R75" s="294"/>
      <c r="S75" s="294"/>
      <c r="T75" s="294"/>
      <c r="U75" s="294"/>
      <c r="V75" s="294"/>
      <c r="W75" s="294"/>
      <c r="X75" s="294"/>
      <c r="Y75" s="294"/>
      <c r="Z75" s="294"/>
      <c r="AA75" s="294"/>
      <c r="AB75" s="294"/>
    </row>
    <row r="76">
      <c r="A76" s="294"/>
      <c r="B76" s="294"/>
      <c r="C76" s="294"/>
      <c r="D76" s="294"/>
      <c r="E76" s="294"/>
      <c r="F76" s="294"/>
      <c r="G76" s="294"/>
      <c r="H76" s="294"/>
      <c r="I76" s="294"/>
      <c r="J76" s="294"/>
      <c r="K76" s="294"/>
      <c r="L76" s="294"/>
      <c r="M76" s="294"/>
      <c r="N76" s="294"/>
      <c r="O76" s="294"/>
      <c r="P76" s="294"/>
      <c r="Q76" s="294"/>
      <c r="R76" s="294"/>
      <c r="S76" s="294"/>
      <c r="T76" s="294"/>
      <c r="U76" s="294"/>
      <c r="V76" s="294"/>
      <c r="W76" s="294"/>
      <c r="X76" s="294"/>
      <c r="Y76" s="294"/>
      <c r="Z76" s="294"/>
      <c r="AA76" s="294"/>
      <c r="AB76" s="294"/>
    </row>
    <row r="77">
      <c r="A77" s="294"/>
      <c r="B77" s="294"/>
      <c r="C77" s="294"/>
      <c r="D77" s="294"/>
      <c r="E77" s="294"/>
      <c r="F77" s="294"/>
      <c r="G77" s="294"/>
      <c r="H77" s="294"/>
      <c r="I77" s="294"/>
      <c r="J77" s="294"/>
      <c r="K77" s="294"/>
      <c r="L77" s="294"/>
      <c r="M77" s="294"/>
      <c r="N77" s="294"/>
      <c r="O77" s="294"/>
      <c r="P77" s="294"/>
      <c r="Q77" s="294"/>
      <c r="R77" s="294"/>
      <c r="S77" s="294"/>
      <c r="T77" s="294"/>
      <c r="U77" s="294"/>
      <c r="V77" s="294"/>
      <c r="W77" s="294"/>
      <c r="X77" s="294"/>
      <c r="Y77" s="294"/>
      <c r="Z77" s="294"/>
      <c r="AA77" s="294"/>
      <c r="AB77" s="294"/>
    </row>
    <row r="78">
      <c r="A78" s="294"/>
      <c r="B78" s="294"/>
      <c r="C78" s="294"/>
      <c r="D78" s="294"/>
      <c r="E78" s="294"/>
      <c r="F78" s="294"/>
      <c r="G78" s="294"/>
      <c r="H78" s="294"/>
      <c r="I78" s="294"/>
      <c r="J78" s="294"/>
      <c r="K78" s="294"/>
      <c r="L78" s="294"/>
      <c r="M78" s="294"/>
      <c r="N78" s="294"/>
      <c r="O78" s="294"/>
      <c r="P78" s="294"/>
      <c r="Q78" s="294"/>
      <c r="R78" s="294"/>
      <c r="S78" s="294"/>
      <c r="T78" s="294"/>
      <c r="U78" s="294"/>
      <c r="V78" s="294"/>
      <c r="W78" s="294"/>
      <c r="X78" s="294"/>
      <c r="Y78" s="294"/>
      <c r="Z78" s="294"/>
      <c r="AA78" s="294"/>
      <c r="AB78" s="294"/>
    </row>
    <row r="79">
      <c r="A79" s="294"/>
      <c r="B79" s="294"/>
      <c r="C79" s="294"/>
      <c r="D79" s="294"/>
      <c r="E79" s="294"/>
      <c r="F79" s="294"/>
      <c r="G79" s="294"/>
      <c r="H79" s="294"/>
      <c r="I79" s="294"/>
      <c r="J79" s="294"/>
      <c r="K79" s="294"/>
      <c r="L79" s="294"/>
      <c r="M79" s="294"/>
      <c r="N79" s="294"/>
      <c r="O79" s="294"/>
      <c r="P79" s="294"/>
      <c r="Q79" s="294"/>
      <c r="R79" s="294"/>
      <c r="S79" s="294"/>
      <c r="T79" s="294"/>
      <c r="U79" s="294"/>
      <c r="V79" s="294"/>
      <c r="W79" s="294"/>
      <c r="X79" s="294"/>
      <c r="Y79" s="294"/>
      <c r="Z79" s="294"/>
      <c r="AA79" s="294"/>
      <c r="AB79" s="294"/>
    </row>
    <row r="80">
      <c r="A80" s="294"/>
      <c r="B80" s="294"/>
      <c r="C80" s="294"/>
      <c r="D80" s="294"/>
      <c r="E80" s="294"/>
      <c r="F80" s="294"/>
      <c r="G80" s="294"/>
      <c r="H80" s="294"/>
      <c r="I80" s="294"/>
      <c r="J80" s="294"/>
      <c r="K80" s="294"/>
      <c r="L80" s="294"/>
      <c r="M80" s="294"/>
      <c r="N80" s="294"/>
      <c r="O80" s="294"/>
      <c r="P80" s="294"/>
      <c r="Q80" s="294"/>
      <c r="R80" s="294"/>
      <c r="S80" s="294"/>
      <c r="T80" s="294"/>
      <c r="U80" s="294"/>
      <c r="V80" s="294"/>
      <c r="W80" s="294"/>
      <c r="X80" s="294"/>
      <c r="Y80" s="294"/>
      <c r="Z80" s="294"/>
      <c r="AA80" s="294"/>
      <c r="AB80" s="294"/>
    </row>
    <row r="81">
      <c r="A81" s="294"/>
      <c r="B81" s="294"/>
      <c r="C81" s="294"/>
      <c r="D81" s="294"/>
      <c r="E81" s="294"/>
      <c r="F81" s="294"/>
      <c r="G81" s="294"/>
      <c r="H81" s="294"/>
      <c r="I81" s="294"/>
      <c r="J81" s="294"/>
      <c r="K81" s="294"/>
      <c r="L81" s="294"/>
      <c r="M81" s="294"/>
      <c r="N81" s="294"/>
      <c r="O81" s="294"/>
      <c r="P81" s="294"/>
      <c r="Q81" s="294"/>
      <c r="R81" s="294"/>
      <c r="S81" s="294"/>
      <c r="T81" s="294"/>
      <c r="U81" s="294"/>
      <c r="V81" s="294"/>
      <c r="W81" s="294"/>
      <c r="X81" s="294"/>
      <c r="Y81" s="294"/>
      <c r="Z81" s="294"/>
      <c r="AA81" s="294"/>
      <c r="AB81" s="294"/>
    </row>
    <row r="82">
      <c r="A82" s="294"/>
      <c r="B82" s="294"/>
      <c r="C82" s="294"/>
      <c r="D82" s="294"/>
      <c r="E82" s="294"/>
      <c r="F82" s="294"/>
      <c r="G82" s="294"/>
      <c r="H82" s="294"/>
      <c r="I82" s="294"/>
      <c r="J82" s="294"/>
      <c r="K82" s="294"/>
      <c r="L82" s="294"/>
      <c r="M82" s="294"/>
      <c r="N82" s="294"/>
      <c r="O82" s="294"/>
      <c r="P82" s="294"/>
      <c r="Q82" s="294"/>
      <c r="R82" s="294"/>
      <c r="S82" s="294"/>
      <c r="T82" s="294"/>
      <c r="U82" s="294"/>
      <c r="V82" s="294"/>
      <c r="W82" s="294"/>
      <c r="X82" s="294"/>
      <c r="Y82" s="294"/>
      <c r="Z82" s="294"/>
      <c r="AA82" s="294"/>
      <c r="AB82" s="294"/>
    </row>
    <row r="83">
      <c r="A83" s="294"/>
      <c r="B83" s="294"/>
      <c r="C83" s="294"/>
      <c r="D83" s="294"/>
      <c r="E83" s="294"/>
      <c r="F83" s="294"/>
      <c r="G83" s="294"/>
      <c r="H83" s="294"/>
      <c r="I83" s="294"/>
      <c r="J83" s="294"/>
      <c r="K83" s="294"/>
      <c r="L83" s="294"/>
      <c r="M83" s="294"/>
      <c r="N83" s="294"/>
      <c r="O83" s="294"/>
      <c r="P83" s="294"/>
      <c r="Q83" s="294"/>
      <c r="R83" s="294"/>
      <c r="S83" s="294"/>
      <c r="T83" s="294"/>
      <c r="U83" s="294"/>
      <c r="V83" s="294"/>
      <c r="W83" s="294"/>
      <c r="X83" s="294"/>
      <c r="Y83" s="294"/>
      <c r="Z83" s="294"/>
      <c r="AA83" s="294"/>
      <c r="AB83" s="294"/>
    </row>
    <row r="84">
      <c r="A84" s="294"/>
      <c r="B84" s="294"/>
      <c r="C84" s="294"/>
      <c r="D84" s="294"/>
      <c r="E84" s="294"/>
      <c r="F84" s="294"/>
      <c r="G84" s="294"/>
      <c r="H84" s="294"/>
      <c r="I84" s="294"/>
      <c r="J84" s="294"/>
      <c r="K84" s="294"/>
      <c r="L84" s="294"/>
      <c r="M84" s="294"/>
      <c r="N84" s="294"/>
      <c r="O84" s="294"/>
      <c r="P84" s="294"/>
      <c r="Q84" s="294"/>
      <c r="R84" s="294"/>
      <c r="S84" s="294"/>
      <c r="T84" s="294"/>
      <c r="U84" s="294"/>
      <c r="V84" s="294"/>
      <c r="W84" s="294"/>
      <c r="X84" s="294"/>
      <c r="Y84" s="294"/>
      <c r="Z84" s="294"/>
      <c r="AA84" s="294"/>
      <c r="AB84" s="294"/>
    </row>
    <row r="85">
      <c r="A85" s="294"/>
      <c r="B85" s="294"/>
      <c r="C85" s="294"/>
      <c r="D85" s="294"/>
      <c r="E85" s="294"/>
      <c r="F85" s="294"/>
      <c r="G85" s="294"/>
      <c r="H85" s="294"/>
      <c r="I85" s="294"/>
      <c r="J85" s="294"/>
      <c r="K85" s="294"/>
      <c r="L85" s="294"/>
      <c r="M85" s="294"/>
      <c r="N85" s="294"/>
      <c r="O85" s="294"/>
      <c r="P85" s="294"/>
      <c r="Q85" s="294"/>
      <c r="R85" s="294"/>
      <c r="S85" s="294"/>
      <c r="T85" s="294"/>
      <c r="U85" s="294"/>
      <c r="V85" s="294"/>
      <c r="W85" s="294"/>
      <c r="X85" s="294"/>
      <c r="Y85" s="294"/>
      <c r="Z85" s="294"/>
      <c r="AA85" s="294"/>
      <c r="AB85" s="294"/>
    </row>
    <row r="86">
      <c r="A86" s="294"/>
      <c r="B86" s="294"/>
      <c r="C86" s="294"/>
      <c r="D86" s="294"/>
      <c r="E86" s="294"/>
      <c r="F86" s="294"/>
      <c r="G86" s="294"/>
      <c r="H86" s="294"/>
      <c r="I86" s="294"/>
      <c r="J86" s="294"/>
      <c r="K86" s="294"/>
      <c r="L86" s="294"/>
      <c r="M86" s="294"/>
      <c r="N86" s="294"/>
      <c r="O86" s="294"/>
      <c r="P86" s="294"/>
      <c r="Q86" s="294"/>
      <c r="R86" s="294"/>
      <c r="S86" s="294"/>
      <c r="T86" s="294"/>
      <c r="U86" s="294"/>
      <c r="V86" s="294"/>
      <c r="W86" s="294"/>
      <c r="X86" s="294"/>
      <c r="Y86" s="294"/>
      <c r="Z86" s="294"/>
      <c r="AA86" s="294"/>
      <c r="AB86" s="294"/>
    </row>
    <row r="87">
      <c r="A87" s="294"/>
      <c r="B87" s="294"/>
      <c r="C87" s="294"/>
      <c r="D87" s="294"/>
      <c r="E87" s="294"/>
      <c r="F87" s="294"/>
      <c r="G87" s="294"/>
      <c r="H87" s="294"/>
      <c r="I87" s="294"/>
      <c r="J87" s="294"/>
      <c r="K87" s="294"/>
      <c r="L87" s="294"/>
      <c r="M87" s="294"/>
      <c r="N87" s="294"/>
      <c r="O87" s="294"/>
      <c r="P87" s="294"/>
      <c r="Q87" s="294"/>
      <c r="R87" s="294"/>
      <c r="S87" s="294"/>
      <c r="T87" s="294"/>
      <c r="U87" s="294"/>
      <c r="V87" s="294"/>
      <c r="W87" s="294"/>
      <c r="X87" s="294"/>
      <c r="Y87" s="294"/>
      <c r="Z87" s="294"/>
      <c r="AA87" s="294"/>
      <c r="AB87" s="294"/>
    </row>
    <row r="88">
      <c r="A88" s="294"/>
      <c r="B88" s="294"/>
      <c r="C88" s="294"/>
      <c r="D88" s="294"/>
      <c r="E88" s="294"/>
      <c r="F88" s="294"/>
      <c r="G88" s="294"/>
      <c r="H88" s="294"/>
      <c r="I88" s="294"/>
      <c r="J88" s="294"/>
      <c r="K88" s="294"/>
      <c r="L88" s="294"/>
      <c r="M88" s="294"/>
      <c r="N88" s="294"/>
      <c r="O88" s="294"/>
      <c r="P88" s="294"/>
      <c r="Q88" s="294"/>
      <c r="R88" s="294"/>
      <c r="S88" s="294"/>
      <c r="T88" s="294"/>
      <c r="U88" s="294"/>
      <c r="V88" s="294"/>
      <c r="W88" s="294"/>
      <c r="X88" s="294"/>
      <c r="Y88" s="294"/>
      <c r="Z88" s="294"/>
      <c r="AA88" s="294"/>
      <c r="AB88" s="294"/>
    </row>
    <row r="89">
      <c r="A89" s="294"/>
      <c r="B89" s="294"/>
      <c r="C89" s="294"/>
      <c r="D89" s="294"/>
      <c r="E89" s="294"/>
      <c r="F89" s="294"/>
      <c r="G89" s="294"/>
      <c r="H89" s="294"/>
      <c r="I89" s="294"/>
      <c r="J89" s="294"/>
      <c r="K89" s="294"/>
      <c r="L89" s="294"/>
      <c r="M89" s="294"/>
      <c r="N89" s="294"/>
      <c r="O89" s="294"/>
      <c r="P89" s="294"/>
      <c r="Q89" s="294"/>
      <c r="R89" s="294"/>
      <c r="S89" s="294"/>
      <c r="T89" s="294"/>
      <c r="U89" s="294"/>
      <c r="V89" s="294"/>
      <c r="W89" s="294"/>
      <c r="X89" s="294"/>
      <c r="Y89" s="294"/>
      <c r="Z89" s="294"/>
      <c r="AA89" s="294"/>
      <c r="AB89" s="294"/>
    </row>
    <row r="90">
      <c r="A90" s="294"/>
      <c r="B90" s="294"/>
      <c r="C90" s="294"/>
      <c r="D90" s="294"/>
      <c r="E90" s="294"/>
      <c r="F90" s="294"/>
      <c r="G90" s="294"/>
      <c r="H90" s="294"/>
      <c r="I90" s="294"/>
      <c r="J90" s="294"/>
      <c r="K90" s="294"/>
      <c r="L90" s="294"/>
      <c r="M90" s="294"/>
      <c r="N90" s="294"/>
      <c r="O90" s="294"/>
      <c r="P90" s="294"/>
      <c r="Q90" s="294"/>
      <c r="R90" s="294"/>
      <c r="S90" s="294"/>
      <c r="T90" s="294"/>
      <c r="U90" s="294"/>
      <c r="V90" s="294"/>
      <c r="W90" s="294"/>
      <c r="X90" s="294"/>
      <c r="Y90" s="294"/>
      <c r="Z90" s="294"/>
      <c r="AA90" s="294"/>
      <c r="AB90" s="294"/>
    </row>
    <row r="91">
      <c r="A91" s="294"/>
      <c r="B91" s="294"/>
      <c r="C91" s="294"/>
      <c r="D91" s="294"/>
      <c r="E91" s="294"/>
      <c r="F91" s="294"/>
      <c r="G91" s="294"/>
      <c r="H91" s="294"/>
      <c r="I91" s="294"/>
      <c r="J91" s="294"/>
      <c r="K91" s="294"/>
      <c r="L91" s="294"/>
      <c r="M91" s="294"/>
      <c r="N91" s="294"/>
      <c r="O91" s="294"/>
      <c r="P91" s="294"/>
      <c r="Q91" s="294"/>
      <c r="R91" s="294"/>
      <c r="S91" s="294"/>
      <c r="T91" s="294"/>
      <c r="U91" s="294"/>
      <c r="V91" s="294"/>
      <c r="W91" s="294"/>
      <c r="X91" s="294"/>
      <c r="Y91" s="294"/>
      <c r="Z91" s="294"/>
      <c r="AA91" s="294"/>
      <c r="AB91" s="294"/>
    </row>
    <row r="92">
      <c r="A92" s="294"/>
      <c r="B92" s="294"/>
      <c r="C92" s="294"/>
      <c r="D92" s="294"/>
      <c r="E92" s="294"/>
      <c r="F92" s="294"/>
      <c r="G92" s="294"/>
      <c r="H92" s="294"/>
      <c r="I92" s="294"/>
      <c r="J92" s="294"/>
      <c r="K92" s="294"/>
      <c r="L92" s="294"/>
      <c r="M92" s="294"/>
      <c r="N92" s="294"/>
      <c r="O92" s="294"/>
      <c r="P92" s="294"/>
      <c r="Q92" s="294"/>
      <c r="R92" s="294"/>
      <c r="S92" s="294"/>
      <c r="T92" s="294"/>
      <c r="U92" s="294"/>
      <c r="V92" s="294"/>
      <c r="W92" s="294"/>
      <c r="X92" s="294"/>
      <c r="Y92" s="294"/>
      <c r="Z92" s="294"/>
      <c r="AA92" s="294"/>
      <c r="AB92" s="294"/>
    </row>
    <row r="93">
      <c r="A93" s="294"/>
      <c r="B93" s="294"/>
      <c r="C93" s="294"/>
      <c r="D93" s="294"/>
      <c r="E93" s="294"/>
      <c r="F93" s="294"/>
      <c r="G93" s="294"/>
      <c r="H93" s="294"/>
      <c r="I93" s="294"/>
      <c r="J93" s="294"/>
      <c r="K93" s="294"/>
      <c r="L93" s="294"/>
      <c r="M93" s="294"/>
      <c r="N93" s="294"/>
      <c r="O93" s="294"/>
      <c r="P93" s="294"/>
      <c r="Q93" s="294"/>
      <c r="R93" s="294"/>
      <c r="S93" s="294"/>
      <c r="T93" s="294"/>
      <c r="U93" s="294"/>
      <c r="V93" s="294"/>
      <c r="W93" s="294"/>
      <c r="X93" s="294"/>
      <c r="Y93" s="294"/>
      <c r="Z93" s="294"/>
      <c r="AA93" s="294"/>
      <c r="AB93" s="294"/>
    </row>
    <row r="94">
      <c r="A94" s="294"/>
      <c r="B94" s="294"/>
      <c r="C94" s="294"/>
      <c r="D94" s="294"/>
      <c r="E94" s="294"/>
      <c r="F94" s="294"/>
      <c r="G94" s="294"/>
      <c r="H94" s="294"/>
      <c r="I94" s="294"/>
      <c r="J94" s="294"/>
      <c r="K94" s="294"/>
      <c r="L94" s="294"/>
      <c r="M94" s="294"/>
      <c r="N94" s="294"/>
      <c r="O94" s="294"/>
      <c r="P94" s="294"/>
      <c r="Q94" s="294"/>
      <c r="R94" s="294"/>
      <c r="S94" s="294"/>
      <c r="T94" s="294"/>
      <c r="U94" s="294"/>
      <c r="V94" s="294"/>
      <c r="W94" s="294"/>
      <c r="X94" s="294"/>
      <c r="Y94" s="294"/>
      <c r="Z94" s="294"/>
      <c r="AA94" s="294"/>
      <c r="AB94" s="294"/>
    </row>
    <row r="95">
      <c r="A95" s="294"/>
      <c r="B95" s="294"/>
      <c r="C95" s="294"/>
      <c r="D95" s="294"/>
      <c r="E95" s="294"/>
      <c r="F95" s="294"/>
      <c r="G95" s="294"/>
      <c r="H95" s="294"/>
      <c r="I95" s="294"/>
      <c r="J95" s="294"/>
      <c r="K95" s="294"/>
      <c r="L95" s="294"/>
      <c r="M95" s="294"/>
      <c r="N95" s="294"/>
      <c r="O95" s="294"/>
      <c r="P95" s="294"/>
      <c r="Q95" s="294"/>
      <c r="R95" s="294"/>
      <c r="S95" s="294"/>
      <c r="T95" s="294"/>
      <c r="U95" s="294"/>
      <c r="V95" s="294"/>
      <c r="W95" s="294"/>
      <c r="X95" s="294"/>
      <c r="Y95" s="294"/>
      <c r="Z95" s="294"/>
      <c r="AA95" s="294"/>
      <c r="AB95" s="294"/>
    </row>
    <row r="96">
      <c r="A96" s="294"/>
      <c r="B96" s="294"/>
      <c r="C96" s="294"/>
      <c r="D96" s="294"/>
      <c r="E96" s="294"/>
      <c r="F96" s="294"/>
      <c r="G96" s="294"/>
      <c r="H96" s="294"/>
      <c r="I96" s="294"/>
      <c r="J96" s="294"/>
      <c r="K96" s="294"/>
      <c r="L96" s="294"/>
      <c r="M96" s="294"/>
      <c r="N96" s="294"/>
      <c r="O96" s="294"/>
      <c r="P96" s="294"/>
      <c r="Q96" s="294"/>
      <c r="R96" s="294"/>
      <c r="S96" s="294"/>
      <c r="T96" s="294"/>
      <c r="U96" s="294"/>
      <c r="V96" s="294"/>
      <c r="W96" s="294"/>
      <c r="X96" s="294"/>
      <c r="Y96" s="294"/>
      <c r="Z96" s="294"/>
      <c r="AA96" s="294"/>
      <c r="AB96" s="294"/>
    </row>
    <row r="97">
      <c r="A97" s="294"/>
      <c r="B97" s="294"/>
      <c r="C97" s="294"/>
      <c r="D97" s="294"/>
      <c r="E97" s="294"/>
      <c r="F97" s="294"/>
      <c r="G97" s="294"/>
      <c r="H97" s="294"/>
      <c r="I97" s="294"/>
      <c r="J97" s="294"/>
      <c r="K97" s="294"/>
      <c r="L97" s="294"/>
      <c r="M97" s="294"/>
      <c r="N97" s="294"/>
      <c r="O97" s="294"/>
      <c r="P97" s="294"/>
      <c r="Q97" s="294"/>
      <c r="R97" s="294"/>
      <c r="S97" s="294"/>
      <c r="T97" s="294"/>
      <c r="U97" s="294"/>
      <c r="V97" s="294"/>
      <c r="W97" s="294"/>
      <c r="X97" s="294"/>
      <c r="Y97" s="294"/>
      <c r="Z97" s="294"/>
      <c r="AA97" s="294"/>
      <c r="AB97" s="294"/>
    </row>
    <row r="98">
      <c r="A98" s="294"/>
      <c r="B98" s="294"/>
      <c r="C98" s="294"/>
      <c r="D98" s="294"/>
      <c r="E98" s="294"/>
      <c r="F98" s="294"/>
      <c r="G98" s="294"/>
      <c r="H98" s="294"/>
      <c r="I98" s="294"/>
      <c r="J98" s="294"/>
      <c r="K98" s="294"/>
      <c r="L98" s="294"/>
      <c r="M98" s="294"/>
      <c r="N98" s="294"/>
      <c r="O98" s="294"/>
      <c r="P98" s="294"/>
      <c r="Q98" s="294"/>
      <c r="R98" s="294"/>
      <c r="S98" s="294"/>
      <c r="T98" s="294"/>
      <c r="U98" s="294"/>
      <c r="V98" s="294"/>
      <c r="W98" s="294"/>
      <c r="X98" s="294"/>
      <c r="Y98" s="294"/>
      <c r="Z98" s="294"/>
      <c r="AA98" s="294"/>
      <c r="AB98" s="294"/>
    </row>
    <row r="99">
      <c r="A99" s="294"/>
      <c r="B99" s="294"/>
      <c r="C99" s="294"/>
      <c r="D99" s="294"/>
      <c r="E99" s="294"/>
      <c r="F99" s="294"/>
      <c r="G99" s="294"/>
      <c r="H99" s="294"/>
      <c r="I99" s="294"/>
      <c r="J99" s="294"/>
      <c r="K99" s="294"/>
      <c r="L99" s="294"/>
      <c r="M99" s="294"/>
      <c r="N99" s="294"/>
      <c r="O99" s="294"/>
      <c r="P99" s="294"/>
      <c r="Q99" s="294"/>
      <c r="R99" s="294"/>
      <c r="S99" s="294"/>
      <c r="T99" s="294"/>
      <c r="U99" s="294"/>
      <c r="V99" s="294"/>
      <c r="W99" s="294"/>
      <c r="X99" s="294"/>
      <c r="Y99" s="294"/>
      <c r="Z99" s="294"/>
      <c r="AA99" s="294"/>
      <c r="AB99" s="294"/>
    </row>
    <row r="100">
      <c r="A100" s="294"/>
      <c r="B100" s="294"/>
      <c r="C100" s="294"/>
      <c r="D100" s="294"/>
      <c r="E100" s="294"/>
      <c r="F100" s="294"/>
      <c r="G100" s="294"/>
      <c r="H100" s="294"/>
      <c r="I100" s="294"/>
      <c r="J100" s="294"/>
      <c r="K100" s="294"/>
      <c r="L100" s="294"/>
      <c r="M100" s="294"/>
      <c r="N100" s="294"/>
      <c r="O100" s="294"/>
      <c r="P100" s="294"/>
      <c r="Q100" s="294"/>
      <c r="R100" s="294"/>
      <c r="S100" s="294"/>
      <c r="T100" s="294"/>
      <c r="U100" s="294"/>
      <c r="V100" s="294"/>
      <c r="W100" s="294"/>
      <c r="X100" s="294"/>
      <c r="Y100" s="294"/>
      <c r="Z100" s="294"/>
      <c r="AA100" s="294"/>
      <c r="AB100" s="294"/>
    </row>
    <row r="101">
      <c r="A101" s="294"/>
      <c r="B101" s="294"/>
      <c r="C101" s="294"/>
      <c r="D101" s="294"/>
      <c r="E101" s="294"/>
      <c r="F101" s="294"/>
      <c r="G101" s="294"/>
      <c r="H101" s="294"/>
      <c r="I101" s="294"/>
      <c r="J101" s="294"/>
      <c r="K101" s="294"/>
      <c r="L101" s="294"/>
      <c r="M101" s="294"/>
      <c r="N101" s="294"/>
      <c r="O101" s="294"/>
      <c r="P101" s="294"/>
      <c r="Q101" s="294"/>
      <c r="R101" s="294"/>
      <c r="S101" s="294"/>
      <c r="T101" s="294"/>
      <c r="U101" s="294"/>
      <c r="V101" s="294"/>
      <c r="W101" s="294"/>
      <c r="X101" s="294"/>
      <c r="Y101" s="294"/>
      <c r="Z101" s="294"/>
      <c r="AA101" s="294"/>
      <c r="AB101" s="294"/>
    </row>
    <row r="102">
      <c r="A102" s="294"/>
      <c r="B102" s="294"/>
      <c r="C102" s="294"/>
      <c r="D102" s="294"/>
      <c r="E102" s="294"/>
      <c r="F102" s="294"/>
      <c r="G102" s="294"/>
      <c r="H102" s="294"/>
      <c r="I102" s="294"/>
      <c r="J102" s="294"/>
      <c r="K102" s="294"/>
      <c r="L102" s="294"/>
      <c r="M102" s="294"/>
      <c r="N102" s="294"/>
      <c r="O102" s="294"/>
      <c r="P102" s="294"/>
      <c r="Q102" s="294"/>
      <c r="R102" s="294"/>
      <c r="S102" s="294"/>
      <c r="T102" s="294"/>
      <c r="U102" s="294"/>
      <c r="V102" s="294"/>
      <c r="W102" s="294"/>
      <c r="X102" s="294"/>
      <c r="Y102" s="294"/>
      <c r="Z102" s="294"/>
      <c r="AA102" s="294"/>
      <c r="AB102" s="294"/>
    </row>
    <row r="103">
      <c r="A103" s="294"/>
      <c r="B103" s="294"/>
      <c r="C103" s="294"/>
      <c r="D103" s="294"/>
      <c r="E103" s="294"/>
      <c r="F103" s="294"/>
      <c r="G103" s="294"/>
      <c r="H103" s="294"/>
      <c r="I103" s="294"/>
      <c r="J103" s="294"/>
      <c r="K103" s="294"/>
      <c r="L103" s="294"/>
      <c r="M103" s="294"/>
      <c r="N103" s="294"/>
      <c r="O103" s="294"/>
      <c r="P103" s="294"/>
      <c r="Q103" s="294"/>
      <c r="R103" s="294"/>
      <c r="S103" s="294"/>
      <c r="T103" s="294"/>
      <c r="U103" s="294"/>
      <c r="V103" s="294"/>
      <c r="W103" s="294"/>
      <c r="X103" s="294"/>
      <c r="Y103" s="294"/>
      <c r="Z103" s="294"/>
      <c r="AA103" s="294"/>
      <c r="AB103" s="294"/>
    </row>
    <row r="104">
      <c r="A104" s="294"/>
      <c r="B104" s="294"/>
      <c r="C104" s="294"/>
      <c r="D104" s="294"/>
      <c r="E104" s="294"/>
      <c r="F104" s="294"/>
      <c r="G104" s="294"/>
      <c r="H104" s="294"/>
      <c r="I104" s="294"/>
      <c r="J104" s="294"/>
      <c r="K104" s="294"/>
      <c r="L104" s="294"/>
      <c r="M104" s="294"/>
      <c r="N104" s="294"/>
      <c r="O104" s="294"/>
      <c r="P104" s="294"/>
      <c r="Q104" s="294"/>
      <c r="R104" s="294"/>
      <c r="S104" s="294"/>
      <c r="T104" s="294"/>
      <c r="U104" s="294"/>
      <c r="V104" s="294"/>
      <c r="W104" s="294"/>
      <c r="X104" s="294"/>
      <c r="Y104" s="294"/>
      <c r="Z104" s="294"/>
      <c r="AA104" s="294"/>
      <c r="AB104" s="294"/>
    </row>
    <row r="105">
      <c r="A105" s="294"/>
      <c r="B105" s="294"/>
      <c r="C105" s="294"/>
      <c r="D105" s="294"/>
      <c r="E105" s="294"/>
      <c r="F105" s="294"/>
      <c r="G105" s="294"/>
      <c r="H105" s="294"/>
      <c r="I105" s="294"/>
      <c r="J105" s="294"/>
      <c r="K105" s="294"/>
      <c r="L105" s="294"/>
      <c r="M105" s="294"/>
      <c r="N105" s="294"/>
      <c r="O105" s="294"/>
      <c r="P105" s="294"/>
      <c r="Q105" s="294"/>
      <c r="R105" s="294"/>
      <c r="S105" s="294"/>
      <c r="T105" s="294"/>
      <c r="U105" s="294"/>
      <c r="V105" s="294"/>
      <c r="W105" s="294"/>
      <c r="X105" s="294"/>
      <c r="Y105" s="294"/>
      <c r="Z105" s="294"/>
      <c r="AA105" s="294"/>
      <c r="AB105" s="294"/>
    </row>
    <row r="106">
      <c r="A106" s="294"/>
      <c r="B106" s="294"/>
      <c r="C106" s="294"/>
      <c r="D106" s="294"/>
      <c r="E106" s="294"/>
      <c r="F106" s="294"/>
      <c r="G106" s="294"/>
      <c r="H106" s="294"/>
      <c r="I106" s="294"/>
      <c r="J106" s="294"/>
      <c r="K106" s="294"/>
      <c r="L106" s="294"/>
      <c r="M106" s="294"/>
      <c r="N106" s="294"/>
      <c r="O106" s="294"/>
      <c r="P106" s="294"/>
      <c r="Q106" s="294"/>
      <c r="R106" s="294"/>
      <c r="S106" s="294"/>
      <c r="T106" s="294"/>
      <c r="U106" s="294"/>
      <c r="V106" s="294"/>
      <c r="W106" s="294"/>
      <c r="X106" s="294"/>
      <c r="Y106" s="294"/>
      <c r="Z106" s="294"/>
      <c r="AA106" s="294"/>
      <c r="AB106" s="294"/>
    </row>
    <row r="107">
      <c r="A107" s="294"/>
      <c r="B107" s="294"/>
      <c r="C107" s="294"/>
      <c r="D107" s="294"/>
      <c r="E107" s="294"/>
      <c r="F107" s="294"/>
      <c r="G107" s="294"/>
      <c r="H107" s="294"/>
      <c r="I107" s="294"/>
      <c r="J107" s="294"/>
      <c r="K107" s="294"/>
      <c r="L107" s="294"/>
      <c r="M107" s="294"/>
      <c r="N107" s="294"/>
      <c r="O107" s="294"/>
      <c r="P107" s="294"/>
      <c r="Q107" s="294"/>
      <c r="R107" s="294"/>
      <c r="S107" s="294"/>
      <c r="T107" s="294"/>
      <c r="U107" s="294"/>
      <c r="V107" s="294"/>
      <c r="W107" s="294"/>
      <c r="X107" s="294"/>
      <c r="Y107" s="294"/>
      <c r="Z107" s="294"/>
      <c r="AA107" s="294"/>
      <c r="AB107" s="294"/>
    </row>
    <row r="108">
      <c r="A108" s="294"/>
      <c r="B108" s="294"/>
      <c r="C108" s="294"/>
      <c r="D108" s="294"/>
      <c r="E108" s="294"/>
      <c r="F108" s="294"/>
      <c r="G108" s="294"/>
      <c r="H108" s="294"/>
      <c r="I108" s="294"/>
      <c r="J108" s="294"/>
      <c r="K108" s="294"/>
      <c r="L108" s="294"/>
      <c r="M108" s="294"/>
      <c r="N108" s="294"/>
      <c r="O108" s="294"/>
      <c r="P108" s="294"/>
      <c r="Q108" s="294"/>
      <c r="R108" s="294"/>
      <c r="S108" s="294"/>
      <c r="T108" s="294"/>
      <c r="U108" s="294"/>
      <c r="V108" s="294"/>
      <c r="W108" s="294"/>
      <c r="X108" s="294"/>
      <c r="Y108" s="294"/>
      <c r="Z108" s="294"/>
      <c r="AA108" s="294"/>
      <c r="AB108" s="294"/>
    </row>
    <row r="109">
      <c r="A109" s="294"/>
      <c r="B109" s="294"/>
      <c r="C109" s="294"/>
      <c r="D109" s="294"/>
      <c r="E109" s="294"/>
      <c r="F109" s="294"/>
      <c r="G109" s="294"/>
      <c r="H109" s="294"/>
      <c r="I109" s="294"/>
      <c r="J109" s="294"/>
      <c r="K109" s="294"/>
      <c r="L109" s="294"/>
      <c r="M109" s="294"/>
      <c r="N109" s="294"/>
      <c r="O109" s="294"/>
      <c r="P109" s="294"/>
      <c r="Q109" s="294"/>
      <c r="R109" s="294"/>
      <c r="S109" s="294"/>
      <c r="T109" s="294"/>
      <c r="U109" s="294"/>
      <c r="V109" s="294"/>
      <c r="W109" s="294"/>
      <c r="X109" s="294"/>
      <c r="Y109" s="294"/>
      <c r="Z109" s="294"/>
      <c r="AA109" s="294"/>
      <c r="AB109" s="294"/>
    </row>
    <row r="110">
      <c r="A110" s="294"/>
      <c r="B110" s="294"/>
      <c r="C110" s="294"/>
      <c r="D110" s="294"/>
      <c r="E110" s="294"/>
      <c r="F110" s="294"/>
      <c r="G110" s="294"/>
      <c r="H110" s="294"/>
      <c r="I110" s="294"/>
      <c r="J110" s="294"/>
      <c r="K110" s="294"/>
      <c r="L110" s="294"/>
      <c r="M110" s="294"/>
      <c r="N110" s="294"/>
      <c r="O110" s="294"/>
      <c r="P110" s="294"/>
      <c r="Q110" s="294"/>
      <c r="R110" s="294"/>
      <c r="S110" s="294"/>
      <c r="T110" s="294"/>
      <c r="U110" s="294"/>
      <c r="V110" s="294"/>
      <c r="W110" s="294"/>
      <c r="X110" s="294"/>
      <c r="Y110" s="294"/>
      <c r="Z110" s="294"/>
      <c r="AA110" s="294"/>
      <c r="AB110" s="294"/>
    </row>
    <row r="111">
      <c r="A111" s="294"/>
      <c r="B111" s="294"/>
      <c r="C111" s="294"/>
      <c r="D111" s="294"/>
      <c r="E111" s="294"/>
      <c r="F111" s="294"/>
      <c r="G111" s="294"/>
      <c r="H111" s="294"/>
      <c r="I111" s="294"/>
      <c r="J111" s="294"/>
      <c r="K111" s="294"/>
      <c r="L111" s="294"/>
      <c r="M111" s="294"/>
      <c r="N111" s="294"/>
      <c r="O111" s="294"/>
      <c r="P111" s="294"/>
      <c r="Q111" s="294"/>
      <c r="R111" s="294"/>
      <c r="S111" s="294"/>
      <c r="T111" s="294"/>
      <c r="U111" s="294"/>
      <c r="V111" s="294"/>
      <c r="W111" s="294"/>
      <c r="X111" s="294"/>
      <c r="Y111" s="294"/>
      <c r="Z111" s="294"/>
      <c r="AA111" s="294"/>
      <c r="AB111" s="294"/>
    </row>
    <row r="112">
      <c r="A112" s="294"/>
      <c r="B112" s="294"/>
      <c r="C112" s="294"/>
      <c r="D112" s="294"/>
      <c r="E112" s="294"/>
      <c r="F112" s="294"/>
      <c r="G112" s="294"/>
      <c r="H112" s="294"/>
      <c r="I112" s="294"/>
      <c r="J112" s="294"/>
      <c r="K112" s="294"/>
      <c r="L112" s="294"/>
      <c r="M112" s="294"/>
      <c r="N112" s="294"/>
      <c r="O112" s="294"/>
      <c r="P112" s="294"/>
      <c r="Q112" s="294"/>
      <c r="R112" s="294"/>
      <c r="S112" s="294"/>
      <c r="T112" s="294"/>
      <c r="U112" s="294"/>
      <c r="V112" s="294"/>
      <c r="W112" s="294"/>
      <c r="X112" s="294"/>
      <c r="Y112" s="294"/>
      <c r="Z112" s="294"/>
      <c r="AA112" s="294"/>
      <c r="AB112" s="294"/>
    </row>
    <row r="113">
      <c r="A113" s="294"/>
      <c r="B113" s="294"/>
      <c r="C113" s="294"/>
      <c r="D113" s="294"/>
      <c r="E113" s="294"/>
      <c r="F113" s="294"/>
      <c r="G113" s="294"/>
      <c r="H113" s="294"/>
      <c r="I113" s="294"/>
      <c r="J113" s="294"/>
      <c r="K113" s="294"/>
      <c r="L113" s="294"/>
      <c r="M113" s="294"/>
      <c r="N113" s="294"/>
      <c r="O113" s="294"/>
      <c r="P113" s="294"/>
      <c r="Q113" s="294"/>
      <c r="R113" s="294"/>
      <c r="S113" s="294"/>
      <c r="T113" s="294"/>
      <c r="U113" s="294"/>
      <c r="V113" s="294"/>
      <c r="W113" s="294"/>
      <c r="X113" s="294"/>
      <c r="Y113" s="294"/>
      <c r="Z113" s="294"/>
      <c r="AA113" s="294"/>
      <c r="AB113" s="294"/>
    </row>
    <row r="114">
      <c r="A114" s="294"/>
      <c r="B114" s="294"/>
      <c r="C114" s="294"/>
      <c r="D114" s="294"/>
      <c r="E114" s="294"/>
      <c r="F114" s="294"/>
      <c r="G114" s="294"/>
      <c r="H114" s="294"/>
      <c r="I114" s="294"/>
      <c r="J114" s="294"/>
      <c r="K114" s="294"/>
      <c r="L114" s="294"/>
      <c r="M114" s="294"/>
      <c r="N114" s="294"/>
      <c r="O114" s="294"/>
      <c r="P114" s="294"/>
      <c r="Q114" s="294"/>
      <c r="R114" s="294"/>
      <c r="S114" s="294"/>
      <c r="T114" s="294"/>
      <c r="U114" s="294"/>
      <c r="V114" s="294"/>
      <c r="W114" s="294"/>
      <c r="X114" s="294"/>
      <c r="Y114" s="294"/>
      <c r="Z114" s="294"/>
      <c r="AA114" s="294"/>
      <c r="AB114" s="294"/>
    </row>
    <row r="115">
      <c r="A115" s="294"/>
      <c r="B115" s="294"/>
      <c r="C115" s="294"/>
      <c r="D115" s="294"/>
      <c r="E115" s="294"/>
      <c r="F115" s="294"/>
      <c r="G115" s="294"/>
      <c r="H115" s="294"/>
      <c r="I115" s="294"/>
      <c r="J115" s="294"/>
      <c r="K115" s="294"/>
      <c r="L115" s="294"/>
      <c r="M115" s="294"/>
      <c r="N115" s="294"/>
      <c r="O115" s="294"/>
      <c r="P115" s="294"/>
      <c r="Q115" s="294"/>
      <c r="R115" s="294"/>
      <c r="S115" s="294"/>
      <c r="T115" s="294"/>
      <c r="U115" s="294"/>
      <c r="V115" s="294"/>
      <c r="W115" s="294"/>
      <c r="X115" s="294"/>
      <c r="Y115" s="294"/>
      <c r="Z115" s="294"/>
      <c r="AA115" s="294"/>
      <c r="AB115" s="294"/>
    </row>
    <row r="116">
      <c r="A116" s="294"/>
      <c r="B116" s="294"/>
      <c r="C116" s="294"/>
      <c r="D116" s="294"/>
      <c r="E116" s="294"/>
      <c r="F116" s="294"/>
      <c r="G116" s="294"/>
      <c r="H116" s="294"/>
      <c r="I116" s="294"/>
      <c r="J116" s="294"/>
      <c r="K116" s="294"/>
      <c r="L116" s="294"/>
      <c r="M116" s="294"/>
      <c r="N116" s="294"/>
      <c r="O116" s="294"/>
      <c r="P116" s="294"/>
      <c r="Q116" s="294"/>
      <c r="R116" s="294"/>
      <c r="S116" s="294"/>
      <c r="T116" s="294"/>
      <c r="U116" s="294"/>
      <c r="V116" s="294"/>
      <c r="W116" s="294"/>
      <c r="X116" s="294"/>
      <c r="Y116" s="294"/>
      <c r="Z116" s="294"/>
      <c r="AA116" s="294"/>
      <c r="AB116" s="294"/>
    </row>
    <row r="117">
      <c r="A117" s="294"/>
      <c r="B117" s="294"/>
      <c r="C117" s="294"/>
      <c r="D117" s="294"/>
      <c r="E117" s="294"/>
      <c r="F117" s="294"/>
      <c r="G117" s="294"/>
      <c r="H117" s="294"/>
      <c r="I117" s="294"/>
      <c r="J117" s="294"/>
      <c r="K117" s="294"/>
      <c r="L117" s="294"/>
      <c r="M117" s="294"/>
      <c r="N117" s="294"/>
      <c r="O117" s="294"/>
      <c r="P117" s="294"/>
      <c r="Q117" s="294"/>
      <c r="R117" s="294"/>
      <c r="S117" s="294"/>
      <c r="T117" s="294"/>
      <c r="U117" s="294"/>
      <c r="V117" s="294"/>
      <c r="W117" s="294"/>
      <c r="X117" s="294"/>
      <c r="Y117" s="294"/>
      <c r="Z117" s="294"/>
      <c r="AA117" s="294"/>
      <c r="AB117" s="294"/>
    </row>
    <row r="118">
      <c r="A118" s="294"/>
      <c r="B118" s="294"/>
      <c r="C118" s="294"/>
      <c r="D118" s="294"/>
      <c r="E118" s="294"/>
      <c r="F118" s="294"/>
      <c r="G118" s="294"/>
      <c r="H118" s="294"/>
      <c r="I118" s="294"/>
      <c r="J118" s="294"/>
      <c r="K118" s="294"/>
      <c r="L118" s="294"/>
      <c r="M118" s="294"/>
      <c r="N118" s="294"/>
      <c r="O118" s="294"/>
      <c r="P118" s="294"/>
      <c r="Q118" s="294"/>
      <c r="R118" s="294"/>
      <c r="S118" s="294"/>
      <c r="T118" s="294"/>
      <c r="U118" s="294"/>
      <c r="V118" s="294"/>
      <c r="W118" s="294"/>
      <c r="X118" s="294"/>
      <c r="Y118" s="294"/>
      <c r="Z118" s="294"/>
      <c r="AA118" s="294"/>
      <c r="AB118" s="294"/>
    </row>
    <row r="119">
      <c r="A119" s="294"/>
      <c r="B119" s="294"/>
      <c r="C119" s="294"/>
      <c r="D119" s="294"/>
      <c r="E119" s="294"/>
      <c r="F119" s="294"/>
      <c r="G119" s="294"/>
      <c r="H119" s="294"/>
      <c r="I119" s="294"/>
      <c r="J119" s="294"/>
      <c r="K119" s="294"/>
      <c r="L119" s="294"/>
      <c r="M119" s="294"/>
      <c r="N119" s="294"/>
      <c r="O119" s="294"/>
      <c r="P119" s="294"/>
      <c r="Q119" s="294"/>
      <c r="R119" s="294"/>
      <c r="S119" s="294"/>
      <c r="T119" s="294"/>
      <c r="U119" s="294"/>
      <c r="V119" s="294"/>
      <c r="W119" s="294"/>
      <c r="X119" s="294"/>
      <c r="Y119" s="294"/>
      <c r="Z119" s="294"/>
      <c r="AA119" s="294"/>
      <c r="AB119" s="294"/>
    </row>
    <row r="120">
      <c r="A120" s="294"/>
      <c r="B120" s="294"/>
      <c r="C120" s="294"/>
      <c r="D120" s="294"/>
      <c r="E120" s="294"/>
      <c r="F120" s="294"/>
      <c r="G120" s="294"/>
      <c r="H120" s="294"/>
      <c r="I120" s="294"/>
      <c r="J120" s="294"/>
      <c r="K120" s="294"/>
      <c r="L120" s="294"/>
      <c r="M120" s="294"/>
      <c r="N120" s="294"/>
      <c r="O120" s="294"/>
      <c r="P120" s="294"/>
      <c r="Q120" s="294"/>
      <c r="R120" s="294"/>
      <c r="S120" s="294"/>
      <c r="T120" s="294"/>
      <c r="U120" s="294"/>
      <c r="V120" s="294"/>
      <c r="W120" s="294"/>
      <c r="X120" s="294"/>
      <c r="Y120" s="294"/>
      <c r="Z120" s="294"/>
      <c r="AA120" s="294"/>
      <c r="AB120" s="294"/>
    </row>
    <row r="121">
      <c r="A121" s="294"/>
      <c r="B121" s="294"/>
      <c r="C121" s="294"/>
      <c r="D121" s="294"/>
      <c r="E121" s="294"/>
      <c r="F121" s="294"/>
      <c r="G121" s="294"/>
      <c r="H121" s="294"/>
      <c r="I121" s="294"/>
      <c r="J121" s="294"/>
      <c r="K121" s="294"/>
      <c r="L121" s="294"/>
      <c r="M121" s="294"/>
      <c r="N121" s="294"/>
      <c r="O121" s="294"/>
      <c r="P121" s="294"/>
      <c r="Q121" s="294"/>
      <c r="R121" s="294"/>
      <c r="S121" s="294"/>
      <c r="T121" s="294"/>
      <c r="U121" s="294"/>
      <c r="V121" s="294"/>
      <c r="W121" s="294"/>
      <c r="X121" s="294"/>
      <c r="Y121" s="294"/>
      <c r="Z121" s="294"/>
      <c r="AA121" s="294"/>
      <c r="AB121" s="294"/>
    </row>
    <row r="122">
      <c r="A122" s="294"/>
      <c r="B122" s="294"/>
      <c r="C122" s="294"/>
      <c r="D122" s="294"/>
      <c r="E122" s="294"/>
      <c r="F122" s="294"/>
      <c r="G122" s="294"/>
      <c r="H122" s="294"/>
      <c r="I122" s="294"/>
      <c r="J122" s="294"/>
      <c r="K122" s="294"/>
      <c r="L122" s="294"/>
      <c r="M122" s="294"/>
      <c r="N122" s="294"/>
      <c r="O122" s="294"/>
      <c r="P122" s="294"/>
      <c r="Q122" s="294"/>
      <c r="R122" s="294"/>
      <c r="S122" s="294"/>
      <c r="T122" s="294"/>
      <c r="U122" s="294"/>
      <c r="V122" s="294"/>
      <c r="W122" s="294"/>
      <c r="X122" s="294"/>
      <c r="Y122" s="294"/>
      <c r="Z122" s="294"/>
      <c r="AA122" s="294"/>
      <c r="AB122" s="294"/>
    </row>
    <row r="123">
      <c r="A123" s="294"/>
      <c r="B123" s="294"/>
      <c r="C123" s="294"/>
      <c r="D123" s="294"/>
      <c r="E123" s="294"/>
      <c r="F123" s="294"/>
      <c r="G123" s="294"/>
      <c r="H123" s="294"/>
      <c r="I123" s="294"/>
      <c r="J123" s="294"/>
      <c r="K123" s="294"/>
      <c r="L123" s="294"/>
      <c r="M123" s="294"/>
      <c r="N123" s="294"/>
      <c r="O123" s="294"/>
      <c r="P123" s="294"/>
      <c r="Q123" s="294"/>
      <c r="R123" s="294"/>
      <c r="S123" s="294"/>
      <c r="T123" s="294"/>
      <c r="U123" s="294"/>
      <c r="V123" s="294"/>
      <c r="W123" s="294"/>
      <c r="X123" s="294"/>
      <c r="Y123" s="294"/>
      <c r="Z123" s="294"/>
      <c r="AA123" s="294"/>
      <c r="AB123" s="294"/>
    </row>
    <row r="124">
      <c r="A124" s="294"/>
      <c r="B124" s="294"/>
      <c r="C124" s="294"/>
      <c r="D124" s="294"/>
      <c r="E124" s="294"/>
      <c r="F124" s="294"/>
      <c r="G124" s="294"/>
      <c r="H124" s="294"/>
      <c r="I124" s="294"/>
      <c r="J124" s="294"/>
      <c r="K124" s="294"/>
      <c r="L124" s="294"/>
      <c r="M124" s="294"/>
      <c r="N124" s="294"/>
      <c r="O124" s="294"/>
      <c r="P124" s="294"/>
      <c r="Q124" s="294"/>
      <c r="R124" s="294"/>
      <c r="S124" s="294"/>
      <c r="T124" s="294"/>
      <c r="U124" s="294"/>
      <c r="V124" s="294"/>
      <c r="W124" s="294"/>
      <c r="X124" s="294"/>
      <c r="Y124" s="294"/>
      <c r="Z124" s="294"/>
      <c r="AA124" s="294"/>
      <c r="AB124" s="294"/>
    </row>
    <row r="125">
      <c r="A125" s="294"/>
      <c r="B125" s="294"/>
      <c r="C125" s="294"/>
      <c r="D125" s="294"/>
      <c r="E125" s="294"/>
      <c r="F125" s="294"/>
      <c r="G125" s="294"/>
      <c r="H125" s="294"/>
      <c r="I125" s="294"/>
      <c r="J125" s="294"/>
      <c r="K125" s="294"/>
      <c r="L125" s="294"/>
      <c r="M125" s="294"/>
      <c r="N125" s="294"/>
      <c r="O125" s="294"/>
      <c r="P125" s="294"/>
      <c r="Q125" s="294"/>
      <c r="R125" s="294"/>
      <c r="S125" s="294"/>
      <c r="T125" s="294"/>
      <c r="U125" s="294"/>
      <c r="V125" s="294"/>
      <c r="W125" s="294"/>
      <c r="X125" s="294"/>
      <c r="Y125" s="294"/>
      <c r="Z125" s="294"/>
      <c r="AA125" s="294"/>
      <c r="AB125" s="294"/>
    </row>
    <row r="126">
      <c r="A126" s="294"/>
      <c r="B126" s="294"/>
      <c r="C126" s="294"/>
      <c r="D126" s="294"/>
      <c r="E126" s="294"/>
      <c r="F126" s="294"/>
      <c r="G126" s="294"/>
      <c r="H126" s="294"/>
      <c r="I126" s="294"/>
      <c r="J126" s="294"/>
      <c r="K126" s="294"/>
      <c r="L126" s="294"/>
      <c r="M126" s="294"/>
      <c r="N126" s="294"/>
      <c r="O126" s="294"/>
      <c r="P126" s="294"/>
      <c r="Q126" s="294"/>
      <c r="R126" s="294"/>
      <c r="S126" s="294"/>
      <c r="T126" s="294"/>
      <c r="U126" s="294"/>
      <c r="V126" s="294"/>
      <c r="W126" s="294"/>
      <c r="X126" s="294"/>
      <c r="Y126" s="294"/>
      <c r="Z126" s="294"/>
      <c r="AA126" s="294"/>
      <c r="AB126" s="294"/>
    </row>
    <row r="127">
      <c r="A127" s="294"/>
      <c r="B127" s="294"/>
      <c r="C127" s="294"/>
      <c r="D127" s="294"/>
      <c r="E127" s="294"/>
      <c r="F127" s="294"/>
      <c r="G127" s="294"/>
      <c r="H127" s="294"/>
      <c r="I127" s="294"/>
      <c r="J127" s="294"/>
      <c r="K127" s="294"/>
      <c r="L127" s="294"/>
      <c r="M127" s="294"/>
      <c r="N127" s="294"/>
      <c r="O127" s="294"/>
      <c r="P127" s="294"/>
      <c r="Q127" s="294"/>
      <c r="R127" s="294"/>
      <c r="S127" s="294"/>
      <c r="T127" s="294"/>
      <c r="U127" s="294"/>
      <c r="V127" s="294"/>
      <c r="W127" s="294"/>
      <c r="X127" s="294"/>
      <c r="Y127" s="294"/>
      <c r="Z127" s="294"/>
      <c r="AA127" s="294"/>
      <c r="AB127" s="294"/>
    </row>
    <row r="128">
      <c r="A128" s="294"/>
      <c r="B128" s="294"/>
      <c r="C128" s="294"/>
      <c r="D128" s="294"/>
      <c r="E128" s="294"/>
      <c r="F128" s="294"/>
      <c r="G128" s="294"/>
      <c r="H128" s="294"/>
      <c r="I128" s="294"/>
      <c r="J128" s="294"/>
      <c r="K128" s="294"/>
      <c r="L128" s="294"/>
      <c r="M128" s="294"/>
      <c r="N128" s="294"/>
      <c r="O128" s="294"/>
      <c r="P128" s="294"/>
      <c r="Q128" s="294"/>
      <c r="R128" s="294"/>
      <c r="S128" s="294"/>
      <c r="T128" s="294"/>
      <c r="U128" s="294"/>
      <c r="V128" s="294"/>
      <c r="W128" s="294"/>
      <c r="X128" s="294"/>
      <c r="Y128" s="294"/>
      <c r="Z128" s="294"/>
      <c r="AA128" s="294"/>
      <c r="AB128" s="294"/>
    </row>
    <row r="129">
      <c r="A129" s="294"/>
      <c r="B129" s="294"/>
      <c r="C129" s="294"/>
      <c r="D129" s="294"/>
      <c r="E129" s="294"/>
      <c r="F129" s="294"/>
      <c r="G129" s="294"/>
      <c r="H129" s="294"/>
      <c r="I129" s="294"/>
      <c r="J129" s="294"/>
      <c r="K129" s="294"/>
      <c r="L129" s="294"/>
      <c r="M129" s="294"/>
      <c r="N129" s="294"/>
      <c r="O129" s="294"/>
      <c r="P129" s="294"/>
      <c r="Q129" s="294"/>
      <c r="R129" s="294"/>
      <c r="S129" s="294"/>
      <c r="T129" s="294"/>
      <c r="U129" s="294"/>
      <c r="V129" s="294"/>
      <c r="W129" s="294"/>
      <c r="X129" s="294"/>
      <c r="Y129" s="294"/>
      <c r="Z129" s="294"/>
      <c r="AA129" s="294"/>
      <c r="AB129" s="294"/>
    </row>
    <row r="130">
      <c r="A130" s="294"/>
      <c r="B130" s="294"/>
      <c r="C130" s="294"/>
      <c r="D130" s="294"/>
      <c r="E130" s="294"/>
      <c r="F130" s="294"/>
      <c r="G130" s="294"/>
      <c r="H130" s="294"/>
      <c r="I130" s="294"/>
      <c r="J130" s="294"/>
      <c r="K130" s="294"/>
      <c r="L130" s="294"/>
      <c r="M130" s="294"/>
      <c r="N130" s="294"/>
      <c r="O130" s="294"/>
      <c r="P130" s="294"/>
      <c r="Q130" s="294"/>
      <c r="R130" s="294"/>
      <c r="S130" s="294"/>
      <c r="T130" s="294"/>
      <c r="U130" s="294"/>
      <c r="V130" s="294"/>
      <c r="W130" s="294"/>
      <c r="X130" s="294"/>
      <c r="Y130" s="294"/>
      <c r="Z130" s="294"/>
      <c r="AA130" s="294"/>
      <c r="AB130" s="294"/>
    </row>
    <row r="131">
      <c r="A131" s="294"/>
      <c r="B131" s="294"/>
      <c r="C131" s="294"/>
      <c r="D131" s="294"/>
      <c r="E131" s="294"/>
      <c r="F131" s="294"/>
      <c r="G131" s="294"/>
      <c r="H131" s="294"/>
      <c r="I131" s="294"/>
      <c r="J131" s="294"/>
      <c r="K131" s="294"/>
      <c r="L131" s="294"/>
      <c r="M131" s="294"/>
      <c r="N131" s="294"/>
      <c r="O131" s="294"/>
      <c r="P131" s="294"/>
      <c r="Q131" s="294"/>
      <c r="R131" s="294"/>
      <c r="S131" s="294"/>
      <c r="T131" s="294"/>
      <c r="U131" s="294"/>
      <c r="V131" s="294"/>
      <c r="W131" s="294"/>
      <c r="X131" s="294"/>
      <c r="Y131" s="294"/>
      <c r="Z131" s="294"/>
      <c r="AA131" s="294"/>
      <c r="AB131" s="294"/>
    </row>
    <row r="132">
      <c r="A132" s="294"/>
      <c r="B132" s="294"/>
      <c r="C132" s="294"/>
      <c r="D132" s="294"/>
      <c r="E132" s="294"/>
      <c r="F132" s="294"/>
      <c r="G132" s="294"/>
      <c r="H132" s="294"/>
      <c r="I132" s="294"/>
      <c r="J132" s="294"/>
      <c r="K132" s="294"/>
      <c r="L132" s="294"/>
      <c r="M132" s="294"/>
      <c r="N132" s="294"/>
      <c r="O132" s="294"/>
      <c r="P132" s="294"/>
      <c r="Q132" s="294"/>
      <c r="R132" s="294"/>
      <c r="S132" s="294"/>
      <c r="T132" s="294"/>
      <c r="U132" s="294"/>
      <c r="V132" s="294"/>
      <c r="W132" s="294"/>
      <c r="X132" s="294"/>
      <c r="Y132" s="294"/>
      <c r="Z132" s="294"/>
      <c r="AA132" s="294"/>
      <c r="AB132" s="294"/>
    </row>
    <row r="133">
      <c r="A133" s="294"/>
      <c r="B133" s="294"/>
      <c r="C133" s="294"/>
      <c r="D133" s="294"/>
      <c r="E133" s="294"/>
      <c r="F133" s="294"/>
      <c r="G133" s="294"/>
      <c r="H133" s="294"/>
      <c r="I133" s="294"/>
      <c r="J133" s="294"/>
      <c r="K133" s="294"/>
      <c r="L133" s="294"/>
      <c r="M133" s="294"/>
      <c r="N133" s="294"/>
      <c r="O133" s="294"/>
      <c r="P133" s="294"/>
      <c r="Q133" s="294"/>
      <c r="R133" s="294"/>
      <c r="S133" s="294"/>
      <c r="T133" s="294"/>
      <c r="U133" s="294"/>
      <c r="V133" s="294"/>
      <c r="W133" s="294"/>
      <c r="X133" s="294"/>
      <c r="Y133" s="294"/>
      <c r="Z133" s="294"/>
      <c r="AA133" s="294"/>
      <c r="AB133" s="294"/>
    </row>
    <row r="134">
      <c r="A134" s="294"/>
      <c r="B134" s="294"/>
      <c r="C134" s="294"/>
      <c r="D134" s="294"/>
      <c r="E134" s="294"/>
      <c r="F134" s="294"/>
      <c r="G134" s="294"/>
      <c r="H134" s="294"/>
      <c r="I134" s="294"/>
      <c r="J134" s="294"/>
      <c r="K134" s="294"/>
      <c r="L134" s="294"/>
      <c r="M134" s="294"/>
      <c r="N134" s="294"/>
      <c r="O134" s="294"/>
      <c r="P134" s="294"/>
      <c r="Q134" s="294"/>
      <c r="R134" s="294"/>
      <c r="S134" s="294"/>
      <c r="T134" s="294"/>
      <c r="U134" s="294"/>
      <c r="V134" s="294"/>
      <c r="W134" s="294"/>
      <c r="X134" s="294"/>
      <c r="Y134" s="294"/>
      <c r="Z134" s="294"/>
      <c r="AA134" s="294"/>
      <c r="AB134" s="294"/>
    </row>
    <row r="135">
      <c r="A135" s="294"/>
      <c r="B135" s="294"/>
      <c r="C135" s="294"/>
      <c r="D135" s="294"/>
      <c r="E135" s="294"/>
      <c r="F135" s="294"/>
      <c r="G135" s="294"/>
      <c r="H135" s="294"/>
      <c r="I135" s="294"/>
      <c r="J135" s="294"/>
      <c r="K135" s="294"/>
      <c r="L135" s="294"/>
      <c r="M135" s="294"/>
      <c r="N135" s="294"/>
      <c r="O135" s="294"/>
      <c r="P135" s="294"/>
      <c r="Q135" s="294"/>
      <c r="R135" s="294"/>
      <c r="S135" s="294"/>
      <c r="T135" s="294"/>
      <c r="U135" s="294"/>
      <c r="V135" s="294"/>
      <c r="W135" s="294"/>
      <c r="X135" s="294"/>
      <c r="Y135" s="294"/>
      <c r="Z135" s="294"/>
      <c r="AA135" s="294"/>
      <c r="AB135" s="294"/>
    </row>
    <row r="136">
      <c r="A136" s="294"/>
      <c r="B136" s="294"/>
      <c r="C136" s="294"/>
      <c r="D136" s="294"/>
      <c r="E136" s="294"/>
      <c r="F136" s="294"/>
      <c r="G136" s="294"/>
      <c r="H136" s="294"/>
      <c r="I136" s="294"/>
      <c r="J136" s="294"/>
      <c r="K136" s="294"/>
      <c r="L136" s="294"/>
      <c r="M136" s="294"/>
      <c r="N136" s="294"/>
      <c r="O136" s="294"/>
      <c r="P136" s="294"/>
      <c r="Q136" s="294"/>
      <c r="R136" s="294"/>
      <c r="S136" s="294"/>
      <c r="T136" s="294"/>
      <c r="U136" s="294"/>
      <c r="V136" s="294"/>
      <c r="W136" s="294"/>
      <c r="X136" s="294"/>
      <c r="Y136" s="294"/>
      <c r="Z136" s="294"/>
      <c r="AA136" s="294"/>
      <c r="AB136" s="294"/>
    </row>
    <row r="137">
      <c r="A137" s="294"/>
      <c r="B137" s="294"/>
      <c r="C137" s="294"/>
      <c r="D137" s="294"/>
      <c r="E137" s="294"/>
      <c r="F137" s="294"/>
      <c r="G137" s="294"/>
      <c r="H137" s="294"/>
      <c r="I137" s="294"/>
      <c r="J137" s="294"/>
      <c r="K137" s="294"/>
      <c r="L137" s="294"/>
      <c r="M137" s="294"/>
      <c r="N137" s="294"/>
      <c r="O137" s="294"/>
      <c r="P137" s="294"/>
      <c r="Q137" s="294"/>
      <c r="R137" s="294"/>
      <c r="S137" s="294"/>
      <c r="T137" s="294"/>
      <c r="U137" s="294"/>
      <c r="V137" s="294"/>
      <c r="W137" s="294"/>
      <c r="X137" s="294"/>
      <c r="Y137" s="294"/>
      <c r="Z137" s="294"/>
      <c r="AA137" s="294"/>
      <c r="AB137" s="294"/>
    </row>
    <row r="138">
      <c r="A138" s="294"/>
      <c r="B138" s="294"/>
      <c r="C138" s="294"/>
      <c r="D138" s="294"/>
      <c r="E138" s="294"/>
      <c r="F138" s="294"/>
      <c r="G138" s="294"/>
      <c r="H138" s="294"/>
      <c r="I138" s="294"/>
      <c r="J138" s="294"/>
      <c r="K138" s="294"/>
      <c r="L138" s="294"/>
      <c r="M138" s="294"/>
      <c r="N138" s="294"/>
      <c r="O138" s="294"/>
      <c r="P138" s="294"/>
      <c r="Q138" s="294"/>
      <c r="R138" s="294"/>
      <c r="S138" s="294"/>
      <c r="T138" s="294"/>
      <c r="U138" s="294"/>
      <c r="V138" s="294"/>
      <c r="W138" s="294"/>
      <c r="X138" s="294"/>
      <c r="Y138" s="294"/>
      <c r="Z138" s="294"/>
      <c r="AA138" s="294"/>
      <c r="AB138" s="294"/>
    </row>
    <row r="139">
      <c r="A139" s="294"/>
      <c r="B139" s="294"/>
      <c r="C139" s="294"/>
      <c r="D139" s="294"/>
      <c r="E139" s="294"/>
      <c r="F139" s="294"/>
      <c r="G139" s="294"/>
      <c r="H139" s="294"/>
      <c r="I139" s="294"/>
      <c r="J139" s="294"/>
      <c r="K139" s="294"/>
      <c r="L139" s="294"/>
      <c r="M139" s="294"/>
      <c r="N139" s="294"/>
      <c r="O139" s="294"/>
      <c r="P139" s="294"/>
      <c r="Q139" s="294"/>
      <c r="R139" s="294"/>
      <c r="S139" s="294"/>
      <c r="T139" s="294"/>
      <c r="U139" s="294"/>
      <c r="V139" s="294"/>
      <c r="W139" s="294"/>
      <c r="X139" s="294"/>
      <c r="Y139" s="294"/>
      <c r="Z139" s="294"/>
      <c r="AA139" s="294"/>
      <c r="AB139" s="294"/>
    </row>
    <row r="140">
      <c r="A140" s="294"/>
      <c r="B140" s="294"/>
      <c r="C140" s="294"/>
      <c r="D140" s="294"/>
      <c r="E140" s="294"/>
      <c r="F140" s="294"/>
      <c r="G140" s="294"/>
      <c r="H140" s="294"/>
      <c r="I140" s="294"/>
      <c r="J140" s="294"/>
      <c r="K140" s="294"/>
      <c r="L140" s="294"/>
      <c r="M140" s="294"/>
      <c r="N140" s="294"/>
      <c r="O140" s="294"/>
      <c r="P140" s="294"/>
      <c r="Q140" s="294"/>
      <c r="R140" s="294"/>
      <c r="S140" s="294"/>
      <c r="T140" s="294"/>
      <c r="U140" s="294"/>
      <c r="V140" s="294"/>
      <c r="W140" s="294"/>
      <c r="X140" s="294"/>
      <c r="Y140" s="294"/>
      <c r="Z140" s="294"/>
      <c r="AA140" s="294"/>
      <c r="AB140" s="294"/>
    </row>
    <row r="141">
      <c r="A141" s="294"/>
      <c r="B141" s="294"/>
      <c r="C141" s="294"/>
      <c r="D141" s="294"/>
      <c r="E141" s="294"/>
      <c r="F141" s="294"/>
      <c r="G141" s="294"/>
      <c r="H141" s="294"/>
      <c r="I141" s="294"/>
      <c r="J141" s="294"/>
      <c r="K141" s="294"/>
      <c r="L141" s="294"/>
      <c r="M141" s="294"/>
      <c r="N141" s="294"/>
      <c r="O141" s="294"/>
      <c r="P141" s="294"/>
      <c r="Q141" s="294"/>
      <c r="R141" s="294"/>
      <c r="S141" s="294"/>
      <c r="T141" s="294"/>
      <c r="U141" s="294"/>
      <c r="V141" s="294"/>
      <c r="W141" s="294"/>
      <c r="X141" s="294"/>
      <c r="Y141" s="294"/>
      <c r="Z141" s="294"/>
      <c r="AA141" s="294"/>
      <c r="AB141" s="294"/>
    </row>
    <row r="142">
      <c r="A142" s="294"/>
      <c r="B142" s="294"/>
      <c r="C142" s="294"/>
      <c r="D142" s="294"/>
      <c r="E142" s="294"/>
      <c r="F142" s="294"/>
      <c r="G142" s="294"/>
      <c r="H142" s="294"/>
      <c r="I142" s="294"/>
      <c r="J142" s="294"/>
      <c r="K142" s="294"/>
      <c r="L142" s="294"/>
      <c r="M142" s="294"/>
      <c r="N142" s="294"/>
      <c r="O142" s="294"/>
      <c r="P142" s="294"/>
      <c r="Q142" s="294"/>
      <c r="R142" s="294"/>
      <c r="S142" s="294"/>
      <c r="T142" s="294"/>
      <c r="U142" s="294"/>
      <c r="V142" s="294"/>
      <c r="W142" s="294"/>
      <c r="X142" s="294"/>
      <c r="Y142" s="294"/>
      <c r="Z142" s="294"/>
      <c r="AA142" s="294"/>
      <c r="AB142" s="294"/>
    </row>
    <row r="143">
      <c r="A143" s="294"/>
      <c r="B143" s="294"/>
      <c r="C143" s="294"/>
      <c r="D143" s="294"/>
      <c r="E143" s="294"/>
      <c r="F143" s="294"/>
      <c r="G143" s="294"/>
      <c r="H143" s="294"/>
      <c r="I143" s="294"/>
      <c r="J143" s="294"/>
      <c r="K143" s="294"/>
      <c r="L143" s="294"/>
      <c r="M143" s="294"/>
      <c r="N143" s="294"/>
      <c r="O143" s="294"/>
      <c r="P143" s="294"/>
      <c r="Q143" s="294"/>
      <c r="R143" s="294"/>
      <c r="S143" s="294"/>
      <c r="T143" s="294"/>
      <c r="U143" s="294"/>
      <c r="V143" s="294"/>
      <c r="W143" s="294"/>
      <c r="X143" s="294"/>
      <c r="Y143" s="294"/>
      <c r="Z143" s="294"/>
      <c r="AA143" s="294"/>
      <c r="AB143" s="294"/>
    </row>
    <row r="144">
      <c r="A144" s="294"/>
      <c r="B144" s="294"/>
      <c r="C144" s="294"/>
      <c r="D144" s="294"/>
      <c r="E144" s="294"/>
      <c r="F144" s="294"/>
      <c r="G144" s="294"/>
      <c r="H144" s="294"/>
      <c r="I144" s="294"/>
      <c r="J144" s="294"/>
      <c r="K144" s="294"/>
      <c r="L144" s="294"/>
      <c r="M144" s="294"/>
      <c r="N144" s="294"/>
      <c r="O144" s="294"/>
      <c r="P144" s="294"/>
      <c r="Q144" s="294"/>
      <c r="R144" s="294"/>
      <c r="S144" s="294"/>
      <c r="T144" s="294"/>
      <c r="U144" s="294"/>
      <c r="V144" s="294"/>
      <c r="W144" s="294"/>
      <c r="X144" s="294"/>
      <c r="Y144" s="294"/>
      <c r="Z144" s="294"/>
      <c r="AA144" s="294"/>
      <c r="AB144" s="294"/>
    </row>
    <row r="145">
      <c r="A145" s="294"/>
      <c r="B145" s="294"/>
      <c r="C145" s="294"/>
      <c r="D145" s="294"/>
      <c r="E145" s="294"/>
      <c r="F145" s="294"/>
      <c r="G145" s="294"/>
      <c r="H145" s="294"/>
      <c r="I145" s="294"/>
      <c r="J145" s="294"/>
      <c r="K145" s="294"/>
      <c r="L145" s="294"/>
      <c r="M145" s="294"/>
      <c r="N145" s="294"/>
      <c r="O145" s="294"/>
      <c r="P145" s="294"/>
      <c r="Q145" s="294"/>
      <c r="R145" s="294"/>
      <c r="S145" s="294"/>
      <c r="T145" s="294"/>
      <c r="U145" s="294"/>
      <c r="V145" s="294"/>
      <c r="W145" s="294"/>
      <c r="X145" s="294"/>
      <c r="Y145" s="294"/>
      <c r="Z145" s="294"/>
      <c r="AA145" s="294"/>
      <c r="AB145" s="294"/>
    </row>
    <row r="146">
      <c r="A146" s="294"/>
      <c r="B146" s="294"/>
      <c r="C146" s="294"/>
      <c r="D146" s="294"/>
      <c r="E146" s="294"/>
      <c r="F146" s="294"/>
      <c r="G146" s="294"/>
      <c r="H146" s="294"/>
      <c r="I146" s="294"/>
      <c r="J146" s="294"/>
      <c r="K146" s="294"/>
      <c r="L146" s="294"/>
      <c r="M146" s="294"/>
      <c r="N146" s="294"/>
      <c r="O146" s="294"/>
      <c r="P146" s="294"/>
      <c r="Q146" s="294"/>
      <c r="R146" s="294"/>
      <c r="S146" s="294"/>
      <c r="T146" s="294"/>
      <c r="U146" s="294"/>
      <c r="V146" s="294"/>
      <c r="W146" s="294"/>
      <c r="X146" s="294"/>
      <c r="Y146" s="294"/>
      <c r="Z146" s="294"/>
      <c r="AA146" s="294"/>
      <c r="AB146" s="294"/>
    </row>
    <row r="147">
      <c r="A147" s="294"/>
      <c r="B147" s="294"/>
      <c r="C147" s="294"/>
      <c r="D147" s="294"/>
      <c r="E147" s="294"/>
      <c r="F147" s="294"/>
      <c r="G147" s="294"/>
      <c r="H147" s="294"/>
      <c r="I147" s="294"/>
      <c r="J147" s="294"/>
      <c r="K147" s="294"/>
      <c r="L147" s="294"/>
      <c r="M147" s="294"/>
      <c r="N147" s="294"/>
      <c r="O147" s="294"/>
      <c r="P147" s="294"/>
      <c r="Q147" s="294"/>
      <c r="R147" s="294"/>
      <c r="S147" s="294"/>
      <c r="T147" s="294"/>
      <c r="U147" s="294"/>
      <c r="V147" s="294"/>
      <c r="W147" s="294"/>
      <c r="X147" s="294"/>
      <c r="Y147" s="294"/>
      <c r="Z147" s="294"/>
      <c r="AA147" s="294"/>
      <c r="AB147" s="294"/>
    </row>
    <row r="148">
      <c r="A148" s="294"/>
      <c r="B148" s="294"/>
      <c r="C148" s="294"/>
      <c r="D148" s="294"/>
      <c r="E148" s="294"/>
      <c r="F148" s="294"/>
      <c r="G148" s="294"/>
      <c r="H148" s="294"/>
      <c r="I148" s="294"/>
      <c r="J148" s="294"/>
      <c r="K148" s="294"/>
      <c r="L148" s="294"/>
      <c r="M148" s="294"/>
      <c r="N148" s="294"/>
      <c r="O148" s="294"/>
      <c r="P148" s="294"/>
      <c r="Q148" s="294"/>
      <c r="R148" s="294"/>
      <c r="S148" s="294"/>
      <c r="T148" s="294"/>
      <c r="U148" s="294"/>
      <c r="V148" s="294"/>
      <c r="W148" s="294"/>
      <c r="X148" s="294"/>
      <c r="Y148" s="294"/>
      <c r="Z148" s="294"/>
      <c r="AA148" s="294"/>
      <c r="AB148" s="294"/>
    </row>
    <row r="149">
      <c r="A149" s="294"/>
      <c r="B149" s="294"/>
      <c r="C149" s="294"/>
      <c r="D149" s="294"/>
      <c r="E149" s="294"/>
      <c r="F149" s="294"/>
      <c r="G149" s="294"/>
      <c r="H149" s="294"/>
      <c r="I149" s="294"/>
      <c r="J149" s="294"/>
      <c r="K149" s="294"/>
      <c r="L149" s="294"/>
      <c r="M149" s="294"/>
      <c r="N149" s="294"/>
      <c r="O149" s="294"/>
      <c r="P149" s="294"/>
      <c r="Q149" s="294"/>
      <c r="R149" s="294"/>
      <c r="S149" s="294"/>
      <c r="T149" s="294"/>
      <c r="U149" s="294"/>
      <c r="V149" s="294"/>
      <c r="W149" s="294"/>
      <c r="X149" s="294"/>
      <c r="Y149" s="294"/>
      <c r="Z149" s="294"/>
      <c r="AA149" s="294"/>
      <c r="AB149" s="294"/>
    </row>
    <row r="150">
      <c r="A150" s="294"/>
      <c r="B150" s="294"/>
      <c r="C150" s="294"/>
      <c r="D150" s="294"/>
      <c r="E150" s="294"/>
      <c r="F150" s="294"/>
      <c r="G150" s="294"/>
      <c r="H150" s="294"/>
      <c r="I150" s="294"/>
      <c r="J150" s="294"/>
      <c r="K150" s="294"/>
      <c r="L150" s="294"/>
      <c r="M150" s="294"/>
      <c r="N150" s="294"/>
      <c r="O150" s="294"/>
      <c r="P150" s="294"/>
      <c r="Q150" s="294"/>
      <c r="R150" s="294"/>
      <c r="S150" s="294"/>
      <c r="T150" s="294"/>
      <c r="U150" s="294"/>
      <c r="V150" s="294"/>
      <c r="W150" s="294"/>
      <c r="X150" s="294"/>
      <c r="Y150" s="294"/>
      <c r="Z150" s="294"/>
      <c r="AA150" s="294"/>
      <c r="AB150" s="294"/>
    </row>
    <row r="151">
      <c r="A151" s="294"/>
      <c r="B151" s="294"/>
      <c r="C151" s="294"/>
      <c r="D151" s="294"/>
      <c r="E151" s="294"/>
      <c r="F151" s="294"/>
      <c r="G151" s="294"/>
      <c r="H151" s="294"/>
      <c r="I151" s="294"/>
      <c r="J151" s="294"/>
      <c r="K151" s="294"/>
      <c r="L151" s="294"/>
      <c r="M151" s="294"/>
      <c r="N151" s="294"/>
      <c r="O151" s="294"/>
      <c r="P151" s="294"/>
      <c r="Q151" s="294"/>
      <c r="R151" s="294"/>
      <c r="S151" s="294"/>
      <c r="T151" s="294"/>
      <c r="U151" s="294"/>
      <c r="V151" s="294"/>
      <c r="W151" s="294"/>
      <c r="X151" s="294"/>
      <c r="Y151" s="294"/>
      <c r="Z151" s="294"/>
      <c r="AA151" s="294"/>
      <c r="AB151" s="294"/>
    </row>
    <row r="152">
      <c r="A152" s="294"/>
      <c r="B152" s="294"/>
      <c r="C152" s="294"/>
      <c r="D152" s="294"/>
      <c r="E152" s="294"/>
      <c r="F152" s="294"/>
      <c r="G152" s="294"/>
      <c r="H152" s="294"/>
      <c r="I152" s="294"/>
      <c r="J152" s="294"/>
      <c r="K152" s="294"/>
      <c r="L152" s="294"/>
      <c r="M152" s="294"/>
      <c r="N152" s="294"/>
      <c r="O152" s="294"/>
      <c r="P152" s="294"/>
      <c r="Q152" s="294"/>
      <c r="R152" s="294"/>
      <c r="S152" s="294"/>
      <c r="T152" s="294"/>
      <c r="U152" s="294"/>
      <c r="V152" s="294"/>
      <c r="W152" s="294"/>
      <c r="X152" s="294"/>
      <c r="Y152" s="294"/>
      <c r="Z152" s="294"/>
      <c r="AA152" s="294"/>
      <c r="AB152" s="294"/>
    </row>
    <row r="153">
      <c r="A153" s="294"/>
      <c r="B153" s="294"/>
      <c r="C153" s="294"/>
      <c r="D153" s="294"/>
      <c r="E153" s="294"/>
      <c r="F153" s="294"/>
      <c r="G153" s="294"/>
      <c r="H153" s="294"/>
      <c r="I153" s="294"/>
      <c r="J153" s="294"/>
      <c r="K153" s="294"/>
      <c r="L153" s="294"/>
      <c r="M153" s="294"/>
      <c r="N153" s="294"/>
      <c r="O153" s="294"/>
      <c r="P153" s="294"/>
      <c r="Q153" s="294"/>
      <c r="R153" s="294"/>
      <c r="S153" s="294"/>
      <c r="T153" s="294"/>
      <c r="U153" s="294"/>
      <c r="V153" s="294"/>
      <c r="W153" s="294"/>
      <c r="X153" s="294"/>
      <c r="Y153" s="294"/>
      <c r="Z153" s="294"/>
      <c r="AA153" s="294"/>
      <c r="AB153" s="294"/>
    </row>
    <row r="154">
      <c r="A154" s="294"/>
      <c r="B154" s="294"/>
      <c r="C154" s="294"/>
      <c r="D154" s="294"/>
      <c r="E154" s="294"/>
      <c r="F154" s="294"/>
      <c r="G154" s="294"/>
      <c r="H154" s="294"/>
      <c r="I154" s="294"/>
      <c r="J154" s="294"/>
      <c r="K154" s="294"/>
      <c r="L154" s="294"/>
      <c r="M154" s="294"/>
      <c r="N154" s="294"/>
      <c r="O154" s="294"/>
      <c r="P154" s="294"/>
      <c r="Q154" s="294"/>
      <c r="R154" s="294"/>
      <c r="S154" s="294"/>
      <c r="T154" s="294"/>
      <c r="U154" s="294"/>
      <c r="V154" s="294"/>
      <c r="W154" s="294"/>
      <c r="X154" s="294"/>
      <c r="Y154" s="294"/>
      <c r="Z154" s="294"/>
      <c r="AA154" s="294"/>
      <c r="AB154" s="294"/>
    </row>
    <row r="155">
      <c r="A155" s="294"/>
      <c r="B155" s="294"/>
      <c r="C155" s="294"/>
      <c r="D155" s="294"/>
      <c r="E155" s="294"/>
      <c r="F155" s="294"/>
      <c r="G155" s="294"/>
      <c r="H155" s="294"/>
      <c r="I155" s="294"/>
      <c r="J155" s="294"/>
      <c r="K155" s="294"/>
      <c r="L155" s="294"/>
      <c r="M155" s="294"/>
      <c r="N155" s="294"/>
      <c r="O155" s="294"/>
      <c r="P155" s="294"/>
      <c r="Q155" s="294"/>
      <c r="R155" s="294"/>
      <c r="S155" s="294"/>
      <c r="T155" s="294"/>
      <c r="U155" s="294"/>
      <c r="V155" s="294"/>
      <c r="W155" s="294"/>
      <c r="X155" s="294"/>
      <c r="Y155" s="294"/>
      <c r="Z155" s="294"/>
      <c r="AA155" s="294"/>
      <c r="AB155" s="294"/>
    </row>
    <row r="156">
      <c r="A156" s="294"/>
      <c r="B156" s="294"/>
      <c r="C156" s="294"/>
      <c r="D156" s="294"/>
      <c r="E156" s="294"/>
      <c r="F156" s="294"/>
      <c r="G156" s="294"/>
      <c r="H156" s="294"/>
      <c r="I156" s="294"/>
      <c r="J156" s="294"/>
      <c r="K156" s="294"/>
      <c r="L156" s="294"/>
      <c r="M156" s="294"/>
      <c r="N156" s="294"/>
      <c r="O156" s="294"/>
      <c r="P156" s="294"/>
      <c r="Q156" s="294"/>
      <c r="R156" s="294"/>
      <c r="S156" s="294"/>
      <c r="T156" s="294"/>
      <c r="U156" s="294"/>
      <c r="V156" s="294"/>
      <c r="W156" s="294"/>
      <c r="X156" s="294"/>
      <c r="Y156" s="294"/>
      <c r="Z156" s="294"/>
      <c r="AA156" s="294"/>
      <c r="AB156" s="294"/>
    </row>
    <row r="157">
      <c r="A157" s="294"/>
      <c r="B157" s="294"/>
      <c r="C157" s="294"/>
      <c r="D157" s="294"/>
      <c r="E157" s="294"/>
      <c r="F157" s="294"/>
      <c r="G157" s="294"/>
      <c r="H157" s="294"/>
      <c r="I157" s="294"/>
      <c r="J157" s="294"/>
      <c r="K157" s="294"/>
      <c r="L157" s="294"/>
      <c r="M157" s="294"/>
      <c r="N157" s="294"/>
      <c r="O157" s="294"/>
      <c r="P157" s="294"/>
      <c r="Q157" s="294"/>
      <c r="R157" s="294"/>
      <c r="S157" s="294"/>
      <c r="T157" s="294"/>
      <c r="U157" s="294"/>
      <c r="V157" s="294"/>
      <c r="W157" s="294"/>
      <c r="X157" s="294"/>
      <c r="Y157" s="294"/>
      <c r="Z157" s="294"/>
      <c r="AA157" s="294"/>
      <c r="AB157" s="294"/>
    </row>
    <row r="158">
      <c r="A158" s="294"/>
      <c r="B158" s="294"/>
      <c r="C158" s="294"/>
      <c r="D158" s="294"/>
      <c r="E158" s="294"/>
      <c r="F158" s="294"/>
      <c r="G158" s="294"/>
      <c r="H158" s="294"/>
      <c r="I158" s="294"/>
      <c r="J158" s="294"/>
      <c r="K158" s="294"/>
      <c r="L158" s="294"/>
      <c r="M158" s="294"/>
      <c r="N158" s="294"/>
      <c r="O158" s="294"/>
      <c r="P158" s="294"/>
      <c r="Q158" s="294"/>
      <c r="R158" s="294"/>
      <c r="S158" s="294"/>
      <c r="T158" s="294"/>
      <c r="U158" s="294"/>
      <c r="V158" s="294"/>
      <c r="W158" s="294"/>
      <c r="X158" s="294"/>
      <c r="Y158" s="294"/>
      <c r="Z158" s="294"/>
      <c r="AA158" s="294"/>
      <c r="AB158" s="294"/>
    </row>
    <row r="159">
      <c r="A159" s="294"/>
      <c r="B159" s="294"/>
      <c r="C159" s="294"/>
      <c r="D159" s="294"/>
      <c r="E159" s="294"/>
      <c r="F159" s="294"/>
      <c r="G159" s="294"/>
      <c r="H159" s="294"/>
      <c r="I159" s="294"/>
      <c r="J159" s="294"/>
      <c r="K159" s="294"/>
      <c r="L159" s="294"/>
      <c r="M159" s="294"/>
      <c r="N159" s="294"/>
      <c r="O159" s="294"/>
      <c r="P159" s="294"/>
      <c r="Q159" s="294"/>
      <c r="R159" s="294"/>
      <c r="S159" s="294"/>
      <c r="T159" s="294"/>
      <c r="U159" s="294"/>
      <c r="V159" s="294"/>
      <c r="W159" s="294"/>
      <c r="X159" s="294"/>
      <c r="Y159" s="294"/>
      <c r="Z159" s="294"/>
      <c r="AA159" s="294"/>
      <c r="AB159" s="294"/>
    </row>
    <row r="160">
      <c r="A160" s="294"/>
      <c r="B160" s="294"/>
      <c r="C160" s="294"/>
      <c r="D160" s="294"/>
      <c r="E160" s="294"/>
      <c r="F160" s="294"/>
      <c r="G160" s="294"/>
      <c r="H160" s="294"/>
      <c r="I160" s="294"/>
      <c r="J160" s="294"/>
      <c r="K160" s="294"/>
      <c r="L160" s="294"/>
      <c r="M160" s="294"/>
      <c r="N160" s="294"/>
      <c r="O160" s="294"/>
      <c r="P160" s="294"/>
      <c r="Q160" s="294"/>
      <c r="R160" s="294"/>
      <c r="S160" s="294"/>
      <c r="T160" s="294"/>
      <c r="U160" s="294"/>
      <c r="V160" s="294"/>
      <c r="W160" s="294"/>
      <c r="X160" s="294"/>
      <c r="Y160" s="294"/>
      <c r="Z160" s="294"/>
      <c r="AA160" s="294"/>
      <c r="AB160" s="294"/>
    </row>
    <row r="161">
      <c r="A161" s="294"/>
      <c r="B161" s="294"/>
      <c r="C161" s="294"/>
      <c r="D161" s="294"/>
      <c r="E161" s="294"/>
      <c r="F161" s="294"/>
      <c r="G161" s="294"/>
      <c r="H161" s="294"/>
      <c r="I161" s="294"/>
      <c r="J161" s="294"/>
      <c r="K161" s="294"/>
      <c r="L161" s="294"/>
      <c r="M161" s="294"/>
      <c r="N161" s="294"/>
      <c r="O161" s="294"/>
      <c r="P161" s="294"/>
      <c r="Q161" s="294"/>
      <c r="R161" s="294"/>
      <c r="S161" s="294"/>
      <c r="T161" s="294"/>
      <c r="U161" s="294"/>
      <c r="V161" s="294"/>
      <c r="W161" s="294"/>
      <c r="X161" s="294"/>
      <c r="Y161" s="294"/>
      <c r="Z161" s="294"/>
      <c r="AA161" s="294"/>
      <c r="AB161" s="294"/>
    </row>
    <row r="162">
      <c r="A162" s="294"/>
      <c r="B162" s="294"/>
      <c r="C162" s="294"/>
      <c r="D162" s="294"/>
      <c r="E162" s="294"/>
      <c r="F162" s="294"/>
      <c r="G162" s="294"/>
      <c r="H162" s="294"/>
      <c r="I162" s="294"/>
      <c r="J162" s="294"/>
      <c r="K162" s="294"/>
      <c r="L162" s="294"/>
      <c r="M162" s="294"/>
      <c r="N162" s="294"/>
      <c r="O162" s="294"/>
      <c r="P162" s="294"/>
      <c r="Q162" s="294"/>
      <c r="R162" s="294"/>
      <c r="S162" s="294"/>
      <c r="T162" s="294"/>
      <c r="U162" s="294"/>
      <c r="V162" s="294"/>
      <c r="W162" s="294"/>
      <c r="X162" s="294"/>
      <c r="Y162" s="294"/>
      <c r="Z162" s="294"/>
      <c r="AA162" s="294"/>
      <c r="AB162" s="294"/>
    </row>
    <row r="163">
      <c r="A163" s="294"/>
      <c r="B163" s="294"/>
      <c r="C163" s="294"/>
      <c r="D163" s="294"/>
      <c r="E163" s="294"/>
      <c r="F163" s="294"/>
      <c r="G163" s="294"/>
      <c r="H163" s="294"/>
      <c r="I163" s="294"/>
      <c r="J163" s="294"/>
      <c r="K163" s="294"/>
      <c r="L163" s="294"/>
      <c r="M163" s="294"/>
      <c r="N163" s="294"/>
      <c r="O163" s="294"/>
      <c r="P163" s="294"/>
      <c r="Q163" s="294"/>
      <c r="R163" s="294"/>
      <c r="S163" s="294"/>
      <c r="T163" s="294"/>
      <c r="U163" s="294"/>
      <c r="V163" s="294"/>
      <c r="W163" s="294"/>
      <c r="X163" s="294"/>
      <c r="Y163" s="294"/>
      <c r="Z163" s="294"/>
      <c r="AA163" s="294"/>
      <c r="AB163" s="294"/>
    </row>
    <row r="164">
      <c r="A164" s="294"/>
      <c r="B164" s="294"/>
      <c r="C164" s="294"/>
      <c r="D164" s="294"/>
      <c r="E164" s="294"/>
      <c r="F164" s="294"/>
      <c r="G164" s="294"/>
      <c r="H164" s="294"/>
      <c r="I164" s="294"/>
      <c r="J164" s="294"/>
      <c r="K164" s="294"/>
      <c r="L164" s="294"/>
      <c r="M164" s="294"/>
      <c r="N164" s="294"/>
      <c r="O164" s="294"/>
      <c r="P164" s="294"/>
      <c r="Q164" s="294"/>
      <c r="R164" s="294"/>
      <c r="S164" s="294"/>
      <c r="T164" s="294"/>
      <c r="U164" s="294"/>
      <c r="V164" s="294"/>
      <c r="W164" s="294"/>
      <c r="X164" s="294"/>
      <c r="Y164" s="294"/>
      <c r="Z164" s="294"/>
      <c r="AA164" s="294"/>
      <c r="AB164" s="294"/>
    </row>
    <row r="165">
      <c r="A165" s="294"/>
      <c r="B165" s="294"/>
      <c r="C165" s="294"/>
      <c r="D165" s="294"/>
      <c r="E165" s="294"/>
      <c r="F165" s="294"/>
      <c r="G165" s="294"/>
      <c r="H165" s="294"/>
      <c r="I165" s="294"/>
      <c r="J165" s="294"/>
      <c r="K165" s="294"/>
      <c r="L165" s="294"/>
      <c r="M165" s="294"/>
      <c r="N165" s="294"/>
      <c r="O165" s="294"/>
      <c r="P165" s="294"/>
      <c r="Q165" s="294"/>
      <c r="R165" s="294"/>
      <c r="S165" s="294"/>
      <c r="T165" s="294"/>
      <c r="U165" s="294"/>
      <c r="V165" s="294"/>
      <c r="W165" s="294"/>
      <c r="X165" s="294"/>
      <c r="Y165" s="294"/>
      <c r="Z165" s="294"/>
      <c r="AA165" s="294"/>
      <c r="AB165" s="294"/>
    </row>
    <row r="166">
      <c r="A166" s="294"/>
      <c r="B166" s="294"/>
      <c r="C166" s="294"/>
      <c r="D166" s="294"/>
      <c r="E166" s="294"/>
      <c r="F166" s="294"/>
      <c r="G166" s="294"/>
      <c r="H166" s="294"/>
      <c r="I166" s="294"/>
      <c r="J166" s="294"/>
      <c r="K166" s="294"/>
      <c r="L166" s="294"/>
      <c r="M166" s="294"/>
      <c r="N166" s="294"/>
      <c r="O166" s="294"/>
      <c r="P166" s="294"/>
      <c r="Q166" s="294"/>
      <c r="R166" s="294"/>
      <c r="S166" s="294"/>
      <c r="T166" s="294"/>
      <c r="U166" s="294"/>
      <c r="V166" s="294"/>
      <c r="W166" s="294"/>
      <c r="X166" s="294"/>
      <c r="Y166" s="294"/>
      <c r="Z166" s="294"/>
      <c r="AA166" s="294"/>
      <c r="AB166" s="294"/>
    </row>
    <row r="167">
      <c r="A167" s="294"/>
      <c r="B167" s="294"/>
      <c r="C167" s="294"/>
      <c r="D167" s="294"/>
      <c r="E167" s="294"/>
      <c r="F167" s="294"/>
      <c r="G167" s="294"/>
      <c r="H167" s="294"/>
      <c r="I167" s="294"/>
      <c r="J167" s="294"/>
      <c r="K167" s="294"/>
      <c r="L167" s="294"/>
      <c r="M167" s="294"/>
      <c r="N167" s="294"/>
      <c r="O167" s="294"/>
      <c r="P167" s="294"/>
      <c r="Q167" s="294"/>
      <c r="R167" s="294"/>
      <c r="S167" s="294"/>
      <c r="T167" s="294"/>
      <c r="U167" s="294"/>
      <c r="V167" s="294"/>
      <c r="W167" s="294"/>
      <c r="X167" s="294"/>
      <c r="Y167" s="294"/>
      <c r="Z167" s="294"/>
      <c r="AA167" s="294"/>
      <c r="AB167" s="294"/>
    </row>
    <row r="168">
      <c r="A168" s="294"/>
      <c r="B168" s="294"/>
      <c r="C168" s="294"/>
      <c r="D168" s="294"/>
      <c r="E168" s="294"/>
      <c r="F168" s="294"/>
      <c r="G168" s="294"/>
      <c r="H168" s="294"/>
      <c r="I168" s="294"/>
      <c r="J168" s="294"/>
      <c r="K168" s="294"/>
      <c r="L168" s="294"/>
      <c r="M168" s="294"/>
      <c r="N168" s="294"/>
      <c r="O168" s="294"/>
      <c r="P168" s="294"/>
      <c r="Q168" s="294"/>
      <c r="R168" s="294"/>
      <c r="S168" s="294"/>
      <c r="T168" s="294"/>
      <c r="U168" s="294"/>
      <c r="V168" s="294"/>
      <c r="W168" s="294"/>
      <c r="X168" s="294"/>
      <c r="Y168" s="294"/>
      <c r="Z168" s="294"/>
      <c r="AA168" s="294"/>
      <c r="AB168" s="294"/>
    </row>
    <row r="169">
      <c r="A169" s="294"/>
      <c r="B169" s="294"/>
      <c r="C169" s="294"/>
      <c r="D169" s="294"/>
      <c r="E169" s="294"/>
      <c r="F169" s="294"/>
      <c r="G169" s="294"/>
      <c r="H169" s="294"/>
      <c r="I169" s="294"/>
      <c r="J169" s="294"/>
      <c r="K169" s="294"/>
      <c r="L169" s="294"/>
      <c r="M169" s="294"/>
      <c r="N169" s="294"/>
      <c r="O169" s="294"/>
      <c r="P169" s="294"/>
      <c r="Q169" s="294"/>
      <c r="R169" s="294"/>
      <c r="S169" s="294"/>
      <c r="T169" s="294"/>
      <c r="U169" s="294"/>
      <c r="V169" s="294"/>
      <c r="W169" s="294"/>
      <c r="X169" s="294"/>
      <c r="Y169" s="294"/>
      <c r="Z169" s="294"/>
      <c r="AA169" s="294"/>
      <c r="AB169" s="294"/>
    </row>
    <row r="170">
      <c r="A170" s="294"/>
      <c r="B170" s="294"/>
      <c r="C170" s="294"/>
      <c r="D170" s="294"/>
      <c r="E170" s="294"/>
      <c r="F170" s="294"/>
      <c r="G170" s="294"/>
      <c r="H170" s="294"/>
      <c r="I170" s="294"/>
      <c r="J170" s="294"/>
      <c r="K170" s="294"/>
      <c r="L170" s="294"/>
      <c r="M170" s="294"/>
      <c r="N170" s="294"/>
      <c r="O170" s="294"/>
      <c r="P170" s="294"/>
      <c r="Q170" s="294"/>
      <c r="R170" s="294"/>
      <c r="S170" s="294"/>
      <c r="T170" s="294"/>
      <c r="U170" s="294"/>
      <c r="V170" s="294"/>
      <c r="W170" s="294"/>
      <c r="X170" s="294"/>
      <c r="Y170" s="294"/>
      <c r="Z170" s="294"/>
      <c r="AA170" s="294"/>
      <c r="AB170" s="294"/>
    </row>
    <row r="171">
      <c r="A171" s="294"/>
      <c r="B171" s="294"/>
      <c r="C171" s="294"/>
      <c r="D171" s="294"/>
      <c r="E171" s="294"/>
      <c r="F171" s="294"/>
      <c r="G171" s="294"/>
      <c r="H171" s="294"/>
      <c r="I171" s="294"/>
      <c r="J171" s="294"/>
      <c r="K171" s="294"/>
      <c r="L171" s="294"/>
      <c r="M171" s="294"/>
      <c r="N171" s="294"/>
      <c r="O171" s="294"/>
      <c r="P171" s="294"/>
      <c r="Q171" s="294"/>
      <c r="R171" s="294"/>
      <c r="S171" s="294"/>
      <c r="T171" s="294"/>
      <c r="U171" s="294"/>
      <c r="V171" s="294"/>
      <c r="W171" s="294"/>
      <c r="X171" s="294"/>
      <c r="Y171" s="294"/>
      <c r="Z171" s="294"/>
      <c r="AA171" s="294"/>
      <c r="AB171" s="294"/>
    </row>
    <row r="172">
      <c r="A172" s="294"/>
      <c r="B172" s="294"/>
      <c r="C172" s="294"/>
      <c r="D172" s="294"/>
      <c r="E172" s="294"/>
      <c r="F172" s="294"/>
      <c r="G172" s="294"/>
      <c r="H172" s="294"/>
      <c r="I172" s="294"/>
      <c r="J172" s="294"/>
      <c r="K172" s="294"/>
      <c r="L172" s="294"/>
      <c r="M172" s="294"/>
      <c r="N172" s="294"/>
      <c r="O172" s="294"/>
      <c r="P172" s="294"/>
      <c r="Q172" s="294"/>
      <c r="R172" s="294"/>
      <c r="S172" s="294"/>
      <c r="T172" s="294"/>
      <c r="U172" s="294"/>
      <c r="V172" s="294"/>
      <c r="W172" s="294"/>
      <c r="X172" s="294"/>
      <c r="Y172" s="294"/>
      <c r="Z172" s="294"/>
      <c r="AA172" s="294"/>
      <c r="AB172" s="294"/>
    </row>
    <row r="173">
      <c r="A173" s="294"/>
      <c r="B173" s="294"/>
      <c r="C173" s="294"/>
      <c r="D173" s="294"/>
      <c r="E173" s="294"/>
      <c r="F173" s="294"/>
      <c r="G173" s="294"/>
      <c r="H173" s="294"/>
      <c r="I173" s="294"/>
      <c r="J173" s="294"/>
      <c r="K173" s="294"/>
      <c r="L173" s="294"/>
      <c r="M173" s="294"/>
      <c r="N173" s="294"/>
      <c r="O173" s="294"/>
      <c r="P173" s="294"/>
      <c r="Q173" s="294"/>
      <c r="R173" s="294"/>
      <c r="S173" s="294"/>
      <c r="T173" s="294"/>
      <c r="U173" s="294"/>
      <c r="V173" s="294"/>
      <c r="W173" s="294"/>
      <c r="X173" s="294"/>
      <c r="Y173" s="294"/>
      <c r="Z173" s="294"/>
      <c r="AA173" s="294"/>
      <c r="AB173" s="294"/>
    </row>
    <row r="174">
      <c r="A174" s="294"/>
      <c r="B174" s="294"/>
      <c r="C174" s="294"/>
      <c r="D174" s="294"/>
      <c r="E174" s="294"/>
      <c r="F174" s="294"/>
      <c r="G174" s="294"/>
      <c r="H174" s="294"/>
      <c r="I174" s="294"/>
      <c r="J174" s="294"/>
      <c r="K174" s="294"/>
      <c r="L174" s="294"/>
      <c r="M174" s="294"/>
      <c r="N174" s="294"/>
      <c r="O174" s="294"/>
      <c r="P174" s="294"/>
      <c r="Q174" s="294"/>
      <c r="R174" s="294"/>
      <c r="S174" s="294"/>
      <c r="T174" s="294"/>
      <c r="U174" s="294"/>
      <c r="V174" s="294"/>
      <c r="W174" s="294"/>
      <c r="X174" s="294"/>
      <c r="Y174" s="294"/>
      <c r="Z174" s="294"/>
      <c r="AA174" s="294"/>
      <c r="AB174" s="294"/>
    </row>
    <row r="175">
      <c r="A175" s="294"/>
      <c r="B175" s="294"/>
      <c r="C175" s="294"/>
      <c r="D175" s="294"/>
      <c r="E175" s="294"/>
      <c r="F175" s="294"/>
      <c r="G175" s="294"/>
      <c r="H175" s="294"/>
      <c r="I175" s="294"/>
      <c r="J175" s="294"/>
      <c r="K175" s="294"/>
      <c r="L175" s="294"/>
      <c r="M175" s="294"/>
      <c r="N175" s="294"/>
      <c r="O175" s="294"/>
      <c r="P175" s="294"/>
      <c r="Q175" s="294"/>
      <c r="R175" s="294"/>
      <c r="S175" s="294"/>
      <c r="T175" s="294"/>
      <c r="U175" s="294"/>
      <c r="V175" s="294"/>
      <c r="W175" s="294"/>
      <c r="X175" s="294"/>
      <c r="Y175" s="294"/>
      <c r="Z175" s="294"/>
      <c r="AA175" s="294"/>
      <c r="AB175" s="294"/>
    </row>
    <row r="176">
      <c r="A176" s="294"/>
      <c r="B176" s="294"/>
      <c r="C176" s="294"/>
      <c r="D176" s="294"/>
      <c r="E176" s="294"/>
      <c r="F176" s="294"/>
      <c r="G176" s="294"/>
      <c r="H176" s="294"/>
      <c r="I176" s="294"/>
      <c r="J176" s="294"/>
      <c r="K176" s="294"/>
      <c r="L176" s="294"/>
      <c r="M176" s="294"/>
      <c r="N176" s="294"/>
      <c r="O176" s="294"/>
      <c r="P176" s="294"/>
      <c r="Q176" s="294"/>
      <c r="R176" s="294"/>
      <c r="S176" s="294"/>
      <c r="T176" s="294"/>
      <c r="U176" s="294"/>
      <c r="V176" s="294"/>
      <c r="W176" s="294"/>
      <c r="X176" s="294"/>
      <c r="Y176" s="294"/>
      <c r="Z176" s="294"/>
      <c r="AA176" s="294"/>
      <c r="AB176" s="294"/>
    </row>
    <row r="177">
      <c r="A177" s="294"/>
      <c r="B177" s="294"/>
      <c r="C177" s="294"/>
      <c r="D177" s="294"/>
      <c r="E177" s="294"/>
      <c r="F177" s="294"/>
      <c r="G177" s="294"/>
      <c r="H177" s="294"/>
      <c r="I177" s="294"/>
      <c r="J177" s="294"/>
      <c r="K177" s="294"/>
      <c r="L177" s="294"/>
      <c r="M177" s="294"/>
      <c r="N177" s="294"/>
      <c r="O177" s="294"/>
      <c r="P177" s="294"/>
      <c r="Q177" s="294"/>
      <c r="R177" s="294"/>
      <c r="S177" s="294"/>
      <c r="T177" s="294"/>
      <c r="U177" s="294"/>
      <c r="V177" s="294"/>
      <c r="W177" s="294"/>
      <c r="X177" s="294"/>
      <c r="Y177" s="294"/>
      <c r="Z177" s="294"/>
      <c r="AA177" s="294"/>
      <c r="AB177" s="294"/>
    </row>
    <row r="178">
      <c r="A178" s="294"/>
      <c r="B178" s="294"/>
      <c r="C178" s="294"/>
      <c r="D178" s="294"/>
      <c r="E178" s="294"/>
      <c r="F178" s="294"/>
      <c r="G178" s="294"/>
      <c r="H178" s="294"/>
      <c r="I178" s="294"/>
      <c r="J178" s="294"/>
      <c r="K178" s="294"/>
      <c r="L178" s="294"/>
      <c r="M178" s="294"/>
      <c r="N178" s="294"/>
      <c r="O178" s="294"/>
      <c r="P178" s="294"/>
      <c r="Q178" s="294"/>
      <c r="R178" s="294"/>
      <c r="S178" s="294"/>
      <c r="T178" s="294"/>
      <c r="U178" s="294"/>
      <c r="V178" s="294"/>
      <c r="W178" s="294"/>
      <c r="X178" s="294"/>
      <c r="Y178" s="294"/>
      <c r="Z178" s="294"/>
      <c r="AA178" s="294"/>
      <c r="AB178" s="294"/>
    </row>
    <row r="179">
      <c r="A179" s="294"/>
      <c r="B179" s="294"/>
      <c r="C179" s="294"/>
      <c r="D179" s="294"/>
      <c r="E179" s="294"/>
      <c r="F179" s="294"/>
      <c r="G179" s="294"/>
      <c r="H179" s="294"/>
      <c r="I179" s="294"/>
      <c r="J179" s="294"/>
      <c r="K179" s="294"/>
      <c r="L179" s="294"/>
      <c r="M179" s="294"/>
      <c r="N179" s="294"/>
      <c r="O179" s="294"/>
      <c r="P179" s="294"/>
      <c r="Q179" s="294"/>
      <c r="R179" s="294"/>
      <c r="S179" s="294"/>
      <c r="T179" s="294"/>
      <c r="U179" s="294"/>
      <c r="V179" s="294"/>
      <c r="W179" s="294"/>
      <c r="X179" s="294"/>
      <c r="Y179" s="294"/>
      <c r="Z179" s="294"/>
      <c r="AA179" s="294"/>
      <c r="AB179" s="294"/>
    </row>
    <row r="180">
      <c r="A180" s="294"/>
      <c r="B180" s="294"/>
      <c r="C180" s="294"/>
      <c r="D180" s="294"/>
      <c r="E180" s="294"/>
      <c r="F180" s="294"/>
      <c r="G180" s="294"/>
      <c r="H180" s="294"/>
      <c r="I180" s="294"/>
      <c r="J180" s="294"/>
      <c r="K180" s="294"/>
      <c r="L180" s="294"/>
      <c r="M180" s="294"/>
      <c r="N180" s="294"/>
      <c r="O180" s="294"/>
      <c r="P180" s="294"/>
      <c r="Q180" s="294"/>
      <c r="R180" s="294"/>
      <c r="S180" s="294"/>
      <c r="T180" s="294"/>
      <c r="U180" s="294"/>
      <c r="V180" s="294"/>
      <c r="W180" s="294"/>
      <c r="X180" s="294"/>
      <c r="Y180" s="294"/>
      <c r="Z180" s="294"/>
      <c r="AA180" s="294"/>
      <c r="AB180" s="294"/>
    </row>
    <row r="181">
      <c r="A181" s="294"/>
      <c r="B181" s="294"/>
      <c r="C181" s="294"/>
      <c r="D181" s="294"/>
      <c r="E181" s="294"/>
      <c r="F181" s="294"/>
      <c r="G181" s="294"/>
      <c r="H181" s="294"/>
      <c r="I181" s="294"/>
      <c r="J181" s="294"/>
      <c r="K181" s="294"/>
      <c r="L181" s="294"/>
      <c r="M181" s="294"/>
      <c r="N181" s="294"/>
      <c r="O181" s="294"/>
      <c r="P181" s="294"/>
      <c r="Q181" s="294"/>
      <c r="R181" s="294"/>
      <c r="S181" s="294"/>
      <c r="T181" s="294"/>
      <c r="U181" s="294"/>
      <c r="V181" s="294"/>
      <c r="W181" s="294"/>
      <c r="X181" s="294"/>
      <c r="Y181" s="294"/>
      <c r="Z181" s="294"/>
      <c r="AA181" s="294"/>
      <c r="AB181" s="294"/>
    </row>
    <row r="182">
      <c r="A182" s="294"/>
      <c r="B182" s="294"/>
      <c r="C182" s="294"/>
      <c r="D182" s="294"/>
      <c r="E182" s="294"/>
      <c r="F182" s="294"/>
      <c r="G182" s="294"/>
      <c r="H182" s="294"/>
      <c r="I182" s="294"/>
      <c r="J182" s="294"/>
      <c r="K182" s="294"/>
      <c r="L182" s="294"/>
      <c r="M182" s="294"/>
      <c r="N182" s="294"/>
      <c r="O182" s="294"/>
      <c r="P182" s="294"/>
      <c r="Q182" s="294"/>
      <c r="R182" s="294"/>
      <c r="S182" s="294"/>
      <c r="T182" s="294"/>
      <c r="U182" s="294"/>
      <c r="V182" s="294"/>
      <c r="W182" s="294"/>
      <c r="X182" s="294"/>
      <c r="Y182" s="294"/>
      <c r="Z182" s="294"/>
      <c r="AA182" s="294"/>
      <c r="AB182" s="294"/>
    </row>
    <row r="183">
      <c r="A183" s="294"/>
      <c r="B183" s="294"/>
      <c r="C183" s="294"/>
      <c r="D183" s="294"/>
      <c r="E183" s="294"/>
      <c r="F183" s="294"/>
      <c r="G183" s="294"/>
      <c r="H183" s="294"/>
      <c r="I183" s="294"/>
      <c r="J183" s="294"/>
      <c r="K183" s="294"/>
      <c r="L183" s="294"/>
      <c r="M183" s="294"/>
      <c r="N183" s="294"/>
      <c r="O183" s="294"/>
      <c r="P183" s="294"/>
      <c r="Q183" s="294"/>
      <c r="R183" s="294"/>
      <c r="S183" s="294"/>
      <c r="T183" s="294"/>
      <c r="U183" s="294"/>
      <c r="V183" s="294"/>
      <c r="W183" s="294"/>
      <c r="X183" s="294"/>
      <c r="Y183" s="294"/>
      <c r="Z183" s="294"/>
      <c r="AA183" s="294"/>
      <c r="AB183" s="294"/>
    </row>
    <row r="184">
      <c r="A184" s="294"/>
      <c r="B184" s="294"/>
      <c r="C184" s="294"/>
      <c r="D184" s="294"/>
      <c r="E184" s="294"/>
      <c r="F184" s="294"/>
      <c r="G184" s="294"/>
      <c r="H184" s="294"/>
      <c r="I184" s="294"/>
      <c r="J184" s="294"/>
      <c r="K184" s="294"/>
      <c r="L184" s="294"/>
      <c r="M184" s="294"/>
      <c r="N184" s="294"/>
      <c r="O184" s="294"/>
      <c r="P184" s="294"/>
      <c r="Q184" s="294"/>
      <c r="R184" s="294"/>
      <c r="S184" s="294"/>
      <c r="T184" s="294"/>
      <c r="U184" s="294"/>
      <c r="V184" s="294"/>
      <c r="W184" s="294"/>
      <c r="X184" s="294"/>
      <c r="Y184" s="294"/>
      <c r="Z184" s="294"/>
      <c r="AA184" s="294"/>
      <c r="AB184" s="294"/>
    </row>
    <row r="185">
      <c r="A185" s="294"/>
      <c r="B185" s="294"/>
      <c r="C185" s="294"/>
      <c r="D185" s="294"/>
      <c r="E185" s="294"/>
      <c r="F185" s="294"/>
      <c r="G185" s="294"/>
      <c r="H185" s="294"/>
      <c r="I185" s="294"/>
      <c r="J185" s="294"/>
      <c r="K185" s="294"/>
      <c r="L185" s="294"/>
      <c r="M185" s="294"/>
      <c r="N185" s="294"/>
      <c r="O185" s="294"/>
      <c r="P185" s="294"/>
      <c r="Q185" s="294"/>
      <c r="R185" s="294"/>
      <c r="S185" s="294"/>
      <c r="T185" s="294"/>
      <c r="U185" s="294"/>
      <c r="V185" s="294"/>
      <c r="W185" s="294"/>
      <c r="X185" s="294"/>
      <c r="Y185" s="294"/>
      <c r="Z185" s="294"/>
      <c r="AA185" s="294"/>
      <c r="AB185" s="294"/>
    </row>
    <row r="186">
      <c r="A186" s="294"/>
      <c r="B186" s="294"/>
      <c r="C186" s="294"/>
      <c r="D186" s="294"/>
      <c r="E186" s="294"/>
      <c r="F186" s="294"/>
      <c r="G186" s="294"/>
      <c r="H186" s="294"/>
      <c r="I186" s="294"/>
      <c r="J186" s="294"/>
      <c r="K186" s="294"/>
      <c r="L186" s="294"/>
      <c r="M186" s="294"/>
      <c r="N186" s="294"/>
      <c r="O186" s="294"/>
      <c r="P186" s="294"/>
      <c r="Q186" s="294"/>
      <c r="R186" s="294"/>
      <c r="S186" s="294"/>
      <c r="T186" s="294"/>
      <c r="U186" s="294"/>
      <c r="V186" s="294"/>
      <c r="W186" s="294"/>
      <c r="X186" s="294"/>
      <c r="Y186" s="294"/>
      <c r="Z186" s="294"/>
      <c r="AA186" s="294"/>
      <c r="AB186" s="294"/>
    </row>
    <row r="187">
      <c r="A187" s="294"/>
      <c r="B187" s="294"/>
      <c r="C187" s="294"/>
      <c r="D187" s="294"/>
      <c r="E187" s="294"/>
      <c r="F187" s="294"/>
      <c r="G187" s="294"/>
      <c r="H187" s="294"/>
      <c r="I187" s="294"/>
      <c r="J187" s="294"/>
      <c r="K187" s="294"/>
      <c r="L187" s="294"/>
      <c r="M187" s="294"/>
      <c r="N187" s="294"/>
      <c r="O187" s="294"/>
      <c r="P187" s="294"/>
      <c r="Q187" s="294"/>
      <c r="R187" s="294"/>
      <c r="S187" s="294"/>
      <c r="T187" s="294"/>
      <c r="U187" s="294"/>
      <c r="V187" s="294"/>
      <c r="W187" s="294"/>
      <c r="X187" s="294"/>
      <c r="Y187" s="294"/>
      <c r="Z187" s="294"/>
      <c r="AA187" s="294"/>
      <c r="AB187" s="294"/>
    </row>
    <row r="188">
      <c r="A188" s="294"/>
      <c r="B188" s="294"/>
      <c r="C188" s="294"/>
      <c r="D188" s="294"/>
      <c r="E188" s="294"/>
      <c r="F188" s="294"/>
      <c r="G188" s="294"/>
      <c r="H188" s="294"/>
      <c r="I188" s="294"/>
      <c r="J188" s="294"/>
      <c r="K188" s="294"/>
      <c r="L188" s="294"/>
      <c r="M188" s="294"/>
      <c r="N188" s="294"/>
      <c r="O188" s="294"/>
      <c r="P188" s="294"/>
      <c r="Q188" s="294"/>
      <c r="R188" s="294"/>
      <c r="S188" s="294"/>
      <c r="T188" s="294"/>
      <c r="U188" s="294"/>
      <c r="V188" s="294"/>
      <c r="W188" s="294"/>
      <c r="X188" s="294"/>
      <c r="Y188" s="294"/>
      <c r="Z188" s="294"/>
      <c r="AA188" s="294"/>
      <c r="AB188" s="294"/>
    </row>
    <row r="189">
      <c r="A189" s="294"/>
      <c r="B189" s="294"/>
      <c r="C189" s="294"/>
      <c r="D189" s="294"/>
      <c r="E189" s="294"/>
      <c r="F189" s="294"/>
      <c r="G189" s="294"/>
      <c r="H189" s="294"/>
      <c r="I189" s="294"/>
      <c r="J189" s="294"/>
      <c r="K189" s="294"/>
      <c r="L189" s="294"/>
      <c r="M189" s="294"/>
      <c r="N189" s="294"/>
      <c r="O189" s="294"/>
      <c r="P189" s="294"/>
      <c r="Q189" s="294"/>
      <c r="R189" s="294"/>
      <c r="S189" s="294"/>
      <c r="T189" s="294"/>
      <c r="U189" s="294"/>
      <c r="V189" s="294"/>
      <c r="W189" s="294"/>
      <c r="X189" s="294"/>
      <c r="Y189" s="294"/>
      <c r="Z189" s="294"/>
      <c r="AA189" s="294"/>
      <c r="AB189" s="294"/>
    </row>
    <row r="190">
      <c r="A190" s="294"/>
      <c r="B190" s="294"/>
      <c r="C190" s="294"/>
      <c r="D190" s="294"/>
      <c r="E190" s="294"/>
      <c r="F190" s="294"/>
      <c r="G190" s="294"/>
      <c r="H190" s="294"/>
      <c r="I190" s="294"/>
      <c r="J190" s="294"/>
      <c r="K190" s="294"/>
      <c r="L190" s="294"/>
      <c r="M190" s="294"/>
      <c r="N190" s="294"/>
      <c r="O190" s="294"/>
      <c r="P190" s="294"/>
      <c r="Q190" s="294"/>
      <c r="R190" s="294"/>
      <c r="S190" s="294"/>
      <c r="T190" s="294"/>
      <c r="U190" s="294"/>
      <c r="V190" s="294"/>
      <c r="W190" s="294"/>
      <c r="X190" s="294"/>
      <c r="Y190" s="294"/>
      <c r="Z190" s="294"/>
      <c r="AA190" s="294"/>
      <c r="AB190" s="294"/>
    </row>
    <row r="191">
      <c r="A191" s="294"/>
      <c r="B191" s="294"/>
      <c r="C191" s="294"/>
      <c r="D191" s="294"/>
      <c r="E191" s="294"/>
      <c r="F191" s="294"/>
      <c r="G191" s="294"/>
      <c r="H191" s="294"/>
      <c r="I191" s="294"/>
      <c r="J191" s="294"/>
      <c r="K191" s="294"/>
      <c r="L191" s="294"/>
      <c r="M191" s="294"/>
      <c r="N191" s="294"/>
      <c r="O191" s="294"/>
      <c r="P191" s="294"/>
      <c r="Q191" s="294"/>
      <c r="R191" s="294"/>
      <c r="S191" s="294"/>
      <c r="T191" s="294"/>
      <c r="U191" s="294"/>
      <c r="V191" s="294"/>
      <c r="W191" s="294"/>
      <c r="X191" s="294"/>
      <c r="Y191" s="294"/>
      <c r="Z191" s="294"/>
      <c r="AA191" s="294"/>
      <c r="AB191" s="294"/>
    </row>
    <row r="192">
      <c r="A192" s="294"/>
      <c r="B192" s="294"/>
      <c r="C192" s="294"/>
      <c r="D192" s="294"/>
      <c r="E192" s="294"/>
      <c r="F192" s="294"/>
      <c r="G192" s="294"/>
      <c r="H192" s="294"/>
      <c r="I192" s="294"/>
      <c r="J192" s="294"/>
      <c r="K192" s="294"/>
      <c r="L192" s="294"/>
      <c r="M192" s="294"/>
      <c r="N192" s="294"/>
      <c r="O192" s="294"/>
      <c r="P192" s="294"/>
      <c r="Q192" s="294"/>
      <c r="R192" s="294"/>
      <c r="S192" s="294"/>
      <c r="T192" s="294"/>
      <c r="U192" s="294"/>
      <c r="V192" s="294"/>
      <c r="W192" s="294"/>
      <c r="X192" s="294"/>
      <c r="Y192" s="294"/>
      <c r="Z192" s="294"/>
      <c r="AA192" s="294"/>
      <c r="AB192" s="294"/>
    </row>
    <row r="193">
      <c r="A193" s="294"/>
      <c r="B193" s="294"/>
      <c r="C193" s="294"/>
      <c r="D193" s="294"/>
      <c r="E193" s="294"/>
      <c r="F193" s="294"/>
      <c r="G193" s="294"/>
      <c r="H193" s="294"/>
      <c r="I193" s="294"/>
      <c r="J193" s="294"/>
      <c r="K193" s="294"/>
      <c r="L193" s="294"/>
      <c r="M193" s="294"/>
      <c r="N193" s="294"/>
      <c r="O193" s="294"/>
      <c r="P193" s="294"/>
      <c r="Q193" s="294"/>
      <c r="R193" s="294"/>
      <c r="S193" s="294"/>
      <c r="T193" s="294"/>
      <c r="U193" s="294"/>
      <c r="V193" s="294"/>
      <c r="W193" s="294"/>
      <c r="X193" s="294"/>
      <c r="Y193" s="294"/>
      <c r="Z193" s="294"/>
      <c r="AA193" s="294"/>
      <c r="AB193" s="294"/>
    </row>
    <row r="194">
      <c r="A194" s="294"/>
      <c r="B194" s="294"/>
      <c r="C194" s="294"/>
      <c r="D194" s="294"/>
      <c r="E194" s="294"/>
      <c r="F194" s="294"/>
      <c r="G194" s="294"/>
      <c r="H194" s="294"/>
      <c r="I194" s="294"/>
      <c r="J194" s="294"/>
      <c r="K194" s="294"/>
      <c r="L194" s="294"/>
      <c r="M194" s="294"/>
      <c r="N194" s="294"/>
      <c r="O194" s="294"/>
      <c r="P194" s="294"/>
      <c r="Q194" s="294"/>
      <c r="R194" s="294"/>
      <c r="S194" s="294"/>
      <c r="T194" s="294"/>
      <c r="U194" s="294"/>
      <c r="V194" s="294"/>
      <c r="W194" s="294"/>
      <c r="X194" s="294"/>
      <c r="Y194" s="294"/>
      <c r="Z194" s="294"/>
      <c r="AA194" s="294"/>
      <c r="AB194" s="294"/>
    </row>
    <row r="195">
      <c r="A195" s="294"/>
      <c r="B195" s="294"/>
      <c r="C195" s="294"/>
      <c r="D195" s="294"/>
      <c r="E195" s="294"/>
      <c r="F195" s="294"/>
      <c r="G195" s="294"/>
      <c r="H195" s="294"/>
      <c r="I195" s="294"/>
      <c r="J195" s="294"/>
      <c r="K195" s="294"/>
      <c r="L195" s="294"/>
      <c r="M195" s="294"/>
      <c r="N195" s="294"/>
      <c r="O195" s="294"/>
      <c r="P195" s="294"/>
      <c r="Q195" s="294"/>
      <c r="R195" s="294"/>
      <c r="S195" s="294"/>
      <c r="T195" s="294"/>
      <c r="U195" s="294"/>
      <c r="V195" s="294"/>
      <c r="W195" s="294"/>
      <c r="X195" s="294"/>
      <c r="Y195" s="294"/>
      <c r="Z195" s="294"/>
      <c r="AA195" s="294"/>
      <c r="AB195" s="294"/>
    </row>
    <row r="196">
      <c r="A196" s="294"/>
      <c r="B196" s="294"/>
      <c r="C196" s="294"/>
      <c r="D196" s="294"/>
      <c r="E196" s="294"/>
      <c r="F196" s="294"/>
      <c r="G196" s="294"/>
      <c r="H196" s="294"/>
      <c r="I196" s="294"/>
      <c r="J196" s="294"/>
      <c r="K196" s="294"/>
      <c r="L196" s="294"/>
      <c r="M196" s="294"/>
      <c r="N196" s="294"/>
      <c r="O196" s="294"/>
      <c r="P196" s="294"/>
      <c r="Q196" s="294"/>
      <c r="R196" s="294"/>
      <c r="S196" s="294"/>
      <c r="T196" s="294"/>
      <c r="U196" s="294"/>
      <c r="V196" s="294"/>
      <c r="W196" s="294"/>
      <c r="X196" s="294"/>
      <c r="Y196" s="294"/>
      <c r="Z196" s="294"/>
      <c r="AA196" s="294"/>
      <c r="AB196" s="294"/>
    </row>
    <row r="197">
      <c r="A197" s="294"/>
      <c r="B197" s="294"/>
      <c r="C197" s="294"/>
      <c r="D197" s="294"/>
      <c r="E197" s="294"/>
      <c r="F197" s="294"/>
      <c r="G197" s="294"/>
      <c r="H197" s="294"/>
      <c r="I197" s="294"/>
      <c r="J197" s="294"/>
      <c r="K197" s="294"/>
      <c r="L197" s="294"/>
      <c r="M197" s="294"/>
      <c r="N197" s="294"/>
      <c r="O197" s="294"/>
      <c r="P197" s="294"/>
      <c r="Q197" s="294"/>
      <c r="R197" s="294"/>
      <c r="S197" s="294"/>
      <c r="T197" s="294"/>
      <c r="U197" s="294"/>
      <c r="V197" s="294"/>
      <c r="W197" s="294"/>
      <c r="X197" s="294"/>
      <c r="Y197" s="294"/>
      <c r="Z197" s="294"/>
      <c r="AA197" s="294"/>
      <c r="AB197" s="294"/>
    </row>
    <row r="198">
      <c r="A198" s="294"/>
      <c r="B198" s="294"/>
      <c r="C198" s="294"/>
      <c r="D198" s="294"/>
      <c r="E198" s="294"/>
      <c r="F198" s="294"/>
      <c r="G198" s="294"/>
      <c r="H198" s="294"/>
      <c r="I198" s="294"/>
      <c r="J198" s="294"/>
      <c r="K198" s="294"/>
      <c r="L198" s="294"/>
      <c r="M198" s="294"/>
      <c r="N198" s="294"/>
      <c r="O198" s="294"/>
      <c r="P198" s="294"/>
      <c r="Q198" s="294"/>
      <c r="R198" s="294"/>
      <c r="S198" s="294"/>
      <c r="T198" s="294"/>
      <c r="U198" s="294"/>
      <c r="V198" s="294"/>
      <c r="W198" s="294"/>
      <c r="X198" s="294"/>
      <c r="Y198" s="294"/>
      <c r="Z198" s="294"/>
      <c r="AA198" s="294"/>
      <c r="AB198" s="294"/>
    </row>
    <row r="199">
      <c r="A199" s="294"/>
      <c r="B199" s="294"/>
      <c r="C199" s="294"/>
      <c r="D199" s="294"/>
      <c r="E199" s="294"/>
      <c r="F199" s="294"/>
      <c r="G199" s="294"/>
      <c r="H199" s="294"/>
      <c r="I199" s="294"/>
      <c r="J199" s="294"/>
      <c r="K199" s="294"/>
      <c r="L199" s="294"/>
      <c r="M199" s="294"/>
      <c r="N199" s="294"/>
      <c r="O199" s="294"/>
      <c r="P199" s="294"/>
      <c r="Q199" s="294"/>
      <c r="R199" s="294"/>
      <c r="S199" s="294"/>
      <c r="T199" s="294"/>
      <c r="U199" s="294"/>
      <c r="V199" s="294"/>
      <c r="W199" s="294"/>
      <c r="X199" s="294"/>
      <c r="Y199" s="294"/>
      <c r="Z199" s="294"/>
      <c r="AA199" s="294"/>
      <c r="AB199" s="294"/>
    </row>
    <row r="200">
      <c r="A200" s="294"/>
      <c r="B200" s="294"/>
      <c r="C200" s="294"/>
      <c r="D200" s="294"/>
      <c r="E200" s="294"/>
      <c r="F200" s="294"/>
      <c r="G200" s="294"/>
      <c r="H200" s="294"/>
      <c r="I200" s="294"/>
      <c r="J200" s="294"/>
      <c r="K200" s="294"/>
      <c r="L200" s="294"/>
      <c r="M200" s="294"/>
      <c r="N200" s="294"/>
      <c r="O200" s="294"/>
      <c r="P200" s="294"/>
      <c r="Q200" s="294"/>
      <c r="R200" s="294"/>
      <c r="S200" s="294"/>
      <c r="T200" s="294"/>
      <c r="U200" s="294"/>
      <c r="V200" s="294"/>
      <c r="W200" s="294"/>
      <c r="X200" s="294"/>
      <c r="Y200" s="294"/>
      <c r="Z200" s="294"/>
      <c r="AA200" s="294"/>
      <c r="AB200" s="294"/>
    </row>
    <row r="201">
      <c r="A201" s="294"/>
      <c r="B201" s="294"/>
      <c r="C201" s="294"/>
      <c r="D201" s="294"/>
      <c r="E201" s="294"/>
      <c r="F201" s="294"/>
      <c r="G201" s="294"/>
      <c r="H201" s="294"/>
      <c r="I201" s="294"/>
      <c r="J201" s="294"/>
      <c r="K201" s="294"/>
      <c r="L201" s="294"/>
      <c r="M201" s="294"/>
      <c r="N201" s="294"/>
      <c r="O201" s="294"/>
      <c r="P201" s="294"/>
      <c r="Q201" s="294"/>
      <c r="R201" s="294"/>
      <c r="S201" s="294"/>
      <c r="T201" s="294"/>
      <c r="U201" s="294"/>
      <c r="V201" s="294"/>
      <c r="W201" s="294"/>
      <c r="X201" s="294"/>
      <c r="Y201" s="294"/>
      <c r="Z201" s="294"/>
      <c r="AA201" s="294"/>
      <c r="AB201" s="294"/>
    </row>
    <row r="202">
      <c r="A202" s="294"/>
      <c r="B202" s="294"/>
      <c r="C202" s="294"/>
      <c r="D202" s="294"/>
      <c r="E202" s="294"/>
      <c r="F202" s="294"/>
      <c r="G202" s="294"/>
      <c r="H202" s="294"/>
      <c r="I202" s="294"/>
      <c r="J202" s="294"/>
      <c r="K202" s="294"/>
      <c r="L202" s="294"/>
      <c r="M202" s="294"/>
      <c r="N202" s="294"/>
      <c r="O202" s="294"/>
      <c r="P202" s="294"/>
      <c r="Q202" s="294"/>
      <c r="R202" s="294"/>
      <c r="S202" s="294"/>
      <c r="T202" s="294"/>
      <c r="U202" s="294"/>
      <c r="V202" s="294"/>
      <c r="W202" s="294"/>
      <c r="X202" s="294"/>
      <c r="Y202" s="294"/>
      <c r="Z202" s="294"/>
      <c r="AA202" s="294"/>
      <c r="AB202" s="294"/>
    </row>
    <row r="203">
      <c r="A203" s="294"/>
      <c r="B203" s="294"/>
      <c r="C203" s="294"/>
      <c r="D203" s="294"/>
      <c r="E203" s="294"/>
      <c r="F203" s="294"/>
      <c r="G203" s="294"/>
      <c r="H203" s="294"/>
      <c r="I203" s="294"/>
      <c r="J203" s="294"/>
      <c r="K203" s="294"/>
      <c r="L203" s="294"/>
      <c r="M203" s="294"/>
      <c r="N203" s="294"/>
      <c r="O203" s="294"/>
      <c r="P203" s="294"/>
      <c r="Q203" s="294"/>
      <c r="R203" s="294"/>
      <c r="S203" s="294"/>
      <c r="T203" s="294"/>
      <c r="U203" s="294"/>
      <c r="V203" s="294"/>
      <c r="W203" s="294"/>
      <c r="X203" s="294"/>
      <c r="Y203" s="294"/>
      <c r="Z203" s="294"/>
      <c r="AA203" s="294"/>
      <c r="AB203" s="294"/>
    </row>
    <row r="204">
      <c r="A204" s="294"/>
      <c r="B204" s="294"/>
      <c r="C204" s="294"/>
      <c r="D204" s="294"/>
      <c r="E204" s="294"/>
      <c r="F204" s="294"/>
      <c r="G204" s="294"/>
      <c r="H204" s="294"/>
      <c r="I204" s="294"/>
      <c r="J204" s="294"/>
      <c r="K204" s="294"/>
      <c r="L204" s="294"/>
      <c r="M204" s="294"/>
      <c r="N204" s="294"/>
      <c r="O204" s="294"/>
      <c r="P204" s="294"/>
      <c r="Q204" s="294"/>
      <c r="R204" s="294"/>
      <c r="S204" s="294"/>
      <c r="T204" s="294"/>
      <c r="U204" s="294"/>
      <c r="V204" s="294"/>
      <c r="W204" s="294"/>
      <c r="X204" s="294"/>
      <c r="Y204" s="294"/>
      <c r="Z204" s="294"/>
      <c r="AA204" s="294"/>
      <c r="AB204" s="294"/>
    </row>
    <row r="205">
      <c r="A205" s="294"/>
      <c r="B205" s="294"/>
      <c r="C205" s="294"/>
      <c r="D205" s="294"/>
      <c r="E205" s="294"/>
      <c r="F205" s="294"/>
      <c r="G205" s="294"/>
      <c r="H205" s="294"/>
      <c r="I205" s="294"/>
      <c r="J205" s="294"/>
      <c r="K205" s="294"/>
      <c r="L205" s="294"/>
      <c r="M205" s="294"/>
      <c r="N205" s="294"/>
      <c r="O205" s="294"/>
      <c r="P205" s="294"/>
      <c r="Q205" s="294"/>
      <c r="R205" s="294"/>
      <c r="S205" s="294"/>
      <c r="T205" s="294"/>
      <c r="U205" s="294"/>
      <c r="V205" s="294"/>
      <c r="W205" s="294"/>
      <c r="X205" s="294"/>
      <c r="Y205" s="294"/>
      <c r="Z205" s="294"/>
      <c r="AA205" s="294"/>
      <c r="AB205" s="294"/>
    </row>
    <row r="206">
      <c r="A206" s="294"/>
      <c r="B206" s="294"/>
      <c r="C206" s="294"/>
      <c r="D206" s="294"/>
      <c r="E206" s="294"/>
      <c r="F206" s="294"/>
      <c r="G206" s="294"/>
      <c r="H206" s="294"/>
      <c r="I206" s="294"/>
      <c r="J206" s="294"/>
      <c r="K206" s="294"/>
      <c r="L206" s="294"/>
      <c r="M206" s="294"/>
      <c r="N206" s="294"/>
      <c r="O206" s="294"/>
      <c r="P206" s="294"/>
      <c r="Q206" s="294"/>
      <c r="R206" s="294"/>
      <c r="S206" s="294"/>
      <c r="T206" s="294"/>
      <c r="U206" s="294"/>
      <c r="V206" s="294"/>
      <c r="W206" s="294"/>
      <c r="X206" s="294"/>
      <c r="Y206" s="294"/>
      <c r="Z206" s="294"/>
      <c r="AA206" s="294"/>
      <c r="AB206" s="294"/>
    </row>
    <row r="207">
      <c r="A207" s="294"/>
      <c r="B207" s="294"/>
      <c r="C207" s="294"/>
      <c r="D207" s="294"/>
      <c r="E207" s="294"/>
      <c r="F207" s="294"/>
      <c r="G207" s="294"/>
      <c r="H207" s="294"/>
      <c r="I207" s="294"/>
      <c r="J207" s="294"/>
      <c r="K207" s="294"/>
      <c r="L207" s="294"/>
      <c r="M207" s="294"/>
      <c r="N207" s="294"/>
      <c r="O207" s="294"/>
      <c r="P207" s="294"/>
      <c r="Q207" s="294"/>
      <c r="R207" s="294"/>
      <c r="S207" s="294"/>
      <c r="T207" s="294"/>
      <c r="U207" s="294"/>
      <c r="V207" s="294"/>
      <c r="W207" s="294"/>
      <c r="X207" s="294"/>
      <c r="Y207" s="294"/>
      <c r="Z207" s="294"/>
      <c r="AA207" s="294"/>
      <c r="AB207" s="294"/>
    </row>
    <row r="208">
      <c r="A208" s="294"/>
      <c r="B208" s="294"/>
      <c r="C208" s="294"/>
      <c r="D208" s="294"/>
      <c r="E208" s="294"/>
      <c r="F208" s="294"/>
      <c r="G208" s="294"/>
      <c r="H208" s="294"/>
      <c r="I208" s="294"/>
      <c r="J208" s="294"/>
      <c r="K208" s="294"/>
      <c r="L208" s="294"/>
      <c r="M208" s="294"/>
      <c r="N208" s="294"/>
      <c r="O208" s="294"/>
      <c r="P208" s="294"/>
      <c r="Q208" s="294"/>
      <c r="R208" s="294"/>
      <c r="S208" s="294"/>
      <c r="T208" s="294"/>
      <c r="U208" s="294"/>
      <c r="V208" s="294"/>
      <c r="W208" s="294"/>
      <c r="X208" s="294"/>
      <c r="Y208" s="294"/>
      <c r="Z208" s="294"/>
      <c r="AA208" s="294"/>
      <c r="AB208" s="294"/>
    </row>
    <row r="209">
      <c r="A209" s="294"/>
      <c r="B209" s="294"/>
      <c r="C209" s="294"/>
      <c r="D209" s="294"/>
      <c r="E209" s="294"/>
      <c r="F209" s="294"/>
      <c r="G209" s="294"/>
      <c r="H209" s="294"/>
      <c r="I209" s="294"/>
      <c r="J209" s="294"/>
      <c r="K209" s="294"/>
      <c r="L209" s="294"/>
      <c r="M209" s="294"/>
      <c r="N209" s="294"/>
      <c r="O209" s="294"/>
      <c r="P209" s="294"/>
      <c r="Q209" s="294"/>
      <c r="R209" s="294"/>
      <c r="S209" s="294"/>
      <c r="T209" s="294"/>
      <c r="U209" s="294"/>
      <c r="V209" s="294"/>
      <c r="W209" s="294"/>
      <c r="X209" s="294"/>
      <c r="Y209" s="294"/>
      <c r="Z209" s="294"/>
      <c r="AA209" s="294"/>
      <c r="AB209" s="294"/>
    </row>
    <row r="210">
      <c r="A210" s="294"/>
      <c r="B210" s="294"/>
      <c r="C210" s="294"/>
      <c r="D210" s="294"/>
      <c r="E210" s="294"/>
      <c r="F210" s="294"/>
      <c r="G210" s="294"/>
      <c r="H210" s="294"/>
      <c r="I210" s="294"/>
      <c r="J210" s="294"/>
      <c r="K210" s="294"/>
      <c r="L210" s="294"/>
      <c r="M210" s="294"/>
      <c r="N210" s="294"/>
      <c r="O210" s="294"/>
      <c r="P210" s="294"/>
      <c r="Q210" s="294"/>
      <c r="R210" s="294"/>
      <c r="S210" s="294"/>
      <c r="T210" s="294"/>
      <c r="U210" s="294"/>
      <c r="V210" s="294"/>
      <c r="W210" s="294"/>
      <c r="X210" s="294"/>
      <c r="Y210" s="294"/>
      <c r="Z210" s="294"/>
      <c r="AA210" s="294"/>
      <c r="AB210" s="294"/>
    </row>
    <row r="211">
      <c r="A211" s="294"/>
      <c r="B211" s="294"/>
      <c r="C211" s="294"/>
      <c r="D211" s="294"/>
      <c r="E211" s="294"/>
      <c r="F211" s="294"/>
      <c r="G211" s="294"/>
      <c r="H211" s="294"/>
      <c r="I211" s="294"/>
      <c r="J211" s="294"/>
      <c r="K211" s="294"/>
      <c r="L211" s="294"/>
      <c r="M211" s="294"/>
      <c r="N211" s="294"/>
      <c r="O211" s="294"/>
      <c r="P211" s="294"/>
      <c r="Q211" s="294"/>
      <c r="R211" s="294"/>
      <c r="S211" s="294"/>
      <c r="T211" s="294"/>
      <c r="U211" s="294"/>
      <c r="V211" s="294"/>
      <c r="W211" s="294"/>
      <c r="X211" s="294"/>
      <c r="Y211" s="294"/>
      <c r="Z211" s="294"/>
      <c r="AA211" s="294"/>
      <c r="AB211" s="294"/>
    </row>
    <row r="212">
      <c r="A212" s="294"/>
      <c r="B212" s="294"/>
      <c r="C212" s="294"/>
      <c r="D212" s="294"/>
      <c r="E212" s="294"/>
      <c r="F212" s="294"/>
      <c r="G212" s="294"/>
      <c r="H212" s="294"/>
      <c r="I212" s="294"/>
      <c r="J212" s="294"/>
      <c r="K212" s="294"/>
      <c r="L212" s="294"/>
      <c r="M212" s="294"/>
      <c r="N212" s="294"/>
      <c r="O212" s="294"/>
      <c r="P212" s="294"/>
      <c r="Q212" s="294"/>
      <c r="R212" s="294"/>
      <c r="S212" s="294"/>
      <c r="T212" s="294"/>
      <c r="U212" s="294"/>
      <c r="V212" s="294"/>
      <c r="W212" s="294"/>
      <c r="X212" s="294"/>
      <c r="Y212" s="294"/>
      <c r="Z212" s="294"/>
      <c r="AA212" s="294"/>
      <c r="AB212" s="294"/>
    </row>
    <row r="213">
      <c r="A213" s="294"/>
      <c r="B213" s="294"/>
      <c r="C213" s="294"/>
      <c r="D213" s="294"/>
      <c r="E213" s="294"/>
      <c r="F213" s="294"/>
      <c r="G213" s="294"/>
      <c r="H213" s="294"/>
      <c r="I213" s="294"/>
      <c r="J213" s="294"/>
      <c r="K213" s="294"/>
      <c r="L213" s="294"/>
      <c r="M213" s="294"/>
      <c r="N213" s="294"/>
      <c r="O213" s="294"/>
      <c r="P213" s="294"/>
      <c r="Q213" s="294"/>
      <c r="R213" s="294"/>
      <c r="S213" s="294"/>
      <c r="T213" s="294"/>
      <c r="U213" s="294"/>
      <c r="V213" s="294"/>
      <c r="W213" s="294"/>
      <c r="X213" s="294"/>
      <c r="Y213" s="294"/>
      <c r="Z213" s="294"/>
      <c r="AA213" s="294"/>
      <c r="AB213" s="294"/>
    </row>
    <row r="214">
      <c r="A214" s="294"/>
      <c r="B214" s="294"/>
      <c r="C214" s="294"/>
      <c r="D214" s="294"/>
      <c r="E214" s="294"/>
      <c r="F214" s="294"/>
      <c r="G214" s="294"/>
      <c r="H214" s="294"/>
      <c r="I214" s="294"/>
      <c r="J214" s="294"/>
      <c r="K214" s="294"/>
      <c r="L214" s="294"/>
      <c r="M214" s="294"/>
      <c r="N214" s="294"/>
      <c r="O214" s="294"/>
      <c r="P214" s="294"/>
      <c r="Q214" s="294"/>
      <c r="R214" s="294"/>
      <c r="S214" s="294"/>
      <c r="T214" s="294"/>
      <c r="U214" s="294"/>
      <c r="V214" s="294"/>
      <c r="W214" s="294"/>
      <c r="X214" s="294"/>
      <c r="Y214" s="294"/>
      <c r="Z214" s="294"/>
      <c r="AA214" s="294"/>
      <c r="AB214" s="294"/>
    </row>
    <row r="215">
      <c r="A215" s="294"/>
      <c r="B215" s="294"/>
      <c r="C215" s="294"/>
      <c r="D215" s="294"/>
      <c r="E215" s="294"/>
      <c r="F215" s="294"/>
      <c r="G215" s="294"/>
      <c r="H215" s="294"/>
      <c r="I215" s="294"/>
      <c r="J215" s="294"/>
      <c r="K215" s="294"/>
      <c r="L215" s="294"/>
      <c r="M215" s="294"/>
      <c r="N215" s="294"/>
      <c r="O215" s="294"/>
      <c r="P215" s="294"/>
      <c r="Q215" s="294"/>
      <c r="R215" s="294"/>
      <c r="S215" s="294"/>
      <c r="T215" s="294"/>
      <c r="U215" s="294"/>
      <c r="V215" s="294"/>
      <c r="W215" s="294"/>
      <c r="X215" s="294"/>
      <c r="Y215" s="294"/>
      <c r="Z215" s="294"/>
      <c r="AA215" s="294"/>
      <c r="AB215" s="294"/>
    </row>
    <row r="216">
      <c r="A216" s="294"/>
      <c r="B216" s="294"/>
      <c r="C216" s="294"/>
      <c r="D216" s="294"/>
      <c r="E216" s="294"/>
      <c r="F216" s="294"/>
      <c r="G216" s="294"/>
      <c r="H216" s="294"/>
      <c r="I216" s="294"/>
      <c r="J216" s="294"/>
      <c r="K216" s="294"/>
      <c r="L216" s="294"/>
      <c r="M216" s="294"/>
      <c r="N216" s="294"/>
      <c r="O216" s="294"/>
      <c r="P216" s="294"/>
      <c r="Q216" s="294"/>
      <c r="R216" s="294"/>
      <c r="S216" s="294"/>
      <c r="T216" s="294"/>
      <c r="U216" s="294"/>
      <c r="V216" s="294"/>
      <c r="W216" s="294"/>
      <c r="X216" s="294"/>
      <c r="Y216" s="294"/>
      <c r="Z216" s="294"/>
      <c r="AA216" s="294"/>
      <c r="AB216" s="294"/>
    </row>
    <row r="217">
      <c r="A217" s="294"/>
      <c r="B217" s="294"/>
      <c r="C217" s="294"/>
      <c r="D217" s="294"/>
      <c r="E217" s="294"/>
      <c r="F217" s="294"/>
      <c r="G217" s="294"/>
      <c r="H217" s="294"/>
      <c r="I217" s="294"/>
      <c r="J217" s="294"/>
      <c r="K217" s="294"/>
      <c r="L217" s="294"/>
      <c r="M217" s="294"/>
      <c r="N217" s="294"/>
      <c r="O217" s="294"/>
      <c r="P217" s="294"/>
      <c r="Q217" s="294"/>
      <c r="R217" s="294"/>
      <c r="S217" s="294"/>
      <c r="T217" s="294"/>
      <c r="U217" s="294"/>
      <c r="V217" s="294"/>
      <c r="W217" s="294"/>
      <c r="X217" s="294"/>
      <c r="Y217" s="294"/>
      <c r="Z217" s="294"/>
      <c r="AA217" s="294"/>
      <c r="AB217" s="294"/>
    </row>
    <row r="218">
      <c r="A218" s="294"/>
      <c r="B218" s="294"/>
      <c r="C218" s="294"/>
      <c r="D218" s="294"/>
      <c r="E218" s="294"/>
      <c r="F218" s="294"/>
      <c r="G218" s="294"/>
      <c r="H218" s="294"/>
      <c r="I218" s="294"/>
      <c r="J218" s="294"/>
      <c r="K218" s="294"/>
      <c r="L218" s="294"/>
      <c r="M218" s="294"/>
      <c r="N218" s="294"/>
      <c r="O218" s="294"/>
      <c r="P218" s="294"/>
      <c r="Q218" s="294"/>
      <c r="R218" s="294"/>
      <c r="S218" s="294"/>
      <c r="T218" s="294"/>
      <c r="U218" s="294"/>
      <c r="V218" s="294"/>
      <c r="W218" s="294"/>
      <c r="X218" s="294"/>
      <c r="Y218" s="294"/>
      <c r="Z218" s="294"/>
      <c r="AA218" s="294"/>
      <c r="AB218" s="294"/>
    </row>
    <row r="219">
      <c r="A219" s="294"/>
      <c r="B219" s="294"/>
      <c r="C219" s="294"/>
      <c r="D219" s="294"/>
      <c r="E219" s="294"/>
      <c r="F219" s="294"/>
      <c r="G219" s="294"/>
      <c r="H219" s="294"/>
      <c r="I219" s="294"/>
      <c r="J219" s="294"/>
      <c r="K219" s="294"/>
      <c r="L219" s="294"/>
      <c r="M219" s="294"/>
      <c r="N219" s="294"/>
      <c r="O219" s="294"/>
      <c r="P219" s="294"/>
      <c r="Q219" s="294"/>
      <c r="R219" s="294"/>
      <c r="S219" s="294"/>
      <c r="T219" s="294"/>
      <c r="U219" s="294"/>
      <c r="V219" s="294"/>
      <c r="W219" s="294"/>
      <c r="X219" s="294"/>
      <c r="Y219" s="294"/>
      <c r="Z219" s="294"/>
      <c r="AA219" s="294"/>
      <c r="AB219" s="294"/>
    </row>
    <row r="220">
      <c r="A220" s="294"/>
      <c r="B220" s="294"/>
      <c r="C220" s="294"/>
      <c r="D220" s="294"/>
      <c r="E220" s="294"/>
      <c r="F220" s="294"/>
      <c r="G220" s="294"/>
      <c r="H220" s="294"/>
      <c r="I220" s="294"/>
      <c r="J220" s="294"/>
      <c r="K220" s="294"/>
      <c r="L220" s="294"/>
      <c r="M220" s="294"/>
      <c r="N220" s="294"/>
      <c r="O220" s="294"/>
      <c r="P220" s="294"/>
      <c r="Q220" s="294"/>
      <c r="R220" s="294"/>
      <c r="S220" s="294"/>
      <c r="T220" s="294"/>
      <c r="U220" s="294"/>
      <c r="V220" s="294"/>
      <c r="W220" s="294"/>
      <c r="X220" s="294"/>
      <c r="Y220" s="294"/>
      <c r="Z220" s="294"/>
      <c r="AA220" s="294"/>
      <c r="AB220" s="294"/>
    </row>
    <row r="221">
      <c r="A221" s="294"/>
      <c r="B221" s="294"/>
      <c r="C221" s="294"/>
      <c r="D221" s="294"/>
      <c r="E221" s="294"/>
      <c r="F221" s="294"/>
      <c r="G221" s="294"/>
      <c r="H221" s="294"/>
      <c r="I221" s="294"/>
      <c r="J221" s="294"/>
      <c r="K221" s="294"/>
      <c r="L221" s="294"/>
      <c r="M221" s="294"/>
      <c r="N221" s="294"/>
      <c r="O221" s="294"/>
      <c r="P221" s="294"/>
      <c r="Q221" s="294"/>
      <c r="R221" s="294"/>
      <c r="S221" s="294"/>
      <c r="T221" s="294"/>
      <c r="U221" s="294"/>
      <c r="V221" s="294"/>
      <c r="W221" s="294"/>
      <c r="X221" s="294"/>
      <c r="Y221" s="294"/>
      <c r="Z221" s="294"/>
      <c r="AA221" s="294"/>
      <c r="AB221" s="294"/>
    </row>
    <row r="222">
      <c r="A222" s="294"/>
      <c r="B222" s="294"/>
      <c r="C222" s="294"/>
      <c r="D222" s="294"/>
      <c r="E222" s="294"/>
      <c r="F222" s="294"/>
      <c r="G222" s="294"/>
      <c r="H222" s="294"/>
      <c r="I222" s="294"/>
      <c r="J222" s="294"/>
      <c r="K222" s="294"/>
      <c r="L222" s="294"/>
      <c r="M222" s="294"/>
      <c r="N222" s="294"/>
      <c r="O222" s="294"/>
      <c r="P222" s="294"/>
      <c r="Q222" s="294"/>
      <c r="R222" s="294"/>
      <c r="S222" s="294"/>
      <c r="T222" s="294"/>
      <c r="U222" s="294"/>
      <c r="V222" s="294"/>
      <c r="W222" s="294"/>
      <c r="X222" s="294"/>
      <c r="Y222" s="294"/>
      <c r="Z222" s="294"/>
      <c r="AA222" s="294"/>
      <c r="AB222" s="294"/>
    </row>
    <row r="223">
      <c r="A223" s="294"/>
      <c r="B223" s="294"/>
      <c r="C223" s="294"/>
      <c r="D223" s="294"/>
      <c r="E223" s="294"/>
      <c r="F223" s="294"/>
      <c r="G223" s="294"/>
      <c r="H223" s="294"/>
      <c r="I223" s="294"/>
      <c r="J223" s="294"/>
      <c r="K223" s="294"/>
      <c r="L223" s="294"/>
      <c r="M223" s="294"/>
      <c r="N223" s="294"/>
      <c r="O223" s="294"/>
      <c r="P223" s="294"/>
      <c r="Q223" s="294"/>
      <c r="R223" s="294"/>
      <c r="S223" s="294"/>
      <c r="T223" s="294"/>
      <c r="U223" s="294"/>
      <c r="V223" s="294"/>
      <c r="W223" s="294"/>
      <c r="X223" s="294"/>
      <c r="Y223" s="294"/>
      <c r="Z223" s="294"/>
      <c r="AA223" s="294"/>
      <c r="AB223" s="294"/>
    </row>
    <row r="224">
      <c r="A224" s="294"/>
      <c r="B224" s="294"/>
      <c r="C224" s="294"/>
      <c r="D224" s="294"/>
      <c r="E224" s="294"/>
      <c r="F224" s="294"/>
      <c r="G224" s="294"/>
      <c r="H224" s="294"/>
      <c r="I224" s="294"/>
      <c r="J224" s="294"/>
      <c r="K224" s="294"/>
      <c r="L224" s="294"/>
      <c r="M224" s="294"/>
      <c r="N224" s="294"/>
      <c r="O224" s="294"/>
      <c r="P224" s="294"/>
      <c r="Q224" s="294"/>
      <c r="R224" s="294"/>
      <c r="S224" s="294"/>
      <c r="T224" s="294"/>
      <c r="U224" s="294"/>
      <c r="V224" s="294"/>
      <c r="W224" s="294"/>
      <c r="X224" s="294"/>
      <c r="Y224" s="294"/>
      <c r="Z224" s="294"/>
      <c r="AA224" s="294"/>
      <c r="AB224" s="294"/>
    </row>
    <row r="225">
      <c r="A225" s="294"/>
      <c r="B225" s="294"/>
      <c r="C225" s="294"/>
      <c r="D225" s="294"/>
      <c r="E225" s="294"/>
      <c r="F225" s="294"/>
      <c r="G225" s="294"/>
      <c r="H225" s="294"/>
      <c r="I225" s="294"/>
      <c r="J225" s="294"/>
      <c r="K225" s="294"/>
      <c r="L225" s="294"/>
      <c r="M225" s="294"/>
      <c r="N225" s="294"/>
      <c r="O225" s="294"/>
      <c r="P225" s="294"/>
      <c r="Q225" s="294"/>
      <c r="R225" s="294"/>
      <c r="S225" s="294"/>
      <c r="T225" s="294"/>
      <c r="U225" s="294"/>
      <c r="V225" s="294"/>
      <c r="W225" s="294"/>
      <c r="X225" s="294"/>
      <c r="Y225" s="294"/>
      <c r="Z225" s="294"/>
      <c r="AA225" s="294"/>
      <c r="AB225" s="294"/>
    </row>
    <row r="226">
      <c r="A226" s="294"/>
      <c r="B226" s="294"/>
      <c r="C226" s="294"/>
      <c r="D226" s="294"/>
      <c r="E226" s="294"/>
      <c r="F226" s="294"/>
      <c r="G226" s="294"/>
      <c r="H226" s="294"/>
      <c r="I226" s="294"/>
      <c r="J226" s="294"/>
      <c r="K226" s="294"/>
      <c r="L226" s="294"/>
      <c r="M226" s="294"/>
      <c r="N226" s="294"/>
      <c r="O226" s="294"/>
      <c r="P226" s="294"/>
      <c r="Q226" s="294"/>
      <c r="R226" s="294"/>
      <c r="S226" s="294"/>
      <c r="T226" s="294"/>
      <c r="U226" s="294"/>
      <c r="V226" s="294"/>
      <c r="W226" s="294"/>
      <c r="X226" s="294"/>
      <c r="Y226" s="294"/>
      <c r="Z226" s="294"/>
      <c r="AA226" s="294"/>
      <c r="AB226" s="294"/>
    </row>
    <row r="227">
      <c r="A227" s="294"/>
      <c r="B227" s="294"/>
      <c r="C227" s="294"/>
      <c r="D227" s="294"/>
      <c r="E227" s="294"/>
      <c r="F227" s="294"/>
      <c r="G227" s="294"/>
      <c r="H227" s="294"/>
      <c r="I227" s="294"/>
      <c r="J227" s="294"/>
      <c r="K227" s="294"/>
      <c r="L227" s="294"/>
      <c r="M227" s="294"/>
      <c r="N227" s="294"/>
      <c r="O227" s="294"/>
      <c r="P227" s="294"/>
      <c r="Q227" s="294"/>
      <c r="R227" s="294"/>
      <c r="S227" s="294"/>
      <c r="T227" s="294"/>
      <c r="U227" s="294"/>
      <c r="V227" s="294"/>
      <c r="W227" s="294"/>
      <c r="X227" s="294"/>
      <c r="Y227" s="294"/>
      <c r="Z227" s="294"/>
      <c r="AA227" s="294"/>
      <c r="AB227" s="294"/>
    </row>
    <row r="228">
      <c r="A228" s="294"/>
      <c r="B228" s="294"/>
      <c r="C228" s="294"/>
      <c r="D228" s="294"/>
      <c r="E228" s="294"/>
      <c r="F228" s="294"/>
      <c r="G228" s="294"/>
      <c r="H228" s="294"/>
      <c r="I228" s="294"/>
      <c r="J228" s="294"/>
      <c r="K228" s="294"/>
      <c r="L228" s="294"/>
      <c r="M228" s="294"/>
      <c r="N228" s="294"/>
      <c r="O228" s="294"/>
      <c r="P228" s="294"/>
      <c r="Q228" s="294"/>
      <c r="R228" s="294"/>
      <c r="S228" s="294"/>
      <c r="T228" s="294"/>
      <c r="U228" s="294"/>
      <c r="V228" s="294"/>
      <c r="W228" s="294"/>
      <c r="X228" s="294"/>
      <c r="Y228" s="294"/>
      <c r="Z228" s="294"/>
      <c r="AA228" s="294"/>
      <c r="AB228" s="294"/>
    </row>
    <row r="229">
      <c r="A229" s="294"/>
      <c r="B229" s="294"/>
      <c r="C229" s="294"/>
      <c r="D229" s="294"/>
      <c r="E229" s="294"/>
      <c r="F229" s="294"/>
      <c r="G229" s="294"/>
      <c r="H229" s="294"/>
      <c r="I229" s="294"/>
      <c r="J229" s="294"/>
      <c r="K229" s="294"/>
      <c r="L229" s="294"/>
      <c r="M229" s="294"/>
      <c r="N229" s="294"/>
      <c r="O229" s="294"/>
      <c r="P229" s="294"/>
      <c r="Q229" s="294"/>
      <c r="R229" s="294"/>
      <c r="S229" s="294"/>
      <c r="T229" s="294"/>
      <c r="U229" s="294"/>
      <c r="V229" s="294"/>
      <c r="W229" s="294"/>
      <c r="X229" s="294"/>
      <c r="Y229" s="294"/>
      <c r="Z229" s="294"/>
      <c r="AA229" s="294"/>
      <c r="AB229" s="294"/>
    </row>
    <row r="230">
      <c r="A230" s="294"/>
      <c r="B230" s="294"/>
      <c r="C230" s="294"/>
      <c r="D230" s="294"/>
      <c r="E230" s="294"/>
      <c r="F230" s="294"/>
      <c r="G230" s="294"/>
      <c r="H230" s="294"/>
      <c r="I230" s="294"/>
      <c r="J230" s="294"/>
      <c r="K230" s="294"/>
      <c r="L230" s="294"/>
      <c r="M230" s="294"/>
      <c r="N230" s="294"/>
      <c r="O230" s="294"/>
      <c r="P230" s="294"/>
      <c r="Q230" s="294"/>
      <c r="R230" s="294"/>
      <c r="S230" s="294"/>
      <c r="T230" s="294"/>
      <c r="U230" s="294"/>
      <c r="V230" s="294"/>
      <c r="W230" s="294"/>
      <c r="X230" s="294"/>
      <c r="Y230" s="294"/>
      <c r="Z230" s="294"/>
      <c r="AA230" s="294"/>
      <c r="AB230" s="294"/>
    </row>
    <row r="231">
      <c r="A231" s="294"/>
      <c r="B231" s="294"/>
      <c r="C231" s="294"/>
      <c r="D231" s="294"/>
      <c r="E231" s="294"/>
      <c r="F231" s="294"/>
      <c r="G231" s="294"/>
      <c r="H231" s="294"/>
      <c r="I231" s="294"/>
      <c r="J231" s="294"/>
      <c r="K231" s="294"/>
      <c r="L231" s="294"/>
      <c r="M231" s="294"/>
      <c r="N231" s="294"/>
      <c r="O231" s="294"/>
      <c r="P231" s="294"/>
      <c r="Q231" s="294"/>
      <c r="R231" s="294"/>
      <c r="S231" s="294"/>
      <c r="T231" s="294"/>
      <c r="U231" s="294"/>
      <c r="V231" s="294"/>
      <c r="W231" s="294"/>
      <c r="X231" s="294"/>
      <c r="Y231" s="294"/>
      <c r="Z231" s="294"/>
      <c r="AA231" s="294"/>
      <c r="AB231" s="294"/>
    </row>
    <row r="232">
      <c r="A232" s="294"/>
      <c r="B232" s="294"/>
      <c r="C232" s="294"/>
      <c r="D232" s="294"/>
      <c r="E232" s="294"/>
      <c r="F232" s="294"/>
      <c r="G232" s="294"/>
      <c r="H232" s="294"/>
      <c r="I232" s="294"/>
      <c r="J232" s="294"/>
      <c r="K232" s="294"/>
      <c r="L232" s="294"/>
      <c r="M232" s="294"/>
      <c r="N232" s="294"/>
      <c r="O232" s="294"/>
      <c r="P232" s="294"/>
      <c r="Q232" s="294"/>
      <c r="R232" s="294"/>
      <c r="S232" s="294"/>
      <c r="T232" s="294"/>
      <c r="U232" s="294"/>
      <c r="V232" s="294"/>
      <c r="W232" s="294"/>
      <c r="X232" s="294"/>
      <c r="Y232" s="294"/>
      <c r="Z232" s="294"/>
      <c r="AA232" s="294"/>
      <c r="AB232" s="294"/>
    </row>
    <row r="233">
      <c r="A233" s="294"/>
      <c r="B233" s="294"/>
      <c r="C233" s="294"/>
      <c r="D233" s="294"/>
      <c r="E233" s="294"/>
      <c r="F233" s="294"/>
      <c r="G233" s="294"/>
      <c r="H233" s="294"/>
      <c r="I233" s="294"/>
      <c r="J233" s="294"/>
      <c r="K233" s="294"/>
      <c r="L233" s="294"/>
      <c r="M233" s="294"/>
      <c r="N233" s="294"/>
      <c r="O233" s="294"/>
      <c r="P233" s="294"/>
      <c r="Q233" s="294"/>
      <c r="R233" s="294"/>
      <c r="S233" s="294"/>
      <c r="T233" s="294"/>
      <c r="U233" s="294"/>
      <c r="V233" s="294"/>
      <c r="W233" s="294"/>
      <c r="X233" s="294"/>
      <c r="Y233" s="294"/>
      <c r="Z233" s="294"/>
      <c r="AA233" s="294"/>
      <c r="AB233" s="294"/>
    </row>
    <row r="234">
      <c r="A234" s="294"/>
      <c r="B234" s="294"/>
      <c r="C234" s="294"/>
      <c r="D234" s="294"/>
      <c r="E234" s="294"/>
      <c r="F234" s="294"/>
      <c r="G234" s="294"/>
      <c r="H234" s="294"/>
      <c r="I234" s="294"/>
      <c r="J234" s="294"/>
      <c r="K234" s="294"/>
      <c r="L234" s="294"/>
      <c r="M234" s="294"/>
      <c r="N234" s="294"/>
      <c r="O234" s="294"/>
      <c r="P234" s="294"/>
      <c r="Q234" s="294"/>
      <c r="R234" s="294"/>
      <c r="S234" s="294"/>
      <c r="T234" s="294"/>
      <c r="U234" s="294"/>
      <c r="V234" s="294"/>
      <c r="W234" s="294"/>
      <c r="X234" s="294"/>
      <c r="Y234" s="294"/>
      <c r="Z234" s="294"/>
      <c r="AA234" s="294"/>
      <c r="AB234" s="294"/>
    </row>
    <row r="235">
      <c r="A235" s="294"/>
      <c r="B235" s="294"/>
      <c r="C235" s="294"/>
      <c r="D235" s="294"/>
      <c r="E235" s="294"/>
      <c r="F235" s="294"/>
      <c r="G235" s="294"/>
      <c r="H235" s="294"/>
      <c r="I235" s="294"/>
      <c r="J235" s="294"/>
      <c r="K235" s="294"/>
      <c r="L235" s="294"/>
      <c r="M235" s="294"/>
      <c r="N235" s="294"/>
      <c r="O235" s="294"/>
      <c r="P235" s="294"/>
      <c r="Q235" s="294"/>
      <c r="R235" s="294"/>
      <c r="S235" s="294"/>
      <c r="T235" s="294"/>
      <c r="U235" s="294"/>
      <c r="V235" s="294"/>
      <c r="W235" s="294"/>
      <c r="X235" s="294"/>
      <c r="Y235" s="294"/>
      <c r="Z235" s="294"/>
      <c r="AA235" s="294"/>
      <c r="AB235" s="294"/>
    </row>
    <row r="236">
      <c r="A236" s="294"/>
      <c r="B236" s="294"/>
      <c r="C236" s="294"/>
      <c r="D236" s="294"/>
      <c r="E236" s="294"/>
      <c r="F236" s="294"/>
      <c r="G236" s="294"/>
      <c r="H236" s="294"/>
      <c r="I236" s="294"/>
      <c r="J236" s="294"/>
      <c r="K236" s="294"/>
      <c r="L236" s="294"/>
      <c r="M236" s="294"/>
      <c r="N236" s="294"/>
      <c r="O236" s="294"/>
      <c r="P236" s="294"/>
      <c r="Q236" s="294"/>
      <c r="R236" s="294"/>
      <c r="S236" s="294"/>
      <c r="T236" s="294"/>
      <c r="U236" s="294"/>
      <c r="V236" s="294"/>
      <c r="W236" s="294"/>
      <c r="X236" s="294"/>
      <c r="Y236" s="294"/>
      <c r="Z236" s="294"/>
      <c r="AA236" s="294"/>
      <c r="AB236" s="294"/>
    </row>
    <row r="237">
      <c r="A237" s="294"/>
      <c r="B237" s="294"/>
      <c r="C237" s="294"/>
      <c r="D237" s="294"/>
      <c r="E237" s="294"/>
      <c r="F237" s="294"/>
      <c r="G237" s="294"/>
      <c r="H237" s="294"/>
      <c r="I237" s="294"/>
      <c r="J237" s="294"/>
      <c r="K237" s="294"/>
      <c r="L237" s="294"/>
      <c r="M237" s="294"/>
      <c r="N237" s="294"/>
      <c r="O237" s="294"/>
      <c r="P237" s="294"/>
      <c r="Q237" s="294"/>
      <c r="R237" s="294"/>
      <c r="S237" s="294"/>
      <c r="T237" s="294"/>
      <c r="U237" s="294"/>
      <c r="V237" s="294"/>
      <c r="W237" s="294"/>
      <c r="X237" s="294"/>
      <c r="Y237" s="294"/>
      <c r="Z237" s="294"/>
      <c r="AA237" s="294"/>
      <c r="AB237" s="294"/>
    </row>
    <row r="238">
      <c r="A238" s="294"/>
      <c r="B238" s="294"/>
      <c r="C238" s="294"/>
      <c r="D238" s="294"/>
      <c r="E238" s="294"/>
      <c r="F238" s="294"/>
      <c r="G238" s="294"/>
      <c r="H238" s="294"/>
      <c r="I238" s="294"/>
      <c r="J238" s="294"/>
      <c r="K238" s="294"/>
      <c r="L238" s="294"/>
      <c r="M238" s="294"/>
      <c r="N238" s="294"/>
      <c r="O238" s="294"/>
      <c r="P238" s="294"/>
      <c r="Q238" s="294"/>
      <c r="R238" s="294"/>
      <c r="S238" s="294"/>
      <c r="T238" s="294"/>
      <c r="U238" s="294"/>
      <c r="V238" s="294"/>
      <c r="W238" s="294"/>
      <c r="X238" s="294"/>
      <c r="Y238" s="294"/>
      <c r="Z238" s="294"/>
      <c r="AA238" s="294"/>
      <c r="AB238" s="294"/>
    </row>
    <row r="239">
      <c r="A239" s="294"/>
      <c r="B239" s="294"/>
      <c r="C239" s="294"/>
      <c r="D239" s="294"/>
      <c r="E239" s="294"/>
      <c r="F239" s="294"/>
      <c r="G239" s="294"/>
      <c r="H239" s="294"/>
      <c r="I239" s="294"/>
      <c r="J239" s="294"/>
      <c r="K239" s="294"/>
      <c r="L239" s="294"/>
      <c r="M239" s="294"/>
      <c r="N239" s="294"/>
      <c r="O239" s="294"/>
      <c r="P239" s="294"/>
      <c r="Q239" s="294"/>
      <c r="R239" s="294"/>
      <c r="S239" s="294"/>
      <c r="T239" s="294"/>
      <c r="U239" s="294"/>
      <c r="V239" s="294"/>
      <c r="W239" s="294"/>
      <c r="X239" s="294"/>
      <c r="Y239" s="294"/>
      <c r="Z239" s="294"/>
      <c r="AA239" s="294"/>
      <c r="AB239" s="294"/>
    </row>
    <row r="240">
      <c r="A240" s="294"/>
      <c r="B240" s="294"/>
      <c r="C240" s="294"/>
      <c r="D240" s="294"/>
      <c r="E240" s="294"/>
      <c r="F240" s="294"/>
      <c r="G240" s="294"/>
      <c r="H240" s="294"/>
      <c r="I240" s="294"/>
      <c r="J240" s="294"/>
      <c r="K240" s="294"/>
      <c r="L240" s="294"/>
      <c r="M240" s="294"/>
      <c r="N240" s="294"/>
      <c r="O240" s="294"/>
      <c r="P240" s="294"/>
      <c r="Q240" s="294"/>
      <c r="R240" s="294"/>
      <c r="S240" s="294"/>
      <c r="T240" s="294"/>
      <c r="U240" s="294"/>
      <c r="V240" s="294"/>
      <c r="W240" s="294"/>
      <c r="X240" s="294"/>
      <c r="Y240" s="294"/>
      <c r="Z240" s="294"/>
      <c r="AA240" s="294"/>
      <c r="AB240" s="294"/>
    </row>
    <row r="241">
      <c r="A241" s="294"/>
      <c r="B241" s="294"/>
      <c r="C241" s="294"/>
      <c r="D241" s="294"/>
      <c r="E241" s="294"/>
      <c r="F241" s="294"/>
      <c r="G241" s="294"/>
      <c r="H241" s="294"/>
      <c r="I241" s="294"/>
      <c r="J241" s="294"/>
      <c r="K241" s="294"/>
      <c r="L241" s="294"/>
      <c r="M241" s="294"/>
      <c r="N241" s="294"/>
      <c r="O241" s="294"/>
      <c r="P241" s="294"/>
      <c r="Q241" s="294"/>
      <c r="R241" s="294"/>
      <c r="S241" s="294"/>
      <c r="T241" s="294"/>
      <c r="U241" s="294"/>
      <c r="V241" s="294"/>
      <c r="W241" s="294"/>
      <c r="X241" s="294"/>
      <c r="Y241" s="294"/>
      <c r="Z241" s="294"/>
      <c r="AA241" s="294"/>
      <c r="AB241" s="294"/>
    </row>
    <row r="242">
      <c r="A242" s="294"/>
      <c r="B242" s="294"/>
      <c r="C242" s="294"/>
      <c r="D242" s="294"/>
      <c r="E242" s="294"/>
      <c r="F242" s="294"/>
      <c r="G242" s="294"/>
      <c r="H242" s="294"/>
      <c r="I242" s="294"/>
      <c r="J242" s="294"/>
      <c r="K242" s="294"/>
      <c r="L242" s="294"/>
      <c r="M242" s="294"/>
      <c r="N242" s="294"/>
      <c r="O242" s="294"/>
      <c r="P242" s="294"/>
      <c r="Q242" s="294"/>
      <c r="R242" s="294"/>
      <c r="S242" s="294"/>
      <c r="T242" s="294"/>
      <c r="U242" s="294"/>
      <c r="V242" s="294"/>
      <c r="W242" s="294"/>
      <c r="X242" s="294"/>
      <c r="Y242" s="294"/>
      <c r="Z242" s="294"/>
      <c r="AA242" s="294"/>
      <c r="AB242" s="294"/>
    </row>
    <row r="243">
      <c r="A243" s="294"/>
      <c r="B243" s="294"/>
      <c r="C243" s="294"/>
      <c r="D243" s="294"/>
      <c r="E243" s="294"/>
      <c r="F243" s="294"/>
      <c r="G243" s="294"/>
      <c r="H243" s="294"/>
      <c r="I243" s="294"/>
      <c r="J243" s="294"/>
      <c r="K243" s="294"/>
      <c r="L243" s="294"/>
      <c r="M243" s="294"/>
      <c r="N243" s="294"/>
      <c r="O243" s="294"/>
      <c r="P243" s="294"/>
      <c r="Q243" s="294"/>
      <c r="R243" s="294"/>
      <c r="S243" s="294"/>
      <c r="T243" s="294"/>
      <c r="U243" s="294"/>
      <c r="V243" s="294"/>
      <c r="W243" s="294"/>
      <c r="X243" s="294"/>
      <c r="Y243" s="294"/>
      <c r="Z243" s="294"/>
      <c r="AA243" s="294"/>
      <c r="AB243" s="294"/>
    </row>
    <row r="244">
      <c r="A244" s="294"/>
      <c r="B244" s="294"/>
      <c r="C244" s="294"/>
      <c r="D244" s="294"/>
      <c r="E244" s="294"/>
      <c r="F244" s="294"/>
      <c r="G244" s="294"/>
      <c r="H244" s="294"/>
      <c r="I244" s="294"/>
      <c r="J244" s="294"/>
      <c r="K244" s="294"/>
      <c r="L244" s="294"/>
      <c r="M244" s="294"/>
      <c r="N244" s="294"/>
      <c r="O244" s="294"/>
      <c r="P244" s="294"/>
      <c r="Q244" s="294"/>
      <c r="R244" s="294"/>
      <c r="S244" s="294"/>
      <c r="T244" s="294"/>
      <c r="U244" s="294"/>
      <c r="V244" s="294"/>
      <c r="W244" s="294"/>
      <c r="X244" s="294"/>
      <c r="Y244" s="294"/>
      <c r="Z244" s="294"/>
      <c r="AA244" s="294"/>
      <c r="AB244" s="294"/>
    </row>
    <row r="245">
      <c r="A245" s="294"/>
      <c r="B245" s="294"/>
      <c r="C245" s="294"/>
      <c r="D245" s="294"/>
      <c r="E245" s="294"/>
      <c r="F245" s="294"/>
      <c r="G245" s="294"/>
      <c r="H245" s="294"/>
      <c r="I245" s="294"/>
      <c r="J245" s="294"/>
      <c r="K245" s="294"/>
      <c r="L245" s="294"/>
      <c r="M245" s="294"/>
      <c r="N245" s="294"/>
      <c r="O245" s="294"/>
      <c r="P245" s="294"/>
      <c r="Q245" s="294"/>
      <c r="R245" s="294"/>
      <c r="S245" s="294"/>
      <c r="T245" s="294"/>
      <c r="U245" s="294"/>
      <c r="V245" s="294"/>
      <c r="W245" s="294"/>
      <c r="X245" s="294"/>
      <c r="Y245" s="294"/>
      <c r="Z245" s="294"/>
      <c r="AA245" s="294"/>
      <c r="AB245" s="294"/>
    </row>
    <row r="246">
      <c r="A246" s="294"/>
      <c r="B246" s="294"/>
      <c r="C246" s="294"/>
      <c r="D246" s="294"/>
      <c r="E246" s="294"/>
      <c r="F246" s="294"/>
      <c r="G246" s="294"/>
      <c r="H246" s="294"/>
      <c r="I246" s="294"/>
      <c r="J246" s="294"/>
      <c r="K246" s="294"/>
      <c r="L246" s="294"/>
      <c r="M246" s="294"/>
      <c r="N246" s="294"/>
      <c r="O246" s="294"/>
      <c r="P246" s="294"/>
      <c r="Q246" s="294"/>
      <c r="R246" s="294"/>
      <c r="S246" s="294"/>
      <c r="T246" s="294"/>
      <c r="U246" s="294"/>
      <c r="V246" s="294"/>
      <c r="W246" s="294"/>
      <c r="X246" s="294"/>
      <c r="Y246" s="294"/>
      <c r="Z246" s="294"/>
      <c r="AA246" s="294"/>
      <c r="AB246" s="294"/>
    </row>
    <row r="247">
      <c r="A247" s="294"/>
      <c r="B247" s="294"/>
      <c r="C247" s="294"/>
      <c r="D247" s="294"/>
      <c r="E247" s="294"/>
      <c r="F247" s="294"/>
      <c r="G247" s="294"/>
      <c r="H247" s="294"/>
      <c r="I247" s="294"/>
      <c r="J247" s="294"/>
      <c r="K247" s="294"/>
      <c r="L247" s="294"/>
      <c r="M247" s="294"/>
      <c r="N247" s="294"/>
      <c r="O247" s="294"/>
      <c r="P247" s="294"/>
      <c r="Q247" s="294"/>
      <c r="R247" s="294"/>
      <c r="S247" s="294"/>
      <c r="T247" s="294"/>
      <c r="U247" s="294"/>
      <c r="V247" s="294"/>
      <c r="W247" s="294"/>
      <c r="X247" s="294"/>
      <c r="Y247" s="294"/>
      <c r="Z247" s="294"/>
      <c r="AA247" s="294"/>
      <c r="AB247" s="294"/>
    </row>
    <row r="248">
      <c r="A248" s="294"/>
      <c r="B248" s="294"/>
      <c r="C248" s="294"/>
      <c r="D248" s="294"/>
      <c r="E248" s="294"/>
      <c r="F248" s="294"/>
      <c r="G248" s="294"/>
      <c r="H248" s="294"/>
      <c r="I248" s="294"/>
      <c r="J248" s="294"/>
      <c r="K248" s="294"/>
      <c r="L248" s="294"/>
      <c r="M248" s="294"/>
      <c r="N248" s="294"/>
      <c r="O248" s="294"/>
      <c r="P248" s="294"/>
      <c r="Q248" s="294"/>
      <c r="R248" s="294"/>
      <c r="S248" s="294"/>
      <c r="T248" s="294"/>
      <c r="U248" s="294"/>
      <c r="V248" s="294"/>
      <c r="W248" s="294"/>
      <c r="X248" s="294"/>
      <c r="Y248" s="294"/>
      <c r="Z248" s="294"/>
      <c r="AA248" s="294"/>
      <c r="AB248" s="294"/>
    </row>
    <row r="249">
      <c r="A249" s="294"/>
      <c r="B249" s="294"/>
      <c r="C249" s="294"/>
      <c r="D249" s="294"/>
      <c r="E249" s="294"/>
      <c r="F249" s="294"/>
      <c r="G249" s="294"/>
      <c r="H249" s="294"/>
      <c r="I249" s="294"/>
      <c r="J249" s="294"/>
      <c r="K249" s="294"/>
      <c r="L249" s="294"/>
      <c r="M249" s="294"/>
      <c r="N249" s="294"/>
      <c r="O249" s="294"/>
      <c r="P249" s="294"/>
      <c r="Q249" s="294"/>
      <c r="R249" s="294"/>
      <c r="S249" s="294"/>
      <c r="T249" s="294"/>
      <c r="U249" s="294"/>
      <c r="V249" s="294"/>
      <c r="W249" s="294"/>
      <c r="X249" s="294"/>
      <c r="Y249" s="294"/>
      <c r="Z249" s="294"/>
      <c r="AA249" s="294"/>
      <c r="AB249" s="294"/>
    </row>
    <row r="250">
      <c r="A250" s="294"/>
      <c r="B250" s="294"/>
      <c r="C250" s="294"/>
      <c r="D250" s="294"/>
      <c r="E250" s="294"/>
      <c r="F250" s="294"/>
      <c r="G250" s="294"/>
      <c r="H250" s="294"/>
      <c r="I250" s="294"/>
      <c r="J250" s="294"/>
      <c r="K250" s="294"/>
      <c r="L250" s="294"/>
      <c r="M250" s="294"/>
      <c r="N250" s="294"/>
      <c r="O250" s="294"/>
      <c r="P250" s="294"/>
      <c r="Q250" s="294"/>
      <c r="R250" s="294"/>
      <c r="S250" s="294"/>
      <c r="T250" s="294"/>
      <c r="U250" s="294"/>
      <c r="V250" s="294"/>
      <c r="W250" s="294"/>
      <c r="X250" s="294"/>
      <c r="Y250" s="294"/>
      <c r="Z250" s="294"/>
      <c r="AA250" s="294"/>
      <c r="AB250" s="294"/>
    </row>
    <row r="251">
      <c r="A251" s="294"/>
      <c r="B251" s="294"/>
      <c r="C251" s="294"/>
      <c r="D251" s="294"/>
      <c r="E251" s="294"/>
      <c r="F251" s="294"/>
      <c r="G251" s="294"/>
      <c r="H251" s="294"/>
      <c r="I251" s="294"/>
      <c r="J251" s="294"/>
      <c r="K251" s="294"/>
      <c r="L251" s="294"/>
      <c r="M251" s="294"/>
      <c r="N251" s="294"/>
      <c r="O251" s="294"/>
      <c r="P251" s="294"/>
      <c r="Q251" s="294"/>
      <c r="R251" s="294"/>
      <c r="S251" s="294"/>
      <c r="T251" s="294"/>
      <c r="U251" s="294"/>
      <c r="V251" s="294"/>
      <c r="W251" s="294"/>
      <c r="X251" s="294"/>
      <c r="Y251" s="294"/>
      <c r="Z251" s="294"/>
      <c r="AA251" s="294"/>
      <c r="AB251" s="294"/>
    </row>
    <row r="252">
      <c r="A252" s="294"/>
      <c r="B252" s="294"/>
      <c r="C252" s="294"/>
      <c r="D252" s="294"/>
      <c r="E252" s="294"/>
      <c r="F252" s="294"/>
      <c r="G252" s="294"/>
      <c r="H252" s="294"/>
      <c r="I252" s="294"/>
      <c r="J252" s="294"/>
      <c r="K252" s="294"/>
      <c r="L252" s="294"/>
      <c r="M252" s="294"/>
      <c r="N252" s="294"/>
      <c r="O252" s="294"/>
      <c r="P252" s="294"/>
      <c r="Q252" s="294"/>
      <c r="R252" s="294"/>
      <c r="S252" s="294"/>
      <c r="T252" s="294"/>
      <c r="U252" s="294"/>
      <c r="V252" s="294"/>
      <c r="W252" s="294"/>
      <c r="X252" s="294"/>
      <c r="Y252" s="294"/>
      <c r="Z252" s="294"/>
      <c r="AA252" s="294"/>
      <c r="AB252" s="294"/>
    </row>
    <row r="253">
      <c r="A253" s="294"/>
      <c r="B253" s="294"/>
      <c r="C253" s="294"/>
      <c r="D253" s="294"/>
      <c r="E253" s="294"/>
      <c r="F253" s="294"/>
      <c r="G253" s="294"/>
      <c r="H253" s="294"/>
      <c r="I253" s="294"/>
      <c r="J253" s="294"/>
      <c r="K253" s="294"/>
      <c r="L253" s="294"/>
      <c r="M253" s="294"/>
      <c r="N253" s="294"/>
      <c r="O253" s="294"/>
      <c r="P253" s="294"/>
      <c r="Q253" s="294"/>
      <c r="R253" s="294"/>
      <c r="S253" s="294"/>
      <c r="T253" s="294"/>
      <c r="U253" s="294"/>
      <c r="V253" s="294"/>
      <c r="W253" s="294"/>
      <c r="X253" s="294"/>
      <c r="Y253" s="294"/>
      <c r="Z253" s="294"/>
      <c r="AA253" s="294"/>
      <c r="AB253" s="294"/>
    </row>
    <row r="254">
      <c r="A254" s="294"/>
      <c r="B254" s="294"/>
      <c r="C254" s="294"/>
      <c r="D254" s="294"/>
      <c r="E254" s="294"/>
      <c r="F254" s="294"/>
      <c r="G254" s="294"/>
      <c r="H254" s="294"/>
      <c r="I254" s="294"/>
      <c r="J254" s="294"/>
      <c r="K254" s="294"/>
      <c r="L254" s="294"/>
      <c r="M254" s="294"/>
      <c r="N254" s="294"/>
      <c r="O254" s="294"/>
      <c r="P254" s="294"/>
      <c r="Q254" s="294"/>
      <c r="R254" s="294"/>
      <c r="S254" s="294"/>
      <c r="T254" s="294"/>
      <c r="U254" s="294"/>
      <c r="V254" s="294"/>
      <c r="W254" s="294"/>
      <c r="X254" s="294"/>
      <c r="Y254" s="294"/>
      <c r="Z254" s="294"/>
      <c r="AA254" s="294"/>
      <c r="AB254" s="294"/>
    </row>
    <row r="255">
      <c r="A255" s="294"/>
      <c r="B255" s="294"/>
      <c r="C255" s="294"/>
      <c r="D255" s="294"/>
      <c r="E255" s="294"/>
      <c r="F255" s="294"/>
      <c r="G255" s="294"/>
      <c r="H255" s="294"/>
      <c r="I255" s="294"/>
      <c r="J255" s="294"/>
      <c r="K255" s="294"/>
      <c r="L255" s="294"/>
      <c r="M255" s="294"/>
      <c r="N255" s="294"/>
      <c r="O255" s="294"/>
      <c r="P255" s="294"/>
      <c r="Q255" s="294"/>
      <c r="R255" s="294"/>
      <c r="S255" s="294"/>
      <c r="T255" s="294"/>
      <c r="U255" s="294"/>
      <c r="V255" s="294"/>
      <c r="W255" s="294"/>
      <c r="X255" s="294"/>
      <c r="Y255" s="294"/>
      <c r="Z255" s="294"/>
      <c r="AA255" s="294"/>
      <c r="AB255" s="294"/>
    </row>
    <row r="256">
      <c r="A256" s="294"/>
      <c r="B256" s="294"/>
      <c r="C256" s="294"/>
      <c r="D256" s="294"/>
      <c r="E256" s="294"/>
      <c r="F256" s="294"/>
      <c r="G256" s="294"/>
      <c r="H256" s="294"/>
      <c r="I256" s="294"/>
      <c r="J256" s="294"/>
      <c r="K256" s="294"/>
      <c r="L256" s="294"/>
      <c r="M256" s="294"/>
      <c r="N256" s="294"/>
      <c r="O256" s="294"/>
      <c r="P256" s="294"/>
      <c r="Q256" s="294"/>
      <c r="R256" s="294"/>
      <c r="S256" s="294"/>
      <c r="T256" s="294"/>
      <c r="U256" s="294"/>
      <c r="V256" s="294"/>
      <c r="W256" s="294"/>
      <c r="X256" s="294"/>
      <c r="Y256" s="294"/>
      <c r="Z256" s="294"/>
      <c r="AA256" s="294"/>
      <c r="AB256" s="294"/>
    </row>
    <row r="257">
      <c r="A257" s="294"/>
      <c r="B257" s="294"/>
      <c r="C257" s="294"/>
      <c r="D257" s="294"/>
      <c r="E257" s="294"/>
      <c r="F257" s="294"/>
      <c r="G257" s="294"/>
      <c r="H257" s="294"/>
      <c r="I257" s="294"/>
      <c r="J257" s="294"/>
      <c r="K257" s="294"/>
      <c r="L257" s="294"/>
      <c r="M257" s="294"/>
      <c r="N257" s="294"/>
      <c r="O257" s="294"/>
      <c r="P257" s="294"/>
      <c r="Q257" s="294"/>
      <c r="R257" s="294"/>
      <c r="S257" s="294"/>
      <c r="T257" s="294"/>
      <c r="U257" s="294"/>
      <c r="V257" s="294"/>
      <c r="W257" s="294"/>
      <c r="X257" s="294"/>
      <c r="Y257" s="294"/>
      <c r="Z257" s="294"/>
      <c r="AA257" s="294"/>
      <c r="AB257" s="294"/>
    </row>
    <row r="258">
      <c r="A258" s="294"/>
      <c r="B258" s="294"/>
      <c r="C258" s="294"/>
      <c r="D258" s="294"/>
      <c r="E258" s="294"/>
      <c r="F258" s="294"/>
      <c r="G258" s="294"/>
      <c r="H258" s="294"/>
      <c r="I258" s="294"/>
      <c r="J258" s="294"/>
      <c r="K258" s="294"/>
      <c r="L258" s="294"/>
      <c r="M258" s="294"/>
      <c r="N258" s="294"/>
      <c r="O258" s="294"/>
      <c r="P258" s="294"/>
      <c r="Q258" s="294"/>
      <c r="R258" s="294"/>
      <c r="S258" s="294"/>
      <c r="T258" s="294"/>
      <c r="U258" s="294"/>
      <c r="V258" s="294"/>
      <c r="W258" s="294"/>
      <c r="X258" s="294"/>
      <c r="Y258" s="294"/>
      <c r="Z258" s="294"/>
      <c r="AA258" s="294"/>
      <c r="AB258" s="294"/>
    </row>
    <row r="259">
      <c r="A259" s="294"/>
      <c r="B259" s="294"/>
      <c r="C259" s="294"/>
      <c r="D259" s="294"/>
      <c r="E259" s="294"/>
      <c r="F259" s="294"/>
      <c r="G259" s="294"/>
      <c r="H259" s="294"/>
      <c r="I259" s="294"/>
      <c r="J259" s="294"/>
      <c r="K259" s="294"/>
      <c r="L259" s="294"/>
      <c r="M259" s="294"/>
      <c r="N259" s="294"/>
      <c r="O259" s="294"/>
      <c r="P259" s="294"/>
      <c r="Q259" s="294"/>
      <c r="R259" s="294"/>
      <c r="S259" s="294"/>
      <c r="T259" s="294"/>
      <c r="U259" s="294"/>
      <c r="V259" s="294"/>
      <c r="W259" s="294"/>
      <c r="X259" s="294"/>
      <c r="Y259" s="294"/>
      <c r="Z259" s="294"/>
      <c r="AA259" s="294"/>
      <c r="AB259" s="294"/>
    </row>
    <row r="260">
      <c r="A260" s="294"/>
      <c r="B260" s="294"/>
      <c r="C260" s="294"/>
      <c r="D260" s="294"/>
      <c r="E260" s="294"/>
      <c r="F260" s="294"/>
      <c r="G260" s="294"/>
      <c r="H260" s="294"/>
      <c r="I260" s="294"/>
      <c r="J260" s="294"/>
      <c r="K260" s="294"/>
      <c r="L260" s="294"/>
      <c r="M260" s="294"/>
      <c r="N260" s="294"/>
      <c r="O260" s="294"/>
      <c r="P260" s="294"/>
      <c r="Q260" s="294"/>
      <c r="R260" s="294"/>
      <c r="S260" s="294"/>
      <c r="T260" s="294"/>
      <c r="U260" s="294"/>
      <c r="V260" s="294"/>
      <c r="W260" s="294"/>
      <c r="X260" s="294"/>
      <c r="Y260" s="294"/>
      <c r="Z260" s="294"/>
      <c r="AA260" s="294"/>
      <c r="AB260" s="294"/>
    </row>
    <row r="261">
      <c r="A261" s="294"/>
      <c r="B261" s="294"/>
      <c r="C261" s="294"/>
      <c r="D261" s="294"/>
      <c r="E261" s="294"/>
      <c r="F261" s="294"/>
      <c r="G261" s="294"/>
      <c r="H261" s="294"/>
      <c r="I261" s="294"/>
      <c r="J261" s="294"/>
      <c r="K261" s="294"/>
      <c r="L261" s="294"/>
      <c r="M261" s="294"/>
      <c r="N261" s="294"/>
      <c r="O261" s="294"/>
      <c r="P261" s="294"/>
      <c r="Q261" s="294"/>
      <c r="R261" s="294"/>
      <c r="S261" s="294"/>
      <c r="T261" s="294"/>
      <c r="U261" s="294"/>
      <c r="V261" s="294"/>
      <c r="W261" s="294"/>
      <c r="X261" s="294"/>
      <c r="Y261" s="294"/>
      <c r="Z261" s="294"/>
      <c r="AA261" s="294"/>
      <c r="AB261" s="294"/>
    </row>
    <row r="262">
      <c r="A262" s="294"/>
      <c r="B262" s="294"/>
      <c r="C262" s="294"/>
      <c r="D262" s="294"/>
      <c r="E262" s="294"/>
      <c r="F262" s="294"/>
      <c r="G262" s="294"/>
      <c r="H262" s="294"/>
      <c r="I262" s="294"/>
      <c r="J262" s="294"/>
      <c r="K262" s="294"/>
      <c r="L262" s="294"/>
      <c r="M262" s="294"/>
      <c r="N262" s="294"/>
      <c r="O262" s="294"/>
      <c r="P262" s="294"/>
      <c r="Q262" s="294"/>
      <c r="R262" s="294"/>
      <c r="S262" s="294"/>
      <c r="T262" s="294"/>
      <c r="U262" s="294"/>
      <c r="V262" s="294"/>
      <c r="W262" s="294"/>
      <c r="X262" s="294"/>
      <c r="Y262" s="294"/>
      <c r="Z262" s="294"/>
      <c r="AA262" s="294"/>
      <c r="AB262" s="294"/>
    </row>
    <row r="263">
      <c r="A263" s="294"/>
      <c r="B263" s="294"/>
      <c r="C263" s="294"/>
      <c r="D263" s="294"/>
      <c r="E263" s="294"/>
      <c r="F263" s="294"/>
      <c r="G263" s="294"/>
      <c r="H263" s="294"/>
      <c r="I263" s="294"/>
      <c r="J263" s="294"/>
      <c r="K263" s="294"/>
      <c r="L263" s="294"/>
      <c r="M263" s="294"/>
      <c r="N263" s="294"/>
      <c r="O263" s="294"/>
      <c r="P263" s="294"/>
      <c r="Q263" s="294"/>
      <c r="R263" s="294"/>
      <c r="S263" s="294"/>
      <c r="T263" s="294"/>
      <c r="U263" s="294"/>
      <c r="V263" s="294"/>
      <c r="W263" s="294"/>
      <c r="X263" s="294"/>
      <c r="Y263" s="294"/>
      <c r="Z263" s="294"/>
      <c r="AA263" s="294"/>
      <c r="AB263" s="294"/>
    </row>
    <row r="264">
      <c r="A264" s="294"/>
      <c r="B264" s="294"/>
      <c r="C264" s="294"/>
      <c r="D264" s="294"/>
      <c r="E264" s="294"/>
      <c r="F264" s="294"/>
      <c r="G264" s="294"/>
      <c r="H264" s="294"/>
      <c r="I264" s="294"/>
      <c r="J264" s="294"/>
      <c r="K264" s="294"/>
      <c r="L264" s="294"/>
      <c r="M264" s="294"/>
      <c r="N264" s="294"/>
      <c r="O264" s="294"/>
      <c r="P264" s="294"/>
      <c r="Q264" s="294"/>
      <c r="R264" s="294"/>
      <c r="S264" s="294"/>
      <c r="T264" s="294"/>
      <c r="U264" s="294"/>
      <c r="V264" s="294"/>
      <c r="W264" s="294"/>
      <c r="X264" s="294"/>
      <c r="Y264" s="294"/>
      <c r="Z264" s="294"/>
      <c r="AA264" s="294"/>
      <c r="AB264" s="294"/>
    </row>
    <row r="265">
      <c r="A265" s="294"/>
      <c r="B265" s="294"/>
      <c r="C265" s="294"/>
      <c r="D265" s="294"/>
      <c r="E265" s="294"/>
      <c r="F265" s="294"/>
      <c r="G265" s="294"/>
      <c r="H265" s="294"/>
      <c r="I265" s="294"/>
      <c r="J265" s="294"/>
      <c r="K265" s="294"/>
      <c r="L265" s="294"/>
      <c r="M265" s="294"/>
      <c r="N265" s="294"/>
      <c r="O265" s="294"/>
      <c r="P265" s="294"/>
      <c r="Q265" s="294"/>
      <c r="R265" s="294"/>
      <c r="S265" s="294"/>
      <c r="T265" s="294"/>
      <c r="U265" s="294"/>
      <c r="V265" s="294"/>
      <c r="W265" s="294"/>
      <c r="X265" s="294"/>
      <c r="Y265" s="294"/>
      <c r="Z265" s="294"/>
      <c r="AA265" s="294"/>
      <c r="AB265" s="294"/>
    </row>
    <row r="266">
      <c r="A266" s="294"/>
      <c r="B266" s="294"/>
      <c r="C266" s="294"/>
      <c r="D266" s="294"/>
      <c r="E266" s="294"/>
      <c r="F266" s="294"/>
      <c r="G266" s="294"/>
      <c r="H266" s="294"/>
      <c r="I266" s="294"/>
      <c r="J266" s="294"/>
      <c r="K266" s="294"/>
      <c r="L266" s="294"/>
      <c r="M266" s="294"/>
      <c r="N266" s="294"/>
      <c r="O266" s="294"/>
      <c r="P266" s="294"/>
      <c r="Q266" s="294"/>
      <c r="R266" s="294"/>
      <c r="S266" s="294"/>
      <c r="T266" s="294"/>
      <c r="U266" s="294"/>
      <c r="V266" s="294"/>
      <c r="W266" s="294"/>
      <c r="X266" s="294"/>
      <c r="Y266" s="294"/>
      <c r="Z266" s="294"/>
      <c r="AA266" s="294"/>
      <c r="AB266" s="294"/>
    </row>
    <row r="267">
      <c r="A267" s="294"/>
      <c r="B267" s="294"/>
      <c r="C267" s="294"/>
      <c r="D267" s="294"/>
      <c r="E267" s="294"/>
      <c r="F267" s="294"/>
      <c r="G267" s="294"/>
      <c r="H267" s="294"/>
      <c r="I267" s="294"/>
      <c r="J267" s="294"/>
      <c r="K267" s="294"/>
      <c r="L267" s="294"/>
      <c r="M267" s="294"/>
      <c r="N267" s="294"/>
      <c r="O267" s="294"/>
      <c r="P267" s="294"/>
      <c r="Q267" s="294"/>
      <c r="R267" s="294"/>
      <c r="S267" s="294"/>
      <c r="T267" s="294"/>
      <c r="U267" s="294"/>
      <c r="V267" s="294"/>
      <c r="W267" s="294"/>
      <c r="X267" s="294"/>
      <c r="Y267" s="294"/>
      <c r="Z267" s="294"/>
      <c r="AA267" s="294"/>
      <c r="AB267" s="294"/>
    </row>
    <row r="268">
      <c r="A268" s="294"/>
      <c r="B268" s="294"/>
      <c r="C268" s="294"/>
      <c r="D268" s="294"/>
      <c r="E268" s="294"/>
      <c r="F268" s="294"/>
      <c r="G268" s="294"/>
      <c r="H268" s="294"/>
      <c r="I268" s="294"/>
      <c r="J268" s="294"/>
      <c r="K268" s="294"/>
      <c r="L268" s="294"/>
      <c r="M268" s="294"/>
      <c r="N268" s="294"/>
      <c r="O268" s="294"/>
      <c r="P268" s="294"/>
      <c r="Q268" s="294"/>
      <c r="R268" s="294"/>
      <c r="S268" s="294"/>
      <c r="T268" s="294"/>
      <c r="U268" s="294"/>
      <c r="V268" s="294"/>
      <c r="W268" s="294"/>
      <c r="X268" s="294"/>
      <c r="Y268" s="294"/>
      <c r="Z268" s="294"/>
      <c r="AA268" s="294"/>
      <c r="AB268" s="294"/>
    </row>
    <row r="269">
      <c r="A269" s="294"/>
      <c r="B269" s="294"/>
      <c r="C269" s="294"/>
      <c r="D269" s="294"/>
      <c r="E269" s="294"/>
      <c r="F269" s="294"/>
      <c r="G269" s="294"/>
      <c r="H269" s="294"/>
      <c r="I269" s="294"/>
      <c r="J269" s="294"/>
      <c r="K269" s="294"/>
      <c r="L269" s="294"/>
      <c r="M269" s="294"/>
      <c r="N269" s="294"/>
      <c r="O269" s="294"/>
      <c r="P269" s="294"/>
      <c r="Q269" s="294"/>
      <c r="R269" s="294"/>
      <c r="S269" s="294"/>
      <c r="T269" s="294"/>
      <c r="U269" s="294"/>
      <c r="V269" s="294"/>
      <c r="W269" s="294"/>
      <c r="X269" s="294"/>
      <c r="Y269" s="294"/>
      <c r="Z269" s="294"/>
      <c r="AA269" s="294"/>
      <c r="AB269" s="294"/>
    </row>
    <row r="270">
      <c r="A270" s="294"/>
      <c r="B270" s="294"/>
      <c r="C270" s="294"/>
      <c r="D270" s="294"/>
      <c r="E270" s="294"/>
      <c r="F270" s="294"/>
      <c r="G270" s="294"/>
      <c r="H270" s="294"/>
      <c r="I270" s="294"/>
      <c r="J270" s="294"/>
      <c r="K270" s="294"/>
      <c r="L270" s="294"/>
      <c r="M270" s="294"/>
      <c r="N270" s="294"/>
      <c r="O270" s="294"/>
      <c r="P270" s="294"/>
      <c r="Q270" s="294"/>
      <c r="R270" s="294"/>
      <c r="S270" s="294"/>
      <c r="T270" s="294"/>
      <c r="U270" s="294"/>
      <c r="V270" s="294"/>
      <c r="W270" s="294"/>
      <c r="X270" s="294"/>
      <c r="Y270" s="294"/>
      <c r="Z270" s="294"/>
      <c r="AA270" s="294"/>
      <c r="AB270" s="294"/>
    </row>
    <row r="271">
      <c r="A271" s="294"/>
      <c r="B271" s="294"/>
      <c r="C271" s="294"/>
      <c r="D271" s="294"/>
      <c r="E271" s="294"/>
      <c r="F271" s="294"/>
      <c r="G271" s="294"/>
      <c r="H271" s="294"/>
      <c r="I271" s="294"/>
      <c r="J271" s="294"/>
      <c r="K271" s="294"/>
      <c r="L271" s="294"/>
      <c r="M271" s="294"/>
      <c r="N271" s="294"/>
      <c r="O271" s="294"/>
      <c r="P271" s="294"/>
      <c r="Q271" s="294"/>
      <c r="R271" s="294"/>
      <c r="S271" s="294"/>
      <c r="T271" s="294"/>
      <c r="U271" s="294"/>
      <c r="V271" s="294"/>
      <c r="W271" s="294"/>
      <c r="X271" s="294"/>
      <c r="Y271" s="294"/>
      <c r="Z271" s="294"/>
      <c r="AA271" s="294"/>
      <c r="AB271" s="294"/>
    </row>
    <row r="272">
      <c r="A272" s="294"/>
      <c r="B272" s="294"/>
      <c r="C272" s="294"/>
      <c r="D272" s="294"/>
      <c r="E272" s="294"/>
      <c r="F272" s="294"/>
      <c r="G272" s="294"/>
      <c r="H272" s="294"/>
      <c r="I272" s="294"/>
      <c r="J272" s="294"/>
      <c r="K272" s="294"/>
      <c r="L272" s="294"/>
      <c r="M272" s="294"/>
      <c r="N272" s="294"/>
      <c r="O272" s="294"/>
      <c r="P272" s="294"/>
      <c r="Q272" s="294"/>
      <c r="R272" s="294"/>
      <c r="S272" s="294"/>
      <c r="T272" s="294"/>
      <c r="U272" s="294"/>
      <c r="V272" s="294"/>
      <c r="W272" s="294"/>
      <c r="X272" s="294"/>
      <c r="Y272" s="294"/>
      <c r="Z272" s="294"/>
      <c r="AA272" s="294"/>
      <c r="AB272" s="294"/>
    </row>
    <row r="273">
      <c r="A273" s="294"/>
      <c r="B273" s="294"/>
      <c r="C273" s="294"/>
      <c r="D273" s="294"/>
      <c r="E273" s="294"/>
      <c r="F273" s="294"/>
      <c r="G273" s="294"/>
      <c r="H273" s="294"/>
      <c r="I273" s="294"/>
      <c r="J273" s="294"/>
      <c r="K273" s="294"/>
      <c r="L273" s="294"/>
      <c r="M273" s="294"/>
      <c r="N273" s="294"/>
      <c r="O273" s="294"/>
      <c r="P273" s="294"/>
      <c r="Q273" s="294"/>
      <c r="R273" s="294"/>
      <c r="S273" s="294"/>
      <c r="T273" s="294"/>
      <c r="U273" s="294"/>
      <c r="V273" s="294"/>
      <c r="W273" s="294"/>
      <c r="X273" s="294"/>
      <c r="Y273" s="294"/>
      <c r="Z273" s="294"/>
      <c r="AA273" s="294"/>
      <c r="AB273" s="294"/>
    </row>
    <row r="274">
      <c r="A274" s="294"/>
      <c r="B274" s="294"/>
      <c r="C274" s="294"/>
      <c r="D274" s="294"/>
      <c r="E274" s="294"/>
      <c r="F274" s="294"/>
      <c r="G274" s="294"/>
      <c r="H274" s="294"/>
      <c r="I274" s="294"/>
      <c r="J274" s="294"/>
      <c r="K274" s="294"/>
      <c r="L274" s="294"/>
      <c r="M274" s="294"/>
      <c r="N274" s="294"/>
      <c r="O274" s="294"/>
      <c r="P274" s="294"/>
      <c r="Q274" s="294"/>
      <c r="R274" s="294"/>
      <c r="S274" s="294"/>
      <c r="T274" s="294"/>
      <c r="U274" s="294"/>
      <c r="V274" s="294"/>
      <c r="W274" s="294"/>
      <c r="X274" s="294"/>
      <c r="Y274" s="294"/>
      <c r="Z274" s="294"/>
      <c r="AA274" s="294"/>
      <c r="AB274" s="294"/>
    </row>
    <row r="275">
      <c r="A275" s="294"/>
      <c r="B275" s="294"/>
      <c r="C275" s="294"/>
      <c r="D275" s="294"/>
      <c r="E275" s="294"/>
      <c r="F275" s="294"/>
      <c r="G275" s="294"/>
      <c r="H275" s="294"/>
      <c r="I275" s="294"/>
      <c r="J275" s="294"/>
      <c r="K275" s="294"/>
      <c r="L275" s="294"/>
      <c r="M275" s="294"/>
      <c r="N275" s="294"/>
      <c r="O275" s="294"/>
      <c r="P275" s="294"/>
      <c r="Q275" s="294"/>
      <c r="R275" s="294"/>
      <c r="S275" s="294"/>
      <c r="T275" s="294"/>
      <c r="U275" s="294"/>
      <c r="V275" s="294"/>
      <c r="W275" s="294"/>
      <c r="X275" s="294"/>
      <c r="Y275" s="294"/>
      <c r="Z275" s="294"/>
      <c r="AA275" s="294"/>
      <c r="AB275" s="294"/>
    </row>
    <row r="276">
      <c r="A276" s="294"/>
      <c r="B276" s="294"/>
      <c r="C276" s="294"/>
      <c r="D276" s="294"/>
      <c r="E276" s="294"/>
      <c r="F276" s="294"/>
      <c r="G276" s="294"/>
      <c r="H276" s="294"/>
      <c r="I276" s="294"/>
      <c r="J276" s="294"/>
      <c r="K276" s="294"/>
      <c r="L276" s="294"/>
      <c r="M276" s="294"/>
      <c r="N276" s="294"/>
      <c r="O276" s="294"/>
      <c r="P276" s="294"/>
      <c r="Q276" s="294"/>
      <c r="R276" s="294"/>
      <c r="S276" s="294"/>
      <c r="T276" s="294"/>
      <c r="U276" s="294"/>
      <c r="V276" s="294"/>
      <c r="W276" s="294"/>
      <c r="X276" s="294"/>
      <c r="Y276" s="294"/>
      <c r="Z276" s="294"/>
      <c r="AA276" s="294"/>
      <c r="AB276" s="294"/>
    </row>
    <row r="277">
      <c r="A277" s="294"/>
      <c r="B277" s="294"/>
      <c r="C277" s="294"/>
      <c r="D277" s="294"/>
      <c r="E277" s="294"/>
      <c r="F277" s="294"/>
      <c r="G277" s="294"/>
      <c r="H277" s="294"/>
      <c r="I277" s="294"/>
      <c r="J277" s="294"/>
      <c r="K277" s="294"/>
      <c r="L277" s="294"/>
      <c r="M277" s="294"/>
      <c r="N277" s="294"/>
      <c r="O277" s="294"/>
      <c r="P277" s="294"/>
      <c r="Q277" s="294"/>
      <c r="R277" s="294"/>
      <c r="S277" s="294"/>
      <c r="T277" s="294"/>
      <c r="U277" s="294"/>
      <c r="V277" s="294"/>
      <c r="W277" s="294"/>
      <c r="X277" s="294"/>
      <c r="Y277" s="294"/>
      <c r="Z277" s="294"/>
      <c r="AA277" s="294"/>
      <c r="AB277" s="294"/>
    </row>
    <row r="278">
      <c r="A278" s="294"/>
      <c r="B278" s="294"/>
      <c r="C278" s="294"/>
      <c r="D278" s="294"/>
      <c r="E278" s="294"/>
      <c r="F278" s="294"/>
      <c r="G278" s="294"/>
      <c r="H278" s="294"/>
      <c r="I278" s="294"/>
      <c r="J278" s="294"/>
      <c r="K278" s="294"/>
      <c r="L278" s="294"/>
      <c r="M278" s="294"/>
      <c r="N278" s="294"/>
      <c r="O278" s="294"/>
      <c r="P278" s="294"/>
      <c r="Q278" s="294"/>
      <c r="R278" s="294"/>
      <c r="S278" s="294"/>
      <c r="T278" s="294"/>
      <c r="U278" s="294"/>
      <c r="V278" s="294"/>
      <c r="W278" s="294"/>
      <c r="X278" s="294"/>
      <c r="Y278" s="294"/>
      <c r="Z278" s="294"/>
      <c r="AA278" s="294"/>
      <c r="AB278" s="294"/>
    </row>
    <row r="279">
      <c r="A279" s="294"/>
      <c r="B279" s="294"/>
      <c r="C279" s="294"/>
      <c r="D279" s="294"/>
      <c r="E279" s="294"/>
      <c r="F279" s="294"/>
      <c r="G279" s="294"/>
      <c r="H279" s="294"/>
      <c r="I279" s="294"/>
      <c r="J279" s="294"/>
      <c r="K279" s="294"/>
      <c r="L279" s="294"/>
      <c r="M279" s="294"/>
      <c r="N279" s="294"/>
      <c r="O279" s="294"/>
      <c r="P279" s="294"/>
      <c r="Q279" s="294"/>
      <c r="R279" s="294"/>
      <c r="S279" s="294"/>
      <c r="T279" s="294"/>
      <c r="U279" s="294"/>
      <c r="V279" s="294"/>
      <c r="W279" s="294"/>
      <c r="X279" s="294"/>
      <c r="Y279" s="294"/>
      <c r="Z279" s="294"/>
      <c r="AA279" s="294"/>
      <c r="AB279" s="294"/>
    </row>
    <row r="280">
      <c r="A280" s="294"/>
      <c r="B280" s="294"/>
      <c r="C280" s="294"/>
      <c r="D280" s="294"/>
      <c r="E280" s="294"/>
      <c r="F280" s="294"/>
      <c r="G280" s="294"/>
      <c r="H280" s="294"/>
      <c r="I280" s="294"/>
      <c r="J280" s="294"/>
      <c r="K280" s="294"/>
      <c r="L280" s="294"/>
      <c r="M280" s="294"/>
      <c r="N280" s="294"/>
      <c r="O280" s="294"/>
      <c r="P280" s="294"/>
      <c r="Q280" s="294"/>
      <c r="R280" s="294"/>
      <c r="S280" s="294"/>
      <c r="T280" s="294"/>
      <c r="U280" s="294"/>
      <c r="V280" s="294"/>
      <c r="W280" s="294"/>
      <c r="X280" s="294"/>
      <c r="Y280" s="294"/>
      <c r="Z280" s="294"/>
      <c r="AA280" s="294"/>
      <c r="AB280" s="294"/>
    </row>
    <row r="281">
      <c r="A281" s="294"/>
      <c r="B281" s="294"/>
      <c r="C281" s="294"/>
      <c r="D281" s="294"/>
      <c r="E281" s="294"/>
      <c r="F281" s="294"/>
      <c r="G281" s="294"/>
      <c r="H281" s="294"/>
      <c r="I281" s="294"/>
      <c r="J281" s="294"/>
      <c r="K281" s="294"/>
      <c r="L281" s="294"/>
      <c r="M281" s="294"/>
      <c r="N281" s="294"/>
      <c r="O281" s="294"/>
      <c r="P281" s="294"/>
      <c r="Q281" s="294"/>
      <c r="R281" s="294"/>
      <c r="S281" s="294"/>
      <c r="T281" s="294"/>
      <c r="U281" s="294"/>
      <c r="V281" s="294"/>
      <c r="W281" s="294"/>
      <c r="X281" s="294"/>
      <c r="Y281" s="294"/>
      <c r="Z281" s="294"/>
      <c r="AA281" s="294"/>
      <c r="AB281" s="294"/>
    </row>
    <row r="282">
      <c r="A282" s="294"/>
      <c r="B282" s="294"/>
      <c r="C282" s="294"/>
      <c r="D282" s="294"/>
      <c r="E282" s="294"/>
      <c r="F282" s="294"/>
      <c r="G282" s="294"/>
      <c r="H282" s="294"/>
      <c r="I282" s="294"/>
      <c r="J282" s="294"/>
      <c r="K282" s="294"/>
      <c r="L282" s="294"/>
      <c r="M282" s="294"/>
      <c r="N282" s="294"/>
      <c r="O282" s="294"/>
      <c r="P282" s="294"/>
      <c r="Q282" s="294"/>
      <c r="R282" s="294"/>
      <c r="S282" s="294"/>
      <c r="T282" s="294"/>
      <c r="U282" s="294"/>
      <c r="V282" s="294"/>
      <c r="W282" s="294"/>
      <c r="X282" s="294"/>
      <c r="Y282" s="294"/>
      <c r="Z282" s="294"/>
      <c r="AA282" s="294"/>
      <c r="AB282" s="294"/>
    </row>
    <row r="283">
      <c r="A283" s="294"/>
      <c r="B283" s="294"/>
      <c r="C283" s="294"/>
      <c r="D283" s="294"/>
      <c r="E283" s="294"/>
      <c r="F283" s="294"/>
      <c r="G283" s="294"/>
      <c r="H283" s="294"/>
      <c r="I283" s="294"/>
      <c r="J283" s="294"/>
      <c r="K283" s="294"/>
      <c r="L283" s="294"/>
      <c r="M283" s="294"/>
      <c r="N283" s="294"/>
      <c r="O283" s="294"/>
      <c r="P283" s="294"/>
      <c r="Q283" s="294"/>
      <c r="R283" s="294"/>
      <c r="S283" s="294"/>
      <c r="T283" s="294"/>
      <c r="U283" s="294"/>
      <c r="V283" s="294"/>
      <c r="W283" s="294"/>
      <c r="X283" s="294"/>
      <c r="Y283" s="294"/>
      <c r="Z283" s="294"/>
      <c r="AA283" s="294"/>
      <c r="AB283" s="294"/>
    </row>
    <row r="284">
      <c r="A284" s="294"/>
      <c r="B284" s="294"/>
      <c r="C284" s="294"/>
      <c r="D284" s="294"/>
      <c r="E284" s="294"/>
      <c r="F284" s="294"/>
      <c r="G284" s="294"/>
      <c r="H284" s="294"/>
      <c r="I284" s="294"/>
      <c r="J284" s="294"/>
      <c r="K284" s="294"/>
      <c r="L284" s="294"/>
      <c r="M284" s="294"/>
      <c r="N284" s="294"/>
      <c r="O284" s="294"/>
      <c r="P284" s="294"/>
      <c r="Q284" s="294"/>
      <c r="R284" s="294"/>
      <c r="S284" s="294"/>
      <c r="T284" s="294"/>
      <c r="U284" s="294"/>
      <c r="V284" s="294"/>
      <c r="W284" s="294"/>
      <c r="X284" s="294"/>
      <c r="Y284" s="294"/>
      <c r="Z284" s="294"/>
      <c r="AA284" s="294"/>
      <c r="AB284" s="294"/>
    </row>
    <row r="285">
      <c r="A285" s="294"/>
      <c r="B285" s="294"/>
      <c r="C285" s="294"/>
      <c r="D285" s="294"/>
      <c r="E285" s="294"/>
      <c r="F285" s="294"/>
      <c r="G285" s="294"/>
      <c r="H285" s="294"/>
      <c r="I285" s="294"/>
      <c r="J285" s="294"/>
      <c r="K285" s="294"/>
      <c r="L285" s="294"/>
      <c r="M285" s="294"/>
      <c r="N285" s="294"/>
      <c r="O285" s="294"/>
      <c r="P285" s="294"/>
      <c r="Q285" s="294"/>
      <c r="R285" s="294"/>
      <c r="S285" s="294"/>
      <c r="T285" s="294"/>
      <c r="U285" s="294"/>
      <c r="V285" s="294"/>
      <c r="W285" s="294"/>
      <c r="X285" s="294"/>
      <c r="Y285" s="294"/>
      <c r="Z285" s="294"/>
      <c r="AA285" s="294"/>
      <c r="AB285" s="294"/>
    </row>
    <row r="286">
      <c r="A286" s="294"/>
      <c r="B286" s="294"/>
      <c r="C286" s="294"/>
      <c r="D286" s="294"/>
      <c r="E286" s="294"/>
      <c r="F286" s="294"/>
      <c r="G286" s="294"/>
      <c r="H286" s="294"/>
      <c r="I286" s="294"/>
      <c r="J286" s="294"/>
      <c r="K286" s="294"/>
      <c r="L286" s="294"/>
      <c r="M286" s="294"/>
      <c r="N286" s="294"/>
      <c r="O286" s="294"/>
      <c r="P286" s="294"/>
      <c r="Q286" s="294"/>
      <c r="R286" s="294"/>
      <c r="S286" s="294"/>
      <c r="T286" s="294"/>
      <c r="U286" s="294"/>
      <c r="V286" s="294"/>
      <c r="W286" s="294"/>
      <c r="X286" s="294"/>
      <c r="Y286" s="294"/>
      <c r="Z286" s="294"/>
      <c r="AA286" s="294"/>
      <c r="AB286" s="294"/>
    </row>
    <row r="287">
      <c r="A287" s="294"/>
      <c r="B287" s="294"/>
      <c r="C287" s="294"/>
      <c r="D287" s="294"/>
      <c r="E287" s="294"/>
      <c r="F287" s="294"/>
      <c r="G287" s="294"/>
      <c r="H287" s="294"/>
      <c r="I287" s="294"/>
      <c r="J287" s="294"/>
      <c r="K287" s="294"/>
      <c r="L287" s="294"/>
      <c r="M287" s="294"/>
      <c r="N287" s="294"/>
      <c r="O287" s="294"/>
      <c r="P287" s="294"/>
      <c r="Q287" s="294"/>
      <c r="R287" s="294"/>
      <c r="S287" s="294"/>
      <c r="T287" s="294"/>
      <c r="U287" s="294"/>
      <c r="V287" s="294"/>
      <c r="W287" s="294"/>
      <c r="X287" s="294"/>
      <c r="Y287" s="294"/>
      <c r="Z287" s="294"/>
      <c r="AA287" s="294"/>
      <c r="AB287" s="294"/>
    </row>
    <row r="288">
      <c r="A288" s="294"/>
      <c r="B288" s="294"/>
      <c r="C288" s="294"/>
      <c r="D288" s="294"/>
      <c r="E288" s="294"/>
      <c r="F288" s="294"/>
      <c r="G288" s="294"/>
      <c r="H288" s="294"/>
      <c r="I288" s="294"/>
      <c r="J288" s="294"/>
      <c r="K288" s="294"/>
      <c r="L288" s="294"/>
      <c r="M288" s="294"/>
      <c r="N288" s="294"/>
      <c r="O288" s="294"/>
      <c r="P288" s="294"/>
      <c r="Q288" s="294"/>
      <c r="R288" s="294"/>
      <c r="S288" s="294"/>
      <c r="T288" s="294"/>
      <c r="U288" s="294"/>
      <c r="V288" s="294"/>
      <c r="W288" s="294"/>
      <c r="X288" s="294"/>
      <c r="Y288" s="294"/>
      <c r="Z288" s="294"/>
      <c r="AA288" s="294"/>
      <c r="AB288" s="294"/>
    </row>
    <row r="289">
      <c r="A289" s="294"/>
      <c r="B289" s="294"/>
      <c r="C289" s="294"/>
      <c r="D289" s="294"/>
      <c r="E289" s="294"/>
      <c r="F289" s="294"/>
      <c r="G289" s="294"/>
      <c r="H289" s="294"/>
      <c r="I289" s="294"/>
      <c r="J289" s="294"/>
      <c r="K289" s="294"/>
      <c r="L289" s="294"/>
      <c r="M289" s="294"/>
      <c r="N289" s="294"/>
      <c r="O289" s="294"/>
      <c r="P289" s="294"/>
      <c r="Q289" s="294"/>
      <c r="R289" s="294"/>
      <c r="S289" s="294"/>
      <c r="T289" s="294"/>
      <c r="U289" s="294"/>
      <c r="V289" s="294"/>
      <c r="W289" s="294"/>
      <c r="X289" s="294"/>
      <c r="Y289" s="294"/>
      <c r="Z289" s="294"/>
      <c r="AA289" s="294"/>
      <c r="AB289" s="294"/>
    </row>
    <row r="290">
      <c r="A290" s="294"/>
      <c r="B290" s="294"/>
      <c r="C290" s="294"/>
      <c r="D290" s="294"/>
      <c r="E290" s="294"/>
      <c r="F290" s="294"/>
      <c r="G290" s="294"/>
      <c r="H290" s="294"/>
      <c r="I290" s="294"/>
      <c r="J290" s="294"/>
      <c r="K290" s="294"/>
      <c r="L290" s="294"/>
      <c r="M290" s="294"/>
      <c r="N290" s="294"/>
      <c r="O290" s="294"/>
      <c r="P290" s="294"/>
      <c r="Q290" s="294"/>
      <c r="R290" s="294"/>
      <c r="S290" s="294"/>
      <c r="T290" s="294"/>
      <c r="U290" s="294"/>
      <c r="V290" s="294"/>
      <c r="W290" s="294"/>
      <c r="X290" s="294"/>
      <c r="Y290" s="294"/>
      <c r="Z290" s="294"/>
      <c r="AA290" s="294"/>
      <c r="AB290" s="294"/>
    </row>
    <row r="291">
      <c r="A291" s="294"/>
      <c r="B291" s="294"/>
      <c r="C291" s="294"/>
      <c r="D291" s="294"/>
      <c r="E291" s="294"/>
      <c r="F291" s="294"/>
      <c r="G291" s="294"/>
      <c r="H291" s="294"/>
      <c r="I291" s="294"/>
      <c r="J291" s="294"/>
      <c r="K291" s="294"/>
      <c r="L291" s="294"/>
      <c r="M291" s="294"/>
      <c r="N291" s="294"/>
      <c r="O291" s="294"/>
      <c r="P291" s="294"/>
      <c r="Q291" s="294"/>
      <c r="R291" s="294"/>
      <c r="S291" s="294"/>
      <c r="T291" s="294"/>
      <c r="U291" s="294"/>
      <c r="V291" s="294"/>
      <c r="W291" s="294"/>
      <c r="X291" s="294"/>
      <c r="Y291" s="294"/>
      <c r="Z291" s="294"/>
      <c r="AA291" s="294"/>
      <c r="AB291" s="294"/>
    </row>
    <row r="292">
      <c r="A292" s="294"/>
      <c r="B292" s="294"/>
      <c r="C292" s="294"/>
      <c r="D292" s="294"/>
      <c r="E292" s="294"/>
      <c r="F292" s="294"/>
      <c r="G292" s="294"/>
      <c r="H292" s="294"/>
      <c r="I292" s="294"/>
      <c r="J292" s="294"/>
      <c r="K292" s="294"/>
      <c r="L292" s="294"/>
      <c r="M292" s="294"/>
      <c r="N292" s="294"/>
      <c r="O292" s="294"/>
      <c r="P292" s="294"/>
      <c r="Q292" s="294"/>
      <c r="R292" s="294"/>
      <c r="S292" s="294"/>
      <c r="T292" s="294"/>
      <c r="U292" s="294"/>
      <c r="V292" s="294"/>
      <c r="W292" s="294"/>
      <c r="X292" s="294"/>
      <c r="Y292" s="294"/>
      <c r="Z292" s="294"/>
      <c r="AA292" s="294"/>
      <c r="AB292" s="294"/>
    </row>
    <row r="293">
      <c r="A293" s="294"/>
      <c r="B293" s="294"/>
      <c r="C293" s="294"/>
      <c r="D293" s="294"/>
      <c r="E293" s="294"/>
      <c r="F293" s="294"/>
      <c r="G293" s="294"/>
      <c r="H293" s="294"/>
      <c r="I293" s="294"/>
      <c r="J293" s="294"/>
      <c r="K293" s="294"/>
      <c r="L293" s="294"/>
      <c r="M293" s="294"/>
      <c r="N293" s="294"/>
      <c r="O293" s="294"/>
      <c r="P293" s="294"/>
      <c r="Q293" s="294"/>
      <c r="R293" s="294"/>
      <c r="S293" s="294"/>
      <c r="T293" s="294"/>
      <c r="U293" s="294"/>
      <c r="V293" s="294"/>
      <c r="W293" s="294"/>
      <c r="X293" s="294"/>
      <c r="Y293" s="294"/>
      <c r="Z293" s="294"/>
      <c r="AA293" s="294"/>
      <c r="AB293" s="294"/>
    </row>
    <row r="294">
      <c r="A294" s="294"/>
      <c r="B294" s="294"/>
      <c r="C294" s="294"/>
      <c r="D294" s="294"/>
      <c r="E294" s="294"/>
      <c r="F294" s="294"/>
      <c r="G294" s="294"/>
      <c r="H294" s="294"/>
      <c r="I294" s="294"/>
      <c r="J294" s="294"/>
      <c r="K294" s="294"/>
      <c r="L294" s="294"/>
      <c r="M294" s="294"/>
      <c r="N294" s="294"/>
      <c r="O294" s="294"/>
      <c r="P294" s="294"/>
      <c r="Q294" s="294"/>
      <c r="R294" s="294"/>
      <c r="S294" s="294"/>
      <c r="T294" s="294"/>
      <c r="U294" s="294"/>
      <c r="V294" s="294"/>
      <c r="W294" s="294"/>
      <c r="X294" s="294"/>
      <c r="Y294" s="294"/>
      <c r="Z294" s="294"/>
      <c r="AA294" s="294"/>
      <c r="AB294" s="294"/>
    </row>
    <row r="295">
      <c r="A295" s="294"/>
      <c r="B295" s="294"/>
      <c r="C295" s="294"/>
      <c r="D295" s="294"/>
      <c r="E295" s="294"/>
      <c r="F295" s="294"/>
      <c r="G295" s="294"/>
      <c r="H295" s="294"/>
      <c r="I295" s="294"/>
      <c r="J295" s="294"/>
      <c r="K295" s="294"/>
      <c r="L295" s="294"/>
      <c r="M295" s="294"/>
      <c r="N295" s="294"/>
      <c r="O295" s="294"/>
      <c r="P295" s="294"/>
      <c r="Q295" s="294"/>
      <c r="R295" s="294"/>
      <c r="S295" s="294"/>
      <c r="T295" s="294"/>
      <c r="U295" s="294"/>
      <c r="V295" s="294"/>
      <c r="W295" s="294"/>
      <c r="X295" s="294"/>
      <c r="Y295" s="294"/>
      <c r="Z295" s="294"/>
      <c r="AA295" s="294"/>
      <c r="AB295" s="294"/>
    </row>
    <row r="296">
      <c r="A296" s="294"/>
      <c r="B296" s="294"/>
      <c r="C296" s="294"/>
      <c r="D296" s="294"/>
      <c r="E296" s="294"/>
      <c r="F296" s="294"/>
      <c r="G296" s="294"/>
      <c r="H296" s="294"/>
      <c r="I296" s="294"/>
      <c r="J296" s="294"/>
      <c r="K296" s="294"/>
      <c r="L296" s="294"/>
      <c r="M296" s="294"/>
      <c r="N296" s="294"/>
      <c r="O296" s="294"/>
      <c r="P296" s="294"/>
      <c r="Q296" s="294"/>
      <c r="R296" s="294"/>
      <c r="S296" s="294"/>
      <c r="T296" s="294"/>
      <c r="U296" s="294"/>
      <c r="V296" s="294"/>
      <c r="W296" s="294"/>
      <c r="X296" s="294"/>
      <c r="Y296" s="294"/>
      <c r="Z296" s="294"/>
      <c r="AA296" s="294"/>
      <c r="AB296" s="294"/>
    </row>
    <row r="297">
      <c r="A297" s="294"/>
      <c r="B297" s="294"/>
      <c r="C297" s="294"/>
      <c r="D297" s="294"/>
      <c r="E297" s="294"/>
      <c r="F297" s="294"/>
      <c r="G297" s="294"/>
      <c r="H297" s="294"/>
      <c r="I297" s="294"/>
      <c r="J297" s="294"/>
      <c r="K297" s="294"/>
      <c r="L297" s="294"/>
      <c r="M297" s="294"/>
      <c r="N297" s="294"/>
      <c r="O297" s="294"/>
      <c r="P297" s="294"/>
      <c r="Q297" s="294"/>
      <c r="R297" s="294"/>
      <c r="S297" s="294"/>
      <c r="T297" s="294"/>
      <c r="U297" s="294"/>
      <c r="V297" s="294"/>
      <c r="W297" s="294"/>
      <c r="X297" s="294"/>
      <c r="Y297" s="294"/>
      <c r="Z297" s="294"/>
      <c r="AA297" s="294"/>
      <c r="AB297" s="294"/>
    </row>
    <row r="298">
      <c r="A298" s="294"/>
      <c r="B298" s="294"/>
      <c r="C298" s="294"/>
      <c r="D298" s="294"/>
      <c r="E298" s="294"/>
      <c r="F298" s="294"/>
      <c r="G298" s="294"/>
      <c r="H298" s="294"/>
      <c r="I298" s="294"/>
      <c r="J298" s="294"/>
      <c r="K298" s="294"/>
      <c r="L298" s="294"/>
      <c r="M298" s="294"/>
      <c r="N298" s="294"/>
      <c r="O298" s="294"/>
      <c r="P298" s="294"/>
      <c r="Q298" s="294"/>
      <c r="R298" s="294"/>
      <c r="S298" s="294"/>
      <c r="T298" s="294"/>
      <c r="U298" s="294"/>
      <c r="V298" s="294"/>
      <c r="W298" s="294"/>
      <c r="X298" s="294"/>
      <c r="Y298" s="294"/>
      <c r="Z298" s="294"/>
      <c r="AA298" s="294"/>
      <c r="AB298" s="294"/>
    </row>
    <row r="299">
      <c r="A299" s="294"/>
      <c r="B299" s="294"/>
      <c r="C299" s="294"/>
      <c r="D299" s="294"/>
      <c r="E299" s="294"/>
      <c r="F299" s="294"/>
      <c r="G299" s="294"/>
      <c r="H299" s="294"/>
      <c r="I299" s="294"/>
      <c r="J299" s="294"/>
      <c r="K299" s="294"/>
      <c r="L299" s="294"/>
      <c r="M299" s="294"/>
      <c r="N299" s="294"/>
      <c r="O299" s="294"/>
      <c r="P299" s="294"/>
      <c r="Q299" s="294"/>
      <c r="R299" s="294"/>
      <c r="S299" s="294"/>
      <c r="T299" s="294"/>
      <c r="U299" s="294"/>
      <c r="V299" s="294"/>
      <c r="W299" s="294"/>
      <c r="X299" s="294"/>
      <c r="Y299" s="294"/>
      <c r="Z299" s="294"/>
      <c r="AA299" s="294"/>
      <c r="AB299" s="294"/>
    </row>
    <row r="300">
      <c r="A300" s="294"/>
      <c r="B300" s="294"/>
      <c r="C300" s="294"/>
      <c r="D300" s="294"/>
      <c r="E300" s="294"/>
      <c r="F300" s="294"/>
      <c r="G300" s="294"/>
      <c r="H300" s="294"/>
      <c r="I300" s="294"/>
      <c r="J300" s="294"/>
      <c r="K300" s="294"/>
      <c r="L300" s="294"/>
      <c r="M300" s="294"/>
      <c r="N300" s="294"/>
      <c r="O300" s="294"/>
      <c r="P300" s="294"/>
      <c r="Q300" s="294"/>
      <c r="R300" s="294"/>
      <c r="S300" s="294"/>
      <c r="T300" s="294"/>
      <c r="U300" s="294"/>
      <c r="V300" s="294"/>
      <c r="W300" s="294"/>
      <c r="X300" s="294"/>
      <c r="Y300" s="294"/>
      <c r="Z300" s="294"/>
      <c r="AA300" s="294"/>
      <c r="AB300" s="294"/>
    </row>
    <row r="301">
      <c r="A301" s="294"/>
      <c r="B301" s="294"/>
      <c r="C301" s="294"/>
      <c r="D301" s="294"/>
      <c r="E301" s="294"/>
      <c r="F301" s="294"/>
      <c r="G301" s="294"/>
      <c r="H301" s="294"/>
      <c r="I301" s="294"/>
      <c r="J301" s="294"/>
      <c r="K301" s="294"/>
      <c r="L301" s="294"/>
      <c r="M301" s="294"/>
      <c r="N301" s="294"/>
      <c r="O301" s="294"/>
      <c r="P301" s="294"/>
      <c r="Q301" s="294"/>
      <c r="R301" s="294"/>
      <c r="S301" s="294"/>
      <c r="T301" s="294"/>
      <c r="U301" s="294"/>
      <c r="V301" s="294"/>
      <c r="W301" s="294"/>
      <c r="X301" s="294"/>
      <c r="Y301" s="294"/>
      <c r="Z301" s="294"/>
      <c r="AA301" s="294"/>
      <c r="AB301" s="294"/>
    </row>
    <row r="302">
      <c r="A302" s="294"/>
      <c r="B302" s="294"/>
      <c r="C302" s="294"/>
      <c r="D302" s="294"/>
      <c r="E302" s="294"/>
      <c r="F302" s="294"/>
      <c r="G302" s="294"/>
      <c r="H302" s="294"/>
      <c r="I302" s="294"/>
      <c r="J302" s="294"/>
      <c r="K302" s="294"/>
      <c r="L302" s="294"/>
      <c r="M302" s="294"/>
      <c r="N302" s="294"/>
      <c r="O302" s="294"/>
      <c r="P302" s="294"/>
      <c r="Q302" s="294"/>
      <c r="R302" s="294"/>
      <c r="S302" s="294"/>
      <c r="T302" s="294"/>
      <c r="U302" s="294"/>
      <c r="V302" s="294"/>
      <c r="W302" s="294"/>
      <c r="X302" s="294"/>
      <c r="Y302" s="294"/>
      <c r="Z302" s="294"/>
      <c r="AA302" s="294"/>
      <c r="AB302" s="294"/>
    </row>
    <row r="303">
      <c r="A303" s="294"/>
      <c r="B303" s="294"/>
      <c r="C303" s="294"/>
      <c r="D303" s="294"/>
      <c r="E303" s="294"/>
      <c r="F303" s="294"/>
      <c r="G303" s="294"/>
      <c r="H303" s="294"/>
      <c r="I303" s="294"/>
      <c r="J303" s="294"/>
      <c r="K303" s="294"/>
      <c r="L303" s="294"/>
      <c r="M303" s="294"/>
      <c r="N303" s="294"/>
      <c r="O303" s="294"/>
      <c r="P303" s="294"/>
      <c r="Q303" s="294"/>
      <c r="R303" s="294"/>
      <c r="S303" s="294"/>
      <c r="T303" s="294"/>
      <c r="U303" s="294"/>
      <c r="V303" s="294"/>
      <c r="W303" s="294"/>
      <c r="X303" s="294"/>
      <c r="Y303" s="294"/>
      <c r="Z303" s="294"/>
      <c r="AA303" s="294"/>
      <c r="AB303" s="294"/>
    </row>
    <row r="304">
      <c r="A304" s="294"/>
      <c r="B304" s="294"/>
      <c r="C304" s="294"/>
      <c r="D304" s="294"/>
      <c r="E304" s="294"/>
      <c r="F304" s="294"/>
      <c r="G304" s="294"/>
      <c r="H304" s="294"/>
      <c r="I304" s="294"/>
      <c r="J304" s="294"/>
      <c r="K304" s="294"/>
      <c r="L304" s="294"/>
      <c r="M304" s="294"/>
      <c r="N304" s="294"/>
      <c r="O304" s="294"/>
      <c r="P304" s="294"/>
      <c r="Q304" s="294"/>
      <c r="R304" s="294"/>
      <c r="S304" s="294"/>
      <c r="T304" s="294"/>
      <c r="U304" s="294"/>
      <c r="V304" s="294"/>
      <c r="W304" s="294"/>
      <c r="X304" s="294"/>
      <c r="Y304" s="294"/>
      <c r="Z304" s="294"/>
      <c r="AA304" s="294"/>
      <c r="AB304" s="294"/>
    </row>
    <row r="305">
      <c r="A305" s="294"/>
      <c r="B305" s="294"/>
      <c r="C305" s="294"/>
      <c r="D305" s="294"/>
      <c r="E305" s="294"/>
      <c r="F305" s="294"/>
      <c r="G305" s="294"/>
      <c r="H305" s="294"/>
      <c r="I305" s="294"/>
      <c r="J305" s="294"/>
      <c r="K305" s="294"/>
      <c r="L305" s="294"/>
      <c r="M305" s="294"/>
      <c r="N305" s="294"/>
      <c r="O305" s="294"/>
      <c r="P305" s="294"/>
      <c r="Q305" s="294"/>
      <c r="R305" s="294"/>
      <c r="S305" s="294"/>
      <c r="T305" s="294"/>
      <c r="U305" s="294"/>
      <c r="V305" s="294"/>
      <c r="W305" s="294"/>
      <c r="X305" s="294"/>
      <c r="Y305" s="294"/>
      <c r="Z305" s="294"/>
      <c r="AA305" s="294"/>
      <c r="AB305" s="294"/>
    </row>
    <row r="306">
      <c r="A306" s="294"/>
      <c r="B306" s="294"/>
      <c r="C306" s="294"/>
      <c r="D306" s="294"/>
      <c r="E306" s="294"/>
      <c r="F306" s="294"/>
      <c r="G306" s="294"/>
      <c r="H306" s="294"/>
      <c r="I306" s="294"/>
      <c r="J306" s="294"/>
      <c r="K306" s="294"/>
      <c r="L306" s="294"/>
      <c r="M306" s="294"/>
      <c r="N306" s="294"/>
      <c r="O306" s="294"/>
      <c r="P306" s="294"/>
      <c r="Q306" s="294"/>
      <c r="R306" s="294"/>
      <c r="S306" s="294"/>
      <c r="T306" s="294"/>
      <c r="U306" s="294"/>
      <c r="V306" s="294"/>
      <c r="W306" s="294"/>
      <c r="X306" s="294"/>
      <c r="Y306" s="294"/>
      <c r="Z306" s="294"/>
      <c r="AA306" s="294"/>
      <c r="AB306" s="294"/>
    </row>
    <row r="307">
      <c r="A307" s="294"/>
      <c r="B307" s="294"/>
      <c r="C307" s="294"/>
      <c r="D307" s="294"/>
      <c r="E307" s="294"/>
      <c r="F307" s="294"/>
      <c r="G307" s="294"/>
      <c r="H307" s="294"/>
      <c r="I307" s="294"/>
      <c r="J307" s="294"/>
      <c r="K307" s="294"/>
      <c r="L307" s="294"/>
      <c r="M307" s="294"/>
      <c r="N307" s="294"/>
      <c r="O307" s="294"/>
      <c r="P307" s="294"/>
      <c r="Q307" s="294"/>
      <c r="R307" s="294"/>
      <c r="S307" s="294"/>
      <c r="T307" s="294"/>
      <c r="U307" s="294"/>
      <c r="V307" s="294"/>
      <c r="W307" s="294"/>
      <c r="X307" s="294"/>
      <c r="Y307" s="294"/>
      <c r="Z307" s="294"/>
      <c r="AA307" s="294"/>
      <c r="AB307" s="294"/>
    </row>
    <row r="308">
      <c r="A308" s="294"/>
      <c r="B308" s="294"/>
      <c r="C308" s="294"/>
      <c r="D308" s="294"/>
      <c r="E308" s="294"/>
      <c r="F308" s="294"/>
      <c r="G308" s="294"/>
      <c r="H308" s="294"/>
      <c r="I308" s="294"/>
      <c r="J308" s="294"/>
      <c r="K308" s="294"/>
      <c r="L308" s="294"/>
      <c r="M308" s="294"/>
      <c r="N308" s="294"/>
      <c r="O308" s="294"/>
      <c r="P308" s="294"/>
      <c r="Q308" s="294"/>
      <c r="R308" s="294"/>
      <c r="S308" s="294"/>
      <c r="T308" s="294"/>
      <c r="U308" s="294"/>
      <c r="V308" s="294"/>
      <c r="W308" s="294"/>
      <c r="X308" s="294"/>
      <c r="Y308" s="294"/>
      <c r="Z308" s="294"/>
      <c r="AA308" s="294"/>
      <c r="AB308" s="294"/>
    </row>
    <row r="309">
      <c r="A309" s="294"/>
      <c r="B309" s="294"/>
      <c r="C309" s="294"/>
      <c r="D309" s="294"/>
      <c r="E309" s="294"/>
      <c r="F309" s="294"/>
      <c r="G309" s="294"/>
      <c r="H309" s="294"/>
      <c r="I309" s="294"/>
      <c r="J309" s="294"/>
      <c r="K309" s="294"/>
      <c r="L309" s="294"/>
      <c r="M309" s="294"/>
      <c r="N309" s="294"/>
      <c r="O309" s="294"/>
      <c r="P309" s="294"/>
      <c r="Q309" s="294"/>
      <c r="R309" s="294"/>
      <c r="S309" s="294"/>
      <c r="T309" s="294"/>
      <c r="U309" s="294"/>
      <c r="V309" s="294"/>
      <c r="W309" s="294"/>
      <c r="X309" s="294"/>
      <c r="Y309" s="294"/>
      <c r="Z309" s="294"/>
      <c r="AA309" s="294"/>
      <c r="AB309" s="294"/>
    </row>
    <row r="310">
      <c r="A310" s="294"/>
      <c r="B310" s="294"/>
      <c r="C310" s="294"/>
      <c r="D310" s="294"/>
      <c r="E310" s="294"/>
      <c r="F310" s="294"/>
      <c r="G310" s="294"/>
      <c r="H310" s="294"/>
      <c r="I310" s="294"/>
      <c r="J310" s="294"/>
      <c r="K310" s="294"/>
      <c r="L310" s="294"/>
      <c r="M310" s="294"/>
      <c r="N310" s="294"/>
      <c r="O310" s="294"/>
      <c r="P310" s="294"/>
      <c r="Q310" s="294"/>
      <c r="R310" s="294"/>
      <c r="S310" s="294"/>
      <c r="T310" s="294"/>
      <c r="U310" s="294"/>
      <c r="V310" s="294"/>
      <c r="W310" s="294"/>
      <c r="X310" s="294"/>
      <c r="Y310" s="294"/>
      <c r="Z310" s="294"/>
      <c r="AA310" s="294"/>
      <c r="AB310" s="294"/>
    </row>
    <row r="311">
      <c r="A311" s="294"/>
      <c r="B311" s="294"/>
      <c r="C311" s="294"/>
      <c r="D311" s="294"/>
      <c r="E311" s="294"/>
      <c r="F311" s="294"/>
      <c r="G311" s="294"/>
      <c r="H311" s="294"/>
      <c r="I311" s="294"/>
      <c r="J311" s="294"/>
      <c r="K311" s="294"/>
      <c r="L311" s="294"/>
      <c r="M311" s="294"/>
      <c r="N311" s="294"/>
      <c r="O311" s="294"/>
      <c r="P311" s="294"/>
      <c r="Q311" s="294"/>
      <c r="R311" s="294"/>
      <c r="S311" s="294"/>
      <c r="T311" s="294"/>
      <c r="U311" s="294"/>
      <c r="V311" s="294"/>
      <c r="W311" s="294"/>
      <c r="X311" s="294"/>
      <c r="Y311" s="294"/>
      <c r="Z311" s="294"/>
      <c r="AA311" s="294"/>
      <c r="AB311" s="294"/>
    </row>
    <row r="312">
      <c r="A312" s="294"/>
      <c r="B312" s="294"/>
      <c r="C312" s="294"/>
      <c r="D312" s="294"/>
      <c r="E312" s="294"/>
      <c r="F312" s="294"/>
      <c r="G312" s="294"/>
      <c r="H312" s="294"/>
      <c r="I312" s="294"/>
      <c r="J312" s="294"/>
      <c r="K312" s="294"/>
      <c r="L312" s="294"/>
      <c r="M312" s="294"/>
      <c r="N312" s="294"/>
      <c r="O312" s="294"/>
      <c r="P312" s="294"/>
      <c r="Q312" s="294"/>
      <c r="R312" s="294"/>
      <c r="S312" s="294"/>
      <c r="T312" s="294"/>
      <c r="U312" s="294"/>
      <c r="V312" s="294"/>
      <c r="W312" s="294"/>
      <c r="X312" s="294"/>
      <c r="Y312" s="294"/>
      <c r="Z312" s="294"/>
      <c r="AA312" s="294"/>
      <c r="AB312" s="294"/>
    </row>
    <row r="313">
      <c r="A313" s="294"/>
      <c r="B313" s="294"/>
      <c r="C313" s="294"/>
      <c r="D313" s="294"/>
      <c r="E313" s="294"/>
      <c r="F313" s="294"/>
      <c r="G313" s="294"/>
      <c r="H313" s="294"/>
      <c r="I313" s="294"/>
      <c r="J313" s="294"/>
      <c r="K313" s="294"/>
      <c r="L313" s="294"/>
      <c r="M313" s="294"/>
      <c r="N313" s="294"/>
      <c r="O313" s="294"/>
      <c r="P313" s="294"/>
      <c r="Q313" s="294"/>
      <c r="R313" s="294"/>
      <c r="S313" s="294"/>
      <c r="T313" s="294"/>
      <c r="U313" s="294"/>
      <c r="V313" s="294"/>
      <c r="W313" s="294"/>
      <c r="X313" s="294"/>
      <c r="Y313" s="294"/>
      <c r="Z313" s="294"/>
      <c r="AA313" s="294"/>
      <c r="AB313" s="294"/>
    </row>
    <row r="314">
      <c r="A314" s="294"/>
      <c r="B314" s="294"/>
      <c r="C314" s="294"/>
      <c r="D314" s="294"/>
      <c r="E314" s="294"/>
      <c r="F314" s="294"/>
      <c r="G314" s="294"/>
      <c r="H314" s="294"/>
      <c r="I314" s="294"/>
      <c r="J314" s="294"/>
      <c r="K314" s="294"/>
      <c r="L314" s="294"/>
      <c r="M314" s="294"/>
      <c r="N314" s="294"/>
      <c r="O314" s="294"/>
      <c r="P314" s="294"/>
      <c r="Q314" s="294"/>
      <c r="R314" s="294"/>
      <c r="S314" s="294"/>
      <c r="T314" s="294"/>
      <c r="U314" s="294"/>
      <c r="V314" s="294"/>
      <c r="W314" s="294"/>
      <c r="X314" s="294"/>
      <c r="Y314" s="294"/>
      <c r="Z314" s="294"/>
      <c r="AA314" s="294"/>
      <c r="AB314" s="294"/>
    </row>
    <row r="315">
      <c r="A315" s="294"/>
      <c r="B315" s="294"/>
      <c r="C315" s="294"/>
      <c r="D315" s="294"/>
      <c r="E315" s="294"/>
      <c r="F315" s="294"/>
      <c r="G315" s="294"/>
      <c r="H315" s="294"/>
      <c r="I315" s="294"/>
      <c r="J315" s="294"/>
      <c r="K315" s="294"/>
      <c r="L315" s="294"/>
      <c r="M315" s="294"/>
      <c r="N315" s="294"/>
      <c r="O315" s="294"/>
      <c r="P315" s="294"/>
      <c r="Q315" s="294"/>
      <c r="R315" s="294"/>
      <c r="S315" s="294"/>
      <c r="T315" s="294"/>
      <c r="U315" s="294"/>
      <c r="V315" s="294"/>
      <c r="W315" s="294"/>
      <c r="X315" s="294"/>
      <c r="Y315" s="294"/>
      <c r="Z315" s="294"/>
      <c r="AA315" s="294"/>
      <c r="AB315" s="294"/>
    </row>
    <row r="316">
      <c r="A316" s="294"/>
      <c r="B316" s="294"/>
      <c r="C316" s="294"/>
      <c r="D316" s="294"/>
      <c r="E316" s="294"/>
      <c r="F316" s="294"/>
      <c r="G316" s="294"/>
      <c r="H316" s="294"/>
      <c r="I316" s="294"/>
      <c r="J316" s="294"/>
      <c r="K316" s="294"/>
      <c r="L316" s="294"/>
      <c r="M316" s="294"/>
      <c r="N316" s="294"/>
      <c r="O316" s="294"/>
      <c r="P316" s="294"/>
      <c r="Q316" s="294"/>
      <c r="R316" s="294"/>
      <c r="S316" s="294"/>
      <c r="T316" s="294"/>
      <c r="U316" s="294"/>
      <c r="V316" s="294"/>
      <c r="W316" s="294"/>
      <c r="X316" s="294"/>
      <c r="Y316" s="294"/>
      <c r="Z316" s="294"/>
      <c r="AA316" s="294"/>
      <c r="AB316" s="294"/>
    </row>
    <row r="317">
      <c r="A317" s="294"/>
      <c r="B317" s="294"/>
      <c r="C317" s="294"/>
      <c r="D317" s="294"/>
      <c r="E317" s="294"/>
      <c r="F317" s="294"/>
      <c r="G317" s="294"/>
      <c r="H317" s="294"/>
      <c r="I317" s="294"/>
      <c r="J317" s="294"/>
      <c r="K317" s="294"/>
      <c r="L317" s="294"/>
      <c r="M317" s="294"/>
      <c r="N317" s="294"/>
      <c r="O317" s="294"/>
      <c r="P317" s="294"/>
      <c r="Q317" s="294"/>
      <c r="R317" s="294"/>
      <c r="S317" s="294"/>
      <c r="T317" s="294"/>
      <c r="U317" s="294"/>
      <c r="V317" s="294"/>
      <c r="W317" s="294"/>
      <c r="X317" s="294"/>
      <c r="Y317" s="294"/>
      <c r="Z317" s="294"/>
      <c r="AA317" s="294"/>
      <c r="AB317" s="294"/>
    </row>
    <row r="318">
      <c r="A318" s="294"/>
      <c r="B318" s="294"/>
      <c r="C318" s="294"/>
      <c r="D318" s="294"/>
      <c r="E318" s="294"/>
      <c r="F318" s="294"/>
      <c r="G318" s="294"/>
      <c r="H318" s="294"/>
      <c r="I318" s="294"/>
      <c r="J318" s="294"/>
      <c r="K318" s="294"/>
      <c r="L318" s="294"/>
      <c r="M318" s="294"/>
      <c r="N318" s="294"/>
      <c r="O318" s="294"/>
      <c r="P318" s="294"/>
      <c r="Q318" s="294"/>
      <c r="R318" s="294"/>
      <c r="S318" s="294"/>
      <c r="T318" s="294"/>
      <c r="U318" s="294"/>
      <c r="V318" s="294"/>
      <c r="W318" s="294"/>
      <c r="X318" s="294"/>
      <c r="Y318" s="294"/>
      <c r="Z318" s="294"/>
      <c r="AA318" s="294"/>
      <c r="AB318" s="294"/>
    </row>
    <row r="319">
      <c r="A319" s="294"/>
      <c r="B319" s="294"/>
      <c r="C319" s="294"/>
      <c r="D319" s="294"/>
      <c r="E319" s="294"/>
      <c r="F319" s="294"/>
      <c r="G319" s="294"/>
      <c r="H319" s="294"/>
      <c r="I319" s="294"/>
      <c r="J319" s="294"/>
      <c r="K319" s="294"/>
      <c r="L319" s="294"/>
      <c r="M319" s="294"/>
      <c r="N319" s="294"/>
      <c r="O319" s="294"/>
      <c r="P319" s="294"/>
      <c r="Q319" s="294"/>
      <c r="R319" s="294"/>
      <c r="S319" s="294"/>
      <c r="T319" s="294"/>
      <c r="U319" s="294"/>
      <c r="V319" s="294"/>
      <c r="W319" s="294"/>
      <c r="X319" s="294"/>
      <c r="Y319" s="294"/>
      <c r="Z319" s="294"/>
      <c r="AA319" s="294"/>
      <c r="AB319" s="294"/>
    </row>
    <row r="320">
      <c r="A320" s="294"/>
      <c r="B320" s="294"/>
      <c r="C320" s="294"/>
      <c r="D320" s="294"/>
      <c r="E320" s="294"/>
      <c r="F320" s="294"/>
      <c r="G320" s="294"/>
      <c r="H320" s="294"/>
      <c r="I320" s="294"/>
      <c r="J320" s="294"/>
      <c r="K320" s="294"/>
      <c r="L320" s="294"/>
      <c r="M320" s="294"/>
      <c r="N320" s="294"/>
      <c r="O320" s="294"/>
      <c r="P320" s="294"/>
      <c r="Q320" s="294"/>
      <c r="R320" s="294"/>
      <c r="S320" s="294"/>
      <c r="T320" s="294"/>
      <c r="U320" s="294"/>
      <c r="V320" s="294"/>
      <c r="W320" s="294"/>
      <c r="X320" s="294"/>
      <c r="Y320" s="294"/>
      <c r="Z320" s="294"/>
      <c r="AA320" s="294"/>
      <c r="AB320" s="294"/>
    </row>
    <row r="321">
      <c r="A321" s="294"/>
      <c r="B321" s="294"/>
      <c r="C321" s="294"/>
      <c r="D321" s="294"/>
      <c r="E321" s="294"/>
      <c r="F321" s="294"/>
      <c r="G321" s="294"/>
      <c r="H321" s="294"/>
      <c r="I321" s="294"/>
      <c r="J321" s="294"/>
      <c r="K321" s="294"/>
      <c r="L321" s="294"/>
      <c r="M321" s="294"/>
      <c r="N321" s="294"/>
      <c r="O321" s="294"/>
      <c r="P321" s="294"/>
      <c r="Q321" s="294"/>
      <c r="R321" s="294"/>
      <c r="S321" s="294"/>
      <c r="T321" s="294"/>
      <c r="U321" s="294"/>
      <c r="V321" s="294"/>
      <c r="W321" s="294"/>
      <c r="X321" s="294"/>
      <c r="Y321" s="294"/>
      <c r="Z321" s="294"/>
      <c r="AA321" s="294"/>
      <c r="AB321" s="294"/>
    </row>
    <row r="322">
      <c r="A322" s="294"/>
      <c r="B322" s="294"/>
      <c r="C322" s="294"/>
      <c r="D322" s="294"/>
      <c r="E322" s="294"/>
      <c r="F322" s="294"/>
      <c r="G322" s="294"/>
      <c r="H322" s="294"/>
      <c r="I322" s="294"/>
      <c r="J322" s="294"/>
      <c r="K322" s="294"/>
      <c r="L322" s="294"/>
      <c r="M322" s="294"/>
      <c r="N322" s="294"/>
      <c r="O322" s="294"/>
      <c r="P322" s="294"/>
      <c r="Q322" s="294"/>
      <c r="R322" s="294"/>
      <c r="S322" s="294"/>
      <c r="T322" s="294"/>
      <c r="U322" s="294"/>
      <c r="V322" s="294"/>
      <c r="W322" s="294"/>
      <c r="X322" s="294"/>
      <c r="Y322" s="294"/>
      <c r="Z322" s="294"/>
      <c r="AA322" s="294"/>
      <c r="AB322" s="294"/>
    </row>
    <row r="323">
      <c r="A323" s="294"/>
      <c r="B323" s="294"/>
      <c r="C323" s="294"/>
      <c r="D323" s="294"/>
      <c r="E323" s="294"/>
      <c r="F323" s="294"/>
      <c r="G323" s="294"/>
      <c r="H323" s="294"/>
      <c r="I323" s="294"/>
      <c r="J323" s="294"/>
      <c r="K323" s="294"/>
      <c r="L323" s="294"/>
      <c r="M323" s="294"/>
      <c r="N323" s="294"/>
      <c r="O323" s="294"/>
      <c r="P323" s="294"/>
      <c r="Q323" s="294"/>
      <c r="R323" s="294"/>
      <c r="S323" s="294"/>
      <c r="T323" s="294"/>
      <c r="U323" s="294"/>
      <c r="V323" s="294"/>
      <c r="W323" s="294"/>
      <c r="X323" s="294"/>
      <c r="Y323" s="294"/>
      <c r="Z323" s="294"/>
      <c r="AA323" s="294"/>
      <c r="AB323" s="294"/>
    </row>
    <row r="324">
      <c r="A324" s="294"/>
      <c r="B324" s="294"/>
      <c r="C324" s="294"/>
      <c r="D324" s="294"/>
      <c r="E324" s="294"/>
      <c r="F324" s="294"/>
      <c r="G324" s="294"/>
      <c r="H324" s="294"/>
      <c r="I324" s="294"/>
      <c r="J324" s="294"/>
      <c r="K324" s="294"/>
      <c r="L324" s="294"/>
      <c r="M324" s="294"/>
      <c r="N324" s="294"/>
      <c r="O324" s="294"/>
      <c r="P324" s="294"/>
      <c r="Q324" s="294"/>
      <c r="R324" s="294"/>
      <c r="S324" s="294"/>
      <c r="T324" s="294"/>
      <c r="U324" s="294"/>
      <c r="V324" s="294"/>
      <c r="W324" s="294"/>
      <c r="X324" s="294"/>
      <c r="Y324" s="294"/>
      <c r="Z324" s="294"/>
      <c r="AA324" s="294"/>
      <c r="AB324" s="294"/>
    </row>
    <row r="325">
      <c r="A325" s="294"/>
      <c r="B325" s="294"/>
      <c r="C325" s="294"/>
      <c r="D325" s="294"/>
      <c r="E325" s="294"/>
      <c r="F325" s="294"/>
      <c r="G325" s="294"/>
      <c r="H325" s="294"/>
      <c r="I325" s="294"/>
      <c r="J325" s="294"/>
      <c r="K325" s="294"/>
      <c r="L325" s="294"/>
      <c r="M325" s="294"/>
      <c r="N325" s="294"/>
      <c r="O325" s="294"/>
      <c r="P325" s="294"/>
      <c r="Q325" s="294"/>
      <c r="R325" s="294"/>
      <c r="S325" s="294"/>
      <c r="T325" s="294"/>
      <c r="U325" s="294"/>
      <c r="V325" s="294"/>
      <c r="W325" s="294"/>
      <c r="X325" s="294"/>
      <c r="Y325" s="294"/>
      <c r="Z325" s="294"/>
      <c r="AA325" s="294"/>
      <c r="AB325" s="294"/>
    </row>
    <row r="326">
      <c r="A326" s="294"/>
      <c r="B326" s="294"/>
      <c r="C326" s="294"/>
      <c r="D326" s="294"/>
      <c r="E326" s="294"/>
      <c r="F326" s="294"/>
      <c r="G326" s="294"/>
      <c r="H326" s="294"/>
      <c r="I326" s="294"/>
      <c r="J326" s="294"/>
      <c r="K326" s="294"/>
      <c r="L326" s="294"/>
      <c r="M326" s="294"/>
      <c r="N326" s="294"/>
      <c r="O326" s="294"/>
      <c r="P326" s="294"/>
      <c r="Q326" s="294"/>
      <c r="R326" s="294"/>
      <c r="S326" s="294"/>
      <c r="T326" s="294"/>
      <c r="U326" s="294"/>
      <c r="V326" s="294"/>
      <c r="W326" s="294"/>
      <c r="X326" s="294"/>
      <c r="Y326" s="294"/>
      <c r="Z326" s="294"/>
      <c r="AA326" s="294"/>
      <c r="AB326" s="294"/>
    </row>
    <row r="327">
      <c r="A327" s="294"/>
      <c r="B327" s="294"/>
      <c r="C327" s="294"/>
      <c r="D327" s="294"/>
      <c r="E327" s="294"/>
      <c r="F327" s="294"/>
      <c r="G327" s="294"/>
      <c r="H327" s="294"/>
      <c r="I327" s="294"/>
      <c r="J327" s="294"/>
      <c r="K327" s="294"/>
      <c r="L327" s="294"/>
      <c r="M327" s="294"/>
      <c r="N327" s="294"/>
      <c r="O327" s="294"/>
      <c r="P327" s="294"/>
      <c r="Q327" s="294"/>
      <c r="R327" s="294"/>
      <c r="S327" s="294"/>
      <c r="T327" s="294"/>
      <c r="U327" s="294"/>
      <c r="V327" s="294"/>
      <c r="W327" s="294"/>
      <c r="X327" s="294"/>
      <c r="Y327" s="294"/>
      <c r="Z327" s="294"/>
      <c r="AA327" s="294"/>
      <c r="AB327" s="294"/>
    </row>
    <row r="328">
      <c r="A328" s="294"/>
      <c r="B328" s="294"/>
      <c r="C328" s="294"/>
      <c r="D328" s="294"/>
      <c r="E328" s="294"/>
      <c r="F328" s="294"/>
      <c r="G328" s="294"/>
      <c r="H328" s="294"/>
      <c r="I328" s="294"/>
      <c r="J328" s="294"/>
      <c r="K328" s="294"/>
      <c r="L328" s="294"/>
      <c r="M328" s="294"/>
      <c r="N328" s="294"/>
      <c r="O328" s="294"/>
      <c r="P328" s="294"/>
      <c r="Q328" s="294"/>
      <c r="R328" s="294"/>
      <c r="S328" s="294"/>
      <c r="T328" s="294"/>
      <c r="U328" s="294"/>
      <c r="V328" s="294"/>
      <c r="W328" s="294"/>
      <c r="X328" s="294"/>
      <c r="Y328" s="294"/>
      <c r="Z328" s="294"/>
      <c r="AA328" s="294"/>
      <c r="AB328" s="294"/>
    </row>
    <row r="329">
      <c r="A329" s="294"/>
      <c r="B329" s="294"/>
      <c r="C329" s="294"/>
      <c r="D329" s="294"/>
      <c r="E329" s="294"/>
      <c r="F329" s="294"/>
      <c r="G329" s="294"/>
      <c r="H329" s="294"/>
      <c r="I329" s="294"/>
      <c r="J329" s="294"/>
      <c r="K329" s="294"/>
      <c r="L329" s="294"/>
      <c r="M329" s="294"/>
      <c r="N329" s="294"/>
      <c r="O329" s="294"/>
      <c r="P329" s="294"/>
      <c r="Q329" s="294"/>
      <c r="R329" s="294"/>
      <c r="S329" s="294"/>
      <c r="T329" s="294"/>
      <c r="U329" s="294"/>
      <c r="V329" s="294"/>
      <c r="W329" s="294"/>
      <c r="X329" s="294"/>
      <c r="Y329" s="294"/>
      <c r="Z329" s="294"/>
      <c r="AA329" s="294"/>
      <c r="AB329" s="294"/>
    </row>
    <row r="330">
      <c r="A330" s="294"/>
      <c r="B330" s="294"/>
      <c r="C330" s="294"/>
      <c r="D330" s="294"/>
      <c r="E330" s="294"/>
      <c r="F330" s="294"/>
      <c r="G330" s="294"/>
      <c r="H330" s="294"/>
      <c r="I330" s="294"/>
      <c r="J330" s="294"/>
      <c r="K330" s="294"/>
      <c r="L330" s="294"/>
      <c r="M330" s="294"/>
      <c r="N330" s="294"/>
      <c r="O330" s="294"/>
      <c r="P330" s="294"/>
      <c r="Q330" s="294"/>
      <c r="R330" s="294"/>
      <c r="S330" s="294"/>
      <c r="T330" s="294"/>
      <c r="U330" s="294"/>
      <c r="V330" s="294"/>
      <c r="W330" s="294"/>
      <c r="X330" s="294"/>
      <c r="Y330" s="294"/>
      <c r="Z330" s="294"/>
      <c r="AA330" s="294"/>
      <c r="AB330" s="294"/>
    </row>
    <row r="331">
      <c r="A331" s="294"/>
      <c r="B331" s="294"/>
      <c r="C331" s="294"/>
      <c r="D331" s="294"/>
      <c r="E331" s="294"/>
      <c r="F331" s="294"/>
      <c r="G331" s="294"/>
      <c r="H331" s="294"/>
      <c r="I331" s="294"/>
      <c r="J331" s="294"/>
      <c r="K331" s="294"/>
      <c r="L331" s="294"/>
      <c r="M331" s="294"/>
      <c r="N331" s="294"/>
      <c r="O331" s="294"/>
      <c r="P331" s="294"/>
      <c r="Q331" s="294"/>
      <c r="R331" s="294"/>
      <c r="S331" s="294"/>
      <c r="T331" s="294"/>
      <c r="U331" s="294"/>
      <c r="V331" s="294"/>
      <c r="W331" s="294"/>
      <c r="X331" s="294"/>
      <c r="Y331" s="294"/>
      <c r="Z331" s="294"/>
      <c r="AA331" s="294"/>
      <c r="AB331" s="294"/>
    </row>
    <row r="332">
      <c r="A332" s="294"/>
      <c r="B332" s="294"/>
      <c r="C332" s="294"/>
      <c r="D332" s="294"/>
      <c r="E332" s="294"/>
      <c r="F332" s="294"/>
      <c r="G332" s="294"/>
      <c r="H332" s="294"/>
      <c r="I332" s="294"/>
      <c r="J332" s="294"/>
      <c r="K332" s="294"/>
      <c r="L332" s="294"/>
      <c r="M332" s="294"/>
      <c r="N332" s="294"/>
      <c r="O332" s="294"/>
      <c r="P332" s="294"/>
      <c r="Q332" s="294"/>
      <c r="R332" s="294"/>
      <c r="S332" s="294"/>
      <c r="T332" s="294"/>
      <c r="U332" s="294"/>
      <c r="V332" s="294"/>
      <c r="W332" s="294"/>
      <c r="X332" s="294"/>
      <c r="Y332" s="294"/>
      <c r="Z332" s="294"/>
      <c r="AA332" s="294"/>
      <c r="AB332" s="294"/>
    </row>
    <row r="333">
      <c r="A333" s="294"/>
      <c r="B333" s="294"/>
      <c r="C333" s="294"/>
      <c r="D333" s="294"/>
      <c r="E333" s="294"/>
      <c r="F333" s="294"/>
      <c r="G333" s="294"/>
      <c r="H333" s="294"/>
      <c r="I333" s="294"/>
      <c r="J333" s="294"/>
      <c r="K333" s="294"/>
      <c r="L333" s="294"/>
      <c r="M333" s="294"/>
      <c r="N333" s="294"/>
      <c r="O333" s="294"/>
      <c r="P333" s="294"/>
      <c r="Q333" s="294"/>
      <c r="R333" s="294"/>
      <c r="S333" s="294"/>
      <c r="T333" s="294"/>
      <c r="U333" s="294"/>
      <c r="V333" s="294"/>
      <c r="W333" s="294"/>
      <c r="X333" s="294"/>
      <c r="Y333" s="294"/>
      <c r="Z333" s="294"/>
      <c r="AA333" s="294"/>
      <c r="AB333" s="294"/>
    </row>
    <row r="334">
      <c r="A334" s="294"/>
      <c r="B334" s="294"/>
      <c r="C334" s="294"/>
      <c r="D334" s="294"/>
      <c r="E334" s="294"/>
      <c r="F334" s="294"/>
      <c r="G334" s="294"/>
      <c r="H334" s="294"/>
      <c r="I334" s="294"/>
      <c r="J334" s="294"/>
      <c r="K334" s="294"/>
      <c r="L334" s="294"/>
      <c r="M334" s="294"/>
      <c r="N334" s="294"/>
      <c r="O334" s="294"/>
      <c r="P334" s="294"/>
      <c r="Q334" s="294"/>
      <c r="R334" s="294"/>
      <c r="S334" s="294"/>
      <c r="T334" s="294"/>
      <c r="U334" s="294"/>
      <c r="V334" s="294"/>
      <c r="W334" s="294"/>
      <c r="X334" s="294"/>
      <c r="Y334" s="294"/>
      <c r="Z334" s="294"/>
      <c r="AA334" s="294"/>
      <c r="AB334" s="294"/>
    </row>
    <row r="335">
      <c r="A335" s="294"/>
      <c r="B335" s="294"/>
      <c r="C335" s="294"/>
      <c r="D335" s="294"/>
      <c r="E335" s="294"/>
      <c r="F335" s="294"/>
      <c r="G335" s="294"/>
      <c r="H335" s="294"/>
      <c r="I335" s="294"/>
      <c r="J335" s="294"/>
      <c r="K335" s="294"/>
      <c r="L335" s="294"/>
      <c r="M335" s="294"/>
      <c r="N335" s="294"/>
      <c r="O335" s="294"/>
      <c r="P335" s="294"/>
      <c r="Q335" s="294"/>
      <c r="R335" s="294"/>
      <c r="S335" s="294"/>
      <c r="T335" s="294"/>
      <c r="U335" s="294"/>
      <c r="V335" s="294"/>
      <c r="W335" s="294"/>
      <c r="X335" s="294"/>
      <c r="Y335" s="294"/>
      <c r="Z335" s="294"/>
      <c r="AA335" s="294"/>
      <c r="AB335" s="294"/>
    </row>
    <row r="336">
      <c r="A336" s="294"/>
      <c r="B336" s="294"/>
      <c r="C336" s="294"/>
      <c r="D336" s="294"/>
      <c r="E336" s="294"/>
      <c r="F336" s="294"/>
      <c r="G336" s="294"/>
      <c r="H336" s="294"/>
      <c r="I336" s="294"/>
      <c r="J336" s="294"/>
      <c r="K336" s="294"/>
      <c r="L336" s="294"/>
      <c r="M336" s="294"/>
      <c r="N336" s="294"/>
      <c r="O336" s="294"/>
      <c r="P336" s="294"/>
      <c r="Q336" s="294"/>
      <c r="R336" s="294"/>
      <c r="S336" s="294"/>
      <c r="T336" s="294"/>
      <c r="U336" s="294"/>
      <c r="V336" s="294"/>
      <c r="W336" s="294"/>
      <c r="X336" s="294"/>
      <c r="Y336" s="294"/>
      <c r="Z336" s="294"/>
      <c r="AA336" s="294"/>
      <c r="AB336" s="294"/>
    </row>
    <row r="337">
      <c r="A337" s="294"/>
      <c r="B337" s="294"/>
      <c r="C337" s="294"/>
      <c r="D337" s="294"/>
      <c r="E337" s="294"/>
      <c r="F337" s="294"/>
      <c r="G337" s="294"/>
      <c r="H337" s="294"/>
      <c r="I337" s="294"/>
      <c r="J337" s="294"/>
      <c r="K337" s="294"/>
      <c r="L337" s="294"/>
      <c r="M337" s="294"/>
      <c r="N337" s="294"/>
      <c r="O337" s="294"/>
      <c r="P337" s="294"/>
      <c r="Q337" s="294"/>
      <c r="R337" s="294"/>
      <c r="S337" s="294"/>
      <c r="T337" s="294"/>
      <c r="U337" s="294"/>
      <c r="V337" s="294"/>
      <c r="W337" s="294"/>
      <c r="X337" s="294"/>
      <c r="Y337" s="294"/>
      <c r="Z337" s="294"/>
      <c r="AA337" s="294"/>
      <c r="AB337" s="294"/>
    </row>
    <row r="338">
      <c r="A338" s="294"/>
      <c r="B338" s="294"/>
      <c r="C338" s="294"/>
      <c r="D338" s="294"/>
      <c r="E338" s="294"/>
      <c r="F338" s="294"/>
      <c r="G338" s="294"/>
      <c r="H338" s="294"/>
      <c r="I338" s="294"/>
      <c r="J338" s="294"/>
      <c r="K338" s="294"/>
      <c r="L338" s="294"/>
      <c r="M338" s="294"/>
      <c r="N338" s="294"/>
      <c r="O338" s="294"/>
      <c r="P338" s="294"/>
      <c r="Q338" s="294"/>
      <c r="R338" s="294"/>
      <c r="S338" s="294"/>
      <c r="T338" s="294"/>
      <c r="U338" s="294"/>
      <c r="V338" s="294"/>
      <c r="W338" s="294"/>
      <c r="X338" s="294"/>
      <c r="Y338" s="294"/>
      <c r="Z338" s="294"/>
      <c r="AA338" s="294"/>
      <c r="AB338" s="294"/>
    </row>
    <row r="339">
      <c r="A339" s="294"/>
      <c r="B339" s="294"/>
      <c r="C339" s="294"/>
      <c r="D339" s="294"/>
      <c r="E339" s="294"/>
      <c r="F339" s="294"/>
      <c r="G339" s="294"/>
      <c r="H339" s="294"/>
      <c r="I339" s="294"/>
      <c r="J339" s="294"/>
      <c r="K339" s="294"/>
      <c r="L339" s="294"/>
      <c r="M339" s="294"/>
      <c r="N339" s="294"/>
      <c r="O339" s="294"/>
      <c r="P339" s="294"/>
      <c r="Q339" s="294"/>
      <c r="R339" s="294"/>
      <c r="S339" s="294"/>
      <c r="T339" s="294"/>
      <c r="U339" s="294"/>
      <c r="V339" s="294"/>
      <c r="W339" s="294"/>
      <c r="X339" s="294"/>
      <c r="Y339" s="294"/>
      <c r="Z339" s="294"/>
      <c r="AA339" s="294"/>
      <c r="AB339" s="294"/>
    </row>
    <row r="340">
      <c r="A340" s="294"/>
      <c r="B340" s="294"/>
      <c r="C340" s="294"/>
      <c r="D340" s="294"/>
      <c r="E340" s="294"/>
      <c r="F340" s="294"/>
      <c r="G340" s="294"/>
      <c r="H340" s="294"/>
      <c r="I340" s="294"/>
      <c r="J340" s="294"/>
      <c r="K340" s="294"/>
      <c r="L340" s="294"/>
      <c r="M340" s="294"/>
      <c r="N340" s="294"/>
      <c r="O340" s="294"/>
      <c r="P340" s="294"/>
      <c r="Q340" s="294"/>
      <c r="R340" s="294"/>
      <c r="S340" s="294"/>
      <c r="T340" s="294"/>
      <c r="U340" s="294"/>
      <c r="V340" s="294"/>
      <c r="W340" s="294"/>
      <c r="X340" s="294"/>
      <c r="Y340" s="294"/>
      <c r="Z340" s="294"/>
      <c r="AA340" s="294"/>
      <c r="AB340" s="294"/>
    </row>
    <row r="341">
      <c r="A341" s="294"/>
      <c r="B341" s="294"/>
      <c r="C341" s="294"/>
      <c r="D341" s="294"/>
      <c r="E341" s="294"/>
      <c r="F341" s="294"/>
      <c r="G341" s="294"/>
      <c r="H341" s="294"/>
      <c r="I341" s="294"/>
      <c r="J341" s="294"/>
      <c r="K341" s="294"/>
      <c r="L341" s="294"/>
      <c r="M341" s="294"/>
      <c r="N341" s="294"/>
      <c r="O341" s="294"/>
      <c r="P341" s="294"/>
      <c r="Q341" s="294"/>
      <c r="R341" s="294"/>
      <c r="S341" s="294"/>
      <c r="T341" s="294"/>
      <c r="U341" s="294"/>
      <c r="V341" s="294"/>
      <c r="W341" s="294"/>
      <c r="X341" s="294"/>
      <c r="Y341" s="294"/>
      <c r="Z341" s="294"/>
      <c r="AA341" s="294"/>
      <c r="AB341" s="294"/>
    </row>
    <row r="342">
      <c r="A342" s="294"/>
      <c r="B342" s="294"/>
      <c r="C342" s="294"/>
      <c r="D342" s="294"/>
      <c r="E342" s="294"/>
      <c r="F342" s="294"/>
      <c r="G342" s="294"/>
      <c r="H342" s="294"/>
      <c r="I342" s="294"/>
      <c r="J342" s="294"/>
      <c r="K342" s="294"/>
      <c r="L342" s="294"/>
      <c r="M342" s="294"/>
      <c r="N342" s="294"/>
      <c r="O342" s="294"/>
      <c r="P342" s="294"/>
      <c r="Q342" s="294"/>
      <c r="R342" s="294"/>
      <c r="S342" s="294"/>
      <c r="T342" s="294"/>
      <c r="U342" s="294"/>
      <c r="V342" s="294"/>
      <c r="W342" s="294"/>
      <c r="X342" s="294"/>
      <c r="Y342" s="294"/>
      <c r="Z342" s="294"/>
      <c r="AA342" s="294"/>
      <c r="AB342" s="294"/>
    </row>
    <row r="343">
      <c r="A343" s="294"/>
      <c r="B343" s="294"/>
      <c r="C343" s="294"/>
      <c r="D343" s="294"/>
      <c r="E343" s="294"/>
      <c r="F343" s="294"/>
      <c r="G343" s="294"/>
      <c r="H343" s="294"/>
      <c r="I343" s="294"/>
      <c r="J343" s="294"/>
      <c r="K343" s="294"/>
      <c r="L343" s="294"/>
      <c r="M343" s="294"/>
      <c r="N343" s="294"/>
      <c r="O343" s="294"/>
      <c r="P343" s="294"/>
      <c r="Q343" s="294"/>
      <c r="R343" s="294"/>
      <c r="S343" s="294"/>
      <c r="T343" s="294"/>
      <c r="U343" s="294"/>
      <c r="V343" s="294"/>
      <c r="W343" s="294"/>
      <c r="X343" s="294"/>
      <c r="Y343" s="294"/>
      <c r="Z343" s="294"/>
      <c r="AA343" s="294"/>
      <c r="AB343" s="294"/>
    </row>
    <row r="344">
      <c r="A344" s="294"/>
      <c r="B344" s="294"/>
      <c r="C344" s="294"/>
      <c r="D344" s="294"/>
      <c r="E344" s="294"/>
      <c r="F344" s="294"/>
      <c r="G344" s="294"/>
      <c r="H344" s="294"/>
      <c r="I344" s="294"/>
      <c r="J344" s="294"/>
      <c r="K344" s="294"/>
      <c r="L344" s="294"/>
      <c r="M344" s="294"/>
      <c r="N344" s="294"/>
      <c r="O344" s="294"/>
      <c r="P344" s="294"/>
      <c r="Q344" s="294"/>
      <c r="R344" s="294"/>
      <c r="S344" s="294"/>
      <c r="T344" s="294"/>
      <c r="U344" s="294"/>
      <c r="V344" s="294"/>
      <c r="W344" s="294"/>
      <c r="X344" s="294"/>
      <c r="Y344" s="294"/>
      <c r="Z344" s="294"/>
      <c r="AA344" s="294"/>
      <c r="AB344" s="294"/>
    </row>
    <row r="345">
      <c r="A345" s="294"/>
      <c r="B345" s="294"/>
      <c r="C345" s="294"/>
      <c r="D345" s="294"/>
      <c r="E345" s="294"/>
      <c r="F345" s="294"/>
      <c r="G345" s="294"/>
      <c r="H345" s="294"/>
      <c r="I345" s="294"/>
      <c r="J345" s="294"/>
      <c r="K345" s="294"/>
      <c r="L345" s="294"/>
      <c r="M345" s="294"/>
      <c r="N345" s="294"/>
      <c r="O345" s="294"/>
      <c r="P345" s="294"/>
      <c r="Q345" s="294"/>
      <c r="R345" s="294"/>
      <c r="S345" s="294"/>
      <c r="T345" s="294"/>
      <c r="U345" s="294"/>
      <c r="V345" s="294"/>
      <c r="W345" s="294"/>
      <c r="X345" s="294"/>
      <c r="Y345" s="294"/>
      <c r="Z345" s="294"/>
      <c r="AA345" s="294"/>
      <c r="AB345" s="294"/>
    </row>
    <row r="346">
      <c r="A346" s="294"/>
      <c r="B346" s="294"/>
      <c r="C346" s="294"/>
      <c r="D346" s="294"/>
      <c r="E346" s="294"/>
      <c r="F346" s="294"/>
      <c r="G346" s="294"/>
      <c r="H346" s="294"/>
      <c r="I346" s="294"/>
      <c r="J346" s="294"/>
      <c r="K346" s="294"/>
      <c r="L346" s="294"/>
      <c r="M346" s="294"/>
      <c r="N346" s="294"/>
      <c r="O346" s="294"/>
      <c r="P346" s="294"/>
      <c r="Q346" s="294"/>
      <c r="R346" s="294"/>
      <c r="S346" s="294"/>
      <c r="T346" s="294"/>
      <c r="U346" s="294"/>
      <c r="V346" s="294"/>
      <c r="W346" s="294"/>
      <c r="X346" s="294"/>
      <c r="Y346" s="294"/>
      <c r="Z346" s="294"/>
      <c r="AA346" s="294"/>
      <c r="AB346" s="294"/>
    </row>
    <row r="347">
      <c r="A347" s="294"/>
      <c r="B347" s="294"/>
      <c r="C347" s="294"/>
      <c r="D347" s="294"/>
      <c r="E347" s="294"/>
      <c r="F347" s="294"/>
      <c r="G347" s="294"/>
      <c r="H347" s="294"/>
      <c r="I347" s="294"/>
      <c r="J347" s="294"/>
      <c r="K347" s="294"/>
      <c r="L347" s="294"/>
      <c r="M347" s="294"/>
      <c r="N347" s="294"/>
      <c r="O347" s="294"/>
      <c r="P347" s="294"/>
      <c r="Q347" s="294"/>
      <c r="R347" s="294"/>
      <c r="S347" s="294"/>
      <c r="T347" s="294"/>
      <c r="U347" s="294"/>
      <c r="V347" s="294"/>
      <c r="W347" s="294"/>
      <c r="X347" s="294"/>
      <c r="Y347" s="294"/>
      <c r="Z347" s="294"/>
      <c r="AA347" s="294"/>
      <c r="AB347" s="294"/>
    </row>
    <row r="348">
      <c r="A348" s="294"/>
      <c r="B348" s="294"/>
      <c r="C348" s="294"/>
      <c r="D348" s="294"/>
      <c r="E348" s="294"/>
      <c r="F348" s="294"/>
      <c r="G348" s="294"/>
      <c r="H348" s="294"/>
      <c r="I348" s="294"/>
      <c r="J348" s="294"/>
      <c r="K348" s="294"/>
      <c r="L348" s="294"/>
      <c r="M348" s="294"/>
      <c r="N348" s="294"/>
      <c r="O348" s="294"/>
      <c r="P348" s="294"/>
      <c r="Q348" s="294"/>
      <c r="R348" s="294"/>
      <c r="S348" s="294"/>
      <c r="T348" s="294"/>
      <c r="U348" s="294"/>
      <c r="V348" s="294"/>
      <c r="W348" s="294"/>
      <c r="X348" s="294"/>
      <c r="Y348" s="294"/>
      <c r="Z348" s="294"/>
      <c r="AA348" s="294"/>
      <c r="AB348" s="294"/>
    </row>
    <row r="349">
      <c r="A349" s="294"/>
      <c r="B349" s="294"/>
      <c r="C349" s="294"/>
      <c r="D349" s="294"/>
      <c r="E349" s="294"/>
      <c r="F349" s="294"/>
      <c r="G349" s="294"/>
      <c r="H349" s="294"/>
      <c r="I349" s="294"/>
      <c r="J349" s="294"/>
      <c r="K349" s="294"/>
      <c r="L349" s="294"/>
      <c r="M349" s="294"/>
      <c r="N349" s="294"/>
      <c r="O349" s="294"/>
      <c r="P349" s="294"/>
      <c r="Q349" s="294"/>
      <c r="R349" s="294"/>
      <c r="S349" s="294"/>
      <c r="T349" s="294"/>
      <c r="U349" s="294"/>
      <c r="V349" s="294"/>
      <c r="W349" s="294"/>
      <c r="X349" s="294"/>
      <c r="Y349" s="294"/>
      <c r="Z349" s="294"/>
      <c r="AA349" s="294"/>
      <c r="AB349" s="294"/>
    </row>
    <row r="350">
      <c r="A350" s="294"/>
      <c r="B350" s="294"/>
      <c r="C350" s="294"/>
      <c r="D350" s="294"/>
      <c r="E350" s="294"/>
      <c r="F350" s="294"/>
      <c r="G350" s="294"/>
      <c r="H350" s="294"/>
      <c r="I350" s="294"/>
      <c r="J350" s="294"/>
      <c r="K350" s="294"/>
      <c r="L350" s="294"/>
      <c r="M350" s="294"/>
      <c r="N350" s="294"/>
      <c r="O350" s="294"/>
      <c r="P350" s="294"/>
      <c r="Q350" s="294"/>
      <c r="R350" s="294"/>
      <c r="S350" s="294"/>
      <c r="T350" s="294"/>
      <c r="U350" s="294"/>
      <c r="V350" s="294"/>
      <c r="W350" s="294"/>
      <c r="X350" s="294"/>
      <c r="Y350" s="294"/>
      <c r="Z350" s="294"/>
      <c r="AA350" s="294"/>
      <c r="AB350" s="294"/>
    </row>
    <row r="351">
      <c r="A351" s="294"/>
      <c r="B351" s="294"/>
      <c r="C351" s="294"/>
      <c r="D351" s="294"/>
      <c r="E351" s="294"/>
      <c r="F351" s="294"/>
      <c r="G351" s="294"/>
      <c r="H351" s="294"/>
      <c r="I351" s="294"/>
      <c r="J351" s="294"/>
      <c r="K351" s="294"/>
      <c r="L351" s="294"/>
      <c r="M351" s="294"/>
      <c r="N351" s="294"/>
      <c r="O351" s="294"/>
      <c r="P351" s="294"/>
      <c r="Q351" s="294"/>
      <c r="R351" s="294"/>
      <c r="S351" s="294"/>
      <c r="T351" s="294"/>
      <c r="U351" s="294"/>
      <c r="V351" s="294"/>
      <c r="W351" s="294"/>
      <c r="X351" s="294"/>
      <c r="Y351" s="294"/>
      <c r="Z351" s="294"/>
      <c r="AA351" s="294"/>
      <c r="AB351" s="294"/>
    </row>
    <row r="352">
      <c r="A352" s="294"/>
      <c r="B352" s="294"/>
      <c r="C352" s="294"/>
      <c r="D352" s="294"/>
      <c r="E352" s="294"/>
      <c r="F352" s="294"/>
      <c r="G352" s="294"/>
      <c r="H352" s="294"/>
      <c r="I352" s="294"/>
      <c r="J352" s="294"/>
      <c r="K352" s="294"/>
      <c r="L352" s="294"/>
      <c r="M352" s="294"/>
      <c r="N352" s="294"/>
      <c r="O352" s="294"/>
      <c r="P352" s="294"/>
      <c r="Q352" s="294"/>
      <c r="R352" s="294"/>
      <c r="S352" s="294"/>
      <c r="T352" s="294"/>
      <c r="U352" s="294"/>
      <c r="V352" s="294"/>
      <c r="W352" s="294"/>
      <c r="X352" s="294"/>
      <c r="Y352" s="294"/>
      <c r="Z352" s="294"/>
      <c r="AA352" s="294"/>
      <c r="AB352" s="294"/>
    </row>
    <row r="353">
      <c r="A353" s="294"/>
      <c r="B353" s="294"/>
      <c r="C353" s="294"/>
      <c r="D353" s="294"/>
      <c r="E353" s="294"/>
      <c r="F353" s="294"/>
      <c r="G353" s="294"/>
      <c r="H353" s="294"/>
      <c r="I353" s="294"/>
      <c r="J353" s="294"/>
      <c r="K353" s="294"/>
      <c r="L353" s="294"/>
      <c r="M353" s="294"/>
      <c r="N353" s="294"/>
      <c r="O353" s="294"/>
      <c r="P353" s="294"/>
      <c r="Q353" s="294"/>
      <c r="R353" s="294"/>
      <c r="S353" s="294"/>
      <c r="T353" s="294"/>
      <c r="U353" s="294"/>
      <c r="V353" s="294"/>
      <c r="W353" s="294"/>
      <c r="X353" s="294"/>
      <c r="Y353" s="294"/>
      <c r="Z353" s="294"/>
      <c r="AA353" s="294"/>
      <c r="AB353" s="294"/>
    </row>
    <row r="354">
      <c r="A354" s="294"/>
      <c r="B354" s="294"/>
      <c r="C354" s="294"/>
      <c r="D354" s="294"/>
      <c r="E354" s="294"/>
      <c r="F354" s="294"/>
      <c r="G354" s="294"/>
      <c r="H354" s="294"/>
      <c r="I354" s="294"/>
      <c r="J354" s="294"/>
      <c r="K354" s="294"/>
      <c r="L354" s="294"/>
      <c r="M354" s="294"/>
      <c r="N354" s="294"/>
      <c r="O354" s="294"/>
      <c r="P354" s="294"/>
      <c r="Q354" s="294"/>
      <c r="R354" s="294"/>
      <c r="S354" s="294"/>
      <c r="T354" s="294"/>
      <c r="U354" s="294"/>
      <c r="V354" s="294"/>
      <c r="W354" s="294"/>
      <c r="X354" s="294"/>
      <c r="Y354" s="294"/>
      <c r="Z354" s="294"/>
      <c r="AA354" s="294"/>
      <c r="AB354" s="294"/>
    </row>
    <row r="355">
      <c r="A355" s="294"/>
      <c r="B355" s="294"/>
      <c r="C355" s="294"/>
      <c r="D355" s="294"/>
      <c r="E355" s="294"/>
      <c r="F355" s="294"/>
      <c r="G355" s="294"/>
      <c r="H355" s="294"/>
      <c r="I355" s="294"/>
      <c r="J355" s="294"/>
      <c r="K355" s="294"/>
      <c r="L355" s="294"/>
      <c r="M355" s="294"/>
      <c r="N355" s="294"/>
      <c r="O355" s="294"/>
      <c r="P355" s="294"/>
      <c r="Q355" s="294"/>
      <c r="R355" s="294"/>
      <c r="S355" s="294"/>
      <c r="T355" s="294"/>
      <c r="U355" s="294"/>
      <c r="V355" s="294"/>
      <c r="W355" s="294"/>
      <c r="X355" s="294"/>
      <c r="Y355" s="294"/>
      <c r="Z355" s="294"/>
      <c r="AA355" s="294"/>
      <c r="AB355" s="294"/>
    </row>
    <row r="356">
      <c r="A356" s="294"/>
      <c r="B356" s="294"/>
      <c r="C356" s="294"/>
      <c r="D356" s="294"/>
      <c r="E356" s="294"/>
      <c r="F356" s="294"/>
      <c r="G356" s="294"/>
      <c r="H356" s="294"/>
      <c r="I356" s="294"/>
      <c r="J356" s="294"/>
      <c r="K356" s="294"/>
      <c r="L356" s="294"/>
      <c r="M356" s="294"/>
      <c r="N356" s="294"/>
      <c r="O356" s="294"/>
      <c r="P356" s="294"/>
      <c r="Q356" s="294"/>
      <c r="R356" s="294"/>
      <c r="S356" s="294"/>
      <c r="T356" s="294"/>
      <c r="U356" s="294"/>
      <c r="V356" s="294"/>
      <c r="W356" s="294"/>
      <c r="X356" s="294"/>
      <c r="Y356" s="294"/>
      <c r="Z356" s="294"/>
      <c r="AA356" s="294"/>
      <c r="AB356" s="294"/>
    </row>
    <row r="357">
      <c r="A357" s="294"/>
      <c r="B357" s="294"/>
      <c r="C357" s="294"/>
      <c r="D357" s="294"/>
      <c r="E357" s="294"/>
      <c r="F357" s="294"/>
      <c r="G357" s="294"/>
      <c r="H357" s="294"/>
      <c r="I357" s="294"/>
      <c r="J357" s="294"/>
      <c r="K357" s="294"/>
      <c r="L357" s="294"/>
      <c r="M357" s="294"/>
      <c r="N357" s="294"/>
      <c r="O357" s="294"/>
      <c r="P357" s="294"/>
      <c r="Q357" s="294"/>
      <c r="R357" s="294"/>
      <c r="S357" s="294"/>
      <c r="T357" s="294"/>
      <c r="U357" s="294"/>
      <c r="V357" s="294"/>
      <c r="W357" s="294"/>
      <c r="X357" s="294"/>
      <c r="Y357" s="294"/>
      <c r="Z357" s="294"/>
      <c r="AA357" s="294"/>
      <c r="AB357" s="294"/>
    </row>
    <row r="358">
      <c r="A358" s="294"/>
      <c r="B358" s="294"/>
      <c r="C358" s="294"/>
      <c r="D358" s="294"/>
      <c r="E358" s="294"/>
      <c r="F358" s="294"/>
      <c r="G358" s="294"/>
      <c r="H358" s="294"/>
      <c r="I358" s="294"/>
      <c r="J358" s="294"/>
      <c r="K358" s="294"/>
      <c r="L358" s="294"/>
      <c r="M358" s="294"/>
      <c r="N358" s="294"/>
      <c r="O358" s="294"/>
      <c r="P358" s="294"/>
      <c r="Q358" s="294"/>
      <c r="R358" s="294"/>
      <c r="S358" s="294"/>
      <c r="T358" s="294"/>
      <c r="U358" s="294"/>
      <c r="V358" s="294"/>
      <c r="W358" s="294"/>
      <c r="X358" s="294"/>
      <c r="Y358" s="294"/>
      <c r="Z358" s="294"/>
      <c r="AA358" s="294"/>
      <c r="AB358" s="294"/>
    </row>
    <row r="359">
      <c r="A359" s="294"/>
      <c r="B359" s="294"/>
      <c r="C359" s="294"/>
      <c r="D359" s="294"/>
      <c r="E359" s="294"/>
      <c r="F359" s="294"/>
      <c r="G359" s="294"/>
      <c r="H359" s="294"/>
      <c r="I359" s="294"/>
      <c r="J359" s="294"/>
      <c r="K359" s="294"/>
      <c r="L359" s="294"/>
      <c r="M359" s="294"/>
      <c r="N359" s="294"/>
      <c r="O359" s="294"/>
      <c r="P359" s="294"/>
      <c r="Q359" s="294"/>
      <c r="R359" s="294"/>
      <c r="S359" s="294"/>
      <c r="T359" s="294"/>
      <c r="U359" s="294"/>
      <c r="V359" s="294"/>
      <c r="W359" s="294"/>
      <c r="X359" s="294"/>
      <c r="Y359" s="294"/>
      <c r="Z359" s="294"/>
      <c r="AA359" s="294"/>
      <c r="AB359" s="294"/>
    </row>
    <row r="360">
      <c r="A360" s="294"/>
      <c r="B360" s="294"/>
      <c r="C360" s="294"/>
      <c r="D360" s="294"/>
      <c r="E360" s="294"/>
      <c r="F360" s="294"/>
      <c r="G360" s="294"/>
      <c r="H360" s="294"/>
      <c r="I360" s="294"/>
      <c r="J360" s="294"/>
      <c r="K360" s="294"/>
      <c r="L360" s="294"/>
      <c r="M360" s="294"/>
      <c r="N360" s="294"/>
      <c r="O360" s="294"/>
      <c r="P360" s="294"/>
      <c r="Q360" s="294"/>
      <c r="R360" s="294"/>
      <c r="S360" s="294"/>
      <c r="T360" s="294"/>
      <c r="U360" s="294"/>
      <c r="V360" s="294"/>
      <c r="W360" s="294"/>
      <c r="X360" s="294"/>
      <c r="Y360" s="294"/>
      <c r="Z360" s="294"/>
      <c r="AA360" s="294"/>
      <c r="AB360" s="294"/>
    </row>
    <row r="361">
      <c r="A361" s="294"/>
      <c r="B361" s="294"/>
      <c r="C361" s="294"/>
      <c r="D361" s="294"/>
      <c r="E361" s="294"/>
      <c r="F361" s="294"/>
      <c r="G361" s="294"/>
      <c r="H361" s="294"/>
      <c r="I361" s="294"/>
      <c r="J361" s="294"/>
      <c r="K361" s="294"/>
      <c r="L361" s="294"/>
      <c r="M361" s="294"/>
      <c r="N361" s="294"/>
      <c r="O361" s="294"/>
      <c r="P361" s="294"/>
      <c r="Q361" s="294"/>
      <c r="R361" s="294"/>
      <c r="S361" s="294"/>
      <c r="T361" s="294"/>
      <c r="U361" s="294"/>
      <c r="V361" s="294"/>
      <c r="W361" s="294"/>
      <c r="X361" s="294"/>
      <c r="Y361" s="294"/>
      <c r="Z361" s="294"/>
      <c r="AA361" s="294"/>
      <c r="AB361" s="294"/>
    </row>
    <row r="362">
      <c r="A362" s="294"/>
      <c r="B362" s="294"/>
      <c r="C362" s="294"/>
      <c r="D362" s="294"/>
      <c r="E362" s="294"/>
      <c r="F362" s="294"/>
      <c r="G362" s="294"/>
      <c r="H362" s="294"/>
      <c r="I362" s="294"/>
      <c r="J362" s="294"/>
      <c r="K362" s="294"/>
      <c r="L362" s="294"/>
      <c r="M362" s="294"/>
      <c r="N362" s="294"/>
      <c r="O362" s="294"/>
      <c r="P362" s="294"/>
      <c r="Q362" s="294"/>
      <c r="R362" s="294"/>
      <c r="S362" s="294"/>
      <c r="T362" s="294"/>
      <c r="U362" s="294"/>
      <c r="V362" s="294"/>
      <c r="W362" s="294"/>
      <c r="X362" s="294"/>
      <c r="Y362" s="294"/>
      <c r="Z362" s="294"/>
      <c r="AA362" s="294"/>
      <c r="AB362" s="294"/>
    </row>
    <row r="363">
      <c r="A363" s="294"/>
      <c r="B363" s="294"/>
      <c r="C363" s="294"/>
      <c r="D363" s="294"/>
      <c r="E363" s="294"/>
      <c r="F363" s="294"/>
      <c r="G363" s="294"/>
      <c r="H363" s="294"/>
      <c r="I363" s="294"/>
      <c r="J363" s="294"/>
      <c r="K363" s="294"/>
      <c r="L363" s="294"/>
      <c r="M363" s="294"/>
      <c r="N363" s="294"/>
      <c r="O363" s="294"/>
      <c r="P363" s="294"/>
      <c r="Q363" s="294"/>
      <c r="R363" s="294"/>
      <c r="S363" s="294"/>
      <c r="T363" s="294"/>
      <c r="U363" s="294"/>
      <c r="V363" s="294"/>
      <c r="W363" s="294"/>
      <c r="X363" s="294"/>
      <c r="Y363" s="294"/>
      <c r="Z363" s="294"/>
      <c r="AA363" s="294"/>
      <c r="AB363" s="294"/>
    </row>
    <row r="364">
      <c r="A364" s="294"/>
      <c r="B364" s="294"/>
      <c r="C364" s="294"/>
      <c r="D364" s="294"/>
      <c r="E364" s="294"/>
      <c r="F364" s="294"/>
      <c r="G364" s="294"/>
      <c r="H364" s="294"/>
      <c r="I364" s="294"/>
      <c r="J364" s="294"/>
      <c r="K364" s="294"/>
      <c r="L364" s="294"/>
      <c r="M364" s="294"/>
      <c r="N364" s="294"/>
      <c r="O364" s="294"/>
      <c r="P364" s="294"/>
      <c r="Q364" s="294"/>
      <c r="R364" s="294"/>
      <c r="S364" s="294"/>
      <c r="T364" s="294"/>
      <c r="U364" s="294"/>
      <c r="V364" s="294"/>
      <c r="W364" s="294"/>
      <c r="X364" s="294"/>
      <c r="Y364" s="294"/>
      <c r="Z364" s="294"/>
      <c r="AA364" s="294"/>
      <c r="AB364" s="294"/>
    </row>
    <row r="365">
      <c r="A365" s="294"/>
      <c r="B365" s="294"/>
      <c r="C365" s="294"/>
      <c r="D365" s="294"/>
      <c r="E365" s="294"/>
      <c r="F365" s="294"/>
      <c r="G365" s="294"/>
      <c r="H365" s="294"/>
      <c r="I365" s="294"/>
      <c r="J365" s="294"/>
      <c r="K365" s="294"/>
      <c r="L365" s="294"/>
      <c r="M365" s="294"/>
      <c r="N365" s="294"/>
      <c r="O365" s="294"/>
      <c r="P365" s="294"/>
      <c r="Q365" s="294"/>
      <c r="R365" s="294"/>
      <c r="S365" s="294"/>
      <c r="T365" s="294"/>
      <c r="U365" s="294"/>
      <c r="V365" s="294"/>
      <c r="W365" s="294"/>
      <c r="X365" s="294"/>
      <c r="Y365" s="294"/>
      <c r="Z365" s="294"/>
      <c r="AA365" s="294"/>
      <c r="AB365" s="294"/>
    </row>
    <row r="366">
      <c r="A366" s="294"/>
      <c r="B366" s="294"/>
      <c r="C366" s="294"/>
      <c r="D366" s="294"/>
      <c r="E366" s="294"/>
      <c r="F366" s="294"/>
      <c r="G366" s="294"/>
      <c r="H366" s="294"/>
      <c r="I366" s="294"/>
      <c r="J366" s="294"/>
      <c r="K366" s="294"/>
      <c r="L366" s="294"/>
      <c r="M366" s="294"/>
      <c r="N366" s="294"/>
      <c r="O366" s="294"/>
      <c r="P366" s="294"/>
      <c r="Q366" s="294"/>
      <c r="R366" s="294"/>
      <c r="S366" s="294"/>
      <c r="T366" s="294"/>
      <c r="U366" s="294"/>
      <c r="V366" s="294"/>
      <c r="W366" s="294"/>
      <c r="X366" s="294"/>
      <c r="Y366" s="294"/>
      <c r="Z366" s="294"/>
      <c r="AA366" s="294"/>
      <c r="AB366" s="294"/>
    </row>
    <row r="367">
      <c r="A367" s="294"/>
      <c r="B367" s="294"/>
      <c r="C367" s="294"/>
      <c r="D367" s="294"/>
      <c r="E367" s="294"/>
      <c r="F367" s="294"/>
      <c r="G367" s="294"/>
      <c r="H367" s="294"/>
      <c r="I367" s="294"/>
      <c r="J367" s="294"/>
      <c r="K367" s="294"/>
      <c r="L367" s="294"/>
      <c r="M367" s="294"/>
      <c r="N367" s="294"/>
      <c r="O367" s="294"/>
      <c r="P367" s="294"/>
      <c r="Q367" s="294"/>
      <c r="R367" s="294"/>
      <c r="S367" s="294"/>
      <c r="T367" s="294"/>
      <c r="U367" s="294"/>
      <c r="V367" s="294"/>
      <c r="W367" s="294"/>
      <c r="X367" s="294"/>
      <c r="Y367" s="294"/>
      <c r="Z367" s="294"/>
      <c r="AA367" s="294"/>
      <c r="AB367" s="294"/>
    </row>
    <row r="368">
      <c r="A368" s="294"/>
      <c r="B368" s="294"/>
      <c r="C368" s="294"/>
      <c r="D368" s="294"/>
      <c r="E368" s="294"/>
      <c r="F368" s="294"/>
      <c r="G368" s="294"/>
      <c r="H368" s="294"/>
      <c r="I368" s="294"/>
      <c r="J368" s="294"/>
      <c r="K368" s="294"/>
      <c r="L368" s="294"/>
      <c r="M368" s="294"/>
      <c r="N368" s="294"/>
      <c r="O368" s="294"/>
      <c r="P368" s="294"/>
      <c r="Q368" s="294"/>
      <c r="R368" s="294"/>
      <c r="S368" s="294"/>
      <c r="T368" s="294"/>
      <c r="U368" s="294"/>
      <c r="V368" s="294"/>
      <c r="W368" s="294"/>
      <c r="X368" s="294"/>
      <c r="Y368" s="294"/>
      <c r="Z368" s="294"/>
      <c r="AA368" s="294"/>
      <c r="AB368" s="294"/>
    </row>
    <row r="369">
      <c r="A369" s="294"/>
      <c r="B369" s="294"/>
      <c r="C369" s="294"/>
      <c r="D369" s="294"/>
      <c r="E369" s="294"/>
      <c r="F369" s="294"/>
      <c r="G369" s="294"/>
      <c r="H369" s="294"/>
      <c r="I369" s="294"/>
      <c r="J369" s="294"/>
      <c r="K369" s="294"/>
      <c r="L369" s="294"/>
      <c r="M369" s="294"/>
      <c r="N369" s="294"/>
      <c r="O369" s="294"/>
      <c r="P369" s="294"/>
      <c r="Q369" s="294"/>
      <c r="R369" s="294"/>
      <c r="S369" s="294"/>
      <c r="T369" s="294"/>
      <c r="U369" s="294"/>
      <c r="V369" s="294"/>
      <c r="W369" s="294"/>
      <c r="X369" s="294"/>
      <c r="Y369" s="294"/>
      <c r="Z369" s="294"/>
      <c r="AA369" s="294"/>
      <c r="AB369" s="294"/>
    </row>
    <row r="370">
      <c r="A370" s="294"/>
      <c r="B370" s="294"/>
      <c r="C370" s="294"/>
      <c r="D370" s="294"/>
      <c r="E370" s="294"/>
      <c r="F370" s="294"/>
      <c r="G370" s="294"/>
      <c r="H370" s="294"/>
      <c r="I370" s="294"/>
      <c r="J370" s="294"/>
      <c r="K370" s="294"/>
      <c r="L370" s="294"/>
      <c r="M370" s="294"/>
      <c r="N370" s="294"/>
      <c r="O370" s="294"/>
      <c r="P370" s="294"/>
      <c r="Q370" s="294"/>
      <c r="R370" s="294"/>
      <c r="S370" s="294"/>
      <c r="T370" s="294"/>
      <c r="U370" s="294"/>
      <c r="V370" s="294"/>
      <c r="W370" s="294"/>
      <c r="X370" s="294"/>
      <c r="Y370" s="294"/>
      <c r="Z370" s="294"/>
      <c r="AA370" s="294"/>
      <c r="AB370" s="294"/>
    </row>
    <row r="371">
      <c r="A371" s="294"/>
      <c r="B371" s="294"/>
      <c r="C371" s="294"/>
      <c r="D371" s="294"/>
      <c r="E371" s="294"/>
      <c r="F371" s="294"/>
      <c r="G371" s="294"/>
      <c r="H371" s="294"/>
      <c r="I371" s="294"/>
      <c r="J371" s="294"/>
      <c r="K371" s="294"/>
      <c r="L371" s="294"/>
      <c r="M371" s="294"/>
      <c r="N371" s="294"/>
      <c r="O371" s="294"/>
      <c r="P371" s="294"/>
      <c r="Q371" s="294"/>
      <c r="R371" s="294"/>
      <c r="S371" s="294"/>
      <c r="T371" s="294"/>
      <c r="U371" s="294"/>
      <c r="V371" s="294"/>
      <c r="W371" s="294"/>
      <c r="X371" s="294"/>
      <c r="Y371" s="294"/>
      <c r="Z371" s="294"/>
      <c r="AA371" s="294"/>
      <c r="AB371" s="294"/>
    </row>
    <row r="372">
      <c r="A372" s="294"/>
      <c r="B372" s="294"/>
      <c r="C372" s="294"/>
      <c r="D372" s="294"/>
      <c r="E372" s="294"/>
      <c r="F372" s="294"/>
      <c r="G372" s="294"/>
      <c r="H372" s="294"/>
      <c r="I372" s="294"/>
      <c r="J372" s="294"/>
      <c r="K372" s="294"/>
      <c r="L372" s="294"/>
      <c r="M372" s="294"/>
      <c r="N372" s="294"/>
      <c r="O372" s="294"/>
      <c r="P372" s="294"/>
      <c r="Q372" s="294"/>
      <c r="R372" s="294"/>
      <c r="S372" s="294"/>
      <c r="T372" s="294"/>
      <c r="U372" s="294"/>
      <c r="V372" s="294"/>
      <c r="W372" s="294"/>
      <c r="X372" s="294"/>
      <c r="Y372" s="294"/>
      <c r="Z372" s="294"/>
      <c r="AA372" s="294"/>
      <c r="AB372" s="294"/>
    </row>
    <row r="373">
      <c r="A373" s="294"/>
      <c r="B373" s="294"/>
      <c r="C373" s="294"/>
      <c r="D373" s="294"/>
      <c r="E373" s="294"/>
      <c r="F373" s="294"/>
      <c r="G373" s="294"/>
      <c r="H373" s="294"/>
      <c r="I373" s="294"/>
      <c r="J373" s="294"/>
      <c r="K373" s="294"/>
      <c r="L373" s="294"/>
      <c r="M373" s="294"/>
      <c r="N373" s="294"/>
      <c r="O373" s="294"/>
      <c r="P373" s="294"/>
      <c r="Q373" s="294"/>
      <c r="R373" s="294"/>
      <c r="S373" s="294"/>
      <c r="T373" s="294"/>
      <c r="U373" s="294"/>
      <c r="V373" s="294"/>
      <c r="W373" s="294"/>
      <c r="X373" s="294"/>
      <c r="Y373" s="294"/>
      <c r="Z373" s="294"/>
      <c r="AA373" s="294"/>
      <c r="AB373" s="294"/>
    </row>
    <row r="374">
      <c r="A374" s="294"/>
      <c r="B374" s="294"/>
      <c r="C374" s="294"/>
      <c r="D374" s="294"/>
      <c r="E374" s="294"/>
      <c r="F374" s="294"/>
      <c r="G374" s="294"/>
      <c r="H374" s="294"/>
      <c r="I374" s="294"/>
      <c r="J374" s="294"/>
      <c r="K374" s="294"/>
      <c r="L374" s="294"/>
      <c r="M374" s="294"/>
      <c r="N374" s="294"/>
      <c r="O374" s="294"/>
      <c r="P374" s="294"/>
      <c r="Q374" s="294"/>
      <c r="R374" s="294"/>
      <c r="S374" s="294"/>
      <c r="T374" s="294"/>
      <c r="U374" s="294"/>
      <c r="V374" s="294"/>
      <c r="W374" s="294"/>
      <c r="X374" s="294"/>
      <c r="Y374" s="294"/>
      <c r="Z374" s="294"/>
      <c r="AA374" s="294"/>
      <c r="AB374" s="294"/>
    </row>
    <row r="375">
      <c r="A375" s="294"/>
      <c r="B375" s="294"/>
      <c r="C375" s="294"/>
      <c r="D375" s="294"/>
      <c r="E375" s="294"/>
      <c r="F375" s="294"/>
      <c r="G375" s="294"/>
      <c r="H375" s="294"/>
      <c r="I375" s="294"/>
      <c r="J375" s="294"/>
      <c r="K375" s="294"/>
      <c r="L375" s="294"/>
      <c r="M375" s="294"/>
      <c r="N375" s="294"/>
      <c r="O375" s="294"/>
      <c r="P375" s="294"/>
      <c r="Q375" s="294"/>
      <c r="R375" s="294"/>
      <c r="S375" s="294"/>
      <c r="T375" s="294"/>
      <c r="U375" s="294"/>
      <c r="V375" s="294"/>
      <c r="W375" s="294"/>
      <c r="X375" s="294"/>
      <c r="Y375" s="294"/>
      <c r="Z375" s="294"/>
      <c r="AA375" s="294"/>
      <c r="AB375" s="294"/>
    </row>
    <row r="376">
      <c r="A376" s="294"/>
      <c r="B376" s="294"/>
      <c r="C376" s="294"/>
      <c r="D376" s="294"/>
      <c r="E376" s="294"/>
      <c r="F376" s="294"/>
      <c r="G376" s="294"/>
      <c r="H376" s="294"/>
      <c r="I376" s="294"/>
      <c r="J376" s="294"/>
      <c r="K376" s="294"/>
      <c r="L376" s="294"/>
      <c r="M376" s="294"/>
      <c r="N376" s="294"/>
      <c r="O376" s="294"/>
      <c r="P376" s="294"/>
      <c r="Q376" s="294"/>
      <c r="R376" s="294"/>
      <c r="S376" s="294"/>
      <c r="T376" s="294"/>
      <c r="U376" s="294"/>
      <c r="V376" s="294"/>
      <c r="W376" s="294"/>
      <c r="X376" s="294"/>
      <c r="Y376" s="294"/>
      <c r="Z376" s="294"/>
      <c r="AA376" s="294"/>
      <c r="AB376" s="294"/>
    </row>
    <row r="377">
      <c r="A377" s="294"/>
      <c r="B377" s="294"/>
      <c r="C377" s="294"/>
      <c r="D377" s="294"/>
      <c r="E377" s="294"/>
      <c r="F377" s="294"/>
      <c r="G377" s="294"/>
      <c r="H377" s="294"/>
      <c r="I377" s="294"/>
      <c r="J377" s="294"/>
      <c r="K377" s="294"/>
      <c r="L377" s="294"/>
      <c r="M377" s="294"/>
      <c r="N377" s="294"/>
      <c r="O377" s="294"/>
      <c r="P377" s="294"/>
      <c r="Q377" s="294"/>
      <c r="R377" s="294"/>
      <c r="S377" s="294"/>
      <c r="T377" s="294"/>
      <c r="U377" s="294"/>
      <c r="V377" s="294"/>
      <c r="W377" s="294"/>
      <c r="X377" s="294"/>
      <c r="Y377" s="294"/>
      <c r="Z377" s="294"/>
      <c r="AA377" s="294"/>
      <c r="AB377" s="294"/>
    </row>
    <row r="378">
      <c r="A378" s="294"/>
      <c r="B378" s="294"/>
      <c r="C378" s="294"/>
      <c r="D378" s="294"/>
      <c r="E378" s="294"/>
      <c r="F378" s="294"/>
      <c r="G378" s="294"/>
      <c r="H378" s="294"/>
      <c r="I378" s="294"/>
      <c r="J378" s="294"/>
      <c r="K378" s="294"/>
      <c r="L378" s="294"/>
      <c r="M378" s="294"/>
      <c r="N378" s="294"/>
      <c r="O378" s="294"/>
      <c r="P378" s="294"/>
      <c r="Q378" s="294"/>
      <c r="R378" s="294"/>
      <c r="S378" s="294"/>
      <c r="T378" s="294"/>
      <c r="U378" s="294"/>
      <c r="V378" s="294"/>
      <c r="W378" s="294"/>
      <c r="X378" s="294"/>
      <c r="Y378" s="294"/>
      <c r="Z378" s="294"/>
      <c r="AA378" s="294"/>
      <c r="AB378" s="294"/>
    </row>
    <row r="379">
      <c r="A379" s="294"/>
      <c r="B379" s="294"/>
      <c r="C379" s="294"/>
      <c r="D379" s="294"/>
      <c r="E379" s="294"/>
      <c r="F379" s="294"/>
      <c r="G379" s="294"/>
      <c r="H379" s="294"/>
      <c r="I379" s="294"/>
      <c r="J379" s="294"/>
      <c r="K379" s="294"/>
      <c r="L379" s="294"/>
      <c r="M379" s="294"/>
      <c r="N379" s="294"/>
      <c r="O379" s="294"/>
      <c r="P379" s="294"/>
      <c r="Q379" s="294"/>
      <c r="R379" s="294"/>
      <c r="S379" s="294"/>
      <c r="T379" s="294"/>
      <c r="U379" s="294"/>
      <c r="V379" s="294"/>
      <c r="W379" s="294"/>
      <c r="X379" s="294"/>
      <c r="Y379" s="294"/>
      <c r="Z379" s="294"/>
      <c r="AA379" s="294"/>
      <c r="AB379" s="294"/>
    </row>
    <row r="380">
      <c r="A380" s="294"/>
      <c r="B380" s="294"/>
      <c r="C380" s="294"/>
      <c r="D380" s="294"/>
      <c r="E380" s="294"/>
      <c r="F380" s="294"/>
      <c r="G380" s="294"/>
      <c r="H380" s="294"/>
      <c r="I380" s="294"/>
      <c r="J380" s="294"/>
      <c r="K380" s="294"/>
      <c r="L380" s="294"/>
      <c r="M380" s="294"/>
      <c r="N380" s="294"/>
      <c r="O380" s="294"/>
      <c r="P380" s="294"/>
      <c r="Q380" s="294"/>
      <c r="R380" s="294"/>
      <c r="S380" s="294"/>
      <c r="T380" s="294"/>
      <c r="U380" s="294"/>
      <c r="V380" s="294"/>
      <c r="W380" s="294"/>
      <c r="X380" s="294"/>
      <c r="Y380" s="294"/>
      <c r="Z380" s="294"/>
      <c r="AA380" s="294"/>
      <c r="AB380" s="294"/>
    </row>
    <row r="381">
      <c r="A381" s="294"/>
      <c r="B381" s="294"/>
      <c r="C381" s="294"/>
      <c r="D381" s="294"/>
      <c r="E381" s="294"/>
      <c r="F381" s="294"/>
      <c r="G381" s="294"/>
      <c r="H381" s="294"/>
      <c r="I381" s="294"/>
      <c r="J381" s="294"/>
      <c r="K381" s="294"/>
      <c r="L381" s="294"/>
      <c r="M381" s="294"/>
      <c r="N381" s="294"/>
      <c r="O381" s="294"/>
      <c r="P381" s="294"/>
      <c r="Q381" s="294"/>
      <c r="R381" s="294"/>
      <c r="S381" s="294"/>
      <c r="T381" s="294"/>
      <c r="U381" s="294"/>
      <c r="V381" s="294"/>
      <c r="W381" s="294"/>
      <c r="X381" s="294"/>
      <c r="Y381" s="294"/>
      <c r="Z381" s="294"/>
      <c r="AA381" s="294"/>
      <c r="AB381" s="294"/>
    </row>
    <row r="382">
      <c r="A382" s="294"/>
      <c r="B382" s="294"/>
      <c r="C382" s="294"/>
      <c r="D382" s="294"/>
      <c r="E382" s="294"/>
      <c r="F382" s="294"/>
      <c r="G382" s="294"/>
      <c r="H382" s="294"/>
      <c r="I382" s="294"/>
      <c r="J382" s="294"/>
      <c r="K382" s="294"/>
      <c r="L382" s="294"/>
      <c r="M382" s="294"/>
      <c r="N382" s="294"/>
      <c r="O382" s="294"/>
      <c r="P382" s="294"/>
      <c r="Q382" s="294"/>
      <c r="R382" s="294"/>
      <c r="S382" s="294"/>
      <c r="T382" s="294"/>
      <c r="U382" s="294"/>
      <c r="V382" s="294"/>
      <c r="W382" s="294"/>
      <c r="X382" s="294"/>
      <c r="Y382" s="294"/>
      <c r="Z382" s="294"/>
      <c r="AA382" s="294"/>
      <c r="AB382" s="294"/>
    </row>
    <row r="383">
      <c r="A383" s="294"/>
      <c r="B383" s="294"/>
      <c r="C383" s="294"/>
      <c r="D383" s="294"/>
      <c r="E383" s="294"/>
      <c r="F383" s="294"/>
      <c r="G383" s="294"/>
      <c r="H383" s="294"/>
      <c r="I383" s="294"/>
      <c r="J383" s="294"/>
      <c r="K383" s="294"/>
      <c r="L383" s="294"/>
      <c r="M383" s="294"/>
      <c r="N383" s="294"/>
      <c r="O383" s="294"/>
      <c r="P383" s="294"/>
      <c r="Q383" s="294"/>
      <c r="R383" s="294"/>
      <c r="S383" s="294"/>
      <c r="T383" s="294"/>
      <c r="U383" s="294"/>
      <c r="V383" s="294"/>
      <c r="W383" s="294"/>
      <c r="X383" s="294"/>
      <c r="Y383" s="294"/>
      <c r="Z383" s="294"/>
      <c r="AA383" s="294"/>
      <c r="AB383" s="294"/>
    </row>
    <row r="384">
      <c r="A384" s="294"/>
      <c r="B384" s="294"/>
      <c r="C384" s="294"/>
      <c r="D384" s="294"/>
      <c r="E384" s="294"/>
      <c r="F384" s="294"/>
      <c r="G384" s="294"/>
      <c r="H384" s="294"/>
      <c r="I384" s="294"/>
      <c r="J384" s="294"/>
      <c r="K384" s="294"/>
      <c r="L384" s="294"/>
      <c r="M384" s="294"/>
      <c r="N384" s="294"/>
      <c r="O384" s="294"/>
      <c r="P384" s="294"/>
      <c r="Q384" s="294"/>
      <c r="R384" s="294"/>
      <c r="S384" s="294"/>
      <c r="T384" s="294"/>
      <c r="U384" s="294"/>
      <c r="V384" s="294"/>
      <c r="W384" s="294"/>
      <c r="X384" s="294"/>
      <c r="Y384" s="294"/>
      <c r="Z384" s="294"/>
      <c r="AA384" s="294"/>
      <c r="AB384" s="294"/>
    </row>
    <row r="385">
      <c r="A385" s="294"/>
      <c r="B385" s="294"/>
      <c r="C385" s="294"/>
      <c r="D385" s="294"/>
      <c r="E385" s="294"/>
      <c r="F385" s="294"/>
      <c r="G385" s="294"/>
      <c r="H385" s="294"/>
      <c r="I385" s="294"/>
      <c r="J385" s="294"/>
      <c r="K385" s="294"/>
      <c r="L385" s="294"/>
      <c r="M385" s="294"/>
      <c r="N385" s="294"/>
      <c r="O385" s="294"/>
      <c r="P385" s="294"/>
      <c r="Q385" s="294"/>
      <c r="R385" s="294"/>
      <c r="S385" s="294"/>
      <c r="T385" s="294"/>
      <c r="U385" s="294"/>
      <c r="V385" s="294"/>
      <c r="W385" s="294"/>
      <c r="X385" s="294"/>
      <c r="Y385" s="294"/>
      <c r="Z385" s="294"/>
      <c r="AA385" s="294"/>
      <c r="AB385" s="294"/>
    </row>
    <row r="386">
      <c r="A386" s="294"/>
      <c r="B386" s="294"/>
      <c r="C386" s="294"/>
      <c r="D386" s="294"/>
      <c r="E386" s="294"/>
      <c r="F386" s="294"/>
      <c r="G386" s="294"/>
      <c r="H386" s="294"/>
      <c r="I386" s="294"/>
      <c r="J386" s="294"/>
      <c r="K386" s="294"/>
      <c r="L386" s="294"/>
      <c r="M386" s="294"/>
      <c r="N386" s="294"/>
      <c r="O386" s="294"/>
      <c r="P386" s="294"/>
      <c r="Q386" s="294"/>
      <c r="R386" s="294"/>
      <c r="S386" s="294"/>
      <c r="T386" s="294"/>
      <c r="U386" s="294"/>
      <c r="V386" s="294"/>
      <c r="W386" s="294"/>
      <c r="X386" s="294"/>
      <c r="Y386" s="294"/>
      <c r="Z386" s="294"/>
      <c r="AA386" s="294"/>
      <c r="AB386" s="294"/>
    </row>
    <row r="387">
      <c r="A387" s="294"/>
      <c r="B387" s="294"/>
      <c r="C387" s="294"/>
      <c r="D387" s="294"/>
      <c r="E387" s="294"/>
      <c r="F387" s="294"/>
      <c r="G387" s="294"/>
      <c r="H387" s="294"/>
      <c r="I387" s="294"/>
      <c r="J387" s="294"/>
      <c r="K387" s="294"/>
      <c r="L387" s="294"/>
      <c r="M387" s="294"/>
      <c r="N387" s="294"/>
      <c r="O387" s="294"/>
      <c r="P387" s="294"/>
      <c r="Q387" s="294"/>
      <c r="R387" s="294"/>
      <c r="S387" s="294"/>
      <c r="T387" s="294"/>
      <c r="U387" s="294"/>
      <c r="V387" s="294"/>
      <c r="W387" s="294"/>
      <c r="X387" s="294"/>
      <c r="Y387" s="294"/>
      <c r="Z387" s="294"/>
      <c r="AA387" s="294"/>
      <c r="AB387" s="294"/>
    </row>
    <row r="388">
      <c r="A388" s="294"/>
      <c r="B388" s="294"/>
      <c r="C388" s="294"/>
      <c r="D388" s="294"/>
      <c r="E388" s="294"/>
      <c r="F388" s="294"/>
      <c r="G388" s="294"/>
      <c r="H388" s="294"/>
      <c r="I388" s="294"/>
      <c r="J388" s="294"/>
      <c r="K388" s="294"/>
      <c r="L388" s="294"/>
      <c r="M388" s="294"/>
      <c r="N388" s="294"/>
      <c r="O388" s="294"/>
      <c r="P388" s="294"/>
      <c r="Q388" s="294"/>
      <c r="R388" s="294"/>
      <c r="S388" s="294"/>
      <c r="T388" s="294"/>
      <c r="U388" s="294"/>
      <c r="V388" s="294"/>
      <c r="W388" s="294"/>
      <c r="X388" s="294"/>
      <c r="Y388" s="294"/>
      <c r="Z388" s="294"/>
      <c r="AA388" s="294"/>
      <c r="AB388" s="294"/>
    </row>
    <row r="389">
      <c r="A389" s="294"/>
      <c r="B389" s="294"/>
      <c r="C389" s="294"/>
      <c r="D389" s="294"/>
      <c r="E389" s="294"/>
      <c r="F389" s="294"/>
      <c r="G389" s="294"/>
      <c r="H389" s="294"/>
      <c r="I389" s="294"/>
      <c r="J389" s="294"/>
      <c r="K389" s="294"/>
      <c r="L389" s="294"/>
      <c r="M389" s="294"/>
      <c r="N389" s="294"/>
      <c r="O389" s="294"/>
      <c r="P389" s="294"/>
      <c r="Q389" s="294"/>
      <c r="R389" s="294"/>
      <c r="S389" s="294"/>
      <c r="T389" s="294"/>
      <c r="U389" s="294"/>
      <c r="V389" s="294"/>
      <c r="W389" s="294"/>
      <c r="X389" s="294"/>
      <c r="Y389" s="294"/>
      <c r="Z389" s="294"/>
      <c r="AA389" s="294"/>
      <c r="AB389" s="294"/>
    </row>
    <row r="390">
      <c r="A390" s="294"/>
      <c r="B390" s="294"/>
      <c r="C390" s="294"/>
      <c r="D390" s="294"/>
      <c r="E390" s="294"/>
      <c r="F390" s="294"/>
      <c r="G390" s="294"/>
      <c r="H390" s="294"/>
      <c r="I390" s="294"/>
      <c r="J390" s="294"/>
      <c r="K390" s="294"/>
      <c r="L390" s="294"/>
      <c r="M390" s="294"/>
      <c r="N390" s="294"/>
      <c r="O390" s="294"/>
      <c r="P390" s="294"/>
      <c r="Q390" s="294"/>
      <c r="R390" s="294"/>
      <c r="S390" s="294"/>
      <c r="T390" s="294"/>
      <c r="U390" s="294"/>
      <c r="V390" s="294"/>
      <c r="W390" s="294"/>
      <c r="X390" s="294"/>
      <c r="Y390" s="294"/>
      <c r="Z390" s="294"/>
      <c r="AA390" s="294"/>
      <c r="AB390" s="294"/>
    </row>
    <row r="391">
      <c r="A391" s="294"/>
      <c r="B391" s="294"/>
      <c r="C391" s="294"/>
      <c r="D391" s="294"/>
      <c r="E391" s="294"/>
      <c r="F391" s="294"/>
      <c r="G391" s="294"/>
      <c r="H391" s="294"/>
      <c r="I391" s="294"/>
      <c r="J391" s="294"/>
      <c r="K391" s="294"/>
      <c r="L391" s="294"/>
      <c r="M391" s="294"/>
      <c r="N391" s="294"/>
      <c r="O391" s="294"/>
      <c r="P391" s="294"/>
      <c r="Q391" s="294"/>
      <c r="R391" s="294"/>
      <c r="S391" s="294"/>
      <c r="T391" s="294"/>
      <c r="U391" s="294"/>
      <c r="V391" s="294"/>
      <c r="W391" s="294"/>
      <c r="X391" s="294"/>
      <c r="Y391" s="294"/>
      <c r="Z391" s="294"/>
      <c r="AA391" s="294"/>
      <c r="AB391" s="294"/>
    </row>
    <row r="392">
      <c r="A392" s="294"/>
      <c r="B392" s="294"/>
      <c r="C392" s="294"/>
      <c r="D392" s="294"/>
      <c r="E392" s="294"/>
      <c r="F392" s="294"/>
      <c r="G392" s="294"/>
      <c r="H392" s="294"/>
      <c r="I392" s="294"/>
      <c r="J392" s="294"/>
      <c r="K392" s="294"/>
      <c r="L392" s="294"/>
      <c r="M392" s="294"/>
      <c r="N392" s="294"/>
      <c r="O392" s="294"/>
      <c r="P392" s="294"/>
      <c r="Q392" s="294"/>
      <c r="R392" s="294"/>
      <c r="S392" s="294"/>
      <c r="T392" s="294"/>
      <c r="U392" s="294"/>
      <c r="V392" s="294"/>
      <c r="W392" s="294"/>
      <c r="X392" s="294"/>
      <c r="Y392" s="294"/>
      <c r="Z392" s="294"/>
      <c r="AA392" s="294"/>
      <c r="AB392" s="294"/>
    </row>
    <row r="393">
      <c r="A393" s="294"/>
      <c r="B393" s="294"/>
      <c r="C393" s="294"/>
      <c r="D393" s="294"/>
      <c r="E393" s="294"/>
      <c r="F393" s="294"/>
      <c r="G393" s="294"/>
      <c r="H393" s="294"/>
      <c r="I393" s="294"/>
      <c r="J393" s="294"/>
      <c r="K393" s="294"/>
      <c r="L393" s="294"/>
      <c r="M393" s="294"/>
      <c r="N393" s="294"/>
      <c r="O393" s="294"/>
      <c r="P393" s="294"/>
      <c r="Q393" s="294"/>
      <c r="R393" s="294"/>
      <c r="S393" s="294"/>
      <c r="T393" s="294"/>
      <c r="U393" s="294"/>
      <c r="V393" s="294"/>
      <c r="W393" s="294"/>
      <c r="X393" s="294"/>
      <c r="Y393" s="294"/>
      <c r="Z393" s="294"/>
      <c r="AA393" s="294"/>
      <c r="AB393" s="294"/>
    </row>
    <row r="394">
      <c r="A394" s="294"/>
      <c r="B394" s="294"/>
      <c r="C394" s="294"/>
      <c r="D394" s="294"/>
      <c r="E394" s="294"/>
      <c r="F394" s="294"/>
      <c r="G394" s="294"/>
      <c r="H394" s="294"/>
      <c r="I394" s="294"/>
      <c r="J394" s="294"/>
      <c r="K394" s="294"/>
      <c r="L394" s="294"/>
      <c r="M394" s="294"/>
      <c r="N394" s="294"/>
      <c r="O394" s="294"/>
      <c r="P394" s="294"/>
      <c r="Q394" s="294"/>
      <c r="R394" s="294"/>
      <c r="S394" s="294"/>
      <c r="T394" s="294"/>
      <c r="U394" s="294"/>
      <c r="V394" s="294"/>
      <c r="W394" s="294"/>
      <c r="X394" s="294"/>
      <c r="Y394" s="294"/>
      <c r="Z394" s="294"/>
      <c r="AA394" s="294"/>
      <c r="AB394" s="294"/>
    </row>
    <row r="395">
      <c r="A395" s="294"/>
      <c r="B395" s="294"/>
      <c r="C395" s="294"/>
      <c r="D395" s="294"/>
      <c r="E395" s="294"/>
      <c r="F395" s="294"/>
      <c r="G395" s="294"/>
      <c r="H395" s="294"/>
      <c r="I395" s="294"/>
      <c r="J395" s="294"/>
      <c r="K395" s="294"/>
      <c r="L395" s="294"/>
      <c r="M395" s="294"/>
      <c r="N395" s="294"/>
      <c r="O395" s="294"/>
      <c r="P395" s="294"/>
      <c r="Q395" s="294"/>
      <c r="R395" s="294"/>
      <c r="S395" s="294"/>
      <c r="T395" s="294"/>
      <c r="U395" s="294"/>
      <c r="V395" s="294"/>
      <c r="W395" s="294"/>
      <c r="X395" s="294"/>
      <c r="Y395" s="294"/>
      <c r="Z395" s="294"/>
      <c r="AA395" s="294"/>
      <c r="AB395" s="294"/>
    </row>
    <row r="396">
      <c r="A396" s="294"/>
      <c r="B396" s="294"/>
      <c r="C396" s="294"/>
      <c r="D396" s="294"/>
      <c r="E396" s="294"/>
      <c r="F396" s="294"/>
      <c r="G396" s="294"/>
      <c r="H396" s="294"/>
      <c r="I396" s="294"/>
      <c r="J396" s="294"/>
      <c r="K396" s="294"/>
      <c r="L396" s="294"/>
      <c r="M396" s="294"/>
      <c r="N396" s="294"/>
      <c r="O396" s="294"/>
      <c r="P396" s="294"/>
      <c r="Q396" s="294"/>
      <c r="R396" s="294"/>
      <c r="S396" s="294"/>
      <c r="T396" s="294"/>
      <c r="U396" s="294"/>
      <c r="V396" s="294"/>
      <c r="W396" s="294"/>
      <c r="X396" s="294"/>
      <c r="Y396" s="294"/>
      <c r="Z396" s="294"/>
      <c r="AA396" s="294"/>
      <c r="AB396" s="294"/>
    </row>
    <row r="397">
      <c r="A397" s="294"/>
      <c r="B397" s="294"/>
      <c r="C397" s="294"/>
      <c r="D397" s="294"/>
      <c r="E397" s="294"/>
      <c r="F397" s="294"/>
      <c r="G397" s="294"/>
      <c r="H397" s="294"/>
      <c r="I397" s="294"/>
      <c r="J397" s="294"/>
      <c r="K397" s="294"/>
      <c r="L397" s="294"/>
      <c r="M397" s="294"/>
      <c r="N397" s="294"/>
      <c r="O397" s="294"/>
      <c r="P397" s="294"/>
      <c r="Q397" s="294"/>
      <c r="R397" s="294"/>
      <c r="S397" s="294"/>
      <c r="T397" s="294"/>
      <c r="U397" s="294"/>
      <c r="V397" s="294"/>
      <c r="W397" s="294"/>
      <c r="X397" s="294"/>
      <c r="Y397" s="294"/>
      <c r="Z397" s="294"/>
      <c r="AA397" s="294"/>
      <c r="AB397" s="294"/>
    </row>
    <row r="398">
      <c r="A398" s="294"/>
      <c r="B398" s="294"/>
      <c r="C398" s="294"/>
      <c r="D398" s="294"/>
      <c r="E398" s="294"/>
      <c r="F398" s="294"/>
      <c r="G398" s="294"/>
      <c r="H398" s="294"/>
      <c r="I398" s="294"/>
      <c r="J398" s="294"/>
      <c r="K398" s="294"/>
      <c r="L398" s="294"/>
      <c r="M398" s="294"/>
      <c r="N398" s="294"/>
      <c r="O398" s="294"/>
      <c r="P398" s="294"/>
      <c r="Q398" s="294"/>
      <c r="R398" s="294"/>
      <c r="S398" s="294"/>
      <c r="T398" s="294"/>
      <c r="U398" s="294"/>
      <c r="V398" s="294"/>
      <c r="W398" s="294"/>
      <c r="X398" s="294"/>
      <c r="Y398" s="294"/>
      <c r="Z398" s="294"/>
      <c r="AA398" s="294"/>
      <c r="AB398" s="294"/>
    </row>
    <row r="399">
      <c r="A399" s="294"/>
      <c r="B399" s="294"/>
      <c r="C399" s="294"/>
      <c r="D399" s="294"/>
      <c r="E399" s="294"/>
      <c r="F399" s="294"/>
      <c r="G399" s="294"/>
      <c r="H399" s="294"/>
      <c r="I399" s="294"/>
      <c r="J399" s="294"/>
      <c r="K399" s="294"/>
      <c r="L399" s="294"/>
      <c r="M399" s="294"/>
      <c r="N399" s="294"/>
      <c r="O399" s="294"/>
      <c r="P399" s="294"/>
      <c r="Q399" s="294"/>
      <c r="R399" s="294"/>
      <c r="S399" s="294"/>
      <c r="T399" s="294"/>
      <c r="U399" s="294"/>
      <c r="V399" s="294"/>
      <c r="W399" s="294"/>
      <c r="X399" s="294"/>
      <c r="Y399" s="294"/>
      <c r="Z399" s="294"/>
      <c r="AA399" s="294"/>
      <c r="AB399" s="294"/>
    </row>
    <row r="400">
      <c r="A400" s="294"/>
      <c r="B400" s="294"/>
      <c r="C400" s="294"/>
      <c r="D400" s="294"/>
      <c r="E400" s="294"/>
      <c r="F400" s="294"/>
      <c r="G400" s="294"/>
      <c r="H400" s="294"/>
      <c r="I400" s="294"/>
      <c r="J400" s="294"/>
      <c r="K400" s="294"/>
      <c r="L400" s="294"/>
      <c r="M400" s="294"/>
      <c r="N400" s="294"/>
      <c r="O400" s="294"/>
      <c r="P400" s="294"/>
      <c r="Q400" s="294"/>
      <c r="R400" s="294"/>
      <c r="S400" s="294"/>
      <c r="T400" s="294"/>
      <c r="U400" s="294"/>
      <c r="V400" s="294"/>
      <c r="W400" s="294"/>
      <c r="X400" s="294"/>
      <c r="Y400" s="294"/>
      <c r="Z400" s="294"/>
      <c r="AA400" s="294"/>
      <c r="AB400" s="294"/>
    </row>
    <row r="401">
      <c r="A401" s="294"/>
      <c r="B401" s="294"/>
      <c r="C401" s="294"/>
      <c r="D401" s="294"/>
      <c r="E401" s="294"/>
      <c r="F401" s="294"/>
      <c r="G401" s="294"/>
      <c r="H401" s="294"/>
      <c r="I401" s="294"/>
      <c r="J401" s="294"/>
      <c r="K401" s="294"/>
      <c r="L401" s="294"/>
      <c r="M401" s="294"/>
      <c r="N401" s="294"/>
      <c r="O401" s="294"/>
      <c r="P401" s="294"/>
      <c r="Q401" s="294"/>
      <c r="R401" s="294"/>
      <c r="S401" s="294"/>
      <c r="T401" s="294"/>
      <c r="U401" s="294"/>
      <c r="V401" s="294"/>
      <c r="W401" s="294"/>
      <c r="X401" s="294"/>
      <c r="Y401" s="294"/>
      <c r="Z401" s="294"/>
      <c r="AA401" s="294"/>
      <c r="AB401" s="294"/>
    </row>
    <row r="402">
      <c r="A402" s="294"/>
      <c r="B402" s="294"/>
      <c r="C402" s="294"/>
      <c r="D402" s="294"/>
      <c r="E402" s="294"/>
      <c r="F402" s="294"/>
      <c r="G402" s="294"/>
      <c r="H402" s="294"/>
      <c r="I402" s="294"/>
      <c r="J402" s="294"/>
      <c r="K402" s="294"/>
      <c r="L402" s="294"/>
      <c r="M402" s="294"/>
      <c r="N402" s="294"/>
      <c r="O402" s="294"/>
      <c r="P402" s="294"/>
      <c r="Q402" s="294"/>
      <c r="R402" s="294"/>
      <c r="S402" s="294"/>
      <c r="T402" s="294"/>
      <c r="U402" s="294"/>
      <c r="V402" s="294"/>
      <c r="W402" s="294"/>
      <c r="X402" s="294"/>
      <c r="Y402" s="294"/>
      <c r="Z402" s="294"/>
      <c r="AA402" s="294"/>
      <c r="AB402" s="294"/>
    </row>
    <row r="403">
      <c r="A403" s="294"/>
      <c r="B403" s="294"/>
      <c r="C403" s="294"/>
      <c r="D403" s="294"/>
      <c r="E403" s="294"/>
      <c r="F403" s="294"/>
      <c r="G403" s="294"/>
      <c r="H403" s="294"/>
      <c r="I403" s="294"/>
      <c r="J403" s="294"/>
      <c r="K403" s="294"/>
      <c r="L403" s="294"/>
      <c r="M403" s="294"/>
      <c r="N403" s="294"/>
      <c r="O403" s="294"/>
      <c r="P403" s="294"/>
      <c r="Q403" s="294"/>
      <c r="R403" s="294"/>
      <c r="S403" s="294"/>
      <c r="T403" s="294"/>
      <c r="U403" s="294"/>
      <c r="V403" s="294"/>
      <c r="W403" s="294"/>
      <c r="X403" s="294"/>
      <c r="Y403" s="294"/>
      <c r="Z403" s="294"/>
      <c r="AA403" s="294"/>
      <c r="AB403" s="294"/>
    </row>
    <row r="404">
      <c r="A404" s="294"/>
      <c r="B404" s="294"/>
      <c r="C404" s="294"/>
      <c r="D404" s="294"/>
      <c r="E404" s="294"/>
      <c r="F404" s="294"/>
      <c r="G404" s="294"/>
      <c r="H404" s="294"/>
      <c r="I404" s="294"/>
      <c r="J404" s="294"/>
      <c r="K404" s="294"/>
      <c r="L404" s="294"/>
      <c r="M404" s="294"/>
      <c r="N404" s="294"/>
      <c r="O404" s="294"/>
      <c r="P404" s="294"/>
      <c r="Q404" s="294"/>
      <c r="R404" s="294"/>
      <c r="S404" s="294"/>
      <c r="T404" s="294"/>
      <c r="U404" s="294"/>
      <c r="V404" s="294"/>
      <c r="W404" s="294"/>
      <c r="X404" s="294"/>
      <c r="Y404" s="294"/>
      <c r="Z404" s="294"/>
      <c r="AA404" s="294"/>
      <c r="AB404" s="294"/>
    </row>
    <row r="405">
      <c r="A405" s="294"/>
      <c r="B405" s="294"/>
      <c r="C405" s="294"/>
      <c r="D405" s="294"/>
      <c r="E405" s="294"/>
      <c r="F405" s="294"/>
      <c r="G405" s="294"/>
      <c r="H405" s="294"/>
      <c r="I405" s="294"/>
      <c r="J405" s="294"/>
      <c r="K405" s="294"/>
      <c r="L405" s="294"/>
      <c r="M405" s="294"/>
      <c r="N405" s="294"/>
      <c r="O405" s="294"/>
      <c r="P405" s="294"/>
      <c r="Q405" s="294"/>
      <c r="R405" s="294"/>
      <c r="S405" s="294"/>
      <c r="T405" s="294"/>
      <c r="U405" s="294"/>
      <c r="V405" s="294"/>
      <c r="W405" s="294"/>
      <c r="X405" s="294"/>
      <c r="Y405" s="294"/>
      <c r="Z405" s="294"/>
      <c r="AA405" s="294"/>
      <c r="AB405" s="294"/>
    </row>
    <row r="406">
      <c r="A406" s="294"/>
      <c r="B406" s="294"/>
      <c r="C406" s="294"/>
      <c r="D406" s="294"/>
      <c r="E406" s="294"/>
      <c r="F406" s="294"/>
      <c r="G406" s="294"/>
      <c r="H406" s="294"/>
      <c r="I406" s="294"/>
      <c r="J406" s="294"/>
      <c r="K406" s="294"/>
      <c r="L406" s="294"/>
      <c r="M406" s="294"/>
      <c r="N406" s="294"/>
      <c r="O406" s="294"/>
      <c r="P406" s="294"/>
      <c r="Q406" s="294"/>
      <c r="R406" s="294"/>
      <c r="S406" s="294"/>
      <c r="T406" s="294"/>
      <c r="U406" s="294"/>
      <c r="V406" s="294"/>
      <c r="W406" s="294"/>
      <c r="X406" s="294"/>
      <c r="Y406" s="294"/>
      <c r="Z406" s="294"/>
      <c r="AA406" s="294"/>
      <c r="AB406" s="294"/>
    </row>
    <row r="407">
      <c r="A407" s="294"/>
      <c r="B407" s="294"/>
      <c r="C407" s="294"/>
      <c r="D407" s="294"/>
      <c r="E407" s="294"/>
      <c r="F407" s="294"/>
      <c r="G407" s="294"/>
      <c r="H407" s="294"/>
      <c r="I407" s="294"/>
      <c r="J407" s="294"/>
      <c r="K407" s="294"/>
      <c r="L407" s="294"/>
      <c r="M407" s="294"/>
      <c r="N407" s="294"/>
      <c r="O407" s="294"/>
      <c r="P407" s="294"/>
      <c r="Q407" s="294"/>
      <c r="R407" s="294"/>
      <c r="S407" s="294"/>
      <c r="T407" s="294"/>
      <c r="U407" s="294"/>
      <c r="V407" s="294"/>
      <c r="W407" s="294"/>
      <c r="X407" s="294"/>
      <c r="Y407" s="294"/>
      <c r="Z407" s="294"/>
      <c r="AA407" s="294"/>
      <c r="AB407" s="294"/>
    </row>
    <row r="408">
      <c r="A408" s="294"/>
      <c r="B408" s="294"/>
      <c r="C408" s="294"/>
      <c r="D408" s="294"/>
      <c r="E408" s="294"/>
      <c r="F408" s="294"/>
      <c r="G408" s="294"/>
      <c r="H408" s="294"/>
      <c r="I408" s="294"/>
      <c r="J408" s="294"/>
      <c r="K408" s="294"/>
      <c r="L408" s="294"/>
      <c r="M408" s="294"/>
      <c r="N408" s="294"/>
      <c r="O408" s="294"/>
      <c r="P408" s="294"/>
      <c r="Q408" s="294"/>
      <c r="R408" s="294"/>
      <c r="S408" s="294"/>
      <c r="T408" s="294"/>
      <c r="U408" s="294"/>
      <c r="V408" s="294"/>
      <c r="W408" s="294"/>
      <c r="X408" s="294"/>
      <c r="Y408" s="294"/>
      <c r="Z408" s="294"/>
      <c r="AA408" s="294"/>
      <c r="AB408" s="294"/>
    </row>
    <row r="409">
      <c r="A409" s="294"/>
      <c r="B409" s="294"/>
      <c r="C409" s="294"/>
      <c r="D409" s="294"/>
      <c r="E409" s="294"/>
      <c r="F409" s="294"/>
      <c r="G409" s="294"/>
      <c r="H409" s="294"/>
      <c r="I409" s="294"/>
      <c r="J409" s="294"/>
      <c r="K409" s="294"/>
      <c r="L409" s="294"/>
      <c r="M409" s="294"/>
      <c r="N409" s="294"/>
      <c r="O409" s="294"/>
      <c r="P409" s="294"/>
      <c r="Q409" s="294"/>
      <c r="R409" s="294"/>
      <c r="S409" s="294"/>
      <c r="T409" s="294"/>
      <c r="U409" s="294"/>
      <c r="V409" s="294"/>
      <c r="W409" s="294"/>
      <c r="X409" s="294"/>
      <c r="Y409" s="294"/>
      <c r="Z409" s="294"/>
      <c r="AA409" s="294"/>
      <c r="AB409" s="294"/>
    </row>
    <row r="410">
      <c r="A410" s="294"/>
      <c r="B410" s="294"/>
      <c r="C410" s="294"/>
      <c r="D410" s="294"/>
      <c r="E410" s="294"/>
      <c r="F410" s="294"/>
      <c r="G410" s="294"/>
      <c r="H410" s="294"/>
      <c r="I410" s="294"/>
      <c r="J410" s="294"/>
      <c r="K410" s="294"/>
      <c r="L410" s="294"/>
      <c r="M410" s="294"/>
      <c r="N410" s="294"/>
      <c r="O410" s="294"/>
      <c r="P410" s="294"/>
      <c r="Q410" s="294"/>
      <c r="R410" s="294"/>
      <c r="S410" s="294"/>
      <c r="T410" s="294"/>
      <c r="U410" s="294"/>
      <c r="V410" s="294"/>
      <c r="W410" s="294"/>
      <c r="X410" s="294"/>
      <c r="Y410" s="294"/>
      <c r="Z410" s="294"/>
      <c r="AA410" s="294"/>
      <c r="AB410" s="294"/>
    </row>
    <row r="411">
      <c r="A411" s="294"/>
      <c r="B411" s="294"/>
      <c r="C411" s="294"/>
      <c r="D411" s="294"/>
      <c r="E411" s="294"/>
      <c r="F411" s="294"/>
      <c r="G411" s="294"/>
      <c r="H411" s="294"/>
      <c r="I411" s="294"/>
      <c r="J411" s="294"/>
      <c r="K411" s="294"/>
      <c r="L411" s="294"/>
      <c r="M411" s="294"/>
      <c r="N411" s="294"/>
      <c r="O411" s="294"/>
      <c r="P411" s="294"/>
      <c r="Q411" s="294"/>
      <c r="R411" s="294"/>
      <c r="S411" s="294"/>
      <c r="T411" s="294"/>
      <c r="U411" s="294"/>
      <c r="V411" s="294"/>
      <c r="W411" s="294"/>
      <c r="X411" s="294"/>
      <c r="Y411" s="294"/>
      <c r="Z411" s="294"/>
      <c r="AA411" s="294"/>
      <c r="AB411" s="294"/>
    </row>
    <row r="412">
      <c r="A412" s="294"/>
      <c r="B412" s="294"/>
      <c r="C412" s="294"/>
      <c r="D412" s="294"/>
      <c r="E412" s="294"/>
      <c r="F412" s="294"/>
      <c r="G412" s="294"/>
      <c r="H412" s="294"/>
      <c r="I412" s="294"/>
      <c r="J412" s="294"/>
      <c r="K412" s="294"/>
      <c r="L412" s="294"/>
      <c r="M412" s="294"/>
      <c r="N412" s="294"/>
      <c r="O412" s="294"/>
      <c r="P412" s="294"/>
      <c r="Q412" s="294"/>
      <c r="R412" s="294"/>
      <c r="S412" s="294"/>
      <c r="T412" s="294"/>
      <c r="U412" s="294"/>
      <c r="V412" s="294"/>
      <c r="W412" s="294"/>
      <c r="X412" s="294"/>
      <c r="Y412" s="294"/>
      <c r="Z412" s="294"/>
      <c r="AA412" s="294"/>
      <c r="AB412" s="294"/>
    </row>
    <row r="413">
      <c r="A413" s="294"/>
      <c r="B413" s="294"/>
      <c r="C413" s="294"/>
      <c r="D413" s="294"/>
      <c r="E413" s="294"/>
      <c r="F413" s="294"/>
      <c r="G413" s="294"/>
      <c r="H413" s="294"/>
      <c r="I413" s="294"/>
      <c r="J413" s="294"/>
      <c r="K413" s="294"/>
      <c r="L413" s="294"/>
      <c r="M413" s="294"/>
      <c r="N413" s="294"/>
      <c r="O413" s="294"/>
      <c r="P413" s="294"/>
      <c r="Q413" s="294"/>
      <c r="R413" s="294"/>
      <c r="S413" s="294"/>
      <c r="T413" s="294"/>
      <c r="U413" s="294"/>
      <c r="V413" s="294"/>
      <c r="W413" s="294"/>
      <c r="X413" s="294"/>
      <c r="Y413" s="294"/>
      <c r="Z413" s="294"/>
      <c r="AA413" s="294"/>
      <c r="AB413" s="294"/>
    </row>
    <row r="414">
      <c r="A414" s="294"/>
      <c r="B414" s="294"/>
      <c r="C414" s="294"/>
      <c r="D414" s="294"/>
      <c r="E414" s="294"/>
      <c r="F414" s="294"/>
      <c r="G414" s="294"/>
      <c r="H414" s="294"/>
      <c r="I414" s="294"/>
      <c r="J414" s="294"/>
      <c r="K414" s="294"/>
      <c r="L414" s="294"/>
      <c r="M414" s="294"/>
      <c r="N414" s="294"/>
      <c r="O414" s="294"/>
      <c r="P414" s="294"/>
      <c r="Q414" s="294"/>
      <c r="R414" s="294"/>
      <c r="S414" s="294"/>
      <c r="T414" s="294"/>
      <c r="U414" s="294"/>
      <c r="V414" s="294"/>
      <c r="W414" s="294"/>
      <c r="X414" s="294"/>
      <c r="Y414" s="294"/>
      <c r="Z414" s="294"/>
      <c r="AA414" s="294"/>
      <c r="AB414" s="294"/>
    </row>
    <row r="415">
      <c r="A415" s="294"/>
      <c r="B415" s="294"/>
      <c r="C415" s="294"/>
      <c r="D415" s="294"/>
      <c r="E415" s="294"/>
      <c r="F415" s="294"/>
      <c r="G415" s="294"/>
      <c r="H415" s="294"/>
      <c r="I415" s="294"/>
      <c r="J415" s="294"/>
      <c r="K415" s="294"/>
      <c r="L415" s="294"/>
      <c r="M415" s="294"/>
      <c r="N415" s="294"/>
      <c r="O415" s="294"/>
      <c r="P415" s="294"/>
      <c r="Q415" s="294"/>
      <c r="R415" s="294"/>
      <c r="S415" s="294"/>
      <c r="T415" s="294"/>
      <c r="U415" s="294"/>
      <c r="V415" s="294"/>
      <c r="W415" s="294"/>
      <c r="X415" s="294"/>
      <c r="Y415" s="294"/>
      <c r="Z415" s="294"/>
      <c r="AA415" s="294"/>
      <c r="AB415" s="294"/>
    </row>
    <row r="416">
      <c r="A416" s="294"/>
      <c r="B416" s="294"/>
      <c r="C416" s="294"/>
      <c r="D416" s="294"/>
      <c r="E416" s="294"/>
      <c r="F416" s="294"/>
      <c r="G416" s="294"/>
      <c r="H416" s="294"/>
      <c r="I416" s="294"/>
      <c r="J416" s="294"/>
      <c r="K416" s="294"/>
      <c r="L416" s="294"/>
      <c r="M416" s="294"/>
      <c r="N416" s="294"/>
      <c r="O416" s="294"/>
      <c r="P416" s="294"/>
      <c r="Q416" s="294"/>
      <c r="R416" s="294"/>
      <c r="S416" s="294"/>
      <c r="T416" s="294"/>
      <c r="U416" s="294"/>
      <c r="V416" s="294"/>
      <c r="W416" s="294"/>
      <c r="X416" s="294"/>
      <c r="Y416" s="294"/>
      <c r="Z416" s="294"/>
      <c r="AA416" s="294"/>
      <c r="AB416" s="294"/>
    </row>
    <row r="417">
      <c r="A417" s="294"/>
      <c r="B417" s="294"/>
      <c r="C417" s="294"/>
      <c r="D417" s="294"/>
      <c r="E417" s="294"/>
      <c r="F417" s="294"/>
      <c r="G417" s="294"/>
      <c r="H417" s="294"/>
      <c r="I417" s="294"/>
      <c r="J417" s="294"/>
      <c r="K417" s="294"/>
      <c r="L417" s="294"/>
      <c r="M417" s="294"/>
      <c r="N417" s="294"/>
      <c r="O417" s="294"/>
      <c r="P417" s="294"/>
      <c r="Q417" s="294"/>
      <c r="R417" s="294"/>
      <c r="S417" s="294"/>
      <c r="T417" s="294"/>
      <c r="U417" s="294"/>
      <c r="V417" s="294"/>
      <c r="W417" s="294"/>
      <c r="X417" s="294"/>
      <c r="Y417" s="294"/>
      <c r="Z417" s="294"/>
      <c r="AA417" s="294"/>
      <c r="AB417" s="294"/>
    </row>
    <row r="418">
      <c r="A418" s="294"/>
      <c r="B418" s="294"/>
      <c r="C418" s="294"/>
      <c r="D418" s="294"/>
      <c r="E418" s="294"/>
      <c r="F418" s="294"/>
      <c r="G418" s="294"/>
      <c r="H418" s="294"/>
      <c r="I418" s="294"/>
      <c r="J418" s="294"/>
      <c r="K418" s="294"/>
      <c r="L418" s="294"/>
      <c r="M418" s="294"/>
      <c r="N418" s="294"/>
      <c r="O418" s="294"/>
      <c r="P418" s="294"/>
      <c r="Q418" s="294"/>
      <c r="R418" s="294"/>
      <c r="S418" s="294"/>
      <c r="T418" s="294"/>
      <c r="U418" s="294"/>
      <c r="V418" s="294"/>
      <c r="W418" s="294"/>
      <c r="X418" s="294"/>
      <c r="Y418" s="294"/>
      <c r="Z418" s="294"/>
      <c r="AA418" s="294"/>
      <c r="AB418" s="294"/>
    </row>
    <row r="419">
      <c r="A419" s="294"/>
      <c r="B419" s="294"/>
      <c r="C419" s="294"/>
      <c r="D419" s="294"/>
      <c r="E419" s="294"/>
      <c r="F419" s="294"/>
      <c r="G419" s="294"/>
      <c r="H419" s="294"/>
      <c r="I419" s="294"/>
      <c r="J419" s="294"/>
      <c r="K419" s="294"/>
      <c r="L419" s="294"/>
      <c r="M419" s="294"/>
      <c r="N419" s="294"/>
      <c r="O419" s="294"/>
      <c r="P419" s="294"/>
      <c r="Q419" s="294"/>
      <c r="R419" s="294"/>
      <c r="S419" s="294"/>
      <c r="T419" s="294"/>
      <c r="U419" s="294"/>
      <c r="V419" s="294"/>
      <c r="W419" s="294"/>
      <c r="X419" s="294"/>
      <c r="Y419" s="294"/>
      <c r="Z419" s="294"/>
      <c r="AA419" s="294"/>
      <c r="AB419" s="294"/>
    </row>
    <row r="420">
      <c r="A420" s="294"/>
      <c r="B420" s="294"/>
      <c r="C420" s="294"/>
      <c r="D420" s="294"/>
      <c r="E420" s="294"/>
      <c r="F420" s="294"/>
      <c r="G420" s="294"/>
      <c r="H420" s="294"/>
      <c r="I420" s="294"/>
      <c r="J420" s="294"/>
      <c r="K420" s="294"/>
      <c r="L420" s="294"/>
      <c r="M420" s="294"/>
      <c r="N420" s="294"/>
      <c r="O420" s="294"/>
      <c r="P420" s="294"/>
      <c r="Q420" s="294"/>
      <c r="R420" s="294"/>
      <c r="S420" s="294"/>
      <c r="T420" s="294"/>
      <c r="U420" s="294"/>
      <c r="V420" s="294"/>
      <c r="W420" s="294"/>
      <c r="X420" s="294"/>
      <c r="Y420" s="294"/>
      <c r="Z420" s="294"/>
      <c r="AA420" s="294"/>
      <c r="AB420" s="294"/>
    </row>
    <row r="421">
      <c r="A421" s="294"/>
      <c r="B421" s="294"/>
      <c r="C421" s="294"/>
      <c r="D421" s="294"/>
      <c r="E421" s="294"/>
      <c r="F421" s="294"/>
      <c r="G421" s="294"/>
      <c r="H421" s="294"/>
      <c r="I421" s="294"/>
      <c r="J421" s="294"/>
      <c r="K421" s="294"/>
      <c r="L421" s="294"/>
      <c r="M421" s="294"/>
      <c r="N421" s="294"/>
      <c r="O421" s="294"/>
      <c r="P421" s="294"/>
      <c r="Q421" s="294"/>
      <c r="R421" s="294"/>
      <c r="S421" s="294"/>
      <c r="T421" s="294"/>
      <c r="U421" s="294"/>
      <c r="V421" s="294"/>
      <c r="W421" s="294"/>
      <c r="X421" s="294"/>
      <c r="Y421" s="294"/>
      <c r="Z421" s="294"/>
      <c r="AA421" s="294"/>
      <c r="AB421" s="294"/>
    </row>
    <row r="422">
      <c r="A422" s="294"/>
      <c r="B422" s="294"/>
      <c r="C422" s="294"/>
      <c r="D422" s="294"/>
      <c r="E422" s="294"/>
      <c r="F422" s="294"/>
      <c r="G422" s="294"/>
      <c r="H422" s="294"/>
      <c r="I422" s="294"/>
      <c r="J422" s="294"/>
      <c r="K422" s="294"/>
      <c r="L422" s="294"/>
      <c r="M422" s="294"/>
      <c r="N422" s="294"/>
      <c r="O422" s="294"/>
      <c r="P422" s="294"/>
      <c r="Q422" s="294"/>
      <c r="R422" s="294"/>
      <c r="S422" s="294"/>
      <c r="T422" s="294"/>
      <c r="U422" s="294"/>
      <c r="V422" s="294"/>
      <c r="W422" s="294"/>
      <c r="X422" s="294"/>
      <c r="Y422" s="294"/>
      <c r="Z422" s="294"/>
      <c r="AA422" s="294"/>
      <c r="AB422" s="294"/>
    </row>
    <row r="423">
      <c r="A423" s="294"/>
      <c r="B423" s="294"/>
      <c r="C423" s="294"/>
      <c r="D423" s="294"/>
      <c r="E423" s="294"/>
      <c r="F423" s="294"/>
      <c r="G423" s="294"/>
      <c r="H423" s="294"/>
      <c r="I423" s="294"/>
      <c r="J423" s="294"/>
      <c r="K423" s="294"/>
      <c r="L423" s="294"/>
      <c r="M423" s="294"/>
      <c r="N423" s="294"/>
      <c r="O423" s="294"/>
      <c r="P423" s="294"/>
      <c r="Q423" s="294"/>
      <c r="R423" s="294"/>
      <c r="S423" s="294"/>
      <c r="T423" s="294"/>
      <c r="U423" s="294"/>
      <c r="V423" s="294"/>
      <c r="W423" s="294"/>
      <c r="X423" s="294"/>
      <c r="Y423" s="294"/>
      <c r="Z423" s="294"/>
      <c r="AA423" s="294"/>
      <c r="AB423" s="294"/>
    </row>
    <row r="424">
      <c r="A424" s="294"/>
      <c r="B424" s="294"/>
      <c r="C424" s="294"/>
      <c r="D424" s="294"/>
      <c r="E424" s="294"/>
      <c r="F424" s="294"/>
      <c r="G424" s="294"/>
      <c r="H424" s="294"/>
      <c r="I424" s="294"/>
      <c r="J424" s="294"/>
      <c r="K424" s="294"/>
      <c r="L424" s="294"/>
      <c r="M424" s="294"/>
      <c r="N424" s="294"/>
      <c r="O424" s="294"/>
      <c r="P424" s="294"/>
      <c r="Q424" s="294"/>
      <c r="R424" s="294"/>
      <c r="S424" s="294"/>
      <c r="T424" s="294"/>
      <c r="U424" s="294"/>
      <c r="V424" s="294"/>
      <c r="W424" s="294"/>
      <c r="X424" s="294"/>
      <c r="Y424" s="294"/>
      <c r="Z424" s="294"/>
      <c r="AA424" s="294"/>
      <c r="AB424" s="294"/>
    </row>
    <row r="425">
      <c r="A425" s="294"/>
      <c r="B425" s="294"/>
      <c r="C425" s="294"/>
      <c r="D425" s="294"/>
      <c r="E425" s="294"/>
      <c r="F425" s="294"/>
      <c r="G425" s="294"/>
      <c r="H425" s="294"/>
      <c r="I425" s="294"/>
      <c r="J425" s="294"/>
      <c r="K425" s="294"/>
      <c r="L425" s="294"/>
      <c r="M425" s="294"/>
      <c r="N425" s="294"/>
      <c r="O425" s="294"/>
      <c r="P425" s="294"/>
      <c r="Q425" s="294"/>
      <c r="R425" s="294"/>
      <c r="S425" s="294"/>
      <c r="T425" s="294"/>
      <c r="U425" s="294"/>
      <c r="V425" s="294"/>
      <c r="W425" s="294"/>
      <c r="X425" s="294"/>
      <c r="Y425" s="294"/>
      <c r="Z425" s="294"/>
      <c r="AA425" s="294"/>
      <c r="AB425" s="294"/>
    </row>
    <row r="426">
      <c r="A426" s="294"/>
      <c r="B426" s="294"/>
      <c r="C426" s="294"/>
      <c r="D426" s="294"/>
      <c r="E426" s="294"/>
      <c r="F426" s="294"/>
      <c r="G426" s="294"/>
      <c r="H426" s="294"/>
      <c r="I426" s="294"/>
      <c r="J426" s="294"/>
      <c r="K426" s="294"/>
      <c r="L426" s="294"/>
      <c r="M426" s="294"/>
      <c r="N426" s="294"/>
      <c r="O426" s="294"/>
      <c r="P426" s="294"/>
      <c r="Q426" s="294"/>
      <c r="R426" s="294"/>
      <c r="S426" s="294"/>
      <c r="T426" s="294"/>
      <c r="U426" s="294"/>
      <c r="V426" s="294"/>
      <c r="W426" s="294"/>
      <c r="X426" s="294"/>
      <c r="Y426" s="294"/>
      <c r="Z426" s="294"/>
      <c r="AA426" s="294"/>
      <c r="AB426" s="294"/>
    </row>
    <row r="427">
      <c r="A427" s="294"/>
      <c r="B427" s="294"/>
      <c r="C427" s="294"/>
      <c r="D427" s="294"/>
      <c r="E427" s="294"/>
      <c r="F427" s="294"/>
      <c r="G427" s="294"/>
      <c r="H427" s="294"/>
      <c r="I427" s="294"/>
      <c r="J427" s="294"/>
      <c r="K427" s="294"/>
      <c r="L427" s="294"/>
      <c r="M427" s="294"/>
      <c r="N427" s="294"/>
      <c r="O427" s="294"/>
      <c r="P427" s="294"/>
      <c r="Q427" s="294"/>
      <c r="R427" s="294"/>
      <c r="S427" s="294"/>
      <c r="T427" s="294"/>
      <c r="U427" s="294"/>
      <c r="V427" s="294"/>
      <c r="W427" s="294"/>
      <c r="X427" s="294"/>
      <c r="Y427" s="294"/>
      <c r="Z427" s="294"/>
      <c r="AA427" s="294"/>
      <c r="AB427" s="294"/>
    </row>
    <row r="428">
      <c r="A428" s="294"/>
      <c r="B428" s="294"/>
      <c r="C428" s="294"/>
      <c r="D428" s="294"/>
      <c r="E428" s="294"/>
      <c r="F428" s="294"/>
      <c r="G428" s="294"/>
      <c r="H428" s="294"/>
      <c r="I428" s="294"/>
      <c r="J428" s="294"/>
      <c r="K428" s="294"/>
      <c r="L428" s="294"/>
      <c r="M428" s="294"/>
      <c r="N428" s="294"/>
      <c r="O428" s="294"/>
      <c r="P428" s="294"/>
      <c r="Q428" s="294"/>
      <c r="R428" s="294"/>
      <c r="S428" s="294"/>
      <c r="T428" s="294"/>
      <c r="U428" s="294"/>
      <c r="V428" s="294"/>
      <c r="W428" s="294"/>
      <c r="X428" s="294"/>
      <c r="Y428" s="294"/>
      <c r="Z428" s="294"/>
      <c r="AA428" s="294"/>
      <c r="AB428" s="294"/>
    </row>
    <row r="429">
      <c r="A429" s="294"/>
      <c r="B429" s="294"/>
      <c r="C429" s="294"/>
      <c r="D429" s="294"/>
      <c r="E429" s="294"/>
      <c r="F429" s="294"/>
      <c r="G429" s="294"/>
      <c r="H429" s="294"/>
      <c r="I429" s="294"/>
      <c r="J429" s="294"/>
      <c r="K429" s="294"/>
      <c r="L429" s="294"/>
      <c r="M429" s="294"/>
      <c r="N429" s="294"/>
      <c r="O429" s="294"/>
      <c r="P429" s="294"/>
      <c r="Q429" s="294"/>
      <c r="R429" s="294"/>
      <c r="S429" s="294"/>
      <c r="T429" s="294"/>
      <c r="U429" s="294"/>
      <c r="V429" s="294"/>
      <c r="W429" s="294"/>
      <c r="X429" s="294"/>
      <c r="Y429" s="294"/>
      <c r="Z429" s="294"/>
      <c r="AA429" s="294"/>
      <c r="AB429" s="294"/>
    </row>
    <row r="430">
      <c r="A430" s="294"/>
      <c r="B430" s="294"/>
      <c r="C430" s="294"/>
      <c r="D430" s="294"/>
      <c r="E430" s="294"/>
      <c r="F430" s="294"/>
      <c r="G430" s="294"/>
      <c r="H430" s="294"/>
      <c r="I430" s="294"/>
      <c r="J430" s="294"/>
      <c r="K430" s="294"/>
      <c r="L430" s="294"/>
      <c r="M430" s="294"/>
      <c r="N430" s="294"/>
      <c r="O430" s="294"/>
      <c r="P430" s="294"/>
      <c r="Q430" s="294"/>
      <c r="R430" s="294"/>
      <c r="S430" s="294"/>
      <c r="T430" s="294"/>
      <c r="U430" s="294"/>
      <c r="V430" s="294"/>
      <c r="W430" s="294"/>
      <c r="X430" s="294"/>
      <c r="Y430" s="294"/>
      <c r="Z430" s="294"/>
      <c r="AA430" s="294"/>
      <c r="AB430" s="294"/>
    </row>
    <row r="431">
      <c r="A431" s="294"/>
      <c r="B431" s="294"/>
      <c r="C431" s="294"/>
      <c r="D431" s="294"/>
      <c r="E431" s="294"/>
      <c r="F431" s="294"/>
      <c r="G431" s="294"/>
      <c r="H431" s="294"/>
      <c r="I431" s="294"/>
      <c r="J431" s="294"/>
      <c r="K431" s="294"/>
      <c r="L431" s="294"/>
      <c r="M431" s="294"/>
      <c r="N431" s="294"/>
      <c r="O431" s="294"/>
      <c r="P431" s="294"/>
      <c r="Q431" s="294"/>
      <c r="R431" s="294"/>
      <c r="S431" s="294"/>
      <c r="T431" s="294"/>
      <c r="U431" s="294"/>
      <c r="V431" s="294"/>
      <c r="W431" s="294"/>
      <c r="X431" s="294"/>
      <c r="Y431" s="294"/>
      <c r="Z431" s="294"/>
      <c r="AA431" s="294"/>
      <c r="AB431" s="294"/>
    </row>
    <row r="432">
      <c r="A432" s="294"/>
      <c r="B432" s="294"/>
      <c r="C432" s="294"/>
      <c r="D432" s="294"/>
      <c r="E432" s="294"/>
      <c r="F432" s="294"/>
      <c r="G432" s="294"/>
      <c r="H432" s="294"/>
      <c r="I432" s="294"/>
      <c r="J432" s="294"/>
      <c r="K432" s="294"/>
      <c r="L432" s="294"/>
      <c r="M432" s="294"/>
      <c r="N432" s="294"/>
      <c r="O432" s="294"/>
      <c r="P432" s="294"/>
      <c r="Q432" s="294"/>
      <c r="R432" s="294"/>
      <c r="S432" s="294"/>
      <c r="T432" s="294"/>
      <c r="U432" s="294"/>
      <c r="V432" s="294"/>
      <c r="W432" s="294"/>
      <c r="X432" s="294"/>
      <c r="Y432" s="294"/>
      <c r="Z432" s="294"/>
      <c r="AA432" s="294"/>
      <c r="AB432" s="294"/>
    </row>
    <row r="433">
      <c r="A433" s="294"/>
      <c r="B433" s="294"/>
      <c r="C433" s="294"/>
      <c r="D433" s="294"/>
      <c r="E433" s="294"/>
      <c r="F433" s="294"/>
      <c r="G433" s="294"/>
      <c r="H433" s="294"/>
      <c r="I433" s="294"/>
      <c r="J433" s="294"/>
      <c r="K433" s="294"/>
      <c r="L433" s="294"/>
      <c r="M433" s="294"/>
      <c r="N433" s="294"/>
      <c r="O433" s="294"/>
      <c r="P433" s="294"/>
      <c r="Q433" s="294"/>
      <c r="R433" s="294"/>
      <c r="S433" s="294"/>
      <c r="T433" s="294"/>
      <c r="U433" s="294"/>
      <c r="V433" s="294"/>
      <c r="W433" s="294"/>
      <c r="X433" s="294"/>
      <c r="Y433" s="294"/>
      <c r="Z433" s="294"/>
      <c r="AA433" s="294"/>
      <c r="AB433" s="294"/>
    </row>
    <row r="434">
      <c r="A434" s="294"/>
      <c r="B434" s="294"/>
      <c r="C434" s="294"/>
      <c r="D434" s="294"/>
      <c r="E434" s="294"/>
      <c r="F434" s="294"/>
      <c r="G434" s="294"/>
      <c r="H434" s="294"/>
      <c r="I434" s="294"/>
      <c r="J434" s="294"/>
      <c r="K434" s="294"/>
      <c r="L434" s="294"/>
      <c r="M434" s="294"/>
      <c r="N434" s="294"/>
      <c r="O434" s="294"/>
      <c r="P434" s="294"/>
      <c r="Q434" s="294"/>
      <c r="R434" s="294"/>
      <c r="S434" s="294"/>
      <c r="T434" s="294"/>
      <c r="U434" s="294"/>
      <c r="V434" s="294"/>
      <c r="W434" s="294"/>
      <c r="X434" s="294"/>
      <c r="Y434" s="294"/>
      <c r="Z434" s="294"/>
      <c r="AA434" s="294"/>
      <c r="AB434" s="294"/>
    </row>
    <row r="435">
      <c r="A435" s="294"/>
      <c r="B435" s="294"/>
      <c r="C435" s="294"/>
      <c r="D435" s="294"/>
      <c r="E435" s="294"/>
      <c r="F435" s="294"/>
      <c r="G435" s="294"/>
      <c r="H435" s="294"/>
      <c r="I435" s="294"/>
      <c r="J435" s="294"/>
      <c r="K435" s="294"/>
      <c r="L435" s="294"/>
      <c r="M435" s="294"/>
      <c r="N435" s="294"/>
      <c r="O435" s="294"/>
      <c r="P435" s="294"/>
      <c r="Q435" s="294"/>
      <c r="R435" s="294"/>
      <c r="S435" s="294"/>
      <c r="T435" s="294"/>
      <c r="U435" s="294"/>
      <c r="V435" s="294"/>
      <c r="W435" s="294"/>
      <c r="X435" s="294"/>
      <c r="Y435" s="294"/>
      <c r="Z435" s="294"/>
      <c r="AA435" s="294"/>
      <c r="AB435" s="294"/>
    </row>
    <row r="436">
      <c r="A436" s="294"/>
      <c r="B436" s="294"/>
      <c r="C436" s="294"/>
      <c r="D436" s="294"/>
      <c r="E436" s="294"/>
      <c r="F436" s="294"/>
      <c r="G436" s="294"/>
      <c r="H436" s="294"/>
      <c r="I436" s="294"/>
      <c r="J436" s="294"/>
      <c r="K436" s="294"/>
      <c r="L436" s="294"/>
      <c r="M436" s="294"/>
      <c r="N436" s="294"/>
      <c r="O436" s="294"/>
      <c r="P436" s="294"/>
      <c r="Q436" s="294"/>
      <c r="R436" s="294"/>
      <c r="S436" s="294"/>
      <c r="T436" s="294"/>
      <c r="U436" s="294"/>
      <c r="V436" s="294"/>
      <c r="W436" s="294"/>
      <c r="X436" s="294"/>
      <c r="Y436" s="294"/>
      <c r="Z436" s="294"/>
      <c r="AA436" s="294"/>
      <c r="AB436" s="294"/>
    </row>
    <row r="437">
      <c r="A437" s="294"/>
      <c r="B437" s="294"/>
      <c r="C437" s="294"/>
      <c r="D437" s="294"/>
      <c r="E437" s="294"/>
      <c r="F437" s="294"/>
      <c r="G437" s="294"/>
      <c r="H437" s="294"/>
      <c r="I437" s="294"/>
      <c r="J437" s="294"/>
      <c r="K437" s="294"/>
      <c r="L437" s="294"/>
      <c r="M437" s="294"/>
      <c r="N437" s="294"/>
      <c r="O437" s="294"/>
      <c r="P437" s="294"/>
      <c r="Q437" s="294"/>
      <c r="R437" s="294"/>
      <c r="S437" s="294"/>
      <c r="T437" s="294"/>
      <c r="U437" s="294"/>
      <c r="V437" s="294"/>
      <c r="W437" s="294"/>
      <c r="X437" s="294"/>
      <c r="Y437" s="294"/>
      <c r="Z437" s="294"/>
      <c r="AA437" s="294"/>
      <c r="AB437" s="294"/>
    </row>
    <row r="438">
      <c r="A438" s="294"/>
      <c r="B438" s="294"/>
      <c r="C438" s="294"/>
      <c r="D438" s="294"/>
      <c r="E438" s="294"/>
      <c r="F438" s="294"/>
      <c r="G438" s="294"/>
      <c r="H438" s="294"/>
      <c r="I438" s="294"/>
      <c r="J438" s="294"/>
      <c r="K438" s="294"/>
      <c r="L438" s="294"/>
      <c r="M438" s="294"/>
      <c r="N438" s="294"/>
      <c r="O438" s="294"/>
      <c r="P438" s="294"/>
      <c r="Q438" s="294"/>
      <c r="R438" s="294"/>
      <c r="S438" s="294"/>
      <c r="T438" s="294"/>
      <c r="U438" s="294"/>
      <c r="V438" s="294"/>
      <c r="W438" s="294"/>
      <c r="X438" s="294"/>
      <c r="Y438" s="294"/>
      <c r="Z438" s="294"/>
      <c r="AA438" s="294"/>
      <c r="AB438" s="294"/>
    </row>
    <row r="439">
      <c r="A439" s="294"/>
      <c r="B439" s="294"/>
      <c r="C439" s="294"/>
      <c r="D439" s="294"/>
      <c r="E439" s="294"/>
      <c r="F439" s="294"/>
      <c r="G439" s="294"/>
      <c r="H439" s="294"/>
      <c r="I439" s="294"/>
      <c r="J439" s="294"/>
      <c r="K439" s="294"/>
      <c r="L439" s="294"/>
      <c r="M439" s="294"/>
      <c r="N439" s="294"/>
      <c r="O439" s="294"/>
      <c r="P439" s="294"/>
      <c r="Q439" s="294"/>
      <c r="R439" s="294"/>
      <c r="S439" s="294"/>
      <c r="T439" s="294"/>
      <c r="U439" s="294"/>
      <c r="V439" s="294"/>
      <c r="W439" s="294"/>
      <c r="X439" s="294"/>
      <c r="Y439" s="294"/>
      <c r="Z439" s="294"/>
      <c r="AA439" s="294"/>
      <c r="AB439" s="294"/>
    </row>
    <row r="440">
      <c r="A440" s="294"/>
      <c r="B440" s="294"/>
      <c r="C440" s="294"/>
      <c r="D440" s="294"/>
      <c r="E440" s="294"/>
      <c r="F440" s="294"/>
      <c r="G440" s="294"/>
      <c r="H440" s="294"/>
      <c r="I440" s="294"/>
      <c r="J440" s="294"/>
      <c r="K440" s="294"/>
      <c r="L440" s="294"/>
      <c r="M440" s="294"/>
      <c r="N440" s="294"/>
      <c r="O440" s="294"/>
      <c r="P440" s="294"/>
      <c r="Q440" s="294"/>
      <c r="R440" s="294"/>
      <c r="S440" s="294"/>
      <c r="T440" s="294"/>
      <c r="U440" s="294"/>
      <c r="V440" s="294"/>
      <c r="W440" s="294"/>
      <c r="X440" s="294"/>
      <c r="Y440" s="294"/>
      <c r="Z440" s="294"/>
      <c r="AA440" s="294"/>
      <c r="AB440" s="294"/>
    </row>
    <row r="441">
      <c r="A441" s="294"/>
      <c r="B441" s="294"/>
      <c r="C441" s="294"/>
      <c r="D441" s="294"/>
      <c r="E441" s="294"/>
      <c r="F441" s="294"/>
      <c r="G441" s="294"/>
      <c r="H441" s="294"/>
      <c r="I441" s="294"/>
      <c r="J441" s="294"/>
      <c r="K441" s="294"/>
      <c r="L441" s="294"/>
      <c r="M441" s="294"/>
      <c r="N441" s="294"/>
      <c r="O441" s="294"/>
      <c r="P441" s="294"/>
      <c r="Q441" s="294"/>
      <c r="R441" s="294"/>
      <c r="S441" s="294"/>
      <c r="T441" s="294"/>
      <c r="U441" s="294"/>
      <c r="V441" s="294"/>
      <c r="W441" s="294"/>
      <c r="X441" s="294"/>
      <c r="Y441" s="294"/>
      <c r="Z441" s="294"/>
      <c r="AA441" s="294"/>
      <c r="AB441" s="294"/>
    </row>
    <row r="442">
      <c r="A442" s="294"/>
      <c r="B442" s="294"/>
      <c r="C442" s="294"/>
      <c r="D442" s="294"/>
      <c r="E442" s="294"/>
      <c r="F442" s="294"/>
      <c r="G442" s="294"/>
      <c r="H442" s="294"/>
      <c r="I442" s="294"/>
      <c r="J442" s="294"/>
      <c r="K442" s="294"/>
      <c r="L442" s="294"/>
      <c r="M442" s="294"/>
      <c r="N442" s="294"/>
      <c r="O442" s="294"/>
      <c r="P442" s="294"/>
      <c r="Q442" s="294"/>
      <c r="R442" s="294"/>
      <c r="S442" s="294"/>
      <c r="T442" s="294"/>
      <c r="U442" s="294"/>
      <c r="V442" s="294"/>
      <c r="W442" s="294"/>
      <c r="X442" s="294"/>
      <c r="Y442" s="294"/>
      <c r="Z442" s="294"/>
      <c r="AA442" s="294"/>
      <c r="AB442" s="294"/>
    </row>
    <row r="443">
      <c r="A443" s="294"/>
      <c r="B443" s="294"/>
      <c r="C443" s="294"/>
      <c r="D443" s="294"/>
      <c r="E443" s="294"/>
      <c r="F443" s="294"/>
      <c r="G443" s="294"/>
      <c r="H443" s="294"/>
      <c r="I443" s="294"/>
      <c r="J443" s="294"/>
      <c r="K443" s="294"/>
      <c r="L443" s="294"/>
      <c r="M443" s="294"/>
      <c r="N443" s="294"/>
      <c r="O443" s="294"/>
      <c r="P443" s="294"/>
      <c r="Q443" s="294"/>
      <c r="R443" s="294"/>
      <c r="S443" s="294"/>
      <c r="T443" s="294"/>
      <c r="U443" s="294"/>
      <c r="V443" s="294"/>
      <c r="W443" s="294"/>
      <c r="X443" s="294"/>
      <c r="Y443" s="294"/>
      <c r="Z443" s="294"/>
      <c r="AA443" s="294"/>
      <c r="AB443" s="294"/>
    </row>
    <row r="444">
      <c r="A444" s="294"/>
      <c r="B444" s="294"/>
      <c r="C444" s="294"/>
      <c r="D444" s="294"/>
      <c r="E444" s="294"/>
      <c r="F444" s="294"/>
      <c r="G444" s="294"/>
      <c r="H444" s="294"/>
      <c r="I444" s="294"/>
      <c r="J444" s="294"/>
      <c r="K444" s="294"/>
      <c r="L444" s="294"/>
      <c r="M444" s="294"/>
      <c r="N444" s="294"/>
      <c r="O444" s="294"/>
      <c r="P444" s="294"/>
      <c r="Q444" s="294"/>
      <c r="R444" s="294"/>
      <c r="S444" s="294"/>
      <c r="T444" s="294"/>
      <c r="U444" s="294"/>
      <c r="V444" s="294"/>
      <c r="W444" s="294"/>
      <c r="X444" s="294"/>
      <c r="Y444" s="294"/>
      <c r="Z444" s="294"/>
      <c r="AA444" s="294"/>
      <c r="AB444" s="294"/>
    </row>
    <row r="445">
      <c r="A445" s="294"/>
      <c r="B445" s="294"/>
      <c r="C445" s="294"/>
      <c r="D445" s="294"/>
      <c r="E445" s="294"/>
      <c r="F445" s="294"/>
      <c r="G445" s="294"/>
      <c r="H445" s="294"/>
      <c r="I445" s="294"/>
      <c r="J445" s="294"/>
      <c r="K445" s="294"/>
      <c r="L445" s="294"/>
      <c r="M445" s="294"/>
      <c r="N445" s="294"/>
      <c r="O445" s="294"/>
      <c r="P445" s="294"/>
      <c r="Q445" s="294"/>
      <c r="R445" s="294"/>
      <c r="S445" s="294"/>
      <c r="T445" s="294"/>
      <c r="U445" s="294"/>
      <c r="V445" s="294"/>
      <c r="W445" s="294"/>
      <c r="X445" s="294"/>
      <c r="Y445" s="294"/>
      <c r="Z445" s="294"/>
      <c r="AA445" s="294"/>
      <c r="AB445" s="294"/>
    </row>
    <row r="446">
      <c r="A446" s="294"/>
      <c r="B446" s="294"/>
      <c r="C446" s="294"/>
      <c r="D446" s="294"/>
      <c r="E446" s="294"/>
      <c r="F446" s="294"/>
      <c r="G446" s="294"/>
      <c r="H446" s="294"/>
      <c r="I446" s="294"/>
      <c r="J446" s="294"/>
      <c r="K446" s="294"/>
      <c r="L446" s="294"/>
      <c r="M446" s="294"/>
      <c r="N446" s="294"/>
      <c r="O446" s="294"/>
      <c r="P446" s="294"/>
      <c r="Q446" s="294"/>
      <c r="R446" s="294"/>
      <c r="S446" s="294"/>
      <c r="T446" s="294"/>
      <c r="U446" s="294"/>
      <c r="V446" s="294"/>
      <c r="W446" s="294"/>
      <c r="X446" s="294"/>
      <c r="Y446" s="294"/>
      <c r="Z446" s="294"/>
      <c r="AA446" s="294"/>
      <c r="AB446" s="294"/>
    </row>
    <row r="447">
      <c r="A447" s="294"/>
      <c r="B447" s="294"/>
      <c r="C447" s="294"/>
      <c r="D447" s="294"/>
      <c r="E447" s="294"/>
      <c r="F447" s="294"/>
      <c r="G447" s="294"/>
      <c r="H447" s="294"/>
      <c r="I447" s="294"/>
      <c r="J447" s="294"/>
      <c r="K447" s="294"/>
      <c r="L447" s="294"/>
      <c r="M447" s="294"/>
      <c r="N447" s="294"/>
      <c r="O447" s="294"/>
      <c r="P447" s="294"/>
      <c r="Q447" s="294"/>
      <c r="R447" s="294"/>
      <c r="S447" s="294"/>
      <c r="T447" s="294"/>
      <c r="U447" s="294"/>
      <c r="V447" s="294"/>
      <c r="W447" s="294"/>
      <c r="X447" s="294"/>
      <c r="Y447" s="294"/>
      <c r="Z447" s="294"/>
      <c r="AA447" s="294"/>
      <c r="AB447" s="294"/>
    </row>
    <row r="448">
      <c r="A448" s="294"/>
      <c r="B448" s="294"/>
      <c r="C448" s="294"/>
      <c r="D448" s="294"/>
      <c r="E448" s="294"/>
      <c r="F448" s="294"/>
      <c r="G448" s="294"/>
      <c r="H448" s="294"/>
      <c r="I448" s="294"/>
      <c r="J448" s="294"/>
      <c r="K448" s="294"/>
      <c r="L448" s="294"/>
      <c r="M448" s="294"/>
      <c r="N448" s="294"/>
      <c r="O448" s="294"/>
      <c r="P448" s="294"/>
      <c r="Q448" s="294"/>
      <c r="R448" s="294"/>
      <c r="S448" s="294"/>
      <c r="T448" s="294"/>
      <c r="U448" s="294"/>
      <c r="V448" s="294"/>
      <c r="W448" s="294"/>
      <c r="X448" s="294"/>
      <c r="Y448" s="294"/>
      <c r="Z448" s="294"/>
      <c r="AA448" s="294"/>
      <c r="AB448" s="294"/>
    </row>
    <row r="449">
      <c r="A449" s="294"/>
      <c r="B449" s="294"/>
      <c r="C449" s="294"/>
      <c r="D449" s="294"/>
      <c r="E449" s="294"/>
      <c r="F449" s="294"/>
      <c r="G449" s="294"/>
      <c r="H449" s="294"/>
      <c r="I449" s="294"/>
      <c r="J449" s="294"/>
      <c r="K449" s="294"/>
      <c r="L449" s="294"/>
      <c r="M449" s="294"/>
      <c r="N449" s="294"/>
      <c r="O449" s="294"/>
      <c r="P449" s="294"/>
      <c r="Q449" s="294"/>
      <c r="R449" s="294"/>
      <c r="S449" s="294"/>
      <c r="T449" s="294"/>
      <c r="U449" s="294"/>
      <c r="V449" s="294"/>
      <c r="W449" s="294"/>
      <c r="X449" s="294"/>
      <c r="Y449" s="294"/>
      <c r="Z449" s="294"/>
      <c r="AA449" s="294"/>
      <c r="AB449" s="294"/>
    </row>
    <row r="450">
      <c r="A450" s="294"/>
      <c r="B450" s="294"/>
      <c r="C450" s="294"/>
      <c r="D450" s="294"/>
      <c r="E450" s="294"/>
      <c r="F450" s="294"/>
      <c r="G450" s="294"/>
      <c r="H450" s="294"/>
      <c r="I450" s="294"/>
      <c r="J450" s="294"/>
      <c r="K450" s="294"/>
      <c r="L450" s="294"/>
      <c r="M450" s="294"/>
      <c r="N450" s="294"/>
      <c r="O450" s="294"/>
      <c r="P450" s="294"/>
      <c r="Q450" s="294"/>
      <c r="R450" s="294"/>
      <c r="S450" s="294"/>
      <c r="T450" s="294"/>
      <c r="U450" s="294"/>
      <c r="V450" s="294"/>
      <c r="W450" s="294"/>
      <c r="X450" s="294"/>
      <c r="Y450" s="294"/>
      <c r="Z450" s="294"/>
      <c r="AA450" s="294"/>
      <c r="AB450" s="294"/>
    </row>
    <row r="451">
      <c r="A451" s="294"/>
      <c r="B451" s="294"/>
      <c r="C451" s="294"/>
      <c r="D451" s="294"/>
      <c r="E451" s="294"/>
      <c r="F451" s="294"/>
      <c r="G451" s="294"/>
      <c r="H451" s="294"/>
      <c r="I451" s="294"/>
      <c r="J451" s="294"/>
      <c r="K451" s="294"/>
      <c r="L451" s="294"/>
      <c r="M451" s="294"/>
      <c r="N451" s="294"/>
      <c r="O451" s="294"/>
      <c r="P451" s="294"/>
      <c r="Q451" s="294"/>
      <c r="R451" s="294"/>
      <c r="S451" s="294"/>
      <c r="T451" s="294"/>
      <c r="U451" s="294"/>
      <c r="V451" s="294"/>
      <c r="W451" s="294"/>
      <c r="X451" s="294"/>
      <c r="Y451" s="294"/>
      <c r="Z451" s="294"/>
      <c r="AA451" s="294"/>
      <c r="AB451" s="294"/>
    </row>
    <row r="452">
      <c r="A452" s="294"/>
      <c r="B452" s="294"/>
      <c r="C452" s="294"/>
      <c r="D452" s="294"/>
      <c r="E452" s="294"/>
      <c r="F452" s="294"/>
      <c r="G452" s="294"/>
      <c r="H452" s="294"/>
      <c r="I452" s="294"/>
      <c r="J452" s="294"/>
      <c r="K452" s="294"/>
      <c r="L452" s="294"/>
      <c r="M452" s="294"/>
      <c r="N452" s="294"/>
      <c r="O452" s="294"/>
      <c r="P452" s="294"/>
      <c r="Q452" s="294"/>
      <c r="R452" s="294"/>
      <c r="S452" s="294"/>
      <c r="T452" s="294"/>
      <c r="U452" s="294"/>
      <c r="V452" s="294"/>
      <c r="W452" s="294"/>
      <c r="X452" s="294"/>
      <c r="Y452" s="294"/>
      <c r="Z452" s="294"/>
      <c r="AA452" s="294"/>
      <c r="AB452" s="294"/>
    </row>
    <row r="453">
      <c r="A453" s="294"/>
      <c r="B453" s="294"/>
      <c r="C453" s="294"/>
      <c r="D453" s="294"/>
      <c r="E453" s="294"/>
      <c r="F453" s="294"/>
      <c r="G453" s="294"/>
      <c r="H453" s="294"/>
      <c r="I453" s="294"/>
      <c r="J453" s="294"/>
      <c r="K453" s="294"/>
      <c r="L453" s="294"/>
      <c r="M453" s="294"/>
      <c r="N453" s="294"/>
      <c r="O453" s="294"/>
      <c r="P453" s="294"/>
      <c r="Q453" s="294"/>
      <c r="R453" s="294"/>
      <c r="S453" s="294"/>
      <c r="T453" s="294"/>
      <c r="U453" s="294"/>
      <c r="V453" s="294"/>
      <c r="W453" s="294"/>
      <c r="X453" s="294"/>
      <c r="Y453" s="294"/>
      <c r="Z453" s="294"/>
      <c r="AA453" s="294"/>
      <c r="AB453" s="294"/>
    </row>
    <row r="454">
      <c r="A454" s="294"/>
      <c r="B454" s="294"/>
      <c r="C454" s="294"/>
      <c r="D454" s="294"/>
      <c r="E454" s="294"/>
      <c r="F454" s="294"/>
      <c r="G454" s="294"/>
      <c r="H454" s="294"/>
      <c r="I454" s="294"/>
      <c r="J454" s="294"/>
      <c r="K454" s="294"/>
      <c r="L454" s="294"/>
      <c r="M454" s="294"/>
      <c r="N454" s="294"/>
      <c r="O454" s="294"/>
      <c r="P454" s="294"/>
      <c r="Q454" s="294"/>
      <c r="R454" s="294"/>
      <c r="S454" s="294"/>
      <c r="T454" s="294"/>
      <c r="U454" s="294"/>
      <c r="V454" s="294"/>
      <c r="W454" s="294"/>
      <c r="X454" s="294"/>
      <c r="Y454" s="294"/>
      <c r="Z454" s="294"/>
      <c r="AA454" s="294"/>
      <c r="AB454" s="294"/>
    </row>
    <row r="455">
      <c r="A455" s="294"/>
      <c r="B455" s="294"/>
      <c r="C455" s="294"/>
      <c r="D455" s="294"/>
      <c r="E455" s="294"/>
      <c r="F455" s="294"/>
      <c r="G455" s="294"/>
      <c r="H455" s="294"/>
      <c r="I455" s="294"/>
      <c r="J455" s="294"/>
      <c r="K455" s="294"/>
      <c r="L455" s="294"/>
      <c r="M455" s="294"/>
      <c r="N455" s="294"/>
      <c r="O455" s="294"/>
      <c r="P455" s="294"/>
      <c r="Q455" s="294"/>
      <c r="R455" s="294"/>
      <c r="S455" s="294"/>
      <c r="T455" s="294"/>
      <c r="U455" s="294"/>
      <c r="V455" s="294"/>
      <c r="W455" s="294"/>
      <c r="X455" s="294"/>
      <c r="Y455" s="294"/>
      <c r="Z455" s="294"/>
      <c r="AA455" s="294"/>
      <c r="AB455" s="294"/>
    </row>
    <row r="456">
      <c r="A456" s="294"/>
      <c r="B456" s="294"/>
      <c r="C456" s="294"/>
      <c r="D456" s="294"/>
      <c r="E456" s="294"/>
      <c r="F456" s="294"/>
      <c r="G456" s="294"/>
      <c r="H456" s="294"/>
      <c r="I456" s="294"/>
      <c r="J456" s="294"/>
      <c r="K456" s="294"/>
      <c r="L456" s="294"/>
      <c r="M456" s="294"/>
      <c r="N456" s="294"/>
      <c r="O456" s="294"/>
      <c r="P456" s="294"/>
      <c r="Q456" s="294"/>
      <c r="R456" s="294"/>
      <c r="S456" s="294"/>
      <c r="T456" s="294"/>
      <c r="U456" s="294"/>
      <c r="V456" s="294"/>
      <c r="W456" s="294"/>
      <c r="X456" s="294"/>
      <c r="Y456" s="294"/>
      <c r="Z456" s="294"/>
      <c r="AA456" s="294"/>
      <c r="AB456" s="294"/>
    </row>
    <row r="457">
      <c r="A457" s="294"/>
      <c r="B457" s="294"/>
      <c r="C457" s="294"/>
      <c r="D457" s="294"/>
      <c r="E457" s="294"/>
      <c r="F457" s="294"/>
      <c r="G457" s="294"/>
      <c r="H457" s="294"/>
      <c r="I457" s="294"/>
      <c r="J457" s="294"/>
      <c r="K457" s="294"/>
      <c r="L457" s="294"/>
      <c r="M457" s="294"/>
      <c r="N457" s="294"/>
      <c r="O457" s="294"/>
      <c r="P457" s="294"/>
      <c r="Q457" s="294"/>
      <c r="R457" s="294"/>
      <c r="S457" s="294"/>
      <c r="T457" s="294"/>
      <c r="U457" s="294"/>
      <c r="V457" s="294"/>
      <c r="W457" s="294"/>
      <c r="X457" s="294"/>
      <c r="Y457" s="294"/>
      <c r="Z457" s="294"/>
      <c r="AA457" s="294"/>
      <c r="AB457" s="294"/>
    </row>
    <row r="458">
      <c r="A458" s="294"/>
      <c r="B458" s="294"/>
      <c r="C458" s="294"/>
      <c r="D458" s="294"/>
      <c r="E458" s="294"/>
      <c r="F458" s="294"/>
      <c r="G458" s="294"/>
      <c r="H458" s="294"/>
      <c r="I458" s="294"/>
      <c r="J458" s="294"/>
      <c r="K458" s="294"/>
      <c r="L458" s="294"/>
      <c r="M458" s="294"/>
      <c r="N458" s="294"/>
      <c r="O458" s="294"/>
      <c r="P458" s="294"/>
      <c r="Q458" s="294"/>
      <c r="R458" s="294"/>
      <c r="S458" s="294"/>
      <c r="T458" s="294"/>
      <c r="U458" s="294"/>
      <c r="V458" s="294"/>
      <c r="W458" s="294"/>
      <c r="X458" s="294"/>
      <c r="Y458" s="294"/>
      <c r="Z458" s="294"/>
      <c r="AA458" s="294"/>
      <c r="AB458" s="294"/>
    </row>
    <row r="459">
      <c r="A459" s="294"/>
      <c r="B459" s="294"/>
      <c r="C459" s="294"/>
      <c r="D459" s="294"/>
      <c r="E459" s="294"/>
      <c r="F459" s="294"/>
      <c r="G459" s="294"/>
      <c r="H459" s="294"/>
      <c r="I459" s="294"/>
      <c r="J459" s="294"/>
      <c r="K459" s="294"/>
      <c r="L459" s="294"/>
      <c r="M459" s="294"/>
      <c r="N459" s="294"/>
      <c r="O459" s="294"/>
      <c r="P459" s="294"/>
      <c r="Q459" s="294"/>
      <c r="R459" s="294"/>
      <c r="S459" s="294"/>
      <c r="T459" s="294"/>
      <c r="U459" s="294"/>
      <c r="V459" s="294"/>
      <c r="W459" s="294"/>
      <c r="X459" s="294"/>
      <c r="Y459" s="294"/>
      <c r="Z459" s="294"/>
      <c r="AA459" s="294"/>
      <c r="AB459" s="294"/>
    </row>
    <row r="460">
      <c r="A460" s="294"/>
      <c r="B460" s="294"/>
      <c r="C460" s="294"/>
      <c r="D460" s="294"/>
      <c r="E460" s="294"/>
      <c r="F460" s="294"/>
      <c r="G460" s="294"/>
      <c r="H460" s="294"/>
      <c r="I460" s="294"/>
      <c r="J460" s="294"/>
      <c r="K460" s="294"/>
      <c r="L460" s="294"/>
      <c r="M460" s="294"/>
      <c r="N460" s="294"/>
      <c r="O460" s="294"/>
      <c r="P460" s="294"/>
      <c r="Q460" s="294"/>
      <c r="R460" s="294"/>
      <c r="S460" s="294"/>
      <c r="T460" s="294"/>
      <c r="U460" s="294"/>
      <c r="V460" s="294"/>
      <c r="W460" s="294"/>
      <c r="X460" s="294"/>
      <c r="Y460" s="294"/>
      <c r="Z460" s="294"/>
      <c r="AA460" s="294"/>
      <c r="AB460" s="294"/>
    </row>
    <row r="461">
      <c r="A461" s="294"/>
      <c r="B461" s="294"/>
      <c r="C461" s="294"/>
      <c r="D461" s="294"/>
      <c r="E461" s="294"/>
      <c r="F461" s="294"/>
      <c r="G461" s="294"/>
      <c r="H461" s="294"/>
      <c r="I461" s="294"/>
      <c r="J461" s="294"/>
      <c r="K461" s="294"/>
      <c r="L461" s="294"/>
      <c r="M461" s="294"/>
      <c r="N461" s="294"/>
      <c r="O461" s="294"/>
      <c r="P461" s="294"/>
      <c r="Q461" s="294"/>
      <c r="R461" s="294"/>
      <c r="S461" s="294"/>
      <c r="T461" s="294"/>
      <c r="U461" s="294"/>
      <c r="V461" s="294"/>
      <c r="W461" s="294"/>
      <c r="X461" s="294"/>
      <c r="Y461" s="294"/>
      <c r="Z461" s="294"/>
      <c r="AA461" s="294"/>
      <c r="AB461" s="294"/>
    </row>
    <row r="462">
      <c r="A462" s="294"/>
      <c r="B462" s="294"/>
      <c r="C462" s="294"/>
      <c r="D462" s="294"/>
      <c r="E462" s="294"/>
      <c r="F462" s="294"/>
      <c r="G462" s="294"/>
      <c r="H462" s="294"/>
      <c r="I462" s="294"/>
      <c r="J462" s="294"/>
      <c r="K462" s="294"/>
      <c r="L462" s="294"/>
      <c r="M462" s="294"/>
      <c r="N462" s="294"/>
      <c r="O462" s="294"/>
      <c r="P462" s="294"/>
      <c r="Q462" s="294"/>
      <c r="R462" s="294"/>
      <c r="S462" s="294"/>
      <c r="T462" s="294"/>
      <c r="U462" s="294"/>
      <c r="V462" s="294"/>
      <c r="W462" s="294"/>
      <c r="X462" s="294"/>
      <c r="Y462" s="294"/>
      <c r="Z462" s="294"/>
      <c r="AA462" s="294"/>
      <c r="AB462" s="294"/>
    </row>
    <row r="463">
      <c r="A463" s="294"/>
      <c r="B463" s="294"/>
      <c r="C463" s="294"/>
      <c r="D463" s="294"/>
      <c r="E463" s="294"/>
      <c r="F463" s="294"/>
      <c r="G463" s="294"/>
      <c r="H463" s="294"/>
      <c r="I463" s="294"/>
      <c r="J463" s="294"/>
      <c r="K463" s="294"/>
      <c r="L463" s="294"/>
      <c r="M463" s="294"/>
      <c r="N463" s="294"/>
      <c r="O463" s="294"/>
      <c r="P463" s="294"/>
      <c r="Q463" s="294"/>
      <c r="R463" s="294"/>
      <c r="S463" s="294"/>
      <c r="T463" s="294"/>
      <c r="U463" s="294"/>
      <c r="V463" s="294"/>
      <c r="W463" s="294"/>
      <c r="X463" s="294"/>
      <c r="Y463" s="294"/>
      <c r="Z463" s="294"/>
      <c r="AA463" s="294"/>
      <c r="AB463" s="294"/>
    </row>
    <row r="464">
      <c r="A464" s="294"/>
      <c r="B464" s="294"/>
      <c r="C464" s="294"/>
      <c r="D464" s="294"/>
      <c r="E464" s="294"/>
      <c r="F464" s="294"/>
      <c r="G464" s="294"/>
      <c r="H464" s="294"/>
      <c r="I464" s="294"/>
      <c r="J464" s="294"/>
      <c r="K464" s="294"/>
      <c r="L464" s="294"/>
      <c r="M464" s="294"/>
      <c r="N464" s="294"/>
      <c r="O464" s="294"/>
      <c r="P464" s="294"/>
      <c r="Q464" s="294"/>
      <c r="R464" s="294"/>
      <c r="S464" s="294"/>
      <c r="T464" s="294"/>
      <c r="U464" s="294"/>
      <c r="V464" s="294"/>
      <c r="W464" s="294"/>
      <c r="X464" s="294"/>
      <c r="Y464" s="294"/>
      <c r="Z464" s="294"/>
      <c r="AA464" s="294"/>
      <c r="AB464" s="294"/>
    </row>
    <row r="465">
      <c r="A465" s="294"/>
      <c r="B465" s="294"/>
      <c r="C465" s="294"/>
      <c r="D465" s="294"/>
      <c r="E465" s="294"/>
      <c r="F465" s="294"/>
      <c r="G465" s="294"/>
      <c r="H465" s="294"/>
      <c r="I465" s="294"/>
      <c r="J465" s="294"/>
      <c r="K465" s="294"/>
      <c r="L465" s="294"/>
      <c r="M465" s="294"/>
      <c r="N465" s="294"/>
      <c r="O465" s="294"/>
      <c r="P465" s="294"/>
      <c r="Q465" s="294"/>
      <c r="R465" s="294"/>
      <c r="S465" s="294"/>
      <c r="T465" s="294"/>
      <c r="U465" s="294"/>
      <c r="V465" s="294"/>
      <c r="W465" s="294"/>
      <c r="X465" s="294"/>
      <c r="Y465" s="294"/>
      <c r="Z465" s="294"/>
      <c r="AA465" s="294"/>
      <c r="AB465" s="294"/>
    </row>
    <row r="466">
      <c r="A466" s="294"/>
      <c r="B466" s="294"/>
      <c r="C466" s="294"/>
      <c r="D466" s="294"/>
      <c r="E466" s="294"/>
      <c r="F466" s="294"/>
      <c r="G466" s="294"/>
      <c r="H466" s="294"/>
      <c r="I466" s="294"/>
      <c r="J466" s="294"/>
      <c r="K466" s="294"/>
      <c r="L466" s="294"/>
      <c r="M466" s="294"/>
      <c r="N466" s="294"/>
      <c r="O466" s="294"/>
      <c r="P466" s="294"/>
      <c r="Q466" s="294"/>
      <c r="R466" s="294"/>
      <c r="S466" s="294"/>
      <c r="T466" s="294"/>
      <c r="U466" s="294"/>
      <c r="V466" s="294"/>
      <c r="W466" s="294"/>
      <c r="X466" s="294"/>
      <c r="Y466" s="294"/>
      <c r="Z466" s="294"/>
      <c r="AA466" s="294"/>
      <c r="AB466" s="294"/>
    </row>
    <row r="467">
      <c r="A467" s="294"/>
      <c r="B467" s="294"/>
      <c r="C467" s="294"/>
      <c r="D467" s="294"/>
      <c r="E467" s="294"/>
      <c r="F467" s="294"/>
      <c r="G467" s="294"/>
      <c r="H467" s="294"/>
      <c r="I467" s="294"/>
      <c r="J467" s="294"/>
      <c r="K467" s="294"/>
      <c r="L467" s="294"/>
      <c r="M467" s="294"/>
      <c r="N467" s="294"/>
      <c r="O467" s="294"/>
      <c r="P467" s="294"/>
      <c r="Q467" s="294"/>
      <c r="R467" s="294"/>
      <c r="S467" s="294"/>
      <c r="T467" s="294"/>
      <c r="U467" s="294"/>
      <c r="V467" s="294"/>
      <c r="W467" s="294"/>
      <c r="X467" s="294"/>
      <c r="Y467" s="294"/>
      <c r="Z467" s="294"/>
      <c r="AA467" s="294"/>
      <c r="AB467" s="294"/>
    </row>
    <row r="468">
      <c r="A468" s="294"/>
      <c r="B468" s="294"/>
      <c r="C468" s="294"/>
      <c r="D468" s="294"/>
      <c r="E468" s="294"/>
      <c r="F468" s="294"/>
      <c r="G468" s="294"/>
      <c r="H468" s="294"/>
      <c r="I468" s="294"/>
      <c r="J468" s="294"/>
      <c r="K468" s="294"/>
      <c r="L468" s="294"/>
      <c r="M468" s="294"/>
      <c r="N468" s="294"/>
      <c r="O468" s="294"/>
      <c r="P468" s="294"/>
      <c r="Q468" s="294"/>
      <c r="R468" s="294"/>
      <c r="S468" s="294"/>
      <c r="T468" s="294"/>
      <c r="U468" s="294"/>
      <c r="V468" s="294"/>
      <c r="W468" s="294"/>
      <c r="X468" s="294"/>
      <c r="Y468" s="294"/>
      <c r="Z468" s="294"/>
      <c r="AA468" s="294"/>
      <c r="AB468" s="294"/>
    </row>
    <row r="469">
      <c r="A469" s="294"/>
      <c r="B469" s="294"/>
      <c r="C469" s="294"/>
      <c r="D469" s="294"/>
      <c r="E469" s="294"/>
      <c r="F469" s="294"/>
      <c r="G469" s="294"/>
      <c r="H469" s="294"/>
      <c r="I469" s="294"/>
      <c r="J469" s="294"/>
      <c r="K469" s="294"/>
      <c r="L469" s="294"/>
      <c r="M469" s="294"/>
      <c r="N469" s="294"/>
      <c r="O469" s="294"/>
      <c r="P469" s="294"/>
      <c r="Q469" s="294"/>
      <c r="R469" s="294"/>
      <c r="S469" s="294"/>
      <c r="T469" s="294"/>
      <c r="U469" s="294"/>
      <c r="V469" s="294"/>
      <c r="W469" s="294"/>
      <c r="X469" s="294"/>
      <c r="Y469" s="294"/>
      <c r="Z469" s="294"/>
      <c r="AA469" s="294"/>
      <c r="AB469" s="294"/>
    </row>
    <row r="470">
      <c r="A470" s="294"/>
      <c r="B470" s="294"/>
      <c r="C470" s="294"/>
      <c r="D470" s="294"/>
      <c r="E470" s="294"/>
      <c r="F470" s="294"/>
      <c r="G470" s="294"/>
      <c r="H470" s="294"/>
      <c r="I470" s="294"/>
      <c r="J470" s="294"/>
      <c r="K470" s="294"/>
      <c r="L470" s="294"/>
      <c r="M470" s="294"/>
      <c r="N470" s="294"/>
      <c r="O470" s="294"/>
      <c r="P470" s="294"/>
      <c r="Q470" s="294"/>
      <c r="R470" s="294"/>
      <c r="S470" s="294"/>
      <c r="T470" s="294"/>
      <c r="U470" s="294"/>
      <c r="V470" s="294"/>
      <c r="W470" s="294"/>
      <c r="X470" s="294"/>
      <c r="Y470" s="294"/>
      <c r="Z470" s="294"/>
      <c r="AA470" s="294"/>
      <c r="AB470" s="294"/>
    </row>
    <row r="471">
      <c r="A471" s="294"/>
      <c r="B471" s="294"/>
      <c r="C471" s="294"/>
      <c r="D471" s="294"/>
      <c r="E471" s="294"/>
      <c r="F471" s="294"/>
      <c r="G471" s="294"/>
      <c r="H471" s="294"/>
      <c r="I471" s="294"/>
      <c r="J471" s="294"/>
      <c r="K471" s="294"/>
      <c r="L471" s="294"/>
      <c r="M471" s="294"/>
      <c r="N471" s="294"/>
      <c r="O471" s="294"/>
      <c r="P471" s="294"/>
      <c r="Q471" s="294"/>
      <c r="R471" s="294"/>
      <c r="S471" s="294"/>
      <c r="T471" s="294"/>
      <c r="U471" s="294"/>
      <c r="V471" s="294"/>
      <c r="W471" s="294"/>
      <c r="X471" s="294"/>
      <c r="Y471" s="294"/>
      <c r="Z471" s="294"/>
      <c r="AA471" s="294"/>
      <c r="AB471" s="294"/>
    </row>
    <row r="472">
      <c r="A472" s="294"/>
      <c r="B472" s="294"/>
      <c r="C472" s="294"/>
      <c r="D472" s="294"/>
      <c r="E472" s="294"/>
      <c r="F472" s="294"/>
      <c r="G472" s="294"/>
      <c r="H472" s="294"/>
      <c r="I472" s="294"/>
      <c r="J472" s="294"/>
      <c r="K472" s="294"/>
      <c r="L472" s="294"/>
      <c r="M472" s="294"/>
      <c r="N472" s="294"/>
      <c r="O472" s="294"/>
      <c r="P472" s="294"/>
      <c r="Q472" s="294"/>
      <c r="R472" s="294"/>
      <c r="S472" s="294"/>
      <c r="T472" s="294"/>
      <c r="U472" s="294"/>
      <c r="V472" s="294"/>
      <c r="W472" s="294"/>
      <c r="X472" s="294"/>
      <c r="Y472" s="294"/>
      <c r="Z472" s="294"/>
      <c r="AA472" s="294"/>
      <c r="AB472" s="294"/>
    </row>
    <row r="473">
      <c r="A473" s="294"/>
      <c r="B473" s="294"/>
      <c r="C473" s="294"/>
      <c r="D473" s="294"/>
      <c r="E473" s="294"/>
      <c r="F473" s="294"/>
      <c r="G473" s="294"/>
      <c r="H473" s="294"/>
      <c r="I473" s="294"/>
      <c r="J473" s="294"/>
      <c r="K473" s="294"/>
      <c r="L473" s="294"/>
      <c r="M473" s="294"/>
      <c r="N473" s="294"/>
      <c r="O473" s="294"/>
      <c r="P473" s="294"/>
      <c r="Q473" s="294"/>
      <c r="R473" s="294"/>
      <c r="S473" s="294"/>
      <c r="T473" s="294"/>
      <c r="U473" s="294"/>
      <c r="V473" s="294"/>
      <c r="W473" s="294"/>
      <c r="X473" s="294"/>
      <c r="Y473" s="294"/>
      <c r="Z473" s="294"/>
      <c r="AA473" s="294"/>
      <c r="AB473" s="294"/>
    </row>
    <row r="474">
      <c r="A474" s="294"/>
      <c r="B474" s="294"/>
      <c r="C474" s="294"/>
      <c r="D474" s="294"/>
      <c r="E474" s="294"/>
      <c r="F474" s="294"/>
      <c r="G474" s="294"/>
      <c r="H474" s="294"/>
      <c r="I474" s="294"/>
      <c r="J474" s="294"/>
      <c r="K474" s="294"/>
      <c r="L474" s="294"/>
      <c r="M474" s="294"/>
      <c r="N474" s="294"/>
      <c r="O474" s="294"/>
      <c r="P474" s="294"/>
      <c r="Q474" s="294"/>
      <c r="R474" s="294"/>
      <c r="S474" s="294"/>
      <c r="T474" s="294"/>
      <c r="U474" s="294"/>
      <c r="V474" s="294"/>
      <c r="W474" s="294"/>
      <c r="X474" s="294"/>
      <c r="Y474" s="294"/>
      <c r="Z474" s="294"/>
      <c r="AA474" s="294"/>
      <c r="AB474" s="294"/>
    </row>
    <row r="475">
      <c r="A475" s="294"/>
      <c r="B475" s="294"/>
      <c r="C475" s="294"/>
      <c r="D475" s="294"/>
      <c r="E475" s="294"/>
      <c r="F475" s="294"/>
      <c r="G475" s="294"/>
      <c r="H475" s="294"/>
      <c r="I475" s="294"/>
      <c r="J475" s="294"/>
      <c r="K475" s="294"/>
      <c r="L475" s="294"/>
      <c r="M475" s="294"/>
      <c r="N475" s="294"/>
      <c r="O475" s="294"/>
      <c r="P475" s="294"/>
      <c r="Q475" s="294"/>
      <c r="R475" s="294"/>
      <c r="S475" s="294"/>
      <c r="T475" s="294"/>
      <c r="U475" s="294"/>
      <c r="V475" s="294"/>
      <c r="W475" s="294"/>
      <c r="X475" s="294"/>
      <c r="Y475" s="294"/>
      <c r="Z475" s="294"/>
      <c r="AA475" s="294"/>
      <c r="AB475" s="294"/>
    </row>
    <row r="476">
      <c r="A476" s="294"/>
      <c r="B476" s="294"/>
      <c r="C476" s="294"/>
      <c r="D476" s="294"/>
      <c r="E476" s="294"/>
      <c r="F476" s="294"/>
      <c r="G476" s="294"/>
      <c r="H476" s="294"/>
      <c r="I476" s="294"/>
      <c r="J476" s="294"/>
      <c r="K476" s="294"/>
      <c r="L476" s="294"/>
      <c r="M476" s="294"/>
      <c r="N476" s="294"/>
      <c r="O476" s="294"/>
      <c r="P476" s="294"/>
      <c r="Q476" s="294"/>
      <c r="R476" s="294"/>
      <c r="S476" s="294"/>
      <c r="T476" s="294"/>
      <c r="U476" s="294"/>
      <c r="V476" s="294"/>
      <c r="W476" s="294"/>
      <c r="X476" s="294"/>
      <c r="Y476" s="294"/>
      <c r="Z476" s="294"/>
      <c r="AA476" s="294"/>
      <c r="AB476" s="294"/>
    </row>
    <row r="477">
      <c r="A477" s="294"/>
      <c r="B477" s="294"/>
      <c r="C477" s="294"/>
      <c r="D477" s="294"/>
      <c r="E477" s="294"/>
      <c r="F477" s="294"/>
      <c r="G477" s="294"/>
      <c r="H477" s="294"/>
      <c r="I477" s="294"/>
      <c r="J477" s="294"/>
      <c r="K477" s="294"/>
      <c r="L477" s="294"/>
      <c r="M477" s="294"/>
      <c r="N477" s="294"/>
      <c r="O477" s="294"/>
      <c r="P477" s="294"/>
      <c r="Q477" s="294"/>
      <c r="R477" s="294"/>
      <c r="S477" s="294"/>
      <c r="T477" s="294"/>
      <c r="U477" s="294"/>
      <c r="V477" s="294"/>
      <c r="W477" s="294"/>
      <c r="X477" s="294"/>
      <c r="Y477" s="294"/>
      <c r="Z477" s="294"/>
      <c r="AA477" s="294"/>
      <c r="AB477" s="294"/>
    </row>
    <row r="478">
      <c r="A478" s="294"/>
      <c r="B478" s="294"/>
      <c r="C478" s="294"/>
      <c r="D478" s="294"/>
      <c r="E478" s="294"/>
      <c r="F478" s="294"/>
      <c r="G478" s="294"/>
      <c r="H478" s="294"/>
      <c r="I478" s="294"/>
      <c r="J478" s="294"/>
      <c r="K478" s="294"/>
      <c r="L478" s="294"/>
      <c r="M478" s="294"/>
      <c r="N478" s="294"/>
      <c r="O478" s="294"/>
      <c r="P478" s="294"/>
      <c r="Q478" s="294"/>
      <c r="R478" s="294"/>
      <c r="S478" s="294"/>
      <c r="T478" s="294"/>
      <c r="U478" s="294"/>
      <c r="V478" s="294"/>
      <c r="W478" s="294"/>
      <c r="X478" s="294"/>
      <c r="Y478" s="294"/>
      <c r="Z478" s="294"/>
      <c r="AA478" s="294"/>
      <c r="AB478" s="294"/>
    </row>
    <row r="479">
      <c r="A479" s="294"/>
      <c r="B479" s="294"/>
      <c r="C479" s="294"/>
      <c r="D479" s="294"/>
      <c r="E479" s="294"/>
      <c r="F479" s="294"/>
      <c r="G479" s="294"/>
      <c r="H479" s="294"/>
      <c r="I479" s="294"/>
      <c r="J479" s="294"/>
      <c r="K479" s="294"/>
      <c r="L479" s="294"/>
      <c r="M479" s="294"/>
      <c r="N479" s="294"/>
      <c r="O479" s="294"/>
      <c r="P479" s="294"/>
      <c r="Q479" s="294"/>
      <c r="R479" s="294"/>
      <c r="S479" s="294"/>
      <c r="T479" s="294"/>
      <c r="U479" s="294"/>
      <c r="V479" s="294"/>
      <c r="W479" s="294"/>
      <c r="X479" s="294"/>
      <c r="Y479" s="294"/>
      <c r="Z479" s="294"/>
      <c r="AA479" s="294"/>
      <c r="AB479" s="294"/>
    </row>
    <row r="480">
      <c r="A480" s="294"/>
      <c r="B480" s="294"/>
      <c r="C480" s="294"/>
      <c r="D480" s="294"/>
      <c r="E480" s="294"/>
      <c r="F480" s="294"/>
      <c r="G480" s="294"/>
      <c r="H480" s="294"/>
      <c r="I480" s="294"/>
      <c r="J480" s="294"/>
      <c r="K480" s="294"/>
      <c r="L480" s="294"/>
      <c r="M480" s="294"/>
      <c r="N480" s="294"/>
      <c r="O480" s="294"/>
      <c r="P480" s="294"/>
      <c r="Q480" s="294"/>
      <c r="R480" s="294"/>
      <c r="S480" s="294"/>
      <c r="T480" s="294"/>
      <c r="U480" s="294"/>
      <c r="V480" s="294"/>
      <c r="W480" s="294"/>
      <c r="X480" s="294"/>
      <c r="Y480" s="294"/>
      <c r="Z480" s="294"/>
      <c r="AA480" s="294"/>
      <c r="AB480" s="294"/>
    </row>
    <row r="481">
      <c r="A481" s="294"/>
      <c r="B481" s="294"/>
      <c r="C481" s="294"/>
      <c r="D481" s="294"/>
      <c r="E481" s="294"/>
      <c r="F481" s="294"/>
      <c r="G481" s="294"/>
      <c r="H481" s="294"/>
      <c r="I481" s="294"/>
      <c r="J481" s="294"/>
      <c r="K481" s="294"/>
      <c r="L481" s="294"/>
      <c r="M481" s="294"/>
      <c r="N481" s="294"/>
      <c r="O481" s="294"/>
      <c r="P481" s="294"/>
      <c r="Q481" s="294"/>
      <c r="R481" s="294"/>
      <c r="S481" s="294"/>
      <c r="T481" s="294"/>
      <c r="U481" s="294"/>
      <c r="V481" s="294"/>
      <c r="W481" s="294"/>
      <c r="X481" s="294"/>
      <c r="Y481" s="294"/>
      <c r="Z481" s="294"/>
      <c r="AA481" s="294"/>
      <c r="AB481" s="294"/>
    </row>
    <row r="482">
      <c r="A482" s="294"/>
      <c r="B482" s="294"/>
      <c r="C482" s="294"/>
      <c r="D482" s="294"/>
      <c r="E482" s="294"/>
      <c r="F482" s="294"/>
      <c r="G482" s="294"/>
      <c r="H482" s="294"/>
      <c r="I482" s="294"/>
      <c r="J482" s="294"/>
      <c r="K482" s="294"/>
      <c r="L482" s="294"/>
      <c r="M482" s="294"/>
      <c r="N482" s="294"/>
      <c r="O482" s="294"/>
      <c r="P482" s="294"/>
      <c r="Q482" s="294"/>
      <c r="R482" s="294"/>
      <c r="S482" s="294"/>
      <c r="T482" s="294"/>
      <c r="U482" s="294"/>
      <c r="V482" s="294"/>
      <c r="W482" s="294"/>
      <c r="X482" s="294"/>
      <c r="Y482" s="294"/>
      <c r="Z482" s="294"/>
      <c r="AA482" s="294"/>
      <c r="AB482" s="294"/>
    </row>
    <row r="483">
      <c r="A483" s="294"/>
      <c r="B483" s="294"/>
      <c r="C483" s="294"/>
      <c r="D483" s="294"/>
      <c r="E483" s="294"/>
      <c r="F483" s="294"/>
      <c r="G483" s="294"/>
      <c r="H483" s="294"/>
      <c r="I483" s="294"/>
      <c r="J483" s="294"/>
      <c r="K483" s="294"/>
      <c r="L483" s="294"/>
      <c r="M483" s="294"/>
      <c r="N483" s="294"/>
      <c r="O483" s="294"/>
      <c r="P483" s="294"/>
      <c r="Q483" s="294"/>
      <c r="R483" s="294"/>
      <c r="S483" s="294"/>
      <c r="T483" s="294"/>
      <c r="U483" s="294"/>
      <c r="V483" s="294"/>
      <c r="W483" s="294"/>
      <c r="X483" s="294"/>
      <c r="Y483" s="294"/>
      <c r="Z483" s="294"/>
      <c r="AA483" s="294"/>
      <c r="AB483" s="294"/>
    </row>
    <row r="484">
      <c r="A484" s="294"/>
      <c r="B484" s="294"/>
      <c r="C484" s="294"/>
      <c r="D484" s="294"/>
      <c r="E484" s="294"/>
      <c r="F484" s="294"/>
      <c r="G484" s="294"/>
      <c r="H484" s="294"/>
      <c r="I484" s="294"/>
      <c r="J484" s="294"/>
      <c r="K484" s="294"/>
      <c r="L484" s="294"/>
      <c r="M484" s="294"/>
      <c r="N484" s="294"/>
      <c r="O484" s="294"/>
      <c r="P484" s="294"/>
      <c r="Q484" s="294"/>
      <c r="R484" s="294"/>
      <c r="S484" s="294"/>
      <c r="T484" s="294"/>
      <c r="U484" s="294"/>
      <c r="V484" s="294"/>
      <c r="W484" s="294"/>
      <c r="X484" s="294"/>
      <c r="Y484" s="294"/>
      <c r="Z484" s="294"/>
      <c r="AA484" s="294"/>
      <c r="AB484" s="294"/>
    </row>
    <row r="485">
      <c r="A485" s="294"/>
      <c r="B485" s="294"/>
      <c r="C485" s="294"/>
      <c r="D485" s="294"/>
      <c r="E485" s="294"/>
      <c r="F485" s="294"/>
      <c r="G485" s="294"/>
      <c r="H485" s="294"/>
      <c r="I485" s="294"/>
      <c r="J485" s="294"/>
      <c r="K485" s="294"/>
      <c r="L485" s="294"/>
      <c r="M485" s="294"/>
      <c r="N485" s="294"/>
      <c r="O485" s="294"/>
      <c r="P485" s="294"/>
      <c r="Q485" s="294"/>
      <c r="R485" s="294"/>
      <c r="S485" s="294"/>
      <c r="T485" s="294"/>
      <c r="U485" s="294"/>
      <c r="V485" s="294"/>
      <c r="W485" s="294"/>
      <c r="X485" s="294"/>
      <c r="Y485" s="294"/>
      <c r="Z485" s="294"/>
      <c r="AA485" s="294"/>
      <c r="AB485" s="294"/>
    </row>
    <row r="486">
      <c r="A486" s="294"/>
      <c r="B486" s="294"/>
      <c r="C486" s="294"/>
      <c r="D486" s="294"/>
      <c r="E486" s="294"/>
      <c r="F486" s="294"/>
      <c r="G486" s="294"/>
      <c r="H486" s="294"/>
      <c r="I486" s="294"/>
      <c r="J486" s="294"/>
      <c r="K486" s="294"/>
      <c r="L486" s="294"/>
      <c r="M486" s="294"/>
      <c r="N486" s="294"/>
      <c r="O486" s="294"/>
      <c r="P486" s="294"/>
      <c r="Q486" s="294"/>
      <c r="R486" s="294"/>
      <c r="S486" s="294"/>
      <c r="T486" s="294"/>
      <c r="U486" s="294"/>
      <c r="V486" s="294"/>
      <c r="W486" s="294"/>
      <c r="X486" s="294"/>
      <c r="Y486" s="294"/>
      <c r="Z486" s="294"/>
      <c r="AA486" s="294"/>
      <c r="AB486" s="294"/>
    </row>
    <row r="487">
      <c r="A487" s="294"/>
      <c r="B487" s="294"/>
      <c r="C487" s="294"/>
      <c r="D487" s="294"/>
      <c r="E487" s="294"/>
      <c r="F487" s="294"/>
      <c r="G487" s="294"/>
      <c r="H487" s="294"/>
      <c r="I487" s="294"/>
      <c r="J487" s="294"/>
      <c r="K487" s="294"/>
      <c r="L487" s="294"/>
      <c r="M487" s="294"/>
      <c r="N487" s="294"/>
      <c r="O487" s="294"/>
      <c r="P487" s="294"/>
      <c r="Q487" s="294"/>
      <c r="R487" s="294"/>
      <c r="S487" s="294"/>
      <c r="T487" s="294"/>
      <c r="U487" s="294"/>
      <c r="V487" s="294"/>
      <c r="W487" s="294"/>
      <c r="X487" s="294"/>
      <c r="Y487" s="294"/>
      <c r="Z487" s="294"/>
      <c r="AA487" s="294"/>
      <c r="AB487" s="294"/>
    </row>
    <row r="488">
      <c r="A488" s="294"/>
      <c r="B488" s="294"/>
      <c r="C488" s="294"/>
      <c r="D488" s="294"/>
      <c r="E488" s="294"/>
      <c r="F488" s="294"/>
      <c r="G488" s="294"/>
      <c r="H488" s="294"/>
      <c r="I488" s="294"/>
      <c r="J488" s="294"/>
      <c r="K488" s="294"/>
      <c r="L488" s="294"/>
      <c r="M488" s="294"/>
      <c r="N488" s="294"/>
      <c r="O488" s="294"/>
      <c r="P488" s="294"/>
      <c r="Q488" s="294"/>
      <c r="R488" s="294"/>
      <c r="S488" s="294"/>
      <c r="T488" s="294"/>
      <c r="U488" s="294"/>
      <c r="V488" s="294"/>
      <c r="W488" s="294"/>
      <c r="X488" s="294"/>
      <c r="Y488" s="294"/>
      <c r="Z488" s="294"/>
      <c r="AA488" s="294"/>
      <c r="AB488" s="294"/>
    </row>
    <row r="489">
      <c r="A489" s="294"/>
      <c r="B489" s="294"/>
      <c r="C489" s="294"/>
      <c r="D489" s="294"/>
      <c r="E489" s="294"/>
      <c r="F489" s="294"/>
      <c r="G489" s="294"/>
      <c r="H489" s="294"/>
      <c r="I489" s="294"/>
      <c r="J489" s="294"/>
      <c r="K489" s="294"/>
      <c r="L489" s="294"/>
      <c r="M489" s="294"/>
      <c r="N489" s="294"/>
      <c r="O489" s="294"/>
      <c r="P489" s="294"/>
      <c r="Q489" s="294"/>
      <c r="R489" s="294"/>
      <c r="S489" s="294"/>
      <c r="T489" s="294"/>
      <c r="U489" s="294"/>
      <c r="V489" s="294"/>
      <c r="W489" s="294"/>
      <c r="X489" s="294"/>
      <c r="Y489" s="294"/>
      <c r="Z489" s="294"/>
      <c r="AA489" s="294"/>
      <c r="AB489" s="294"/>
    </row>
    <row r="490">
      <c r="A490" s="294"/>
      <c r="B490" s="294"/>
      <c r="C490" s="294"/>
      <c r="D490" s="294"/>
      <c r="E490" s="294"/>
      <c r="F490" s="294"/>
      <c r="G490" s="294"/>
      <c r="H490" s="294"/>
      <c r="I490" s="294"/>
      <c r="J490" s="294"/>
      <c r="K490" s="294"/>
      <c r="L490" s="294"/>
      <c r="M490" s="294"/>
      <c r="N490" s="294"/>
      <c r="O490" s="294"/>
      <c r="P490" s="294"/>
      <c r="Q490" s="294"/>
      <c r="R490" s="294"/>
      <c r="S490" s="294"/>
      <c r="T490" s="294"/>
      <c r="U490" s="294"/>
      <c r="V490" s="294"/>
      <c r="W490" s="294"/>
      <c r="X490" s="294"/>
      <c r="Y490" s="294"/>
      <c r="Z490" s="294"/>
      <c r="AA490" s="294"/>
      <c r="AB490" s="294"/>
    </row>
    <row r="491">
      <c r="A491" s="294"/>
      <c r="B491" s="294"/>
      <c r="C491" s="294"/>
      <c r="D491" s="294"/>
      <c r="E491" s="294"/>
      <c r="F491" s="294"/>
      <c r="G491" s="294"/>
      <c r="H491" s="294"/>
      <c r="I491" s="294"/>
      <c r="J491" s="294"/>
      <c r="K491" s="294"/>
      <c r="L491" s="294"/>
      <c r="M491" s="294"/>
      <c r="N491" s="294"/>
      <c r="O491" s="294"/>
      <c r="P491" s="294"/>
      <c r="Q491" s="294"/>
      <c r="R491" s="294"/>
      <c r="S491" s="294"/>
      <c r="T491" s="294"/>
      <c r="U491" s="294"/>
      <c r="V491" s="294"/>
      <c r="W491" s="294"/>
      <c r="X491" s="294"/>
      <c r="Y491" s="294"/>
      <c r="Z491" s="294"/>
      <c r="AA491" s="294"/>
      <c r="AB491" s="294"/>
    </row>
    <row r="492">
      <c r="A492" s="294"/>
      <c r="B492" s="294"/>
      <c r="C492" s="294"/>
      <c r="D492" s="294"/>
      <c r="E492" s="294"/>
      <c r="F492" s="294"/>
      <c r="G492" s="294"/>
      <c r="H492" s="294"/>
      <c r="I492" s="294"/>
      <c r="J492" s="294"/>
      <c r="K492" s="294"/>
      <c r="L492" s="294"/>
      <c r="M492" s="294"/>
      <c r="N492" s="294"/>
      <c r="O492" s="294"/>
      <c r="P492" s="294"/>
      <c r="Q492" s="294"/>
      <c r="R492" s="294"/>
      <c r="S492" s="294"/>
      <c r="T492" s="294"/>
      <c r="U492" s="294"/>
      <c r="V492" s="294"/>
      <c r="W492" s="294"/>
      <c r="X492" s="294"/>
      <c r="Y492" s="294"/>
      <c r="Z492" s="294"/>
      <c r="AA492" s="294"/>
      <c r="AB492" s="294"/>
    </row>
    <row r="493">
      <c r="A493" s="294"/>
      <c r="B493" s="294"/>
      <c r="C493" s="294"/>
      <c r="D493" s="294"/>
      <c r="E493" s="294"/>
      <c r="F493" s="294"/>
      <c r="G493" s="294"/>
      <c r="H493" s="294"/>
      <c r="I493" s="294"/>
      <c r="J493" s="294"/>
      <c r="K493" s="294"/>
      <c r="L493" s="294"/>
      <c r="M493" s="294"/>
      <c r="N493" s="294"/>
      <c r="O493" s="294"/>
      <c r="P493" s="294"/>
      <c r="Q493" s="294"/>
      <c r="R493" s="294"/>
      <c r="S493" s="294"/>
      <c r="T493" s="294"/>
      <c r="U493" s="294"/>
      <c r="V493" s="294"/>
      <c r="W493" s="294"/>
      <c r="X493" s="294"/>
      <c r="Y493" s="294"/>
      <c r="Z493" s="294"/>
      <c r="AA493" s="294"/>
      <c r="AB493" s="294"/>
    </row>
    <row r="494">
      <c r="A494" s="294"/>
      <c r="B494" s="294"/>
      <c r="C494" s="294"/>
      <c r="D494" s="294"/>
      <c r="E494" s="294"/>
      <c r="F494" s="294"/>
      <c r="G494" s="294"/>
      <c r="H494" s="294"/>
      <c r="I494" s="294"/>
      <c r="J494" s="294"/>
      <c r="K494" s="294"/>
      <c r="L494" s="294"/>
      <c r="M494" s="294"/>
      <c r="N494" s="294"/>
      <c r="O494" s="294"/>
      <c r="P494" s="294"/>
      <c r="Q494" s="294"/>
      <c r="R494" s="294"/>
      <c r="S494" s="294"/>
      <c r="T494" s="294"/>
      <c r="U494" s="294"/>
      <c r="V494" s="294"/>
      <c r="W494" s="294"/>
      <c r="X494" s="294"/>
      <c r="Y494" s="294"/>
      <c r="Z494" s="294"/>
      <c r="AA494" s="294"/>
      <c r="AB494" s="294"/>
    </row>
    <row r="495">
      <c r="A495" s="294"/>
      <c r="B495" s="294"/>
      <c r="C495" s="294"/>
      <c r="D495" s="294"/>
      <c r="E495" s="294"/>
      <c r="F495" s="294"/>
      <c r="G495" s="294"/>
      <c r="H495" s="294"/>
      <c r="I495" s="294"/>
      <c r="J495" s="294"/>
      <c r="K495" s="294"/>
      <c r="L495" s="294"/>
      <c r="M495" s="294"/>
      <c r="N495" s="294"/>
      <c r="O495" s="294"/>
      <c r="P495" s="294"/>
      <c r="Q495" s="294"/>
      <c r="R495" s="294"/>
      <c r="S495" s="294"/>
      <c r="T495" s="294"/>
      <c r="U495" s="294"/>
      <c r="V495" s="294"/>
      <c r="W495" s="294"/>
      <c r="X495" s="294"/>
      <c r="Y495" s="294"/>
      <c r="Z495" s="294"/>
      <c r="AA495" s="294"/>
      <c r="AB495" s="294"/>
    </row>
    <row r="496">
      <c r="A496" s="294"/>
      <c r="B496" s="294"/>
      <c r="C496" s="294"/>
      <c r="D496" s="294"/>
      <c r="E496" s="294"/>
      <c r="F496" s="294"/>
      <c r="G496" s="294"/>
      <c r="H496" s="294"/>
      <c r="I496" s="294"/>
      <c r="J496" s="294"/>
      <c r="K496" s="294"/>
      <c r="L496" s="294"/>
      <c r="M496" s="294"/>
      <c r="N496" s="294"/>
      <c r="O496" s="294"/>
      <c r="P496" s="294"/>
      <c r="Q496" s="294"/>
      <c r="R496" s="294"/>
      <c r="S496" s="294"/>
      <c r="T496" s="294"/>
      <c r="U496" s="294"/>
      <c r="V496" s="294"/>
      <c r="W496" s="294"/>
      <c r="X496" s="294"/>
      <c r="Y496" s="294"/>
      <c r="Z496" s="294"/>
      <c r="AA496" s="294"/>
      <c r="AB496" s="294"/>
    </row>
    <row r="497">
      <c r="A497" s="294"/>
      <c r="B497" s="294"/>
      <c r="C497" s="294"/>
      <c r="D497" s="294"/>
      <c r="E497" s="294"/>
      <c r="F497" s="294"/>
      <c r="G497" s="294"/>
      <c r="H497" s="294"/>
      <c r="I497" s="294"/>
      <c r="J497" s="294"/>
      <c r="K497" s="294"/>
      <c r="L497" s="294"/>
      <c r="M497" s="294"/>
      <c r="N497" s="294"/>
      <c r="O497" s="294"/>
      <c r="P497" s="294"/>
      <c r="Q497" s="294"/>
      <c r="R497" s="294"/>
      <c r="S497" s="294"/>
      <c r="T497" s="294"/>
      <c r="U497" s="294"/>
      <c r="V497" s="294"/>
      <c r="W497" s="294"/>
      <c r="X497" s="294"/>
      <c r="Y497" s="294"/>
      <c r="Z497" s="294"/>
      <c r="AA497" s="294"/>
      <c r="AB497" s="294"/>
    </row>
    <row r="498">
      <c r="A498" s="294"/>
      <c r="B498" s="294"/>
      <c r="C498" s="294"/>
      <c r="D498" s="294"/>
      <c r="E498" s="294"/>
      <c r="F498" s="294"/>
      <c r="G498" s="294"/>
      <c r="H498" s="294"/>
      <c r="I498" s="294"/>
      <c r="J498" s="294"/>
      <c r="K498" s="294"/>
      <c r="L498" s="294"/>
      <c r="M498" s="294"/>
      <c r="N498" s="294"/>
      <c r="O498" s="294"/>
      <c r="P498" s="294"/>
      <c r="Q498" s="294"/>
      <c r="R498" s="294"/>
      <c r="S498" s="294"/>
      <c r="T498" s="294"/>
      <c r="U498" s="294"/>
      <c r="V498" s="294"/>
      <c r="W498" s="294"/>
      <c r="X498" s="294"/>
      <c r="Y498" s="294"/>
      <c r="Z498" s="294"/>
      <c r="AA498" s="294"/>
      <c r="AB498" s="294"/>
    </row>
    <row r="499">
      <c r="A499" s="294"/>
      <c r="B499" s="294"/>
      <c r="C499" s="294"/>
      <c r="D499" s="294"/>
      <c r="E499" s="294"/>
      <c r="F499" s="294"/>
      <c r="G499" s="294"/>
      <c r="H499" s="294"/>
      <c r="I499" s="294"/>
      <c r="J499" s="294"/>
      <c r="K499" s="294"/>
      <c r="L499" s="294"/>
      <c r="M499" s="294"/>
      <c r="N499" s="294"/>
      <c r="O499" s="294"/>
      <c r="P499" s="294"/>
      <c r="Q499" s="294"/>
      <c r="R499" s="294"/>
      <c r="S499" s="294"/>
      <c r="T499" s="294"/>
      <c r="U499" s="294"/>
      <c r="V499" s="294"/>
      <c r="W499" s="294"/>
      <c r="X499" s="294"/>
      <c r="Y499" s="294"/>
      <c r="Z499" s="294"/>
      <c r="AA499" s="294"/>
      <c r="AB499" s="294"/>
    </row>
    <row r="500">
      <c r="A500" s="294"/>
      <c r="B500" s="294"/>
      <c r="C500" s="294"/>
      <c r="D500" s="294"/>
      <c r="E500" s="294"/>
      <c r="F500" s="294"/>
      <c r="G500" s="294"/>
      <c r="H500" s="294"/>
      <c r="I500" s="294"/>
      <c r="J500" s="294"/>
      <c r="K500" s="294"/>
      <c r="L500" s="294"/>
      <c r="M500" s="294"/>
      <c r="N500" s="294"/>
      <c r="O500" s="294"/>
      <c r="P500" s="294"/>
      <c r="Q500" s="294"/>
      <c r="R500" s="294"/>
      <c r="S500" s="294"/>
      <c r="T500" s="294"/>
      <c r="U500" s="294"/>
      <c r="V500" s="294"/>
      <c r="W500" s="294"/>
      <c r="X500" s="294"/>
      <c r="Y500" s="294"/>
      <c r="Z500" s="294"/>
      <c r="AA500" s="294"/>
      <c r="AB500" s="294"/>
    </row>
    <row r="501">
      <c r="A501" s="294"/>
      <c r="B501" s="294"/>
      <c r="C501" s="294"/>
      <c r="D501" s="294"/>
      <c r="E501" s="294"/>
      <c r="F501" s="294"/>
      <c r="G501" s="294"/>
      <c r="H501" s="294"/>
      <c r="I501" s="294"/>
      <c r="J501" s="294"/>
      <c r="K501" s="294"/>
      <c r="L501" s="294"/>
      <c r="M501" s="294"/>
      <c r="N501" s="294"/>
      <c r="O501" s="294"/>
      <c r="P501" s="294"/>
      <c r="Q501" s="294"/>
      <c r="R501" s="294"/>
      <c r="S501" s="294"/>
      <c r="T501" s="294"/>
      <c r="U501" s="294"/>
      <c r="V501" s="294"/>
      <c r="W501" s="294"/>
      <c r="X501" s="294"/>
      <c r="Y501" s="294"/>
      <c r="Z501" s="294"/>
      <c r="AA501" s="294"/>
      <c r="AB501" s="294"/>
    </row>
    <row r="502">
      <c r="A502" s="294"/>
      <c r="B502" s="294"/>
      <c r="C502" s="294"/>
      <c r="D502" s="294"/>
      <c r="E502" s="294"/>
      <c r="F502" s="294"/>
      <c r="G502" s="294"/>
      <c r="H502" s="294"/>
      <c r="I502" s="294"/>
      <c r="J502" s="294"/>
      <c r="K502" s="294"/>
      <c r="L502" s="294"/>
      <c r="M502" s="294"/>
      <c r="N502" s="294"/>
      <c r="O502" s="294"/>
      <c r="P502" s="294"/>
      <c r="Q502" s="294"/>
      <c r="R502" s="294"/>
      <c r="S502" s="294"/>
      <c r="T502" s="294"/>
      <c r="U502" s="294"/>
      <c r="V502" s="294"/>
      <c r="W502" s="294"/>
      <c r="X502" s="294"/>
      <c r="Y502" s="294"/>
      <c r="Z502" s="294"/>
      <c r="AA502" s="294"/>
      <c r="AB502" s="294"/>
    </row>
    <row r="503">
      <c r="A503" s="294"/>
      <c r="B503" s="294"/>
      <c r="C503" s="294"/>
      <c r="D503" s="294"/>
      <c r="E503" s="294"/>
      <c r="F503" s="294"/>
      <c r="G503" s="294"/>
      <c r="H503" s="294"/>
      <c r="I503" s="294"/>
      <c r="J503" s="294"/>
      <c r="K503" s="294"/>
      <c r="L503" s="294"/>
      <c r="M503" s="294"/>
      <c r="N503" s="294"/>
      <c r="O503" s="294"/>
      <c r="P503" s="294"/>
      <c r="Q503" s="294"/>
      <c r="R503" s="294"/>
      <c r="S503" s="294"/>
      <c r="T503" s="294"/>
      <c r="U503" s="294"/>
      <c r="V503" s="294"/>
      <c r="W503" s="294"/>
      <c r="X503" s="294"/>
      <c r="Y503" s="294"/>
      <c r="Z503" s="294"/>
      <c r="AA503" s="294"/>
      <c r="AB503" s="294"/>
    </row>
    <row r="504">
      <c r="A504" s="294"/>
      <c r="B504" s="294"/>
      <c r="C504" s="294"/>
      <c r="D504" s="294"/>
      <c r="E504" s="294"/>
      <c r="F504" s="294"/>
      <c r="G504" s="294"/>
      <c r="H504" s="294"/>
      <c r="I504" s="294"/>
      <c r="J504" s="294"/>
      <c r="K504" s="294"/>
      <c r="L504" s="294"/>
      <c r="M504" s="294"/>
      <c r="N504" s="294"/>
      <c r="O504" s="294"/>
      <c r="P504" s="294"/>
      <c r="Q504" s="294"/>
      <c r="R504" s="294"/>
      <c r="S504" s="294"/>
      <c r="T504" s="294"/>
      <c r="U504" s="294"/>
      <c r="V504" s="294"/>
      <c r="W504" s="294"/>
      <c r="X504" s="294"/>
      <c r="Y504" s="294"/>
      <c r="Z504" s="294"/>
      <c r="AA504" s="294"/>
      <c r="AB504" s="294"/>
    </row>
    <row r="505">
      <c r="A505" s="294"/>
      <c r="B505" s="294"/>
      <c r="C505" s="294"/>
      <c r="D505" s="294"/>
      <c r="E505" s="294"/>
      <c r="F505" s="294"/>
      <c r="G505" s="294"/>
      <c r="H505" s="294"/>
      <c r="I505" s="294"/>
      <c r="J505" s="294"/>
      <c r="K505" s="294"/>
      <c r="L505" s="294"/>
      <c r="M505" s="294"/>
      <c r="N505" s="294"/>
      <c r="O505" s="294"/>
      <c r="P505" s="294"/>
      <c r="Q505" s="294"/>
      <c r="R505" s="294"/>
      <c r="S505" s="294"/>
      <c r="T505" s="294"/>
      <c r="U505" s="294"/>
      <c r="V505" s="294"/>
      <c r="W505" s="294"/>
      <c r="X505" s="294"/>
      <c r="Y505" s="294"/>
      <c r="Z505" s="294"/>
      <c r="AA505" s="294"/>
      <c r="AB505" s="294"/>
    </row>
    <row r="506">
      <c r="A506" s="294"/>
      <c r="B506" s="294"/>
      <c r="C506" s="294"/>
      <c r="D506" s="294"/>
      <c r="E506" s="294"/>
      <c r="F506" s="294"/>
      <c r="G506" s="294"/>
      <c r="H506" s="294"/>
      <c r="I506" s="294"/>
      <c r="J506" s="294"/>
      <c r="K506" s="294"/>
      <c r="L506" s="294"/>
      <c r="M506" s="294"/>
      <c r="N506" s="294"/>
      <c r="O506" s="294"/>
      <c r="P506" s="294"/>
      <c r="Q506" s="294"/>
      <c r="R506" s="294"/>
      <c r="S506" s="294"/>
      <c r="T506" s="294"/>
      <c r="U506" s="294"/>
      <c r="V506" s="294"/>
      <c r="W506" s="294"/>
      <c r="X506" s="294"/>
      <c r="Y506" s="294"/>
      <c r="Z506" s="294"/>
      <c r="AA506" s="294"/>
      <c r="AB506" s="294"/>
    </row>
    <row r="507">
      <c r="A507" s="294"/>
      <c r="B507" s="294"/>
      <c r="C507" s="294"/>
      <c r="D507" s="294"/>
      <c r="E507" s="294"/>
      <c r="F507" s="294"/>
      <c r="G507" s="294"/>
      <c r="H507" s="294"/>
      <c r="I507" s="294"/>
      <c r="J507" s="294"/>
      <c r="K507" s="294"/>
      <c r="L507" s="294"/>
      <c r="M507" s="294"/>
      <c r="N507" s="294"/>
      <c r="O507" s="294"/>
      <c r="P507" s="294"/>
      <c r="Q507" s="294"/>
      <c r="R507" s="294"/>
      <c r="S507" s="294"/>
      <c r="T507" s="294"/>
      <c r="U507" s="294"/>
      <c r="V507" s="294"/>
      <c r="W507" s="294"/>
      <c r="X507" s="294"/>
      <c r="Y507" s="294"/>
      <c r="Z507" s="294"/>
      <c r="AA507" s="294"/>
      <c r="AB507" s="294"/>
    </row>
    <row r="508">
      <c r="A508" s="294"/>
      <c r="B508" s="294"/>
      <c r="C508" s="294"/>
      <c r="D508" s="294"/>
      <c r="E508" s="294"/>
      <c r="F508" s="294"/>
      <c r="G508" s="294"/>
      <c r="H508" s="294"/>
      <c r="I508" s="294"/>
      <c r="J508" s="294"/>
      <c r="K508" s="294"/>
      <c r="L508" s="294"/>
      <c r="M508" s="294"/>
      <c r="N508" s="294"/>
      <c r="O508" s="294"/>
      <c r="P508" s="294"/>
      <c r="Q508" s="294"/>
      <c r="R508" s="294"/>
      <c r="S508" s="294"/>
      <c r="T508" s="294"/>
      <c r="U508" s="294"/>
      <c r="V508" s="294"/>
      <c r="W508" s="294"/>
      <c r="X508" s="294"/>
      <c r="Y508" s="294"/>
      <c r="Z508" s="294"/>
      <c r="AA508" s="294"/>
      <c r="AB508" s="294"/>
    </row>
    <row r="509">
      <c r="A509" s="294"/>
      <c r="B509" s="294"/>
      <c r="C509" s="294"/>
      <c r="D509" s="294"/>
      <c r="E509" s="294"/>
      <c r="F509" s="294"/>
      <c r="G509" s="294"/>
      <c r="H509" s="294"/>
      <c r="I509" s="294"/>
      <c r="J509" s="294"/>
      <c r="K509" s="294"/>
      <c r="L509" s="294"/>
      <c r="M509" s="294"/>
      <c r="N509" s="294"/>
      <c r="O509" s="294"/>
      <c r="P509" s="294"/>
      <c r="Q509" s="294"/>
      <c r="R509" s="294"/>
      <c r="S509" s="294"/>
      <c r="T509" s="294"/>
      <c r="U509" s="294"/>
      <c r="V509" s="294"/>
      <c r="W509" s="294"/>
      <c r="X509" s="294"/>
      <c r="Y509" s="294"/>
      <c r="Z509" s="294"/>
      <c r="AA509" s="294"/>
      <c r="AB509" s="294"/>
    </row>
    <row r="510">
      <c r="A510" s="294"/>
      <c r="B510" s="294"/>
      <c r="C510" s="294"/>
      <c r="D510" s="294"/>
      <c r="E510" s="294"/>
      <c r="F510" s="294"/>
      <c r="G510" s="294"/>
      <c r="H510" s="294"/>
      <c r="I510" s="294"/>
      <c r="J510" s="294"/>
      <c r="K510" s="294"/>
      <c r="L510" s="294"/>
      <c r="M510" s="294"/>
      <c r="N510" s="294"/>
      <c r="O510" s="294"/>
      <c r="P510" s="294"/>
      <c r="Q510" s="294"/>
      <c r="R510" s="294"/>
      <c r="S510" s="294"/>
      <c r="T510" s="294"/>
      <c r="U510" s="294"/>
      <c r="V510" s="294"/>
      <c r="W510" s="294"/>
      <c r="X510" s="294"/>
      <c r="Y510" s="294"/>
      <c r="Z510" s="294"/>
      <c r="AA510" s="294"/>
      <c r="AB510" s="294"/>
    </row>
    <row r="511">
      <c r="A511" s="294"/>
      <c r="B511" s="294"/>
      <c r="C511" s="294"/>
      <c r="D511" s="294"/>
      <c r="E511" s="294"/>
      <c r="F511" s="294"/>
      <c r="G511" s="294"/>
      <c r="H511" s="294"/>
      <c r="I511" s="294"/>
      <c r="J511" s="294"/>
      <c r="K511" s="294"/>
      <c r="L511" s="294"/>
      <c r="M511" s="294"/>
      <c r="N511" s="294"/>
      <c r="O511" s="294"/>
      <c r="P511" s="294"/>
      <c r="Q511" s="294"/>
      <c r="R511" s="294"/>
      <c r="S511" s="294"/>
      <c r="T511" s="294"/>
      <c r="U511" s="294"/>
      <c r="V511" s="294"/>
      <c r="W511" s="294"/>
      <c r="X511" s="294"/>
      <c r="Y511" s="294"/>
      <c r="Z511" s="294"/>
      <c r="AA511" s="294"/>
      <c r="AB511" s="294"/>
    </row>
    <row r="512">
      <c r="A512" s="294"/>
      <c r="B512" s="294"/>
      <c r="C512" s="294"/>
      <c r="D512" s="294"/>
      <c r="E512" s="294"/>
      <c r="F512" s="294"/>
      <c r="G512" s="294"/>
      <c r="H512" s="294"/>
      <c r="I512" s="294"/>
      <c r="J512" s="294"/>
      <c r="K512" s="294"/>
      <c r="L512" s="294"/>
      <c r="M512" s="294"/>
      <c r="N512" s="294"/>
      <c r="O512" s="294"/>
      <c r="P512" s="294"/>
      <c r="Q512" s="294"/>
      <c r="R512" s="294"/>
      <c r="S512" s="294"/>
      <c r="T512" s="294"/>
      <c r="U512" s="294"/>
      <c r="V512" s="294"/>
      <c r="W512" s="294"/>
      <c r="X512" s="294"/>
      <c r="Y512" s="294"/>
      <c r="Z512" s="294"/>
      <c r="AA512" s="294"/>
      <c r="AB512" s="294"/>
    </row>
    <row r="513">
      <c r="A513" s="294"/>
      <c r="B513" s="294"/>
      <c r="C513" s="294"/>
      <c r="D513" s="294"/>
      <c r="E513" s="294"/>
      <c r="F513" s="294"/>
      <c r="G513" s="294"/>
      <c r="H513" s="294"/>
      <c r="I513" s="294"/>
      <c r="J513" s="294"/>
      <c r="K513" s="294"/>
      <c r="L513" s="294"/>
      <c r="M513" s="294"/>
      <c r="N513" s="294"/>
      <c r="O513" s="294"/>
      <c r="P513" s="294"/>
      <c r="Q513" s="294"/>
      <c r="R513" s="294"/>
      <c r="S513" s="294"/>
      <c r="T513" s="294"/>
      <c r="U513" s="294"/>
      <c r="V513" s="294"/>
      <c r="W513" s="294"/>
      <c r="X513" s="294"/>
      <c r="Y513" s="294"/>
      <c r="Z513" s="294"/>
      <c r="AA513" s="294"/>
      <c r="AB513" s="294"/>
    </row>
    <row r="514">
      <c r="A514" s="294"/>
      <c r="B514" s="294"/>
      <c r="C514" s="294"/>
      <c r="D514" s="294"/>
      <c r="E514" s="294"/>
      <c r="F514" s="294"/>
      <c r="G514" s="294"/>
      <c r="H514" s="294"/>
      <c r="I514" s="294"/>
      <c r="J514" s="294"/>
      <c r="K514" s="294"/>
      <c r="L514" s="294"/>
      <c r="M514" s="294"/>
      <c r="N514" s="294"/>
      <c r="O514" s="294"/>
      <c r="P514" s="294"/>
      <c r="Q514" s="294"/>
      <c r="R514" s="294"/>
      <c r="S514" s="294"/>
      <c r="T514" s="294"/>
      <c r="U514" s="294"/>
      <c r="V514" s="294"/>
      <c r="W514" s="294"/>
      <c r="X514" s="294"/>
      <c r="Y514" s="294"/>
      <c r="Z514" s="294"/>
      <c r="AA514" s="294"/>
      <c r="AB514" s="294"/>
    </row>
    <row r="515">
      <c r="A515" s="294"/>
      <c r="B515" s="294"/>
      <c r="C515" s="294"/>
      <c r="D515" s="294"/>
      <c r="E515" s="294"/>
      <c r="F515" s="294"/>
      <c r="G515" s="294"/>
      <c r="H515" s="294"/>
      <c r="I515" s="294"/>
      <c r="J515" s="294"/>
      <c r="K515" s="294"/>
      <c r="L515" s="294"/>
      <c r="M515" s="294"/>
      <c r="N515" s="294"/>
      <c r="O515" s="294"/>
      <c r="P515" s="294"/>
      <c r="Q515" s="294"/>
      <c r="R515" s="294"/>
      <c r="S515" s="294"/>
      <c r="T515" s="294"/>
      <c r="U515" s="294"/>
      <c r="V515" s="294"/>
      <c r="W515" s="294"/>
      <c r="X515" s="294"/>
      <c r="Y515" s="294"/>
      <c r="Z515" s="294"/>
      <c r="AA515" s="294"/>
      <c r="AB515" s="294"/>
    </row>
    <row r="516">
      <c r="A516" s="294"/>
      <c r="B516" s="294"/>
      <c r="C516" s="294"/>
      <c r="D516" s="294"/>
      <c r="E516" s="294"/>
      <c r="F516" s="294"/>
      <c r="G516" s="294"/>
      <c r="H516" s="294"/>
      <c r="I516" s="294"/>
      <c r="J516" s="294"/>
      <c r="K516" s="294"/>
      <c r="L516" s="294"/>
      <c r="M516" s="294"/>
      <c r="N516" s="294"/>
      <c r="O516" s="294"/>
      <c r="P516" s="294"/>
      <c r="Q516" s="294"/>
      <c r="R516" s="294"/>
      <c r="S516" s="294"/>
      <c r="T516" s="294"/>
      <c r="U516" s="294"/>
      <c r="V516" s="294"/>
      <c r="W516" s="294"/>
      <c r="X516" s="294"/>
      <c r="Y516" s="294"/>
      <c r="Z516" s="294"/>
      <c r="AA516" s="294"/>
      <c r="AB516" s="294"/>
    </row>
    <row r="517">
      <c r="A517" s="294"/>
      <c r="B517" s="294"/>
      <c r="C517" s="294"/>
      <c r="D517" s="294"/>
      <c r="E517" s="294"/>
      <c r="F517" s="294"/>
      <c r="G517" s="294"/>
      <c r="H517" s="294"/>
      <c r="I517" s="294"/>
      <c r="J517" s="294"/>
      <c r="K517" s="294"/>
      <c r="L517" s="294"/>
      <c r="M517" s="294"/>
      <c r="N517" s="294"/>
      <c r="O517" s="294"/>
      <c r="P517" s="294"/>
      <c r="Q517" s="294"/>
      <c r="R517" s="294"/>
      <c r="S517" s="294"/>
      <c r="T517" s="294"/>
      <c r="U517" s="294"/>
      <c r="V517" s="294"/>
      <c r="W517" s="294"/>
      <c r="X517" s="294"/>
      <c r="Y517" s="294"/>
      <c r="Z517" s="294"/>
      <c r="AA517" s="294"/>
      <c r="AB517" s="294"/>
    </row>
    <row r="518">
      <c r="A518" s="294"/>
      <c r="B518" s="294"/>
      <c r="C518" s="294"/>
      <c r="D518" s="294"/>
      <c r="E518" s="294"/>
      <c r="F518" s="294"/>
      <c r="G518" s="294"/>
      <c r="H518" s="294"/>
      <c r="I518" s="294"/>
      <c r="J518" s="294"/>
      <c r="K518" s="294"/>
      <c r="L518" s="294"/>
      <c r="M518" s="294"/>
      <c r="N518" s="294"/>
      <c r="O518" s="294"/>
      <c r="P518" s="294"/>
      <c r="Q518" s="294"/>
      <c r="R518" s="294"/>
      <c r="S518" s="294"/>
      <c r="T518" s="294"/>
      <c r="U518" s="294"/>
      <c r="V518" s="294"/>
      <c r="W518" s="294"/>
      <c r="X518" s="294"/>
      <c r="Y518" s="294"/>
      <c r="Z518" s="294"/>
      <c r="AA518" s="294"/>
      <c r="AB518" s="294"/>
    </row>
    <row r="519">
      <c r="A519" s="294"/>
      <c r="B519" s="294"/>
      <c r="C519" s="294"/>
      <c r="D519" s="294"/>
      <c r="E519" s="294"/>
      <c r="F519" s="294"/>
      <c r="G519" s="294"/>
      <c r="H519" s="294"/>
      <c r="I519" s="294"/>
      <c r="J519" s="294"/>
      <c r="K519" s="294"/>
      <c r="L519" s="294"/>
      <c r="M519" s="294"/>
      <c r="N519" s="294"/>
      <c r="O519" s="294"/>
      <c r="P519" s="294"/>
      <c r="Q519" s="294"/>
      <c r="R519" s="294"/>
      <c r="S519" s="294"/>
      <c r="T519" s="294"/>
      <c r="U519" s="294"/>
      <c r="V519" s="294"/>
      <c r="W519" s="294"/>
      <c r="X519" s="294"/>
      <c r="Y519" s="294"/>
      <c r="Z519" s="294"/>
      <c r="AA519" s="294"/>
      <c r="AB519" s="294"/>
    </row>
    <row r="520">
      <c r="A520" s="294"/>
      <c r="B520" s="294"/>
      <c r="C520" s="294"/>
      <c r="D520" s="294"/>
      <c r="E520" s="294"/>
      <c r="F520" s="294"/>
      <c r="G520" s="294"/>
      <c r="H520" s="294"/>
      <c r="I520" s="294"/>
      <c r="J520" s="294"/>
      <c r="K520" s="294"/>
      <c r="L520" s="294"/>
      <c r="M520" s="294"/>
      <c r="N520" s="294"/>
      <c r="O520" s="294"/>
      <c r="P520" s="294"/>
      <c r="Q520" s="294"/>
      <c r="R520" s="294"/>
      <c r="S520" s="294"/>
      <c r="T520" s="294"/>
      <c r="U520" s="294"/>
      <c r="V520" s="294"/>
      <c r="W520" s="294"/>
      <c r="X520" s="294"/>
      <c r="Y520" s="294"/>
      <c r="Z520" s="294"/>
      <c r="AA520" s="294"/>
      <c r="AB520" s="294"/>
    </row>
    <row r="521">
      <c r="A521" s="294"/>
      <c r="B521" s="294"/>
      <c r="C521" s="294"/>
      <c r="D521" s="294"/>
      <c r="E521" s="294"/>
      <c r="F521" s="294"/>
      <c r="G521" s="294"/>
      <c r="H521" s="294"/>
      <c r="I521" s="294"/>
      <c r="J521" s="294"/>
      <c r="K521" s="294"/>
      <c r="L521" s="294"/>
      <c r="M521" s="294"/>
      <c r="N521" s="294"/>
      <c r="O521" s="294"/>
      <c r="P521" s="294"/>
      <c r="Q521" s="294"/>
      <c r="R521" s="294"/>
      <c r="S521" s="294"/>
      <c r="T521" s="294"/>
      <c r="U521" s="294"/>
      <c r="V521" s="294"/>
      <c r="W521" s="294"/>
      <c r="X521" s="294"/>
      <c r="Y521" s="294"/>
      <c r="Z521" s="294"/>
      <c r="AA521" s="294"/>
      <c r="AB521" s="294"/>
    </row>
    <row r="522">
      <c r="A522" s="294"/>
      <c r="B522" s="294"/>
      <c r="C522" s="294"/>
      <c r="D522" s="294"/>
      <c r="E522" s="294"/>
      <c r="F522" s="294"/>
      <c r="G522" s="294"/>
      <c r="H522" s="294"/>
      <c r="I522" s="294"/>
      <c r="J522" s="294"/>
      <c r="K522" s="294"/>
      <c r="L522" s="294"/>
      <c r="M522" s="294"/>
      <c r="N522" s="294"/>
      <c r="O522" s="294"/>
      <c r="P522" s="294"/>
      <c r="Q522" s="294"/>
      <c r="R522" s="294"/>
      <c r="S522" s="294"/>
      <c r="T522" s="294"/>
      <c r="U522" s="294"/>
      <c r="V522" s="294"/>
      <c r="W522" s="294"/>
      <c r="X522" s="294"/>
      <c r="Y522" s="294"/>
      <c r="Z522" s="294"/>
      <c r="AA522" s="294"/>
      <c r="AB522" s="294"/>
    </row>
    <row r="523">
      <c r="A523" s="294"/>
      <c r="B523" s="294"/>
      <c r="C523" s="294"/>
      <c r="D523" s="294"/>
      <c r="E523" s="294"/>
      <c r="F523" s="294"/>
      <c r="G523" s="294"/>
      <c r="H523" s="294"/>
      <c r="I523" s="294"/>
      <c r="J523" s="294"/>
      <c r="K523" s="294"/>
      <c r="L523" s="294"/>
      <c r="M523" s="294"/>
      <c r="N523" s="294"/>
      <c r="O523" s="294"/>
      <c r="P523" s="294"/>
      <c r="Q523" s="294"/>
      <c r="R523" s="294"/>
      <c r="S523" s="294"/>
      <c r="T523" s="294"/>
      <c r="U523" s="294"/>
      <c r="V523" s="294"/>
      <c r="W523" s="294"/>
      <c r="X523" s="294"/>
      <c r="Y523" s="294"/>
      <c r="Z523" s="294"/>
      <c r="AA523" s="294"/>
      <c r="AB523" s="294"/>
    </row>
    <row r="524">
      <c r="A524" s="294"/>
      <c r="B524" s="294"/>
      <c r="C524" s="294"/>
      <c r="D524" s="294"/>
      <c r="E524" s="294"/>
      <c r="F524" s="294"/>
      <c r="G524" s="294"/>
      <c r="H524" s="294"/>
      <c r="I524" s="294"/>
      <c r="J524" s="294"/>
      <c r="K524" s="294"/>
      <c r="L524" s="294"/>
      <c r="M524" s="294"/>
      <c r="N524" s="294"/>
      <c r="O524" s="294"/>
      <c r="P524" s="294"/>
      <c r="Q524" s="294"/>
      <c r="R524" s="294"/>
      <c r="S524" s="294"/>
      <c r="T524" s="294"/>
      <c r="U524" s="294"/>
      <c r="V524" s="294"/>
      <c r="W524" s="294"/>
      <c r="X524" s="294"/>
      <c r="Y524" s="294"/>
      <c r="Z524" s="294"/>
      <c r="AA524" s="294"/>
      <c r="AB524" s="294"/>
    </row>
    <row r="525">
      <c r="A525" s="294"/>
      <c r="B525" s="294"/>
      <c r="C525" s="294"/>
      <c r="D525" s="294"/>
      <c r="E525" s="294"/>
      <c r="F525" s="294"/>
      <c r="G525" s="294"/>
      <c r="H525" s="294"/>
      <c r="I525" s="294"/>
      <c r="J525" s="294"/>
      <c r="K525" s="294"/>
      <c r="L525" s="294"/>
      <c r="M525" s="294"/>
      <c r="N525" s="294"/>
      <c r="O525" s="294"/>
      <c r="P525" s="294"/>
      <c r="Q525" s="294"/>
      <c r="R525" s="294"/>
      <c r="S525" s="294"/>
      <c r="T525" s="294"/>
      <c r="U525" s="294"/>
      <c r="V525" s="294"/>
      <c r="W525" s="294"/>
      <c r="X525" s="294"/>
      <c r="Y525" s="294"/>
      <c r="Z525" s="294"/>
      <c r="AA525" s="294"/>
      <c r="AB525" s="294"/>
    </row>
    <row r="526">
      <c r="A526" s="294"/>
      <c r="B526" s="294"/>
      <c r="C526" s="294"/>
      <c r="D526" s="294"/>
      <c r="E526" s="294"/>
      <c r="F526" s="294"/>
      <c r="G526" s="294"/>
      <c r="H526" s="294"/>
      <c r="I526" s="294"/>
      <c r="J526" s="294"/>
      <c r="K526" s="294"/>
      <c r="L526" s="294"/>
      <c r="M526" s="294"/>
      <c r="N526" s="294"/>
      <c r="O526" s="294"/>
      <c r="P526" s="294"/>
      <c r="Q526" s="294"/>
      <c r="R526" s="294"/>
      <c r="S526" s="294"/>
      <c r="T526" s="294"/>
      <c r="U526" s="294"/>
      <c r="V526" s="294"/>
      <c r="W526" s="294"/>
      <c r="X526" s="294"/>
      <c r="Y526" s="294"/>
      <c r="Z526" s="294"/>
      <c r="AA526" s="294"/>
      <c r="AB526" s="294"/>
    </row>
    <row r="527">
      <c r="A527" s="294"/>
      <c r="B527" s="294"/>
      <c r="C527" s="294"/>
      <c r="D527" s="294"/>
      <c r="E527" s="294"/>
      <c r="F527" s="294"/>
      <c r="G527" s="294"/>
      <c r="H527" s="294"/>
      <c r="I527" s="294"/>
      <c r="J527" s="294"/>
      <c r="K527" s="294"/>
      <c r="L527" s="294"/>
      <c r="M527" s="294"/>
      <c r="N527" s="294"/>
      <c r="O527" s="294"/>
      <c r="P527" s="294"/>
      <c r="Q527" s="294"/>
      <c r="R527" s="294"/>
      <c r="S527" s="294"/>
      <c r="T527" s="294"/>
      <c r="U527" s="294"/>
      <c r="V527" s="294"/>
      <c r="W527" s="294"/>
      <c r="X527" s="294"/>
      <c r="Y527" s="294"/>
      <c r="Z527" s="294"/>
      <c r="AA527" s="294"/>
      <c r="AB527" s="294"/>
    </row>
    <row r="528">
      <c r="A528" s="294"/>
      <c r="B528" s="294"/>
      <c r="C528" s="294"/>
      <c r="D528" s="294"/>
      <c r="E528" s="294"/>
      <c r="F528" s="294"/>
      <c r="G528" s="294"/>
      <c r="H528" s="294"/>
      <c r="I528" s="294"/>
      <c r="J528" s="294"/>
      <c r="K528" s="294"/>
      <c r="L528" s="294"/>
      <c r="M528" s="294"/>
      <c r="N528" s="294"/>
      <c r="O528" s="294"/>
      <c r="P528" s="294"/>
      <c r="Q528" s="294"/>
      <c r="R528" s="294"/>
      <c r="S528" s="294"/>
      <c r="T528" s="294"/>
      <c r="U528" s="294"/>
      <c r="V528" s="294"/>
      <c r="W528" s="294"/>
      <c r="X528" s="294"/>
      <c r="Y528" s="294"/>
      <c r="Z528" s="294"/>
      <c r="AA528" s="294"/>
      <c r="AB528" s="294"/>
    </row>
    <row r="529">
      <c r="A529" s="294"/>
      <c r="B529" s="294"/>
      <c r="C529" s="294"/>
      <c r="D529" s="294"/>
      <c r="E529" s="294"/>
      <c r="F529" s="294"/>
      <c r="G529" s="294"/>
      <c r="H529" s="294"/>
      <c r="I529" s="294"/>
      <c r="J529" s="294"/>
      <c r="K529" s="294"/>
      <c r="L529" s="294"/>
      <c r="M529" s="294"/>
      <c r="N529" s="294"/>
      <c r="O529" s="294"/>
      <c r="P529" s="294"/>
      <c r="Q529" s="294"/>
      <c r="R529" s="294"/>
      <c r="S529" s="294"/>
      <c r="T529" s="294"/>
      <c r="U529" s="294"/>
      <c r="V529" s="294"/>
      <c r="W529" s="294"/>
      <c r="X529" s="294"/>
      <c r="Y529" s="294"/>
      <c r="Z529" s="294"/>
      <c r="AA529" s="294"/>
      <c r="AB529" s="294"/>
    </row>
    <row r="530">
      <c r="A530" s="294"/>
      <c r="B530" s="294"/>
      <c r="C530" s="294"/>
      <c r="D530" s="294"/>
      <c r="E530" s="294"/>
      <c r="F530" s="294"/>
      <c r="G530" s="294"/>
      <c r="H530" s="294"/>
      <c r="I530" s="294"/>
      <c r="J530" s="294"/>
      <c r="K530" s="294"/>
      <c r="L530" s="294"/>
      <c r="M530" s="294"/>
      <c r="N530" s="294"/>
      <c r="O530" s="294"/>
      <c r="P530" s="294"/>
      <c r="Q530" s="294"/>
      <c r="R530" s="294"/>
      <c r="S530" s="294"/>
      <c r="T530" s="294"/>
      <c r="U530" s="294"/>
      <c r="V530" s="294"/>
      <c r="W530" s="294"/>
      <c r="X530" s="294"/>
      <c r="Y530" s="294"/>
      <c r="Z530" s="294"/>
      <c r="AA530" s="294"/>
      <c r="AB530" s="294"/>
    </row>
    <row r="531">
      <c r="A531" s="294"/>
      <c r="B531" s="294"/>
      <c r="C531" s="294"/>
      <c r="D531" s="294"/>
      <c r="E531" s="294"/>
      <c r="F531" s="294"/>
      <c r="G531" s="294"/>
      <c r="H531" s="294"/>
      <c r="I531" s="294"/>
      <c r="J531" s="294"/>
      <c r="K531" s="294"/>
      <c r="L531" s="294"/>
      <c r="M531" s="294"/>
      <c r="N531" s="294"/>
      <c r="O531" s="294"/>
      <c r="P531" s="294"/>
      <c r="Q531" s="294"/>
      <c r="R531" s="294"/>
      <c r="S531" s="294"/>
      <c r="T531" s="294"/>
      <c r="U531" s="294"/>
      <c r="V531" s="294"/>
      <c r="W531" s="294"/>
      <c r="X531" s="294"/>
      <c r="Y531" s="294"/>
      <c r="Z531" s="294"/>
      <c r="AA531" s="294"/>
      <c r="AB531" s="294"/>
    </row>
    <row r="532">
      <c r="A532" s="294"/>
      <c r="B532" s="294"/>
      <c r="C532" s="294"/>
      <c r="D532" s="294"/>
      <c r="E532" s="294"/>
      <c r="F532" s="294"/>
      <c r="G532" s="294"/>
      <c r="H532" s="294"/>
      <c r="I532" s="294"/>
      <c r="J532" s="294"/>
      <c r="K532" s="294"/>
      <c r="L532" s="294"/>
      <c r="M532" s="294"/>
      <c r="N532" s="294"/>
      <c r="O532" s="294"/>
      <c r="P532" s="294"/>
      <c r="Q532" s="294"/>
      <c r="R532" s="294"/>
      <c r="S532" s="294"/>
      <c r="T532" s="294"/>
      <c r="U532" s="294"/>
      <c r="V532" s="294"/>
      <c r="W532" s="294"/>
      <c r="X532" s="294"/>
      <c r="Y532" s="294"/>
      <c r="Z532" s="294"/>
      <c r="AA532" s="294"/>
      <c r="AB532" s="294"/>
    </row>
    <row r="533">
      <c r="A533" s="294"/>
      <c r="B533" s="294"/>
      <c r="C533" s="294"/>
      <c r="D533" s="294"/>
      <c r="E533" s="294"/>
      <c r="F533" s="294"/>
      <c r="G533" s="294"/>
      <c r="H533" s="294"/>
      <c r="I533" s="294"/>
      <c r="J533" s="294"/>
      <c r="K533" s="294"/>
      <c r="L533" s="294"/>
      <c r="M533" s="294"/>
      <c r="N533" s="294"/>
      <c r="O533" s="294"/>
      <c r="P533" s="294"/>
      <c r="Q533" s="294"/>
      <c r="R533" s="294"/>
      <c r="S533" s="294"/>
      <c r="T533" s="294"/>
      <c r="U533" s="294"/>
      <c r="V533" s="294"/>
      <c r="W533" s="294"/>
      <c r="X533" s="294"/>
      <c r="Y533" s="294"/>
      <c r="Z533" s="294"/>
      <c r="AA533" s="294"/>
      <c r="AB533" s="294"/>
    </row>
    <row r="534">
      <c r="A534" s="294"/>
      <c r="B534" s="294"/>
      <c r="C534" s="294"/>
      <c r="D534" s="294"/>
      <c r="E534" s="294"/>
      <c r="F534" s="294"/>
      <c r="G534" s="294"/>
      <c r="H534" s="294"/>
      <c r="I534" s="294"/>
      <c r="J534" s="294"/>
      <c r="K534" s="294"/>
      <c r="L534" s="294"/>
      <c r="M534" s="294"/>
      <c r="N534" s="294"/>
      <c r="O534" s="294"/>
      <c r="P534" s="294"/>
      <c r="Q534" s="294"/>
      <c r="R534" s="294"/>
      <c r="S534" s="294"/>
      <c r="T534" s="294"/>
      <c r="U534" s="294"/>
      <c r="V534" s="294"/>
      <c r="W534" s="294"/>
      <c r="X534" s="294"/>
      <c r="Y534" s="294"/>
      <c r="Z534" s="294"/>
      <c r="AA534" s="294"/>
      <c r="AB534" s="294"/>
    </row>
    <row r="535">
      <c r="A535" s="294"/>
      <c r="B535" s="294"/>
      <c r="C535" s="294"/>
      <c r="D535" s="294"/>
      <c r="E535" s="294"/>
      <c r="F535" s="294"/>
      <c r="G535" s="294"/>
      <c r="H535" s="294"/>
      <c r="I535" s="294"/>
      <c r="J535" s="294"/>
      <c r="K535" s="294"/>
      <c r="L535" s="294"/>
      <c r="M535" s="294"/>
      <c r="N535" s="294"/>
      <c r="O535" s="294"/>
      <c r="P535" s="294"/>
      <c r="Q535" s="294"/>
      <c r="R535" s="294"/>
      <c r="S535" s="294"/>
      <c r="T535" s="294"/>
      <c r="U535" s="294"/>
      <c r="V535" s="294"/>
      <c r="W535" s="294"/>
      <c r="X535" s="294"/>
      <c r="Y535" s="294"/>
      <c r="Z535" s="294"/>
      <c r="AA535" s="294"/>
      <c r="AB535" s="294"/>
    </row>
    <row r="536">
      <c r="A536" s="294"/>
      <c r="B536" s="294"/>
      <c r="C536" s="294"/>
      <c r="D536" s="294"/>
      <c r="E536" s="294"/>
      <c r="F536" s="294"/>
      <c r="G536" s="294"/>
      <c r="H536" s="294"/>
      <c r="I536" s="294"/>
      <c r="J536" s="294"/>
      <c r="K536" s="294"/>
      <c r="L536" s="294"/>
      <c r="M536" s="294"/>
      <c r="N536" s="294"/>
      <c r="O536" s="294"/>
      <c r="P536" s="294"/>
      <c r="Q536" s="294"/>
      <c r="R536" s="294"/>
      <c r="S536" s="294"/>
      <c r="T536" s="294"/>
      <c r="U536" s="294"/>
      <c r="V536" s="294"/>
      <c r="W536" s="294"/>
      <c r="X536" s="294"/>
      <c r="Y536" s="294"/>
      <c r="Z536" s="294"/>
      <c r="AA536" s="294"/>
      <c r="AB536" s="294"/>
    </row>
    <row r="537">
      <c r="A537" s="294"/>
      <c r="B537" s="294"/>
      <c r="C537" s="294"/>
      <c r="D537" s="294"/>
      <c r="E537" s="294"/>
      <c r="F537" s="294"/>
      <c r="G537" s="294"/>
      <c r="H537" s="294"/>
      <c r="I537" s="294"/>
      <c r="J537" s="294"/>
      <c r="K537" s="294"/>
      <c r="L537" s="294"/>
      <c r="M537" s="294"/>
      <c r="N537" s="294"/>
      <c r="O537" s="294"/>
      <c r="P537" s="294"/>
      <c r="Q537" s="294"/>
      <c r="R537" s="294"/>
      <c r="S537" s="294"/>
      <c r="T537" s="294"/>
      <c r="U537" s="294"/>
      <c r="V537" s="294"/>
      <c r="W537" s="294"/>
      <c r="X537" s="294"/>
      <c r="Y537" s="294"/>
      <c r="Z537" s="294"/>
      <c r="AA537" s="294"/>
      <c r="AB537" s="294"/>
    </row>
    <row r="538">
      <c r="A538" s="294"/>
      <c r="B538" s="294"/>
      <c r="C538" s="294"/>
      <c r="D538" s="294"/>
      <c r="E538" s="294"/>
      <c r="F538" s="294"/>
      <c r="G538" s="294"/>
      <c r="H538" s="294"/>
      <c r="I538" s="294"/>
      <c r="J538" s="294"/>
      <c r="K538" s="294"/>
      <c r="L538" s="294"/>
      <c r="M538" s="294"/>
      <c r="N538" s="294"/>
      <c r="O538" s="294"/>
      <c r="P538" s="294"/>
      <c r="Q538" s="294"/>
      <c r="R538" s="294"/>
      <c r="S538" s="294"/>
      <c r="T538" s="294"/>
      <c r="U538" s="294"/>
      <c r="V538" s="294"/>
      <c r="W538" s="294"/>
      <c r="X538" s="294"/>
      <c r="Y538" s="294"/>
      <c r="Z538" s="294"/>
      <c r="AA538" s="294"/>
      <c r="AB538" s="294"/>
    </row>
    <row r="539">
      <c r="A539" s="294"/>
      <c r="B539" s="294"/>
      <c r="C539" s="294"/>
      <c r="D539" s="294"/>
      <c r="E539" s="294"/>
      <c r="F539" s="294"/>
      <c r="G539" s="294"/>
      <c r="H539" s="294"/>
      <c r="I539" s="294"/>
      <c r="J539" s="294"/>
      <c r="K539" s="294"/>
      <c r="L539" s="294"/>
      <c r="M539" s="294"/>
      <c r="N539" s="294"/>
      <c r="O539" s="294"/>
      <c r="P539" s="294"/>
      <c r="Q539" s="294"/>
      <c r="R539" s="294"/>
      <c r="S539" s="294"/>
      <c r="T539" s="294"/>
      <c r="U539" s="294"/>
      <c r="V539" s="294"/>
      <c r="W539" s="294"/>
      <c r="X539" s="294"/>
      <c r="Y539" s="294"/>
      <c r="Z539" s="294"/>
      <c r="AA539" s="294"/>
      <c r="AB539" s="294"/>
    </row>
    <row r="540">
      <c r="A540" s="294"/>
      <c r="B540" s="294"/>
      <c r="C540" s="294"/>
      <c r="D540" s="294"/>
      <c r="E540" s="294"/>
      <c r="F540" s="294"/>
      <c r="G540" s="294"/>
      <c r="H540" s="294"/>
      <c r="I540" s="294"/>
      <c r="J540" s="294"/>
      <c r="K540" s="294"/>
      <c r="L540" s="294"/>
      <c r="M540" s="294"/>
      <c r="N540" s="294"/>
      <c r="O540" s="294"/>
      <c r="P540" s="294"/>
      <c r="Q540" s="294"/>
      <c r="R540" s="294"/>
      <c r="S540" s="294"/>
      <c r="T540" s="294"/>
      <c r="U540" s="294"/>
      <c r="V540" s="294"/>
      <c r="W540" s="294"/>
      <c r="X540" s="294"/>
      <c r="Y540" s="294"/>
      <c r="Z540" s="294"/>
      <c r="AA540" s="294"/>
      <c r="AB540" s="294"/>
    </row>
    <row r="541">
      <c r="A541" s="294"/>
      <c r="B541" s="294"/>
      <c r="C541" s="294"/>
      <c r="D541" s="294"/>
      <c r="E541" s="294"/>
      <c r="F541" s="294"/>
      <c r="G541" s="294"/>
      <c r="H541" s="294"/>
      <c r="I541" s="294"/>
      <c r="J541" s="294"/>
      <c r="K541" s="294"/>
      <c r="L541" s="294"/>
      <c r="M541" s="294"/>
      <c r="N541" s="294"/>
      <c r="O541" s="294"/>
      <c r="P541" s="294"/>
      <c r="Q541" s="294"/>
      <c r="R541" s="294"/>
      <c r="S541" s="294"/>
      <c r="T541" s="294"/>
      <c r="U541" s="294"/>
      <c r="V541" s="294"/>
      <c r="W541" s="294"/>
      <c r="X541" s="294"/>
      <c r="Y541" s="294"/>
      <c r="Z541" s="294"/>
      <c r="AA541" s="294"/>
      <c r="AB541" s="294"/>
    </row>
    <row r="542">
      <c r="A542" s="294"/>
      <c r="B542" s="294"/>
      <c r="C542" s="294"/>
      <c r="D542" s="294"/>
      <c r="E542" s="294"/>
      <c r="F542" s="294"/>
      <c r="G542" s="294"/>
      <c r="H542" s="294"/>
      <c r="I542" s="294"/>
      <c r="J542" s="294"/>
      <c r="K542" s="294"/>
      <c r="L542" s="294"/>
      <c r="M542" s="294"/>
      <c r="N542" s="294"/>
      <c r="O542" s="294"/>
      <c r="P542" s="294"/>
      <c r="Q542" s="294"/>
      <c r="R542" s="294"/>
      <c r="S542" s="294"/>
      <c r="T542" s="294"/>
      <c r="U542" s="294"/>
      <c r="V542" s="294"/>
      <c r="W542" s="294"/>
      <c r="X542" s="294"/>
      <c r="Y542" s="294"/>
      <c r="Z542" s="294"/>
      <c r="AA542" s="294"/>
      <c r="AB542" s="294"/>
    </row>
    <row r="543">
      <c r="A543" s="294"/>
      <c r="B543" s="294"/>
      <c r="C543" s="294"/>
      <c r="D543" s="294"/>
      <c r="E543" s="294"/>
      <c r="F543" s="294"/>
      <c r="G543" s="294"/>
      <c r="H543" s="294"/>
      <c r="I543" s="294"/>
      <c r="J543" s="294"/>
      <c r="K543" s="294"/>
      <c r="L543" s="294"/>
      <c r="M543" s="294"/>
      <c r="N543" s="294"/>
      <c r="O543" s="294"/>
      <c r="P543" s="294"/>
      <c r="Q543" s="294"/>
      <c r="R543" s="294"/>
      <c r="S543" s="294"/>
      <c r="T543" s="294"/>
      <c r="U543" s="294"/>
      <c r="V543" s="294"/>
      <c r="W543" s="294"/>
      <c r="X543" s="294"/>
      <c r="Y543" s="294"/>
      <c r="Z543" s="294"/>
      <c r="AA543" s="294"/>
      <c r="AB543" s="294"/>
    </row>
    <row r="544">
      <c r="A544" s="294"/>
      <c r="B544" s="294"/>
      <c r="C544" s="294"/>
      <c r="D544" s="294"/>
      <c r="E544" s="294"/>
      <c r="F544" s="294"/>
      <c r="G544" s="294"/>
      <c r="H544" s="294"/>
      <c r="I544" s="294"/>
      <c r="J544" s="294"/>
      <c r="K544" s="294"/>
      <c r="L544" s="294"/>
      <c r="M544" s="294"/>
      <c r="N544" s="294"/>
      <c r="O544" s="294"/>
      <c r="P544" s="294"/>
      <c r="Q544" s="294"/>
      <c r="R544" s="294"/>
      <c r="S544" s="294"/>
      <c r="T544" s="294"/>
      <c r="U544" s="294"/>
      <c r="V544" s="294"/>
      <c r="W544" s="294"/>
      <c r="X544" s="294"/>
      <c r="Y544" s="294"/>
      <c r="Z544" s="294"/>
      <c r="AA544" s="294"/>
      <c r="AB544" s="294"/>
    </row>
    <row r="545">
      <c r="A545" s="294"/>
      <c r="B545" s="294"/>
      <c r="C545" s="294"/>
      <c r="D545" s="294"/>
      <c r="E545" s="294"/>
      <c r="F545" s="294"/>
      <c r="G545" s="294"/>
      <c r="H545" s="294"/>
      <c r="I545" s="294"/>
      <c r="J545" s="294"/>
      <c r="K545" s="294"/>
      <c r="L545" s="294"/>
      <c r="M545" s="294"/>
      <c r="N545" s="294"/>
      <c r="O545" s="294"/>
      <c r="P545" s="294"/>
      <c r="Q545" s="294"/>
      <c r="R545" s="294"/>
      <c r="S545" s="294"/>
      <c r="T545" s="294"/>
      <c r="U545" s="294"/>
      <c r="V545" s="294"/>
      <c r="W545" s="294"/>
      <c r="X545" s="294"/>
      <c r="Y545" s="294"/>
      <c r="Z545" s="294"/>
      <c r="AA545" s="294"/>
      <c r="AB545" s="294"/>
    </row>
    <row r="546">
      <c r="A546" s="294"/>
      <c r="B546" s="294"/>
      <c r="C546" s="294"/>
      <c r="D546" s="294"/>
      <c r="E546" s="294"/>
      <c r="F546" s="294"/>
      <c r="G546" s="294"/>
      <c r="H546" s="294"/>
      <c r="I546" s="294"/>
      <c r="J546" s="294"/>
      <c r="K546" s="294"/>
      <c r="L546" s="294"/>
      <c r="M546" s="294"/>
      <c r="N546" s="294"/>
      <c r="O546" s="294"/>
      <c r="P546" s="294"/>
      <c r="Q546" s="294"/>
      <c r="R546" s="294"/>
      <c r="S546" s="294"/>
      <c r="T546" s="294"/>
      <c r="U546" s="294"/>
      <c r="V546" s="294"/>
      <c r="W546" s="294"/>
      <c r="X546" s="294"/>
      <c r="Y546" s="294"/>
      <c r="Z546" s="294"/>
      <c r="AA546" s="294"/>
      <c r="AB546" s="294"/>
    </row>
    <row r="547">
      <c r="A547" s="294"/>
      <c r="B547" s="294"/>
      <c r="C547" s="294"/>
      <c r="D547" s="294"/>
      <c r="E547" s="294"/>
      <c r="F547" s="294"/>
      <c r="G547" s="294"/>
      <c r="H547" s="294"/>
      <c r="I547" s="294"/>
      <c r="J547" s="294"/>
      <c r="K547" s="294"/>
      <c r="L547" s="294"/>
      <c r="M547" s="294"/>
      <c r="N547" s="294"/>
      <c r="O547" s="294"/>
      <c r="P547" s="294"/>
      <c r="Q547" s="294"/>
      <c r="R547" s="294"/>
      <c r="S547" s="294"/>
      <c r="T547" s="294"/>
      <c r="U547" s="294"/>
      <c r="V547" s="294"/>
      <c r="W547" s="294"/>
      <c r="X547" s="294"/>
      <c r="Y547" s="294"/>
      <c r="Z547" s="294"/>
      <c r="AA547" s="294"/>
      <c r="AB547" s="294"/>
    </row>
    <row r="548">
      <c r="A548" s="294"/>
      <c r="B548" s="294"/>
      <c r="C548" s="294"/>
      <c r="D548" s="294"/>
      <c r="E548" s="294"/>
      <c r="F548" s="294"/>
      <c r="G548" s="294"/>
      <c r="H548" s="294"/>
      <c r="I548" s="294"/>
      <c r="J548" s="294"/>
      <c r="K548" s="294"/>
      <c r="L548" s="294"/>
      <c r="M548" s="294"/>
      <c r="N548" s="294"/>
      <c r="O548" s="294"/>
      <c r="P548" s="294"/>
      <c r="Q548" s="294"/>
      <c r="R548" s="294"/>
      <c r="S548" s="294"/>
      <c r="T548" s="294"/>
      <c r="U548" s="294"/>
      <c r="V548" s="294"/>
      <c r="W548" s="294"/>
      <c r="X548" s="294"/>
      <c r="Y548" s="294"/>
      <c r="Z548" s="294"/>
      <c r="AA548" s="294"/>
      <c r="AB548" s="294"/>
    </row>
    <row r="549">
      <c r="A549" s="294"/>
      <c r="B549" s="294"/>
      <c r="C549" s="294"/>
      <c r="D549" s="294"/>
      <c r="E549" s="294"/>
      <c r="F549" s="294"/>
      <c r="G549" s="294"/>
      <c r="H549" s="294"/>
      <c r="I549" s="294"/>
      <c r="J549" s="294"/>
      <c r="K549" s="294"/>
      <c r="L549" s="294"/>
      <c r="M549" s="294"/>
      <c r="N549" s="294"/>
      <c r="O549" s="294"/>
      <c r="P549" s="294"/>
      <c r="Q549" s="294"/>
      <c r="R549" s="294"/>
      <c r="S549" s="294"/>
      <c r="T549" s="294"/>
      <c r="U549" s="294"/>
      <c r="V549" s="294"/>
      <c r="W549" s="294"/>
      <c r="X549" s="294"/>
      <c r="Y549" s="294"/>
      <c r="Z549" s="294"/>
      <c r="AA549" s="294"/>
      <c r="AB549" s="294"/>
    </row>
    <row r="550">
      <c r="A550" s="294"/>
      <c r="B550" s="294"/>
      <c r="C550" s="294"/>
      <c r="D550" s="294"/>
      <c r="E550" s="294"/>
      <c r="F550" s="294"/>
      <c r="G550" s="294"/>
      <c r="H550" s="294"/>
      <c r="I550" s="294"/>
      <c r="J550" s="294"/>
      <c r="K550" s="294"/>
      <c r="L550" s="294"/>
      <c r="M550" s="294"/>
      <c r="N550" s="294"/>
      <c r="O550" s="294"/>
      <c r="P550" s="294"/>
      <c r="Q550" s="294"/>
      <c r="R550" s="294"/>
      <c r="S550" s="294"/>
      <c r="T550" s="294"/>
      <c r="U550" s="294"/>
      <c r="V550" s="294"/>
      <c r="W550" s="294"/>
      <c r="X550" s="294"/>
      <c r="Y550" s="294"/>
      <c r="Z550" s="294"/>
      <c r="AA550" s="294"/>
      <c r="AB550" s="294"/>
    </row>
    <row r="551">
      <c r="A551" s="294"/>
      <c r="B551" s="294"/>
      <c r="C551" s="294"/>
      <c r="D551" s="294"/>
      <c r="E551" s="294"/>
      <c r="F551" s="294"/>
      <c r="G551" s="294"/>
      <c r="H551" s="294"/>
      <c r="I551" s="294"/>
      <c r="J551" s="294"/>
      <c r="K551" s="294"/>
      <c r="L551" s="294"/>
      <c r="M551" s="294"/>
      <c r="N551" s="294"/>
      <c r="O551" s="294"/>
      <c r="P551" s="294"/>
      <c r="Q551" s="294"/>
      <c r="R551" s="294"/>
      <c r="S551" s="294"/>
      <c r="T551" s="294"/>
      <c r="U551" s="294"/>
      <c r="V551" s="294"/>
      <c r="W551" s="294"/>
      <c r="X551" s="294"/>
      <c r="Y551" s="294"/>
      <c r="Z551" s="294"/>
      <c r="AA551" s="294"/>
      <c r="AB551" s="294"/>
    </row>
    <row r="552">
      <c r="A552" s="294"/>
      <c r="B552" s="294"/>
      <c r="C552" s="294"/>
      <c r="D552" s="294"/>
      <c r="E552" s="294"/>
      <c r="F552" s="294"/>
      <c r="G552" s="294"/>
      <c r="H552" s="294"/>
      <c r="I552" s="294"/>
      <c r="J552" s="294"/>
      <c r="K552" s="294"/>
      <c r="L552" s="294"/>
      <c r="M552" s="294"/>
      <c r="N552" s="294"/>
      <c r="O552" s="294"/>
      <c r="P552" s="294"/>
      <c r="Q552" s="294"/>
      <c r="R552" s="294"/>
      <c r="S552" s="294"/>
      <c r="T552" s="294"/>
      <c r="U552" s="294"/>
      <c r="V552" s="294"/>
      <c r="W552" s="294"/>
      <c r="X552" s="294"/>
      <c r="Y552" s="294"/>
      <c r="Z552" s="294"/>
      <c r="AA552" s="294"/>
      <c r="AB552" s="294"/>
    </row>
    <row r="553">
      <c r="A553" s="294"/>
      <c r="B553" s="294"/>
      <c r="C553" s="294"/>
      <c r="D553" s="294"/>
      <c r="E553" s="294"/>
      <c r="F553" s="294"/>
      <c r="G553" s="294"/>
      <c r="H553" s="294"/>
      <c r="I553" s="294"/>
      <c r="J553" s="294"/>
      <c r="K553" s="294"/>
      <c r="L553" s="294"/>
      <c r="M553" s="294"/>
      <c r="N553" s="294"/>
      <c r="O553" s="294"/>
      <c r="P553" s="294"/>
      <c r="Q553" s="294"/>
      <c r="R553" s="294"/>
      <c r="S553" s="294"/>
      <c r="T553" s="294"/>
      <c r="U553" s="294"/>
      <c r="V553" s="294"/>
      <c r="W553" s="294"/>
      <c r="X553" s="294"/>
      <c r="Y553" s="294"/>
      <c r="Z553" s="294"/>
      <c r="AA553" s="294"/>
      <c r="AB553" s="294"/>
    </row>
    <row r="554">
      <c r="A554" s="294"/>
      <c r="B554" s="294"/>
      <c r="C554" s="294"/>
      <c r="D554" s="294"/>
      <c r="E554" s="294"/>
      <c r="F554" s="294"/>
      <c r="G554" s="294"/>
      <c r="H554" s="294"/>
      <c r="I554" s="294"/>
      <c r="J554" s="294"/>
      <c r="K554" s="294"/>
      <c r="L554" s="294"/>
      <c r="M554" s="294"/>
      <c r="N554" s="294"/>
      <c r="O554" s="294"/>
      <c r="P554" s="294"/>
      <c r="Q554" s="294"/>
      <c r="R554" s="294"/>
      <c r="S554" s="294"/>
      <c r="T554" s="294"/>
      <c r="U554" s="294"/>
      <c r="V554" s="294"/>
      <c r="W554" s="294"/>
      <c r="X554" s="294"/>
      <c r="Y554" s="294"/>
      <c r="Z554" s="294"/>
      <c r="AA554" s="294"/>
      <c r="AB554" s="294"/>
    </row>
    <row r="555">
      <c r="A555" s="294"/>
      <c r="B555" s="294"/>
      <c r="C555" s="294"/>
      <c r="D555" s="294"/>
      <c r="E555" s="294"/>
      <c r="F555" s="294"/>
      <c r="G555" s="294"/>
      <c r="H555" s="294"/>
      <c r="I555" s="294"/>
      <c r="J555" s="294"/>
      <c r="K555" s="294"/>
      <c r="L555" s="294"/>
      <c r="M555" s="294"/>
      <c r="N555" s="294"/>
      <c r="O555" s="294"/>
      <c r="P555" s="294"/>
      <c r="Q555" s="294"/>
      <c r="R555" s="294"/>
      <c r="S555" s="294"/>
      <c r="T555" s="294"/>
      <c r="U555" s="294"/>
      <c r="V555" s="294"/>
      <c r="W555" s="294"/>
      <c r="X555" s="294"/>
      <c r="Y555" s="294"/>
      <c r="Z555" s="294"/>
      <c r="AA555" s="294"/>
      <c r="AB555" s="294"/>
    </row>
    <row r="556">
      <c r="A556" s="294"/>
      <c r="B556" s="294"/>
      <c r="C556" s="294"/>
      <c r="D556" s="294"/>
      <c r="E556" s="294"/>
      <c r="F556" s="294"/>
      <c r="G556" s="294"/>
      <c r="H556" s="294"/>
      <c r="I556" s="294"/>
      <c r="J556" s="294"/>
      <c r="K556" s="294"/>
      <c r="L556" s="294"/>
      <c r="M556" s="294"/>
      <c r="N556" s="294"/>
      <c r="O556" s="294"/>
      <c r="P556" s="294"/>
      <c r="Q556" s="294"/>
      <c r="R556" s="294"/>
      <c r="S556" s="294"/>
      <c r="T556" s="294"/>
      <c r="U556" s="294"/>
      <c r="V556" s="294"/>
      <c r="W556" s="294"/>
      <c r="X556" s="294"/>
      <c r="Y556" s="294"/>
      <c r="Z556" s="294"/>
      <c r="AA556" s="294"/>
      <c r="AB556" s="294"/>
    </row>
    <row r="557">
      <c r="A557" s="294"/>
      <c r="B557" s="294"/>
      <c r="C557" s="294"/>
      <c r="D557" s="294"/>
      <c r="E557" s="294"/>
      <c r="F557" s="294"/>
      <c r="G557" s="294"/>
      <c r="H557" s="294"/>
      <c r="I557" s="294"/>
      <c r="J557" s="294"/>
      <c r="K557" s="294"/>
      <c r="L557" s="294"/>
      <c r="M557" s="294"/>
      <c r="N557" s="294"/>
      <c r="O557" s="294"/>
      <c r="P557" s="294"/>
      <c r="Q557" s="294"/>
      <c r="R557" s="294"/>
      <c r="S557" s="294"/>
      <c r="T557" s="294"/>
      <c r="U557" s="294"/>
      <c r="V557" s="294"/>
      <c r="W557" s="294"/>
      <c r="X557" s="294"/>
      <c r="Y557" s="294"/>
      <c r="Z557" s="294"/>
      <c r="AA557" s="294"/>
      <c r="AB557" s="294"/>
    </row>
    <row r="558">
      <c r="A558" s="294"/>
      <c r="B558" s="294"/>
      <c r="C558" s="294"/>
      <c r="D558" s="294"/>
      <c r="E558" s="294"/>
      <c r="F558" s="294"/>
      <c r="G558" s="294"/>
      <c r="H558" s="294"/>
      <c r="I558" s="294"/>
      <c r="J558" s="294"/>
      <c r="K558" s="294"/>
      <c r="L558" s="294"/>
      <c r="M558" s="294"/>
      <c r="N558" s="294"/>
      <c r="O558" s="294"/>
      <c r="P558" s="294"/>
      <c r="Q558" s="294"/>
      <c r="R558" s="294"/>
      <c r="S558" s="294"/>
      <c r="T558" s="294"/>
      <c r="U558" s="294"/>
      <c r="V558" s="294"/>
      <c r="W558" s="294"/>
      <c r="X558" s="294"/>
      <c r="Y558" s="294"/>
      <c r="Z558" s="294"/>
      <c r="AA558" s="294"/>
      <c r="AB558" s="294"/>
    </row>
    <row r="559">
      <c r="A559" s="294"/>
      <c r="B559" s="294"/>
      <c r="C559" s="294"/>
      <c r="D559" s="294"/>
      <c r="E559" s="294"/>
      <c r="F559" s="294"/>
      <c r="G559" s="294"/>
      <c r="H559" s="294"/>
      <c r="I559" s="294"/>
      <c r="J559" s="294"/>
      <c r="K559" s="294"/>
      <c r="L559" s="294"/>
      <c r="M559" s="294"/>
      <c r="N559" s="294"/>
      <c r="O559" s="294"/>
      <c r="P559" s="294"/>
      <c r="Q559" s="294"/>
      <c r="R559" s="294"/>
      <c r="S559" s="294"/>
      <c r="T559" s="294"/>
      <c r="U559" s="294"/>
      <c r="V559" s="294"/>
      <c r="W559" s="294"/>
      <c r="X559" s="294"/>
      <c r="Y559" s="294"/>
      <c r="Z559" s="294"/>
      <c r="AA559" s="294"/>
      <c r="AB559" s="294"/>
    </row>
    <row r="560">
      <c r="A560" s="294"/>
      <c r="B560" s="294"/>
      <c r="C560" s="294"/>
      <c r="D560" s="294"/>
      <c r="E560" s="294"/>
      <c r="F560" s="294"/>
      <c r="G560" s="294"/>
      <c r="H560" s="294"/>
      <c r="I560" s="294"/>
      <c r="J560" s="294"/>
      <c r="K560" s="294"/>
      <c r="L560" s="294"/>
      <c r="M560" s="294"/>
      <c r="N560" s="294"/>
      <c r="O560" s="294"/>
      <c r="P560" s="294"/>
      <c r="Q560" s="294"/>
      <c r="R560" s="294"/>
      <c r="S560" s="294"/>
      <c r="T560" s="294"/>
      <c r="U560" s="294"/>
      <c r="V560" s="294"/>
      <c r="W560" s="294"/>
      <c r="X560" s="294"/>
      <c r="Y560" s="294"/>
      <c r="Z560" s="294"/>
      <c r="AA560" s="294"/>
      <c r="AB560" s="294"/>
    </row>
    <row r="561">
      <c r="A561" s="294"/>
      <c r="B561" s="294"/>
      <c r="C561" s="294"/>
      <c r="D561" s="294"/>
      <c r="E561" s="294"/>
      <c r="F561" s="294"/>
      <c r="G561" s="294"/>
      <c r="H561" s="294"/>
      <c r="I561" s="294"/>
      <c r="J561" s="294"/>
      <c r="K561" s="294"/>
      <c r="L561" s="294"/>
      <c r="M561" s="294"/>
      <c r="N561" s="294"/>
      <c r="O561" s="294"/>
      <c r="P561" s="294"/>
      <c r="Q561" s="294"/>
      <c r="R561" s="294"/>
      <c r="S561" s="294"/>
      <c r="T561" s="294"/>
      <c r="U561" s="294"/>
      <c r="V561" s="294"/>
      <c r="W561" s="294"/>
      <c r="X561" s="294"/>
      <c r="Y561" s="294"/>
      <c r="Z561" s="294"/>
      <c r="AA561" s="294"/>
      <c r="AB561" s="294"/>
    </row>
    <row r="562">
      <c r="A562" s="294"/>
      <c r="B562" s="294"/>
      <c r="C562" s="294"/>
      <c r="D562" s="294"/>
      <c r="E562" s="294"/>
      <c r="F562" s="294"/>
      <c r="G562" s="294"/>
      <c r="H562" s="294"/>
      <c r="I562" s="294"/>
      <c r="J562" s="294"/>
      <c r="K562" s="294"/>
      <c r="L562" s="294"/>
      <c r="M562" s="294"/>
      <c r="N562" s="294"/>
      <c r="O562" s="294"/>
      <c r="P562" s="294"/>
      <c r="Q562" s="294"/>
      <c r="R562" s="294"/>
      <c r="S562" s="294"/>
      <c r="T562" s="294"/>
      <c r="U562" s="294"/>
      <c r="V562" s="294"/>
      <c r="W562" s="294"/>
      <c r="X562" s="294"/>
      <c r="Y562" s="294"/>
      <c r="Z562" s="294"/>
      <c r="AA562" s="294"/>
      <c r="AB562" s="294"/>
    </row>
    <row r="563">
      <c r="A563" s="294"/>
      <c r="B563" s="294"/>
      <c r="C563" s="294"/>
      <c r="D563" s="294"/>
      <c r="E563" s="294"/>
      <c r="F563" s="294"/>
      <c r="G563" s="294"/>
      <c r="H563" s="294"/>
      <c r="I563" s="294"/>
      <c r="J563" s="294"/>
      <c r="K563" s="294"/>
      <c r="L563" s="294"/>
      <c r="M563" s="294"/>
      <c r="N563" s="294"/>
      <c r="O563" s="294"/>
      <c r="P563" s="294"/>
      <c r="Q563" s="294"/>
      <c r="R563" s="294"/>
      <c r="S563" s="294"/>
      <c r="T563" s="294"/>
      <c r="U563" s="294"/>
      <c r="V563" s="294"/>
      <c r="W563" s="294"/>
      <c r="X563" s="294"/>
      <c r="Y563" s="294"/>
      <c r="Z563" s="294"/>
      <c r="AA563" s="294"/>
      <c r="AB563" s="294"/>
    </row>
    <row r="564">
      <c r="A564" s="294"/>
      <c r="B564" s="294"/>
      <c r="C564" s="294"/>
      <c r="D564" s="294"/>
      <c r="E564" s="294"/>
      <c r="F564" s="294"/>
      <c r="G564" s="294"/>
      <c r="H564" s="294"/>
      <c r="I564" s="294"/>
      <c r="J564" s="294"/>
      <c r="K564" s="294"/>
      <c r="L564" s="294"/>
      <c r="M564" s="294"/>
      <c r="N564" s="294"/>
      <c r="O564" s="294"/>
      <c r="P564" s="294"/>
      <c r="Q564" s="294"/>
      <c r="R564" s="294"/>
      <c r="S564" s="294"/>
      <c r="T564" s="294"/>
      <c r="U564" s="294"/>
      <c r="V564" s="294"/>
      <c r="W564" s="294"/>
      <c r="X564" s="294"/>
      <c r="Y564" s="294"/>
      <c r="Z564" s="294"/>
      <c r="AA564" s="294"/>
      <c r="AB564" s="294"/>
    </row>
    <row r="565">
      <c r="A565" s="294"/>
      <c r="B565" s="294"/>
      <c r="C565" s="294"/>
      <c r="D565" s="294"/>
      <c r="E565" s="294"/>
      <c r="F565" s="294"/>
      <c r="G565" s="294"/>
      <c r="H565" s="294"/>
      <c r="I565" s="294"/>
      <c r="J565" s="294"/>
      <c r="K565" s="294"/>
      <c r="L565" s="294"/>
      <c r="M565" s="294"/>
      <c r="N565" s="294"/>
      <c r="O565" s="294"/>
      <c r="P565" s="294"/>
      <c r="Q565" s="294"/>
      <c r="R565" s="294"/>
      <c r="S565" s="294"/>
      <c r="T565" s="294"/>
      <c r="U565" s="294"/>
      <c r="V565" s="294"/>
      <c r="W565" s="294"/>
      <c r="X565" s="294"/>
      <c r="Y565" s="294"/>
      <c r="Z565" s="294"/>
      <c r="AA565" s="294"/>
      <c r="AB565" s="294"/>
    </row>
    <row r="566">
      <c r="A566" s="294"/>
      <c r="B566" s="294"/>
      <c r="C566" s="294"/>
      <c r="D566" s="294"/>
      <c r="E566" s="294"/>
      <c r="F566" s="294"/>
      <c r="G566" s="294"/>
      <c r="H566" s="294"/>
      <c r="I566" s="294"/>
      <c r="J566" s="294"/>
      <c r="K566" s="294"/>
      <c r="L566" s="294"/>
      <c r="M566" s="294"/>
      <c r="N566" s="294"/>
      <c r="O566" s="294"/>
      <c r="P566" s="294"/>
      <c r="Q566" s="294"/>
      <c r="R566" s="294"/>
      <c r="S566" s="294"/>
      <c r="T566" s="294"/>
      <c r="U566" s="294"/>
      <c r="V566" s="294"/>
      <c r="W566" s="294"/>
      <c r="X566" s="294"/>
      <c r="Y566" s="294"/>
      <c r="Z566" s="294"/>
      <c r="AA566" s="294"/>
      <c r="AB566" s="294"/>
    </row>
    <row r="567">
      <c r="A567" s="294"/>
      <c r="B567" s="294"/>
      <c r="C567" s="294"/>
      <c r="D567" s="294"/>
      <c r="E567" s="294"/>
      <c r="F567" s="294"/>
      <c r="G567" s="294"/>
      <c r="H567" s="294"/>
      <c r="I567" s="294"/>
      <c r="J567" s="294"/>
      <c r="K567" s="294"/>
      <c r="L567" s="294"/>
      <c r="M567" s="294"/>
      <c r="N567" s="294"/>
      <c r="O567" s="294"/>
      <c r="P567" s="294"/>
      <c r="Q567" s="294"/>
      <c r="R567" s="294"/>
      <c r="S567" s="294"/>
      <c r="T567" s="294"/>
      <c r="U567" s="294"/>
      <c r="V567" s="294"/>
      <c r="W567" s="294"/>
      <c r="X567" s="294"/>
      <c r="Y567" s="294"/>
      <c r="Z567" s="294"/>
      <c r="AA567" s="294"/>
      <c r="AB567" s="294"/>
    </row>
    <row r="568">
      <c r="A568" s="294"/>
      <c r="B568" s="294"/>
      <c r="C568" s="294"/>
      <c r="D568" s="294"/>
      <c r="E568" s="294"/>
      <c r="F568" s="294"/>
      <c r="G568" s="294"/>
      <c r="H568" s="294"/>
      <c r="I568" s="294"/>
      <c r="J568" s="294"/>
      <c r="K568" s="294"/>
      <c r="L568" s="294"/>
      <c r="M568" s="294"/>
      <c r="N568" s="294"/>
      <c r="O568" s="294"/>
      <c r="P568" s="294"/>
      <c r="Q568" s="294"/>
      <c r="R568" s="294"/>
      <c r="S568" s="294"/>
      <c r="T568" s="294"/>
      <c r="U568" s="294"/>
      <c r="V568" s="294"/>
      <c r="W568" s="294"/>
      <c r="X568" s="294"/>
      <c r="Y568" s="294"/>
      <c r="Z568" s="294"/>
      <c r="AA568" s="294"/>
      <c r="AB568" s="294"/>
    </row>
    <row r="569">
      <c r="A569" s="294"/>
      <c r="B569" s="294"/>
      <c r="C569" s="294"/>
      <c r="D569" s="294"/>
      <c r="E569" s="294"/>
      <c r="F569" s="294"/>
      <c r="G569" s="294"/>
      <c r="H569" s="294"/>
      <c r="I569" s="294"/>
      <c r="J569" s="294"/>
      <c r="K569" s="294"/>
      <c r="L569" s="294"/>
      <c r="M569" s="294"/>
      <c r="N569" s="294"/>
      <c r="O569" s="294"/>
      <c r="P569" s="294"/>
      <c r="Q569" s="294"/>
      <c r="R569" s="294"/>
      <c r="S569" s="294"/>
      <c r="T569" s="294"/>
      <c r="U569" s="294"/>
      <c r="V569" s="294"/>
      <c r="W569" s="294"/>
      <c r="X569" s="294"/>
      <c r="Y569" s="294"/>
      <c r="Z569" s="294"/>
      <c r="AA569" s="294"/>
      <c r="AB569" s="294"/>
    </row>
    <row r="570">
      <c r="A570" s="294"/>
      <c r="B570" s="294"/>
      <c r="C570" s="294"/>
      <c r="D570" s="294"/>
      <c r="E570" s="294"/>
      <c r="F570" s="294"/>
      <c r="G570" s="294"/>
      <c r="H570" s="294"/>
      <c r="I570" s="294"/>
      <c r="J570" s="294"/>
      <c r="K570" s="294"/>
      <c r="L570" s="294"/>
      <c r="M570" s="294"/>
      <c r="N570" s="294"/>
      <c r="O570" s="294"/>
      <c r="P570" s="294"/>
      <c r="Q570" s="294"/>
      <c r="R570" s="294"/>
      <c r="S570" s="294"/>
      <c r="T570" s="294"/>
      <c r="U570" s="294"/>
      <c r="V570" s="294"/>
      <c r="W570" s="294"/>
      <c r="X570" s="294"/>
      <c r="Y570" s="294"/>
      <c r="Z570" s="294"/>
      <c r="AA570" s="294"/>
      <c r="AB570" s="294"/>
    </row>
    <row r="571">
      <c r="A571" s="294"/>
      <c r="B571" s="294"/>
      <c r="C571" s="294"/>
      <c r="D571" s="294"/>
      <c r="E571" s="294"/>
      <c r="F571" s="294"/>
      <c r="G571" s="294"/>
      <c r="H571" s="294"/>
      <c r="I571" s="294"/>
      <c r="J571" s="294"/>
      <c r="K571" s="294"/>
      <c r="L571" s="294"/>
      <c r="M571" s="294"/>
      <c r="N571" s="294"/>
      <c r="O571" s="294"/>
      <c r="P571" s="294"/>
      <c r="Q571" s="294"/>
      <c r="R571" s="294"/>
      <c r="S571" s="294"/>
      <c r="T571" s="294"/>
      <c r="U571" s="294"/>
      <c r="V571" s="294"/>
      <c r="W571" s="294"/>
      <c r="X571" s="294"/>
      <c r="Y571" s="294"/>
      <c r="Z571" s="294"/>
      <c r="AA571" s="294"/>
      <c r="AB571" s="294"/>
    </row>
    <row r="572">
      <c r="A572" s="294"/>
      <c r="B572" s="294"/>
      <c r="C572" s="294"/>
      <c r="D572" s="294"/>
      <c r="E572" s="294"/>
      <c r="F572" s="294"/>
      <c r="G572" s="294"/>
      <c r="H572" s="294"/>
      <c r="I572" s="294"/>
      <c r="J572" s="294"/>
      <c r="K572" s="294"/>
      <c r="L572" s="294"/>
      <c r="M572" s="294"/>
      <c r="N572" s="294"/>
      <c r="O572" s="294"/>
      <c r="P572" s="294"/>
      <c r="Q572" s="294"/>
      <c r="R572" s="294"/>
      <c r="S572" s="294"/>
      <c r="T572" s="294"/>
      <c r="U572" s="294"/>
      <c r="V572" s="294"/>
      <c r="W572" s="294"/>
      <c r="X572" s="294"/>
      <c r="Y572" s="294"/>
      <c r="Z572" s="294"/>
      <c r="AA572" s="294"/>
      <c r="AB572" s="294"/>
    </row>
    <row r="573">
      <c r="A573" s="294"/>
      <c r="B573" s="294"/>
      <c r="C573" s="294"/>
      <c r="D573" s="294"/>
      <c r="E573" s="294"/>
      <c r="F573" s="294"/>
      <c r="G573" s="294"/>
      <c r="H573" s="294"/>
      <c r="I573" s="294"/>
      <c r="J573" s="294"/>
      <c r="K573" s="294"/>
      <c r="L573" s="294"/>
      <c r="M573" s="294"/>
      <c r="N573" s="294"/>
      <c r="O573" s="294"/>
      <c r="P573" s="294"/>
      <c r="Q573" s="294"/>
      <c r="R573" s="294"/>
      <c r="S573" s="294"/>
      <c r="T573" s="294"/>
      <c r="U573" s="294"/>
      <c r="V573" s="294"/>
      <c r="W573" s="294"/>
      <c r="X573" s="294"/>
      <c r="Y573" s="294"/>
      <c r="Z573" s="294"/>
      <c r="AA573" s="294"/>
      <c r="AB573" s="294"/>
    </row>
    <row r="574">
      <c r="A574" s="294"/>
      <c r="B574" s="294"/>
      <c r="C574" s="294"/>
      <c r="D574" s="294"/>
      <c r="E574" s="294"/>
      <c r="F574" s="294"/>
      <c r="G574" s="294"/>
      <c r="H574" s="294"/>
      <c r="I574" s="294"/>
      <c r="J574" s="294"/>
      <c r="K574" s="294"/>
      <c r="L574" s="294"/>
      <c r="M574" s="294"/>
      <c r="N574" s="294"/>
      <c r="O574" s="294"/>
      <c r="P574" s="294"/>
      <c r="Q574" s="294"/>
      <c r="R574" s="294"/>
      <c r="S574" s="294"/>
      <c r="T574" s="294"/>
      <c r="U574" s="294"/>
      <c r="V574" s="294"/>
      <c r="W574" s="294"/>
      <c r="X574" s="294"/>
      <c r="Y574" s="294"/>
      <c r="Z574" s="294"/>
      <c r="AA574" s="294"/>
      <c r="AB574" s="294"/>
    </row>
    <row r="575">
      <c r="A575" s="294"/>
      <c r="B575" s="294"/>
      <c r="C575" s="294"/>
      <c r="D575" s="294"/>
      <c r="E575" s="294"/>
      <c r="F575" s="294"/>
      <c r="G575" s="294"/>
      <c r="H575" s="294"/>
      <c r="I575" s="294"/>
      <c r="J575" s="294"/>
      <c r="K575" s="294"/>
      <c r="L575" s="294"/>
      <c r="M575" s="294"/>
      <c r="N575" s="294"/>
      <c r="O575" s="294"/>
      <c r="P575" s="294"/>
      <c r="Q575" s="294"/>
      <c r="R575" s="294"/>
      <c r="S575" s="294"/>
      <c r="T575" s="294"/>
      <c r="U575" s="294"/>
      <c r="V575" s="294"/>
      <c r="W575" s="294"/>
      <c r="X575" s="294"/>
      <c r="Y575" s="294"/>
      <c r="Z575" s="294"/>
      <c r="AA575" s="294"/>
      <c r="AB575" s="294"/>
    </row>
    <row r="576">
      <c r="A576" s="294"/>
      <c r="B576" s="294"/>
      <c r="C576" s="294"/>
      <c r="D576" s="294"/>
      <c r="E576" s="294"/>
      <c r="F576" s="294"/>
      <c r="G576" s="294"/>
      <c r="H576" s="294"/>
      <c r="I576" s="294"/>
      <c r="J576" s="294"/>
      <c r="K576" s="294"/>
      <c r="L576" s="294"/>
      <c r="M576" s="294"/>
      <c r="N576" s="294"/>
      <c r="O576" s="294"/>
      <c r="P576" s="294"/>
      <c r="Q576" s="294"/>
      <c r="R576" s="294"/>
      <c r="S576" s="294"/>
      <c r="T576" s="294"/>
      <c r="U576" s="294"/>
      <c r="V576" s="294"/>
      <c r="W576" s="294"/>
      <c r="X576" s="294"/>
      <c r="Y576" s="294"/>
      <c r="Z576" s="294"/>
      <c r="AA576" s="294"/>
      <c r="AB576" s="294"/>
    </row>
    <row r="577">
      <c r="A577" s="294"/>
      <c r="B577" s="294"/>
      <c r="C577" s="294"/>
      <c r="D577" s="294"/>
      <c r="E577" s="294"/>
      <c r="F577" s="294"/>
      <c r="G577" s="294"/>
      <c r="H577" s="294"/>
      <c r="I577" s="294"/>
      <c r="J577" s="294"/>
      <c r="K577" s="294"/>
      <c r="L577" s="294"/>
      <c r="M577" s="294"/>
      <c r="N577" s="294"/>
      <c r="O577" s="294"/>
      <c r="P577" s="294"/>
      <c r="Q577" s="294"/>
      <c r="R577" s="294"/>
      <c r="S577" s="294"/>
      <c r="T577" s="294"/>
      <c r="U577" s="294"/>
      <c r="V577" s="294"/>
      <c r="W577" s="294"/>
      <c r="X577" s="294"/>
      <c r="Y577" s="294"/>
      <c r="Z577" s="294"/>
      <c r="AA577" s="294"/>
      <c r="AB577" s="294"/>
    </row>
    <row r="578">
      <c r="A578" s="294"/>
      <c r="B578" s="294"/>
      <c r="C578" s="294"/>
      <c r="D578" s="294"/>
      <c r="E578" s="294"/>
      <c r="F578" s="294"/>
      <c r="G578" s="294"/>
      <c r="H578" s="294"/>
      <c r="I578" s="294"/>
      <c r="J578" s="294"/>
      <c r="K578" s="294"/>
      <c r="L578" s="294"/>
      <c r="M578" s="294"/>
      <c r="N578" s="294"/>
      <c r="O578" s="294"/>
      <c r="P578" s="294"/>
      <c r="Q578" s="294"/>
      <c r="R578" s="294"/>
      <c r="S578" s="294"/>
      <c r="T578" s="294"/>
      <c r="U578" s="294"/>
      <c r="V578" s="294"/>
      <c r="W578" s="294"/>
      <c r="X578" s="294"/>
      <c r="Y578" s="294"/>
      <c r="Z578" s="294"/>
      <c r="AA578" s="294"/>
      <c r="AB578" s="294"/>
    </row>
    <row r="579">
      <c r="A579" s="294"/>
      <c r="B579" s="294"/>
      <c r="C579" s="294"/>
      <c r="D579" s="294"/>
      <c r="E579" s="294"/>
      <c r="F579" s="294"/>
      <c r="G579" s="294"/>
      <c r="H579" s="294"/>
      <c r="I579" s="294"/>
      <c r="J579" s="294"/>
      <c r="K579" s="294"/>
      <c r="L579" s="294"/>
      <c r="M579" s="294"/>
      <c r="N579" s="294"/>
      <c r="O579" s="294"/>
      <c r="P579" s="294"/>
      <c r="Q579" s="294"/>
      <c r="R579" s="294"/>
      <c r="S579" s="294"/>
      <c r="T579" s="294"/>
      <c r="U579" s="294"/>
      <c r="V579" s="294"/>
      <c r="W579" s="294"/>
      <c r="X579" s="294"/>
      <c r="Y579" s="294"/>
      <c r="Z579" s="294"/>
      <c r="AA579" s="294"/>
      <c r="AB579" s="294"/>
    </row>
    <row r="580">
      <c r="A580" s="294"/>
      <c r="B580" s="294"/>
      <c r="C580" s="294"/>
      <c r="D580" s="294"/>
      <c r="E580" s="294"/>
      <c r="F580" s="294"/>
      <c r="G580" s="294"/>
      <c r="H580" s="294"/>
      <c r="I580" s="294"/>
      <c r="J580" s="294"/>
      <c r="K580" s="294"/>
      <c r="L580" s="294"/>
      <c r="M580" s="294"/>
      <c r="N580" s="294"/>
      <c r="O580" s="294"/>
      <c r="P580" s="294"/>
      <c r="Q580" s="294"/>
      <c r="R580" s="294"/>
      <c r="S580" s="294"/>
      <c r="T580" s="294"/>
      <c r="U580" s="294"/>
      <c r="V580" s="294"/>
      <c r="W580" s="294"/>
      <c r="X580" s="294"/>
      <c r="Y580" s="294"/>
      <c r="Z580" s="294"/>
      <c r="AA580" s="294"/>
      <c r="AB580" s="294"/>
    </row>
    <row r="581">
      <c r="A581" s="294"/>
      <c r="B581" s="294"/>
      <c r="C581" s="294"/>
      <c r="D581" s="294"/>
      <c r="E581" s="294"/>
      <c r="F581" s="294"/>
      <c r="G581" s="294"/>
      <c r="H581" s="294"/>
      <c r="I581" s="294"/>
      <c r="J581" s="294"/>
      <c r="K581" s="294"/>
      <c r="L581" s="294"/>
      <c r="M581" s="294"/>
      <c r="N581" s="294"/>
      <c r="O581" s="294"/>
      <c r="P581" s="294"/>
      <c r="Q581" s="294"/>
      <c r="R581" s="294"/>
      <c r="S581" s="294"/>
      <c r="T581" s="294"/>
      <c r="U581" s="294"/>
      <c r="V581" s="294"/>
      <c r="W581" s="294"/>
      <c r="X581" s="294"/>
      <c r="Y581" s="294"/>
      <c r="Z581" s="294"/>
      <c r="AA581" s="294"/>
      <c r="AB581" s="294"/>
    </row>
    <row r="582">
      <c r="A582" s="294"/>
      <c r="B582" s="294"/>
      <c r="C582" s="294"/>
      <c r="D582" s="294"/>
      <c r="E582" s="294"/>
      <c r="F582" s="294"/>
      <c r="G582" s="294"/>
      <c r="H582" s="294"/>
      <c r="I582" s="294"/>
      <c r="J582" s="294"/>
      <c r="K582" s="294"/>
      <c r="L582" s="294"/>
      <c r="M582" s="294"/>
      <c r="N582" s="294"/>
      <c r="O582" s="294"/>
      <c r="P582" s="294"/>
      <c r="Q582" s="294"/>
      <c r="R582" s="294"/>
      <c r="S582" s="294"/>
      <c r="T582" s="294"/>
      <c r="U582" s="294"/>
      <c r="V582" s="294"/>
      <c r="W582" s="294"/>
      <c r="X582" s="294"/>
      <c r="Y582" s="294"/>
      <c r="Z582" s="294"/>
      <c r="AA582" s="294"/>
      <c r="AB582" s="294"/>
    </row>
    <row r="583">
      <c r="A583" s="294"/>
      <c r="B583" s="294"/>
      <c r="C583" s="294"/>
      <c r="D583" s="294"/>
      <c r="E583" s="294"/>
      <c r="F583" s="294"/>
      <c r="G583" s="294"/>
      <c r="H583" s="294"/>
      <c r="I583" s="294"/>
      <c r="J583" s="294"/>
      <c r="K583" s="294"/>
      <c r="L583" s="294"/>
      <c r="M583" s="294"/>
      <c r="N583" s="294"/>
      <c r="O583" s="294"/>
      <c r="P583" s="294"/>
      <c r="Q583" s="294"/>
      <c r="R583" s="294"/>
      <c r="S583" s="294"/>
      <c r="T583" s="294"/>
      <c r="U583" s="294"/>
      <c r="V583" s="294"/>
      <c r="W583" s="294"/>
      <c r="X583" s="294"/>
      <c r="Y583" s="294"/>
      <c r="Z583" s="294"/>
      <c r="AA583" s="294"/>
      <c r="AB583" s="294"/>
    </row>
    <row r="584">
      <c r="A584" s="294"/>
      <c r="B584" s="294"/>
      <c r="C584" s="294"/>
      <c r="D584" s="294"/>
      <c r="E584" s="294"/>
      <c r="F584" s="294"/>
      <c r="G584" s="294"/>
      <c r="H584" s="294"/>
      <c r="I584" s="294"/>
      <c r="J584" s="294"/>
      <c r="K584" s="294"/>
      <c r="L584" s="294"/>
      <c r="M584" s="294"/>
      <c r="N584" s="294"/>
      <c r="O584" s="294"/>
      <c r="P584" s="294"/>
      <c r="Q584" s="294"/>
      <c r="R584" s="294"/>
      <c r="S584" s="294"/>
      <c r="T584" s="294"/>
      <c r="U584" s="294"/>
      <c r="V584" s="294"/>
      <c r="W584" s="294"/>
      <c r="X584" s="294"/>
      <c r="Y584" s="294"/>
      <c r="Z584" s="294"/>
      <c r="AA584" s="294"/>
      <c r="AB584" s="294"/>
    </row>
    <row r="585">
      <c r="A585" s="294"/>
      <c r="B585" s="294"/>
      <c r="C585" s="294"/>
      <c r="D585" s="294"/>
      <c r="E585" s="294"/>
      <c r="F585" s="294"/>
      <c r="G585" s="294"/>
      <c r="H585" s="294"/>
      <c r="I585" s="294"/>
      <c r="J585" s="294"/>
      <c r="K585" s="294"/>
      <c r="L585" s="294"/>
      <c r="M585" s="294"/>
      <c r="N585" s="294"/>
      <c r="O585" s="294"/>
      <c r="P585" s="294"/>
      <c r="Q585" s="294"/>
      <c r="R585" s="294"/>
      <c r="S585" s="294"/>
      <c r="T585" s="294"/>
      <c r="U585" s="294"/>
      <c r="V585" s="294"/>
      <c r="W585" s="294"/>
      <c r="X585" s="294"/>
      <c r="Y585" s="294"/>
      <c r="Z585" s="294"/>
      <c r="AA585" s="294"/>
      <c r="AB585" s="294"/>
    </row>
    <row r="586">
      <c r="A586" s="294"/>
      <c r="B586" s="294"/>
      <c r="C586" s="294"/>
      <c r="D586" s="294"/>
      <c r="E586" s="294"/>
      <c r="F586" s="294"/>
      <c r="G586" s="294"/>
      <c r="H586" s="294"/>
      <c r="I586" s="294"/>
      <c r="J586" s="294"/>
      <c r="K586" s="294"/>
      <c r="L586" s="294"/>
      <c r="M586" s="294"/>
      <c r="N586" s="294"/>
      <c r="O586" s="294"/>
      <c r="P586" s="294"/>
      <c r="Q586" s="294"/>
      <c r="R586" s="294"/>
      <c r="S586" s="294"/>
      <c r="T586" s="294"/>
      <c r="U586" s="294"/>
      <c r="V586" s="294"/>
      <c r="W586" s="294"/>
      <c r="X586" s="294"/>
      <c r="Y586" s="294"/>
      <c r="Z586" s="294"/>
      <c r="AA586" s="294"/>
      <c r="AB586" s="294"/>
    </row>
    <row r="587">
      <c r="A587" s="294"/>
      <c r="B587" s="294"/>
      <c r="C587" s="294"/>
      <c r="D587" s="294"/>
      <c r="E587" s="294"/>
      <c r="F587" s="294"/>
      <c r="G587" s="294"/>
      <c r="H587" s="294"/>
      <c r="I587" s="294"/>
      <c r="J587" s="294"/>
      <c r="K587" s="294"/>
      <c r="L587" s="294"/>
      <c r="M587" s="294"/>
      <c r="N587" s="294"/>
      <c r="O587" s="294"/>
      <c r="P587" s="294"/>
      <c r="Q587" s="294"/>
      <c r="R587" s="294"/>
      <c r="S587" s="294"/>
      <c r="T587" s="294"/>
      <c r="U587" s="294"/>
      <c r="V587" s="294"/>
      <c r="W587" s="294"/>
      <c r="X587" s="294"/>
      <c r="Y587" s="294"/>
      <c r="Z587" s="294"/>
      <c r="AA587" s="294"/>
      <c r="AB587" s="294"/>
    </row>
    <row r="588">
      <c r="A588" s="294"/>
      <c r="B588" s="294"/>
      <c r="C588" s="294"/>
      <c r="D588" s="294"/>
      <c r="E588" s="294"/>
      <c r="F588" s="294"/>
      <c r="G588" s="294"/>
      <c r="H588" s="294"/>
      <c r="I588" s="294"/>
      <c r="J588" s="294"/>
      <c r="K588" s="294"/>
      <c r="L588" s="294"/>
      <c r="M588" s="294"/>
      <c r="N588" s="294"/>
      <c r="O588" s="294"/>
      <c r="P588" s="294"/>
      <c r="Q588" s="294"/>
      <c r="R588" s="294"/>
      <c r="S588" s="294"/>
      <c r="T588" s="294"/>
      <c r="U588" s="294"/>
      <c r="V588" s="294"/>
      <c r="W588" s="294"/>
      <c r="X588" s="294"/>
      <c r="Y588" s="294"/>
      <c r="Z588" s="294"/>
      <c r="AA588" s="294"/>
      <c r="AB588" s="294"/>
    </row>
    <row r="589">
      <c r="A589" s="294"/>
      <c r="B589" s="294"/>
      <c r="C589" s="294"/>
      <c r="D589" s="294"/>
      <c r="E589" s="294"/>
      <c r="F589" s="294"/>
      <c r="G589" s="294"/>
      <c r="H589" s="294"/>
      <c r="I589" s="294"/>
      <c r="J589" s="294"/>
      <c r="K589" s="294"/>
      <c r="L589" s="294"/>
      <c r="M589" s="294"/>
      <c r="N589" s="294"/>
      <c r="O589" s="294"/>
      <c r="P589" s="294"/>
      <c r="Q589" s="294"/>
      <c r="R589" s="294"/>
      <c r="S589" s="294"/>
      <c r="T589" s="294"/>
      <c r="U589" s="294"/>
      <c r="V589" s="294"/>
      <c r="W589" s="294"/>
      <c r="X589" s="294"/>
      <c r="Y589" s="294"/>
      <c r="Z589" s="294"/>
      <c r="AA589" s="294"/>
      <c r="AB589" s="294"/>
    </row>
    <row r="590">
      <c r="A590" s="294"/>
      <c r="B590" s="294"/>
      <c r="C590" s="294"/>
      <c r="D590" s="294"/>
      <c r="E590" s="294"/>
      <c r="F590" s="294"/>
      <c r="G590" s="294"/>
      <c r="H590" s="294"/>
      <c r="I590" s="294"/>
      <c r="J590" s="294"/>
      <c r="K590" s="294"/>
      <c r="L590" s="294"/>
      <c r="M590" s="294"/>
      <c r="N590" s="294"/>
      <c r="O590" s="294"/>
      <c r="P590" s="294"/>
      <c r="Q590" s="294"/>
      <c r="R590" s="294"/>
      <c r="S590" s="294"/>
      <c r="T590" s="294"/>
      <c r="U590" s="294"/>
      <c r="V590" s="294"/>
      <c r="W590" s="294"/>
      <c r="X590" s="294"/>
      <c r="Y590" s="294"/>
      <c r="Z590" s="294"/>
      <c r="AA590" s="294"/>
      <c r="AB590" s="294"/>
    </row>
    <row r="591">
      <c r="A591" s="294"/>
      <c r="B591" s="294"/>
      <c r="C591" s="294"/>
      <c r="D591" s="294"/>
      <c r="E591" s="294"/>
      <c r="F591" s="294"/>
      <c r="G591" s="294"/>
      <c r="H591" s="294"/>
      <c r="I591" s="294"/>
      <c r="J591" s="294"/>
      <c r="K591" s="294"/>
      <c r="L591" s="294"/>
      <c r="M591" s="294"/>
      <c r="N591" s="294"/>
      <c r="O591" s="294"/>
      <c r="P591" s="294"/>
      <c r="Q591" s="294"/>
      <c r="R591" s="294"/>
      <c r="S591" s="294"/>
      <c r="T591" s="294"/>
      <c r="U591" s="294"/>
      <c r="V591" s="294"/>
      <c r="W591" s="294"/>
      <c r="X591" s="294"/>
      <c r="Y591" s="294"/>
      <c r="Z591" s="294"/>
      <c r="AA591" s="294"/>
      <c r="AB591" s="294"/>
    </row>
    <row r="592">
      <c r="A592" s="294"/>
      <c r="B592" s="294"/>
      <c r="C592" s="294"/>
      <c r="D592" s="294"/>
      <c r="E592" s="294"/>
      <c r="F592" s="294"/>
      <c r="G592" s="294"/>
      <c r="H592" s="294"/>
      <c r="I592" s="294"/>
      <c r="J592" s="294"/>
      <c r="K592" s="294"/>
      <c r="L592" s="294"/>
      <c r="M592" s="294"/>
      <c r="N592" s="294"/>
      <c r="O592" s="294"/>
      <c r="P592" s="294"/>
      <c r="Q592" s="294"/>
      <c r="R592" s="294"/>
      <c r="S592" s="294"/>
      <c r="T592" s="294"/>
      <c r="U592" s="294"/>
      <c r="V592" s="294"/>
      <c r="W592" s="294"/>
      <c r="X592" s="294"/>
      <c r="Y592" s="294"/>
      <c r="Z592" s="294"/>
      <c r="AA592" s="294"/>
      <c r="AB592" s="294"/>
    </row>
    <row r="593">
      <c r="A593" s="294"/>
      <c r="B593" s="294"/>
      <c r="C593" s="294"/>
      <c r="D593" s="294"/>
      <c r="E593" s="294"/>
      <c r="F593" s="294"/>
      <c r="G593" s="294"/>
      <c r="H593" s="294"/>
      <c r="I593" s="294"/>
      <c r="J593" s="294"/>
      <c r="K593" s="294"/>
      <c r="L593" s="294"/>
      <c r="M593" s="294"/>
      <c r="N593" s="294"/>
      <c r="O593" s="294"/>
      <c r="P593" s="294"/>
      <c r="Q593" s="294"/>
      <c r="R593" s="294"/>
      <c r="S593" s="294"/>
      <c r="T593" s="294"/>
      <c r="U593" s="294"/>
      <c r="V593" s="294"/>
      <c r="W593" s="294"/>
      <c r="X593" s="294"/>
      <c r="Y593" s="294"/>
      <c r="Z593" s="294"/>
      <c r="AA593" s="294"/>
      <c r="AB593" s="294"/>
    </row>
    <row r="594">
      <c r="A594" s="294"/>
      <c r="B594" s="294"/>
      <c r="C594" s="294"/>
      <c r="D594" s="294"/>
      <c r="E594" s="294"/>
      <c r="F594" s="294"/>
      <c r="G594" s="294"/>
      <c r="H594" s="294"/>
      <c r="I594" s="294"/>
      <c r="J594" s="294"/>
      <c r="K594" s="294"/>
      <c r="L594" s="294"/>
      <c r="M594" s="294"/>
      <c r="N594" s="294"/>
      <c r="O594" s="294"/>
      <c r="P594" s="294"/>
      <c r="Q594" s="294"/>
      <c r="R594" s="294"/>
      <c r="S594" s="294"/>
      <c r="T594" s="294"/>
      <c r="U594" s="294"/>
      <c r="V594" s="294"/>
      <c r="W594" s="294"/>
      <c r="X594" s="294"/>
      <c r="Y594" s="294"/>
      <c r="Z594" s="294"/>
      <c r="AA594" s="294"/>
      <c r="AB594" s="294"/>
    </row>
    <row r="595">
      <c r="A595" s="294"/>
      <c r="B595" s="294"/>
      <c r="C595" s="294"/>
      <c r="D595" s="294"/>
      <c r="E595" s="294"/>
      <c r="F595" s="294"/>
      <c r="G595" s="294"/>
      <c r="H595" s="294"/>
      <c r="I595" s="294"/>
      <c r="J595" s="294"/>
      <c r="K595" s="294"/>
      <c r="L595" s="294"/>
      <c r="M595" s="294"/>
      <c r="N595" s="294"/>
      <c r="O595" s="294"/>
      <c r="P595" s="294"/>
      <c r="Q595" s="294"/>
      <c r="R595" s="294"/>
      <c r="S595" s="294"/>
      <c r="T595" s="294"/>
      <c r="U595" s="294"/>
      <c r="V595" s="294"/>
      <c r="W595" s="294"/>
      <c r="X595" s="294"/>
      <c r="Y595" s="294"/>
      <c r="Z595" s="294"/>
      <c r="AA595" s="294"/>
      <c r="AB595" s="294"/>
    </row>
    <row r="596">
      <c r="A596" s="294"/>
      <c r="B596" s="294"/>
      <c r="C596" s="294"/>
      <c r="D596" s="294"/>
      <c r="E596" s="294"/>
      <c r="F596" s="294"/>
      <c r="G596" s="294"/>
      <c r="H596" s="294"/>
      <c r="I596" s="294"/>
      <c r="J596" s="294"/>
      <c r="K596" s="294"/>
      <c r="L596" s="294"/>
      <c r="M596" s="294"/>
      <c r="N596" s="294"/>
      <c r="O596" s="294"/>
      <c r="P596" s="294"/>
      <c r="Q596" s="294"/>
      <c r="R596" s="294"/>
      <c r="S596" s="294"/>
      <c r="T596" s="294"/>
      <c r="U596" s="294"/>
      <c r="V596" s="294"/>
      <c r="W596" s="294"/>
      <c r="X596" s="294"/>
      <c r="Y596" s="294"/>
      <c r="Z596" s="294"/>
      <c r="AA596" s="294"/>
      <c r="AB596" s="294"/>
    </row>
    <row r="597">
      <c r="A597" s="294"/>
      <c r="B597" s="294"/>
      <c r="C597" s="294"/>
      <c r="D597" s="294"/>
      <c r="E597" s="294"/>
      <c r="F597" s="294"/>
      <c r="G597" s="294"/>
      <c r="H597" s="294"/>
      <c r="I597" s="294"/>
      <c r="J597" s="294"/>
      <c r="K597" s="294"/>
      <c r="L597" s="294"/>
      <c r="M597" s="294"/>
      <c r="N597" s="294"/>
      <c r="O597" s="294"/>
      <c r="P597" s="294"/>
      <c r="Q597" s="294"/>
      <c r="R597" s="294"/>
      <c r="S597" s="294"/>
      <c r="T597" s="294"/>
      <c r="U597" s="294"/>
      <c r="V597" s="294"/>
      <c r="W597" s="294"/>
      <c r="X597" s="294"/>
      <c r="Y597" s="294"/>
      <c r="Z597" s="294"/>
      <c r="AA597" s="294"/>
      <c r="AB597" s="294"/>
    </row>
    <row r="598">
      <c r="A598" s="294"/>
      <c r="B598" s="294"/>
      <c r="C598" s="294"/>
      <c r="D598" s="294"/>
      <c r="E598" s="294"/>
      <c r="F598" s="294"/>
      <c r="G598" s="294"/>
      <c r="H598" s="294"/>
      <c r="I598" s="294"/>
      <c r="J598" s="294"/>
      <c r="K598" s="294"/>
      <c r="L598" s="294"/>
      <c r="M598" s="294"/>
      <c r="N598" s="294"/>
      <c r="O598" s="294"/>
      <c r="P598" s="294"/>
      <c r="Q598" s="294"/>
      <c r="R598" s="294"/>
      <c r="S598" s="294"/>
      <c r="T598" s="294"/>
      <c r="U598" s="294"/>
      <c r="V598" s="294"/>
      <c r="W598" s="294"/>
      <c r="X598" s="294"/>
      <c r="Y598" s="294"/>
      <c r="Z598" s="294"/>
      <c r="AA598" s="294"/>
      <c r="AB598" s="294"/>
    </row>
    <row r="599">
      <c r="A599" s="294"/>
      <c r="B599" s="294"/>
      <c r="C599" s="294"/>
      <c r="D599" s="294"/>
      <c r="E599" s="294"/>
      <c r="F599" s="294"/>
      <c r="G599" s="294"/>
      <c r="H599" s="294"/>
      <c r="I599" s="294"/>
      <c r="J599" s="294"/>
      <c r="K599" s="294"/>
      <c r="L599" s="294"/>
      <c r="M599" s="294"/>
      <c r="N599" s="294"/>
      <c r="O599" s="294"/>
      <c r="P599" s="294"/>
      <c r="Q599" s="294"/>
      <c r="R599" s="294"/>
      <c r="S599" s="294"/>
      <c r="T599" s="294"/>
      <c r="U599" s="294"/>
      <c r="V599" s="294"/>
      <c r="W599" s="294"/>
      <c r="X599" s="294"/>
      <c r="Y599" s="294"/>
      <c r="Z599" s="294"/>
      <c r="AA599" s="294"/>
      <c r="AB599" s="294"/>
    </row>
    <row r="600">
      <c r="A600" s="294"/>
      <c r="B600" s="294"/>
      <c r="C600" s="294"/>
      <c r="D600" s="294"/>
      <c r="E600" s="294"/>
      <c r="F600" s="294"/>
      <c r="G600" s="294"/>
      <c r="H600" s="294"/>
      <c r="I600" s="294"/>
      <c r="J600" s="294"/>
      <c r="K600" s="294"/>
      <c r="L600" s="294"/>
      <c r="M600" s="294"/>
      <c r="N600" s="294"/>
      <c r="O600" s="294"/>
      <c r="P600" s="294"/>
      <c r="Q600" s="294"/>
      <c r="R600" s="294"/>
      <c r="S600" s="294"/>
      <c r="T600" s="294"/>
      <c r="U600" s="294"/>
      <c r="V600" s="294"/>
      <c r="W600" s="294"/>
      <c r="X600" s="294"/>
      <c r="Y600" s="294"/>
      <c r="Z600" s="294"/>
      <c r="AA600" s="294"/>
      <c r="AB600" s="294"/>
    </row>
    <row r="601">
      <c r="A601" s="294"/>
      <c r="B601" s="294"/>
      <c r="C601" s="294"/>
      <c r="D601" s="294"/>
      <c r="E601" s="294"/>
      <c r="F601" s="294"/>
      <c r="G601" s="294"/>
      <c r="H601" s="294"/>
      <c r="I601" s="294"/>
      <c r="J601" s="294"/>
      <c r="K601" s="294"/>
      <c r="L601" s="294"/>
      <c r="M601" s="294"/>
      <c r="N601" s="294"/>
      <c r="O601" s="294"/>
      <c r="P601" s="294"/>
      <c r="Q601" s="294"/>
      <c r="R601" s="294"/>
      <c r="S601" s="294"/>
      <c r="T601" s="294"/>
      <c r="U601" s="294"/>
      <c r="V601" s="294"/>
      <c r="W601" s="294"/>
      <c r="X601" s="294"/>
      <c r="Y601" s="294"/>
      <c r="Z601" s="294"/>
      <c r="AA601" s="294"/>
      <c r="AB601" s="294"/>
    </row>
    <row r="602">
      <c r="A602" s="294"/>
      <c r="B602" s="294"/>
      <c r="C602" s="294"/>
      <c r="D602" s="294"/>
      <c r="E602" s="294"/>
      <c r="F602" s="294"/>
      <c r="G602" s="294"/>
      <c r="H602" s="294"/>
      <c r="I602" s="294"/>
      <c r="J602" s="294"/>
      <c r="K602" s="294"/>
      <c r="L602" s="294"/>
      <c r="M602" s="294"/>
      <c r="N602" s="294"/>
      <c r="O602" s="294"/>
      <c r="P602" s="294"/>
      <c r="Q602" s="294"/>
      <c r="R602" s="294"/>
      <c r="S602" s="294"/>
      <c r="T602" s="294"/>
      <c r="U602" s="294"/>
      <c r="V602" s="294"/>
      <c r="W602" s="294"/>
      <c r="X602" s="294"/>
      <c r="Y602" s="294"/>
      <c r="Z602" s="294"/>
      <c r="AA602" s="294"/>
      <c r="AB602" s="294"/>
    </row>
    <row r="603">
      <c r="A603" s="294"/>
      <c r="B603" s="294"/>
      <c r="C603" s="294"/>
      <c r="D603" s="294"/>
      <c r="E603" s="294"/>
      <c r="F603" s="294"/>
      <c r="G603" s="294"/>
      <c r="H603" s="294"/>
      <c r="I603" s="294"/>
      <c r="J603" s="294"/>
      <c r="K603" s="294"/>
      <c r="L603" s="294"/>
      <c r="M603" s="294"/>
      <c r="N603" s="294"/>
      <c r="O603" s="294"/>
      <c r="P603" s="294"/>
      <c r="Q603" s="294"/>
      <c r="R603" s="294"/>
      <c r="S603" s="294"/>
      <c r="T603" s="294"/>
      <c r="U603" s="294"/>
      <c r="V603" s="294"/>
      <c r="W603" s="294"/>
      <c r="X603" s="294"/>
      <c r="Y603" s="294"/>
      <c r="Z603" s="294"/>
      <c r="AA603" s="294"/>
      <c r="AB603" s="294"/>
    </row>
    <row r="604">
      <c r="A604" s="294"/>
      <c r="B604" s="294"/>
      <c r="C604" s="294"/>
      <c r="D604" s="294"/>
      <c r="E604" s="294"/>
      <c r="F604" s="294"/>
      <c r="G604" s="294"/>
      <c r="H604" s="294"/>
      <c r="I604" s="294"/>
      <c r="J604" s="294"/>
      <c r="K604" s="294"/>
      <c r="L604" s="294"/>
      <c r="M604" s="294"/>
      <c r="N604" s="294"/>
      <c r="O604" s="294"/>
      <c r="P604" s="294"/>
      <c r="Q604" s="294"/>
      <c r="R604" s="294"/>
      <c r="S604" s="294"/>
      <c r="T604" s="294"/>
      <c r="U604" s="294"/>
      <c r="V604" s="294"/>
      <c r="W604" s="294"/>
      <c r="X604" s="294"/>
      <c r="Y604" s="294"/>
      <c r="Z604" s="294"/>
      <c r="AA604" s="294"/>
      <c r="AB604" s="294"/>
    </row>
    <row r="605">
      <c r="A605" s="294"/>
      <c r="B605" s="294"/>
      <c r="C605" s="294"/>
      <c r="D605" s="294"/>
      <c r="E605" s="294"/>
      <c r="F605" s="294"/>
      <c r="G605" s="294"/>
      <c r="H605" s="294"/>
      <c r="I605" s="294"/>
      <c r="J605" s="294"/>
      <c r="K605" s="294"/>
      <c r="L605" s="294"/>
      <c r="M605" s="294"/>
      <c r="N605" s="294"/>
      <c r="O605" s="294"/>
      <c r="P605" s="294"/>
      <c r="Q605" s="294"/>
      <c r="R605" s="294"/>
      <c r="S605" s="294"/>
      <c r="T605" s="294"/>
      <c r="U605" s="294"/>
      <c r="V605" s="294"/>
      <c r="W605" s="294"/>
      <c r="X605" s="294"/>
      <c r="Y605" s="294"/>
      <c r="Z605" s="294"/>
      <c r="AA605" s="294"/>
      <c r="AB605" s="294"/>
    </row>
    <row r="606">
      <c r="A606" s="294"/>
      <c r="B606" s="294"/>
      <c r="C606" s="294"/>
      <c r="D606" s="294"/>
      <c r="E606" s="294"/>
      <c r="F606" s="294"/>
      <c r="G606" s="294"/>
      <c r="H606" s="294"/>
      <c r="I606" s="294"/>
      <c r="J606" s="294"/>
      <c r="K606" s="294"/>
      <c r="L606" s="294"/>
      <c r="M606" s="294"/>
      <c r="N606" s="294"/>
      <c r="O606" s="294"/>
      <c r="P606" s="294"/>
      <c r="Q606" s="294"/>
      <c r="R606" s="294"/>
      <c r="S606" s="294"/>
      <c r="T606" s="294"/>
      <c r="U606" s="294"/>
      <c r="V606" s="294"/>
      <c r="W606" s="294"/>
      <c r="X606" s="294"/>
      <c r="Y606" s="294"/>
      <c r="Z606" s="294"/>
      <c r="AA606" s="294"/>
      <c r="AB606" s="294"/>
    </row>
    <row r="607">
      <c r="A607" s="294"/>
      <c r="B607" s="294"/>
      <c r="C607" s="294"/>
      <c r="D607" s="294"/>
      <c r="E607" s="294"/>
      <c r="F607" s="294"/>
      <c r="G607" s="294"/>
      <c r="H607" s="294"/>
      <c r="I607" s="294"/>
      <c r="J607" s="294"/>
      <c r="K607" s="294"/>
      <c r="L607" s="294"/>
      <c r="M607" s="294"/>
      <c r="N607" s="294"/>
      <c r="O607" s="294"/>
      <c r="P607" s="294"/>
      <c r="Q607" s="294"/>
      <c r="R607" s="294"/>
      <c r="S607" s="294"/>
      <c r="T607" s="294"/>
      <c r="U607" s="294"/>
      <c r="V607" s="294"/>
      <c r="W607" s="294"/>
      <c r="X607" s="294"/>
      <c r="Y607" s="294"/>
      <c r="Z607" s="294"/>
      <c r="AA607" s="294"/>
      <c r="AB607" s="294"/>
    </row>
    <row r="608">
      <c r="A608" s="294"/>
      <c r="B608" s="294"/>
      <c r="C608" s="294"/>
      <c r="D608" s="294"/>
      <c r="E608" s="294"/>
      <c r="F608" s="294"/>
      <c r="G608" s="294"/>
      <c r="H608" s="294"/>
      <c r="I608" s="294"/>
      <c r="J608" s="294"/>
      <c r="K608" s="294"/>
      <c r="L608" s="294"/>
      <c r="M608" s="294"/>
      <c r="N608" s="294"/>
      <c r="O608" s="294"/>
      <c r="P608" s="294"/>
      <c r="Q608" s="294"/>
      <c r="R608" s="294"/>
      <c r="S608" s="294"/>
      <c r="T608" s="294"/>
      <c r="U608" s="294"/>
      <c r="V608" s="294"/>
      <c r="W608" s="294"/>
      <c r="X608" s="294"/>
      <c r="Y608" s="294"/>
      <c r="Z608" s="294"/>
      <c r="AA608" s="294"/>
      <c r="AB608" s="294"/>
    </row>
    <row r="609">
      <c r="A609" s="294"/>
      <c r="B609" s="294"/>
      <c r="C609" s="294"/>
      <c r="D609" s="294"/>
      <c r="E609" s="294"/>
      <c r="F609" s="294"/>
      <c r="G609" s="294"/>
      <c r="H609" s="294"/>
      <c r="I609" s="294"/>
      <c r="J609" s="294"/>
      <c r="K609" s="294"/>
      <c r="L609" s="294"/>
      <c r="M609" s="294"/>
      <c r="N609" s="294"/>
      <c r="O609" s="294"/>
      <c r="P609" s="294"/>
      <c r="Q609" s="294"/>
      <c r="R609" s="294"/>
      <c r="S609" s="294"/>
      <c r="T609" s="294"/>
      <c r="U609" s="294"/>
      <c r="V609" s="294"/>
      <c r="W609" s="294"/>
      <c r="X609" s="294"/>
      <c r="Y609" s="294"/>
      <c r="Z609" s="294"/>
      <c r="AA609" s="294"/>
      <c r="AB609" s="294"/>
    </row>
    <row r="610">
      <c r="A610" s="294"/>
      <c r="B610" s="294"/>
      <c r="C610" s="294"/>
      <c r="D610" s="294"/>
      <c r="E610" s="294"/>
      <c r="F610" s="294"/>
      <c r="G610" s="294"/>
      <c r="H610" s="294"/>
      <c r="I610" s="294"/>
      <c r="J610" s="294"/>
      <c r="K610" s="294"/>
      <c r="L610" s="294"/>
      <c r="M610" s="294"/>
      <c r="N610" s="294"/>
      <c r="O610" s="294"/>
      <c r="P610" s="294"/>
      <c r="Q610" s="294"/>
      <c r="R610" s="294"/>
      <c r="S610" s="294"/>
      <c r="T610" s="294"/>
      <c r="U610" s="294"/>
      <c r="V610" s="294"/>
      <c r="W610" s="294"/>
      <c r="X610" s="294"/>
      <c r="Y610" s="294"/>
      <c r="Z610" s="294"/>
      <c r="AA610" s="294"/>
      <c r="AB610" s="294"/>
    </row>
    <row r="611">
      <c r="A611" s="294"/>
      <c r="B611" s="294"/>
      <c r="C611" s="294"/>
      <c r="D611" s="294"/>
      <c r="E611" s="294"/>
      <c r="F611" s="294"/>
      <c r="G611" s="294"/>
      <c r="H611" s="294"/>
      <c r="I611" s="294"/>
      <c r="J611" s="294"/>
      <c r="K611" s="294"/>
      <c r="L611" s="294"/>
      <c r="M611" s="294"/>
      <c r="N611" s="294"/>
      <c r="O611" s="294"/>
      <c r="P611" s="294"/>
      <c r="Q611" s="294"/>
      <c r="R611" s="294"/>
      <c r="S611" s="294"/>
      <c r="T611" s="294"/>
      <c r="U611" s="294"/>
      <c r="V611" s="294"/>
      <c r="W611" s="294"/>
      <c r="X611" s="294"/>
      <c r="Y611" s="294"/>
      <c r="Z611" s="294"/>
      <c r="AA611" s="294"/>
      <c r="AB611" s="294"/>
    </row>
    <row r="612">
      <c r="A612" s="294"/>
      <c r="B612" s="294"/>
      <c r="C612" s="294"/>
      <c r="D612" s="294"/>
      <c r="E612" s="294"/>
      <c r="F612" s="294"/>
      <c r="G612" s="294"/>
      <c r="H612" s="294"/>
      <c r="I612" s="294"/>
      <c r="J612" s="294"/>
      <c r="K612" s="294"/>
      <c r="L612" s="294"/>
      <c r="M612" s="294"/>
      <c r="N612" s="294"/>
      <c r="O612" s="294"/>
      <c r="P612" s="294"/>
      <c r="Q612" s="294"/>
      <c r="R612" s="294"/>
      <c r="S612" s="294"/>
      <c r="T612" s="294"/>
      <c r="U612" s="294"/>
      <c r="V612" s="294"/>
      <c r="W612" s="294"/>
      <c r="X612" s="294"/>
      <c r="Y612" s="294"/>
      <c r="Z612" s="294"/>
      <c r="AA612" s="294"/>
      <c r="AB612" s="294"/>
    </row>
    <row r="613">
      <c r="A613" s="294"/>
      <c r="B613" s="294"/>
      <c r="C613" s="294"/>
      <c r="D613" s="294"/>
      <c r="E613" s="294"/>
      <c r="F613" s="294"/>
      <c r="G613" s="294"/>
      <c r="H613" s="294"/>
      <c r="I613" s="294"/>
      <c r="J613" s="294"/>
      <c r="K613" s="294"/>
      <c r="L613" s="294"/>
      <c r="M613" s="294"/>
      <c r="N613" s="294"/>
      <c r="O613" s="294"/>
      <c r="P613" s="294"/>
      <c r="Q613" s="294"/>
      <c r="R613" s="294"/>
      <c r="S613" s="294"/>
      <c r="T613" s="294"/>
      <c r="U613" s="294"/>
      <c r="V613" s="294"/>
      <c r="W613" s="294"/>
      <c r="X613" s="294"/>
      <c r="Y613" s="294"/>
      <c r="Z613" s="294"/>
      <c r="AA613" s="294"/>
      <c r="AB613" s="294"/>
    </row>
    <row r="614">
      <c r="A614" s="294"/>
      <c r="B614" s="294"/>
      <c r="C614" s="294"/>
      <c r="D614" s="294"/>
      <c r="E614" s="294"/>
      <c r="F614" s="294"/>
      <c r="G614" s="294"/>
      <c r="H614" s="294"/>
      <c r="I614" s="294"/>
      <c r="J614" s="294"/>
      <c r="K614" s="294"/>
      <c r="L614" s="294"/>
      <c r="M614" s="294"/>
      <c r="N614" s="294"/>
      <c r="O614" s="294"/>
      <c r="P614" s="294"/>
      <c r="Q614" s="294"/>
      <c r="R614" s="294"/>
      <c r="S614" s="294"/>
      <c r="T614" s="294"/>
      <c r="U614" s="294"/>
      <c r="V614" s="294"/>
      <c r="W614" s="294"/>
      <c r="X614" s="294"/>
      <c r="Y614" s="294"/>
      <c r="Z614" s="294"/>
      <c r="AA614" s="294"/>
      <c r="AB614" s="294"/>
    </row>
    <row r="615">
      <c r="A615" s="294"/>
      <c r="B615" s="294"/>
      <c r="C615" s="294"/>
      <c r="D615" s="294"/>
      <c r="E615" s="294"/>
      <c r="F615" s="294"/>
      <c r="G615" s="294"/>
      <c r="H615" s="294"/>
      <c r="I615" s="294"/>
      <c r="J615" s="294"/>
      <c r="K615" s="294"/>
      <c r="L615" s="294"/>
      <c r="M615" s="294"/>
      <c r="N615" s="294"/>
      <c r="O615" s="294"/>
      <c r="P615" s="294"/>
      <c r="Q615" s="294"/>
      <c r="R615" s="294"/>
      <c r="S615" s="294"/>
      <c r="T615" s="294"/>
      <c r="U615" s="294"/>
      <c r="V615" s="294"/>
      <c r="W615" s="294"/>
      <c r="X615" s="294"/>
      <c r="Y615" s="294"/>
      <c r="Z615" s="294"/>
      <c r="AA615" s="294"/>
      <c r="AB615" s="294"/>
    </row>
    <row r="616">
      <c r="A616" s="294"/>
      <c r="B616" s="294"/>
      <c r="C616" s="294"/>
      <c r="D616" s="294"/>
      <c r="E616" s="294"/>
      <c r="F616" s="294"/>
      <c r="G616" s="294"/>
      <c r="H616" s="294"/>
      <c r="I616" s="294"/>
      <c r="J616" s="294"/>
      <c r="K616" s="294"/>
      <c r="L616" s="294"/>
      <c r="M616" s="294"/>
      <c r="N616" s="294"/>
      <c r="O616" s="294"/>
      <c r="P616" s="294"/>
      <c r="Q616" s="294"/>
      <c r="R616" s="294"/>
      <c r="S616" s="294"/>
      <c r="T616" s="294"/>
      <c r="U616" s="294"/>
      <c r="V616" s="294"/>
      <c r="W616" s="294"/>
      <c r="X616" s="294"/>
      <c r="Y616" s="294"/>
      <c r="Z616" s="294"/>
      <c r="AA616" s="294"/>
      <c r="AB616" s="294"/>
    </row>
    <row r="617">
      <c r="A617" s="294"/>
      <c r="B617" s="294"/>
      <c r="C617" s="294"/>
      <c r="D617" s="294"/>
      <c r="E617" s="294"/>
      <c r="F617" s="294"/>
      <c r="G617" s="294"/>
      <c r="H617" s="294"/>
      <c r="I617" s="294"/>
      <c r="J617" s="294"/>
      <c r="K617" s="294"/>
      <c r="L617" s="294"/>
      <c r="M617" s="294"/>
      <c r="N617" s="294"/>
      <c r="O617" s="294"/>
      <c r="P617" s="294"/>
      <c r="Q617" s="294"/>
      <c r="R617" s="294"/>
      <c r="S617" s="294"/>
      <c r="T617" s="294"/>
      <c r="U617" s="294"/>
      <c r="V617" s="294"/>
      <c r="W617" s="294"/>
      <c r="X617" s="294"/>
      <c r="Y617" s="294"/>
      <c r="Z617" s="294"/>
      <c r="AA617" s="294"/>
      <c r="AB617" s="294"/>
    </row>
    <row r="618">
      <c r="A618" s="294"/>
      <c r="B618" s="294"/>
      <c r="C618" s="294"/>
      <c r="D618" s="294"/>
      <c r="E618" s="294"/>
      <c r="F618" s="294"/>
      <c r="G618" s="294"/>
      <c r="H618" s="294"/>
      <c r="I618" s="294"/>
      <c r="J618" s="294"/>
      <c r="K618" s="294"/>
      <c r="L618" s="294"/>
      <c r="M618" s="294"/>
      <c r="N618" s="294"/>
      <c r="O618" s="294"/>
      <c r="P618" s="294"/>
      <c r="Q618" s="294"/>
      <c r="R618" s="294"/>
      <c r="S618" s="294"/>
      <c r="T618" s="294"/>
      <c r="U618" s="294"/>
      <c r="V618" s="294"/>
      <c r="W618" s="294"/>
      <c r="X618" s="294"/>
      <c r="Y618" s="294"/>
      <c r="Z618" s="294"/>
      <c r="AA618" s="294"/>
      <c r="AB618" s="294"/>
    </row>
    <row r="619">
      <c r="A619" s="294"/>
      <c r="B619" s="294"/>
      <c r="C619" s="294"/>
      <c r="D619" s="294"/>
      <c r="E619" s="294"/>
      <c r="F619" s="294"/>
      <c r="G619" s="294"/>
      <c r="H619" s="294"/>
      <c r="I619" s="294"/>
      <c r="J619" s="294"/>
      <c r="K619" s="294"/>
      <c r="L619" s="294"/>
      <c r="M619" s="294"/>
      <c r="N619" s="294"/>
      <c r="O619" s="294"/>
      <c r="P619" s="294"/>
      <c r="Q619" s="294"/>
      <c r="R619" s="294"/>
      <c r="S619" s="294"/>
      <c r="T619" s="294"/>
      <c r="U619" s="294"/>
      <c r="V619" s="294"/>
      <c r="W619" s="294"/>
      <c r="X619" s="294"/>
      <c r="Y619" s="294"/>
      <c r="Z619" s="294"/>
      <c r="AA619" s="294"/>
      <c r="AB619" s="294"/>
    </row>
    <row r="620">
      <c r="A620" s="294"/>
      <c r="B620" s="294"/>
      <c r="C620" s="294"/>
      <c r="D620" s="294"/>
      <c r="E620" s="294"/>
      <c r="F620" s="294"/>
      <c r="G620" s="294"/>
      <c r="H620" s="294"/>
      <c r="I620" s="294"/>
      <c r="J620" s="294"/>
      <c r="K620" s="294"/>
      <c r="L620" s="294"/>
      <c r="M620" s="294"/>
      <c r="N620" s="294"/>
      <c r="O620" s="294"/>
      <c r="P620" s="294"/>
      <c r="Q620" s="294"/>
      <c r="R620" s="294"/>
      <c r="S620" s="294"/>
      <c r="T620" s="294"/>
      <c r="U620" s="294"/>
      <c r="V620" s="294"/>
      <c r="W620" s="294"/>
      <c r="X620" s="294"/>
      <c r="Y620" s="294"/>
      <c r="Z620" s="294"/>
      <c r="AA620" s="294"/>
      <c r="AB620" s="294"/>
    </row>
    <row r="621">
      <c r="A621" s="294"/>
      <c r="B621" s="294"/>
      <c r="C621" s="294"/>
      <c r="D621" s="294"/>
      <c r="E621" s="294"/>
      <c r="F621" s="294"/>
      <c r="G621" s="294"/>
      <c r="H621" s="294"/>
      <c r="I621" s="294"/>
      <c r="J621" s="294"/>
      <c r="K621" s="294"/>
      <c r="L621" s="294"/>
      <c r="M621" s="294"/>
      <c r="N621" s="294"/>
      <c r="O621" s="294"/>
      <c r="P621" s="294"/>
      <c r="Q621" s="294"/>
      <c r="R621" s="294"/>
      <c r="S621" s="294"/>
      <c r="T621" s="294"/>
      <c r="U621" s="294"/>
      <c r="V621" s="294"/>
      <c r="W621" s="294"/>
      <c r="X621" s="294"/>
      <c r="Y621" s="294"/>
      <c r="Z621" s="294"/>
      <c r="AA621" s="294"/>
      <c r="AB621" s="294"/>
    </row>
    <row r="622">
      <c r="A622" s="294"/>
      <c r="B622" s="294"/>
      <c r="C622" s="294"/>
      <c r="D622" s="294"/>
      <c r="E622" s="294"/>
      <c r="F622" s="294"/>
      <c r="G622" s="294"/>
      <c r="H622" s="294"/>
      <c r="I622" s="294"/>
      <c r="J622" s="294"/>
      <c r="K622" s="294"/>
      <c r="L622" s="294"/>
      <c r="M622" s="294"/>
      <c r="N622" s="294"/>
      <c r="O622" s="294"/>
      <c r="P622" s="294"/>
      <c r="Q622" s="294"/>
      <c r="R622" s="294"/>
      <c r="S622" s="294"/>
      <c r="T622" s="294"/>
      <c r="U622" s="294"/>
      <c r="V622" s="294"/>
      <c r="W622" s="294"/>
      <c r="X622" s="294"/>
      <c r="Y622" s="294"/>
      <c r="Z622" s="294"/>
      <c r="AA622" s="294"/>
      <c r="AB622" s="294"/>
    </row>
    <row r="623">
      <c r="A623" s="294"/>
      <c r="B623" s="294"/>
      <c r="C623" s="294"/>
      <c r="D623" s="294"/>
      <c r="E623" s="294"/>
      <c r="F623" s="294"/>
      <c r="G623" s="294"/>
      <c r="H623" s="294"/>
      <c r="I623" s="294"/>
      <c r="J623" s="294"/>
      <c r="K623" s="294"/>
      <c r="L623" s="294"/>
      <c r="M623" s="294"/>
      <c r="N623" s="294"/>
      <c r="O623" s="294"/>
      <c r="P623" s="294"/>
      <c r="Q623" s="294"/>
      <c r="R623" s="294"/>
      <c r="S623" s="294"/>
      <c r="T623" s="294"/>
      <c r="U623" s="294"/>
      <c r="V623" s="294"/>
      <c r="W623" s="294"/>
      <c r="X623" s="294"/>
      <c r="Y623" s="294"/>
      <c r="Z623" s="294"/>
      <c r="AA623" s="294"/>
      <c r="AB623" s="294"/>
    </row>
    <row r="624">
      <c r="A624" s="294"/>
      <c r="B624" s="294"/>
      <c r="C624" s="294"/>
      <c r="D624" s="294"/>
      <c r="E624" s="294"/>
      <c r="F624" s="294"/>
      <c r="G624" s="294"/>
      <c r="H624" s="294"/>
      <c r="I624" s="294"/>
      <c r="J624" s="294"/>
      <c r="K624" s="294"/>
      <c r="L624" s="294"/>
      <c r="M624" s="294"/>
      <c r="N624" s="294"/>
      <c r="O624" s="294"/>
      <c r="P624" s="294"/>
      <c r="Q624" s="294"/>
      <c r="R624" s="294"/>
      <c r="S624" s="294"/>
      <c r="T624" s="294"/>
      <c r="U624" s="294"/>
      <c r="V624" s="294"/>
      <c r="W624" s="294"/>
      <c r="X624" s="294"/>
      <c r="Y624" s="294"/>
      <c r="Z624" s="294"/>
      <c r="AA624" s="294"/>
      <c r="AB624" s="294"/>
    </row>
    <row r="625">
      <c r="A625" s="294"/>
      <c r="B625" s="294"/>
      <c r="C625" s="294"/>
      <c r="D625" s="294"/>
      <c r="E625" s="294"/>
      <c r="F625" s="294"/>
      <c r="G625" s="294"/>
      <c r="H625" s="294"/>
      <c r="I625" s="294"/>
      <c r="J625" s="294"/>
      <c r="K625" s="294"/>
      <c r="L625" s="294"/>
      <c r="M625" s="294"/>
      <c r="N625" s="294"/>
      <c r="O625" s="294"/>
      <c r="P625" s="294"/>
      <c r="Q625" s="294"/>
      <c r="R625" s="294"/>
      <c r="S625" s="294"/>
      <c r="T625" s="294"/>
      <c r="U625" s="294"/>
      <c r="V625" s="294"/>
      <c r="W625" s="294"/>
      <c r="X625" s="294"/>
      <c r="Y625" s="294"/>
      <c r="Z625" s="294"/>
      <c r="AA625" s="294"/>
      <c r="AB625" s="294"/>
    </row>
    <row r="626">
      <c r="A626" s="294"/>
      <c r="B626" s="294"/>
      <c r="C626" s="294"/>
      <c r="D626" s="294"/>
      <c r="E626" s="294"/>
      <c r="F626" s="294"/>
      <c r="G626" s="294"/>
      <c r="H626" s="294"/>
      <c r="I626" s="294"/>
      <c r="J626" s="294"/>
      <c r="K626" s="294"/>
      <c r="L626" s="294"/>
      <c r="M626" s="294"/>
      <c r="N626" s="294"/>
      <c r="O626" s="294"/>
      <c r="P626" s="294"/>
      <c r="Q626" s="294"/>
      <c r="R626" s="294"/>
      <c r="S626" s="294"/>
      <c r="T626" s="294"/>
      <c r="U626" s="294"/>
      <c r="V626" s="294"/>
      <c r="W626" s="294"/>
      <c r="X626" s="294"/>
      <c r="Y626" s="294"/>
      <c r="Z626" s="294"/>
      <c r="AA626" s="294"/>
      <c r="AB626" s="294"/>
    </row>
    <row r="627">
      <c r="A627" s="294"/>
      <c r="B627" s="294"/>
      <c r="C627" s="294"/>
      <c r="D627" s="294"/>
      <c r="E627" s="294"/>
      <c r="F627" s="294"/>
      <c r="G627" s="294"/>
      <c r="H627" s="294"/>
      <c r="I627" s="294"/>
      <c r="J627" s="294"/>
      <c r="K627" s="294"/>
      <c r="L627" s="294"/>
      <c r="M627" s="294"/>
      <c r="N627" s="294"/>
      <c r="O627" s="294"/>
      <c r="P627" s="294"/>
      <c r="Q627" s="294"/>
      <c r="R627" s="294"/>
      <c r="S627" s="294"/>
      <c r="T627" s="294"/>
      <c r="U627" s="294"/>
      <c r="V627" s="294"/>
      <c r="W627" s="294"/>
      <c r="X627" s="294"/>
      <c r="Y627" s="294"/>
      <c r="Z627" s="294"/>
      <c r="AA627" s="294"/>
      <c r="AB627" s="294"/>
    </row>
    <row r="628">
      <c r="A628" s="294"/>
      <c r="B628" s="294"/>
      <c r="C628" s="294"/>
      <c r="D628" s="294"/>
      <c r="E628" s="294"/>
      <c r="F628" s="294"/>
      <c r="G628" s="294"/>
      <c r="H628" s="294"/>
      <c r="I628" s="294"/>
      <c r="J628" s="294"/>
      <c r="K628" s="294"/>
      <c r="L628" s="294"/>
      <c r="M628" s="294"/>
      <c r="N628" s="294"/>
      <c r="O628" s="294"/>
      <c r="P628" s="294"/>
      <c r="Q628" s="294"/>
      <c r="R628" s="294"/>
      <c r="S628" s="294"/>
      <c r="T628" s="294"/>
      <c r="U628" s="294"/>
      <c r="V628" s="294"/>
      <c r="W628" s="294"/>
      <c r="X628" s="294"/>
      <c r="Y628" s="294"/>
      <c r="Z628" s="294"/>
      <c r="AA628" s="294"/>
      <c r="AB628" s="294"/>
    </row>
    <row r="629">
      <c r="A629" s="294"/>
      <c r="B629" s="294"/>
      <c r="C629" s="294"/>
      <c r="D629" s="294"/>
      <c r="E629" s="294"/>
      <c r="F629" s="294"/>
      <c r="G629" s="294"/>
      <c r="H629" s="294"/>
      <c r="I629" s="294"/>
      <c r="J629" s="294"/>
      <c r="K629" s="294"/>
      <c r="L629" s="294"/>
      <c r="M629" s="294"/>
      <c r="N629" s="294"/>
      <c r="O629" s="294"/>
      <c r="P629" s="294"/>
      <c r="Q629" s="294"/>
      <c r="R629" s="294"/>
      <c r="S629" s="294"/>
      <c r="T629" s="294"/>
      <c r="U629" s="294"/>
      <c r="V629" s="294"/>
      <c r="W629" s="294"/>
      <c r="X629" s="294"/>
      <c r="Y629" s="294"/>
      <c r="Z629" s="294"/>
      <c r="AA629" s="294"/>
      <c r="AB629" s="294"/>
    </row>
    <row r="630">
      <c r="A630" s="294"/>
      <c r="B630" s="294"/>
      <c r="C630" s="294"/>
      <c r="D630" s="294"/>
      <c r="E630" s="294"/>
      <c r="F630" s="294"/>
      <c r="G630" s="294"/>
      <c r="H630" s="294"/>
      <c r="I630" s="294"/>
      <c r="J630" s="294"/>
      <c r="K630" s="294"/>
      <c r="L630" s="294"/>
      <c r="M630" s="294"/>
      <c r="N630" s="294"/>
      <c r="O630" s="294"/>
      <c r="P630" s="294"/>
      <c r="Q630" s="294"/>
      <c r="R630" s="294"/>
      <c r="S630" s="294"/>
      <c r="T630" s="294"/>
      <c r="U630" s="294"/>
      <c r="V630" s="294"/>
      <c r="W630" s="294"/>
      <c r="X630" s="294"/>
      <c r="Y630" s="294"/>
      <c r="Z630" s="294"/>
      <c r="AA630" s="294"/>
      <c r="AB630" s="294"/>
    </row>
    <row r="631">
      <c r="A631" s="294"/>
      <c r="B631" s="294"/>
      <c r="C631" s="294"/>
      <c r="D631" s="294"/>
      <c r="E631" s="294"/>
      <c r="F631" s="294"/>
      <c r="G631" s="294"/>
      <c r="H631" s="294"/>
      <c r="I631" s="294"/>
      <c r="J631" s="294"/>
      <c r="K631" s="294"/>
      <c r="L631" s="294"/>
      <c r="M631" s="294"/>
      <c r="N631" s="294"/>
      <c r="O631" s="294"/>
      <c r="P631" s="294"/>
      <c r="Q631" s="294"/>
      <c r="R631" s="294"/>
      <c r="S631" s="294"/>
      <c r="T631" s="294"/>
      <c r="U631" s="294"/>
      <c r="V631" s="294"/>
      <c r="W631" s="294"/>
      <c r="X631" s="294"/>
      <c r="Y631" s="294"/>
      <c r="Z631" s="294"/>
      <c r="AA631" s="294"/>
      <c r="AB631" s="294"/>
    </row>
    <row r="632">
      <c r="A632" s="294"/>
      <c r="B632" s="294"/>
      <c r="C632" s="294"/>
      <c r="D632" s="294"/>
      <c r="E632" s="294"/>
      <c r="F632" s="294"/>
      <c r="G632" s="294"/>
      <c r="H632" s="294"/>
      <c r="I632" s="294"/>
      <c r="J632" s="294"/>
      <c r="K632" s="294"/>
      <c r="L632" s="294"/>
      <c r="M632" s="294"/>
      <c r="N632" s="294"/>
      <c r="O632" s="294"/>
      <c r="P632" s="294"/>
      <c r="Q632" s="294"/>
      <c r="R632" s="294"/>
      <c r="S632" s="294"/>
      <c r="T632" s="294"/>
      <c r="U632" s="294"/>
      <c r="V632" s="294"/>
      <c r="W632" s="294"/>
      <c r="X632" s="294"/>
      <c r="Y632" s="294"/>
      <c r="Z632" s="294"/>
      <c r="AA632" s="294"/>
      <c r="AB632" s="294"/>
    </row>
    <row r="633">
      <c r="A633" s="294"/>
      <c r="B633" s="294"/>
      <c r="C633" s="294"/>
      <c r="D633" s="294"/>
      <c r="E633" s="294"/>
      <c r="F633" s="294"/>
      <c r="G633" s="294"/>
      <c r="H633" s="294"/>
      <c r="I633" s="294"/>
      <c r="J633" s="294"/>
      <c r="K633" s="294"/>
      <c r="L633" s="294"/>
      <c r="M633" s="294"/>
      <c r="N633" s="294"/>
      <c r="O633" s="294"/>
      <c r="P633" s="294"/>
      <c r="Q633" s="294"/>
      <c r="R633" s="294"/>
      <c r="S633" s="294"/>
      <c r="T633" s="294"/>
      <c r="U633" s="294"/>
      <c r="V633" s="294"/>
      <c r="W633" s="294"/>
      <c r="X633" s="294"/>
      <c r="Y633" s="294"/>
      <c r="Z633" s="294"/>
      <c r="AA633" s="294"/>
      <c r="AB633" s="294"/>
    </row>
    <row r="634">
      <c r="A634" s="294"/>
      <c r="B634" s="294"/>
      <c r="C634" s="294"/>
      <c r="D634" s="294"/>
      <c r="E634" s="294"/>
      <c r="F634" s="294"/>
      <c r="G634" s="294"/>
      <c r="H634" s="294"/>
      <c r="I634" s="294"/>
      <c r="J634" s="294"/>
      <c r="K634" s="294"/>
      <c r="L634" s="294"/>
      <c r="M634" s="294"/>
      <c r="N634" s="294"/>
      <c r="O634" s="294"/>
      <c r="P634" s="294"/>
      <c r="Q634" s="294"/>
      <c r="R634" s="294"/>
      <c r="S634" s="294"/>
      <c r="T634" s="294"/>
      <c r="U634" s="294"/>
      <c r="V634" s="294"/>
      <c r="W634" s="294"/>
      <c r="X634" s="294"/>
      <c r="Y634" s="294"/>
      <c r="Z634" s="294"/>
      <c r="AA634" s="294"/>
      <c r="AB634" s="294"/>
    </row>
    <row r="635">
      <c r="A635" s="294"/>
      <c r="B635" s="294"/>
      <c r="C635" s="294"/>
      <c r="D635" s="294"/>
      <c r="E635" s="294"/>
      <c r="F635" s="294"/>
      <c r="G635" s="294"/>
      <c r="H635" s="294"/>
      <c r="I635" s="294"/>
      <c r="J635" s="294"/>
      <c r="K635" s="294"/>
      <c r="L635" s="294"/>
      <c r="M635" s="294"/>
      <c r="N635" s="294"/>
      <c r="O635" s="294"/>
      <c r="P635" s="294"/>
      <c r="Q635" s="294"/>
      <c r="R635" s="294"/>
      <c r="S635" s="294"/>
      <c r="T635" s="294"/>
      <c r="U635" s="294"/>
      <c r="V635" s="294"/>
      <c r="W635" s="294"/>
      <c r="X635" s="294"/>
      <c r="Y635" s="294"/>
      <c r="Z635" s="294"/>
      <c r="AA635" s="294"/>
      <c r="AB635" s="294"/>
    </row>
    <row r="636">
      <c r="A636" s="294"/>
      <c r="B636" s="294"/>
      <c r="C636" s="294"/>
      <c r="D636" s="294"/>
      <c r="E636" s="294"/>
      <c r="F636" s="294"/>
      <c r="G636" s="294"/>
      <c r="H636" s="294"/>
      <c r="I636" s="294"/>
      <c r="J636" s="294"/>
      <c r="K636" s="294"/>
      <c r="L636" s="294"/>
      <c r="M636" s="294"/>
      <c r="N636" s="294"/>
      <c r="O636" s="294"/>
      <c r="P636" s="294"/>
      <c r="Q636" s="294"/>
      <c r="R636" s="294"/>
      <c r="S636" s="294"/>
      <c r="T636" s="294"/>
      <c r="U636" s="294"/>
      <c r="V636" s="294"/>
      <c r="W636" s="294"/>
      <c r="X636" s="294"/>
      <c r="Y636" s="294"/>
      <c r="Z636" s="294"/>
      <c r="AA636" s="294"/>
      <c r="AB636" s="294"/>
    </row>
    <row r="637">
      <c r="A637" s="294"/>
      <c r="B637" s="294"/>
      <c r="C637" s="294"/>
      <c r="D637" s="294"/>
      <c r="E637" s="294"/>
      <c r="F637" s="294"/>
      <c r="G637" s="294"/>
      <c r="H637" s="294"/>
      <c r="I637" s="294"/>
      <c r="J637" s="294"/>
      <c r="K637" s="294"/>
      <c r="L637" s="294"/>
      <c r="M637" s="294"/>
      <c r="N637" s="294"/>
      <c r="O637" s="294"/>
      <c r="P637" s="294"/>
      <c r="Q637" s="294"/>
      <c r="R637" s="294"/>
      <c r="S637" s="294"/>
      <c r="T637" s="294"/>
      <c r="U637" s="294"/>
      <c r="V637" s="294"/>
      <c r="W637" s="294"/>
      <c r="X637" s="294"/>
      <c r="Y637" s="294"/>
      <c r="Z637" s="294"/>
      <c r="AA637" s="294"/>
      <c r="AB637" s="294"/>
    </row>
    <row r="638">
      <c r="A638" s="294"/>
      <c r="B638" s="294"/>
      <c r="C638" s="294"/>
      <c r="D638" s="294"/>
      <c r="E638" s="294"/>
      <c r="F638" s="294"/>
      <c r="G638" s="294"/>
      <c r="H638" s="294"/>
      <c r="I638" s="294"/>
      <c r="J638" s="294"/>
      <c r="K638" s="294"/>
      <c r="L638" s="294"/>
      <c r="M638" s="294"/>
      <c r="N638" s="294"/>
      <c r="O638" s="294"/>
      <c r="P638" s="294"/>
      <c r="Q638" s="294"/>
      <c r="R638" s="294"/>
      <c r="S638" s="294"/>
      <c r="T638" s="294"/>
      <c r="U638" s="294"/>
      <c r="V638" s="294"/>
      <c r="W638" s="294"/>
      <c r="X638" s="294"/>
      <c r="Y638" s="294"/>
      <c r="Z638" s="294"/>
      <c r="AA638" s="294"/>
      <c r="AB638" s="294"/>
    </row>
    <row r="639">
      <c r="A639" s="294"/>
      <c r="B639" s="294"/>
      <c r="C639" s="294"/>
      <c r="D639" s="294"/>
      <c r="E639" s="294"/>
      <c r="F639" s="294"/>
      <c r="G639" s="294"/>
      <c r="H639" s="294"/>
      <c r="I639" s="294"/>
      <c r="J639" s="294"/>
      <c r="K639" s="294"/>
      <c r="L639" s="294"/>
      <c r="M639" s="294"/>
      <c r="N639" s="294"/>
      <c r="O639" s="294"/>
      <c r="P639" s="294"/>
      <c r="Q639" s="294"/>
      <c r="R639" s="294"/>
      <c r="S639" s="294"/>
      <c r="T639" s="294"/>
      <c r="U639" s="294"/>
      <c r="V639" s="294"/>
      <c r="W639" s="294"/>
      <c r="X639" s="294"/>
      <c r="Y639" s="294"/>
      <c r="Z639" s="294"/>
      <c r="AA639" s="294"/>
      <c r="AB639" s="294"/>
    </row>
    <row r="640">
      <c r="A640" s="294"/>
      <c r="B640" s="294"/>
      <c r="C640" s="294"/>
      <c r="D640" s="294"/>
      <c r="E640" s="294"/>
      <c r="F640" s="294"/>
      <c r="G640" s="294"/>
      <c r="H640" s="294"/>
      <c r="I640" s="294"/>
      <c r="J640" s="294"/>
      <c r="K640" s="294"/>
      <c r="L640" s="294"/>
      <c r="M640" s="294"/>
      <c r="N640" s="294"/>
      <c r="O640" s="294"/>
      <c r="P640" s="294"/>
      <c r="Q640" s="294"/>
      <c r="R640" s="294"/>
      <c r="S640" s="294"/>
      <c r="T640" s="294"/>
      <c r="U640" s="294"/>
      <c r="V640" s="294"/>
      <c r="W640" s="294"/>
      <c r="X640" s="294"/>
      <c r="Y640" s="294"/>
      <c r="Z640" s="294"/>
      <c r="AA640" s="294"/>
      <c r="AB640" s="294"/>
    </row>
    <row r="641">
      <c r="A641" s="294"/>
      <c r="B641" s="294"/>
      <c r="C641" s="294"/>
      <c r="D641" s="294"/>
      <c r="E641" s="294"/>
      <c r="F641" s="294"/>
      <c r="G641" s="294"/>
      <c r="H641" s="294"/>
      <c r="I641" s="294"/>
      <c r="J641" s="294"/>
      <c r="K641" s="294"/>
      <c r="L641" s="294"/>
      <c r="M641" s="294"/>
      <c r="N641" s="294"/>
      <c r="O641" s="294"/>
      <c r="P641" s="294"/>
      <c r="Q641" s="294"/>
      <c r="R641" s="294"/>
      <c r="S641" s="294"/>
      <c r="T641" s="294"/>
      <c r="U641" s="294"/>
      <c r="V641" s="294"/>
      <c r="W641" s="294"/>
      <c r="X641" s="294"/>
      <c r="Y641" s="294"/>
      <c r="Z641" s="294"/>
      <c r="AA641" s="294"/>
      <c r="AB641" s="294"/>
    </row>
    <row r="642">
      <c r="A642" s="294"/>
      <c r="B642" s="294"/>
      <c r="C642" s="294"/>
      <c r="D642" s="294"/>
      <c r="E642" s="294"/>
      <c r="F642" s="294"/>
      <c r="G642" s="294"/>
      <c r="H642" s="294"/>
      <c r="I642" s="294"/>
      <c r="J642" s="294"/>
      <c r="K642" s="294"/>
      <c r="L642" s="294"/>
      <c r="M642" s="294"/>
      <c r="N642" s="294"/>
      <c r="O642" s="294"/>
      <c r="P642" s="294"/>
      <c r="Q642" s="294"/>
      <c r="R642" s="294"/>
      <c r="S642" s="294"/>
      <c r="T642" s="294"/>
      <c r="U642" s="294"/>
      <c r="V642" s="294"/>
      <c r="W642" s="294"/>
      <c r="X642" s="294"/>
      <c r="Y642" s="294"/>
      <c r="Z642" s="294"/>
      <c r="AA642" s="294"/>
      <c r="AB642" s="294"/>
    </row>
    <row r="643">
      <c r="A643" s="294"/>
      <c r="B643" s="294"/>
      <c r="C643" s="294"/>
      <c r="D643" s="294"/>
      <c r="E643" s="294"/>
      <c r="F643" s="294"/>
      <c r="G643" s="294"/>
      <c r="H643" s="294"/>
      <c r="I643" s="294"/>
      <c r="J643" s="294"/>
      <c r="K643" s="294"/>
      <c r="L643" s="294"/>
      <c r="M643" s="294"/>
      <c r="N643" s="294"/>
      <c r="O643" s="294"/>
      <c r="P643" s="294"/>
      <c r="Q643" s="294"/>
      <c r="R643" s="294"/>
      <c r="S643" s="294"/>
      <c r="T643" s="294"/>
      <c r="U643" s="294"/>
      <c r="V643" s="294"/>
      <c r="W643" s="294"/>
      <c r="X643" s="294"/>
      <c r="Y643" s="294"/>
      <c r="Z643" s="294"/>
      <c r="AA643" s="294"/>
      <c r="AB643" s="294"/>
    </row>
    <row r="644">
      <c r="A644" s="294"/>
      <c r="B644" s="294"/>
      <c r="C644" s="294"/>
      <c r="D644" s="294"/>
      <c r="E644" s="294"/>
      <c r="F644" s="294"/>
      <c r="G644" s="294"/>
      <c r="H644" s="294"/>
      <c r="I644" s="294"/>
      <c r="J644" s="294"/>
      <c r="K644" s="294"/>
      <c r="L644" s="294"/>
      <c r="M644" s="294"/>
      <c r="N644" s="294"/>
      <c r="O644" s="294"/>
      <c r="P644" s="294"/>
      <c r="Q644" s="294"/>
      <c r="R644" s="294"/>
      <c r="S644" s="294"/>
      <c r="T644" s="294"/>
      <c r="U644" s="294"/>
      <c r="V644" s="294"/>
      <c r="W644" s="294"/>
      <c r="X644" s="294"/>
      <c r="Y644" s="294"/>
      <c r="Z644" s="294"/>
      <c r="AA644" s="294"/>
      <c r="AB644" s="294"/>
    </row>
    <row r="645">
      <c r="A645" s="294"/>
      <c r="B645" s="294"/>
      <c r="C645" s="294"/>
      <c r="D645" s="294"/>
      <c r="E645" s="294"/>
      <c r="F645" s="294"/>
      <c r="G645" s="294"/>
      <c r="H645" s="294"/>
      <c r="I645" s="294"/>
      <c r="J645" s="294"/>
      <c r="K645" s="294"/>
      <c r="L645" s="294"/>
      <c r="M645" s="294"/>
      <c r="N645" s="294"/>
      <c r="O645" s="294"/>
      <c r="P645" s="294"/>
      <c r="Q645" s="294"/>
      <c r="R645" s="294"/>
      <c r="S645" s="294"/>
      <c r="T645" s="294"/>
      <c r="U645" s="294"/>
      <c r="V645" s="294"/>
      <c r="W645" s="294"/>
      <c r="X645" s="294"/>
      <c r="Y645" s="294"/>
      <c r="Z645" s="294"/>
      <c r="AA645" s="294"/>
      <c r="AB645" s="294"/>
    </row>
    <row r="646">
      <c r="A646" s="294"/>
      <c r="B646" s="294"/>
      <c r="C646" s="294"/>
      <c r="D646" s="294"/>
      <c r="E646" s="294"/>
      <c r="F646" s="294"/>
      <c r="G646" s="294"/>
      <c r="H646" s="294"/>
      <c r="I646" s="294"/>
      <c r="J646" s="294"/>
      <c r="K646" s="294"/>
      <c r="L646" s="294"/>
      <c r="M646" s="294"/>
      <c r="N646" s="294"/>
      <c r="O646" s="294"/>
      <c r="P646" s="294"/>
      <c r="Q646" s="294"/>
      <c r="R646" s="294"/>
      <c r="S646" s="294"/>
      <c r="T646" s="294"/>
      <c r="U646" s="294"/>
      <c r="V646" s="294"/>
      <c r="W646" s="294"/>
      <c r="X646" s="294"/>
      <c r="Y646" s="294"/>
      <c r="Z646" s="294"/>
      <c r="AA646" s="294"/>
      <c r="AB646" s="294"/>
    </row>
    <row r="647">
      <c r="A647" s="294"/>
      <c r="B647" s="294"/>
      <c r="C647" s="294"/>
      <c r="D647" s="294"/>
      <c r="E647" s="294"/>
      <c r="F647" s="294"/>
      <c r="G647" s="294"/>
      <c r="H647" s="294"/>
      <c r="I647" s="294"/>
      <c r="J647" s="294"/>
      <c r="K647" s="294"/>
      <c r="L647" s="294"/>
      <c r="M647" s="294"/>
      <c r="N647" s="294"/>
      <c r="O647" s="294"/>
      <c r="P647" s="294"/>
      <c r="Q647" s="294"/>
      <c r="R647" s="294"/>
      <c r="S647" s="294"/>
      <c r="T647" s="294"/>
      <c r="U647" s="294"/>
      <c r="V647" s="294"/>
      <c r="W647" s="294"/>
      <c r="X647" s="294"/>
      <c r="Y647" s="294"/>
      <c r="Z647" s="294"/>
      <c r="AA647" s="294"/>
      <c r="AB647" s="294"/>
    </row>
    <row r="648">
      <c r="A648" s="294"/>
      <c r="B648" s="294"/>
      <c r="C648" s="294"/>
      <c r="D648" s="294"/>
      <c r="E648" s="294"/>
      <c r="F648" s="294"/>
      <c r="G648" s="294"/>
      <c r="H648" s="294"/>
      <c r="I648" s="294"/>
      <c r="J648" s="294"/>
      <c r="K648" s="294"/>
      <c r="L648" s="294"/>
      <c r="M648" s="294"/>
      <c r="N648" s="294"/>
      <c r="O648" s="294"/>
      <c r="P648" s="294"/>
      <c r="Q648" s="294"/>
      <c r="R648" s="294"/>
      <c r="S648" s="294"/>
      <c r="T648" s="294"/>
      <c r="U648" s="294"/>
      <c r="V648" s="294"/>
      <c r="W648" s="294"/>
      <c r="X648" s="294"/>
      <c r="Y648" s="294"/>
      <c r="Z648" s="294"/>
      <c r="AA648" s="294"/>
      <c r="AB648" s="294"/>
    </row>
    <row r="649">
      <c r="A649" s="294"/>
      <c r="B649" s="294"/>
      <c r="C649" s="294"/>
      <c r="D649" s="294"/>
      <c r="E649" s="294"/>
      <c r="F649" s="294"/>
      <c r="G649" s="294"/>
      <c r="H649" s="294"/>
      <c r="I649" s="294"/>
      <c r="J649" s="294"/>
      <c r="K649" s="294"/>
      <c r="L649" s="294"/>
      <c r="M649" s="294"/>
      <c r="N649" s="294"/>
      <c r="O649" s="294"/>
      <c r="P649" s="294"/>
      <c r="Q649" s="294"/>
      <c r="R649" s="294"/>
      <c r="S649" s="294"/>
      <c r="T649" s="294"/>
      <c r="U649" s="294"/>
      <c r="V649" s="294"/>
      <c r="W649" s="294"/>
      <c r="X649" s="294"/>
      <c r="Y649" s="294"/>
      <c r="Z649" s="294"/>
      <c r="AA649" s="294"/>
      <c r="AB649" s="294"/>
    </row>
    <row r="650">
      <c r="A650" s="294"/>
      <c r="B650" s="294"/>
      <c r="C650" s="294"/>
      <c r="D650" s="294"/>
      <c r="E650" s="294"/>
      <c r="F650" s="294"/>
      <c r="G650" s="294"/>
      <c r="H650" s="294"/>
      <c r="I650" s="294"/>
      <c r="J650" s="294"/>
      <c r="K650" s="294"/>
      <c r="L650" s="294"/>
      <c r="M650" s="294"/>
      <c r="N650" s="294"/>
      <c r="O650" s="294"/>
      <c r="P650" s="294"/>
      <c r="Q650" s="294"/>
      <c r="R650" s="294"/>
      <c r="S650" s="294"/>
      <c r="T650" s="294"/>
      <c r="U650" s="294"/>
      <c r="V650" s="294"/>
      <c r="W650" s="294"/>
      <c r="X650" s="294"/>
      <c r="Y650" s="294"/>
      <c r="Z650" s="294"/>
      <c r="AA650" s="294"/>
      <c r="AB650" s="294"/>
    </row>
    <row r="651">
      <c r="A651" s="294"/>
      <c r="B651" s="294"/>
      <c r="C651" s="294"/>
      <c r="D651" s="294"/>
      <c r="E651" s="294"/>
      <c r="F651" s="294"/>
      <c r="G651" s="294"/>
      <c r="H651" s="294"/>
      <c r="I651" s="294"/>
      <c r="J651" s="294"/>
      <c r="K651" s="294"/>
      <c r="L651" s="294"/>
      <c r="M651" s="294"/>
      <c r="N651" s="294"/>
      <c r="O651" s="294"/>
      <c r="P651" s="294"/>
      <c r="Q651" s="294"/>
      <c r="R651" s="294"/>
      <c r="S651" s="294"/>
      <c r="T651" s="294"/>
      <c r="U651" s="294"/>
      <c r="V651" s="294"/>
      <c r="W651" s="294"/>
      <c r="X651" s="294"/>
      <c r="Y651" s="294"/>
      <c r="Z651" s="294"/>
      <c r="AA651" s="294"/>
      <c r="AB651" s="294"/>
    </row>
    <row r="652">
      <c r="A652" s="294"/>
      <c r="B652" s="294"/>
      <c r="C652" s="294"/>
      <c r="D652" s="294"/>
      <c r="E652" s="294"/>
      <c r="F652" s="294"/>
      <c r="G652" s="294"/>
      <c r="H652" s="294"/>
      <c r="I652" s="294"/>
      <c r="J652" s="294"/>
      <c r="K652" s="294"/>
      <c r="L652" s="294"/>
      <c r="M652" s="294"/>
      <c r="N652" s="294"/>
      <c r="O652" s="294"/>
      <c r="P652" s="294"/>
      <c r="Q652" s="294"/>
      <c r="R652" s="294"/>
      <c r="S652" s="294"/>
      <c r="T652" s="294"/>
      <c r="U652" s="294"/>
      <c r="V652" s="294"/>
      <c r="W652" s="294"/>
      <c r="X652" s="294"/>
      <c r="Y652" s="294"/>
      <c r="Z652" s="294"/>
      <c r="AA652" s="294"/>
      <c r="AB652" s="294"/>
    </row>
    <row r="653">
      <c r="A653" s="294"/>
      <c r="B653" s="294"/>
      <c r="C653" s="294"/>
      <c r="D653" s="294"/>
      <c r="E653" s="294"/>
      <c r="F653" s="294"/>
      <c r="G653" s="294"/>
      <c r="H653" s="294"/>
      <c r="I653" s="294"/>
      <c r="J653" s="294"/>
      <c r="K653" s="294"/>
      <c r="L653" s="294"/>
      <c r="M653" s="294"/>
      <c r="N653" s="294"/>
      <c r="O653" s="294"/>
      <c r="P653" s="294"/>
      <c r="Q653" s="294"/>
      <c r="R653" s="294"/>
      <c r="S653" s="294"/>
      <c r="T653" s="294"/>
      <c r="U653" s="294"/>
      <c r="V653" s="294"/>
      <c r="W653" s="294"/>
      <c r="X653" s="294"/>
      <c r="Y653" s="294"/>
      <c r="Z653" s="294"/>
      <c r="AA653" s="294"/>
      <c r="AB653" s="294"/>
    </row>
    <row r="654">
      <c r="A654" s="294"/>
      <c r="B654" s="294"/>
      <c r="C654" s="294"/>
      <c r="D654" s="294"/>
      <c r="E654" s="294"/>
      <c r="F654" s="294"/>
      <c r="G654" s="294"/>
      <c r="H654" s="294"/>
      <c r="I654" s="294"/>
      <c r="J654" s="294"/>
      <c r="K654" s="294"/>
      <c r="L654" s="294"/>
      <c r="M654" s="294"/>
      <c r="N654" s="294"/>
      <c r="O654" s="294"/>
      <c r="P654" s="294"/>
      <c r="Q654" s="294"/>
      <c r="R654" s="294"/>
      <c r="S654" s="294"/>
      <c r="T654" s="294"/>
      <c r="U654" s="294"/>
      <c r="V654" s="294"/>
      <c r="W654" s="294"/>
      <c r="X654" s="294"/>
      <c r="Y654" s="294"/>
      <c r="Z654" s="294"/>
      <c r="AA654" s="294"/>
      <c r="AB654" s="294"/>
    </row>
    <row r="655">
      <c r="A655" s="294"/>
      <c r="B655" s="294"/>
      <c r="C655" s="294"/>
      <c r="D655" s="294"/>
      <c r="E655" s="294"/>
      <c r="F655" s="294"/>
      <c r="G655" s="294"/>
      <c r="H655" s="294"/>
      <c r="I655" s="294"/>
      <c r="J655" s="294"/>
      <c r="K655" s="294"/>
      <c r="L655" s="294"/>
      <c r="M655" s="294"/>
      <c r="N655" s="294"/>
      <c r="O655" s="294"/>
      <c r="P655" s="294"/>
      <c r="Q655" s="294"/>
      <c r="R655" s="294"/>
      <c r="S655" s="294"/>
      <c r="T655" s="294"/>
      <c r="U655" s="294"/>
      <c r="V655" s="294"/>
      <c r="W655" s="294"/>
      <c r="X655" s="294"/>
      <c r="Y655" s="294"/>
      <c r="Z655" s="294"/>
      <c r="AA655" s="294"/>
      <c r="AB655" s="294"/>
    </row>
    <row r="656">
      <c r="A656" s="294"/>
      <c r="B656" s="294"/>
      <c r="C656" s="294"/>
      <c r="D656" s="294"/>
      <c r="E656" s="294"/>
      <c r="F656" s="294"/>
      <c r="G656" s="294"/>
      <c r="H656" s="294"/>
      <c r="I656" s="294"/>
      <c r="J656" s="294"/>
      <c r="K656" s="294"/>
      <c r="L656" s="294"/>
      <c r="M656" s="294"/>
      <c r="N656" s="294"/>
      <c r="O656" s="294"/>
      <c r="P656" s="294"/>
      <c r="Q656" s="294"/>
      <c r="R656" s="294"/>
      <c r="S656" s="294"/>
      <c r="T656" s="294"/>
      <c r="U656" s="294"/>
      <c r="V656" s="294"/>
      <c r="W656" s="294"/>
      <c r="X656" s="294"/>
      <c r="Y656" s="294"/>
      <c r="Z656" s="294"/>
      <c r="AA656" s="294"/>
      <c r="AB656" s="294"/>
    </row>
    <row r="657">
      <c r="A657" s="294"/>
      <c r="B657" s="294"/>
      <c r="C657" s="294"/>
      <c r="D657" s="294"/>
      <c r="E657" s="294"/>
      <c r="F657" s="294"/>
      <c r="G657" s="294"/>
      <c r="H657" s="294"/>
      <c r="I657" s="294"/>
      <c r="J657" s="294"/>
      <c r="K657" s="294"/>
      <c r="L657" s="294"/>
      <c r="M657" s="294"/>
      <c r="N657" s="294"/>
      <c r="O657" s="294"/>
      <c r="P657" s="294"/>
      <c r="Q657" s="294"/>
      <c r="R657" s="294"/>
      <c r="S657" s="294"/>
      <c r="T657" s="294"/>
      <c r="U657" s="294"/>
      <c r="V657" s="294"/>
      <c r="W657" s="294"/>
      <c r="X657" s="294"/>
      <c r="Y657" s="294"/>
      <c r="Z657" s="294"/>
      <c r="AA657" s="294"/>
      <c r="AB657" s="294"/>
    </row>
    <row r="658">
      <c r="A658" s="294"/>
      <c r="B658" s="294"/>
      <c r="C658" s="294"/>
      <c r="D658" s="294"/>
      <c r="E658" s="294"/>
      <c r="F658" s="294"/>
      <c r="G658" s="294"/>
      <c r="H658" s="294"/>
      <c r="I658" s="294"/>
      <c r="J658" s="294"/>
      <c r="K658" s="294"/>
      <c r="L658" s="294"/>
      <c r="M658" s="294"/>
      <c r="N658" s="294"/>
      <c r="O658" s="294"/>
      <c r="P658" s="294"/>
      <c r="Q658" s="294"/>
      <c r="R658" s="294"/>
      <c r="S658" s="294"/>
      <c r="T658" s="294"/>
      <c r="U658" s="294"/>
      <c r="V658" s="294"/>
      <c r="W658" s="294"/>
      <c r="X658" s="294"/>
      <c r="Y658" s="294"/>
      <c r="Z658" s="294"/>
      <c r="AA658" s="294"/>
      <c r="AB658" s="294"/>
    </row>
    <row r="659">
      <c r="A659" s="294"/>
      <c r="B659" s="294"/>
      <c r="C659" s="294"/>
      <c r="D659" s="294"/>
      <c r="E659" s="294"/>
      <c r="F659" s="294"/>
      <c r="G659" s="294"/>
      <c r="H659" s="294"/>
      <c r="I659" s="294"/>
      <c r="J659" s="294"/>
      <c r="K659" s="294"/>
      <c r="L659" s="294"/>
      <c r="M659" s="294"/>
      <c r="N659" s="294"/>
      <c r="O659" s="294"/>
      <c r="P659" s="294"/>
      <c r="Q659" s="294"/>
      <c r="R659" s="294"/>
      <c r="S659" s="294"/>
      <c r="T659" s="294"/>
      <c r="U659" s="294"/>
      <c r="V659" s="294"/>
      <c r="W659" s="294"/>
      <c r="X659" s="294"/>
      <c r="Y659" s="294"/>
      <c r="Z659" s="294"/>
      <c r="AA659" s="294"/>
      <c r="AB659" s="294"/>
    </row>
    <row r="660">
      <c r="A660" s="294"/>
      <c r="B660" s="294"/>
      <c r="C660" s="294"/>
      <c r="D660" s="294"/>
      <c r="E660" s="294"/>
      <c r="F660" s="294"/>
      <c r="G660" s="294"/>
      <c r="H660" s="294"/>
      <c r="I660" s="294"/>
      <c r="J660" s="294"/>
      <c r="K660" s="294"/>
      <c r="L660" s="294"/>
      <c r="M660" s="294"/>
      <c r="N660" s="294"/>
      <c r="O660" s="294"/>
      <c r="P660" s="294"/>
      <c r="Q660" s="294"/>
      <c r="R660" s="294"/>
      <c r="S660" s="294"/>
      <c r="T660" s="294"/>
      <c r="U660" s="294"/>
      <c r="V660" s="294"/>
      <c r="W660" s="294"/>
      <c r="X660" s="294"/>
      <c r="Y660" s="294"/>
      <c r="Z660" s="294"/>
      <c r="AA660" s="294"/>
      <c r="AB660" s="294"/>
    </row>
    <row r="661">
      <c r="A661" s="294"/>
      <c r="B661" s="294"/>
      <c r="C661" s="294"/>
      <c r="D661" s="294"/>
      <c r="E661" s="294"/>
      <c r="F661" s="294"/>
      <c r="G661" s="294"/>
      <c r="H661" s="294"/>
      <c r="I661" s="294"/>
      <c r="J661" s="294"/>
      <c r="K661" s="294"/>
      <c r="L661" s="294"/>
      <c r="M661" s="294"/>
      <c r="N661" s="294"/>
      <c r="O661" s="294"/>
      <c r="P661" s="294"/>
      <c r="Q661" s="294"/>
      <c r="R661" s="294"/>
      <c r="S661" s="294"/>
      <c r="T661" s="294"/>
      <c r="U661" s="294"/>
      <c r="V661" s="294"/>
      <c r="W661" s="294"/>
      <c r="X661" s="294"/>
      <c r="Y661" s="294"/>
      <c r="Z661" s="294"/>
      <c r="AA661" s="294"/>
      <c r="AB661" s="294"/>
    </row>
    <row r="662">
      <c r="A662" s="294"/>
      <c r="B662" s="294"/>
      <c r="C662" s="294"/>
      <c r="D662" s="294"/>
      <c r="E662" s="294"/>
      <c r="F662" s="294"/>
      <c r="G662" s="294"/>
      <c r="H662" s="294"/>
      <c r="I662" s="294"/>
      <c r="J662" s="294"/>
      <c r="K662" s="294"/>
      <c r="L662" s="294"/>
      <c r="M662" s="294"/>
      <c r="N662" s="294"/>
      <c r="O662" s="294"/>
      <c r="P662" s="294"/>
      <c r="Q662" s="294"/>
      <c r="R662" s="294"/>
      <c r="S662" s="294"/>
      <c r="T662" s="294"/>
      <c r="U662" s="294"/>
      <c r="V662" s="294"/>
      <c r="W662" s="294"/>
      <c r="X662" s="294"/>
      <c r="Y662" s="294"/>
      <c r="Z662" s="294"/>
      <c r="AA662" s="294"/>
      <c r="AB662" s="294"/>
    </row>
    <row r="663">
      <c r="A663" s="294"/>
      <c r="B663" s="294"/>
      <c r="C663" s="294"/>
      <c r="D663" s="294"/>
      <c r="E663" s="294"/>
      <c r="F663" s="294"/>
      <c r="G663" s="294"/>
      <c r="H663" s="294"/>
      <c r="I663" s="294"/>
      <c r="J663" s="294"/>
      <c r="K663" s="294"/>
      <c r="L663" s="294"/>
      <c r="M663" s="294"/>
      <c r="N663" s="294"/>
      <c r="O663" s="294"/>
      <c r="P663" s="294"/>
      <c r="Q663" s="294"/>
      <c r="R663" s="294"/>
      <c r="S663" s="294"/>
      <c r="T663" s="294"/>
      <c r="U663" s="294"/>
      <c r="V663" s="294"/>
      <c r="W663" s="294"/>
      <c r="X663" s="294"/>
      <c r="Y663" s="294"/>
      <c r="Z663" s="294"/>
      <c r="AA663" s="294"/>
      <c r="AB663" s="294"/>
    </row>
    <row r="664">
      <c r="A664" s="294"/>
      <c r="B664" s="294"/>
      <c r="C664" s="294"/>
      <c r="D664" s="294"/>
      <c r="E664" s="294"/>
      <c r="F664" s="294"/>
      <c r="G664" s="294"/>
      <c r="H664" s="294"/>
      <c r="I664" s="294"/>
      <c r="J664" s="294"/>
      <c r="K664" s="294"/>
      <c r="L664" s="294"/>
      <c r="M664" s="294"/>
      <c r="N664" s="294"/>
      <c r="O664" s="294"/>
      <c r="P664" s="294"/>
      <c r="Q664" s="294"/>
      <c r="R664" s="294"/>
      <c r="S664" s="294"/>
      <c r="T664" s="294"/>
      <c r="U664" s="294"/>
      <c r="V664" s="294"/>
      <c r="W664" s="294"/>
      <c r="X664" s="294"/>
      <c r="Y664" s="294"/>
      <c r="Z664" s="294"/>
      <c r="AA664" s="294"/>
      <c r="AB664" s="294"/>
    </row>
    <row r="665">
      <c r="A665" s="294"/>
      <c r="B665" s="294"/>
      <c r="C665" s="294"/>
      <c r="D665" s="294"/>
      <c r="E665" s="294"/>
      <c r="F665" s="294"/>
      <c r="G665" s="294"/>
      <c r="H665" s="294"/>
      <c r="I665" s="294"/>
      <c r="J665" s="294"/>
      <c r="K665" s="294"/>
      <c r="L665" s="294"/>
      <c r="M665" s="294"/>
      <c r="N665" s="294"/>
      <c r="O665" s="294"/>
      <c r="P665" s="294"/>
      <c r="Q665" s="294"/>
      <c r="R665" s="294"/>
      <c r="S665" s="294"/>
      <c r="T665" s="294"/>
      <c r="U665" s="294"/>
      <c r="V665" s="294"/>
      <c r="W665" s="294"/>
      <c r="X665" s="294"/>
      <c r="Y665" s="294"/>
      <c r="Z665" s="294"/>
      <c r="AA665" s="294"/>
      <c r="AB665" s="294"/>
    </row>
    <row r="666">
      <c r="A666" s="294"/>
      <c r="B666" s="294"/>
      <c r="C666" s="294"/>
      <c r="D666" s="294"/>
      <c r="E666" s="294"/>
      <c r="F666" s="294"/>
      <c r="G666" s="294"/>
      <c r="H666" s="294"/>
      <c r="I666" s="294"/>
      <c r="J666" s="294"/>
      <c r="K666" s="294"/>
      <c r="L666" s="294"/>
      <c r="M666" s="294"/>
      <c r="N666" s="294"/>
      <c r="O666" s="294"/>
      <c r="P666" s="294"/>
      <c r="Q666" s="294"/>
      <c r="R666" s="294"/>
      <c r="S666" s="294"/>
      <c r="T666" s="294"/>
      <c r="U666" s="294"/>
      <c r="V666" s="294"/>
      <c r="W666" s="294"/>
      <c r="X666" s="294"/>
      <c r="Y666" s="294"/>
      <c r="Z666" s="294"/>
      <c r="AA666" s="294"/>
      <c r="AB666" s="294"/>
    </row>
    <row r="667">
      <c r="A667" s="294"/>
      <c r="B667" s="294"/>
      <c r="C667" s="294"/>
      <c r="D667" s="294"/>
      <c r="E667" s="294"/>
      <c r="F667" s="294"/>
      <c r="G667" s="294"/>
      <c r="H667" s="294"/>
      <c r="I667" s="294"/>
      <c r="J667" s="294"/>
      <c r="K667" s="294"/>
      <c r="L667" s="294"/>
      <c r="M667" s="294"/>
      <c r="N667" s="294"/>
      <c r="O667" s="294"/>
      <c r="P667" s="294"/>
      <c r="Q667" s="294"/>
      <c r="R667" s="294"/>
      <c r="S667" s="294"/>
      <c r="T667" s="294"/>
      <c r="U667" s="294"/>
      <c r="V667" s="294"/>
      <c r="W667" s="294"/>
      <c r="X667" s="294"/>
      <c r="Y667" s="294"/>
      <c r="Z667" s="294"/>
      <c r="AA667" s="294"/>
      <c r="AB667" s="294"/>
    </row>
    <row r="668">
      <c r="A668" s="294"/>
      <c r="B668" s="294"/>
      <c r="C668" s="294"/>
      <c r="D668" s="294"/>
      <c r="E668" s="294"/>
      <c r="F668" s="294"/>
      <c r="G668" s="294"/>
      <c r="H668" s="294"/>
      <c r="I668" s="294"/>
      <c r="J668" s="294"/>
      <c r="K668" s="294"/>
      <c r="L668" s="294"/>
      <c r="M668" s="294"/>
      <c r="N668" s="294"/>
      <c r="O668" s="294"/>
      <c r="P668" s="294"/>
      <c r="Q668" s="294"/>
      <c r="R668" s="294"/>
      <c r="S668" s="294"/>
      <c r="T668" s="294"/>
      <c r="U668" s="294"/>
      <c r="V668" s="294"/>
      <c r="W668" s="294"/>
      <c r="X668" s="294"/>
      <c r="Y668" s="294"/>
      <c r="Z668" s="294"/>
      <c r="AA668" s="294"/>
      <c r="AB668" s="294"/>
    </row>
    <row r="669">
      <c r="A669" s="294"/>
      <c r="B669" s="294"/>
      <c r="C669" s="294"/>
      <c r="D669" s="294"/>
      <c r="E669" s="294"/>
      <c r="F669" s="294"/>
      <c r="G669" s="294"/>
      <c r="H669" s="294"/>
      <c r="I669" s="294"/>
      <c r="J669" s="294"/>
      <c r="K669" s="294"/>
      <c r="L669" s="294"/>
      <c r="M669" s="294"/>
      <c r="N669" s="294"/>
      <c r="O669" s="294"/>
      <c r="P669" s="294"/>
      <c r="Q669" s="294"/>
      <c r="R669" s="294"/>
      <c r="S669" s="294"/>
      <c r="T669" s="294"/>
      <c r="U669" s="294"/>
      <c r="V669" s="294"/>
      <c r="W669" s="294"/>
      <c r="X669" s="294"/>
      <c r="Y669" s="294"/>
      <c r="Z669" s="294"/>
      <c r="AA669" s="294"/>
      <c r="AB669" s="294"/>
    </row>
    <row r="670">
      <c r="A670" s="294"/>
      <c r="B670" s="294"/>
      <c r="C670" s="294"/>
      <c r="D670" s="294"/>
      <c r="E670" s="294"/>
      <c r="F670" s="294"/>
      <c r="G670" s="294"/>
      <c r="H670" s="294"/>
      <c r="I670" s="294"/>
      <c r="J670" s="294"/>
      <c r="K670" s="294"/>
      <c r="L670" s="294"/>
      <c r="M670" s="294"/>
      <c r="N670" s="294"/>
      <c r="O670" s="294"/>
      <c r="P670" s="294"/>
      <c r="Q670" s="294"/>
      <c r="R670" s="294"/>
      <c r="S670" s="294"/>
      <c r="T670" s="294"/>
      <c r="U670" s="294"/>
      <c r="V670" s="294"/>
      <c r="W670" s="294"/>
      <c r="X670" s="294"/>
      <c r="Y670" s="294"/>
      <c r="Z670" s="294"/>
      <c r="AA670" s="294"/>
      <c r="AB670" s="294"/>
    </row>
    <row r="671">
      <c r="A671" s="294"/>
      <c r="B671" s="294"/>
      <c r="C671" s="294"/>
      <c r="D671" s="294"/>
      <c r="E671" s="294"/>
      <c r="F671" s="294"/>
      <c r="G671" s="294"/>
      <c r="H671" s="294"/>
      <c r="I671" s="294"/>
      <c r="J671" s="294"/>
      <c r="K671" s="294"/>
      <c r="L671" s="294"/>
      <c r="M671" s="294"/>
      <c r="N671" s="294"/>
      <c r="O671" s="294"/>
      <c r="P671" s="294"/>
      <c r="Q671" s="294"/>
      <c r="R671" s="294"/>
      <c r="S671" s="294"/>
      <c r="T671" s="294"/>
      <c r="U671" s="294"/>
      <c r="V671" s="294"/>
      <c r="W671" s="294"/>
      <c r="X671" s="294"/>
      <c r="Y671" s="294"/>
      <c r="Z671" s="294"/>
      <c r="AA671" s="294"/>
      <c r="AB671" s="294"/>
    </row>
    <row r="672">
      <c r="A672" s="294"/>
      <c r="B672" s="294"/>
      <c r="C672" s="294"/>
      <c r="D672" s="294"/>
      <c r="E672" s="294"/>
      <c r="F672" s="294"/>
      <c r="G672" s="294"/>
      <c r="H672" s="294"/>
      <c r="I672" s="294"/>
      <c r="J672" s="294"/>
      <c r="K672" s="294"/>
      <c r="L672" s="294"/>
      <c r="M672" s="294"/>
      <c r="N672" s="294"/>
      <c r="O672" s="294"/>
      <c r="P672" s="294"/>
      <c r="Q672" s="294"/>
      <c r="R672" s="294"/>
      <c r="S672" s="294"/>
      <c r="T672" s="294"/>
      <c r="U672" s="294"/>
      <c r="V672" s="294"/>
      <c r="W672" s="294"/>
      <c r="X672" s="294"/>
      <c r="Y672" s="294"/>
      <c r="Z672" s="294"/>
      <c r="AA672" s="294"/>
      <c r="AB672" s="294"/>
    </row>
    <row r="673">
      <c r="A673" s="294"/>
      <c r="B673" s="294"/>
      <c r="C673" s="294"/>
      <c r="D673" s="294"/>
      <c r="E673" s="294"/>
      <c r="F673" s="294"/>
      <c r="G673" s="294"/>
      <c r="H673" s="294"/>
      <c r="I673" s="294"/>
      <c r="J673" s="294"/>
      <c r="K673" s="294"/>
      <c r="L673" s="294"/>
      <c r="M673" s="294"/>
      <c r="N673" s="294"/>
      <c r="O673" s="294"/>
      <c r="P673" s="294"/>
      <c r="Q673" s="294"/>
      <c r="R673" s="294"/>
      <c r="S673" s="294"/>
      <c r="T673" s="294"/>
      <c r="U673" s="294"/>
      <c r="V673" s="294"/>
      <c r="W673" s="294"/>
      <c r="X673" s="294"/>
      <c r="Y673" s="294"/>
      <c r="Z673" s="294"/>
      <c r="AA673" s="294"/>
      <c r="AB673" s="294"/>
    </row>
    <row r="674">
      <c r="A674" s="294"/>
      <c r="B674" s="294"/>
      <c r="C674" s="294"/>
      <c r="D674" s="294"/>
      <c r="E674" s="294"/>
      <c r="F674" s="294"/>
      <c r="G674" s="294"/>
      <c r="H674" s="294"/>
      <c r="I674" s="294"/>
      <c r="J674" s="294"/>
      <c r="K674" s="294"/>
      <c r="L674" s="294"/>
      <c r="M674" s="294"/>
      <c r="N674" s="294"/>
      <c r="O674" s="294"/>
      <c r="P674" s="294"/>
      <c r="Q674" s="294"/>
      <c r="R674" s="294"/>
      <c r="S674" s="294"/>
      <c r="T674" s="294"/>
      <c r="U674" s="294"/>
      <c r="V674" s="294"/>
      <c r="W674" s="294"/>
      <c r="X674" s="294"/>
      <c r="Y674" s="294"/>
      <c r="Z674" s="294"/>
      <c r="AA674" s="294"/>
      <c r="AB674" s="294"/>
    </row>
    <row r="675">
      <c r="A675" s="294"/>
      <c r="B675" s="294"/>
      <c r="C675" s="294"/>
      <c r="D675" s="294"/>
      <c r="E675" s="294"/>
      <c r="F675" s="294"/>
      <c r="G675" s="294"/>
      <c r="H675" s="294"/>
      <c r="I675" s="294"/>
      <c r="J675" s="294"/>
      <c r="K675" s="294"/>
      <c r="L675" s="294"/>
      <c r="M675" s="294"/>
      <c r="N675" s="294"/>
      <c r="O675" s="294"/>
      <c r="P675" s="294"/>
      <c r="Q675" s="294"/>
      <c r="R675" s="294"/>
      <c r="S675" s="294"/>
      <c r="T675" s="294"/>
      <c r="U675" s="294"/>
      <c r="V675" s="294"/>
      <c r="W675" s="294"/>
      <c r="X675" s="294"/>
      <c r="Y675" s="294"/>
      <c r="Z675" s="294"/>
      <c r="AA675" s="294"/>
      <c r="AB675" s="294"/>
    </row>
    <row r="676">
      <c r="A676" s="294"/>
      <c r="B676" s="294"/>
      <c r="C676" s="294"/>
      <c r="D676" s="294"/>
      <c r="E676" s="294"/>
      <c r="F676" s="294"/>
      <c r="G676" s="294"/>
      <c r="H676" s="294"/>
      <c r="I676" s="294"/>
      <c r="J676" s="294"/>
      <c r="K676" s="294"/>
      <c r="L676" s="294"/>
      <c r="M676" s="294"/>
      <c r="N676" s="294"/>
      <c r="O676" s="294"/>
      <c r="P676" s="294"/>
      <c r="Q676" s="294"/>
      <c r="R676" s="294"/>
      <c r="S676" s="294"/>
      <c r="T676" s="294"/>
      <c r="U676" s="294"/>
      <c r="V676" s="294"/>
      <c r="W676" s="294"/>
      <c r="X676" s="294"/>
      <c r="Y676" s="294"/>
      <c r="Z676" s="294"/>
      <c r="AA676" s="294"/>
      <c r="AB676" s="294"/>
    </row>
    <row r="677">
      <c r="A677" s="294"/>
      <c r="B677" s="294"/>
      <c r="C677" s="294"/>
      <c r="D677" s="294"/>
      <c r="E677" s="294"/>
      <c r="F677" s="294"/>
      <c r="G677" s="294"/>
      <c r="H677" s="294"/>
      <c r="I677" s="294"/>
      <c r="J677" s="294"/>
      <c r="K677" s="294"/>
      <c r="L677" s="294"/>
      <c r="M677" s="294"/>
      <c r="N677" s="294"/>
      <c r="O677" s="294"/>
      <c r="P677" s="294"/>
      <c r="Q677" s="294"/>
      <c r="R677" s="294"/>
      <c r="S677" s="294"/>
      <c r="T677" s="294"/>
      <c r="U677" s="294"/>
      <c r="V677" s="294"/>
      <c r="W677" s="294"/>
      <c r="X677" s="294"/>
      <c r="Y677" s="294"/>
      <c r="Z677" s="294"/>
      <c r="AA677" s="294"/>
      <c r="AB677" s="294"/>
    </row>
    <row r="678">
      <c r="A678" s="294"/>
      <c r="B678" s="294"/>
      <c r="C678" s="294"/>
      <c r="D678" s="294"/>
      <c r="E678" s="294"/>
      <c r="F678" s="294"/>
      <c r="G678" s="294"/>
      <c r="H678" s="294"/>
      <c r="I678" s="294"/>
      <c r="J678" s="294"/>
      <c r="K678" s="294"/>
      <c r="L678" s="294"/>
      <c r="M678" s="294"/>
      <c r="N678" s="294"/>
      <c r="O678" s="294"/>
      <c r="P678" s="294"/>
      <c r="Q678" s="294"/>
      <c r="R678" s="294"/>
      <c r="S678" s="294"/>
      <c r="T678" s="294"/>
      <c r="U678" s="294"/>
      <c r="V678" s="294"/>
      <c r="W678" s="294"/>
      <c r="X678" s="294"/>
      <c r="Y678" s="294"/>
      <c r="Z678" s="294"/>
      <c r="AA678" s="294"/>
      <c r="AB678" s="294"/>
    </row>
    <row r="679">
      <c r="A679" s="294"/>
      <c r="B679" s="294"/>
      <c r="C679" s="294"/>
      <c r="D679" s="294"/>
      <c r="E679" s="294"/>
      <c r="F679" s="294"/>
      <c r="G679" s="294"/>
      <c r="H679" s="294"/>
      <c r="I679" s="294"/>
      <c r="J679" s="294"/>
      <c r="K679" s="294"/>
      <c r="L679" s="294"/>
      <c r="M679" s="294"/>
      <c r="N679" s="294"/>
      <c r="O679" s="294"/>
      <c r="P679" s="294"/>
      <c r="Q679" s="294"/>
      <c r="R679" s="294"/>
      <c r="S679" s="294"/>
      <c r="T679" s="294"/>
      <c r="U679" s="294"/>
      <c r="V679" s="294"/>
      <c r="W679" s="294"/>
      <c r="X679" s="294"/>
      <c r="Y679" s="294"/>
      <c r="Z679" s="294"/>
      <c r="AA679" s="294"/>
      <c r="AB679" s="294"/>
    </row>
    <row r="680">
      <c r="A680" s="294"/>
      <c r="B680" s="294"/>
      <c r="C680" s="294"/>
      <c r="D680" s="294"/>
      <c r="E680" s="294"/>
      <c r="F680" s="294"/>
      <c r="G680" s="294"/>
      <c r="H680" s="294"/>
      <c r="I680" s="294"/>
      <c r="J680" s="294"/>
      <c r="K680" s="294"/>
      <c r="L680" s="294"/>
      <c r="M680" s="294"/>
      <c r="N680" s="294"/>
      <c r="O680" s="294"/>
      <c r="P680" s="294"/>
      <c r="Q680" s="294"/>
      <c r="R680" s="294"/>
      <c r="S680" s="294"/>
      <c r="T680" s="294"/>
      <c r="U680" s="294"/>
      <c r="V680" s="294"/>
      <c r="W680" s="294"/>
      <c r="X680" s="294"/>
      <c r="Y680" s="294"/>
      <c r="Z680" s="294"/>
      <c r="AA680" s="294"/>
      <c r="AB680" s="294"/>
    </row>
    <row r="681">
      <c r="A681" s="294"/>
      <c r="B681" s="294"/>
      <c r="C681" s="294"/>
      <c r="D681" s="294"/>
      <c r="E681" s="294"/>
      <c r="F681" s="294"/>
      <c r="G681" s="294"/>
      <c r="H681" s="294"/>
      <c r="I681" s="294"/>
      <c r="J681" s="294"/>
      <c r="K681" s="294"/>
      <c r="L681" s="294"/>
      <c r="M681" s="294"/>
      <c r="N681" s="294"/>
      <c r="O681" s="294"/>
      <c r="P681" s="294"/>
      <c r="Q681" s="294"/>
      <c r="R681" s="294"/>
      <c r="S681" s="294"/>
      <c r="T681" s="294"/>
      <c r="U681" s="294"/>
      <c r="V681" s="294"/>
      <c r="W681" s="294"/>
      <c r="X681" s="294"/>
      <c r="Y681" s="294"/>
      <c r="Z681" s="294"/>
      <c r="AA681" s="294"/>
      <c r="AB681" s="294"/>
    </row>
    <row r="682">
      <c r="A682" s="294"/>
      <c r="B682" s="294"/>
      <c r="C682" s="294"/>
      <c r="D682" s="294"/>
      <c r="E682" s="294"/>
      <c r="F682" s="294"/>
      <c r="G682" s="294"/>
      <c r="H682" s="294"/>
      <c r="I682" s="294"/>
      <c r="J682" s="294"/>
      <c r="K682" s="294"/>
      <c r="L682" s="294"/>
      <c r="M682" s="294"/>
      <c r="N682" s="294"/>
      <c r="O682" s="294"/>
      <c r="P682" s="294"/>
      <c r="Q682" s="294"/>
      <c r="R682" s="294"/>
      <c r="S682" s="294"/>
      <c r="T682" s="294"/>
      <c r="U682" s="294"/>
      <c r="V682" s="294"/>
      <c r="W682" s="294"/>
      <c r="X682" s="294"/>
      <c r="Y682" s="294"/>
      <c r="Z682" s="294"/>
      <c r="AA682" s="294"/>
      <c r="AB682" s="294"/>
    </row>
    <row r="683">
      <c r="A683" s="294"/>
      <c r="B683" s="294"/>
      <c r="C683" s="294"/>
      <c r="D683" s="294"/>
      <c r="E683" s="294"/>
      <c r="F683" s="294"/>
      <c r="G683" s="294"/>
      <c r="H683" s="294"/>
      <c r="I683" s="294"/>
      <c r="J683" s="294"/>
      <c r="K683" s="294"/>
      <c r="L683" s="294"/>
      <c r="M683" s="294"/>
      <c r="N683" s="294"/>
      <c r="O683" s="294"/>
      <c r="P683" s="294"/>
      <c r="Q683" s="294"/>
      <c r="R683" s="294"/>
      <c r="S683" s="294"/>
      <c r="T683" s="294"/>
      <c r="U683" s="294"/>
      <c r="V683" s="294"/>
      <c r="W683" s="294"/>
      <c r="X683" s="294"/>
      <c r="Y683" s="294"/>
      <c r="Z683" s="294"/>
      <c r="AA683" s="294"/>
      <c r="AB683" s="294"/>
    </row>
    <row r="684">
      <c r="A684" s="294"/>
      <c r="B684" s="294"/>
      <c r="C684" s="294"/>
      <c r="D684" s="294"/>
      <c r="E684" s="294"/>
      <c r="F684" s="294"/>
      <c r="G684" s="294"/>
      <c r="H684" s="294"/>
      <c r="I684" s="294"/>
      <c r="J684" s="294"/>
      <c r="K684" s="294"/>
      <c r="L684" s="294"/>
      <c r="M684" s="294"/>
      <c r="N684" s="294"/>
      <c r="O684" s="294"/>
      <c r="P684" s="294"/>
      <c r="Q684" s="294"/>
      <c r="R684" s="294"/>
      <c r="S684" s="294"/>
      <c r="T684" s="294"/>
      <c r="U684" s="294"/>
      <c r="V684" s="294"/>
      <c r="W684" s="294"/>
      <c r="X684" s="294"/>
      <c r="Y684" s="294"/>
      <c r="Z684" s="294"/>
      <c r="AA684" s="294"/>
      <c r="AB684" s="294"/>
    </row>
    <row r="685">
      <c r="A685" s="294"/>
      <c r="B685" s="294"/>
      <c r="C685" s="294"/>
      <c r="D685" s="294"/>
      <c r="E685" s="294"/>
      <c r="F685" s="294"/>
      <c r="G685" s="294"/>
      <c r="H685" s="294"/>
      <c r="I685" s="294"/>
      <c r="J685" s="294"/>
      <c r="K685" s="294"/>
      <c r="L685" s="294"/>
      <c r="M685" s="294"/>
      <c r="N685" s="294"/>
      <c r="O685" s="294"/>
      <c r="P685" s="294"/>
      <c r="Q685" s="294"/>
      <c r="R685" s="294"/>
      <c r="S685" s="294"/>
      <c r="T685" s="294"/>
      <c r="U685" s="294"/>
      <c r="V685" s="294"/>
      <c r="W685" s="294"/>
      <c r="X685" s="294"/>
      <c r="Y685" s="294"/>
      <c r="Z685" s="294"/>
      <c r="AA685" s="294"/>
      <c r="AB685" s="294"/>
    </row>
    <row r="686">
      <c r="A686" s="294"/>
      <c r="B686" s="294"/>
      <c r="C686" s="294"/>
      <c r="D686" s="294"/>
      <c r="E686" s="294"/>
      <c r="F686" s="294"/>
      <c r="G686" s="294"/>
      <c r="H686" s="294"/>
      <c r="I686" s="294"/>
      <c r="J686" s="294"/>
      <c r="K686" s="294"/>
      <c r="L686" s="294"/>
      <c r="M686" s="294"/>
      <c r="N686" s="294"/>
      <c r="O686" s="294"/>
      <c r="P686" s="294"/>
      <c r="Q686" s="294"/>
      <c r="R686" s="294"/>
      <c r="S686" s="294"/>
      <c r="T686" s="294"/>
      <c r="U686" s="294"/>
      <c r="V686" s="294"/>
      <c r="W686" s="294"/>
      <c r="X686" s="294"/>
      <c r="Y686" s="294"/>
      <c r="Z686" s="294"/>
      <c r="AA686" s="294"/>
      <c r="AB686" s="294"/>
    </row>
    <row r="687">
      <c r="A687" s="294"/>
      <c r="B687" s="294"/>
      <c r="C687" s="294"/>
      <c r="D687" s="294"/>
      <c r="E687" s="294"/>
      <c r="F687" s="294"/>
      <c r="G687" s="294"/>
      <c r="H687" s="294"/>
      <c r="I687" s="294"/>
      <c r="J687" s="294"/>
      <c r="K687" s="294"/>
      <c r="L687" s="294"/>
      <c r="M687" s="294"/>
      <c r="N687" s="294"/>
      <c r="O687" s="294"/>
      <c r="P687" s="294"/>
      <c r="Q687" s="294"/>
      <c r="R687" s="294"/>
      <c r="S687" s="294"/>
      <c r="T687" s="294"/>
      <c r="U687" s="294"/>
      <c r="V687" s="294"/>
      <c r="W687" s="294"/>
      <c r="X687" s="294"/>
      <c r="Y687" s="294"/>
      <c r="Z687" s="294"/>
      <c r="AA687" s="294"/>
      <c r="AB687" s="294"/>
    </row>
    <row r="688">
      <c r="A688" s="294"/>
      <c r="B688" s="294"/>
      <c r="C688" s="294"/>
      <c r="D688" s="294"/>
      <c r="E688" s="294"/>
      <c r="F688" s="294"/>
      <c r="G688" s="294"/>
      <c r="H688" s="294"/>
      <c r="I688" s="294"/>
      <c r="J688" s="294"/>
      <c r="K688" s="294"/>
      <c r="L688" s="294"/>
      <c r="M688" s="294"/>
      <c r="N688" s="294"/>
      <c r="O688" s="294"/>
      <c r="P688" s="294"/>
      <c r="Q688" s="294"/>
      <c r="R688" s="294"/>
      <c r="S688" s="294"/>
      <c r="T688" s="294"/>
      <c r="U688" s="294"/>
      <c r="V688" s="294"/>
      <c r="W688" s="294"/>
      <c r="X688" s="294"/>
      <c r="Y688" s="294"/>
      <c r="Z688" s="294"/>
      <c r="AA688" s="294"/>
      <c r="AB688" s="294"/>
    </row>
    <row r="689">
      <c r="A689" s="294"/>
      <c r="B689" s="294"/>
      <c r="C689" s="294"/>
      <c r="D689" s="294"/>
      <c r="E689" s="294"/>
      <c r="F689" s="294"/>
      <c r="G689" s="294"/>
      <c r="H689" s="294"/>
      <c r="I689" s="294"/>
      <c r="J689" s="294"/>
      <c r="K689" s="294"/>
      <c r="L689" s="294"/>
      <c r="M689" s="294"/>
      <c r="N689" s="294"/>
      <c r="O689" s="294"/>
      <c r="P689" s="294"/>
      <c r="Q689" s="294"/>
      <c r="R689" s="294"/>
      <c r="S689" s="294"/>
      <c r="T689" s="294"/>
      <c r="U689" s="294"/>
      <c r="V689" s="294"/>
      <c r="W689" s="294"/>
      <c r="X689" s="294"/>
      <c r="Y689" s="294"/>
      <c r="Z689" s="294"/>
      <c r="AA689" s="294"/>
      <c r="AB689" s="294"/>
    </row>
    <row r="690">
      <c r="A690" s="294"/>
      <c r="B690" s="294"/>
      <c r="C690" s="294"/>
      <c r="D690" s="294"/>
      <c r="E690" s="294"/>
      <c r="F690" s="294"/>
      <c r="G690" s="294"/>
      <c r="H690" s="294"/>
      <c r="I690" s="294"/>
      <c r="J690" s="294"/>
      <c r="K690" s="294"/>
      <c r="L690" s="294"/>
      <c r="M690" s="294"/>
      <c r="N690" s="294"/>
      <c r="O690" s="294"/>
      <c r="P690" s="294"/>
      <c r="Q690" s="294"/>
      <c r="R690" s="294"/>
      <c r="S690" s="294"/>
      <c r="T690" s="294"/>
      <c r="U690" s="294"/>
      <c r="V690" s="294"/>
      <c r="W690" s="294"/>
      <c r="X690" s="294"/>
      <c r="Y690" s="294"/>
      <c r="Z690" s="294"/>
      <c r="AA690" s="294"/>
      <c r="AB690" s="294"/>
    </row>
    <row r="691">
      <c r="A691" s="294"/>
      <c r="B691" s="294"/>
      <c r="C691" s="294"/>
      <c r="D691" s="294"/>
      <c r="E691" s="294"/>
      <c r="F691" s="294"/>
      <c r="G691" s="294"/>
      <c r="H691" s="294"/>
      <c r="I691" s="294"/>
      <c r="J691" s="294"/>
      <c r="K691" s="294"/>
      <c r="L691" s="294"/>
      <c r="M691" s="294"/>
      <c r="N691" s="294"/>
      <c r="O691" s="294"/>
      <c r="P691" s="294"/>
      <c r="Q691" s="294"/>
      <c r="R691" s="294"/>
      <c r="S691" s="294"/>
      <c r="T691" s="294"/>
      <c r="U691" s="294"/>
      <c r="V691" s="294"/>
      <c r="W691" s="294"/>
      <c r="X691" s="294"/>
      <c r="Y691" s="294"/>
      <c r="Z691" s="294"/>
      <c r="AA691" s="294"/>
      <c r="AB691" s="294"/>
    </row>
    <row r="692">
      <c r="A692" s="294"/>
      <c r="B692" s="294"/>
      <c r="C692" s="294"/>
      <c r="D692" s="294"/>
      <c r="E692" s="294"/>
      <c r="F692" s="294"/>
      <c r="G692" s="294"/>
      <c r="H692" s="294"/>
      <c r="I692" s="294"/>
      <c r="J692" s="294"/>
      <c r="K692" s="294"/>
      <c r="L692" s="294"/>
      <c r="M692" s="294"/>
      <c r="N692" s="294"/>
      <c r="O692" s="294"/>
      <c r="P692" s="294"/>
      <c r="Q692" s="294"/>
      <c r="R692" s="294"/>
      <c r="S692" s="294"/>
      <c r="T692" s="294"/>
      <c r="U692" s="294"/>
      <c r="V692" s="294"/>
      <c r="W692" s="294"/>
      <c r="X692" s="294"/>
      <c r="Y692" s="294"/>
      <c r="Z692" s="294"/>
      <c r="AA692" s="294"/>
      <c r="AB692" s="294"/>
    </row>
    <row r="693">
      <c r="A693" s="294"/>
      <c r="B693" s="294"/>
      <c r="C693" s="294"/>
      <c r="D693" s="294"/>
      <c r="E693" s="294"/>
      <c r="F693" s="294"/>
      <c r="G693" s="294"/>
      <c r="H693" s="294"/>
      <c r="I693" s="294"/>
      <c r="J693" s="294"/>
      <c r="K693" s="294"/>
      <c r="L693" s="294"/>
      <c r="M693" s="294"/>
      <c r="N693" s="294"/>
      <c r="O693" s="294"/>
      <c r="P693" s="294"/>
      <c r="Q693" s="294"/>
      <c r="R693" s="294"/>
      <c r="S693" s="294"/>
      <c r="T693" s="294"/>
      <c r="U693" s="294"/>
      <c r="V693" s="294"/>
      <c r="W693" s="294"/>
      <c r="X693" s="294"/>
      <c r="Y693" s="294"/>
      <c r="Z693" s="294"/>
      <c r="AA693" s="294"/>
      <c r="AB693" s="294"/>
    </row>
    <row r="694">
      <c r="A694" s="294"/>
      <c r="B694" s="294"/>
      <c r="C694" s="294"/>
      <c r="D694" s="294"/>
      <c r="E694" s="294"/>
      <c r="F694" s="294"/>
      <c r="G694" s="294"/>
      <c r="H694" s="294"/>
      <c r="I694" s="294"/>
      <c r="J694" s="294"/>
      <c r="K694" s="294"/>
      <c r="L694" s="294"/>
      <c r="M694" s="294"/>
      <c r="N694" s="294"/>
      <c r="O694" s="294"/>
      <c r="P694" s="294"/>
      <c r="Q694" s="294"/>
      <c r="R694" s="294"/>
      <c r="S694" s="294"/>
      <c r="T694" s="294"/>
      <c r="U694" s="294"/>
      <c r="V694" s="294"/>
      <c r="W694" s="294"/>
      <c r="X694" s="294"/>
      <c r="Y694" s="294"/>
      <c r="Z694" s="294"/>
      <c r="AA694" s="294"/>
      <c r="AB694" s="294"/>
    </row>
    <row r="695">
      <c r="A695" s="294"/>
      <c r="B695" s="294"/>
      <c r="C695" s="294"/>
      <c r="D695" s="294"/>
      <c r="E695" s="294"/>
      <c r="F695" s="294"/>
      <c r="G695" s="294"/>
      <c r="H695" s="294"/>
      <c r="I695" s="294"/>
      <c r="J695" s="294"/>
      <c r="K695" s="294"/>
      <c r="L695" s="294"/>
      <c r="M695" s="294"/>
      <c r="N695" s="294"/>
      <c r="O695" s="294"/>
      <c r="P695" s="294"/>
      <c r="Q695" s="294"/>
      <c r="R695" s="294"/>
      <c r="S695" s="294"/>
      <c r="T695" s="294"/>
      <c r="U695" s="294"/>
      <c r="V695" s="294"/>
      <c r="W695" s="294"/>
      <c r="X695" s="294"/>
      <c r="Y695" s="294"/>
      <c r="Z695" s="294"/>
      <c r="AA695" s="294"/>
      <c r="AB695" s="294"/>
    </row>
    <row r="696">
      <c r="A696" s="294"/>
      <c r="B696" s="294"/>
      <c r="C696" s="294"/>
      <c r="D696" s="294"/>
      <c r="E696" s="294"/>
      <c r="F696" s="294"/>
      <c r="G696" s="294"/>
      <c r="H696" s="294"/>
      <c r="I696" s="294"/>
      <c r="J696" s="294"/>
      <c r="K696" s="294"/>
      <c r="L696" s="294"/>
      <c r="M696" s="294"/>
      <c r="N696" s="294"/>
      <c r="O696" s="294"/>
      <c r="P696" s="294"/>
      <c r="Q696" s="294"/>
      <c r="R696" s="294"/>
      <c r="S696" s="294"/>
      <c r="T696" s="294"/>
      <c r="U696" s="294"/>
      <c r="V696" s="294"/>
      <c r="W696" s="294"/>
      <c r="X696" s="294"/>
      <c r="Y696" s="294"/>
      <c r="Z696" s="294"/>
      <c r="AA696" s="294"/>
      <c r="AB696" s="294"/>
    </row>
    <row r="697">
      <c r="A697" s="294"/>
      <c r="B697" s="294"/>
      <c r="C697" s="294"/>
      <c r="D697" s="294"/>
      <c r="E697" s="294"/>
      <c r="F697" s="294"/>
      <c r="G697" s="294"/>
      <c r="H697" s="294"/>
      <c r="I697" s="294"/>
      <c r="J697" s="294"/>
      <c r="K697" s="294"/>
      <c r="L697" s="294"/>
      <c r="M697" s="294"/>
      <c r="N697" s="294"/>
      <c r="O697" s="294"/>
      <c r="P697" s="294"/>
      <c r="Q697" s="294"/>
      <c r="R697" s="294"/>
      <c r="S697" s="294"/>
      <c r="T697" s="294"/>
      <c r="U697" s="294"/>
      <c r="V697" s="294"/>
      <c r="W697" s="294"/>
      <c r="X697" s="294"/>
      <c r="Y697" s="294"/>
      <c r="Z697" s="294"/>
      <c r="AA697" s="294"/>
      <c r="AB697" s="294"/>
    </row>
    <row r="698">
      <c r="A698" s="294"/>
      <c r="B698" s="294"/>
      <c r="C698" s="294"/>
      <c r="D698" s="294"/>
      <c r="E698" s="294"/>
      <c r="F698" s="294"/>
      <c r="G698" s="294"/>
      <c r="H698" s="294"/>
      <c r="I698" s="294"/>
      <c r="J698" s="294"/>
      <c r="K698" s="294"/>
      <c r="L698" s="294"/>
      <c r="M698" s="294"/>
      <c r="N698" s="294"/>
      <c r="O698" s="294"/>
      <c r="P698" s="294"/>
      <c r="Q698" s="294"/>
      <c r="R698" s="294"/>
      <c r="S698" s="294"/>
      <c r="T698" s="294"/>
      <c r="U698" s="294"/>
      <c r="V698" s="294"/>
      <c r="W698" s="294"/>
      <c r="X698" s="294"/>
      <c r="Y698" s="294"/>
      <c r="Z698" s="294"/>
      <c r="AA698" s="294"/>
      <c r="AB698" s="294"/>
    </row>
    <row r="699">
      <c r="A699" s="294"/>
      <c r="B699" s="294"/>
      <c r="C699" s="294"/>
      <c r="D699" s="294"/>
      <c r="E699" s="294"/>
      <c r="F699" s="294"/>
      <c r="G699" s="294"/>
      <c r="H699" s="294"/>
      <c r="I699" s="294"/>
      <c r="J699" s="294"/>
      <c r="K699" s="294"/>
      <c r="L699" s="294"/>
      <c r="M699" s="294"/>
      <c r="N699" s="294"/>
      <c r="O699" s="294"/>
      <c r="P699" s="294"/>
      <c r="Q699" s="294"/>
      <c r="R699" s="294"/>
      <c r="S699" s="294"/>
      <c r="T699" s="294"/>
      <c r="U699" s="294"/>
      <c r="V699" s="294"/>
      <c r="W699" s="294"/>
      <c r="X699" s="294"/>
      <c r="Y699" s="294"/>
      <c r="Z699" s="294"/>
      <c r="AA699" s="294"/>
      <c r="AB699" s="294"/>
    </row>
    <row r="700">
      <c r="A700" s="294"/>
      <c r="B700" s="294"/>
      <c r="C700" s="294"/>
      <c r="D700" s="294"/>
      <c r="E700" s="294"/>
      <c r="F700" s="294"/>
      <c r="G700" s="294"/>
      <c r="H700" s="294"/>
      <c r="I700" s="294"/>
      <c r="J700" s="294"/>
      <c r="K700" s="294"/>
      <c r="L700" s="294"/>
      <c r="M700" s="294"/>
      <c r="N700" s="294"/>
      <c r="O700" s="294"/>
      <c r="P700" s="294"/>
      <c r="Q700" s="294"/>
      <c r="R700" s="294"/>
      <c r="S700" s="294"/>
      <c r="T700" s="294"/>
      <c r="U700" s="294"/>
      <c r="V700" s="294"/>
      <c r="W700" s="294"/>
      <c r="X700" s="294"/>
      <c r="Y700" s="294"/>
      <c r="Z700" s="294"/>
      <c r="AA700" s="294"/>
      <c r="AB700" s="294"/>
    </row>
    <row r="701">
      <c r="A701" s="294"/>
      <c r="B701" s="294"/>
      <c r="C701" s="294"/>
      <c r="D701" s="294"/>
      <c r="E701" s="294"/>
      <c r="F701" s="294"/>
      <c r="G701" s="294"/>
      <c r="H701" s="294"/>
      <c r="I701" s="294"/>
      <c r="J701" s="294"/>
      <c r="K701" s="294"/>
      <c r="L701" s="294"/>
      <c r="M701" s="294"/>
      <c r="N701" s="294"/>
      <c r="O701" s="294"/>
      <c r="P701" s="294"/>
      <c r="Q701" s="294"/>
      <c r="R701" s="294"/>
      <c r="S701" s="294"/>
      <c r="T701" s="294"/>
      <c r="U701" s="294"/>
      <c r="V701" s="294"/>
      <c r="W701" s="294"/>
      <c r="X701" s="294"/>
      <c r="Y701" s="294"/>
      <c r="Z701" s="294"/>
      <c r="AA701" s="294"/>
      <c r="AB701" s="294"/>
    </row>
    <row r="702">
      <c r="A702" s="294"/>
      <c r="B702" s="294"/>
      <c r="C702" s="294"/>
      <c r="D702" s="294"/>
      <c r="E702" s="294"/>
      <c r="F702" s="294"/>
      <c r="G702" s="294"/>
      <c r="H702" s="294"/>
      <c r="I702" s="294"/>
      <c r="J702" s="294"/>
      <c r="K702" s="294"/>
      <c r="L702" s="294"/>
      <c r="M702" s="294"/>
      <c r="N702" s="294"/>
      <c r="O702" s="294"/>
      <c r="P702" s="294"/>
      <c r="Q702" s="294"/>
      <c r="R702" s="294"/>
      <c r="S702" s="294"/>
      <c r="T702" s="294"/>
      <c r="U702" s="294"/>
      <c r="V702" s="294"/>
      <c r="W702" s="294"/>
      <c r="X702" s="294"/>
      <c r="Y702" s="294"/>
      <c r="Z702" s="294"/>
      <c r="AA702" s="294"/>
      <c r="AB702" s="294"/>
    </row>
    <row r="703">
      <c r="A703" s="294"/>
      <c r="B703" s="294"/>
      <c r="C703" s="294"/>
      <c r="D703" s="294"/>
      <c r="E703" s="294"/>
      <c r="F703" s="294"/>
      <c r="G703" s="294"/>
      <c r="H703" s="294"/>
      <c r="I703" s="294"/>
      <c r="J703" s="294"/>
      <c r="K703" s="294"/>
      <c r="L703" s="294"/>
      <c r="M703" s="294"/>
      <c r="N703" s="294"/>
      <c r="O703" s="294"/>
      <c r="P703" s="294"/>
      <c r="Q703" s="294"/>
      <c r="R703" s="294"/>
      <c r="S703" s="294"/>
      <c r="T703" s="294"/>
      <c r="U703" s="294"/>
      <c r="V703" s="294"/>
      <c r="W703" s="294"/>
      <c r="X703" s="294"/>
      <c r="Y703" s="294"/>
      <c r="Z703" s="294"/>
      <c r="AA703" s="294"/>
      <c r="AB703" s="294"/>
    </row>
    <row r="704">
      <c r="A704" s="294"/>
      <c r="B704" s="294"/>
      <c r="C704" s="294"/>
      <c r="D704" s="294"/>
      <c r="E704" s="294"/>
      <c r="F704" s="294"/>
      <c r="G704" s="294"/>
      <c r="H704" s="294"/>
      <c r="I704" s="294"/>
      <c r="J704" s="294"/>
      <c r="K704" s="294"/>
      <c r="L704" s="294"/>
      <c r="M704" s="294"/>
      <c r="N704" s="294"/>
      <c r="O704" s="294"/>
      <c r="P704" s="294"/>
      <c r="Q704" s="294"/>
      <c r="R704" s="294"/>
      <c r="S704" s="294"/>
      <c r="T704" s="294"/>
      <c r="U704" s="294"/>
      <c r="V704" s="294"/>
      <c r="W704" s="294"/>
      <c r="X704" s="294"/>
      <c r="Y704" s="294"/>
      <c r="Z704" s="294"/>
      <c r="AA704" s="294"/>
      <c r="AB704" s="294"/>
    </row>
    <row r="705">
      <c r="A705" s="294"/>
      <c r="B705" s="294"/>
      <c r="C705" s="294"/>
      <c r="D705" s="294"/>
      <c r="E705" s="294"/>
      <c r="F705" s="294"/>
      <c r="G705" s="294"/>
      <c r="H705" s="294"/>
      <c r="I705" s="294"/>
      <c r="J705" s="294"/>
      <c r="K705" s="294"/>
      <c r="L705" s="294"/>
      <c r="M705" s="294"/>
      <c r="N705" s="294"/>
      <c r="O705" s="294"/>
      <c r="P705" s="294"/>
      <c r="Q705" s="294"/>
      <c r="R705" s="294"/>
      <c r="S705" s="294"/>
      <c r="T705" s="294"/>
      <c r="U705" s="294"/>
      <c r="V705" s="294"/>
      <c r="W705" s="294"/>
      <c r="X705" s="294"/>
      <c r="Y705" s="294"/>
      <c r="Z705" s="294"/>
      <c r="AA705" s="294"/>
      <c r="AB705" s="294"/>
    </row>
    <row r="706">
      <c r="A706" s="294"/>
      <c r="B706" s="294"/>
      <c r="C706" s="294"/>
      <c r="D706" s="294"/>
      <c r="E706" s="294"/>
      <c r="F706" s="294"/>
      <c r="G706" s="294"/>
      <c r="H706" s="294"/>
      <c r="I706" s="294"/>
      <c r="J706" s="294"/>
      <c r="K706" s="294"/>
      <c r="L706" s="294"/>
      <c r="M706" s="294"/>
      <c r="N706" s="294"/>
      <c r="O706" s="294"/>
      <c r="P706" s="294"/>
      <c r="Q706" s="294"/>
      <c r="R706" s="294"/>
      <c r="S706" s="294"/>
      <c r="T706" s="294"/>
      <c r="U706" s="294"/>
      <c r="V706" s="294"/>
      <c r="W706" s="294"/>
      <c r="X706" s="294"/>
      <c r="Y706" s="294"/>
      <c r="Z706" s="294"/>
      <c r="AA706" s="294"/>
      <c r="AB706" s="294"/>
    </row>
    <row r="707">
      <c r="A707" s="294"/>
      <c r="B707" s="294"/>
      <c r="C707" s="294"/>
      <c r="D707" s="294"/>
      <c r="E707" s="294"/>
      <c r="F707" s="294"/>
      <c r="G707" s="294"/>
      <c r="H707" s="294"/>
      <c r="I707" s="294"/>
      <c r="J707" s="294"/>
      <c r="K707" s="294"/>
      <c r="L707" s="294"/>
      <c r="M707" s="294"/>
      <c r="N707" s="294"/>
      <c r="O707" s="294"/>
      <c r="P707" s="294"/>
      <c r="Q707" s="294"/>
      <c r="R707" s="294"/>
      <c r="S707" s="294"/>
      <c r="T707" s="294"/>
      <c r="U707" s="294"/>
      <c r="V707" s="294"/>
      <c r="W707" s="294"/>
      <c r="X707" s="294"/>
      <c r="Y707" s="294"/>
      <c r="Z707" s="294"/>
      <c r="AA707" s="294"/>
      <c r="AB707" s="294"/>
    </row>
    <row r="708">
      <c r="A708" s="294"/>
      <c r="B708" s="294"/>
      <c r="C708" s="294"/>
      <c r="D708" s="294"/>
      <c r="E708" s="294"/>
      <c r="F708" s="294"/>
      <c r="G708" s="294"/>
      <c r="H708" s="294"/>
      <c r="I708" s="294"/>
      <c r="J708" s="294"/>
      <c r="K708" s="294"/>
      <c r="L708" s="294"/>
      <c r="M708" s="294"/>
      <c r="N708" s="294"/>
      <c r="O708" s="294"/>
      <c r="P708" s="294"/>
      <c r="Q708" s="294"/>
      <c r="R708" s="294"/>
      <c r="S708" s="294"/>
      <c r="T708" s="294"/>
      <c r="U708" s="294"/>
      <c r="V708" s="294"/>
      <c r="W708" s="294"/>
      <c r="X708" s="294"/>
      <c r="Y708" s="294"/>
      <c r="Z708" s="294"/>
      <c r="AA708" s="294"/>
      <c r="AB708" s="294"/>
    </row>
    <row r="709">
      <c r="A709" s="294"/>
      <c r="B709" s="294"/>
      <c r="C709" s="294"/>
      <c r="D709" s="294"/>
      <c r="E709" s="294"/>
      <c r="F709" s="294"/>
      <c r="G709" s="294"/>
      <c r="H709" s="294"/>
      <c r="I709" s="294"/>
      <c r="J709" s="294"/>
      <c r="K709" s="294"/>
      <c r="L709" s="294"/>
      <c r="M709" s="294"/>
      <c r="N709" s="294"/>
      <c r="O709" s="294"/>
      <c r="P709" s="294"/>
      <c r="Q709" s="294"/>
      <c r="R709" s="294"/>
      <c r="S709" s="294"/>
      <c r="T709" s="294"/>
      <c r="U709" s="294"/>
      <c r="V709" s="294"/>
      <c r="W709" s="294"/>
      <c r="X709" s="294"/>
      <c r="Y709" s="294"/>
      <c r="Z709" s="294"/>
      <c r="AA709" s="294"/>
      <c r="AB709" s="294"/>
    </row>
    <row r="710">
      <c r="A710" s="294"/>
      <c r="B710" s="294"/>
      <c r="C710" s="294"/>
      <c r="D710" s="294"/>
      <c r="E710" s="294"/>
      <c r="F710" s="294"/>
      <c r="G710" s="294"/>
      <c r="H710" s="294"/>
      <c r="I710" s="294"/>
      <c r="J710" s="294"/>
      <c r="K710" s="294"/>
      <c r="L710" s="294"/>
      <c r="M710" s="294"/>
      <c r="N710" s="294"/>
      <c r="O710" s="294"/>
      <c r="P710" s="294"/>
      <c r="Q710" s="294"/>
      <c r="R710" s="294"/>
      <c r="S710" s="294"/>
      <c r="T710" s="294"/>
      <c r="U710" s="294"/>
      <c r="V710" s="294"/>
      <c r="W710" s="294"/>
      <c r="X710" s="294"/>
      <c r="Y710" s="294"/>
      <c r="Z710" s="294"/>
      <c r="AA710" s="294"/>
      <c r="AB710" s="294"/>
    </row>
    <row r="711">
      <c r="A711" s="294"/>
      <c r="B711" s="294"/>
      <c r="C711" s="294"/>
      <c r="D711" s="294"/>
      <c r="E711" s="294"/>
      <c r="F711" s="294"/>
      <c r="G711" s="294"/>
      <c r="H711" s="294"/>
      <c r="I711" s="294"/>
      <c r="J711" s="294"/>
      <c r="K711" s="294"/>
      <c r="L711" s="294"/>
      <c r="M711" s="294"/>
      <c r="N711" s="294"/>
      <c r="O711" s="294"/>
      <c r="P711" s="294"/>
      <c r="Q711" s="294"/>
      <c r="R711" s="294"/>
      <c r="S711" s="294"/>
      <c r="T711" s="294"/>
      <c r="U711" s="294"/>
      <c r="V711" s="294"/>
      <c r="W711" s="294"/>
      <c r="X711" s="294"/>
      <c r="Y711" s="294"/>
      <c r="Z711" s="294"/>
      <c r="AA711" s="294"/>
      <c r="AB711" s="294"/>
    </row>
    <row r="712">
      <c r="A712" s="294"/>
      <c r="B712" s="294"/>
      <c r="C712" s="294"/>
      <c r="D712" s="294"/>
      <c r="E712" s="294"/>
      <c r="F712" s="294"/>
      <c r="G712" s="294"/>
      <c r="H712" s="294"/>
      <c r="I712" s="294"/>
      <c r="J712" s="294"/>
      <c r="K712" s="294"/>
      <c r="L712" s="294"/>
      <c r="M712" s="294"/>
      <c r="N712" s="294"/>
      <c r="O712" s="294"/>
      <c r="P712" s="294"/>
      <c r="Q712" s="294"/>
      <c r="R712" s="294"/>
      <c r="S712" s="294"/>
      <c r="T712" s="294"/>
      <c r="U712" s="294"/>
      <c r="V712" s="294"/>
      <c r="W712" s="294"/>
      <c r="X712" s="294"/>
      <c r="Y712" s="294"/>
      <c r="Z712" s="294"/>
      <c r="AA712" s="294"/>
      <c r="AB712" s="294"/>
    </row>
    <row r="713">
      <c r="A713" s="294"/>
      <c r="B713" s="294"/>
      <c r="C713" s="294"/>
      <c r="D713" s="294"/>
      <c r="E713" s="294"/>
      <c r="F713" s="294"/>
      <c r="G713" s="294"/>
      <c r="H713" s="294"/>
      <c r="I713" s="294"/>
      <c r="J713" s="294"/>
      <c r="K713" s="294"/>
      <c r="L713" s="294"/>
      <c r="M713" s="294"/>
      <c r="N713" s="294"/>
      <c r="O713" s="294"/>
      <c r="P713" s="294"/>
      <c r="Q713" s="294"/>
      <c r="R713" s="294"/>
      <c r="S713" s="294"/>
      <c r="T713" s="294"/>
      <c r="U713" s="294"/>
      <c r="V713" s="294"/>
      <c r="W713" s="294"/>
      <c r="X713" s="294"/>
      <c r="Y713" s="294"/>
      <c r="Z713" s="294"/>
      <c r="AA713" s="294"/>
      <c r="AB713" s="294"/>
    </row>
    <row r="714">
      <c r="A714" s="294"/>
      <c r="B714" s="294"/>
      <c r="C714" s="294"/>
      <c r="D714" s="294"/>
      <c r="E714" s="294"/>
      <c r="F714" s="294"/>
      <c r="G714" s="294"/>
      <c r="H714" s="294"/>
      <c r="I714" s="294"/>
      <c r="J714" s="294"/>
      <c r="K714" s="294"/>
      <c r="L714" s="294"/>
      <c r="M714" s="294"/>
      <c r="N714" s="294"/>
      <c r="O714" s="294"/>
      <c r="P714" s="294"/>
      <c r="Q714" s="294"/>
      <c r="R714" s="294"/>
      <c r="S714" s="294"/>
      <c r="T714" s="294"/>
      <c r="U714" s="294"/>
      <c r="V714" s="294"/>
      <c r="W714" s="294"/>
      <c r="X714" s="294"/>
      <c r="Y714" s="294"/>
      <c r="Z714" s="294"/>
      <c r="AA714" s="294"/>
      <c r="AB714" s="294"/>
    </row>
    <row r="715">
      <c r="A715" s="294"/>
      <c r="B715" s="294"/>
      <c r="C715" s="294"/>
      <c r="D715" s="294"/>
      <c r="E715" s="294"/>
      <c r="F715" s="294"/>
      <c r="G715" s="294"/>
      <c r="H715" s="294"/>
      <c r="I715" s="294"/>
      <c r="J715" s="294"/>
      <c r="K715" s="294"/>
      <c r="L715" s="294"/>
      <c r="M715" s="294"/>
      <c r="N715" s="294"/>
      <c r="O715" s="294"/>
      <c r="P715" s="294"/>
      <c r="Q715" s="294"/>
      <c r="R715" s="294"/>
      <c r="S715" s="294"/>
      <c r="T715" s="294"/>
      <c r="U715" s="294"/>
      <c r="V715" s="294"/>
      <c r="W715" s="294"/>
      <c r="X715" s="294"/>
      <c r="Y715" s="294"/>
      <c r="Z715" s="294"/>
      <c r="AA715" s="294"/>
      <c r="AB715" s="294"/>
    </row>
    <row r="716">
      <c r="A716" s="294"/>
      <c r="B716" s="294"/>
      <c r="C716" s="294"/>
      <c r="D716" s="294"/>
      <c r="E716" s="294"/>
      <c r="F716" s="294"/>
      <c r="G716" s="294"/>
      <c r="H716" s="294"/>
      <c r="I716" s="294"/>
      <c r="J716" s="294"/>
      <c r="K716" s="294"/>
      <c r="L716" s="294"/>
      <c r="M716" s="294"/>
      <c r="N716" s="294"/>
      <c r="O716" s="294"/>
      <c r="P716" s="294"/>
      <c r="Q716" s="294"/>
      <c r="R716" s="294"/>
      <c r="S716" s="294"/>
      <c r="T716" s="294"/>
      <c r="U716" s="294"/>
      <c r="V716" s="294"/>
      <c r="W716" s="294"/>
      <c r="X716" s="294"/>
      <c r="Y716" s="294"/>
      <c r="Z716" s="294"/>
      <c r="AA716" s="294"/>
      <c r="AB716" s="294"/>
    </row>
    <row r="717">
      <c r="A717" s="294"/>
      <c r="B717" s="294"/>
      <c r="C717" s="294"/>
      <c r="D717" s="294"/>
      <c r="E717" s="294"/>
      <c r="F717" s="294"/>
      <c r="G717" s="294"/>
      <c r="H717" s="294"/>
      <c r="I717" s="294"/>
      <c r="J717" s="294"/>
      <c r="K717" s="294"/>
      <c r="L717" s="294"/>
      <c r="M717" s="294"/>
      <c r="N717" s="294"/>
      <c r="O717" s="294"/>
      <c r="P717" s="294"/>
      <c r="Q717" s="294"/>
      <c r="R717" s="294"/>
      <c r="S717" s="294"/>
      <c r="T717" s="294"/>
      <c r="U717" s="294"/>
      <c r="V717" s="294"/>
      <c r="W717" s="294"/>
      <c r="X717" s="294"/>
      <c r="Y717" s="294"/>
      <c r="Z717" s="294"/>
      <c r="AA717" s="294"/>
      <c r="AB717" s="294"/>
    </row>
    <row r="718">
      <c r="A718" s="294"/>
      <c r="B718" s="294"/>
      <c r="C718" s="294"/>
      <c r="D718" s="294"/>
      <c r="E718" s="294"/>
      <c r="F718" s="294"/>
      <c r="G718" s="294"/>
      <c r="H718" s="294"/>
      <c r="I718" s="294"/>
      <c r="J718" s="294"/>
      <c r="K718" s="294"/>
      <c r="L718" s="294"/>
      <c r="M718" s="294"/>
      <c r="N718" s="294"/>
      <c r="O718" s="294"/>
      <c r="P718" s="294"/>
      <c r="Q718" s="294"/>
      <c r="R718" s="294"/>
      <c r="S718" s="294"/>
      <c r="T718" s="294"/>
      <c r="U718" s="294"/>
      <c r="V718" s="294"/>
      <c r="W718" s="294"/>
      <c r="X718" s="294"/>
      <c r="Y718" s="294"/>
      <c r="Z718" s="294"/>
      <c r="AA718" s="294"/>
      <c r="AB718" s="294"/>
    </row>
    <row r="719">
      <c r="A719" s="294"/>
      <c r="B719" s="294"/>
      <c r="C719" s="294"/>
      <c r="D719" s="294"/>
      <c r="E719" s="294"/>
      <c r="F719" s="294"/>
      <c r="G719" s="294"/>
      <c r="H719" s="294"/>
      <c r="I719" s="294"/>
      <c r="J719" s="294"/>
      <c r="K719" s="294"/>
      <c r="L719" s="294"/>
      <c r="M719" s="294"/>
      <c r="N719" s="294"/>
      <c r="O719" s="294"/>
      <c r="P719" s="294"/>
      <c r="Q719" s="294"/>
      <c r="R719" s="294"/>
      <c r="S719" s="294"/>
      <c r="T719" s="294"/>
      <c r="U719" s="294"/>
      <c r="V719" s="294"/>
      <c r="W719" s="294"/>
      <c r="X719" s="294"/>
      <c r="Y719" s="294"/>
      <c r="Z719" s="294"/>
      <c r="AA719" s="294"/>
      <c r="AB719" s="294"/>
    </row>
    <row r="720">
      <c r="A720" s="294"/>
      <c r="B720" s="294"/>
      <c r="C720" s="294"/>
      <c r="D720" s="294"/>
      <c r="E720" s="294"/>
      <c r="F720" s="294"/>
      <c r="G720" s="294"/>
      <c r="H720" s="294"/>
      <c r="I720" s="294"/>
      <c r="J720" s="294"/>
      <c r="K720" s="294"/>
      <c r="L720" s="294"/>
      <c r="M720" s="294"/>
      <c r="N720" s="294"/>
      <c r="O720" s="294"/>
      <c r="P720" s="294"/>
      <c r="Q720" s="294"/>
      <c r="R720" s="294"/>
      <c r="S720" s="294"/>
      <c r="T720" s="294"/>
      <c r="U720" s="294"/>
      <c r="V720" s="294"/>
      <c r="W720" s="294"/>
      <c r="X720" s="294"/>
      <c r="Y720" s="294"/>
      <c r="Z720" s="294"/>
      <c r="AA720" s="294"/>
      <c r="AB720" s="294"/>
    </row>
    <row r="721">
      <c r="A721" s="294"/>
      <c r="B721" s="294"/>
      <c r="C721" s="294"/>
      <c r="D721" s="294"/>
      <c r="E721" s="294"/>
      <c r="F721" s="294"/>
      <c r="G721" s="294"/>
      <c r="H721" s="294"/>
      <c r="I721" s="294"/>
      <c r="J721" s="294"/>
      <c r="K721" s="294"/>
      <c r="L721" s="294"/>
      <c r="M721" s="294"/>
      <c r="N721" s="294"/>
      <c r="O721" s="294"/>
      <c r="P721" s="294"/>
      <c r="Q721" s="294"/>
      <c r="R721" s="294"/>
      <c r="S721" s="294"/>
      <c r="T721" s="294"/>
      <c r="U721" s="294"/>
      <c r="V721" s="294"/>
      <c r="W721" s="294"/>
      <c r="X721" s="294"/>
      <c r="Y721" s="294"/>
      <c r="Z721" s="294"/>
      <c r="AA721" s="294"/>
      <c r="AB721" s="294"/>
    </row>
    <row r="722">
      <c r="A722" s="294"/>
      <c r="B722" s="294"/>
      <c r="C722" s="294"/>
      <c r="D722" s="294"/>
      <c r="E722" s="294"/>
      <c r="F722" s="294"/>
      <c r="G722" s="294"/>
      <c r="H722" s="294"/>
      <c r="I722" s="294"/>
      <c r="J722" s="294"/>
      <c r="K722" s="294"/>
      <c r="L722" s="294"/>
      <c r="M722" s="294"/>
      <c r="N722" s="294"/>
      <c r="O722" s="294"/>
      <c r="P722" s="294"/>
      <c r="Q722" s="294"/>
      <c r="R722" s="294"/>
      <c r="S722" s="294"/>
      <c r="T722" s="294"/>
      <c r="U722" s="294"/>
      <c r="V722" s="294"/>
      <c r="W722" s="294"/>
      <c r="X722" s="294"/>
      <c r="Y722" s="294"/>
      <c r="Z722" s="294"/>
      <c r="AA722" s="294"/>
      <c r="AB722" s="294"/>
    </row>
    <row r="723">
      <c r="A723" s="294"/>
      <c r="B723" s="294"/>
      <c r="C723" s="294"/>
      <c r="D723" s="294"/>
      <c r="E723" s="294"/>
      <c r="F723" s="294"/>
      <c r="G723" s="294"/>
      <c r="H723" s="294"/>
      <c r="I723" s="294"/>
      <c r="J723" s="294"/>
      <c r="K723" s="294"/>
      <c r="L723" s="294"/>
      <c r="M723" s="294"/>
      <c r="N723" s="294"/>
      <c r="O723" s="294"/>
      <c r="P723" s="294"/>
      <c r="Q723" s="294"/>
      <c r="R723" s="294"/>
      <c r="S723" s="294"/>
      <c r="T723" s="294"/>
      <c r="U723" s="294"/>
      <c r="V723" s="294"/>
      <c r="W723" s="294"/>
      <c r="X723" s="294"/>
      <c r="Y723" s="294"/>
      <c r="Z723" s="294"/>
      <c r="AA723" s="294"/>
      <c r="AB723" s="294"/>
    </row>
    <row r="724">
      <c r="A724" s="294"/>
      <c r="B724" s="294"/>
      <c r="C724" s="294"/>
      <c r="D724" s="294"/>
      <c r="E724" s="294"/>
      <c r="F724" s="294"/>
      <c r="G724" s="294"/>
      <c r="H724" s="294"/>
      <c r="I724" s="294"/>
      <c r="J724" s="294"/>
      <c r="K724" s="294"/>
      <c r="L724" s="294"/>
      <c r="M724" s="294"/>
      <c r="N724" s="294"/>
      <c r="O724" s="294"/>
      <c r="P724" s="294"/>
      <c r="Q724" s="294"/>
      <c r="R724" s="294"/>
      <c r="S724" s="294"/>
      <c r="T724" s="294"/>
      <c r="U724" s="294"/>
      <c r="V724" s="294"/>
      <c r="W724" s="294"/>
      <c r="X724" s="294"/>
      <c r="Y724" s="294"/>
      <c r="Z724" s="294"/>
      <c r="AA724" s="294"/>
      <c r="AB724" s="294"/>
    </row>
    <row r="725">
      <c r="A725" s="294"/>
      <c r="B725" s="294"/>
      <c r="C725" s="294"/>
      <c r="D725" s="294"/>
      <c r="E725" s="294"/>
      <c r="F725" s="294"/>
      <c r="G725" s="294"/>
      <c r="H725" s="294"/>
      <c r="I725" s="294"/>
      <c r="J725" s="294"/>
      <c r="K725" s="294"/>
      <c r="L725" s="294"/>
      <c r="M725" s="294"/>
      <c r="N725" s="294"/>
      <c r="O725" s="294"/>
      <c r="P725" s="294"/>
      <c r="Q725" s="294"/>
      <c r="R725" s="294"/>
      <c r="S725" s="294"/>
      <c r="T725" s="294"/>
      <c r="U725" s="294"/>
      <c r="V725" s="294"/>
      <c r="W725" s="294"/>
      <c r="X725" s="294"/>
      <c r="Y725" s="294"/>
      <c r="Z725" s="294"/>
      <c r="AA725" s="294"/>
      <c r="AB725" s="294"/>
    </row>
    <row r="726">
      <c r="A726" s="294"/>
      <c r="B726" s="294"/>
      <c r="C726" s="294"/>
      <c r="D726" s="294"/>
      <c r="E726" s="294"/>
      <c r="F726" s="294"/>
      <c r="G726" s="294"/>
      <c r="H726" s="294"/>
      <c r="I726" s="294"/>
      <c r="J726" s="294"/>
      <c r="K726" s="294"/>
      <c r="L726" s="294"/>
      <c r="M726" s="294"/>
      <c r="N726" s="294"/>
      <c r="O726" s="294"/>
      <c r="P726" s="294"/>
      <c r="Q726" s="294"/>
      <c r="R726" s="294"/>
      <c r="S726" s="294"/>
      <c r="T726" s="294"/>
      <c r="U726" s="294"/>
      <c r="V726" s="294"/>
      <c r="W726" s="294"/>
      <c r="X726" s="294"/>
      <c r="Y726" s="294"/>
      <c r="Z726" s="294"/>
      <c r="AA726" s="294"/>
      <c r="AB726" s="294"/>
    </row>
    <row r="727">
      <c r="A727" s="294"/>
      <c r="B727" s="294"/>
      <c r="C727" s="294"/>
      <c r="D727" s="294"/>
      <c r="E727" s="294"/>
      <c r="F727" s="294"/>
      <c r="G727" s="294"/>
      <c r="H727" s="294"/>
      <c r="I727" s="294"/>
      <c r="J727" s="294"/>
      <c r="K727" s="294"/>
      <c r="L727" s="294"/>
      <c r="M727" s="294"/>
      <c r="N727" s="294"/>
      <c r="O727" s="294"/>
      <c r="P727" s="294"/>
      <c r="Q727" s="294"/>
      <c r="R727" s="294"/>
      <c r="S727" s="294"/>
      <c r="T727" s="294"/>
      <c r="U727" s="294"/>
      <c r="V727" s="294"/>
      <c r="W727" s="294"/>
      <c r="X727" s="294"/>
      <c r="Y727" s="294"/>
      <c r="Z727" s="294"/>
      <c r="AA727" s="294"/>
      <c r="AB727" s="294"/>
    </row>
    <row r="728">
      <c r="A728" s="294"/>
      <c r="B728" s="294"/>
      <c r="C728" s="294"/>
      <c r="D728" s="294"/>
      <c r="E728" s="294"/>
      <c r="F728" s="294"/>
      <c r="G728" s="294"/>
      <c r="H728" s="294"/>
      <c r="I728" s="294"/>
      <c r="J728" s="294"/>
      <c r="K728" s="294"/>
      <c r="L728" s="294"/>
      <c r="M728" s="294"/>
      <c r="N728" s="294"/>
      <c r="O728" s="294"/>
      <c r="P728" s="294"/>
      <c r="Q728" s="294"/>
      <c r="R728" s="294"/>
      <c r="S728" s="294"/>
      <c r="T728" s="294"/>
      <c r="U728" s="294"/>
      <c r="V728" s="294"/>
      <c r="W728" s="294"/>
      <c r="X728" s="294"/>
      <c r="Y728" s="294"/>
      <c r="Z728" s="294"/>
      <c r="AA728" s="294"/>
      <c r="AB728" s="294"/>
    </row>
    <row r="729">
      <c r="A729" s="294"/>
      <c r="B729" s="294"/>
      <c r="C729" s="294"/>
      <c r="D729" s="294"/>
      <c r="E729" s="294"/>
      <c r="F729" s="294"/>
      <c r="G729" s="294"/>
      <c r="H729" s="294"/>
      <c r="I729" s="294"/>
      <c r="J729" s="294"/>
      <c r="K729" s="294"/>
      <c r="L729" s="294"/>
      <c r="M729" s="294"/>
      <c r="N729" s="294"/>
      <c r="O729" s="294"/>
      <c r="P729" s="294"/>
      <c r="Q729" s="294"/>
      <c r="R729" s="294"/>
      <c r="S729" s="294"/>
      <c r="T729" s="294"/>
      <c r="U729" s="294"/>
      <c r="V729" s="294"/>
      <c r="W729" s="294"/>
      <c r="X729" s="294"/>
      <c r="Y729" s="294"/>
      <c r="Z729" s="294"/>
      <c r="AA729" s="294"/>
      <c r="AB729" s="294"/>
    </row>
    <row r="730">
      <c r="A730" s="294"/>
      <c r="B730" s="294"/>
      <c r="C730" s="294"/>
      <c r="D730" s="294"/>
      <c r="E730" s="294"/>
      <c r="F730" s="294"/>
      <c r="G730" s="294"/>
      <c r="H730" s="294"/>
      <c r="I730" s="294"/>
      <c r="J730" s="294"/>
      <c r="K730" s="294"/>
      <c r="L730" s="294"/>
      <c r="M730" s="294"/>
      <c r="N730" s="294"/>
      <c r="O730" s="294"/>
      <c r="P730" s="294"/>
      <c r="Q730" s="294"/>
      <c r="R730" s="294"/>
      <c r="S730" s="294"/>
      <c r="T730" s="294"/>
      <c r="U730" s="294"/>
      <c r="V730" s="294"/>
      <c r="W730" s="294"/>
      <c r="X730" s="294"/>
      <c r="Y730" s="294"/>
      <c r="Z730" s="294"/>
      <c r="AA730" s="294"/>
      <c r="AB730" s="294"/>
    </row>
    <row r="731">
      <c r="A731" s="294"/>
      <c r="B731" s="294"/>
      <c r="C731" s="294"/>
      <c r="D731" s="294"/>
      <c r="E731" s="294"/>
      <c r="F731" s="294"/>
      <c r="G731" s="294"/>
      <c r="H731" s="294"/>
      <c r="I731" s="294"/>
      <c r="J731" s="294"/>
      <c r="K731" s="294"/>
      <c r="L731" s="294"/>
      <c r="M731" s="294"/>
      <c r="N731" s="294"/>
      <c r="O731" s="294"/>
      <c r="P731" s="294"/>
      <c r="Q731" s="294"/>
      <c r="R731" s="294"/>
      <c r="S731" s="294"/>
      <c r="T731" s="294"/>
      <c r="U731" s="294"/>
      <c r="V731" s="294"/>
      <c r="W731" s="294"/>
      <c r="X731" s="294"/>
      <c r="Y731" s="294"/>
      <c r="Z731" s="294"/>
      <c r="AA731" s="294"/>
      <c r="AB731" s="294"/>
    </row>
    <row r="732">
      <c r="A732" s="294"/>
      <c r="B732" s="294"/>
      <c r="C732" s="294"/>
      <c r="D732" s="294"/>
      <c r="E732" s="294"/>
      <c r="F732" s="294"/>
      <c r="G732" s="294"/>
      <c r="H732" s="294"/>
      <c r="I732" s="294"/>
      <c r="J732" s="294"/>
      <c r="K732" s="294"/>
      <c r="L732" s="294"/>
      <c r="M732" s="294"/>
      <c r="N732" s="294"/>
      <c r="O732" s="294"/>
      <c r="P732" s="294"/>
      <c r="Q732" s="294"/>
      <c r="R732" s="294"/>
      <c r="S732" s="294"/>
      <c r="T732" s="294"/>
      <c r="U732" s="294"/>
      <c r="V732" s="294"/>
      <c r="W732" s="294"/>
      <c r="X732" s="294"/>
      <c r="Y732" s="294"/>
      <c r="Z732" s="294"/>
      <c r="AA732" s="294"/>
      <c r="AB732" s="294"/>
    </row>
    <row r="733">
      <c r="A733" s="294"/>
      <c r="B733" s="294"/>
      <c r="C733" s="294"/>
      <c r="D733" s="294"/>
      <c r="E733" s="294"/>
      <c r="F733" s="294"/>
      <c r="G733" s="294"/>
      <c r="H733" s="294"/>
      <c r="I733" s="294"/>
      <c r="J733" s="294"/>
      <c r="K733" s="294"/>
      <c r="L733" s="294"/>
      <c r="M733" s="294"/>
      <c r="N733" s="294"/>
      <c r="O733" s="294"/>
      <c r="P733" s="294"/>
      <c r="Q733" s="294"/>
      <c r="R733" s="294"/>
      <c r="S733" s="294"/>
      <c r="T733" s="294"/>
      <c r="U733" s="294"/>
      <c r="V733" s="294"/>
      <c r="W733" s="294"/>
      <c r="X733" s="294"/>
      <c r="Y733" s="294"/>
      <c r="Z733" s="294"/>
      <c r="AA733" s="294"/>
      <c r="AB733" s="294"/>
    </row>
    <row r="734">
      <c r="A734" s="294"/>
      <c r="B734" s="294"/>
      <c r="C734" s="294"/>
      <c r="D734" s="294"/>
      <c r="E734" s="294"/>
      <c r="F734" s="294"/>
      <c r="G734" s="294"/>
      <c r="H734" s="294"/>
      <c r="I734" s="294"/>
      <c r="J734" s="294"/>
      <c r="K734" s="294"/>
      <c r="L734" s="294"/>
      <c r="M734" s="294"/>
      <c r="N734" s="294"/>
      <c r="O734" s="294"/>
      <c r="P734" s="294"/>
      <c r="Q734" s="294"/>
      <c r="R734" s="294"/>
      <c r="S734" s="294"/>
      <c r="T734" s="294"/>
      <c r="U734" s="294"/>
      <c r="V734" s="294"/>
      <c r="W734" s="294"/>
      <c r="X734" s="294"/>
      <c r="Y734" s="294"/>
      <c r="Z734" s="294"/>
      <c r="AA734" s="294"/>
      <c r="AB734" s="294"/>
    </row>
    <row r="735">
      <c r="A735" s="294"/>
      <c r="B735" s="294"/>
      <c r="C735" s="294"/>
      <c r="D735" s="294"/>
      <c r="E735" s="294"/>
      <c r="F735" s="294"/>
      <c r="G735" s="294"/>
      <c r="H735" s="294"/>
      <c r="I735" s="294"/>
      <c r="J735" s="294"/>
      <c r="K735" s="294"/>
      <c r="L735" s="294"/>
      <c r="M735" s="294"/>
      <c r="N735" s="294"/>
      <c r="O735" s="294"/>
      <c r="P735" s="294"/>
      <c r="Q735" s="294"/>
      <c r="R735" s="294"/>
      <c r="S735" s="294"/>
      <c r="T735" s="294"/>
      <c r="U735" s="294"/>
      <c r="V735" s="294"/>
      <c r="W735" s="294"/>
      <c r="X735" s="294"/>
      <c r="Y735" s="294"/>
      <c r="Z735" s="294"/>
      <c r="AA735" s="294"/>
      <c r="AB735" s="294"/>
    </row>
    <row r="736">
      <c r="A736" s="294"/>
      <c r="B736" s="294"/>
      <c r="C736" s="294"/>
      <c r="D736" s="294"/>
      <c r="E736" s="294"/>
      <c r="F736" s="294"/>
      <c r="G736" s="294"/>
      <c r="H736" s="294"/>
      <c r="I736" s="294"/>
      <c r="J736" s="294"/>
      <c r="K736" s="294"/>
      <c r="L736" s="294"/>
      <c r="M736" s="294"/>
      <c r="N736" s="294"/>
      <c r="O736" s="294"/>
      <c r="P736" s="294"/>
      <c r="Q736" s="294"/>
      <c r="R736" s="294"/>
      <c r="S736" s="294"/>
      <c r="T736" s="294"/>
      <c r="U736" s="294"/>
      <c r="V736" s="294"/>
      <c r="W736" s="294"/>
      <c r="X736" s="294"/>
      <c r="Y736" s="294"/>
      <c r="Z736" s="294"/>
      <c r="AA736" s="294"/>
      <c r="AB736" s="294"/>
    </row>
    <row r="737">
      <c r="A737" s="294"/>
      <c r="B737" s="294"/>
      <c r="C737" s="294"/>
      <c r="D737" s="294"/>
      <c r="E737" s="294"/>
      <c r="F737" s="294"/>
      <c r="G737" s="294"/>
      <c r="H737" s="294"/>
      <c r="I737" s="294"/>
      <c r="J737" s="294"/>
      <c r="K737" s="294"/>
      <c r="L737" s="294"/>
      <c r="M737" s="294"/>
      <c r="N737" s="294"/>
      <c r="O737" s="294"/>
      <c r="P737" s="294"/>
      <c r="Q737" s="294"/>
      <c r="R737" s="294"/>
      <c r="S737" s="294"/>
      <c r="T737" s="294"/>
      <c r="U737" s="294"/>
      <c r="V737" s="294"/>
      <c r="W737" s="294"/>
      <c r="X737" s="294"/>
      <c r="Y737" s="294"/>
      <c r="Z737" s="294"/>
      <c r="AA737" s="294"/>
      <c r="AB737" s="294"/>
    </row>
    <row r="738">
      <c r="A738" s="294"/>
      <c r="B738" s="294"/>
      <c r="C738" s="294"/>
      <c r="D738" s="294"/>
      <c r="E738" s="294"/>
      <c r="F738" s="294"/>
      <c r="G738" s="294"/>
      <c r="H738" s="294"/>
      <c r="I738" s="294"/>
      <c r="J738" s="294"/>
      <c r="K738" s="294"/>
      <c r="L738" s="294"/>
      <c r="M738" s="294"/>
      <c r="N738" s="294"/>
      <c r="O738" s="294"/>
      <c r="P738" s="294"/>
      <c r="Q738" s="294"/>
      <c r="R738" s="294"/>
      <c r="S738" s="294"/>
      <c r="T738" s="294"/>
      <c r="U738" s="294"/>
      <c r="V738" s="294"/>
      <c r="W738" s="294"/>
      <c r="X738" s="294"/>
      <c r="Y738" s="294"/>
      <c r="Z738" s="294"/>
      <c r="AA738" s="294"/>
      <c r="AB738" s="294"/>
    </row>
    <row r="739">
      <c r="A739" s="294"/>
      <c r="B739" s="294"/>
      <c r="C739" s="294"/>
      <c r="D739" s="294"/>
      <c r="E739" s="294"/>
      <c r="F739" s="294"/>
      <c r="G739" s="294"/>
      <c r="H739" s="294"/>
      <c r="I739" s="294"/>
      <c r="J739" s="294"/>
      <c r="K739" s="294"/>
      <c r="L739" s="294"/>
      <c r="M739" s="294"/>
      <c r="N739" s="294"/>
      <c r="O739" s="294"/>
      <c r="P739" s="294"/>
      <c r="Q739" s="294"/>
      <c r="R739" s="294"/>
      <c r="S739" s="294"/>
      <c r="T739" s="294"/>
      <c r="U739" s="294"/>
      <c r="V739" s="294"/>
      <c r="W739" s="294"/>
      <c r="X739" s="294"/>
      <c r="Y739" s="294"/>
      <c r="Z739" s="294"/>
      <c r="AA739" s="294"/>
      <c r="AB739" s="294"/>
    </row>
    <row r="740">
      <c r="A740" s="294"/>
      <c r="B740" s="294"/>
      <c r="C740" s="294"/>
      <c r="D740" s="294"/>
      <c r="E740" s="294"/>
      <c r="F740" s="294"/>
      <c r="G740" s="294"/>
      <c r="H740" s="294"/>
      <c r="I740" s="294"/>
      <c r="J740" s="294"/>
      <c r="K740" s="294"/>
      <c r="L740" s="294"/>
      <c r="M740" s="294"/>
      <c r="N740" s="294"/>
      <c r="O740" s="294"/>
      <c r="P740" s="294"/>
      <c r="Q740" s="294"/>
      <c r="R740" s="294"/>
      <c r="S740" s="294"/>
      <c r="T740" s="294"/>
      <c r="U740" s="294"/>
      <c r="V740" s="294"/>
      <c r="W740" s="294"/>
      <c r="X740" s="294"/>
      <c r="Y740" s="294"/>
      <c r="Z740" s="294"/>
      <c r="AA740" s="294"/>
      <c r="AB740" s="294"/>
    </row>
    <row r="741">
      <c r="A741" s="294"/>
      <c r="B741" s="294"/>
      <c r="C741" s="294"/>
      <c r="D741" s="294"/>
      <c r="E741" s="294"/>
      <c r="F741" s="294"/>
      <c r="G741" s="294"/>
      <c r="H741" s="294"/>
      <c r="I741" s="294"/>
      <c r="J741" s="294"/>
      <c r="K741" s="294"/>
      <c r="L741" s="294"/>
      <c r="M741" s="294"/>
      <c r="N741" s="294"/>
      <c r="O741" s="294"/>
      <c r="P741" s="294"/>
      <c r="Q741" s="294"/>
      <c r="R741" s="294"/>
      <c r="S741" s="294"/>
      <c r="T741" s="294"/>
      <c r="U741" s="294"/>
      <c r="V741" s="294"/>
      <c r="W741" s="294"/>
      <c r="X741" s="294"/>
      <c r="Y741" s="294"/>
      <c r="Z741" s="294"/>
      <c r="AA741" s="294"/>
      <c r="AB741" s="294"/>
    </row>
    <row r="742">
      <c r="A742" s="294"/>
      <c r="B742" s="294"/>
      <c r="C742" s="294"/>
      <c r="D742" s="294"/>
      <c r="E742" s="294"/>
      <c r="F742" s="294"/>
      <c r="G742" s="294"/>
      <c r="H742" s="294"/>
      <c r="I742" s="294"/>
      <c r="J742" s="294"/>
      <c r="K742" s="294"/>
      <c r="L742" s="294"/>
      <c r="M742" s="294"/>
      <c r="N742" s="294"/>
      <c r="O742" s="294"/>
      <c r="P742" s="294"/>
      <c r="Q742" s="294"/>
      <c r="R742" s="294"/>
      <c r="S742" s="294"/>
      <c r="T742" s="294"/>
      <c r="U742" s="294"/>
      <c r="V742" s="294"/>
      <c r="W742" s="294"/>
      <c r="X742" s="294"/>
      <c r="Y742" s="294"/>
      <c r="Z742" s="294"/>
      <c r="AA742" s="294"/>
      <c r="AB742" s="294"/>
    </row>
    <row r="743">
      <c r="A743" s="294"/>
      <c r="B743" s="294"/>
      <c r="C743" s="294"/>
      <c r="D743" s="294"/>
      <c r="E743" s="294"/>
      <c r="F743" s="294"/>
      <c r="G743" s="294"/>
      <c r="H743" s="294"/>
      <c r="I743" s="294"/>
      <c r="J743" s="294"/>
      <c r="K743" s="294"/>
      <c r="L743" s="294"/>
      <c r="M743" s="294"/>
      <c r="N743" s="294"/>
      <c r="O743" s="294"/>
      <c r="P743" s="294"/>
      <c r="Q743" s="294"/>
      <c r="R743" s="294"/>
      <c r="S743" s="294"/>
      <c r="T743" s="294"/>
      <c r="U743" s="294"/>
      <c r="V743" s="294"/>
      <c r="W743" s="294"/>
      <c r="X743" s="294"/>
      <c r="Y743" s="294"/>
      <c r="Z743" s="294"/>
      <c r="AA743" s="294"/>
      <c r="AB743" s="294"/>
    </row>
    <row r="744">
      <c r="A744" s="294"/>
      <c r="B744" s="294"/>
      <c r="C744" s="294"/>
      <c r="D744" s="294"/>
      <c r="E744" s="294"/>
      <c r="F744" s="294"/>
      <c r="G744" s="294"/>
      <c r="H744" s="294"/>
      <c r="I744" s="294"/>
      <c r="J744" s="294"/>
      <c r="K744" s="294"/>
      <c r="L744" s="294"/>
      <c r="M744" s="294"/>
      <c r="N744" s="294"/>
      <c r="O744" s="294"/>
      <c r="P744" s="294"/>
      <c r="Q744" s="294"/>
      <c r="R744" s="294"/>
      <c r="S744" s="294"/>
      <c r="T744" s="294"/>
      <c r="U744" s="294"/>
      <c r="V744" s="294"/>
      <c r="W744" s="294"/>
      <c r="X744" s="294"/>
      <c r="Y744" s="294"/>
      <c r="Z744" s="294"/>
      <c r="AA744" s="294"/>
      <c r="AB744" s="294"/>
    </row>
    <row r="745">
      <c r="A745" s="294"/>
      <c r="B745" s="294"/>
      <c r="C745" s="294"/>
      <c r="D745" s="294"/>
      <c r="E745" s="294"/>
      <c r="F745" s="294"/>
      <c r="G745" s="294"/>
      <c r="H745" s="294"/>
      <c r="I745" s="294"/>
      <c r="J745" s="294"/>
      <c r="K745" s="294"/>
      <c r="L745" s="294"/>
      <c r="M745" s="294"/>
      <c r="N745" s="294"/>
      <c r="O745" s="294"/>
      <c r="P745" s="294"/>
      <c r="Q745" s="294"/>
      <c r="R745" s="294"/>
      <c r="S745" s="294"/>
      <c r="T745" s="294"/>
      <c r="U745" s="294"/>
      <c r="V745" s="294"/>
      <c r="W745" s="294"/>
      <c r="X745" s="294"/>
      <c r="Y745" s="294"/>
      <c r="Z745" s="294"/>
      <c r="AA745" s="294"/>
      <c r="AB745" s="294"/>
    </row>
    <row r="746">
      <c r="A746" s="294"/>
      <c r="B746" s="294"/>
      <c r="C746" s="294"/>
      <c r="D746" s="294"/>
      <c r="E746" s="294"/>
      <c r="F746" s="294"/>
      <c r="G746" s="294"/>
      <c r="H746" s="294"/>
      <c r="I746" s="294"/>
      <c r="J746" s="294"/>
      <c r="K746" s="294"/>
      <c r="L746" s="294"/>
      <c r="M746" s="294"/>
      <c r="N746" s="294"/>
      <c r="O746" s="294"/>
      <c r="P746" s="294"/>
      <c r="Q746" s="294"/>
      <c r="R746" s="294"/>
      <c r="S746" s="294"/>
      <c r="T746" s="294"/>
      <c r="U746" s="294"/>
      <c r="V746" s="294"/>
      <c r="W746" s="294"/>
      <c r="X746" s="294"/>
      <c r="Y746" s="294"/>
      <c r="Z746" s="294"/>
      <c r="AA746" s="294"/>
      <c r="AB746" s="294"/>
    </row>
    <row r="747">
      <c r="A747" s="294"/>
      <c r="B747" s="294"/>
      <c r="C747" s="294"/>
      <c r="D747" s="294"/>
      <c r="E747" s="294"/>
      <c r="F747" s="294"/>
      <c r="G747" s="294"/>
      <c r="H747" s="294"/>
      <c r="I747" s="294"/>
      <c r="J747" s="294"/>
      <c r="K747" s="294"/>
      <c r="L747" s="294"/>
      <c r="M747" s="294"/>
      <c r="N747" s="294"/>
      <c r="O747" s="294"/>
      <c r="P747" s="294"/>
      <c r="Q747" s="294"/>
      <c r="R747" s="294"/>
      <c r="S747" s="294"/>
      <c r="T747" s="294"/>
      <c r="U747" s="294"/>
      <c r="V747" s="294"/>
      <c r="W747" s="294"/>
      <c r="X747" s="294"/>
      <c r="Y747" s="294"/>
      <c r="Z747" s="294"/>
      <c r="AA747" s="294"/>
      <c r="AB747" s="294"/>
    </row>
    <row r="748">
      <c r="A748" s="294"/>
      <c r="B748" s="294"/>
      <c r="C748" s="294"/>
      <c r="D748" s="294"/>
      <c r="E748" s="294"/>
      <c r="F748" s="294"/>
      <c r="G748" s="294"/>
      <c r="H748" s="294"/>
      <c r="I748" s="294"/>
      <c r="J748" s="294"/>
      <c r="K748" s="294"/>
      <c r="L748" s="294"/>
      <c r="M748" s="294"/>
      <c r="N748" s="294"/>
      <c r="O748" s="294"/>
      <c r="P748" s="294"/>
      <c r="Q748" s="294"/>
      <c r="R748" s="294"/>
      <c r="S748" s="294"/>
      <c r="T748" s="294"/>
      <c r="U748" s="294"/>
      <c r="V748" s="294"/>
      <c r="W748" s="294"/>
      <c r="X748" s="294"/>
      <c r="Y748" s="294"/>
      <c r="Z748" s="294"/>
      <c r="AA748" s="294"/>
      <c r="AB748" s="294"/>
    </row>
    <row r="749">
      <c r="A749" s="294"/>
      <c r="B749" s="294"/>
      <c r="C749" s="294"/>
      <c r="D749" s="294"/>
      <c r="E749" s="294"/>
      <c r="F749" s="294"/>
      <c r="G749" s="294"/>
      <c r="H749" s="294"/>
      <c r="I749" s="294"/>
      <c r="J749" s="294"/>
      <c r="K749" s="294"/>
      <c r="L749" s="294"/>
      <c r="M749" s="294"/>
      <c r="N749" s="294"/>
      <c r="O749" s="294"/>
      <c r="P749" s="294"/>
      <c r="Q749" s="294"/>
      <c r="R749" s="294"/>
      <c r="S749" s="294"/>
      <c r="T749" s="294"/>
      <c r="U749" s="294"/>
      <c r="V749" s="294"/>
      <c r="W749" s="294"/>
      <c r="X749" s="294"/>
      <c r="Y749" s="294"/>
      <c r="Z749" s="294"/>
      <c r="AA749" s="294"/>
      <c r="AB749" s="294"/>
    </row>
    <row r="750">
      <c r="A750" s="294"/>
      <c r="B750" s="294"/>
      <c r="C750" s="294"/>
      <c r="D750" s="294"/>
      <c r="E750" s="294"/>
      <c r="F750" s="294"/>
      <c r="G750" s="294"/>
      <c r="H750" s="294"/>
      <c r="I750" s="294"/>
      <c r="J750" s="294"/>
      <c r="K750" s="294"/>
      <c r="L750" s="294"/>
      <c r="M750" s="294"/>
      <c r="N750" s="294"/>
      <c r="O750" s="294"/>
      <c r="P750" s="294"/>
      <c r="Q750" s="294"/>
      <c r="R750" s="294"/>
      <c r="S750" s="294"/>
      <c r="T750" s="294"/>
      <c r="U750" s="294"/>
      <c r="V750" s="294"/>
      <c r="W750" s="294"/>
      <c r="X750" s="294"/>
      <c r="Y750" s="294"/>
      <c r="Z750" s="294"/>
      <c r="AA750" s="294"/>
      <c r="AB750" s="294"/>
    </row>
    <row r="751">
      <c r="A751" s="294"/>
      <c r="B751" s="294"/>
      <c r="C751" s="294"/>
      <c r="D751" s="294"/>
      <c r="E751" s="294"/>
      <c r="F751" s="294"/>
      <c r="G751" s="294"/>
      <c r="H751" s="294"/>
      <c r="I751" s="294"/>
      <c r="J751" s="294"/>
      <c r="K751" s="294"/>
      <c r="L751" s="294"/>
      <c r="M751" s="294"/>
      <c r="N751" s="294"/>
      <c r="O751" s="294"/>
      <c r="P751" s="294"/>
      <c r="Q751" s="294"/>
      <c r="R751" s="294"/>
      <c r="S751" s="294"/>
      <c r="T751" s="294"/>
      <c r="U751" s="294"/>
      <c r="V751" s="294"/>
      <c r="W751" s="294"/>
      <c r="X751" s="294"/>
      <c r="Y751" s="294"/>
      <c r="Z751" s="294"/>
      <c r="AA751" s="294"/>
      <c r="AB751" s="294"/>
    </row>
    <row r="752">
      <c r="A752" s="294"/>
      <c r="B752" s="294"/>
      <c r="C752" s="294"/>
      <c r="D752" s="294"/>
      <c r="E752" s="294"/>
      <c r="F752" s="294"/>
      <c r="G752" s="294"/>
      <c r="H752" s="294"/>
      <c r="I752" s="294"/>
      <c r="J752" s="294"/>
      <c r="K752" s="294"/>
      <c r="L752" s="294"/>
      <c r="M752" s="294"/>
      <c r="N752" s="294"/>
      <c r="O752" s="294"/>
      <c r="P752" s="294"/>
      <c r="Q752" s="294"/>
      <c r="R752" s="294"/>
      <c r="S752" s="294"/>
      <c r="T752" s="294"/>
      <c r="U752" s="294"/>
      <c r="V752" s="294"/>
      <c r="W752" s="294"/>
      <c r="X752" s="294"/>
      <c r="Y752" s="294"/>
      <c r="Z752" s="294"/>
      <c r="AA752" s="294"/>
      <c r="AB752" s="294"/>
    </row>
    <row r="753">
      <c r="A753" s="294"/>
      <c r="B753" s="294"/>
      <c r="C753" s="294"/>
      <c r="D753" s="294"/>
      <c r="E753" s="294"/>
      <c r="F753" s="294"/>
      <c r="G753" s="294"/>
      <c r="H753" s="294"/>
      <c r="I753" s="294"/>
      <c r="J753" s="294"/>
      <c r="K753" s="294"/>
      <c r="L753" s="294"/>
      <c r="M753" s="294"/>
      <c r="N753" s="294"/>
      <c r="O753" s="294"/>
      <c r="P753" s="294"/>
      <c r="Q753" s="294"/>
      <c r="R753" s="294"/>
      <c r="S753" s="294"/>
      <c r="T753" s="294"/>
      <c r="U753" s="294"/>
      <c r="V753" s="294"/>
      <c r="W753" s="294"/>
      <c r="X753" s="294"/>
      <c r="Y753" s="294"/>
      <c r="Z753" s="294"/>
      <c r="AA753" s="294"/>
      <c r="AB753" s="294"/>
    </row>
    <row r="754">
      <c r="A754" s="294"/>
      <c r="B754" s="294"/>
      <c r="C754" s="294"/>
      <c r="D754" s="294"/>
      <c r="E754" s="294"/>
      <c r="F754" s="294"/>
      <c r="G754" s="294"/>
      <c r="H754" s="294"/>
      <c r="I754" s="294"/>
      <c r="J754" s="294"/>
      <c r="K754" s="294"/>
      <c r="L754" s="294"/>
      <c r="M754" s="294"/>
      <c r="N754" s="294"/>
      <c r="O754" s="294"/>
      <c r="P754" s="294"/>
      <c r="Q754" s="294"/>
      <c r="R754" s="294"/>
      <c r="S754" s="294"/>
      <c r="T754" s="294"/>
      <c r="U754" s="294"/>
      <c r="V754" s="294"/>
      <c r="W754" s="294"/>
      <c r="X754" s="294"/>
      <c r="Y754" s="294"/>
      <c r="Z754" s="294"/>
      <c r="AA754" s="294"/>
      <c r="AB754" s="294"/>
    </row>
    <row r="755">
      <c r="A755" s="294"/>
      <c r="B755" s="294"/>
      <c r="C755" s="294"/>
      <c r="D755" s="294"/>
      <c r="E755" s="294"/>
      <c r="F755" s="294"/>
      <c r="G755" s="294"/>
      <c r="H755" s="294"/>
      <c r="I755" s="294"/>
      <c r="J755" s="294"/>
      <c r="K755" s="294"/>
      <c r="L755" s="294"/>
      <c r="M755" s="294"/>
      <c r="N755" s="294"/>
      <c r="O755" s="294"/>
      <c r="P755" s="294"/>
      <c r="Q755" s="294"/>
      <c r="R755" s="294"/>
      <c r="S755" s="294"/>
      <c r="T755" s="294"/>
      <c r="U755" s="294"/>
      <c r="V755" s="294"/>
      <c r="W755" s="294"/>
      <c r="X755" s="294"/>
      <c r="Y755" s="294"/>
      <c r="Z755" s="294"/>
      <c r="AA755" s="294"/>
      <c r="AB755" s="294"/>
    </row>
    <row r="756">
      <c r="A756" s="294"/>
      <c r="B756" s="294"/>
      <c r="C756" s="294"/>
      <c r="D756" s="294"/>
      <c r="E756" s="294"/>
      <c r="F756" s="294"/>
      <c r="G756" s="294"/>
      <c r="H756" s="294"/>
      <c r="I756" s="294"/>
      <c r="J756" s="294"/>
      <c r="K756" s="294"/>
      <c r="L756" s="294"/>
      <c r="M756" s="294"/>
      <c r="N756" s="294"/>
      <c r="O756" s="294"/>
      <c r="P756" s="294"/>
      <c r="Q756" s="294"/>
      <c r="R756" s="294"/>
      <c r="S756" s="294"/>
      <c r="T756" s="294"/>
      <c r="U756" s="294"/>
      <c r="V756" s="294"/>
      <c r="W756" s="294"/>
      <c r="X756" s="294"/>
      <c r="Y756" s="294"/>
      <c r="Z756" s="294"/>
      <c r="AA756" s="294"/>
      <c r="AB756" s="294"/>
    </row>
    <row r="757">
      <c r="A757" s="294"/>
      <c r="B757" s="294"/>
      <c r="C757" s="294"/>
      <c r="D757" s="294"/>
      <c r="E757" s="294"/>
      <c r="F757" s="294"/>
      <c r="G757" s="294"/>
      <c r="H757" s="294"/>
      <c r="I757" s="294"/>
      <c r="J757" s="294"/>
      <c r="K757" s="294"/>
      <c r="L757" s="294"/>
      <c r="M757" s="294"/>
      <c r="N757" s="294"/>
      <c r="O757" s="294"/>
      <c r="P757" s="294"/>
      <c r="Q757" s="294"/>
      <c r="R757" s="294"/>
      <c r="S757" s="294"/>
      <c r="T757" s="294"/>
      <c r="U757" s="294"/>
      <c r="V757" s="294"/>
      <c r="W757" s="294"/>
      <c r="X757" s="294"/>
      <c r="Y757" s="294"/>
      <c r="Z757" s="294"/>
      <c r="AA757" s="294"/>
      <c r="AB757" s="294"/>
    </row>
    <row r="758">
      <c r="A758" s="294"/>
      <c r="B758" s="294"/>
      <c r="C758" s="294"/>
      <c r="D758" s="294"/>
      <c r="E758" s="294"/>
      <c r="F758" s="294"/>
      <c r="G758" s="294"/>
      <c r="H758" s="294"/>
      <c r="I758" s="294"/>
      <c r="J758" s="294"/>
      <c r="K758" s="294"/>
      <c r="L758" s="294"/>
      <c r="M758" s="294"/>
      <c r="N758" s="294"/>
      <c r="O758" s="294"/>
      <c r="P758" s="294"/>
      <c r="Q758" s="294"/>
      <c r="R758" s="294"/>
      <c r="S758" s="294"/>
      <c r="T758" s="294"/>
      <c r="U758" s="294"/>
      <c r="V758" s="294"/>
      <c r="W758" s="294"/>
      <c r="X758" s="294"/>
      <c r="Y758" s="294"/>
      <c r="Z758" s="294"/>
      <c r="AA758" s="294"/>
      <c r="AB758" s="294"/>
    </row>
    <row r="759">
      <c r="A759" s="294"/>
      <c r="B759" s="294"/>
      <c r="C759" s="294"/>
      <c r="D759" s="294"/>
      <c r="E759" s="294"/>
      <c r="F759" s="294"/>
      <c r="G759" s="294"/>
      <c r="H759" s="294"/>
      <c r="I759" s="294"/>
      <c r="J759" s="294"/>
      <c r="K759" s="294"/>
      <c r="L759" s="294"/>
      <c r="M759" s="294"/>
      <c r="N759" s="294"/>
      <c r="O759" s="294"/>
      <c r="P759" s="294"/>
      <c r="Q759" s="294"/>
      <c r="R759" s="294"/>
      <c r="S759" s="294"/>
      <c r="T759" s="294"/>
      <c r="U759" s="294"/>
      <c r="V759" s="294"/>
      <c r="W759" s="294"/>
      <c r="X759" s="294"/>
      <c r="Y759" s="294"/>
      <c r="Z759" s="294"/>
      <c r="AA759" s="294"/>
      <c r="AB759" s="294"/>
    </row>
    <row r="760">
      <c r="A760" s="294"/>
      <c r="B760" s="294"/>
      <c r="C760" s="294"/>
      <c r="D760" s="294"/>
      <c r="E760" s="294"/>
      <c r="F760" s="294"/>
      <c r="G760" s="294"/>
      <c r="H760" s="294"/>
      <c r="I760" s="294"/>
      <c r="J760" s="294"/>
      <c r="K760" s="294"/>
      <c r="L760" s="294"/>
      <c r="M760" s="294"/>
      <c r="N760" s="294"/>
      <c r="O760" s="294"/>
      <c r="P760" s="294"/>
      <c r="Q760" s="294"/>
      <c r="R760" s="294"/>
      <c r="S760" s="294"/>
      <c r="T760" s="294"/>
      <c r="U760" s="294"/>
      <c r="V760" s="294"/>
      <c r="W760" s="294"/>
      <c r="X760" s="294"/>
      <c r="Y760" s="294"/>
      <c r="Z760" s="294"/>
      <c r="AA760" s="294"/>
      <c r="AB760" s="294"/>
    </row>
    <row r="761">
      <c r="A761" s="294"/>
      <c r="B761" s="294"/>
      <c r="C761" s="294"/>
      <c r="D761" s="294"/>
      <c r="E761" s="294"/>
      <c r="F761" s="294"/>
      <c r="G761" s="294"/>
      <c r="H761" s="294"/>
      <c r="I761" s="294"/>
      <c r="J761" s="294"/>
      <c r="K761" s="294"/>
      <c r="L761" s="294"/>
      <c r="M761" s="294"/>
      <c r="N761" s="294"/>
      <c r="O761" s="294"/>
      <c r="P761" s="294"/>
      <c r="Q761" s="294"/>
      <c r="R761" s="294"/>
      <c r="S761" s="294"/>
      <c r="T761" s="294"/>
      <c r="U761" s="294"/>
      <c r="V761" s="294"/>
      <c r="W761" s="294"/>
      <c r="X761" s="294"/>
      <c r="Y761" s="294"/>
      <c r="Z761" s="294"/>
      <c r="AA761" s="294"/>
      <c r="AB761" s="294"/>
    </row>
    <row r="762">
      <c r="A762" s="294"/>
      <c r="B762" s="294"/>
      <c r="C762" s="294"/>
      <c r="D762" s="294"/>
      <c r="E762" s="294"/>
      <c r="F762" s="294"/>
      <c r="G762" s="294"/>
      <c r="H762" s="294"/>
      <c r="I762" s="294"/>
      <c r="J762" s="294"/>
      <c r="K762" s="294"/>
      <c r="L762" s="294"/>
      <c r="M762" s="294"/>
      <c r="N762" s="294"/>
      <c r="O762" s="294"/>
      <c r="P762" s="294"/>
      <c r="Q762" s="294"/>
      <c r="R762" s="294"/>
      <c r="S762" s="294"/>
      <c r="T762" s="294"/>
      <c r="U762" s="294"/>
      <c r="V762" s="294"/>
      <c r="W762" s="294"/>
      <c r="X762" s="294"/>
      <c r="Y762" s="294"/>
      <c r="Z762" s="294"/>
      <c r="AA762" s="294"/>
      <c r="AB762" s="294"/>
    </row>
    <row r="763">
      <c r="A763" s="294"/>
      <c r="B763" s="294"/>
      <c r="C763" s="294"/>
      <c r="D763" s="294"/>
      <c r="E763" s="294"/>
      <c r="F763" s="294"/>
      <c r="G763" s="294"/>
      <c r="H763" s="294"/>
      <c r="I763" s="294"/>
      <c r="J763" s="294"/>
      <c r="K763" s="294"/>
      <c r="L763" s="294"/>
      <c r="M763" s="294"/>
      <c r="N763" s="294"/>
      <c r="O763" s="294"/>
      <c r="P763" s="294"/>
      <c r="Q763" s="294"/>
      <c r="R763" s="294"/>
      <c r="S763" s="294"/>
      <c r="T763" s="294"/>
      <c r="U763" s="294"/>
      <c r="V763" s="294"/>
      <c r="W763" s="294"/>
      <c r="X763" s="294"/>
      <c r="Y763" s="294"/>
      <c r="Z763" s="294"/>
      <c r="AA763" s="294"/>
      <c r="AB763" s="294"/>
    </row>
    <row r="764">
      <c r="A764" s="294"/>
      <c r="B764" s="294"/>
      <c r="C764" s="294"/>
      <c r="D764" s="294"/>
      <c r="E764" s="294"/>
      <c r="F764" s="294"/>
      <c r="G764" s="294"/>
      <c r="H764" s="294"/>
      <c r="I764" s="294"/>
      <c r="J764" s="294"/>
      <c r="K764" s="294"/>
      <c r="L764" s="294"/>
      <c r="M764" s="294"/>
      <c r="N764" s="294"/>
      <c r="O764" s="294"/>
      <c r="P764" s="294"/>
      <c r="Q764" s="294"/>
      <c r="R764" s="294"/>
      <c r="S764" s="294"/>
      <c r="T764" s="294"/>
      <c r="U764" s="294"/>
      <c r="V764" s="294"/>
      <c r="W764" s="294"/>
      <c r="X764" s="294"/>
      <c r="Y764" s="294"/>
      <c r="Z764" s="294"/>
      <c r="AA764" s="294"/>
      <c r="AB764" s="294"/>
    </row>
    <row r="765">
      <c r="A765" s="294"/>
      <c r="B765" s="294"/>
      <c r="C765" s="294"/>
      <c r="D765" s="294"/>
      <c r="E765" s="294"/>
      <c r="F765" s="294"/>
      <c r="G765" s="294"/>
      <c r="H765" s="294"/>
      <c r="I765" s="294"/>
      <c r="J765" s="294"/>
      <c r="K765" s="294"/>
      <c r="L765" s="294"/>
      <c r="M765" s="294"/>
      <c r="N765" s="294"/>
      <c r="O765" s="294"/>
      <c r="P765" s="294"/>
      <c r="Q765" s="294"/>
      <c r="R765" s="294"/>
      <c r="S765" s="294"/>
      <c r="T765" s="294"/>
      <c r="U765" s="294"/>
      <c r="V765" s="294"/>
      <c r="W765" s="294"/>
      <c r="X765" s="294"/>
      <c r="Y765" s="294"/>
      <c r="Z765" s="294"/>
      <c r="AA765" s="294"/>
      <c r="AB765" s="294"/>
    </row>
    <row r="766">
      <c r="A766" s="294"/>
      <c r="B766" s="294"/>
      <c r="C766" s="294"/>
      <c r="D766" s="294"/>
      <c r="E766" s="294"/>
      <c r="F766" s="294"/>
      <c r="G766" s="294"/>
      <c r="H766" s="294"/>
      <c r="I766" s="294"/>
      <c r="J766" s="294"/>
      <c r="K766" s="294"/>
      <c r="L766" s="294"/>
      <c r="M766" s="294"/>
      <c r="N766" s="294"/>
      <c r="O766" s="294"/>
      <c r="P766" s="294"/>
      <c r="Q766" s="294"/>
      <c r="R766" s="294"/>
      <c r="S766" s="294"/>
      <c r="T766" s="294"/>
      <c r="U766" s="294"/>
      <c r="V766" s="294"/>
      <c r="W766" s="294"/>
      <c r="X766" s="294"/>
      <c r="Y766" s="294"/>
      <c r="Z766" s="294"/>
      <c r="AA766" s="294"/>
      <c r="AB766" s="294"/>
    </row>
    <row r="767">
      <c r="A767" s="294"/>
      <c r="B767" s="294"/>
      <c r="C767" s="294"/>
      <c r="D767" s="294"/>
      <c r="E767" s="294"/>
      <c r="F767" s="294"/>
      <c r="G767" s="294"/>
      <c r="H767" s="294"/>
      <c r="I767" s="294"/>
      <c r="J767" s="294"/>
      <c r="K767" s="294"/>
      <c r="L767" s="294"/>
      <c r="M767" s="294"/>
      <c r="N767" s="294"/>
      <c r="O767" s="294"/>
      <c r="P767" s="294"/>
      <c r="Q767" s="294"/>
      <c r="R767" s="294"/>
      <c r="S767" s="294"/>
      <c r="T767" s="294"/>
      <c r="U767" s="294"/>
      <c r="V767" s="294"/>
      <c r="W767" s="294"/>
      <c r="X767" s="294"/>
      <c r="Y767" s="294"/>
      <c r="Z767" s="294"/>
      <c r="AA767" s="294"/>
      <c r="AB767" s="294"/>
    </row>
    <row r="768">
      <c r="A768" s="294"/>
      <c r="B768" s="294"/>
      <c r="C768" s="294"/>
      <c r="D768" s="294"/>
      <c r="E768" s="294"/>
      <c r="F768" s="294"/>
      <c r="G768" s="294"/>
      <c r="H768" s="294"/>
      <c r="I768" s="294"/>
      <c r="J768" s="294"/>
      <c r="K768" s="294"/>
      <c r="L768" s="294"/>
      <c r="M768" s="294"/>
      <c r="N768" s="294"/>
      <c r="O768" s="294"/>
      <c r="P768" s="294"/>
      <c r="Q768" s="294"/>
      <c r="R768" s="294"/>
      <c r="S768" s="294"/>
      <c r="T768" s="294"/>
      <c r="U768" s="294"/>
      <c r="V768" s="294"/>
      <c r="W768" s="294"/>
      <c r="X768" s="294"/>
      <c r="Y768" s="294"/>
      <c r="Z768" s="294"/>
      <c r="AA768" s="294"/>
      <c r="AB768" s="294"/>
    </row>
    <row r="769">
      <c r="A769" s="294"/>
      <c r="B769" s="294"/>
      <c r="C769" s="294"/>
      <c r="D769" s="294"/>
      <c r="E769" s="294"/>
      <c r="F769" s="294"/>
      <c r="G769" s="294"/>
      <c r="H769" s="294"/>
      <c r="I769" s="294"/>
      <c r="J769" s="294"/>
      <c r="K769" s="294"/>
      <c r="L769" s="294"/>
      <c r="M769" s="294"/>
      <c r="N769" s="294"/>
      <c r="O769" s="294"/>
      <c r="P769" s="294"/>
      <c r="Q769" s="294"/>
      <c r="R769" s="294"/>
      <c r="S769" s="294"/>
      <c r="T769" s="294"/>
      <c r="U769" s="294"/>
      <c r="V769" s="294"/>
      <c r="W769" s="294"/>
      <c r="X769" s="294"/>
      <c r="Y769" s="294"/>
      <c r="Z769" s="294"/>
      <c r="AA769" s="294"/>
      <c r="AB769" s="294"/>
    </row>
    <row r="770">
      <c r="A770" s="294"/>
      <c r="B770" s="294"/>
      <c r="C770" s="294"/>
      <c r="D770" s="294"/>
      <c r="E770" s="294"/>
      <c r="F770" s="294"/>
      <c r="G770" s="294"/>
      <c r="H770" s="294"/>
      <c r="I770" s="294"/>
      <c r="J770" s="294"/>
      <c r="K770" s="294"/>
      <c r="L770" s="294"/>
      <c r="M770" s="294"/>
      <c r="N770" s="294"/>
      <c r="O770" s="294"/>
      <c r="P770" s="294"/>
      <c r="Q770" s="294"/>
      <c r="R770" s="294"/>
      <c r="S770" s="294"/>
      <c r="T770" s="294"/>
      <c r="U770" s="294"/>
      <c r="V770" s="294"/>
      <c r="W770" s="294"/>
      <c r="X770" s="294"/>
      <c r="Y770" s="294"/>
      <c r="Z770" s="294"/>
      <c r="AA770" s="294"/>
      <c r="AB770" s="294"/>
    </row>
    <row r="771">
      <c r="A771" s="294"/>
      <c r="B771" s="294"/>
      <c r="C771" s="294"/>
      <c r="D771" s="294"/>
      <c r="E771" s="294"/>
      <c r="F771" s="294"/>
      <c r="G771" s="294"/>
      <c r="H771" s="294"/>
      <c r="I771" s="294"/>
      <c r="J771" s="294"/>
      <c r="K771" s="294"/>
      <c r="L771" s="294"/>
      <c r="M771" s="294"/>
      <c r="N771" s="294"/>
      <c r="O771" s="294"/>
      <c r="P771" s="294"/>
      <c r="Q771" s="294"/>
      <c r="R771" s="294"/>
      <c r="S771" s="294"/>
      <c r="T771" s="294"/>
      <c r="U771" s="294"/>
      <c r="V771" s="294"/>
      <c r="W771" s="294"/>
      <c r="X771" s="294"/>
      <c r="Y771" s="294"/>
      <c r="Z771" s="294"/>
      <c r="AA771" s="294"/>
      <c r="AB771" s="294"/>
    </row>
    <row r="772">
      <c r="A772" s="294"/>
      <c r="B772" s="294"/>
      <c r="C772" s="294"/>
      <c r="D772" s="294"/>
      <c r="E772" s="294"/>
      <c r="F772" s="294"/>
      <c r="G772" s="294"/>
      <c r="H772" s="294"/>
      <c r="I772" s="294"/>
      <c r="J772" s="294"/>
      <c r="K772" s="294"/>
      <c r="L772" s="294"/>
      <c r="M772" s="294"/>
      <c r="N772" s="294"/>
      <c r="O772" s="294"/>
      <c r="P772" s="294"/>
      <c r="Q772" s="294"/>
      <c r="R772" s="294"/>
      <c r="S772" s="294"/>
      <c r="T772" s="294"/>
      <c r="U772" s="294"/>
      <c r="V772" s="294"/>
      <c r="W772" s="294"/>
      <c r="X772" s="294"/>
      <c r="Y772" s="294"/>
      <c r="Z772" s="294"/>
      <c r="AA772" s="294"/>
      <c r="AB772" s="294"/>
    </row>
    <row r="773">
      <c r="A773" s="294"/>
      <c r="B773" s="294"/>
      <c r="C773" s="294"/>
      <c r="D773" s="294"/>
      <c r="E773" s="294"/>
      <c r="F773" s="294"/>
      <c r="G773" s="294"/>
      <c r="H773" s="294"/>
      <c r="I773" s="294"/>
      <c r="J773" s="294"/>
      <c r="K773" s="294"/>
      <c r="L773" s="294"/>
      <c r="M773" s="294"/>
      <c r="N773" s="294"/>
      <c r="O773" s="294"/>
      <c r="P773" s="294"/>
      <c r="Q773" s="294"/>
      <c r="R773" s="294"/>
      <c r="S773" s="294"/>
      <c r="T773" s="294"/>
      <c r="U773" s="294"/>
      <c r="V773" s="294"/>
      <c r="W773" s="294"/>
      <c r="X773" s="294"/>
      <c r="Y773" s="294"/>
      <c r="Z773" s="294"/>
      <c r="AA773" s="294"/>
      <c r="AB773" s="294"/>
    </row>
    <row r="774">
      <c r="A774" s="294"/>
      <c r="B774" s="294"/>
      <c r="C774" s="294"/>
      <c r="D774" s="294"/>
      <c r="E774" s="294"/>
      <c r="F774" s="294"/>
      <c r="G774" s="294"/>
      <c r="H774" s="294"/>
      <c r="I774" s="294"/>
      <c r="J774" s="294"/>
      <c r="K774" s="294"/>
      <c r="L774" s="294"/>
      <c r="M774" s="294"/>
      <c r="N774" s="294"/>
      <c r="O774" s="294"/>
      <c r="P774" s="294"/>
      <c r="Q774" s="294"/>
      <c r="R774" s="294"/>
      <c r="S774" s="294"/>
      <c r="T774" s="294"/>
      <c r="U774" s="294"/>
      <c r="V774" s="294"/>
      <c r="W774" s="294"/>
      <c r="X774" s="294"/>
      <c r="Y774" s="294"/>
      <c r="Z774" s="294"/>
      <c r="AA774" s="294"/>
      <c r="AB774" s="294"/>
    </row>
    <row r="775">
      <c r="A775" s="294"/>
      <c r="B775" s="294"/>
      <c r="C775" s="294"/>
      <c r="D775" s="294"/>
      <c r="E775" s="294"/>
      <c r="F775" s="294"/>
      <c r="G775" s="294"/>
      <c r="H775" s="294"/>
      <c r="I775" s="294"/>
      <c r="J775" s="294"/>
      <c r="K775" s="294"/>
      <c r="L775" s="294"/>
      <c r="M775" s="294"/>
      <c r="N775" s="294"/>
      <c r="O775" s="294"/>
      <c r="P775" s="294"/>
      <c r="Q775" s="294"/>
      <c r="R775" s="294"/>
      <c r="S775" s="294"/>
      <c r="T775" s="294"/>
      <c r="U775" s="294"/>
      <c r="V775" s="294"/>
      <c r="W775" s="294"/>
      <c r="X775" s="294"/>
      <c r="Y775" s="294"/>
      <c r="Z775" s="294"/>
      <c r="AA775" s="294"/>
      <c r="AB775" s="294"/>
    </row>
    <row r="776">
      <c r="A776" s="294"/>
      <c r="B776" s="294"/>
      <c r="C776" s="294"/>
      <c r="D776" s="294"/>
      <c r="E776" s="294"/>
      <c r="F776" s="294"/>
      <c r="G776" s="294"/>
      <c r="H776" s="294"/>
      <c r="I776" s="294"/>
      <c r="J776" s="294"/>
      <c r="K776" s="294"/>
      <c r="L776" s="294"/>
      <c r="M776" s="294"/>
      <c r="N776" s="294"/>
      <c r="O776" s="294"/>
      <c r="P776" s="294"/>
      <c r="Q776" s="294"/>
      <c r="R776" s="294"/>
      <c r="S776" s="294"/>
      <c r="T776" s="294"/>
      <c r="U776" s="294"/>
      <c r="V776" s="294"/>
      <c r="W776" s="294"/>
      <c r="X776" s="294"/>
      <c r="Y776" s="294"/>
      <c r="Z776" s="294"/>
      <c r="AA776" s="294"/>
      <c r="AB776" s="294"/>
    </row>
    <row r="777">
      <c r="A777" s="294"/>
      <c r="B777" s="294"/>
      <c r="C777" s="294"/>
      <c r="D777" s="294"/>
      <c r="E777" s="294"/>
      <c r="F777" s="294"/>
      <c r="G777" s="294"/>
      <c r="H777" s="294"/>
      <c r="I777" s="294"/>
      <c r="J777" s="294"/>
      <c r="K777" s="294"/>
      <c r="L777" s="294"/>
      <c r="M777" s="294"/>
      <c r="N777" s="294"/>
      <c r="O777" s="294"/>
      <c r="P777" s="294"/>
      <c r="Q777" s="294"/>
      <c r="R777" s="294"/>
      <c r="S777" s="294"/>
      <c r="T777" s="294"/>
      <c r="U777" s="294"/>
      <c r="V777" s="294"/>
      <c r="W777" s="294"/>
      <c r="X777" s="294"/>
      <c r="Y777" s="294"/>
      <c r="Z777" s="294"/>
      <c r="AA777" s="294"/>
      <c r="AB777" s="294"/>
    </row>
    <row r="778">
      <c r="A778" s="294"/>
      <c r="B778" s="294"/>
      <c r="C778" s="294"/>
      <c r="D778" s="294"/>
      <c r="E778" s="294"/>
      <c r="F778" s="294"/>
      <c r="G778" s="294"/>
      <c r="H778" s="294"/>
      <c r="I778" s="294"/>
      <c r="J778" s="294"/>
      <c r="K778" s="294"/>
      <c r="L778" s="294"/>
      <c r="M778" s="294"/>
      <c r="N778" s="294"/>
      <c r="O778" s="294"/>
      <c r="P778" s="294"/>
      <c r="Q778" s="294"/>
      <c r="R778" s="294"/>
      <c r="S778" s="294"/>
      <c r="T778" s="294"/>
      <c r="U778" s="294"/>
      <c r="V778" s="294"/>
      <c r="W778" s="294"/>
      <c r="X778" s="294"/>
      <c r="Y778" s="294"/>
      <c r="Z778" s="294"/>
      <c r="AA778" s="294"/>
      <c r="AB778" s="294"/>
    </row>
    <row r="779">
      <c r="A779" s="294"/>
      <c r="B779" s="294"/>
      <c r="C779" s="294"/>
      <c r="D779" s="294"/>
      <c r="E779" s="294"/>
      <c r="F779" s="294"/>
      <c r="G779" s="294"/>
      <c r="H779" s="294"/>
      <c r="I779" s="294"/>
      <c r="J779" s="294"/>
      <c r="K779" s="294"/>
      <c r="L779" s="294"/>
      <c r="M779" s="294"/>
      <c r="N779" s="294"/>
      <c r="O779" s="294"/>
      <c r="P779" s="294"/>
      <c r="Q779" s="294"/>
      <c r="R779" s="294"/>
      <c r="S779" s="294"/>
      <c r="T779" s="294"/>
      <c r="U779" s="294"/>
      <c r="V779" s="294"/>
      <c r="W779" s="294"/>
      <c r="X779" s="294"/>
      <c r="Y779" s="294"/>
      <c r="Z779" s="294"/>
      <c r="AA779" s="294"/>
      <c r="AB779" s="294"/>
    </row>
    <row r="780">
      <c r="A780" s="294"/>
      <c r="B780" s="294"/>
      <c r="C780" s="294"/>
      <c r="D780" s="294"/>
      <c r="E780" s="294"/>
      <c r="F780" s="294"/>
      <c r="G780" s="294"/>
      <c r="H780" s="294"/>
      <c r="I780" s="294"/>
      <c r="J780" s="294"/>
      <c r="K780" s="294"/>
      <c r="L780" s="294"/>
      <c r="M780" s="294"/>
      <c r="N780" s="294"/>
      <c r="O780" s="294"/>
      <c r="P780" s="294"/>
      <c r="Q780" s="294"/>
      <c r="R780" s="294"/>
      <c r="S780" s="294"/>
      <c r="T780" s="294"/>
      <c r="U780" s="294"/>
      <c r="V780" s="294"/>
      <c r="W780" s="294"/>
      <c r="X780" s="294"/>
      <c r="Y780" s="294"/>
      <c r="Z780" s="294"/>
      <c r="AA780" s="294"/>
      <c r="AB780" s="294"/>
    </row>
    <row r="781">
      <c r="A781" s="294"/>
      <c r="B781" s="294"/>
      <c r="C781" s="294"/>
      <c r="D781" s="294"/>
      <c r="E781" s="294"/>
      <c r="F781" s="294"/>
      <c r="G781" s="294"/>
      <c r="H781" s="294"/>
      <c r="I781" s="294"/>
      <c r="J781" s="294"/>
      <c r="K781" s="294"/>
      <c r="L781" s="294"/>
      <c r="M781" s="294"/>
      <c r="N781" s="294"/>
      <c r="O781" s="294"/>
      <c r="P781" s="294"/>
      <c r="Q781" s="294"/>
      <c r="R781" s="294"/>
      <c r="S781" s="294"/>
      <c r="T781" s="294"/>
      <c r="U781" s="294"/>
      <c r="V781" s="294"/>
      <c r="W781" s="294"/>
      <c r="X781" s="294"/>
      <c r="Y781" s="294"/>
      <c r="Z781" s="294"/>
      <c r="AA781" s="294"/>
      <c r="AB781" s="294"/>
    </row>
    <row r="782">
      <c r="A782" s="294"/>
      <c r="B782" s="294"/>
      <c r="C782" s="294"/>
      <c r="D782" s="294"/>
      <c r="E782" s="294"/>
      <c r="F782" s="294"/>
      <c r="G782" s="294"/>
      <c r="H782" s="294"/>
      <c r="I782" s="294"/>
      <c r="J782" s="294"/>
      <c r="K782" s="294"/>
      <c r="L782" s="294"/>
      <c r="M782" s="294"/>
      <c r="N782" s="294"/>
      <c r="O782" s="294"/>
      <c r="P782" s="294"/>
      <c r="Q782" s="294"/>
      <c r="R782" s="294"/>
      <c r="S782" s="294"/>
      <c r="T782" s="294"/>
      <c r="U782" s="294"/>
      <c r="V782" s="294"/>
      <c r="W782" s="294"/>
      <c r="X782" s="294"/>
      <c r="Y782" s="294"/>
      <c r="Z782" s="294"/>
      <c r="AA782" s="294"/>
      <c r="AB782" s="294"/>
    </row>
    <row r="783">
      <c r="A783" s="294"/>
      <c r="B783" s="294"/>
      <c r="C783" s="294"/>
      <c r="D783" s="294"/>
      <c r="E783" s="294"/>
      <c r="F783" s="294"/>
      <c r="G783" s="294"/>
      <c r="H783" s="294"/>
      <c r="I783" s="294"/>
      <c r="J783" s="294"/>
      <c r="K783" s="294"/>
      <c r="L783" s="294"/>
      <c r="M783" s="294"/>
      <c r="N783" s="294"/>
      <c r="O783" s="294"/>
      <c r="P783" s="294"/>
      <c r="Q783" s="294"/>
      <c r="R783" s="294"/>
      <c r="S783" s="294"/>
      <c r="T783" s="294"/>
      <c r="U783" s="294"/>
      <c r="V783" s="294"/>
      <c r="W783" s="294"/>
      <c r="X783" s="294"/>
      <c r="Y783" s="294"/>
      <c r="Z783" s="294"/>
      <c r="AA783" s="294"/>
      <c r="AB783" s="294"/>
    </row>
    <row r="784">
      <c r="A784" s="294"/>
      <c r="B784" s="294"/>
      <c r="C784" s="294"/>
      <c r="D784" s="294"/>
      <c r="E784" s="294"/>
      <c r="F784" s="294"/>
      <c r="G784" s="294"/>
      <c r="H784" s="294"/>
      <c r="I784" s="294"/>
      <c r="J784" s="294"/>
      <c r="K784" s="294"/>
      <c r="L784" s="294"/>
      <c r="M784" s="294"/>
      <c r="N784" s="294"/>
      <c r="O784" s="294"/>
      <c r="P784" s="294"/>
      <c r="Q784" s="294"/>
      <c r="R784" s="294"/>
      <c r="S784" s="294"/>
      <c r="T784" s="294"/>
      <c r="U784" s="294"/>
      <c r="V784" s="294"/>
      <c r="W784" s="294"/>
      <c r="X784" s="294"/>
      <c r="Y784" s="294"/>
      <c r="Z784" s="294"/>
      <c r="AA784" s="294"/>
      <c r="AB784" s="294"/>
    </row>
    <row r="785">
      <c r="A785" s="294"/>
      <c r="B785" s="294"/>
      <c r="C785" s="294"/>
      <c r="D785" s="294"/>
      <c r="E785" s="294"/>
      <c r="F785" s="294"/>
      <c r="G785" s="294"/>
      <c r="H785" s="294"/>
      <c r="I785" s="294"/>
      <c r="J785" s="294"/>
      <c r="K785" s="294"/>
      <c r="L785" s="294"/>
      <c r="M785" s="294"/>
      <c r="N785" s="294"/>
      <c r="O785" s="294"/>
      <c r="P785" s="294"/>
      <c r="Q785" s="294"/>
      <c r="R785" s="294"/>
      <c r="S785" s="294"/>
      <c r="T785" s="294"/>
      <c r="U785" s="294"/>
      <c r="V785" s="294"/>
      <c r="W785" s="294"/>
      <c r="X785" s="294"/>
      <c r="Y785" s="294"/>
      <c r="Z785" s="294"/>
      <c r="AA785" s="294"/>
      <c r="AB785" s="294"/>
    </row>
    <row r="786">
      <c r="A786" s="294"/>
      <c r="B786" s="294"/>
      <c r="C786" s="294"/>
      <c r="D786" s="294"/>
      <c r="E786" s="294"/>
      <c r="F786" s="294"/>
      <c r="G786" s="294"/>
      <c r="H786" s="294"/>
      <c r="I786" s="294"/>
      <c r="J786" s="294"/>
      <c r="K786" s="294"/>
      <c r="L786" s="294"/>
      <c r="M786" s="294"/>
      <c r="N786" s="294"/>
      <c r="O786" s="294"/>
      <c r="P786" s="294"/>
      <c r="Q786" s="294"/>
      <c r="R786" s="294"/>
      <c r="S786" s="294"/>
      <c r="T786" s="294"/>
      <c r="U786" s="294"/>
      <c r="V786" s="294"/>
      <c r="W786" s="294"/>
      <c r="X786" s="294"/>
      <c r="Y786" s="294"/>
      <c r="Z786" s="294"/>
      <c r="AA786" s="294"/>
      <c r="AB786" s="294"/>
    </row>
    <row r="787">
      <c r="A787" s="294"/>
      <c r="B787" s="294"/>
      <c r="C787" s="294"/>
      <c r="D787" s="294"/>
      <c r="E787" s="294"/>
      <c r="F787" s="294"/>
      <c r="G787" s="294"/>
      <c r="H787" s="294"/>
      <c r="I787" s="294"/>
      <c r="J787" s="294"/>
      <c r="K787" s="294"/>
      <c r="L787" s="294"/>
      <c r="M787" s="294"/>
      <c r="N787" s="294"/>
      <c r="O787" s="294"/>
      <c r="P787" s="294"/>
      <c r="Q787" s="294"/>
      <c r="R787" s="294"/>
      <c r="S787" s="294"/>
      <c r="T787" s="294"/>
      <c r="U787" s="294"/>
      <c r="V787" s="294"/>
      <c r="W787" s="294"/>
      <c r="X787" s="294"/>
      <c r="Y787" s="294"/>
      <c r="Z787" s="294"/>
      <c r="AA787" s="294"/>
      <c r="AB787" s="294"/>
    </row>
    <row r="788">
      <c r="A788" s="294"/>
      <c r="B788" s="294"/>
      <c r="C788" s="294"/>
      <c r="D788" s="294"/>
      <c r="E788" s="294"/>
      <c r="F788" s="294"/>
      <c r="G788" s="294"/>
      <c r="H788" s="294"/>
      <c r="I788" s="294"/>
      <c r="J788" s="294"/>
      <c r="K788" s="294"/>
      <c r="L788" s="294"/>
      <c r="M788" s="294"/>
      <c r="N788" s="294"/>
      <c r="O788" s="294"/>
      <c r="P788" s="294"/>
      <c r="Q788" s="294"/>
      <c r="R788" s="294"/>
      <c r="S788" s="294"/>
      <c r="T788" s="294"/>
      <c r="U788" s="294"/>
      <c r="V788" s="294"/>
      <c r="W788" s="294"/>
      <c r="X788" s="294"/>
      <c r="Y788" s="294"/>
      <c r="Z788" s="294"/>
      <c r="AA788" s="294"/>
      <c r="AB788" s="294"/>
    </row>
    <row r="789">
      <c r="A789" s="294"/>
      <c r="B789" s="294"/>
      <c r="C789" s="294"/>
      <c r="D789" s="294"/>
      <c r="E789" s="294"/>
      <c r="F789" s="294"/>
      <c r="G789" s="294"/>
      <c r="H789" s="294"/>
      <c r="I789" s="294"/>
      <c r="J789" s="294"/>
      <c r="K789" s="294"/>
      <c r="L789" s="294"/>
      <c r="M789" s="294"/>
      <c r="N789" s="294"/>
      <c r="O789" s="294"/>
      <c r="P789" s="294"/>
      <c r="Q789" s="294"/>
      <c r="R789" s="294"/>
      <c r="S789" s="294"/>
      <c r="T789" s="294"/>
      <c r="U789" s="294"/>
      <c r="V789" s="294"/>
      <c r="W789" s="294"/>
      <c r="X789" s="294"/>
      <c r="Y789" s="294"/>
      <c r="Z789" s="294"/>
      <c r="AA789" s="294"/>
      <c r="AB789" s="294"/>
    </row>
    <row r="790">
      <c r="A790" s="294"/>
      <c r="B790" s="294"/>
      <c r="C790" s="294"/>
      <c r="D790" s="294"/>
      <c r="E790" s="294"/>
      <c r="F790" s="294"/>
      <c r="G790" s="294"/>
      <c r="H790" s="294"/>
      <c r="I790" s="294"/>
      <c r="J790" s="294"/>
      <c r="K790" s="294"/>
      <c r="L790" s="294"/>
      <c r="M790" s="294"/>
      <c r="N790" s="294"/>
      <c r="O790" s="294"/>
      <c r="P790" s="294"/>
      <c r="Q790" s="294"/>
      <c r="R790" s="294"/>
      <c r="S790" s="294"/>
      <c r="T790" s="294"/>
      <c r="U790" s="294"/>
      <c r="V790" s="294"/>
      <c r="W790" s="294"/>
      <c r="X790" s="294"/>
      <c r="Y790" s="294"/>
      <c r="Z790" s="294"/>
      <c r="AA790" s="294"/>
      <c r="AB790" s="294"/>
    </row>
    <row r="791">
      <c r="A791" s="294"/>
      <c r="B791" s="294"/>
      <c r="C791" s="294"/>
      <c r="D791" s="294"/>
      <c r="E791" s="294"/>
      <c r="F791" s="294"/>
      <c r="G791" s="294"/>
      <c r="H791" s="294"/>
      <c r="I791" s="294"/>
      <c r="J791" s="294"/>
      <c r="K791" s="294"/>
      <c r="L791" s="294"/>
      <c r="M791" s="294"/>
      <c r="N791" s="294"/>
      <c r="O791" s="294"/>
      <c r="P791" s="294"/>
      <c r="Q791" s="294"/>
      <c r="R791" s="294"/>
      <c r="S791" s="294"/>
      <c r="T791" s="294"/>
      <c r="U791" s="294"/>
      <c r="V791" s="294"/>
      <c r="W791" s="294"/>
      <c r="X791" s="294"/>
      <c r="Y791" s="294"/>
      <c r="Z791" s="294"/>
      <c r="AA791" s="294"/>
      <c r="AB791" s="294"/>
    </row>
    <row r="792">
      <c r="A792" s="294"/>
      <c r="B792" s="294"/>
      <c r="C792" s="294"/>
      <c r="D792" s="294"/>
      <c r="E792" s="294"/>
      <c r="F792" s="294"/>
      <c r="G792" s="294"/>
      <c r="H792" s="294"/>
      <c r="I792" s="294"/>
      <c r="J792" s="294"/>
      <c r="K792" s="294"/>
      <c r="L792" s="294"/>
      <c r="M792" s="294"/>
      <c r="N792" s="294"/>
      <c r="O792" s="294"/>
      <c r="P792" s="294"/>
      <c r="Q792" s="294"/>
      <c r="R792" s="294"/>
      <c r="S792" s="294"/>
      <c r="T792" s="294"/>
      <c r="U792" s="294"/>
      <c r="V792" s="294"/>
      <c r="W792" s="294"/>
      <c r="X792" s="294"/>
      <c r="Y792" s="294"/>
      <c r="Z792" s="294"/>
      <c r="AA792" s="294"/>
      <c r="AB792" s="294"/>
    </row>
    <row r="793">
      <c r="A793" s="294"/>
      <c r="B793" s="294"/>
      <c r="C793" s="294"/>
      <c r="D793" s="294"/>
      <c r="E793" s="294"/>
      <c r="F793" s="294"/>
      <c r="G793" s="294"/>
      <c r="H793" s="294"/>
      <c r="I793" s="294"/>
      <c r="J793" s="294"/>
      <c r="K793" s="294"/>
      <c r="L793" s="294"/>
      <c r="M793" s="294"/>
      <c r="N793" s="294"/>
      <c r="O793" s="294"/>
      <c r="P793" s="294"/>
      <c r="Q793" s="294"/>
      <c r="R793" s="294"/>
      <c r="S793" s="294"/>
      <c r="T793" s="294"/>
      <c r="U793" s="294"/>
      <c r="V793" s="294"/>
      <c r="W793" s="294"/>
      <c r="X793" s="294"/>
      <c r="Y793" s="294"/>
      <c r="Z793" s="294"/>
      <c r="AA793" s="294"/>
      <c r="AB793" s="294"/>
    </row>
    <row r="794">
      <c r="A794" s="294"/>
      <c r="B794" s="294"/>
      <c r="C794" s="294"/>
      <c r="D794" s="294"/>
      <c r="E794" s="294"/>
      <c r="F794" s="294"/>
      <c r="G794" s="294"/>
      <c r="H794" s="294"/>
      <c r="I794" s="294"/>
      <c r="J794" s="294"/>
      <c r="K794" s="294"/>
      <c r="L794" s="294"/>
      <c r="M794" s="294"/>
      <c r="N794" s="294"/>
      <c r="O794" s="294"/>
      <c r="P794" s="294"/>
      <c r="Q794" s="294"/>
      <c r="R794" s="294"/>
      <c r="S794" s="294"/>
      <c r="T794" s="294"/>
      <c r="U794" s="294"/>
      <c r="V794" s="294"/>
      <c r="W794" s="294"/>
      <c r="X794" s="294"/>
      <c r="Y794" s="294"/>
      <c r="Z794" s="294"/>
      <c r="AA794" s="294"/>
      <c r="AB794" s="294"/>
    </row>
    <row r="795">
      <c r="A795" s="294"/>
      <c r="B795" s="294"/>
      <c r="C795" s="294"/>
      <c r="D795" s="294"/>
      <c r="E795" s="294"/>
      <c r="F795" s="294"/>
      <c r="G795" s="294"/>
      <c r="H795" s="294"/>
      <c r="I795" s="294"/>
      <c r="J795" s="294"/>
      <c r="K795" s="294"/>
      <c r="L795" s="294"/>
      <c r="M795" s="294"/>
      <c r="N795" s="294"/>
      <c r="O795" s="294"/>
      <c r="P795" s="294"/>
      <c r="Q795" s="294"/>
      <c r="R795" s="294"/>
      <c r="S795" s="294"/>
      <c r="T795" s="294"/>
      <c r="U795" s="294"/>
      <c r="V795" s="294"/>
      <c r="W795" s="294"/>
      <c r="X795" s="294"/>
      <c r="Y795" s="294"/>
      <c r="Z795" s="294"/>
      <c r="AA795" s="294"/>
      <c r="AB795" s="294"/>
    </row>
    <row r="796">
      <c r="A796" s="294"/>
      <c r="B796" s="294"/>
      <c r="C796" s="294"/>
      <c r="D796" s="294"/>
      <c r="E796" s="294"/>
      <c r="F796" s="294"/>
      <c r="G796" s="294"/>
      <c r="H796" s="294"/>
      <c r="I796" s="294"/>
      <c r="J796" s="294"/>
      <c r="K796" s="294"/>
      <c r="L796" s="294"/>
      <c r="M796" s="294"/>
      <c r="N796" s="294"/>
      <c r="O796" s="294"/>
      <c r="P796" s="294"/>
      <c r="Q796" s="294"/>
      <c r="R796" s="294"/>
      <c r="S796" s="294"/>
      <c r="T796" s="294"/>
      <c r="U796" s="294"/>
      <c r="V796" s="294"/>
      <c r="W796" s="294"/>
      <c r="X796" s="294"/>
      <c r="Y796" s="294"/>
      <c r="Z796" s="294"/>
      <c r="AA796" s="294"/>
      <c r="AB796" s="294"/>
    </row>
    <row r="797">
      <c r="A797" s="294"/>
      <c r="B797" s="294"/>
      <c r="C797" s="294"/>
      <c r="D797" s="294"/>
      <c r="E797" s="294"/>
      <c r="F797" s="294"/>
      <c r="G797" s="294"/>
      <c r="H797" s="294"/>
      <c r="I797" s="294"/>
      <c r="J797" s="294"/>
      <c r="K797" s="294"/>
      <c r="L797" s="294"/>
      <c r="M797" s="294"/>
      <c r="N797" s="294"/>
      <c r="O797" s="294"/>
      <c r="P797" s="294"/>
      <c r="Q797" s="294"/>
      <c r="R797" s="294"/>
      <c r="S797" s="294"/>
      <c r="T797" s="294"/>
      <c r="U797" s="294"/>
      <c r="V797" s="294"/>
      <c r="W797" s="294"/>
      <c r="X797" s="294"/>
      <c r="Y797" s="294"/>
      <c r="Z797" s="294"/>
      <c r="AA797" s="294"/>
      <c r="AB797" s="294"/>
    </row>
    <row r="798">
      <c r="A798" s="294"/>
      <c r="B798" s="294"/>
      <c r="C798" s="294"/>
      <c r="D798" s="294"/>
      <c r="E798" s="294"/>
      <c r="F798" s="294"/>
      <c r="G798" s="294"/>
      <c r="H798" s="294"/>
      <c r="I798" s="294"/>
      <c r="J798" s="294"/>
      <c r="K798" s="294"/>
      <c r="L798" s="294"/>
      <c r="M798" s="294"/>
      <c r="N798" s="294"/>
      <c r="O798" s="294"/>
      <c r="P798" s="294"/>
      <c r="Q798" s="294"/>
      <c r="R798" s="294"/>
      <c r="S798" s="294"/>
      <c r="T798" s="294"/>
      <c r="U798" s="294"/>
      <c r="V798" s="294"/>
      <c r="W798" s="294"/>
      <c r="X798" s="294"/>
      <c r="Y798" s="294"/>
      <c r="Z798" s="294"/>
      <c r="AA798" s="294"/>
      <c r="AB798" s="294"/>
    </row>
    <row r="799">
      <c r="A799" s="294"/>
      <c r="B799" s="294"/>
      <c r="C799" s="294"/>
      <c r="D799" s="294"/>
      <c r="E799" s="294"/>
      <c r="F799" s="294"/>
      <c r="G799" s="294"/>
      <c r="H799" s="294"/>
      <c r="I799" s="294"/>
      <c r="J799" s="294"/>
      <c r="K799" s="294"/>
      <c r="L799" s="294"/>
      <c r="M799" s="294"/>
      <c r="N799" s="294"/>
      <c r="O799" s="294"/>
      <c r="P799" s="294"/>
      <c r="Q799" s="294"/>
      <c r="R799" s="294"/>
      <c r="S799" s="294"/>
      <c r="T799" s="294"/>
      <c r="U799" s="294"/>
      <c r="V799" s="294"/>
      <c r="W799" s="294"/>
      <c r="X799" s="294"/>
      <c r="Y799" s="294"/>
      <c r="Z799" s="294"/>
      <c r="AA799" s="294"/>
      <c r="AB799" s="294"/>
    </row>
    <row r="800">
      <c r="A800" s="294"/>
      <c r="B800" s="294"/>
      <c r="C800" s="294"/>
      <c r="D800" s="294"/>
      <c r="E800" s="294"/>
      <c r="F800" s="294"/>
      <c r="G800" s="294"/>
      <c r="H800" s="294"/>
      <c r="I800" s="294"/>
      <c r="J800" s="294"/>
      <c r="K800" s="294"/>
      <c r="L800" s="294"/>
      <c r="M800" s="294"/>
      <c r="N800" s="294"/>
      <c r="O800" s="294"/>
      <c r="P800" s="294"/>
      <c r="Q800" s="294"/>
      <c r="R800" s="294"/>
      <c r="S800" s="294"/>
      <c r="T800" s="294"/>
      <c r="U800" s="294"/>
      <c r="V800" s="294"/>
      <c r="W800" s="294"/>
      <c r="X800" s="294"/>
      <c r="Y800" s="294"/>
      <c r="Z800" s="294"/>
      <c r="AA800" s="294"/>
      <c r="AB800" s="294"/>
    </row>
    <row r="801">
      <c r="A801" s="294"/>
      <c r="B801" s="294"/>
      <c r="C801" s="294"/>
      <c r="D801" s="294"/>
      <c r="E801" s="294"/>
      <c r="F801" s="294"/>
      <c r="G801" s="294"/>
      <c r="H801" s="294"/>
      <c r="I801" s="294"/>
      <c r="J801" s="294"/>
      <c r="K801" s="294"/>
      <c r="L801" s="294"/>
      <c r="M801" s="294"/>
      <c r="N801" s="294"/>
      <c r="O801" s="294"/>
      <c r="P801" s="294"/>
      <c r="Q801" s="294"/>
      <c r="R801" s="294"/>
      <c r="S801" s="294"/>
      <c r="T801" s="294"/>
      <c r="U801" s="294"/>
      <c r="V801" s="294"/>
      <c r="W801" s="294"/>
      <c r="X801" s="294"/>
      <c r="Y801" s="294"/>
      <c r="Z801" s="294"/>
      <c r="AA801" s="294"/>
      <c r="AB801" s="294"/>
    </row>
    <row r="802">
      <c r="A802" s="294"/>
      <c r="B802" s="294"/>
      <c r="C802" s="294"/>
      <c r="D802" s="294"/>
      <c r="E802" s="294"/>
      <c r="F802" s="294"/>
      <c r="G802" s="294"/>
      <c r="H802" s="294"/>
      <c r="I802" s="294"/>
      <c r="J802" s="294"/>
      <c r="K802" s="294"/>
      <c r="L802" s="294"/>
      <c r="M802" s="294"/>
      <c r="N802" s="294"/>
      <c r="O802" s="294"/>
      <c r="P802" s="294"/>
      <c r="Q802" s="294"/>
      <c r="R802" s="294"/>
      <c r="S802" s="294"/>
      <c r="T802" s="294"/>
      <c r="U802" s="294"/>
      <c r="V802" s="294"/>
      <c r="W802" s="294"/>
      <c r="X802" s="294"/>
      <c r="Y802" s="294"/>
      <c r="Z802" s="294"/>
      <c r="AA802" s="294"/>
      <c r="AB802" s="294"/>
    </row>
    <row r="803">
      <c r="A803" s="294"/>
      <c r="B803" s="294"/>
      <c r="C803" s="294"/>
      <c r="D803" s="294"/>
      <c r="E803" s="294"/>
      <c r="F803" s="294"/>
      <c r="G803" s="294"/>
      <c r="H803" s="294"/>
      <c r="I803" s="294"/>
      <c r="J803" s="294"/>
      <c r="K803" s="294"/>
      <c r="L803" s="294"/>
      <c r="M803" s="294"/>
      <c r="N803" s="294"/>
      <c r="O803" s="294"/>
      <c r="P803" s="294"/>
      <c r="Q803" s="294"/>
      <c r="R803" s="294"/>
      <c r="S803" s="294"/>
      <c r="T803" s="294"/>
      <c r="U803" s="294"/>
      <c r="V803" s="294"/>
      <c r="W803" s="294"/>
      <c r="X803" s="294"/>
      <c r="Y803" s="294"/>
      <c r="Z803" s="294"/>
      <c r="AA803" s="294"/>
      <c r="AB803" s="294"/>
    </row>
    <row r="804">
      <c r="A804" s="294"/>
      <c r="B804" s="294"/>
      <c r="C804" s="294"/>
      <c r="D804" s="294"/>
      <c r="E804" s="294"/>
      <c r="F804" s="294"/>
      <c r="G804" s="294"/>
      <c r="H804" s="294"/>
      <c r="I804" s="294"/>
      <c r="J804" s="294"/>
      <c r="K804" s="294"/>
      <c r="L804" s="294"/>
      <c r="M804" s="294"/>
      <c r="N804" s="294"/>
      <c r="O804" s="294"/>
      <c r="P804" s="294"/>
      <c r="Q804" s="294"/>
      <c r="R804" s="294"/>
      <c r="S804" s="294"/>
      <c r="T804" s="294"/>
      <c r="U804" s="294"/>
      <c r="V804" s="294"/>
      <c r="W804" s="294"/>
      <c r="X804" s="294"/>
      <c r="Y804" s="294"/>
      <c r="Z804" s="294"/>
      <c r="AA804" s="294"/>
      <c r="AB804" s="294"/>
    </row>
    <row r="805">
      <c r="A805" s="294"/>
      <c r="B805" s="294"/>
      <c r="C805" s="294"/>
      <c r="D805" s="294"/>
      <c r="E805" s="294"/>
      <c r="F805" s="294"/>
      <c r="G805" s="294"/>
      <c r="H805" s="294"/>
      <c r="I805" s="294"/>
      <c r="J805" s="294"/>
      <c r="K805" s="294"/>
      <c r="L805" s="294"/>
      <c r="M805" s="294"/>
      <c r="N805" s="294"/>
      <c r="O805" s="294"/>
      <c r="P805" s="294"/>
      <c r="Q805" s="294"/>
      <c r="R805" s="294"/>
      <c r="S805" s="294"/>
      <c r="T805" s="294"/>
      <c r="U805" s="294"/>
      <c r="V805" s="294"/>
      <c r="W805" s="294"/>
      <c r="X805" s="294"/>
      <c r="Y805" s="294"/>
      <c r="Z805" s="294"/>
      <c r="AA805" s="294"/>
      <c r="AB805" s="294"/>
    </row>
    <row r="806">
      <c r="A806" s="294"/>
      <c r="B806" s="294"/>
      <c r="C806" s="294"/>
      <c r="D806" s="294"/>
      <c r="E806" s="294"/>
      <c r="F806" s="294"/>
      <c r="G806" s="294"/>
      <c r="H806" s="294"/>
      <c r="I806" s="294"/>
      <c r="J806" s="294"/>
      <c r="K806" s="294"/>
      <c r="L806" s="294"/>
      <c r="M806" s="294"/>
      <c r="N806" s="294"/>
      <c r="O806" s="294"/>
      <c r="P806" s="294"/>
      <c r="Q806" s="294"/>
      <c r="R806" s="294"/>
      <c r="S806" s="294"/>
      <c r="T806" s="294"/>
      <c r="U806" s="294"/>
      <c r="V806" s="294"/>
      <c r="W806" s="294"/>
      <c r="X806" s="294"/>
      <c r="Y806" s="294"/>
      <c r="Z806" s="294"/>
      <c r="AA806" s="294"/>
      <c r="AB806" s="294"/>
    </row>
    <row r="807">
      <c r="A807" s="294"/>
      <c r="B807" s="294"/>
      <c r="C807" s="294"/>
      <c r="D807" s="294"/>
      <c r="E807" s="294"/>
      <c r="F807" s="294"/>
      <c r="G807" s="294"/>
      <c r="H807" s="294"/>
      <c r="I807" s="294"/>
      <c r="J807" s="294"/>
      <c r="K807" s="294"/>
      <c r="L807" s="294"/>
      <c r="M807" s="294"/>
      <c r="N807" s="294"/>
      <c r="O807" s="294"/>
      <c r="P807" s="294"/>
      <c r="Q807" s="294"/>
      <c r="R807" s="294"/>
      <c r="S807" s="294"/>
      <c r="T807" s="294"/>
      <c r="U807" s="294"/>
      <c r="V807" s="294"/>
      <c r="W807" s="294"/>
      <c r="X807" s="294"/>
      <c r="Y807" s="294"/>
      <c r="Z807" s="294"/>
      <c r="AA807" s="294"/>
      <c r="AB807" s="294"/>
    </row>
    <row r="808">
      <c r="A808" s="294"/>
      <c r="B808" s="294"/>
      <c r="C808" s="294"/>
      <c r="D808" s="294"/>
      <c r="E808" s="294"/>
      <c r="F808" s="294"/>
      <c r="G808" s="294"/>
      <c r="H808" s="294"/>
      <c r="I808" s="294"/>
      <c r="J808" s="294"/>
      <c r="K808" s="294"/>
      <c r="L808" s="294"/>
      <c r="M808" s="294"/>
      <c r="N808" s="294"/>
      <c r="O808" s="294"/>
      <c r="P808" s="294"/>
      <c r="Q808" s="294"/>
      <c r="R808" s="294"/>
      <c r="S808" s="294"/>
      <c r="T808" s="294"/>
      <c r="U808" s="294"/>
      <c r="V808" s="294"/>
      <c r="W808" s="294"/>
      <c r="X808" s="294"/>
      <c r="Y808" s="294"/>
      <c r="Z808" s="294"/>
      <c r="AA808" s="294"/>
      <c r="AB808" s="294"/>
    </row>
    <row r="809">
      <c r="A809" s="294"/>
      <c r="B809" s="294"/>
      <c r="C809" s="294"/>
      <c r="D809" s="294"/>
      <c r="E809" s="294"/>
      <c r="F809" s="294"/>
      <c r="G809" s="294"/>
      <c r="H809" s="294"/>
      <c r="I809" s="294"/>
      <c r="J809" s="294"/>
      <c r="K809" s="294"/>
      <c r="L809" s="294"/>
      <c r="M809" s="294"/>
      <c r="N809" s="294"/>
      <c r="O809" s="294"/>
      <c r="P809" s="294"/>
      <c r="Q809" s="294"/>
      <c r="R809" s="294"/>
      <c r="S809" s="294"/>
      <c r="T809" s="294"/>
      <c r="U809" s="294"/>
      <c r="V809" s="294"/>
      <c r="W809" s="294"/>
      <c r="X809" s="294"/>
      <c r="Y809" s="294"/>
      <c r="Z809" s="294"/>
      <c r="AA809" s="294"/>
      <c r="AB809" s="294"/>
    </row>
    <row r="810">
      <c r="A810" s="294"/>
      <c r="B810" s="294"/>
      <c r="C810" s="294"/>
      <c r="D810" s="294"/>
      <c r="E810" s="294"/>
      <c r="F810" s="294"/>
      <c r="G810" s="294"/>
      <c r="H810" s="294"/>
      <c r="I810" s="294"/>
      <c r="J810" s="294"/>
      <c r="K810" s="294"/>
      <c r="L810" s="294"/>
      <c r="M810" s="294"/>
      <c r="N810" s="294"/>
      <c r="O810" s="294"/>
      <c r="P810" s="294"/>
      <c r="Q810" s="294"/>
      <c r="R810" s="294"/>
      <c r="S810" s="294"/>
      <c r="T810" s="294"/>
      <c r="U810" s="294"/>
      <c r="V810" s="294"/>
      <c r="W810" s="294"/>
      <c r="X810" s="294"/>
      <c r="Y810" s="294"/>
      <c r="Z810" s="294"/>
      <c r="AA810" s="294"/>
      <c r="AB810" s="294"/>
    </row>
    <row r="811">
      <c r="A811" s="294"/>
      <c r="B811" s="294"/>
      <c r="C811" s="294"/>
      <c r="D811" s="294"/>
      <c r="E811" s="294"/>
      <c r="F811" s="294"/>
      <c r="G811" s="294"/>
      <c r="H811" s="294"/>
      <c r="I811" s="294"/>
      <c r="J811" s="294"/>
      <c r="K811" s="294"/>
      <c r="L811" s="294"/>
      <c r="M811" s="294"/>
      <c r="N811" s="294"/>
      <c r="O811" s="294"/>
      <c r="P811" s="294"/>
      <c r="Q811" s="294"/>
      <c r="R811" s="294"/>
      <c r="S811" s="294"/>
      <c r="T811" s="294"/>
      <c r="U811" s="294"/>
      <c r="V811" s="294"/>
      <c r="W811" s="294"/>
      <c r="X811" s="294"/>
      <c r="Y811" s="294"/>
      <c r="Z811" s="294"/>
      <c r="AA811" s="294"/>
      <c r="AB811" s="294"/>
    </row>
    <row r="812">
      <c r="A812" s="294"/>
      <c r="B812" s="294"/>
      <c r="C812" s="294"/>
      <c r="D812" s="294"/>
      <c r="E812" s="294"/>
      <c r="F812" s="294"/>
      <c r="G812" s="294"/>
      <c r="H812" s="294"/>
      <c r="I812" s="294"/>
      <c r="J812" s="294"/>
      <c r="K812" s="294"/>
      <c r="L812" s="294"/>
      <c r="M812" s="294"/>
      <c r="N812" s="294"/>
      <c r="O812" s="294"/>
      <c r="P812" s="294"/>
      <c r="Q812" s="294"/>
      <c r="R812" s="294"/>
      <c r="S812" s="294"/>
      <c r="T812" s="294"/>
      <c r="U812" s="294"/>
      <c r="V812" s="294"/>
      <c r="W812" s="294"/>
      <c r="X812" s="294"/>
      <c r="Y812" s="294"/>
      <c r="Z812" s="294"/>
      <c r="AA812" s="294"/>
      <c r="AB812" s="294"/>
    </row>
    <row r="813">
      <c r="A813" s="294"/>
      <c r="B813" s="294"/>
      <c r="C813" s="294"/>
      <c r="D813" s="294"/>
      <c r="E813" s="294"/>
      <c r="F813" s="294"/>
      <c r="G813" s="294"/>
      <c r="H813" s="294"/>
      <c r="I813" s="294"/>
      <c r="J813" s="294"/>
      <c r="K813" s="294"/>
      <c r="L813" s="294"/>
      <c r="M813" s="294"/>
      <c r="N813" s="294"/>
      <c r="O813" s="294"/>
      <c r="P813" s="294"/>
      <c r="Q813" s="294"/>
      <c r="R813" s="294"/>
      <c r="S813" s="294"/>
      <c r="T813" s="294"/>
      <c r="U813" s="294"/>
      <c r="V813" s="294"/>
      <c r="W813" s="294"/>
      <c r="X813" s="294"/>
      <c r="Y813" s="294"/>
      <c r="Z813" s="294"/>
      <c r="AA813" s="294"/>
      <c r="AB813" s="294"/>
    </row>
    <row r="814">
      <c r="A814" s="294"/>
      <c r="B814" s="294"/>
      <c r="C814" s="294"/>
      <c r="D814" s="294"/>
      <c r="E814" s="294"/>
      <c r="F814" s="294"/>
      <c r="G814" s="294"/>
      <c r="H814" s="294"/>
      <c r="I814" s="294"/>
      <c r="J814" s="294"/>
      <c r="K814" s="294"/>
      <c r="L814" s="294"/>
      <c r="M814" s="294"/>
      <c r="N814" s="294"/>
      <c r="O814" s="294"/>
      <c r="P814" s="294"/>
      <c r="Q814" s="294"/>
      <c r="R814" s="294"/>
      <c r="S814" s="294"/>
      <c r="T814" s="294"/>
      <c r="U814" s="294"/>
      <c r="V814" s="294"/>
      <c r="W814" s="294"/>
      <c r="X814" s="294"/>
      <c r="Y814" s="294"/>
      <c r="Z814" s="294"/>
      <c r="AA814" s="294"/>
      <c r="AB814" s="294"/>
    </row>
    <row r="815">
      <c r="A815" s="294"/>
      <c r="B815" s="294"/>
      <c r="C815" s="294"/>
      <c r="D815" s="294"/>
      <c r="E815" s="294"/>
      <c r="F815" s="294"/>
      <c r="G815" s="294"/>
      <c r="H815" s="294"/>
      <c r="I815" s="294"/>
      <c r="J815" s="294"/>
      <c r="K815" s="294"/>
      <c r="L815" s="294"/>
      <c r="M815" s="294"/>
      <c r="N815" s="294"/>
      <c r="O815" s="294"/>
      <c r="P815" s="294"/>
      <c r="Q815" s="294"/>
      <c r="R815" s="294"/>
      <c r="S815" s="294"/>
      <c r="T815" s="294"/>
      <c r="U815" s="294"/>
      <c r="V815" s="294"/>
      <c r="W815" s="294"/>
      <c r="X815" s="294"/>
      <c r="Y815" s="294"/>
      <c r="Z815" s="294"/>
      <c r="AA815" s="294"/>
      <c r="AB815" s="294"/>
    </row>
    <row r="816">
      <c r="A816" s="294"/>
      <c r="B816" s="294"/>
      <c r="C816" s="294"/>
      <c r="D816" s="294"/>
      <c r="E816" s="294"/>
      <c r="F816" s="294"/>
      <c r="G816" s="294"/>
      <c r="H816" s="294"/>
      <c r="I816" s="294"/>
      <c r="J816" s="294"/>
      <c r="K816" s="294"/>
      <c r="L816" s="294"/>
      <c r="M816" s="294"/>
      <c r="N816" s="294"/>
      <c r="O816" s="294"/>
      <c r="P816" s="294"/>
      <c r="Q816" s="294"/>
      <c r="R816" s="294"/>
      <c r="S816" s="294"/>
      <c r="T816" s="294"/>
      <c r="U816" s="294"/>
      <c r="V816" s="294"/>
      <c r="W816" s="294"/>
      <c r="X816" s="294"/>
      <c r="Y816" s="294"/>
      <c r="Z816" s="294"/>
      <c r="AA816" s="294"/>
      <c r="AB816" s="294"/>
    </row>
    <row r="817">
      <c r="A817" s="294"/>
      <c r="B817" s="294"/>
      <c r="C817" s="294"/>
      <c r="D817" s="294"/>
      <c r="E817" s="294"/>
      <c r="F817" s="294"/>
      <c r="G817" s="294"/>
      <c r="H817" s="294"/>
      <c r="I817" s="294"/>
      <c r="J817" s="294"/>
      <c r="K817" s="294"/>
      <c r="L817" s="294"/>
      <c r="M817" s="294"/>
      <c r="N817" s="294"/>
      <c r="O817" s="294"/>
      <c r="P817" s="294"/>
      <c r="Q817" s="294"/>
      <c r="R817" s="294"/>
      <c r="S817" s="294"/>
      <c r="T817" s="294"/>
      <c r="U817" s="294"/>
      <c r="V817" s="294"/>
      <c r="W817" s="294"/>
      <c r="X817" s="294"/>
      <c r="Y817" s="294"/>
      <c r="Z817" s="294"/>
      <c r="AA817" s="294"/>
      <c r="AB817" s="294"/>
    </row>
    <row r="818">
      <c r="A818" s="294"/>
      <c r="B818" s="294"/>
      <c r="C818" s="294"/>
      <c r="D818" s="294"/>
      <c r="E818" s="294"/>
      <c r="F818" s="294"/>
      <c r="G818" s="294"/>
      <c r="H818" s="294"/>
      <c r="I818" s="294"/>
      <c r="J818" s="294"/>
      <c r="K818" s="294"/>
      <c r="L818" s="294"/>
      <c r="M818" s="294"/>
      <c r="N818" s="294"/>
      <c r="O818" s="294"/>
      <c r="P818" s="294"/>
      <c r="Q818" s="294"/>
      <c r="R818" s="294"/>
      <c r="S818" s="294"/>
      <c r="T818" s="294"/>
      <c r="U818" s="294"/>
      <c r="V818" s="294"/>
      <c r="W818" s="294"/>
      <c r="X818" s="294"/>
      <c r="Y818" s="294"/>
      <c r="Z818" s="294"/>
      <c r="AA818" s="294"/>
      <c r="AB818" s="294"/>
    </row>
    <row r="819">
      <c r="A819" s="294"/>
      <c r="B819" s="294"/>
      <c r="C819" s="294"/>
      <c r="D819" s="294"/>
      <c r="E819" s="294"/>
      <c r="F819" s="294"/>
      <c r="G819" s="294"/>
      <c r="H819" s="294"/>
      <c r="I819" s="294"/>
      <c r="J819" s="294"/>
      <c r="K819" s="294"/>
      <c r="L819" s="294"/>
      <c r="M819" s="294"/>
      <c r="N819" s="294"/>
      <c r="O819" s="294"/>
      <c r="P819" s="294"/>
      <c r="Q819" s="294"/>
      <c r="R819" s="294"/>
      <c r="S819" s="294"/>
      <c r="T819" s="294"/>
      <c r="U819" s="294"/>
      <c r="V819" s="294"/>
      <c r="W819" s="294"/>
      <c r="X819" s="294"/>
      <c r="Y819" s="294"/>
      <c r="Z819" s="294"/>
      <c r="AA819" s="294"/>
      <c r="AB819" s="294"/>
    </row>
    <row r="820">
      <c r="A820" s="294"/>
      <c r="B820" s="294"/>
      <c r="C820" s="294"/>
      <c r="D820" s="294"/>
      <c r="E820" s="294"/>
      <c r="F820" s="294"/>
      <c r="G820" s="294"/>
      <c r="H820" s="294"/>
      <c r="I820" s="294"/>
      <c r="J820" s="294"/>
      <c r="K820" s="294"/>
      <c r="L820" s="294"/>
      <c r="M820" s="294"/>
      <c r="N820" s="294"/>
      <c r="O820" s="294"/>
      <c r="P820" s="294"/>
      <c r="Q820" s="294"/>
      <c r="R820" s="294"/>
      <c r="S820" s="294"/>
      <c r="T820" s="294"/>
      <c r="U820" s="294"/>
      <c r="V820" s="294"/>
      <c r="W820" s="294"/>
      <c r="X820" s="294"/>
      <c r="Y820" s="294"/>
      <c r="Z820" s="294"/>
      <c r="AA820" s="294"/>
      <c r="AB820" s="294"/>
    </row>
    <row r="821">
      <c r="A821" s="294"/>
      <c r="B821" s="294"/>
      <c r="C821" s="294"/>
      <c r="D821" s="294"/>
      <c r="E821" s="294"/>
      <c r="F821" s="294"/>
      <c r="G821" s="294"/>
      <c r="H821" s="294"/>
      <c r="I821" s="294"/>
      <c r="J821" s="294"/>
      <c r="K821" s="294"/>
      <c r="L821" s="294"/>
      <c r="M821" s="294"/>
      <c r="N821" s="294"/>
      <c r="O821" s="294"/>
      <c r="P821" s="294"/>
      <c r="Q821" s="294"/>
      <c r="R821" s="294"/>
      <c r="S821" s="294"/>
      <c r="T821" s="294"/>
      <c r="U821" s="294"/>
      <c r="V821" s="294"/>
      <c r="W821" s="294"/>
      <c r="X821" s="294"/>
      <c r="Y821" s="294"/>
      <c r="Z821" s="294"/>
      <c r="AA821" s="294"/>
      <c r="AB821" s="294"/>
    </row>
    <row r="822">
      <c r="A822" s="294"/>
      <c r="B822" s="294"/>
      <c r="C822" s="294"/>
      <c r="D822" s="294"/>
      <c r="E822" s="294"/>
      <c r="F822" s="294"/>
      <c r="G822" s="294"/>
      <c r="H822" s="294"/>
      <c r="I822" s="294"/>
      <c r="J822" s="294"/>
      <c r="K822" s="294"/>
      <c r="L822" s="294"/>
      <c r="M822" s="294"/>
      <c r="N822" s="294"/>
      <c r="O822" s="294"/>
      <c r="P822" s="294"/>
      <c r="Q822" s="294"/>
      <c r="R822" s="294"/>
      <c r="S822" s="294"/>
      <c r="T822" s="294"/>
      <c r="U822" s="294"/>
      <c r="V822" s="294"/>
      <c r="W822" s="294"/>
      <c r="X822" s="294"/>
      <c r="Y822" s="294"/>
      <c r="Z822" s="294"/>
      <c r="AA822" s="294"/>
      <c r="AB822" s="294"/>
    </row>
    <row r="823">
      <c r="A823" s="294"/>
      <c r="B823" s="294"/>
      <c r="C823" s="294"/>
      <c r="D823" s="294"/>
      <c r="E823" s="294"/>
      <c r="F823" s="294"/>
      <c r="G823" s="294"/>
      <c r="H823" s="294"/>
      <c r="I823" s="294"/>
      <c r="J823" s="294"/>
      <c r="K823" s="294"/>
      <c r="L823" s="294"/>
      <c r="M823" s="294"/>
      <c r="N823" s="294"/>
      <c r="O823" s="294"/>
      <c r="P823" s="294"/>
      <c r="Q823" s="294"/>
      <c r="R823" s="294"/>
      <c r="S823" s="294"/>
      <c r="T823" s="294"/>
      <c r="U823" s="294"/>
      <c r="V823" s="294"/>
      <c r="W823" s="294"/>
      <c r="X823" s="294"/>
      <c r="Y823" s="294"/>
      <c r="Z823" s="294"/>
      <c r="AA823" s="294"/>
      <c r="AB823" s="294"/>
    </row>
    <row r="824">
      <c r="A824" s="294"/>
      <c r="B824" s="294"/>
      <c r="C824" s="294"/>
      <c r="D824" s="294"/>
      <c r="E824" s="294"/>
      <c r="F824" s="294"/>
      <c r="G824" s="294"/>
      <c r="H824" s="294"/>
      <c r="I824" s="294"/>
      <c r="J824" s="294"/>
      <c r="K824" s="294"/>
      <c r="L824" s="294"/>
      <c r="M824" s="294"/>
      <c r="N824" s="294"/>
      <c r="O824" s="294"/>
      <c r="P824" s="294"/>
      <c r="Q824" s="294"/>
      <c r="R824" s="294"/>
      <c r="S824" s="294"/>
      <c r="T824" s="294"/>
      <c r="U824" s="294"/>
      <c r="V824" s="294"/>
      <c r="W824" s="294"/>
      <c r="X824" s="294"/>
      <c r="Y824" s="294"/>
      <c r="Z824" s="294"/>
      <c r="AA824" s="294"/>
      <c r="AB824" s="294"/>
    </row>
    <row r="825">
      <c r="A825" s="294"/>
      <c r="B825" s="294"/>
      <c r="C825" s="294"/>
      <c r="D825" s="294"/>
      <c r="E825" s="294"/>
      <c r="F825" s="294"/>
      <c r="G825" s="294"/>
      <c r="H825" s="294"/>
      <c r="I825" s="294"/>
      <c r="J825" s="294"/>
      <c r="K825" s="294"/>
      <c r="L825" s="294"/>
      <c r="M825" s="294"/>
      <c r="N825" s="294"/>
      <c r="O825" s="294"/>
      <c r="P825" s="294"/>
      <c r="Q825" s="294"/>
      <c r="R825" s="294"/>
      <c r="S825" s="294"/>
      <c r="T825" s="294"/>
      <c r="U825" s="294"/>
      <c r="V825" s="294"/>
      <c r="W825" s="294"/>
      <c r="X825" s="294"/>
      <c r="Y825" s="294"/>
      <c r="Z825" s="294"/>
      <c r="AA825" s="294"/>
      <c r="AB825" s="294"/>
    </row>
    <row r="826">
      <c r="A826" s="294"/>
      <c r="B826" s="294"/>
      <c r="C826" s="294"/>
      <c r="D826" s="294"/>
      <c r="E826" s="294"/>
      <c r="F826" s="294"/>
      <c r="G826" s="294"/>
      <c r="H826" s="294"/>
      <c r="I826" s="294"/>
      <c r="J826" s="294"/>
      <c r="K826" s="294"/>
      <c r="L826" s="294"/>
      <c r="M826" s="294"/>
      <c r="N826" s="294"/>
      <c r="O826" s="294"/>
      <c r="P826" s="294"/>
      <c r="Q826" s="294"/>
      <c r="R826" s="294"/>
      <c r="S826" s="294"/>
      <c r="T826" s="294"/>
      <c r="U826" s="294"/>
      <c r="V826" s="294"/>
      <c r="W826" s="294"/>
      <c r="X826" s="294"/>
      <c r="Y826" s="294"/>
      <c r="Z826" s="294"/>
      <c r="AA826" s="294"/>
      <c r="AB826" s="294"/>
    </row>
    <row r="827">
      <c r="A827" s="294"/>
      <c r="B827" s="294"/>
      <c r="C827" s="294"/>
      <c r="D827" s="294"/>
      <c r="E827" s="294"/>
      <c r="F827" s="294"/>
      <c r="G827" s="294"/>
      <c r="H827" s="294"/>
      <c r="I827" s="294"/>
      <c r="J827" s="294"/>
      <c r="K827" s="294"/>
      <c r="L827" s="294"/>
      <c r="M827" s="294"/>
      <c r="N827" s="294"/>
      <c r="O827" s="294"/>
      <c r="P827" s="294"/>
      <c r="Q827" s="294"/>
      <c r="R827" s="294"/>
      <c r="S827" s="294"/>
      <c r="T827" s="294"/>
      <c r="U827" s="294"/>
      <c r="V827" s="294"/>
      <c r="W827" s="294"/>
      <c r="X827" s="294"/>
      <c r="Y827" s="294"/>
      <c r="Z827" s="294"/>
      <c r="AA827" s="294"/>
      <c r="AB827" s="294"/>
    </row>
    <row r="828">
      <c r="A828" s="294"/>
      <c r="B828" s="294"/>
      <c r="C828" s="294"/>
      <c r="D828" s="294"/>
      <c r="E828" s="294"/>
      <c r="F828" s="294"/>
      <c r="G828" s="294"/>
      <c r="H828" s="294"/>
      <c r="I828" s="294"/>
      <c r="J828" s="294"/>
      <c r="K828" s="294"/>
      <c r="L828" s="294"/>
      <c r="M828" s="294"/>
      <c r="N828" s="294"/>
      <c r="O828" s="294"/>
      <c r="P828" s="294"/>
      <c r="Q828" s="294"/>
      <c r="R828" s="294"/>
      <c r="S828" s="294"/>
      <c r="T828" s="294"/>
      <c r="U828" s="294"/>
      <c r="V828" s="294"/>
      <c r="W828" s="294"/>
      <c r="X828" s="294"/>
      <c r="Y828" s="294"/>
      <c r="Z828" s="294"/>
      <c r="AA828" s="294"/>
      <c r="AB828" s="294"/>
    </row>
    <row r="829">
      <c r="A829" s="294"/>
      <c r="B829" s="294"/>
      <c r="C829" s="294"/>
      <c r="D829" s="294"/>
      <c r="E829" s="294"/>
      <c r="F829" s="294"/>
      <c r="G829" s="294"/>
      <c r="H829" s="294"/>
      <c r="I829" s="294"/>
      <c r="J829" s="294"/>
      <c r="K829" s="294"/>
      <c r="L829" s="294"/>
      <c r="M829" s="294"/>
      <c r="N829" s="294"/>
      <c r="O829" s="294"/>
      <c r="P829" s="294"/>
      <c r="Q829" s="294"/>
      <c r="R829" s="294"/>
      <c r="S829" s="294"/>
      <c r="T829" s="294"/>
      <c r="U829" s="294"/>
      <c r="V829" s="294"/>
      <c r="W829" s="294"/>
      <c r="X829" s="294"/>
      <c r="Y829" s="294"/>
      <c r="Z829" s="294"/>
      <c r="AA829" s="294"/>
      <c r="AB829" s="294"/>
    </row>
    <row r="830">
      <c r="A830" s="294"/>
      <c r="B830" s="294"/>
      <c r="C830" s="294"/>
      <c r="D830" s="294"/>
      <c r="E830" s="294"/>
      <c r="F830" s="294"/>
      <c r="G830" s="294"/>
      <c r="H830" s="294"/>
      <c r="I830" s="294"/>
      <c r="J830" s="294"/>
      <c r="K830" s="294"/>
      <c r="L830" s="294"/>
      <c r="M830" s="294"/>
      <c r="N830" s="294"/>
      <c r="O830" s="294"/>
      <c r="P830" s="294"/>
      <c r="Q830" s="294"/>
      <c r="R830" s="294"/>
      <c r="S830" s="294"/>
      <c r="T830" s="294"/>
      <c r="U830" s="294"/>
      <c r="V830" s="294"/>
      <c r="W830" s="294"/>
      <c r="X830" s="294"/>
      <c r="Y830" s="294"/>
      <c r="Z830" s="294"/>
      <c r="AA830" s="294"/>
      <c r="AB830" s="294"/>
    </row>
    <row r="831">
      <c r="A831" s="294"/>
      <c r="B831" s="294"/>
      <c r="C831" s="294"/>
      <c r="D831" s="294"/>
      <c r="E831" s="294"/>
      <c r="F831" s="294"/>
      <c r="G831" s="294"/>
      <c r="H831" s="294"/>
      <c r="I831" s="294"/>
      <c r="J831" s="294"/>
      <c r="K831" s="294"/>
      <c r="L831" s="294"/>
      <c r="M831" s="294"/>
      <c r="N831" s="294"/>
      <c r="O831" s="294"/>
      <c r="P831" s="294"/>
      <c r="Q831" s="294"/>
      <c r="R831" s="294"/>
      <c r="S831" s="294"/>
      <c r="T831" s="294"/>
      <c r="U831" s="294"/>
      <c r="V831" s="294"/>
      <c r="W831" s="294"/>
      <c r="X831" s="294"/>
      <c r="Y831" s="294"/>
      <c r="Z831" s="294"/>
      <c r="AA831" s="294"/>
      <c r="AB831" s="294"/>
    </row>
    <row r="832">
      <c r="A832" s="294"/>
      <c r="B832" s="294"/>
      <c r="C832" s="294"/>
      <c r="D832" s="294"/>
      <c r="E832" s="294"/>
      <c r="F832" s="294"/>
      <c r="G832" s="294"/>
      <c r="H832" s="294"/>
      <c r="I832" s="294"/>
      <c r="J832" s="294"/>
      <c r="K832" s="294"/>
      <c r="L832" s="294"/>
      <c r="M832" s="294"/>
      <c r="N832" s="294"/>
      <c r="O832" s="294"/>
      <c r="P832" s="294"/>
      <c r="Q832" s="294"/>
      <c r="R832" s="294"/>
      <c r="S832" s="294"/>
      <c r="T832" s="294"/>
      <c r="U832" s="294"/>
      <c r="V832" s="294"/>
      <c r="W832" s="294"/>
      <c r="X832" s="294"/>
      <c r="Y832" s="294"/>
      <c r="Z832" s="294"/>
      <c r="AA832" s="294"/>
      <c r="AB832" s="294"/>
    </row>
    <row r="833">
      <c r="A833" s="294"/>
      <c r="B833" s="294"/>
      <c r="C833" s="294"/>
      <c r="D833" s="294"/>
      <c r="E833" s="294"/>
      <c r="F833" s="294"/>
      <c r="G833" s="294"/>
      <c r="H833" s="294"/>
      <c r="I833" s="294"/>
      <c r="J833" s="294"/>
      <c r="K833" s="294"/>
      <c r="L833" s="294"/>
      <c r="M833" s="294"/>
      <c r="N833" s="294"/>
      <c r="O833" s="294"/>
      <c r="P833" s="294"/>
      <c r="Q833" s="294"/>
      <c r="R833" s="294"/>
      <c r="S833" s="294"/>
      <c r="T833" s="294"/>
      <c r="U833" s="294"/>
      <c r="V833" s="294"/>
      <c r="W833" s="294"/>
      <c r="X833" s="294"/>
      <c r="Y833" s="294"/>
      <c r="Z833" s="294"/>
      <c r="AA833" s="294"/>
      <c r="AB833" s="294"/>
    </row>
    <row r="834">
      <c r="A834" s="294"/>
      <c r="B834" s="294"/>
      <c r="C834" s="294"/>
      <c r="D834" s="294"/>
      <c r="E834" s="294"/>
      <c r="F834" s="294"/>
      <c r="G834" s="294"/>
      <c r="H834" s="294"/>
      <c r="I834" s="294"/>
      <c r="J834" s="294"/>
      <c r="K834" s="294"/>
      <c r="L834" s="294"/>
      <c r="M834" s="294"/>
      <c r="N834" s="294"/>
      <c r="O834" s="294"/>
      <c r="P834" s="294"/>
      <c r="Q834" s="294"/>
      <c r="R834" s="294"/>
      <c r="S834" s="294"/>
      <c r="T834" s="294"/>
      <c r="U834" s="294"/>
      <c r="V834" s="294"/>
      <c r="W834" s="294"/>
      <c r="X834" s="294"/>
      <c r="Y834" s="294"/>
      <c r="Z834" s="294"/>
      <c r="AA834" s="294"/>
      <c r="AB834" s="294"/>
    </row>
    <row r="835">
      <c r="A835" s="294"/>
      <c r="B835" s="294"/>
      <c r="C835" s="294"/>
      <c r="D835" s="294"/>
      <c r="E835" s="294"/>
      <c r="F835" s="294"/>
      <c r="G835" s="294"/>
      <c r="H835" s="294"/>
      <c r="I835" s="294"/>
      <c r="J835" s="294"/>
      <c r="K835" s="294"/>
      <c r="L835" s="294"/>
      <c r="M835" s="294"/>
      <c r="N835" s="294"/>
      <c r="O835" s="294"/>
      <c r="P835" s="294"/>
      <c r="Q835" s="294"/>
      <c r="R835" s="294"/>
      <c r="S835" s="294"/>
      <c r="T835" s="294"/>
      <c r="U835" s="294"/>
      <c r="V835" s="294"/>
      <c r="W835" s="294"/>
      <c r="X835" s="294"/>
      <c r="Y835" s="294"/>
      <c r="Z835" s="294"/>
      <c r="AA835" s="294"/>
      <c r="AB835" s="294"/>
    </row>
    <row r="836">
      <c r="A836" s="294"/>
      <c r="B836" s="294"/>
      <c r="C836" s="294"/>
      <c r="D836" s="294"/>
      <c r="E836" s="294"/>
      <c r="F836" s="294"/>
      <c r="G836" s="294"/>
      <c r="H836" s="294"/>
      <c r="I836" s="294"/>
      <c r="J836" s="294"/>
      <c r="K836" s="294"/>
      <c r="L836" s="294"/>
      <c r="M836" s="294"/>
      <c r="N836" s="294"/>
      <c r="O836" s="294"/>
      <c r="P836" s="294"/>
      <c r="Q836" s="294"/>
      <c r="R836" s="294"/>
      <c r="S836" s="294"/>
      <c r="T836" s="294"/>
      <c r="U836" s="294"/>
      <c r="V836" s="294"/>
      <c r="W836" s="294"/>
      <c r="X836" s="294"/>
      <c r="Y836" s="294"/>
      <c r="Z836" s="294"/>
      <c r="AA836" s="294"/>
      <c r="AB836" s="294"/>
    </row>
    <row r="837">
      <c r="A837" s="294"/>
      <c r="B837" s="294"/>
      <c r="C837" s="294"/>
      <c r="D837" s="294"/>
      <c r="E837" s="294"/>
      <c r="F837" s="294"/>
      <c r="G837" s="294"/>
      <c r="H837" s="294"/>
      <c r="I837" s="294"/>
      <c r="J837" s="294"/>
      <c r="K837" s="294"/>
      <c r="L837" s="294"/>
      <c r="M837" s="294"/>
      <c r="N837" s="294"/>
      <c r="O837" s="294"/>
      <c r="P837" s="294"/>
      <c r="Q837" s="294"/>
      <c r="R837" s="294"/>
      <c r="S837" s="294"/>
      <c r="T837" s="294"/>
      <c r="U837" s="294"/>
      <c r="V837" s="294"/>
      <c r="W837" s="294"/>
      <c r="X837" s="294"/>
      <c r="Y837" s="294"/>
      <c r="Z837" s="294"/>
      <c r="AA837" s="294"/>
      <c r="AB837" s="294"/>
    </row>
    <row r="838">
      <c r="A838" s="294"/>
      <c r="B838" s="294"/>
      <c r="C838" s="294"/>
      <c r="D838" s="294"/>
      <c r="E838" s="294"/>
      <c r="F838" s="294"/>
      <c r="G838" s="294"/>
      <c r="H838" s="294"/>
      <c r="I838" s="294"/>
      <c r="J838" s="294"/>
      <c r="K838" s="294"/>
      <c r="L838" s="294"/>
      <c r="M838" s="294"/>
      <c r="N838" s="294"/>
      <c r="O838" s="294"/>
      <c r="P838" s="294"/>
      <c r="Q838" s="294"/>
      <c r="R838" s="294"/>
      <c r="S838" s="294"/>
      <c r="T838" s="294"/>
      <c r="U838" s="294"/>
      <c r="V838" s="294"/>
      <c r="W838" s="294"/>
      <c r="X838" s="294"/>
      <c r="Y838" s="294"/>
      <c r="Z838" s="294"/>
      <c r="AA838" s="294"/>
      <c r="AB838" s="294"/>
    </row>
    <row r="839">
      <c r="A839" s="294"/>
      <c r="B839" s="294"/>
      <c r="C839" s="294"/>
      <c r="D839" s="294"/>
      <c r="E839" s="294"/>
      <c r="F839" s="294"/>
      <c r="G839" s="294"/>
      <c r="H839" s="294"/>
      <c r="I839" s="294"/>
      <c r="J839" s="294"/>
      <c r="K839" s="294"/>
      <c r="L839" s="294"/>
      <c r="M839" s="294"/>
      <c r="N839" s="294"/>
      <c r="O839" s="294"/>
      <c r="P839" s="294"/>
      <c r="Q839" s="294"/>
      <c r="R839" s="294"/>
      <c r="S839" s="294"/>
      <c r="T839" s="294"/>
      <c r="U839" s="294"/>
      <c r="V839" s="294"/>
      <c r="W839" s="294"/>
      <c r="X839" s="294"/>
      <c r="Y839" s="294"/>
      <c r="Z839" s="294"/>
      <c r="AA839" s="294"/>
      <c r="AB839" s="294"/>
    </row>
    <row r="840">
      <c r="A840" s="294"/>
      <c r="B840" s="294"/>
      <c r="C840" s="294"/>
      <c r="D840" s="294"/>
      <c r="E840" s="294"/>
      <c r="F840" s="294"/>
      <c r="G840" s="294"/>
      <c r="H840" s="294"/>
      <c r="I840" s="294"/>
      <c r="J840" s="294"/>
      <c r="K840" s="294"/>
      <c r="L840" s="294"/>
      <c r="M840" s="294"/>
      <c r="N840" s="294"/>
      <c r="O840" s="294"/>
      <c r="P840" s="294"/>
      <c r="Q840" s="294"/>
      <c r="R840" s="294"/>
      <c r="S840" s="294"/>
      <c r="T840" s="294"/>
      <c r="U840" s="294"/>
      <c r="V840" s="294"/>
      <c r="W840" s="294"/>
      <c r="X840" s="294"/>
      <c r="Y840" s="294"/>
      <c r="Z840" s="294"/>
      <c r="AA840" s="294"/>
      <c r="AB840" s="294"/>
    </row>
    <row r="841">
      <c r="A841" s="294"/>
      <c r="B841" s="294"/>
      <c r="C841" s="294"/>
      <c r="D841" s="294"/>
      <c r="E841" s="294"/>
      <c r="F841" s="294"/>
      <c r="G841" s="294"/>
      <c r="H841" s="294"/>
      <c r="I841" s="294"/>
      <c r="J841" s="294"/>
      <c r="K841" s="294"/>
      <c r="L841" s="294"/>
      <c r="M841" s="294"/>
      <c r="N841" s="294"/>
      <c r="O841" s="294"/>
      <c r="P841" s="294"/>
      <c r="Q841" s="294"/>
      <c r="R841" s="294"/>
      <c r="S841" s="294"/>
      <c r="T841" s="294"/>
      <c r="U841" s="294"/>
      <c r="V841" s="294"/>
      <c r="W841" s="294"/>
      <c r="X841" s="294"/>
      <c r="Y841" s="294"/>
      <c r="Z841" s="294"/>
      <c r="AA841" s="294"/>
      <c r="AB841" s="294"/>
    </row>
    <row r="842">
      <c r="A842" s="294"/>
      <c r="B842" s="294"/>
      <c r="C842" s="294"/>
      <c r="D842" s="294"/>
      <c r="E842" s="294"/>
      <c r="F842" s="294"/>
      <c r="G842" s="294"/>
      <c r="H842" s="294"/>
      <c r="I842" s="294"/>
      <c r="J842" s="294"/>
      <c r="K842" s="294"/>
      <c r="L842" s="294"/>
      <c r="M842" s="294"/>
      <c r="N842" s="294"/>
      <c r="O842" s="294"/>
      <c r="P842" s="294"/>
      <c r="Q842" s="294"/>
      <c r="R842" s="294"/>
      <c r="S842" s="294"/>
      <c r="T842" s="294"/>
      <c r="U842" s="294"/>
      <c r="V842" s="294"/>
      <c r="W842" s="294"/>
      <c r="X842" s="294"/>
      <c r="Y842" s="294"/>
      <c r="Z842" s="294"/>
      <c r="AA842" s="294"/>
      <c r="AB842" s="294"/>
    </row>
    <row r="843">
      <c r="A843" s="294"/>
      <c r="B843" s="294"/>
      <c r="C843" s="294"/>
      <c r="D843" s="294"/>
      <c r="E843" s="294"/>
      <c r="F843" s="294"/>
      <c r="G843" s="294"/>
      <c r="H843" s="294"/>
      <c r="I843" s="294"/>
      <c r="J843" s="294"/>
      <c r="K843" s="294"/>
      <c r="L843" s="294"/>
      <c r="M843" s="294"/>
      <c r="N843" s="294"/>
      <c r="O843" s="294"/>
      <c r="P843" s="294"/>
      <c r="Q843" s="294"/>
      <c r="R843" s="294"/>
      <c r="S843" s="294"/>
      <c r="T843" s="294"/>
      <c r="U843" s="294"/>
      <c r="V843" s="294"/>
      <c r="W843" s="294"/>
      <c r="X843" s="294"/>
      <c r="Y843" s="294"/>
      <c r="Z843" s="294"/>
      <c r="AA843" s="294"/>
      <c r="AB843" s="294"/>
    </row>
    <row r="844">
      <c r="A844" s="294"/>
      <c r="B844" s="294"/>
      <c r="C844" s="294"/>
      <c r="D844" s="294"/>
      <c r="E844" s="294"/>
      <c r="F844" s="294"/>
      <c r="G844" s="294"/>
      <c r="H844" s="294"/>
      <c r="I844" s="294"/>
      <c r="J844" s="294"/>
      <c r="K844" s="294"/>
      <c r="L844" s="294"/>
      <c r="M844" s="294"/>
      <c r="N844" s="294"/>
      <c r="O844" s="294"/>
      <c r="P844" s="294"/>
      <c r="Q844" s="294"/>
      <c r="R844" s="294"/>
      <c r="S844" s="294"/>
      <c r="T844" s="294"/>
      <c r="U844" s="294"/>
      <c r="V844" s="294"/>
      <c r="W844" s="294"/>
      <c r="X844" s="294"/>
      <c r="Y844" s="294"/>
      <c r="Z844" s="294"/>
      <c r="AA844" s="294"/>
      <c r="AB844" s="294"/>
    </row>
    <row r="845">
      <c r="A845" s="294"/>
      <c r="B845" s="294"/>
      <c r="C845" s="294"/>
      <c r="D845" s="294"/>
      <c r="E845" s="294"/>
      <c r="F845" s="294"/>
      <c r="G845" s="294"/>
      <c r="H845" s="294"/>
      <c r="I845" s="294"/>
      <c r="J845" s="294"/>
      <c r="K845" s="294"/>
      <c r="L845" s="294"/>
      <c r="M845" s="294"/>
      <c r="N845" s="294"/>
      <c r="O845" s="294"/>
      <c r="P845" s="294"/>
      <c r="Q845" s="294"/>
      <c r="R845" s="294"/>
      <c r="S845" s="294"/>
      <c r="T845" s="294"/>
      <c r="U845" s="294"/>
      <c r="V845" s="294"/>
      <c r="W845" s="294"/>
      <c r="X845" s="294"/>
      <c r="Y845" s="294"/>
      <c r="Z845" s="294"/>
      <c r="AA845" s="294"/>
      <c r="AB845" s="294"/>
    </row>
    <row r="846">
      <c r="A846" s="294"/>
      <c r="B846" s="294"/>
      <c r="C846" s="294"/>
      <c r="D846" s="294"/>
      <c r="E846" s="294"/>
      <c r="F846" s="294"/>
      <c r="G846" s="294"/>
      <c r="H846" s="294"/>
      <c r="I846" s="294"/>
      <c r="J846" s="294"/>
      <c r="K846" s="294"/>
      <c r="L846" s="294"/>
      <c r="M846" s="294"/>
      <c r="N846" s="294"/>
      <c r="O846" s="294"/>
      <c r="P846" s="294"/>
      <c r="Q846" s="294"/>
      <c r="R846" s="294"/>
      <c r="S846" s="294"/>
      <c r="T846" s="294"/>
      <c r="U846" s="294"/>
      <c r="V846" s="294"/>
      <c r="W846" s="294"/>
      <c r="X846" s="294"/>
      <c r="Y846" s="294"/>
      <c r="Z846" s="294"/>
      <c r="AA846" s="294"/>
      <c r="AB846" s="294"/>
    </row>
    <row r="847">
      <c r="A847" s="294"/>
      <c r="B847" s="294"/>
      <c r="C847" s="294"/>
      <c r="D847" s="294"/>
      <c r="E847" s="294"/>
      <c r="F847" s="294"/>
      <c r="G847" s="294"/>
      <c r="H847" s="294"/>
      <c r="I847" s="294"/>
      <c r="J847" s="294"/>
      <c r="K847" s="294"/>
      <c r="L847" s="294"/>
      <c r="M847" s="294"/>
      <c r="N847" s="294"/>
      <c r="O847" s="294"/>
      <c r="P847" s="294"/>
      <c r="Q847" s="294"/>
      <c r="R847" s="294"/>
      <c r="S847" s="294"/>
      <c r="T847" s="294"/>
      <c r="U847" s="294"/>
      <c r="V847" s="294"/>
      <c r="W847" s="294"/>
      <c r="X847" s="294"/>
      <c r="Y847" s="294"/>
      <c r="Z847" s="294"/>
      <c r="AA847" s="294"/>
      <c r="AB847" s="294"/>
    </row>
    <row r="848">
      <c r="A848" s="294"/>
      <c r="B848" s="294"/>
      <c r="C848" s="294"/>
      <c r="D848" s="294"/>
      <c r="E848" s="294"/>
      <c r="F848" s="294"/>
      <c r="G848" s="294"/>
      <c r="H848" s="294"/>
      <c r="I848" s="294"/>
      <c r="J848" s="294"/>
      <c r="K848" s="294"/>
      <c r="L848" s="294"/>
      <c r="M848" s="294"/>
      <c r="N848" s="294"/>
      <c r="O848" s="294"/>
      <c r="P848" s="294"/>
      <c r="Q848" s="294"/>
      <c r="R848" s="294"/>
      <c r="S848" s="294"/>
      <c r="T848" s="294"/>
      <c r="U848" s="294"/>
      <c r="V848" s="294"/>
      <c r="W848" s="294"/>
      <c r="X848" s="294"/>
      <c r="Y848" s="294"/>
      <c r="Z848" s="294"/>
      <c r="AA848" s="294"/>
      <c r="AB848" s="294"/>
    </row>
    <row r="849">
      <c r="A849" s="294"/>
      <c r="B849" s="294"/>
      <c r="C849" s="294"/>
      <c r="D849" s="294"/>
      <c r="E849" s="294"/>
      <c r="F849" s="294"/>
      <c r="G849" s="294"/>
      <c r="H849" s="294"/>
      <c r="I849" s="294"/>
      <c r="J849" s="294"/>
      <c r="K849" s="294"/>
      <c r="L849" s="294"/>
      <c r="M849" s="294"/>
      <c r="N849" s="294"/>
      <c r="O849" s="294"/>
      <c r="P849" s="294"/>
      <c r="Q849" s="294"/>
      <c r="R849" s="294"/>
      <c r="S849" s="294"/>
      <c r="T849" s="294"/>
      <c r="U849" s="294"/>
      <c r="V849" s="294"/>
      <c r="W849" s="294"/>
      <c r="X849" s="294"/>
      <c r="Y849" s="294"/>
      <c r="Z849" s="294"/>
      <c r="AA849" s="294"/>
      <c r="AB849" s="294"/>
    </row>
    <row r="850">
      <c r="A850" s="294"/>
      <c r="B850" s="294"/>
      <c r="C850" s="294"/>
      <c r="D850" s="294"/>
      <c r="E850" s="294"/>
      <c r="F850" s="294"/>
      <c r="G850" s="294"/>
      <c r="H850" s="294"/>
      <c r="I850" s="294"/>
      <c r="J850" s="294"/>
      <c r="K850" s="294"/>
      <c r="L850" s="294"/>
      <c r="M850" s="294"/>
      <c r="N850" s="294"/>
      <c r="O850" s="294"/>
      <c r="P850" s="294"/>
      <c r="Q850" s="294"/>
      <c r="R850" s="294"/>
      <c r="S850" s="294"/>
      <c r="T850" s="294"/>
      <c r="U850" s="294"/>
      <c r="V850" s="294"/>
      <c r="W850" s="294"/>
      <c r="X850" s="294"/>
      <c r="Y850" s="294"/>
      <c r="Z850" s="294"/>
      <c r="AA850" s="294"/>
      <c r="AB850" s="294"/>
    </row>
    <row r="851">
      <c r="A851" s="294"/>
      <c r="B851" s="294"/>
      <c r="C851" s="294"/>
      <c r="D851" s="294"/>
      <c r="E851" s="294"/>
      <c r="F851" s="294"/>
      <c r="G851" s="294"/>
      <c r="H851" s="294"/>
      <c r="I851" s="294"/>
      <c r="J851" s="294"/>
      <c r="K851" s="294"/>
      <c r="L851" s="294"/>
      <c r="M851" s="294"/>
      <c r="N851" s="294"/>
      <c r="O851" s="294"/>
      <c r="P851" s="294"/>
      <c r="Q851" s="294"/>
      <c r="R851" s="294"/>
      <c r="S851" s="294"/>
      <c r="T851" s="294"/>
      <c r="U851" s="294"/>
      <c r="V851" s="294"/>
      <c r="W851" s="294"/>
      <c r="X851" s="294"/>
      <c r="Y851" s="294"/>
      <c r="Z851" s="294"/>
      <c r="AA851" s="294"/>
      <c r="AB851" s="294"/>
    </row>
    <row r="852">
      <c r="A852" s="294"/>
      <c r="B852" s="294"/>
      <c r="C852" s="294"/>
      <c r="D852" s="294"/>
      <c r="E852" s="294"/>
      <c r="F852" s="294"/>
      <c r="G852" s="294"/>
      <c r="H852" s="294"/>
      <c r="I852" s="294"/>
      <c r="J852" s="294"/>
      <c r="K852" s="294"/>
      <c r="L852" s="294"/>
      <c r="M852" s="294"/>
      <c r="N852" s="294"/>
      <c r="O852" s="294"/>
      <c r="P852" s="294"/>
      <c r="Q852" s="294"/>
      <c r="R852" s="294"/>
      <c r="S852" s="294"/>
      <c r="T852" s="294"/>
      <c r="U852" s="294"/>
      <c r="V852" s="294"/>
      <c r="W852" s="294"/>
      <c r="X852" s="294"/>
      <c r="Y852" s="294"/>
      <c r="Z852" s="294"/>
      <c r="AA852" s="294"/>
      <c r="AB852" s="294"/>
    </row>
    <row r="853">
      <c r="A853" s="294"/>
      <c r="B853" s="294"/>
      <c r="C853" s="294"/>
      <c r="D853" s="294"/>
      <c r="E853" s="294"/>
      <c r="F853" s="294"/>
      <c r="G853" s="294"/>
      <c r="H853" s="294"/>
      <c r="I853" s="294"/>
      <c r="J853" s="294"/>
      <c r="K853" s="294"/>
      <c r="L853" s="294"/>
      <c r="M853" s="294"/>
      <c r="N853" s="294"/>
      <c r="O853" s="294"/>
      <c r="P853" s="294"/>
      <c r="Q853" s="294"/>
      <c r="R853" s="294"/>
      <c r="S853" s="294"/>
      <c r="T853" s="294"/>
      <c r="U853" s="294"/>
      <c r="V853" s="294"/>
      <c r="W853" s="294"/>
      <c r="X853" s="294"/>
      <c r="Y853" s="294"/>
      <c r="Z853" s="294"/>
      <c r="AA853" s="294"/>
      <c r="AB853" s="294"/>
    </row>
    <row r="854">
      <c r="A854" s="294"/>
      <c r="B854" s="294"/>
      <c r="C854" s="294"/>
      <c r="D854" s="294"/>
      <c r="E854" s="294"/>
      <c r="F854" s="294"/>
      <c r="G854" s="294"/>
      <c r="H854" s="294"/>
      <c r="I854" s="294"/>
      <c r="J854" s="294"/>
      <c r="K854" s="294"/>
      <c r="L854" s="294"/>
      <c r="M854" s="294"/>
      <c r="N854" s="294"/>
      <c r="O854" s="294"/>
      <c r="P854" s="294"/>
      <c r="Q854" s="294"/>
      <c r="R854" s="294"/>
      <c r="S854" s="294"/>
      <c r="T854" s="294"/>
      <c r="U854" s="294"/>
      <c r="V854" s="294"/>
      <c r="W854" s="294"/>
      <c r="X854" s="294"/>
      <c r="Y854" s="294"/>
      <c r="Z854" s="294"/>
      <c r="AA854" s="294"/>
      <c r="AB854" s="294"/>
    </row>
    <row r="855">
      <c r="A855" s="294"/>
      <c r="B855" s="294"/>
      <c r="C855" s="294"/>
      <c r="D855" s="294"/>
      <c r="E855" s="294"/>
      <c r="F855" s="294"/>
      <c r="G855" s="294"/>
      <c r="H855" s="294"/>
      <c r="I855" s="294"/>
      <c r="J855" s="294"/>
      <c r="K855" s="294"/>
      <c r="L855" s="294"/>
      <c r="M855" s="294"/>
      <c r="N855" s="294"/>
      <c r="O855" s="294"/>
      <c r="P855" s="294"/>
      <c r="Q855" s="294"/>
      <c r="R855" s="294"/>
      <c r="S855" s="294"/>
      <c r="T855" s="294"/>
      <c r="U855" s="294"/>
      <c r="V855" s="294"/>
      <c r="W855" s="294"/>
      <c r="X855" s="294"/>
      <c r="Y855" s="294"/>
      <c r="Z855" s="294"/>
      <c r="AA855" s="294"/>
      <c r="AB855" s="294"/>
    </row>
    <row r="856">
      <c r="A856" s="294"/>
      <c r="B856" s="294"/>
      <c r="C856" s="294"/>
      <c r="D856" s="294"/>
      <c r="E856" s="294"/>
      <c r="F856" s="294"/>
      <c r="G856" s="294"/>
      <c r="H856" s="294"/>
      <c r="I856" s="294"/>
      <c r="J856" s="294"/>
      <c r="K856" s="294"/>
      <c r="L856" s="294"/>
      <c r="M856" s="294"/>
      <c r="N856" s="294"/>
      <c r="O856" s="294"/>
      <c r="P856" s="294"/>
      <c r="Q856" s="294"/>
      <c r="R856" s="294"/>
      <c r="S856" s="294"/>
      <c r="T856" s="294"/>
      <c r="U856" s="294"/>
      <c r="V856" s="294"/>
      <c r="W856" s="294"/>
      <c r="X856" s="294"/>
      <c r="Y856" s="294"/>
      <c r="Z856" s="294"/>
      <c r="AA856" s="294"/>
      <c r="AB856" s="294"/>
    </row>
    <row r="857">
      <c r="A857" s="294"/>
      <c r="B857" s="294"/>
      <c r="C857" s="294"/>
      <c r="D857" s="294"/>
      <c r="E857" s="294"/>
      <c r="F857" s="294"/>
      <c r="G857" s="294"/>
      <c r="H857" s="294"/>
      <c r="I857" s="294"/>
      <c r="J857" s="294"/>
      <c r="K857" s="294"/>
      <c r="L857" s="294"/>
      <c r="M857" s="294"/>
      <c r="N857" s="294"/>
      <c r="O857" s="294"/>
      <c r="P857" s="294"/>
      <c r="Q857" s="294"/>
      <c r="R857" s="294"/>
      <c r="S857" s="294"/>
      <c r="T857" s="294"/>
      <c r="U857" s="294"/>
      <c r="V857" s="294"/>
      <c r="W857" s="294"/>
      <c r="X857" s="294"/>
      <c r="Y857" s="294"/>
      <c r="Z857" s="294"/>
      <c r="AA857" s="294"/>
      <c r="AB857" s="294"/>
    </row>
    <row r="858">
      <c r="A858" s="294"/>
      <c r="B858" s="294"/>
      <c r="C858" s="294"/>
      <c r="D858" s="294"/>
      <c r="E858" s="294"/>
      <c r="F858" s="294"/>
      <c r="G858" s="294"/>
      <c r="H858" s="294"/>
      <c r="I858" s="294"/>
      <c r="J858" s="294"/>
      <c r="K858" s="294"/>
      <c r="L858" s="294"/>
      <c r="M858" s="294"/>
      <c r="N858" s="294"/>
      <c r="O858" s="294"/>
      <c r="P858" s="294"/>
      <c r="Q858" s="294"/>
      <c r="R858" s="294"/>
      <c r="S858" s="294"/>
      <c r="T858" s="294"/>
      <c r="U858" s="294"/>
      <c r="V858" s="294"/>
      <c r="W858" s="294"/>
      <c r="X858" s="294"/>
      <c r="Y858" s="294"/>
      <c r="Z858" s="294"/>
      <c r="AA858" s="294"/>
      <c r="AB858" s="294"/>
    </row>
    <row r="859">
      <c r="A859" s="294"/>
      <c r="B859" s="294"/>
      <c r="C859" s="294"/>
      <c r="D859" s="294"/>
      <c r="E859" s="294"/>
      <c r="F859" s="294"/>
      <c r="G859" s="294"/>
      <c r="H859" s="294"/>
      <c r="I859" s="294"/>
      <c r="J859" s="294"/>
      <c r="K859" s="294"/>
      <c r="L859" s="294"/>
      <c r="M859" s="294"/>
      <c r="N859" s="294"/>
      <c r="O859" s="294"/>
      <c r="P859" s="294"/>
      <c r="Q859" s="294"/>
      <c r="R859" s="294"/>
      <c r="S859" s="294"/>
      <c r="T859" s="294"/>
      <c r="U859" s="294"/>
      <c r="V859" s="294"/>
      <c r="W859" s="294"/>
      <c r="X859" s="294"/>
      <c r="Y859" s="294"/>
      <c r="Z859" s="294"/>
      <c r="AA859" s="294"/>
      <c r="AB859" s="294"/>
    </row>
    <row r="860">
      <c r="A860" s="294"/>
      <c r="B860" s="294"/>
      <c r="C860" s="294"/>
      <c r="D860" s="294"/>
      <c r="E860" s="294"/>
      <c r="F860" s="294"/>
      <c r="G860" s="294"/>
      <c r="H860" s="294"/>
      <c r="I860" s="294"/>
      <c r="J860" s="294"/>
      <c r="K860" s="294"/>
      <c r="L860" s="294"/>
      <c r="M860" s="294"/>
      <c r="N860" s="294"/>
      <c r="O860" s="294"/>
      <c r="P860" s="294"/>
      <c r="Q860" s="294"/>
      <c r="R860" s="294"/>
      <c r="S860" s="294"/>
      <c r="T860" s="294"/>
      <c r="U860" s="294"/>
      <c r="V860" s="294"/>
      <c r="W860" s="294"/>
      <c r="X860" s="294"/>
      <c r="Y860" s="294"/>
      <c r="Z860" s="294"/>
      <c r="AA860" s="294"/>
      <c r="AB860" s="294"/>
    </row>
    <row r="861">
      <c r="A861" s="294"/>
      <c r="B861" s="294"/>
      <c r="C861" s="294"/>
      <c r="D861" s="294"/>
      <c r="E861" s="294"/>
      <c r="F861" s="294"/>
      <c r="G861" s="294"/>
      <c r="H861" s="294"/>
      <c r="I861" s="294"/>
      <c r="J861" s="294"/>
      <c r="K861" s="294"/>
      <c r="L861" s="294"/>
      <c r="M861" s="294"/>
      <c r="N861" s="294"/>
      <c r="O861" s="294"/>
      <c r="P861" s="294"/>
      <c r="Q861" s="294"/>
      <c r="R861" s="294"/>
      <c r="S861" s="294"/>
      <c r="T861" s="294"/>
      <c r="U861" s="294"/>
      <c r="V861" s="294"/>
      <c r="W861" s="294"/>
      <c r="X861" s="294"/>
      <c r="Y861" s="294"/>
      <c r="Z861" s="294"/>
      <c r="AA861" s="294"/>
      <c r="AB861" s="294"/>
    </row>
    <row r="862">
      <c r="A862" s="294"/>
      <c r="B862" s="294"/>
      <c r="C862" s="294"/>
      <c r="D862" s="294"/>
      <c r="E862" s="294"/>
      <c r="F862" s="294"/>
      <c r="G862" s="294"/>
      <c r="H862" s="294"/>
      <c r="I862" s="294"/>
      <c r="J862" s="294"/>
      <c r="K862" s="294"/>
      <c r="L862" s="294"/>
      <c r="M862" s="294"/>
      <c r="N862" s="294"/>
      <c r="O862" s="294"/>
      <c r="P862" s="294"/>
      <c r="Q862" s="294"/>
      <c r="R862" s="294"/>
      <c r="S862" s="294"/>
      <c r="T862" s="294"/>
      <c r="U862" s="294"/>
      <c r="V862" s="294"/>
      <c r="W862" s="294"/>
      <c r="X862" s="294"/>
      <c r="Y862" s="294"/>
      <c r="Z862" s="294"/>
      <c r="AA862" s="294"/>
      <c r="AB862" s="294"/>
    </row>
    <row r="863">
      <c r="A863" s="294"/>
      <c r="B863" s="294"/>
      <c r="C863" s="294"/>
      <c r="D863" s="294"/>
      <c r="E863" s="294"/>
      <c r="F863" s="294"/>
      <c r="G863" s="294"/>
      <c r="H863" s="294"/>
      <c r="I863" s="294"/>
      <c r="J863" s="294"/>
      <c r="K863" s="294"/>
      <c r="L863" s="294"/>
      <c r="M863" s="294"/>
      <c r="N863" s="294"/>
      <c r="O863" s="294"/>
      <c r="P863" s="294"/>
      <c r="Q863" s="294"/>
      <c r="R863" s="294"/>
      <c r="S863" s="294"/>
      <c r="T863" s="294"/>
      <c r="U863" s="294"/>
      <c r="V863" s="294"/>
      <c r="W863" s="294"/>
      <c r="X863" s="294"/>
      <c r="Y863" s="294"/>
      <c r="Z863" s="294"/>
      <c r="AA863" s="294"/>
      <c r="AB863" s="294"/>
    </row>
    <row r="864">
      <c r="A864" s="294"/>
      <c r="B864" s="294"/>
      <c r="C864" s="294"/>
      <c r="D864" s="294"/>
      <c r="E864" s="294"/>
      <c r="F864" s="294"/>
      <c r="G864" s="294"/>
      <c r="H864" s="294"/>
      <c r="I864" s="294"/>
      <c r="J864" s="294"/>
      <c r="K864" s="294"/>
      <c r="L864" s="294"/>
      <c r="M864" s="294"/>
      <c r="N864" s="294"/>
      <c r="O864" s="294"/>
      <c r="P864" s="294"/>
      <c r="Q864" s="294"/>
      <c r="R864" s="294"/>
      <c r="S864" s="294"/>
      <c r="T864" s="294"/>
      <c r="U864" s="294"/>
      <c r="V864" s="294"/>
      <c r="W864" s="294"/>
      <c r="X864" s="294"/>
      <c r="Y864" s="294"/>
      <c r="Z864" s="294"/>
      <c r="AA864" s="294"/>
      <c r="AB864" s="294"/>
    </row>
    <row r="865">
      <c r="A865" s="294"/>
      <c r="B865" s="294"/>
      <c r="C865" s="294"/>
      <c r="D865" s="294"/>
      <c r="E865" s="294"/>
      <c r="F865" s="294"/>
      <c r="G865" s="294"/>
      <c r="H865" s="294"/>
      <c r="I865" s="294"/>
      <c r="J865" s="294"/>
      <c r="K865" s="294"/>
      <c r="L865" s="294"/>
      <c r="M865" s="294"/>
      <c r="N865" s="294"/>
      <c r="O865" s="294"/>
      <c r="P865" s="294"/>
      <c r="Q865" s="294"/>
      <c r="R865" s="294"/>
      <c r="S865" s="294"/>
      <c r="T865" s="294"/>
      <c r="U865" s="294"/>
      <c r="V865" s="294"/>
      <c r="W865" s="294"/>
      <c r="X865" s="294"/>
      <c r="Y865" s="294"/>
      <c r="Z865" s="294"/>
      <c r="AA865" s="294"/>
      <c r="AB865" s="294"/>
    </row>
    <row r="866">
      <c r="A866" s="294"/>
      <c r="B866" s="294"/>
      <c r="C866" s="294"/>
      <c r="D866" s="294"/>
      <c r="E866" s="294"/>
      <c r="F866" s="294"/>
      <c r="G866" s="294"/>
      <c r="H866" s="294"/>
      <c r="I866" s="294"/>
      <c r="J866" s="294"/>
      <c r="K866" s="294"/>
      <c r="L866" s="294"/>
      <c r="M866" s="294"/>
      <c r="N866" s="294"/>
      <c r="O866" s="294"/>
      <c r="P866" s="294"/>
      <c r="Q866" s="294"/>
      <c r="R866" s="294"/>
      <c r="S866" s="294"/>
      <c r="T866" s="294"/>
      <c r="U866" s="294"/>
      <c r="V866" s="294"/>
      <c r="W866" s="294"/>
      <c r="X866" s="294"/>
      <c r="Y866" s="294"/>
      <c r="Z866" s="294"/>
      <c r="AA866" s="294"/>
      <c r="AB866" s="294"/>
    </row>
    <row r="867">
      <c r="A867" s="294"/>
      <c r="B867" s="294"/>
      <c r="C867" s="294"/>
      <c r="D867" s="294"/>
      <c r="E867" s="294"/>
      <c r="F867" s="294"/>
      <c r="G867" s="294"/>
      <c r="H867" s="294"/>
      <c r="I867" s="294"/>
      <c r="J867" s="294"/>
      <c r="K867" s="294"/>
      <c r="L867" s="294"/>
      <c r="M867" s="294"/>
      <c r="N867" s="294"/>
      <c r="O867" s="294"/>
      <c r="P867" s="294"/>
      <c r="Q867" s="294"/>
      <c r="R867" s="294"/>
      <c r="S867" s="294"/>
      <c r="T867" s="294"/>
      <c r="U867" s="294"/>
      <c r="V867" s="294"/>
      <c r="W867" s="294"/>
      <c r="X867" s="294"/>
      <c r="Y867" s="294"/>
      <c r="Z867" s="294"/>
      <c r="AA867" s="294"/>
      <c r="AB867" s="294"/>
    </row>
    <row r="868">
      <c r="A868" s="294"/>
      <c r="B868" s="294"/>
      <c r="C868" s="294"/>
      <c r="D868" s="294"/>
      <c r="E868" s="294"/>
      <c r="F868" s="294"/>
      <c r="G868" s="294"/>
      <c r="H868" s="294"/>
      <c r="I868" s="294"/>
      <c r="J868" s="294"/>
      <c r="K868" s="294"/>
      <c r="L868" s="294"/>
      <c r="M868" s="294"/>
      <c r="N868" s="294"/>
      <c r="O868" s="294"/>
      <c r="P868" s="294"/>
      <c r="Q868" s="294"/>
      <c r="R868" s="294"/>
      <c r="S868" s="294"/>
      <c r="T868" s="294"/>
      <c r="U868" s="294"/>
      <c r="V868" s="294"/>
      <c r="W868" s="294"/>
      <c r="X868" s="294"/>
      <c r="Y868" s="294"/>
      <c r="Z868" s="294"/>
      <c r="AA868" s="294"/>
      <c r="AB868" s="294"/>
    </row>
    <row r="869">
      <c r="A869" s="294"/>
      <c r="B869" s="294"/>
      <c r="C869" s="294"/>
      <c r="D869" s="294"/>
      <c r="E869" s="294"/>
      <c r="F869" s="294"/>
      <c r="G869" s="294"/>
      <c r="H869" s="294"/>
      <c r="I869" s="294"/>
      <c r="J869" s="294"/>
      <c r="K869" s="294"/>
      <c r="L869" s="294"/>
      <c r="M869" s="294"/>
      <c r="N869" s="294"/>
      <c r="O869" s="294"/>
      <c r="P869" s="294"/>
      <c r="Q869" s="294"/>
      <c r="R869" s="294"/>
      <c r="S869" s="294"/>
      <c r="T869" s="294"/>
      <c r="U869" s="294"/>
      <c r="V869" s="294"/>
      <c r="W869" s="294"/>
      <c r="X869" s="294"/>
      <c r="Y869" s="294"/>
      <c r="Z869" s="294"/>
      <c r="AA869" s="294"/>
      <c r="AB869" s="294"/>
    </row>
    <row r="870">
      <c r="A870" s="294"/>
      <c r="B870" s="294"/>
      <c r="C870" s="294"/>
      <c r="D870" s="294"/>
      <c r="E870" s="294"/>
      <c r="F870" s="294"/>
      <c r="G870" s="294"/>
      <c r="H870" s="294"/>
      <c r="I870" s="294"/>
      <c r="J870" s="294"/>
      <c r="K870" s="294"/>
      <c r="L870" s="294"/>
      <c r="M870" s="294"/>
      <c r="N870" s="294"/>
      <c r="O870" s="294"/>
      <c r="P870" s="294"/>
      <c r="Q870" s="294"/>
      <c r="R870" s="294"/>
      <c r="S870" s="294"/>
      <c r="T870" s="294"/>
      <c r="U870" s="294"/>
      <c r="V870" s="294"/>
      <c r="W870" s="294"/>
      <c r="X870" s="294"/>
      <c r="Y870" s="294"/>
      <c r="Z870" s="294"/>
      <c r="AA870" s="294"/>
      <c r="AB870" s="294"/>
    </row>
    <row r="871">
      <c r="A871" s="294"/>
      <c r="B871" s="294"/>
      <c r="C871" s="294"/>
      <c r="D871" s="294"/>
      <c r="E871" s="294"/>
      <c r="F871" s="294"/>
      <c r="G871" s="294"/>
      <c r="H871" s="294"/>
      <c r="I871" s="294"/>
      <c r="J871" s="294"/>
      <c r="K871" s="294"/>
      <c r="L871" s="294"/>
      <c r="M871" s="294"/>
      <c r="N871" s="294"/>
      <c r="O871" s="294"/>
      <c r="P871" s="294"/>
      <c r="Q871" s="294"/>
      <c r="R871" s="294"/>
      <c r="S871" s="294"/>
      <c r="T871" s="294"/>
      <c r="U871" s="294"/>
      <c r="V871" s="294"/>
      <c r="W871" s="294"/>
      <c r="X871" s="294"/>
      <c r="Y871" s="294"/>
      <c r="Z871" s="294"/>
      <c r="AA871" s="294"/>
      <c r="AB871" s="294"/>
    </row>
    <row r="872">
      <c r="A872" s="294"/>
      <c r="B872" s="294"/>
      <c r="C872" s="294"/>
      <c r="D872" s="294"/>
      <c r="E872" s="294"/>
      <c r="F872" s="294"/>
      <c r="G872" s="294"/>
      <c r="H872" s="294"/>
      <c r="I872" s="294"/>
      <c r="J872" s="294"/>
      <c r="K872" s="294"/>
      <c r="L872" s="294"/>
      <c r="M872" s="294"/>
      <c r="N872" s="294"/>
      <c r="O872" s="294"/>
      <c r="P872" s="294"/>
      <c r="Q872" s="294"/>
      <c r="R872" s="294"/>
      <c r="S872" s="294"/>
      <c r="T872" s="294"/>
      <c r="U872" s="294"/>
      <c r="V872" s="294"/>
      <c r="W872" s="294"/>
      <c r="X872" s="294"/>
      <c r="Y872" s="294"/>
      <c r="Z872" s="294"/>
      <c r="AA872" s="294"/>
      <c r="AB872" s="294"/>
    </row>
    <row r="873">
      <c r="A873" s="294"/>
      <c r="B873" s="294"/>
      <c r="C873" s="294"/>
      <c r="D873" s="294"/>
      <c r="E873" s="294"/>
      <c r="F873" s="294"/>
      <c r="G873" s="294"/>
      <c r="H873" s="294"/>
      <c r="I873" s="294"/>
      <c r="J873" s="294"/>
      <c r="K873" s="294"/>
      <c r="L873" s="294"/>
      <c r="M873" s="294"/>
      <c r="N873" s="294"/>
      <c r="O873" s="294"/>
      <c r="P873" s="294"/>
      <c r="Q873" s="294"/>
      <c r="R873" s="294"/>
      <c r="S873" s="294"/>
      <c r="T873" s="294"/>
      <c r="U873" s="294"/>
      <c r="V873" s="294"/>
      <c r="W873" s="294"/>
      <c r="X873" s="294"/>
      <c r="Y873" s="294"/>
      <c r="Z873" s="294"/>
      <c r="AA873" s="294"/>
      <c r="AB873" s="294"/>
    </row>
    <row r="874">
      <c r="A874" s="294"/>
      <c r="B874" s="294"/>
      <c r="C874" s="294"/>
      <c r="D874" s="294"/>
      <c r="E874" s="294"/>
      <c r="F874" s="294"/>
      <c r="G874" s="294"/>
      <c r="H874" s="294"/>
      <c r="I874" s="294"/>
      <c r="J874" s="294"/>
      <c r="K874" s="294"/>
      <c r="L874" s="294"/>
      <c r="M874" s="294"/>
      <c r="N874" s="294"/>
      <c r="O874" s="294"/>
      <c r="P874" s="294"/>
      <c r="Q874" s="294"/>
      <c r="R874" s="294"/>
      <c r="S874" s="294"/>
      <c r="T874" s="294"/>
      <c r="U874" s="294"/>
      <c r="V874" s="294"/>
      <c r="W874" s="294"/>
      <c r="X874" s="294"/>
      <c r="Y874" s="294"/>
      <c r="Z874" s="294"/>
      <c r="AA874" s="294"/>
      <c r="AB874" s="294"/>
    </row>
    <row r="875">
      <c r="A875" s="294"/>
      <c r="B875" s="294"/>
      <c r="C875" s="294"/>
      <c r="D875" s="294"/>
      <c r="E875" s="294"/>
      <c r="F875" s="294"/>
      <c r="G875" s="294"/>
      <c r="H875" s="294"/>
      <c r="I875" s="294"/>
      <c r="J875" s="294"/>
      <c r="K875" s="294"/>
      <c r="L875" s="294"/>
      <c r="M875" s="294"/>
      <c r="N875" s="294"/>
      <c r="O875" s="294"/>
      <c r="P875" s="294"/>
      <c r="Q875" s="294"/>
      <c r="R875" s="294"/>
      <c r="S875" s="294"/>
      <c r="T875" s="294"/>
      <c r="U875" s="294"/>
      <c r="V875" s="294"/>
      <c r="W875" s="294"/>
      <c r="X875" s="294"/>
      <c r="Y875" s="294"/>
      <c r="Z875" s="294"/>
      <c r="AA875" s="294"/>
      <c r="AB875" s="294"/>
    </row>
    <row r="876">
      <c r="A876" s="294"/>
      <c r="B876" s="294"/>
      <c r="C876" s="294"/>
      <c r="D876" s="294"/>
      <c r="E876" s="294"/>
      <c r="F876" s="294"/>
      <c r="G876" s="294"/>
      <c r="H876" s="294"/>
      <c r="I876" s="294"/>
      <c r="J876" s="294"/>
      <c r="K876" s="294"/>
      <c r="L876" s="294"/>
      <c r="M876" s="294"/>
      <c r="N876" s="294"/>
      <c r="O876" s="294"/>
      <c r="P876" s="294"/>
      <c r="Q876" s="294"/>
      <c r="R876" s="294"/>
      <c r="S876" s="294"/>
      <c r="T876" s="294"/>
      <c r="U876" s="294"/>
      <c r="V876" s="294"/>
      <c r="W876" s="294"/>
      <c r="X876" s="294"/>
      <c r="Y876" s="294"/>
      <c r="Z876" s="294"/>
      <c r="AA876" s="294"/>
      <c r="AB876" s="294"/>
    </row>
    <row r="877">
      <c r="A877" s="294"/>
      <c r="B877" s="294"/>
      <c r="C877" s="294"/>
      <c r="D877" s="294"/>
      <c r="E877" s="294"/>
      <c r="F877" s="294"/>
      <c r="G877" s="294"/>
      <c r="H877" s="294"/>
      <c r="I877" s="294"/>
      <c r="J877" s="294"/>
      <c r="K877" s="294"/>
      <c r="L877" s="294"/>
      <c r="M877" s="294"/>
      <c r="N877" s="294"/>
      <c r="O877" s="294"/>
      <c r="P877" s="294"/>
      <c r="Q877" s="294"/>
      <c r="R877" s="294"/>
      <c r="S877" s="294"/>
      <c r="T877" s="294"/>
      <c r="U877" s="294"/>
      <c r="V877" s="294"/>
      <c r="W877" s="294"/>
      <c r="X877" s="294"/>
      <c r="Y877" s="294"/>
      <c r="Z877" s="294"/>
      <c r="AA877" s="294"/>
      <c r="AB877" s="294"/>
    </row>
    <row r="878">
      <c r="A878" s="294"/>
      <c r="B878" s="294"/>
      <c r="C878" s="294"/>
      <c r="D878" s="294"/>
      <c r="E878" s="294"/>
      <c r="F878" s="294"/>
      <c r="G878" s="294"/>
      <c r="H878" s="294"/>
      <c r="I878" s="294"/>
      <c r="J878" s="294"/>
      <c r="K878" s="294"/>
      <c r="L878" s="294"/>
      <c r="M878" s="294"/>
      <c r="N878" s="294"/>
      <c r="O878" s="294"/>
      <c r="P878" s="294"/>
      <c r="Q878" s="294"/>
      <c r="R878" s="294"/>
      <c r="S878" s="294"/>
      <c r="T878" s="294"/>
      <c r="U878" s="294"/>
      <c r="V878" s="294"/>
      <c r="W878" s="294"/>
      <c r="X878" s="294"/>
      <c r="Y878" s="294"/>
      <c r="Z878" s="294"/>
      <c r="AA878" s="294"/>
      <c r="AB878" s="294"/>
    </row>
    <row r="879">
      <c r="A879" s="294"/>
      <c r="B879" s="294"/>
      <c r="C879" s="294"/>
      <c r="D879" s="294"/>
      <c r="E879" s="294"/>
      <c r="F879" s="294"/>
      <c r="G879" s="294"/>
      <c r="H879" s="294"/>
      <c r="I879" s="294"/>
      <c r="J879" s="294"/>
      <c r="K879" s="294"/>
      <c r="L879" s="294"/>
      <c r="M879" s="294"/>
      <c r="N879" s="294"/>
      <c r="O879" s="294"/>
      <c r="P879" s="294"/>
      <c r="Q879" s="294"/>
      <c r="R879" s="294"/>
      <c r="S879" s="294"/>
      <c r="T879" s="294"/>
      <c r="U879" s="294"/>
      <c r="V879" s="294"/>
      <c r="W879" s="294"/>
      <c r="X879" s="294"/>
      <c r="Y879" s="294"/>
      <c r="Z879" s="294"/>
      <c r="AA879" s="294"/>
      <c r="AB879" s="294"/>
    </row>
    <row r="880">
      <c r="A880" s="294"/>
      <c r="B880" s="294"/>
      <c r="C880" s="294"/>
      <c r="D880" s="294"/>
      <c r="E880" s="294"/>
      <c r="F880" s="294"/>
      <c r="G880" s="294"/>
      <c r="H880" s="294"/>
      <c r="I880" s="294"/>
      <c r="J880" s="294"/>
      <c r="K880" s="294"/>
      <c r="L880" s="294"/>
      <c r="M880" s="294"/>
      <c r="N880" s="294"/>
      <c r="O880" s="294"/>
      <c r="P880" s="294"/>
      <c r="Q880" s="294"/>
      <c r="R880" s="294"/>
      <c r="S880" s="294"/>
      <c r="T880" s="294"/>
      <c r="U880" s="294"/>
      <c r="V880" s="294"/>
      <c r="W880" s="294"/>
      <c r="X880" s="294"/>
      <c r="Y880" s="294"/>
      <c r="Z880" s="294"/>
      <c r="AA880" s="294"/>
      <c r="AB880" s="294"/>
    </row>
    <row r="881">
      <c r="A881" s="294"/>
      <c r="B881" s="294"/>
      <c r="C881" s="294"/>
      <c r="D881" s="294"/>
      <c r="E881" s="294"/>
      <c r="F881" s="294"/>
      <c r="G881" s="294"/>
      <c r="H881" s="294"/>
      <c r="I881" s="294"/>
      <c r="J881" s="294"/>
      <c r="K881" s="294"/>
      <c r="L881" s="294"/>
      <c r="M881" s="294"/>
      <c r="N881" s="294"/>
      <c r="O881" s="294"/>
      <c r="P881" s="294"/>
      <c r="Q881" s="294"/>
      <c r="R881" s="294"/>
      <c r="S881" s="294"/>
      <c r="T881" s="294"/>
      <c r="U881" s="294"/>
      <c r="V881" s="294"/>
      <c r="W881" s="294"/>
      <c r="X881" s="294"/>
      <c r="Y881" s="294"/>
      <c r="Z881" s="294"/>
      <c r="AA881" s="294"/>
      <c r="AB881" s="294"/>
    </row>
    <row r="882">
      <c r="A882" s="294"/>
      <c r="B882" s="294"/>
      <c r="C882" s="294"/>
      <c r="D882" s="294"/>
      <c r="E882" s="294"/>
      <c r="F882" s="294"/>
      <c r="G882" s="294"/>
      <c r="H882" s="294"/>
      <c r="I882" s="294"/>
      <c r="J882" s="294"/>
      <c r="K882" s="294"/>
      <c r="L882" s="294"/>
      <c r="M882" s="294"/>
      <c r="N882" s="294"/>
      <c r="O882" s="294"/>
      <c r="P882" s="294"/>
      <c r="Q882" s="294"/>
      <c r="R882" s="294"/>
      <c r="S882" s="294"/>
      <c r="T882" s="294"/>
      <c r="U882" s="294"/>
      <c r="V882" s="294"/>
      <c r="W882" s="294"/>
      <c r="X882" s="294"/>
      <c r="Y882" s="294"/>
      <c r="Z882" s="294"/>
      <c r="AA882" s="294"/>
      <c r="AB882" s="294"/>
    </row>
    <row r="883">
      <c r="A883" s="294"/>
      <c r="B883" s="294"/>
      <c r="C883" s="294"/>
      <c r="D883" s="294"/>
      <c r="E883" s="294"/>
      <c r="F883" s="294"/>
      <c r="G883" s="294"/>
      <c r="H883" s="294"/>
      <c r="I883" s="294"/>
      <c r="J883" s="294"/>
      <c r="K883" s="294"/>
      <c r="L883" s="294"/>
      <c r="M883" s="294"/>
      <c r="N883" s="294"/>
      <c r="O883" s="294"/>
      <c r="P883" s="294"/>
      <c r="Q883" s="294"/>
      <c r="R883" s="294"/>
      <c r="S883" s="294"/>
      <c r="T883" s="294"/>
      <c r="U883" s="294"/>
      <c r="V883" s="294"/>
      <c r="W883" s="294"/>
      <c r="X883" s="294"/>
      <c r="Y883" s="294"/>
      <c r="Z883" s="294"/>
      <c r="AA883" s="294"/>
      <c r="AB883" s="294"/>
    </row>
    <row r="884">
      <c r="A884" s="294"/>
      <c r="B884" s="294"/>
      <c r="C884" s="294"/>
      <c r="D884" s="294"/>
      <c r="E884" s="294"/>
      <c r="F884" s="294"/>
      <c r="G884" s="294"/>
      <c r="H884" s="294"/>
      <c r="I884" s="294"/>
      <c r="J884" s="294"/>
      <c r="K884" s="294"/>
      <c r="L884" s="294"/>
      <c r="M884" s="294"/>
      <c r="N884" s="294"/>
      <c r="O884" s="294"/>
      <c r="P884" s="294"/>
      <c r="Q884" s="294"/>
      <c r="R884" s="294"/>
      <c r="S884" s="294"/>
      <c r="T884" s="294"/>
      <c r="U884" s="294"/>
      <c r="V884" s="294"/>
      <c r="W884" s="294"/>
      <c r="X884" s="294"/>
      <c r="Y884" s="294"/>
      <c r="Z884" s="294"/>
      <c r="AA884" s="294"/>
      <c r="AB884" s="294"/>
    </row>
    <row r="885">
      <c r="A885" s="294"/>
      <c r="B885" s="294"/>
      <c r="C885" s="294"/>
      <c r="D885" s="294"/>
      <c r="E885" s="294"/>
      <c r="F885" s="294"/>
      <c r="G885" s="294"/>
      <c r="H885" s="294"/>
      <c r="I885" s="294"/>
      <c r="J885" s="294"/>
      <c r="K885" s="294"/>
      <c r="L885" s="294"/>
      <c r="M885" s="294"/>
      <c r="N885" s="294"/>
      <c r="O885" s="294"/>
      <c r="P885" s="294"/>
      <c r="Q885" s="294"/>
      <c r="R885" s="294"/>
      <c r="S885" s="294"/>
      <c r="T885" s="294"/>
      <c r="U885" s="294"/>
      <c r="V885" s="294"/>
      <c r="W885" s="294"/>
      <c r="X885" s="294"/>
      <c r="Y885" s="294"/>
      <c r="Z885" s="294"/>
      <c r="AA885" s="294"/>
      <c r="AB885" s="294"/>
    </row>
    <row r="886">
      <c r="A886" s="294"/>
      <c r="B886" s="294"/>
      <c r="C886" s="294"/>
      <c r="D886" s="294"/>
      <c r="E886" s="294"/>
      <c r="F886" s="294"/>
      <c r="G886" s="294"/>
      <c r="H886" s="294"/>
      <c r="I886" s="294"/>
      <c r="J886" s="294"/>
      <c r="K886" s="294"/>
      <c r="L886" s="294"/>
      <c r="M886" s="294"/>
      <c r="N886" s="294"/>
      <c r="O886" s="294"/>
      <c r="P886" s="294"/>
      <c r="Q886" s="294"/>
      <c r="R886" s="294"/>
      <c r="S886" s="294"/>
      <c r="T886" s="294"/>
      <c r="U886" s="294"/>
      <c r="V886" s="294"/>
      <c r="W886" s="294"/>
      <c r="X886" s="294"/>
      <c r="Y886" s="294"/>
      <c r="Z886" s="294"/>
      <c r="AA886" s="294"/>
      <c r="AB886" s="294"/>
    </row>
    <row r="887">
      <c r="A887" s="294"/>
      <c r="B887" s="294"/>
      <c r="C887" s="294"/>
      <c r="D887" s="294"/>
      <c r="E887" s="294"/>
      <c r="F887" s="294"/>
      <c r="G887" s="294"/>
      <c r="H887" s="294"/>
      <c r="I887" s="294"/>
      <c r="J887" s="294"/>
      <c r="K887" s="294"/>
      <c r="L887" s="294"/>
      <c r="M887" s="294"/>
      <c r="N887" s="294"/>
      <c r="O887" s="294"/>
      <c r="P887" s="294"/>
      <c r="Q887" s="294"/>
      <c r="R887" s="294"/>
      <c r="S887" s="294"/>
      <c r="T887" s="294"/>
      <c r="U887" s="294"/>
      <c r="V887" s="294"/>
      <c r="W887" s="294"/>
      <c r="X887" s="294"/>
      <c r="Y887" s="294"/>
      <c r="Z887" s="294"/>
      <c r="AA887" s="294"/>
      <c r="AB887" s="294"/>
    </row>
    <row r="888">
      <c r="A888" s="294"/>
      <c r="B888" s="294"/>
      <c r="C888" s="294"/>
      <c r="D888" s="294"/>
      <c r="E888" s="294"/>
      <c r="F888" s="294"/>
      <c r="G888" s="294"/>
      <c r="H888" s="294"/>
      <c r="I888" s="294"/>
      <c r="J888" s="294"/>
      <c r="K888" s="294"/>
      <c r="L888" s="294"/>
      <c r="M888" s="294"/>
      <c r="N888" s="294"/>
      <c r="O888" s="294"/>
      <c r="P888" s="294"/>
      <c r="Q888" s="294"/>
      <c r="R888" s="294"/>
      <c r="S888" s="294"/>
      <c r="T888" s="294"/>
      <c r="U888" s="294"/>
      <c r="V888" s="294"/>
      <c r="W888" s="294"/>
      <c r="X888" s="294"/>
      <c r="Y888" s="294"/>
      <c r="Z888" s="294"/>
      <c r="AA888" s="294"/>
      <c r="AB888" s="294"/>
    </row>
    <row r="889">
      <c r="A889" s="294"/>
      <c r="B889" s="294"/>
      <c r="C889" s="294"/>
      <c r="D889" s="294"/>
      <c r="E889" s="294"/>
      <c r="F889" s="294"/>
      <c r="G889" s="294"/>
      <c r="H889" s="294"/>
      <c r="I889" s="294"/>
      <c r="J889" s="294"/>
      <c r="K889" s="294"/>
      <c r="L889" s="294"/>
      <c r="M889" s="294"/>
      <c r="N889" s="294"/>
      <c r="O889" s="294"/>
      <c r="P889" s="294"/>
      <c r="Q889" s="294"/>
      <c r="R889" s="294"/>
      <c r="S889" s="294"/>
      <c r="T889" s="294"/>
      <c r="U889" s="294"/>
      <c r="V889" s="294"/>
      <c r="W889" s="294"/>
      <c r="X889" s="294"/>
      <c r="Y889" s="294"/>
      <c r="Z889" s="294"/>
      <c r="AA889" s="294"/>
      <c r="AB889" s="294"/>
    </row>
    <row r="890">
      <c r="A890" s="294"/>
      <c r="B890" s="294"/>
      <c r="C890" s="294"/>
      <c r="D890" s="294"/>
      <c r="E890" s="294"/>
      <c r="F890" s="294"/>
      <c r="G890" s="294"/>
      <c r="H890" s="294"/>
      <c r="I890" s="294"/>
      <c r="J890" s="294"/>
      <c r="K890" s="294"/>
      <c r="L890" s="294"/>
      <c r="M890" s="294"/>
      <c r="N890" s="294"/>
      <c r="O890" s="294"/>
      <c r="P890" s="294"/>
      <c r="Q890" s="294"/>
      <c r="R890" s="294"/>
      <c r="S890" s="294"/>
      <c r="T890" s="294"/>
      <c r="U890" s="294"/>
      <c r="V890" s="294"/>
      <c r="W890" s="294"/>
      <c r="X890" s="294"/>
      <c r="Y890" s="294"/>
      <c r="Z890" s="294"/>
      <c r="AA890" s="294"/>
      <c r="AB890" s="294"/>
    </row>
    <row r="891">
      <c r="A891" s="294"/>
      <c r="B891" s="294"/>
      <c r="C891" s="294"/>
      <c r="D891" s="294"/>
      <c r="E891" s="294"/>
      <c r="F891" s="294"/>
      <c r="G891" s="294"/>
      <c r="H891" s="294"/>
      <c r="I891" s="294"/>
      <c r="J891" s="294"/>
      <c r="K891" s="294"/>
      <c r="L891" s="294"/>
      <c r="M891" s="294"/>
      <c r="N891" s="294"/>
      <c r="O891" s="294"/>
      <c r="P891" s="294"/>
      <c r="Q891" s="294"/>
      <c r="R891" s="294"/>
      <c r="S891" s="294"/>
      <c r="T891" s="294"/>
      <c r="U891" s="294"/>
      <c r="V891" s="294"/>
      <c r="W891" s="294"/>
      <c r="X891" s="294"/>
      <c r="Y891" s="294"/>
      <c r="Z891" s="294"/>
      <c r="AA891" s="294"/>
      <c r="AB891" s="294"/>
    </row>
    <row r="892">
      <c r="A892" s="294"/>
      <c r="B892" s="294"/>
      <c r="C892" s="294"/>
      <c r="D892" s="294"/>
      <c r="E892" s="294"/>
      <c r="F892" s="294"/>
      <c r="G892" s="294"/>
      <c r="H892" s="294"/>
      <c r="I892" s="294"/>
      <c r="J892" s="294"/>
      <c r="K892" s="294"/>
      <c r="L892" s="294"/>
      <c r="M892" s="294"/>
      <c r="N892" s="294"/>
      <c r="O892" s="294"/>
      <c r="P892" s="294"/>
      <c r="Q892" s="294"/>
      <c r="R892" s="294"/>
      <c r="S892" s="294"/>
      <c r="T892" s="294"/>
      <c r="U892" s="294"/>
      <c r="V892" s="294"/>
      <c r="W892" s="294"/>
      <c r="X892" s="294"/>
      <c r="Y892" s="294"/>
      <c r="Z892" s="294"/>
      <c r="AA892" s="294"/>
      <c r="AB892" s="294"/>
    </row>
    <row r="893">
      <c r="A893" s="294"/>
      <c r="B893" s="294"/>
      <c r="C893" s="294"/>
      <c r="D893" s="294"/>
      <c r="E893" s="294"/>
      <c r="F893" s="294"/>
      <c r="G893" s="294"/>
      <c r="H893" s="294"/>
      <c r="I893" s="294"/>
      <c r="J893" s="294"/>
      <c r="K893" s="294"/>
      <c r="L893" s="294"/>
      <c r="M893" s="294"/>
      <c r="N893" s="294"/>
      <c r="O893" s="294"/>
      <c r="P893" s="294"/>
      <c r="Q893" s="294"/>
      <c r="R893" s="294"/>
      <c r="S893" s="294"/>
      <c r="T893" s="294"/>
      <c r="U893" s="294"/>
      <c r="V893" s="294"/>
      <c r="W893" s="294"/>
      <c r="X893" s="294"/>
      <c r="Y893" s="294"/>
      <c r="Z893" s="294"/>
      <c r="AA893" s="294"/>
      <c r="AB893" s="294"/>
    </row>
    <row r="894">
      <c r="A894" s="294"/>
      <c r="B894" s="294"/>
      <c r="C894" s="294"/>
      <c r="D894" s="294"/>
      <c r="E894" s="294"/>
      <c r="F894" s="294"/>
      <c r="G894" s="294"/>
      <c r="H894" s="294"/>
      <c r="I894" s="294"/>
      <c r="J894" s="294"/>
      <c r="K894" s="294"/>
      <c r="L894" s="294"/>
      <c r="M894" s="294"/>
      <c r="N894" s="294"/>
      <c r="O894" s="294"/>
      <c r="P894" s="294"/>
      <c r="Q894" s="294"/>
      <c r="R894" s="294"/>
      <c r="S894" s="294"/>
      <c r="T894" s="294"/>
      <c r="U894" s="294"/>
      <c r="V894" s="294"/>
      <c r="W894" s="294"/>
      <c r="X894" s="294"/>
      <c r="Y894" s="294"/>
      <c r="Z894" s="294"/>
      <c r="AA894" s="294"/>
      <c r="AB894" s="294"/>
    </row>
    <row r="895">
      <c r="A895" s="294"/>
      <c r="B895" s="294"/>
      <c r="C895" s="294"/>
      <c r="D895" s="294"/>
      <c r="E895" s="294"/>
      <c r="F895" s="294"/>
      <c r="G895" s="294"/>
      <c r="H895" s="294"/>
      <c r="I895" s="294"/>
      <c r="J895" s="294"/>
      <c r="K895" s="294"/>
      <c r="L895" s="294"/>
      <c r="M895" s="294"/>
      <c r="N895" s="294"/>
      <c r="O895" s="294"/>
      <c r="P895" s="294"/>
      <c r="Q895" s="294"/>
      <c r="R895" s="294"/>
      <c r="S895" s="294"/>
      <c r="T895" s="294"/>
      <c r="U895" s="294"/>
      <c r="V895" s="294"/>
      <c r="W895" s="294"/>
      <c r="X895" s="294"/>
      <c r="Y895" s="294"/>
      <c r="Z895" s="294"/>
      <c r="AA895" s="294"/>
      <c r="AB895" s="294"/>
    </row>
    <row r="896">
      <c r="A896" s="294"/>
      <c r="B896" s="294"/>
      <c r="C896" s="294"/>
      <c r="D896" s="294"/>
      <c r="E896" s="294"/>
      <c r="F896" s="294"/>
      <c r="G896" s="294"/>
      <c r="H896" s="294"/>
      <c r="I896" s="294"/>
      <c r="J896" s="294"/>
      <c r="K896" s="294"/>
      <c r="L896" s="294"/>
      <c r="M896" s="294"/>
      <c r="N896" s="294"/>
      <c r="O896" s="294"/>
      <c r="P896" s="294"/>
      <c r="Q896" s="294"/>
      <c r="R896" s="294"/>
      <c r="S896" s="294"/>
      <c r="T896" s="294"/>
      <c r="U896" s="294"/>
      <c r="V896" s="294"/>
      <c r="W896" s="294"/>
      <c r="X896" s="294"/>
      <c r="Y896" s="294"/>
      <c r="Z896" s="294"/>
      <c r="AA896" s="294"/>
      <c r="AB896" s="294"/>
    </row>
    <row r="897">
      <c r="A897" s="294"/>
      <c r="B897" s="294"/>
      <c r="C897" s="294"/>
      <c r="D897" s="294"/>
      <c r="E897" s="294"/>
      <c r="F897" s="294"/>
      <c r="G897" s="294"/>
      <c r="H897" s="294"/>
      <c r="I897" s="294"/>
      <c r="J897" s="294"/>
      <c r="K897" s="294"/>
      <c r="L897" s="294"/>
      <c r="M897" s="294"/>
      <c r="N897" s="294"/>
      <c r="O897" s="294"/>
      <c r="P897" s="294"/>
      <c r="Q897" s="294"/>
      <c r="R897" s="294"/>
      <c r="S897" s="294"/>
      <c r="T897" s="294"/>
      <c r="U897" s="294"/>
      <c r="V897" s="294"/>
      <c r="W897" s="294"/>
      <c r="X897" s="294"/>
      <c r="Y897" s="294"/>
      <c r="Z897" s="294"/>
      <c r="AA897" s="294"/>
      <c r="AB897" s="294"/>
    </row>
    <row r="898">
      <c r="A898" s="294"/>
      <c r="B898" s="294"/>
      <c r="C898" s="294"/>
      <c r="D898" s="294"/>
      <c r="E898" s="294"/>
      <c r="F898" s="294"/>
      <c r="G898" s="294"/>
      <c r="H898" s="294"/>
      <c r="I898" s="294"/>
      <c r="J898" s="294"/>
      <c r="K898" s="294"/>
      <c r="L898" s="294"/>
      <c r="M898" s="294"/>
      <c r="N898" s="294"/>
      <c r="O898" s="294"/>
      <c r="P898" s="294"/>
      <c r="Q898" s="294"/>
      <c r="R898" s="294"/>
      <c r="S898" s="294"/>
      <c r="T898" s="294"/>
      <c r="U898" s="294"/>
      <c r="V898" s="294"/>
      <c r="W898" s="294"/>
      <c r="X898" s="294"/>
      <c r="Y898" s="294"/>
      <c r="Z898" s="294"/>
      <c r="AA898" s="294"/>
      <c r="AB898" s="294"/>
    </row>
    <row r="899">
      <c r="A899" s="294"/>
      <c r="B899" s="294"/>
      <c r="C899" s="294"/>
      <c r="D899" s="294"/>
      <c r="E899" s="294"/>
      <c r="F899" s="294"/>
      <c r="G899" s="294"/>
      <c r="H899" s="294"/>
      <c r="I899" s="294"/>
      <c r="J899" s="294"/>
      <c r="K899" s="294"/>
      <c r="L899" s="294"/>
      <c r="M899" s="294"/>
      <c r="N899" s="294"/>
      <c r="O899" s="294"/>
      <c r="P899" s="294"/>
      <c r="Q899" s="294"/>
      <c r="R899" s="294"/>
      <c r="S899" s="294"/>
      <c r="T899" s="294"/>
      <c r="U899" s="294"/>
      <c r="V899" s="294"/>
      <c r="W899" s="294"/>
      <c r="X899" s="294"/>
      <c r="Y899" s="294"/>
      <c r="Z899" s="294"/>
      <c r="AA899" s="294"/>
      <c r="AB899" s="294"/>
    </row>
    <row r="900">
      <c r="A900" s="294"/>
      <c r="B900" s="294"/>
      <c r="C900" s="294"/>
      <c r="D900" s="294"/>
      <c r="E900" s="294"/>
      <c r="F900" s="294"/>
      <c r="G900" s="294"/>
      <c r="H900" s="294"/>
      <c r="I900" s="294"/>
      <c r="J900" s="294"/>
      <c r="K900" s="294"/>
      <c r="L900" s="294"/>
      <c r="M900" s="294"/>
      <c r="N900" s="294"/>
      <c r="O900" s="294"/>
      <c r="P900" s="294"/>
      <c r="Q900" s="294"/>
      <c r="R900" s="294"/>
      <c r="S900" s="294"/>
      <c r="T900" s="294"/>
      <c r="U900" s="294"/>
      <c r="V900" s="294"/>
      <c r="W900" s="294"/>
      <c r="X900" s="294"/>
      <c r="Y900" s="294"/>
      <c r="Z900" s="294"/>
      <c r="AA900" s="294"/>
      <c r="AB900" s="294"/>
    </row>
    <row r="901">
      <c r="A901" s="294"/>
      <c r="B901" s="294"/>
      <c r="C901" s="294"/>
      <c r="D901" s="294"/>
      <c r="E901" s="294"/>
      <c r="F901" s="294"/>
      <c r="G901" s="294"/>
      <c r="H901" s="294"/>
      <c r="I901" s="294"/>
      <c r="J901" s="294"/>
      <c r="K901" s="294"/>
      <c r="L901" s="294"/>
      <c r="M901" s="294"/>
      <c r="N901" s="294"/>
      <c r="O901" s="294"/>
      <c r="P901" s="294"/>
      <c r="Q901" s="294"/>
      <c r="R901" s="294"/>
      <c r="S901" s="294"/>
      <c r="T901" s="294"/>
      <c r="U901" s="294"/>
      <c r="V901" s="294"/>
      <c r="W901" s="294"/>
      <c r="X901" s="294"/>
      <c r="Y901" s="294"/>
      <c r="Z901" s="294"/>
      <c r="AA901" s="294"/>
      <c r="AB901" s="294"/>
    </row>
    <row r="902">
      <c r="A902" s="294"/>
      <c r="B902" s="294"/>
      <c r="C902" s="294"/>
      <c r="D902" s="294"/>
      <c r="E902" s="294"/>
      <c r="F902" s="294"/>
      <c r="G902" s="294"/>
      <c r="H902" s="294"/>
      <c r="I902" s="294"/>
      <c r="J902" s="294"/>
      <c r="K902" s="294"/>
      <c r="L902" s="294"/>
      <c r="M902" s="294"/>
      <c r="N902" s="294"/>
      <c r="O902" s="294"/>
      <c r="P902" s="294"/>
      <c r="Q902" s="294"/>
      <c r="R902" s="294"/>
      <c r="S902" s="294"/>
      <c r="T902" s="294"/>
      <c r="U902" s="294"/>
      <c r="V902" s="294"/>
      <c r="W902" s="294"/>
      <c r="X902" s="294"/>
      <c r="Y902" s="294"/>
      <c r="Z902" s="294"/>
      <c r="AA902" s="294"/>
      <c r="AB902" s="294"/>
    </row>
    <row r="903">
      <c r="A903" s="294"/>
      <c r="B903" s="294"/>
      <c r="C903" s="294"/>
      <c r="D903" s="294"/>
      <c r="E903" s="294"/>
      <c r="F903" s="294"/>
      <c r="G903" s="294"/>
      <c r="H903" s="294"/>
      <c r="I903" s="294"/>
      <c r="J903" s="294"/>
      <c r="K903" s="294"/>
      <c r="L903" s="294"/>
      <c r="M903" s="294"/>
      <c r="N903" s="294"/>
      <c r="O903" s="294"/>
      <c r="P903" s="294"/>
      <c r="Q903" s="294"/>
      <c r="R903" s="294"/>
      <c r="S903" s="294"/>
      <c r="T903" s="294"/>
      <c r="U903" s="294"/>
      <c r="V903" s="294"/>
      <c r="W903" s="294"/>
      <c r="X903" s="294"/>
      <c r="Y903" s="294"/>
      <c r="Z903" s="294"/>
      <c r="AA903" s="294"/>
      <c r="AB903" s="294"/>
    </row>
    <row r="904">
      <c r="A904" s="294"/>
      <c r="B904" s="294"/>
      <c r="C904" s="294"/>
      <c r="D904" s="294"/>
      <c r="E904" s="294"/>
      <c r="F904" s="294"/>
      <c r="G904" s="294"/>
      <c r="H904" s="294"/>
      <c r="I904" s="294"/>
      <c r="J904" s="294"/>
      <c r="K904" s="294"/>
      <c r="L904" s="294"/>
      <c r="M904" s="294"/>
      <c r="N904" s="294"/>
      <c r="O904" s="294"/>
      <c r="P904" s="294"/>
      <c r="Q904" s="294"/>
      <c r="R904" s="294"/>
      <c r="S904" s="294"/>
      <c r="T904" s="294"/>
      <c r="U904" s="294"/>
      <c r="V904" s="294"/>
      <c r="W904" s="294"/>
      <c r="X904" s="294"/>
      <c r="Y904" s="294"/>
      <c r="Z904" s="294"/>
      <c r="AA904" s="294"/>
      <c r="AB904" s="294"/>
    </row>
    <row r="905">
      <c r="A905" s="294"/>
      <c r="B905" s="294"/>
      <c r="C905" s="294"/>
      <c r="D905" s="294"/>
      <c r="E905" s="294"/>
      <c r="F905" s="294"/>
      <c r="G905" s="294"/>
      <c r="H905" s="294"/>
      <c r="I905" s="294"/>
      <c r="J905" s="294"/>
      <c r="K905" s="294"/>
      <c r="L905" s="294"/>
      <c r="M905" s="294"/>
      <c r="N905" s="294"/>
      <c r="O905" s="294"/>
      <c r="P905" s="294"/>
      <c r="Q905" s="294"/>
      <c r="R905" s="294"/>
      <c r="S905" s="294"/>
      <c r="T905" s="294"/>
      <c r="U905" s="294"/>
      <c r="V905" s="294"/>
      <c r="W905" s="294"/>
      <c r="X905" s="294"/>
      <c r="Y905" s="294"/>
      <c r="Z905" s="294"/>
      <c r="AA905" s="294"/>
      <c r="AB905" s="294"/>
    </row>
    <row r="906">
      <c r="A906" s="294"/>
      <c r="B906" s="294"/>
      <c r="C906" s="294"/>
      <c r="D906" s="294"/>
      <c r="E906" s="294"/>
      <c r="F906" s="294"/>
      <c r="G906" s="294"/>
      <c r="H906" s="294"/>
      <c r="I906" s="294"/>
      <c r="J906" s="294"/>
      <c r="K906" s="294"/>
      <c r="L906" s="294"/>
      <c r="M906" s="294"/>
      <c r="N906" s="294"/>
      <c r="O906" s="294"/>
      <c r="P906" s="294"/>
      <c r="Q906" s="294"/>
      <c r="R906" s="294"/>
      <c r="S906" s="294"/>
      <c r="T906" s="294"/>
      <c r="U906" s="294"/>
      <c r="V906" s="294"/>
      <c r="W906" s="294"/>
      <c r="X906" s="294"/>
      <c r="Y906" s="294"/>
      <c r="Z906" s="294"/>
      <c r="AA906" s="294"/>
      <c r="AB906" s="294"/>
    </row>
    <row r="907">
      <c r="A907" s="294"/>
      <c r="B907" s="294"/>
      <c r="C907" s="294"/>
      <c r="D907" s="294"/>
      <c r="E907" s="294"/>
      <c r="F907" s="294"/>
      <c r="G907" s="294"/>
      <c r="H907" s="294"/>
      <c r="I907" s="294"/>
      <c r="J907" s="294"/>
      <c r="K907" s="294"/>
      <c r="L907" s="294"/>
      <c r="M907" s="294"/>
      <c r="N907" s="294"/>
      <c r="O907" s="294"/>
      <c r="P907" s="294"/>
      <c r="Q907" s="294"/>
      <c r="R907" s="294"/>
      <c r="S907" s="294"/>
      <c r="T907" s="294"/>
      <c r="U907" s="294"/>
      <c r="V907" s="294"/>
      <c r="W907" s="294"/>
      <c r="X907" s="294"/>
      <c r="Y907" s="294"/>
      <c r="Z907" s="294"/>
      <c r="AA907" s="294"/>
      <c r="AB907" s="294"/>
    </row>
    <row r="908">
      <c r="A908" s="294"/>
      <c r="B908" s="294"/>
      <c r="C908" s="294"/>
      <c r="D908" s="294"/>
      <c r="E908" s="294"/>
      <c r="F908" s="294"/>
      <c r="G908" s="294"/>
      <c r="H908" s="294"/>
      <c r="I908" s="294"/>
      <c r="J908" s="294"/>
      <c r="K908" s="294"/>
      <c r="L908" s="294"/>
      <c r="M908" s="294"/>
      <c r="N908" s="294"/>
      <c r="O908" s="294"/>
      <c r="P908" s="294"/>
      <c r="Q908" s="294"/>
      <c r="R908" s="294"/>
      <c r="S908" s="294"/>
      <c r="T908" s="294"/>
      <c r="U908" s="294"/>
      <c r="V908" s="294"/>
      <c r="W908" s="294"/>
      <c r="X908" s="294"/>
      <c r="Y908" s="294"/>
      <c r="Z908" s="294"/>
      <c r="AA908" s="294"/>
      <c r="AB908" s="294"/>
    </row>
    <row r="909">
      <c r="A909" s="294"/>
      <c r="B909" s="294"/>
      <c r="C909" s="294"/>
      <c r="D909" s="294"/>
      <c r="E909" s="294"/>
      <c r="F909" s="294"/>
      <c r="G909" s="294"/>
      <c r="H909" s="294"/>
      <c r="I909" s="294"/>
      <c r="J909" s="294"/>
      <c r="K909" s="294"/>
      <c r="L909" s="294"/>
      <c r="M909" s="294"/>
      <c r="N909" s="294"/>
      <c r="O909" s="294"/>
      <c r="P909" s="294"/>
      <c r="Q909" s="294"/>
      <c r="R909" s="294"/>
      <c r="S909" s="294"/>
      <c r="T909" s="294"/>
      <c r="U909" s="294"/>
      <c r="V909" s="294"/>
      <c r="W909" s="294"/>
      <c r="X909" s="294"/>
      <c r="Y909" s="294"/>
      <c r="Z909" s="294"/>
      <c r="AA909" s="294"/>
      <c r="AB909" s="294"/>
    </row>
    <row r="910">
      <c r="A910" s="294"/>
      <c r="B910" s="294"/>
      <c r="C910" s="294"/>
      <c r="D910" s="294"/>
      <c r="E910" s="294"/>
      <c r="F910" s="294"/>
      <c r="G910" s="294"/>
      <c r="H910" s="294"/>
      <c r="I910" s="294"/>
      <c r="J910" s="294"/>
      <c r="K910" s="294"/>
      <c r="L910" s="294"/>
      <c r="M910" s="294"/>
      <c r="N910" s="294"/>
      <c r="O910" s="294"/>
      <c r="P910" s="294"/>
      <c r="Q910" s="294"/>
      <c r="R910" s="294"/>
      <c r="S910" s="294"/>
      <c r="T910" s="294"/>
      <c r="U910" s="294"/>
      <c r="V910" s="294"/>
      <c r="W910" s="294"/>
      <c r="X910" s="294"/>
      <c r="Y910" s="294"/>
      <c r="Z910" s="294"/>
      <c r="AA910" s="294"/>
      <c r="AB910" s="294"/>
    </row>
    <row r="911">
      <c r="A911" s="294"/>
      <c r="B911" s="294"/>
      <c r="C911" s="294"/>
      <c r="D911" s="294"/>
      <c r="E911" s="294"/>
      <c r="F911" s="294"/>
      <c r="G911" s="294"/>
      <c r="H911" s="294"/>
      <c r="I911" s="294"/>
      <c r="J911" s="294"/>
      <c r="K911" s="294"/>
      <c r="L911" s="294"/>
      <c r="M911" s="294"/>
      <c r="N911" s="294"/>
      <c r="O911" s="294"/>
      <c r="P911" s="294"/>
      <c r="Q911" s="294"/>
      <c r="R911" s="294"/>
      <c r="S911" s="294"/>
      <c r="T911" s="294"/>
      <c r="U911" s="294"/>
      <c r="V911" s="294"/>
      <c r="W911" s="294"/>
      <c r="X911" s="294"/>
      <c r="Y911" s="294"/>
      <c r="Z911" s="294"/>
      <c r="AA911" s="294"/>
      <c r="AB911" s="294"/>
    </row>
    <row r="912">
      <c r="A912" s="294"/>
      <c r="B912" s="294"/>
      <c r="C912" s="294"/>
      <c r="D912" s="294"/>
      <c r="E912" s="294"/>
      <c r="F912" s="294"/>
      <c r="G912" s="294"/>
      <c r="H912" s="294"/>
      <c r="I912" s="294"/>
      <c r="J912" s="294"/>
      <c r="K912" s="294"/>
      <c r="L912" s="294"/>
      <c r="M912" s="294"/>
      <c r="N912" s="294"/>
      <c r="O912" s="294"/>
      <c r="P912" s="294"/>
      <c r="Q912" s="294"/>
      <c r="R912" s="294"/>
      <c r="S912" s="294"/>
      <c r="T912" s="294"/>
      <c r="U912" s="294"/>
      <c r="V912" s="294"/>
      <c r="W912" s="294"/>
      <c r="X912" s="294"/>
      <c r="Y912" s="294"/>
      <c r="Z912" s="294"/>
      <c r="AA912" s="294"/>
      <c r="AB912" s="294"/>
    </row>
    <row r="913">
      <c r="A913" s="294"/>
      <c r="B913" s="294"/>
      <c r="C913" s="294"/>
      <c r="D913" s="294"/>
      <c r="E913" s="294"/>
      <c r="F913" s="294"/>
      <c r="G913" s="294"/>
      <c r="H913" s="294"/>
      <c r="I913" s="294"/>
      <c r="J913" s="294"/>
      <c r="K913" s="294"/>
      <c r="L913" s="294"/>
      <c r="M913" s="294"/>
      <c r="N913" s="294"/>
      <c r="O913" s="294"/>
      <c r="P913" s="294"/>
      <c r="Q913" s="294"/>
      <c r="R913" s="294"/>
      <c r="S913" s="294"/>
      <c r="T913" s="294"/>
      <c r="U913" s="294"/>
      <c r="V913" s="294"/>
      <c r="W913" s="294"/>
      <c r="X913" s="294"/>
      <c r="Y913" s="294"/>
      <c r="Z913" s="294"/>
      <c r="AA913" s="294"/>
      <c r="AB913" s="294"/>
    </row>
    <row r="914">
      <c r="A914" s="294"/>
      <c r="B914" s="294"/>
      <c r="C914" s="294"/>
      <c r="D914" s="294"/>
      <c r="E914" s="294"/>
      <c r="F914" s="294"/>
      <c r="G914" s="294"/>
      <c r="H914" s="294"/>
      <c r="I914" s="294"/>
      <c r="J914" s="294"/>
      <c r="K914" s="294"/>
      <c r="L914" s="294"/>
      <c r="M914" s="294"/>
      <c r="N914" s="294"/>
      <c r="O914" s="294"/>
      <c r="P914" s="294"/>
      <c r="Q914" s="294"/>
      <c r="R914" s="294"/>
      <c r="S914" s="294"/>
      <c r="T914" s="294"/>
      <c r="U914" s="294"/>
      <c r="V914" s="294"/>
      <c r="W914" s="294"/>
      <c r="X914" s="294"/>
      <c r="Y914" s="294"/>
      <c r="Z914" s="294"/>
      <c r="AA914" s="294"/>
      <c r="AB914" s="294"/>
    </row>
    <row r="915">
      <c r="A915" s="294"/>
      <c r="B915" s="294"/>
      <c r="C915" s="294"/>
      <c r="D915" s="294"/>
      <c r="E915" s="294"/>
      <c r="F915" s="294"/>
      <c r="G915" s="294"/>
      <c r="H915" s="294"/>
      <c r="I915" s="294"/>
      <c r="J915" s="294"/>
      <c r="K915" s="294"/>
      <c r="L915" s="294"/>
      <c r="M915" s="294"/>
      <c r="N915" s="294"/>
      <c r="O915" s="294"/>
      <c r="P915" s="294"/>
      <c r="Q915" s="294"/>
      <c r="R915" s="294"/>
      <c r="S915" s="294"/>
      <c r="T915" s="294"/>
      <c r="U915" s="294"/>
      <c r="V915" s="294"/>
      <c r="W915" s="294"/>
      <c r="X915" s="294"/>
      <c r="Y915" s="294"/>
      <c r="Z915" s="294"/>
      <c r="AA915" s="294"/>
      <c r="AB915" s="294"/>
    </row>
    <row r="916">
      <c r="A916" s="294"/>
      <c r="B916" s="294"/>
      <c r="C916" s="294"/>
      <c r="D916" s="294"/>
      <c r="E916" s="294"/>
      <c r="F916" s="294"/>
      <c r="G916" s="294"/>
      <c r="H916" s="294"/>
      <c r="I916" s="294"/>
      <c r="J916" s="294"/>
      <c r="K916" s="294"/>
      <c r="L916" s="294"/>
      <c r="M916" s="294"/>
      <c r="N916" s="294"/>
      <c r="O916" s="294"/>
      <c r="P916" s="294"/>
      <c r="Q916" s="294"/>
      <c r="R916" s="294"/>
      <c r="S916" s="294"/>
      <c r="T916" s="294"/>
      <c r="U916" s="294"/>
      <c r="V916" s="294"/>
      <c r="W916" s="294"/>
      <c r="X916" s="294"/>
      <c r="Y916" s="294"/>
      <c r="Z916" s="294"/>
      <c r="AA916" s="294"/>
      <c r="AB916" s="294"/>
    </row>
    <row r="917">
      <c r="A917" s="294"/>
      <c r="B917" s="294"/>
      <c r="C917" s="294"/>
      <c r="D917" s="294"/>
      <c r="E917" s="294"/>
      <c r="F917" s="294"/>
      <c r="G917" s="294"/>
      <c r="H917" s="294"/>
      <c r="I917" s="294"/>
      <c r="J917" s="294"/>
      <c r="K917" s="294"/>
      <c r="L917" s="294"/>
      <c r="M917" s="294"/>
      <c r="N917" s="294"/>
      <c r="O917" s="294"/>
      <c r="P917" s="294"/>
      <c r="Q917" s="294"/>
      <c r="R917" s="294"/>
      <c r="S917" s="294"/>
      <c r="T917" s="294"/>
      <c r="U917" s="294"/>
      <c r="V917" s="294"/>
      <c r="W917" s="294"/>
      <c r="X917" s="294"/>
      <c r="Y917" s="294"/>
      <c r="Z917" s="294"/>
      <c r="AA917" s="294"/>
      <c r="AB917" s="294"/>
    </row>
    <row r="918">
      <c r="A918" s="294"/>
      <c r="B918" s="294"/>
      <c r="C918" s="294"/>
      <c r="D918" s="294"/>
      <c r="E918" s="294"/>
      <c r="F918" s="294"/>
      <c r="G918" s="294"/>
      <c r="H918" s="294"/>
      <c r="I918" s="294"/>
      <c r="J918" s="294"/>
      <c r="K918" s="294"/>
      <c r="L918" s="294"/>
      <c r="M918" s="294"/>
      <c r="N918" s="294"/>
      <c r="O918" s="294"/>
      <c r="P918" s="294"/>
      <c r="Q918" s="294"/>
      <c r="R918" s="294"/>
      <c r="S918" s="294"/>
      <c r="T918" s="294"/>
      <c r="U918" s="294"/>
      <c r="V918" s="294"/>
      <c r="W918" s="294"/>
      <c r="X918" s="294"/>
      <c r="Y918" s="294"/>
      <c r="Z918" s="294"/>
      <c r="AA918" s="294"/>
      <c r="AB918" s="294"/>
    </row>
    <row r="919">
      <c r="A919" s="294"/>
      <c r="B919" s="294"/>
      <c r="C919" s="294"/>
      <c r="D919" s="294"/>
      <c r="E919" s="294"/>
      <c r="F919" s="294"/>
      <c r="G919" s="294"/>
      <c r="H919" s="294"/>
      <c r="I919" s="294"/>
      <c r="J919" s="294"/>
      <c r="K919" s="294"/>
      <c r="L919" s="294"/>
      <c r="M919" s="294"/>
      <c r="N919" s="294"/>
      <c r="O919" s="294"/>
      <c r="P919" s="294"/>
      <c r="Q919" s="294"/>
      <c r="R919" s="294"/>
      <c r="S919" s="294"/>
      <c r="T919" s="294"/>
      <c r="U919" s="294"/>
      <c r="V919" s="294"/>
      <c r="W919" s="294"/>
      <c r="X919" s="294"/>
      <c r="Y919" s="294"/>
      <c r="Z919" s="294"/>
      <c r="AA919" s="294"/>
      <c r="AB919" s="294"/>
    </row>
    <row r="920">
      <c r="A920" s="294"/>
      <c r="B920" s="294"/>
      <c r="C920" s="294"/>
      <c r="D920" s="294"/>
      <c r="E920" s="294"/>
      <c r="F920" s="294"/>
      <c r="G920" s="294"/>
      <c r="H920" s="294"/>
      <c r="I920" s="294"/>
      <c r="J920" s="294"/>
      <c r="K920" s="294"/>
      <c r="L920" s="294"/>
      <c r="M920" s="294"/>
      <c r="N920" s="294"/>
      <c r="O920" s="294"/>
      <c r="P920" s="294"/>
      <c r="Q920" s="294"/>
      <c r="R920" s="294"/>
      <c r="S920" s="294"/>
      <c r="T920" s="294"/>
      <c r="U920" s="294"/>
      <c r="V920" s="294"/>
      <c r="W920" s="294"/>
      <c r="X920" s="294"/>
      <c r="Y920" s="294"/>
      <c r="Z920" s="294"/>
      <c r="AA920" s="294"/>
      <c r="AB920" s="294"/>
    </row>
    <row r="921">
      <c r="A921" s="294"/>
      <c r="B921" s="294"/>
      <c r="C921" s="294"/>
      <c r="D921" s="294"/>
      <c r="E921" s="294"/>
      <c r="F921" s="294"/>
      <c r="G921" s="294"/>
      <c r="H921" s="294"/>
      <c r="I921" s="294"/>
      <c r="J921" s="294"/>
      <c r="K921" s="294"/>
      <c r="L921" s="294"/>
      <c r="M921" s="294"/>
      <c r="N921" s="294"/>
      <c r="O921" s="294"/>
      <c r="P921" s="294"/>
      <c r="Q921" s="294"/>
      <c r="R921" s="294"/>
      <c r="S921" s="294"/>
      <c r="T921" s="294"/>
      <c r="U921" s="294"/>
      <c r="V921" s="294"/>
      <c r="W921" s="294"/>
      <c r="X921" s="294"/>
      <c r="Y921" s="294"/>
      <c r="Z921" s="294"/>
      <c r="AA921" s="294"/>
      <c r="AB921" s="294"/>
    </row>
    <row r="922">
      <c r="A922" s="294"/>
      <c r="B922" s="294"/>
      <c r="C922" s="294"/>
      <c r="D922" s="294"/>
      <c r="E922" s="294"/>
      <c r="F922" s="294"/>
      <c r="G922" s="294"/>
      <c r="H922" s="294"/>
      <c r="I922" s="294"/>
      <c r="J922" s="294"/>
      <c r="K922" s="294"/>
      <c r="L922" s="294"/>
      <c r="M922" s="294"/>
      <c r="N922" s="294"/>
      <c r="O922" s="294"/>
      <c r="P922" s="294"/>
      <c r="Q922" s="294"/>
      <c r="R922" s="294"/>
      <c r="S922" s="294"/>
      <c r="T922" s="294"/>
      <c r="U922" s="294"/>
      <c r="V922" s="294"/>
      <c r="W922" s="294"/>
      <c r="X922" s="294"/>
      <c r="Y922" s="294"/>
      <c r="Z922" s="294"/>
      <c r="AA922" s="294"/>
      <c r="AB922" s="294"/>
    </row>
    <row r="923">
      <c r="A923" s="294"/>
      <c r="B923" s="294"/>
      <c r="C923" s="294"/>
      <c r="D923" s="294"/>
      <c r="E923" s="294"/>
      <c r="F923" s="294"/>
      <c r="G923" s="294"/>
      <c r="H923" s="294"/>
      <c r="I923" s="294"/>
      <c r="J923" s="294"/>
      <c r="K923" s="294"/>
      <c r="L923" s="294"/>
      <c r="M923" s="294"/>
      <c r="N923" s="294"/>
      <c r="O923" s="294"/>
      <c r="P923" s="294"/>
      <c r="Q923" s="294"/>
      <c r="R923" s="294"/>
      <c r="S923" s="294"/>
      <c r="T923" s="294"/>
      <c r="U923" s="294"/>
      <c r="V923" s="294"/>
      <c r="W923" s="294"/>
      <c r="X923" s="294"/>
      <c r="Y923" s="294"/>
      <c r="Z923" s="294"/>
      <c r="AA923" s="294"/>
      <c r="AB923" s="294"/>
    </row>
    <row r="924">
      <c r="A924" s="294"/>
      <c r="B924" s="294"/>
      <c r="C924" s="294"/>
      <c r="D924" s="294"/>
      <c r="E924" s="294"/>
      <c r="F924" s="294"/>
      <c r="G924" s="294"/>
      <c r="H924" s="294"/>
      <c r="I924" s="294"/>
      <c r="J924" s="294"/>
      <c r="K924" s="294"/>
      <c r="L924" s="294"/>
      <c r="M924" s="294"/>
      <c r="N924" s="294"/>
      <c r="O924" s="294"/>
      <c r="P924" s="294"/>
      <c r="Q924" s="294"/>
      <c r="R924" s="294"/>
      <c r="S924" s="294"/>
      <c r="T924" s="294"/>
      <c r="U924" s="294"/>
      <c r="V924" s="294"/>
      <c r="W924" s="294"/>
      <c r="X924" s="294"/>
      <c r="Y924" s="294"/>
      <c r="Z924" s="294"/>
      <c r="AA924" s="294"/>
      <c r="AB924" s="294"/>
    </row>
    <row r="925">
      <c r="A925" s="294"/>
      <c r="B925" s="294"/>
      <c r="C925" s="294"/>
      <c r="D925" s="294"/>
      <c r="E925" s="294"/>
      <c r="F925" s="294"/>
      <c r="G925" s="294"/>
      <c r="H925" s="294"/>
      <c r="I925" s="294"/>
      <c r="J925" s="294"/>
      <c r="K925" s="294"/>
      <c r="L925" s="294"/>
      <c r="M925" s="294"/>
      <c r="N925" s="294"/>
      <c r="O925" s="294"/>
      <c r="P925" s="294"/>
      <c r="Q925" s="294"/>
      <c r="R925" s="294"/>
      <c r="S925" s="294"/>
      <c r="T925" s="294"/>
      <c r="U925" s="294"/>
      <c r="V925" s="294"/>
      <c r="W925" s="294"/>
      <c r="X925" s="294"/>
      <c r="Y925" s="294"/>
      <c r="Z925" s="294"/>
      <c r="AA925" s="294"/>
      <c r="AB925" s="294"/>
    </row>
    <row r="926">
      <c r="A926" s="294"/>
      <c r="B926" s="294"/>
      <c r="C926" s="294"/>
      <c r="D926" s="294"/>
      <c r="E926" s="294"/>
      <c r="F926" s="294"/>
      <c r="G926" s="294"/>
      <c r="H926" s="294"/>
      <c r="I926" s="294"/>
      <c r="J926" s="294"/>
      <c r="K926" s="294"/>
      <c r="L926" s="294"/>
      <c r="M926" s="294"/>
      <c r="N926" s="294"/>
      <c r="O926" s="294"/>
      <c r="P926" s="294"/>
      <c r="Q926" s="294"/>
      <c r="R926" s="294"/>
      <c r="S926" s="294"/>
      <c r="T926" s="294"/>
      <c r="U926" s="294"/>
      <c r="V926" s="294"/>
      <c r="W926" s="294"/>
      <c r="X926" s="294"/>
      <c r="Y926" s="294"/>
      <c r="Z926" s="294"/>
      <c r="AA926" s="294"/>
      <c r="AB926" s="294"/>
    </row>
    <row r="927">
      <c r="A927" s="294"/>
      <c r="B927" s="294"/>
      <c r="C927" s="294"/>
      <c r="D927" s="294"/>
      <c r="E927" s="294"/>
      <c r="F927" s="294"/>
      <c r="G927" s="294"/>
      <c r="H927" s="294"/>
      <c r="I927" s="294"/>
      <c r="J927" s="294"/>
      <c r="K927" s="294"/>
      <c r="L927" s="294"/>
      <c r="M927" s="294"/>
      <c r="N927" s="294"/>
      <c r="O927" s="294"/>
      <c r="P927" s="294"/>
      <c r="Q927" s="294"/>
      <c r="R927" s="294"/>
      <c r="S927" s="294"/>
      <c r="T927" s="294"/>
      <c r="U927" s="294"/>
      <c r="V927" s="294"/>
      <c r="W927" s="294"/>
      <c r="X927" s="294"/>
      <c r="Y927" s="294"/>
      <c r="Z927" s="294"/>
      <c r="AA927" s="294"/>
      <c r="AB927" s="294"/>
    </row>
    <row r="928">
      <c r="A928" s="294"/>
      <c r="B928" s="294"/>
      <c r="C928" s="294"/>
      <c r="D928" s="294"/>
      <c r="E928" s="294"/>
      <c r="F928" s="294"/>
      <c r="G928" s="294"/>
      <c r="H928" s="294"/>
      <c r="I928" s="294"/>
      <c r="J928" s="294"/>
      <c r="K928" s="294"/>
      <c r="L928" s="294"/>
      <c r="M928" s="294"/>
      <c r="N928" s="294"/>
      <c r="O928" s="294"/>
      <c r="P928" s="294"/>
      <c r="Q928" s="294"/>
      <c r="R928" s="294"/>
      <c r="S928" s="294"/>
      <c r="T928" s="294"/>
      <c r="U928" s="294"/>
      <c r="V928" s="294"/>
      <c r="W928" s="294"/>
      <c r="X928" s="294"/>
      <c r="Y928" s="294"/>
      <c r="Z928" s="294"/>
      <c r="AA928" s="294"/>
      <c r="AB928" s="294"/>
    </row>
    <row r="929">
      <c r="A929" s="294"/>
      <c r="B929" s="294"/>
      <c r="C929" s="294"/>
      <c r="D929" s="294"/>
      <c r="E929" s="294"/>
      <c r="F929" s="294"/>
      <c r="G929" s="294"/>
      <c r="H929" s="294"/>
      <c r="I929" s="294"/>
      <c r="J929" s="294"/>
      <c r="K929" s="294"/>
      <c r="L929" s="294"/>
      <c r="M929" s="294"/>
      <c r="N929" s="294"/>
      <c r="O929" s="294"/>
      <c r="P929" s="294"/>
      <c r="Q929" s="294"/>
      <c r="R929" s="294"/>
      <c r="S929" s="294"/>
      <c r="T929" s="294"/>
      <c r="U929" s="294"/>
      <c r="V929" s="294"/>
      <c r="W929" s="294"/>
      <c r="X929" s="294"/>
      <c r="Y929" s="294"/>
      <c r="Z929" s="294"/>
      <c r="AA929" s="294"/>
      <c r="AB929" s="294"/>
    </row>
    <row r="930">
      <c r="A930" s="294"/>
      <c r="B930" s="294"/>
      <c r="C930" s="294"/>
      <c r="D930" s="294"/>
      <c r="E930" s="294"/>
      <c r="F930" s="294"/>
      <c r="G930" s="294"/>
      <c r="H930" s="294"/>
      <c r="I930" s="294"/>
      <c r="J930" s="294"/>
      <c r="K930" s="294"/>
      <c r="L930" s="294"/>
      <c r="M930" s="294"/>
      <c r="N930" s="294"/>
      <c r="O930" s="294"/>
      <c r="P930" s="294"/>
      <c r="Q930" s="294"/>
      <c r="R930" s="294"/>
      <c r="S930" s="294"/>
      <c r="T930" s="294"/>
      <c r="U930" s="294"/>
      <c r="V930" s="294"/>
      <c r="W930" s="294"/>
      <c r="X930" s="294"/>
      <c r="Y930" s="294"/>
      <c r="Z930" s="294"/>
      <c r="AA930" s="294"/>
      <c r="AB930" s="294"/>
    </row>
    <row r="931">
      <c r="A931" s="294"/>
      <c r="B931" s="294"/>
      <c r="C931" s="294"/>
      <c r="D931" s="294"/>
      <c r="E931" s="294"/>
      <c r="F931" s="294"/>
      <c r="G931" s="294"/>
      <c r="H931" s="294"/>
      <c r="I931" s="294"/>
      <c r="J931" s="294"/>
      <c r="K931" s="294"/>
      <c r="L931" s="294"/>
      <c r="M931" s="294"/>
      <c r="N931" s="294"/>
      <c r="O931" s="294"/>
      <c r="P931" s="294"/>
      <c r="Q931" s="294"/>
      <c r="R931" s="294"/>
      <c r="S931" s="294"/>
      <c r="T931" s="294"/>
      <c r="U931" s="294"/>
      <c r="V931" s="294"/>
      <c r="W931" s="294"/>
      <c r="X931" s="294"/>
      <c r="Y931" s="294"/>
      <c r="Z931" s="294"/>
      <c r="AA931" s="294"/>
      <c r="AB931" s="294"/>
    </row>
    <row r="932">
      <c r="A932" s="294"/>
      <c r="B932" s="294"/>
      <c r="C932" s="294"/>
      <c r="D932" s="294"/>
      <c r="E932" s="294"/>
      <c r="F932" s="294"/>
      <c r="G932" s="294"/>
      <c r="H932" s="294"/>
      <c r="I932" s="294"/>
      <c r="J932" s="294"/>
      <c r="K932" s="294"/>
      <c r="L932" s="294"/>
      <c r="M932" s="294"/>
      <c r="N932" s="294"/>
      <c r="O932" s="294"/>
      <c r="P932" s="294"/>
      <c r="Q932" s="294"/>
      <c r="R932" s="294"/>
      <c r="S932" s="294"/>
      <c r="T932" s="294"/>
      <c r="U932" s="294"/>
      <c r="V932" s="294"/>
      <c r="W932" s="294"/>
      <c r="X932" s="294"/>
      <c r="Y932" s="294"/>
      <c r="Z932" s="294"/>
      <c r="AA932" s="294"/>
      <c r="AB932" s="294"/>
    </row>
    <row r="933">
      <c r="A933" s="294"/>
      <c r="B933" s="294"/>
      <c r="C933" s="294"/>
      <c r="D933" s="294"/>
      <c r="E933" s="294"/>
      <c r="F933" s="294"/>
      <c r="G933" s="294"/>
      <c r="H933" s="294"/>
      <c r="I933" s="294"/>
      <c r="J933" s="294"/>
      <c r="K933" s="294"/>
      <c r="L933" s="294"/>
      <c r="M933" s="294"/>
      <c r="N933" s="294"/>
      <c r="O933" s="294"/>
      <c r="P933" s="294"/>
      <c r="Q933" s="294"/>
      <c r="R933" s="294"/>
      <c r="S933" s="294"/>
      <c r="T933" s="294"/>
      <c r="U933" s="294"/>
      <c r="V933" s="294"/>
      <c r="W933" s="294"/>
      <c r="X933" s="294"/>
      <c r="Y933" s="294"/>
      <c r="Z933" s="294"/>
      <c r="AA933" s="294"/>
      <c r="AB933" s="294"/>
    </row>
    <row r="934">
      <c r="A934" s="294"/>
      <c r="B934" s="294"/>
      <c r="C934" s="294"/>
      <c r="D934" s="294"/>
      <c r="E934" s="294"/>
      <c r="F934" s="294"/>
      <c r="G934" s="294"/>
      <c r="H934" s="294"/>
      <c r="I934" s="294"/>
      <c r="J934" s="294"/>
      <c r="K934" s="294"/>
      <c r="L934" s="294"/>
      <c r="M934" s="294"/>
      <c r="N934" s="294"/>
      <c r="O934" s="294"/>
      <c r="P934" s="294"/>
      <c r="Q934" s="294"/>
      <c r="R934" s="294"/>
      <c r="S934" s="294"/>
      <c r="T934" s="294"/>
      <c r="U934" s="294"/>
      <c r="V934" s="294"/>
      <c r="W934" s="294"/>
      <c r="X934" s="294"/>
      <c r="Y934" s="294"/>
      <c r="Z934" s="294"/>
      <c r="AA934" s="294"/>
      <c r="AB934" s="294"/>
    </row>
    <row r="935">
      <c r="A935" s="294"/>
      <c r="B935" s="294"/>
      <c r="C935" s="294"/>
      <c r="D935" s="294"/>
      <c r="E935" s="294"/>
      <c r="F935" s="294"/>
      <c r="G935" s="294"/>
      <c r="H935" s="294"/>
      <c r="I935" s="294"/>
      <c r="J935" s="294"/>
      <c r="K935" s="294"/>
      <c r="L935" s="294"/>
      <c r="M935" s="294"/>
      <c r="N935" s="294"/>
      <c r="O935" s="294"/>
      <c r="P935" s="294"/>
      <c r="Q935" s="294"/>
      <c r="R935" s="294"/>
      <c r="S935" s="294"/>
      <c r="T935" s="294"/>
      <c r="U935" s="294"/>
      <c r="V935" s="294"/>
      <c r="W935" s="294"/>
      <c r="X935" s="294"/>
      <c r="Y935" s="294"/>
      <c r="Z935" s="294"/>
      <c r="AA935" s="294"/>
      <c r="AB935" s="294"/>
    </row>
    <row r="936">
      <c r="A936" s="294"/>
      <c r="B936" s="294"/>
      <c r="C936" s="294"/>
      <c r="D936" s="294"/>
      <c r="E936" s="294"/>
      <c r="F936" s="294"/>
      <c r="G936" s="294"/>
      <c r="H936" s="294"/>
      <c r="I936" s="294"/>
      <c r="J936" s="294"/>
      <c r="K936" s="294"/>
      <c r="L936" s="294"/>
      <c r="M936" s="294"/>
      <c r="N936" s="294"/>
      <c r="O936" s="294"/>
      <c r="P936" s="294"/>
      <c r="Q936" s="294"/>
      <c r="R936" s="294"/>
      <c r="S936" s="294"/>
      <c r="T936" s="294"/>
      <c r="U936" s="294"/>
      <c r="V936" s="294"/>
      <c r="W936" s="294"/>
      <c r="X936" s="294"/>
      <c r="Y936" s="294"/>
      <c r="Z936" s="294"/>
      <c r="AA936" s="294"/>
      <c r="AB936" s="294"/>
    </row>
    <row r="937">
      <c r="A937" s="294"/>
      <c r="B937" s="294"/>
      <c r="C937" s="294"/>
      <c r="D937" s="294"/>
      <c r="E937" s="294"/>
      <c r="F937" s="294"/>
      <c r="G937" s="294"/>
      <c r="H937" s="294"/>
      <c r="I937" s="294"/>
      <c r="J937" s="294"/>
      <c r="K937" s="294"/>
      <c r="L937" s="294"/>
      <c r="M937" s="294"/>
      <c r="N937" s="294"/>
      <c r="O937" s="294"/>
      <c r="P937" s="294"/>
      <c r="Q937" s="294"/>
      <c r="R937" s="294"/>
      <c r="S937" s="294"/>
      <c r="T937" s="294"/>
      <c r="U937" s="294"/>
      <c r="V937" s="294"/>
      <c r="W937" s="294"/>
      <c r="X937" s="294"/>
      <c r="Y937" s="294"/>
      <c r="Z937" s="294"/>
      <c r="AA937" s="294"/>
      <c r="AB937" s="294"/>
    </row>
    <row r="938">
      <c r="A938" s="294"/>
      <c r="B938" s="294"/>
      <c r="C938" s="294"/>
      <c r="D938" s="294"/>
      <c r="E938" s="294"/>
      <c r="F938" s="294"/>
      <c r="G938" s="294"/>
      <c r="H938" s="294"/>
      <c r="I938" s="294"/>
      <c r="J938" s="294"/>
      <c r="K938" s="294"/>
      <c r="L938" s="294"/>
      <c r="M938" s="294"/>
      <c r="N938" s="294"/>
      <c r="O938" s="294"/>
      <c r="P938" s="294"/>
      <c r="Q938" s="294"/>
      <c r="R938" s="294"/>
      <c r="S938" s="294"/>
      <c r="T938" s="294"/>
      <c r="U938" s="294"/>
      <c r="V938" s="294"/>
      <c r="W938" s="294"/>
      <c r="X938" s="294"/>
      <c r="Y938" s="294"/>
      <c r="Z938" s="294"/>
      <c r="AA938" s="294"/>
      <c r="AB938" s="294"/>
    </row>
    <row r="939">
      <c r="A939" s="294"/>
      <c r="B939" s="294"/>
      <c r="C939" s="294"/>
      <c r="D939" s="294"/>
      <c r="E939" s="294"/>
      <c r="F939" s="294"/>
      <c r="G939" s="294"/>
      <c r="H939" s="294"/>
      <c r="I939" s="294"/>
      <c r="J939" s="294"/>
      <c r="K939" s="294"/>
      <c r="L939" s="294"/>
      <c r="M939" s="294"/>
      <c r="N939" s="294"/>
      <c r="O939" s="294"/>
      <c r="P939" s="294"/>
      <c r="Q939" s="294"/>
      <c r="R939" s="294"/>
      <c r="S939" s="294"/>
      <c r="T939" s="294"/>
      <c r="U939" s="294"/>
      <c r="V939" s="294"/>
      <c r="W939" s="294"/>
      <c r="X939" s="294"/>
      <c r="Y939" s="294"/>
      <c r="Z939" s="294"/>
      <c r="AA939" s="294"/>
      <c r="AB939" s="294"/>
    </row>
    <row r="940">
      <c r="A940" s="294"/>
      <c r="B940" s="294"/>
      <c r="C940" s="294"/>
      <c r="D940" s="294"/>
      <c r="E940" s="294"/>
      <c r="F940" s="294"/>
      <c r="G940" s="294"/>
      <c r="H940" s="294"/>
      <c r="I940" s="294"/>
      <c r="J940" s="294"/>
      <c r="K940" s="294"/>
      <c r="L940" s="294"/>
      <c r="M940" s="294"/>
      <c r="N940" s="294"/>
      <c r="O940" s="294"/>
      <c r="P940" s="294"/>
      <c r="Q940" s="294"/>
      <c r="R940" s="294"/>
      <c r="S940" s="294"/>
      <c r="T940" s="294"/>
      <c r="U940" s="294"/>
      <c r="V940" s="294"/>
      <c r="W940" s="294"/>
      <c r="X940" s="294"/>
      <c r="Y940" s="294"/>
      <c r="Z940" s="294"/>
      <c r="AA940" s="294"/>
      <c r="AB940" s="294"/>
    </row>
    <row r="941">
      <c r="A941" s="294"/>
      <c r="B941" s="294"/>
      <c r="C941" s="294"/>
      <c r="D941" s="294"/>
      <c r="E941" s="294"/>
      <c r="F941" s="294"/>
      <c r="G941" s="294"/>
      <c r="H941" s="294"/>
      <c r="I941" s="294"/>
      <c r="J941" s="294"/>
      <c r="K941" s="294"/>
      <c r="L941" s="294"/>
      <c r="M941" s="294"/>
      <c r="N941" s="294"/>
      <c r="O941" s="294"/>
      <c r="P941" s="294"/>
      <c r="Q941" s="294"/>
      <c r="R941" s="294"/>
      <c r="S941" s="294"/>
      <c r="T941" s="294"/>
      <c r="U941" s="294"/>
      <c r="V941" s="294"/>
      <c r="W941" s="294"/>
      <c r="X941" s="294"/>
      <c r="Y941" s="294"/>
      <c r="Z941" s="294"/>
      <c r="AA941" s="294"/>
      <c r="AB941" s="294"/>
    </row>
    <row r="942">
      <c r="A942" s="294"/>
      <c r="B942" s="294"/>
      <c r="C942" s="294"/>
      <c r="D942" s="294"/>
      <c r="E942" s="294"/>
      <c r="F942" s="294"/>
      <c r="G942" s="294"/>
      <c r="H942" s="294"/>
      <c r="I942" s="294"/>
      <c r="J942" s="294"/>
      <c r="K942" s="294"/>
      <c r="L942" s="294"/>
      <c r="M942" s="294"/>
      <c r="N942" s="294"/>
      <c r="O942" s="294"/>
      <c r="P942" s="294"/>
      <c r="Q942" s="294"/>
      <c r="R942" s="294"/>
      <c r="S942" s="294"/>
      <c r="T942" s="294"/>
      <c r="U942" s="294"/>
      <c r="V942" s="294"/>
      <c r="W942" s="294"/>
      <c r="X942" s="294"/>
      <c r="Y942" s="294"/>
      <c r="Z942" s="294"/>
      <c r="AA942" s="294"/>
      <c r="AB942" s="294"/>
    </row>
    <row r="943">
      <c r="A943" s="294"/>
      <c r="B943" s="294"/>
      <c r="C943" s="294"/>
      <c r="D943" s="294"/>
      <c r="E943" s="294"/>
      <c r="F943" s="294"/>
      <c r="G943" s="294"/>
      <c r="H943" s="294"/>
      <c r="I943" s="294"/>
      <c r="J943" s="294"/>
      <c r="K943" s="294"/>
      <c r="L943" s="294"/>
      <c r="M943" s="294"/>
      <c r="N943" s="294"/>
      <c r="O943" s="294"/>
      <c r="P943" s="294"/>
      <c r="Q943" s="294"/>
      <c r="R943" s="294"/>
      <c r="S943" s="294"/>
      <c r="T943" s="294"/>
      <c r="U943" s="294"/>
      <c r="V943" s="294"/>
      <c r="W943" s="294"/>
      <c r="X943" s="294"/>
      <c r="Y943" s="294"/>
      <c r="Z943" s="294"/>
      <c r="AA943" s="294"/>
      <c r="AB943" s="294"/>
    </row>
    <row r="944">
      <c r="A944" s="294"/>
      <c r="B944" s="294"/>
      <c r="C944" s="294"/>
      <c r="D944" s="294"/>
      <c r="E944" s="294"/>
      <c r="F944" s="294"/>
      <c r="G944" s="294"/>
      <c r="H944" s="294"/>
      <c r="I944" s="294"/>
      <c r="J944" s="294"/>
      <c r="K944" s="294"/>
      <c r="L944" s="294"/>
      <c r="M944" s="294"/>
      <c r="N944" s="294"/>
      <c r="O944" s="294"/>
      <c r="P944" s="294"/>
      <c r="Q944" s="294"/>
      <c r="R944" s="294"/>
      <c r="S944" s="294"/>
      <c r="T944" s="294"/>
      <c r="U944" s="294"/>
      <c r="V944" s="294"/>
      <c r="W944" s="294"/>
      <c r="X944" s="294"/>
      <c r="Y944" s="294"/>
      <c r="Z944" s="294"/>
      <c r="AA944" s="294"/>
      <c r="AB944" s="294"/>
    </row>
    <row r="945">
      <c r="A945" s="294"/>
      <c r="B945" s="294"/>
      <c r="C945" s="294"/>
      <c r="D945" s="294"/>
      <c r="E945" s="294"/>
      <c r="F945" s="294"/>
      <c r="G945" s="294"/>
      <c r="H945" s="294"/>
      <c r="I945" s="294"/>
      <c r="J945" s="294"/>
      <c r="K945" s="294"/>
      <c r="L945" s="294"/>
      <c r="M945" s="294"/>
      <c r="N945" s="294"/>
      <c r="O945" s="294"/>
      <c r="P945" s="294"/>
      <c r="Q945" s="294"/>
      <c r="R945" s="294"/>
      <c r="S945" s="294"/>
      <c r="T945" s="294"/>
      <c r="U945" s="294"/>
      <c r="V945" s="294"/>
      <c r="W945" s="294"/>
      <c r="X945" s="294"/>
      <c r="Y945" s="294"/>
      <c r="Z945" s="294"/>
      <c r="AA945" s="294"/>
      <c r="AB945" s="294"/>
    </row>
    <row r="946">
      <c r="A946" s="294"/>
      <c r="B946" s="294"/>
      <c r="C946" s="294"/>
      <c r="D946" s="294"/>
      <c r="E946" s="294"/>
      <c r="F946" s="294"/>
      <c r="G946" s="294"/>
      <c r="H946" s="294"/>
      <c r="I946" s="294"/>
      <c r="J946" s="294"/>
      <c r="K946" s="294"/>
      <c r="L946" s="294"/>
      <c r="M946" s="294"/>
      <c r="N946" s="294"/>
      <c r="O946" s="294"/>
      <c r="P946" s="294"/>
      <c r="Q946" s="294"/>
      <c r="R946" s="294"/>
      <c r="S946" s="294"/>
      <c r="T946" s="294"/>
      <c r="U946" s="294"/>
      <c r="V946" s="294"/>
      <c r="W946" s="294"/>
      <c r="X946" s="294"/>
      <c r="Y946" s="294"/>
      <c r="Z946" s="294"/>
      <c r="AA946" s="294"/>
      <c r="AB946" s="294"/>
    </row>
    <row r="947">
      <c r="A947" s="294"/>
      <c r="B947" s="294"/>
      <c r="C947" s="294"/>
      <c r="D947" s="294"/>
      <c r="E947" s="294"/>
      <c r="F947" s="294"/>
      <c r="G947" s="294"/>
      <c r="H947" s="294"/>
      <c r="I947" s="294"/>
      <c r="J947" s="294"/>
      <c r="K947" s="294"/>
      <c r="L947" s="294"/>
      <c r="M947" s="294"/>
      <c r="N947" s="294"/>
      <c r="O947" s="294"/>
      <c r="P947" s="294"/>
      <c r="Q947" s="294"/>
      <c r="R947" s="294"/>
      <c r="S947" s="294"/>
      <c r="T947" s="294"/>
      <c r="U947" s="294"/>
      <c r="V947" s="294"/>
      <c r="W947" s="294"/>
      <c r="X947" s="294"/>
      <c r="Y947" s="294"/>
      <c r="Z947" s="294"/>
      <c r="AA947" s="294"/>
      <c r="AB947" s="294"/>
    </row>
    <row r="948">
      <c r="A948" s="294"/>
      <c r="B948" s="294"/>
      <c r="C948" s="294"/>
      <c r="D948" s="294"/>
      <c r="E948" s="294"/>
      <c r="F948" s="294"/>
      <c r="G948" s="294"/>
      <c r="H948" s="294"/>
      <c r="I948" s="294"/>
      <c r="J948" s="294"/>
      <c r="K948" s="294"/>
      <c r="L948" s="294"/>
      <c r="M948" s="294"/>
      <c r="N948" s="294"/>
      <c r="O948" s="294"/>
      <c r="P948" s="294"/>
      <c r="Q948" s="294"/>
      <c r="R948" s="294"/>
      <c r="S948" s="294"/>
      <c r="T948" s="294"/>
      <c r="U948" s="294"/>
      <c r="V948" s="294"/>
      <c r="W948" s="294"/>
      <c r="X948" s="294"/>
      <c r="Y948" s="294"/>
      <c r="Z948" s="294"/>
      <c r="AA948" s="294"/>
      <c r="AB948" s="294"/>
    </row>
    <row r="949">
      <c r="A949" s="294"/>
      <c r="B949" s="294"/>
      <c r="C949" s="294"/>
      <c r="D949" s="294"/>
      <c r="E949" s="294"/>
      <c r="F949" s="294"/>
      <c r="G949" s="294"/>
      <c r="H949" s="294"/>
      <c r="I949" s="294"/>
      <c r="J949" s="294"/>
      <c r="K949" s="294"/>
      <c r="L949" s="294"/>
      <c r="M949" s="294"/>
      <c r="N949" s="294"/>
      <c r="O949" s="294"/>
      <c r="P949" s="294"/>
      <c r="Q949" s="294"/>
      <c r="R949" s="294"/>
      <c r="S949" s="294"/>
      <c r="T949" s="294"/>
      <c r="U949" s="294"/>
      <c r="V949" s="294"/>
      <c r="W949" s="294"/>
      <c r="X949" s="294"/>
      <c r="Y949" s="294"/>
      <c r="Z949" s="294"/>
      <c r="AA949" s="294"/>
      <c r="AB949" s="294"/>
    </row>
    <row r="950">
      <c r="A950" s="294"/>
      <c r="B950" s="294"/>
      <c r="C950" s="294"/>
      <c r="D950" s="294"/>
      <c r="E950" s="294"/>
      <c r="F950" s="294"/>
      <c r="G950" s="294"/>
      <c r="H950" s="294"/>
      <c r="I950" s="294"/>
      <c r="J950" s="294"/>
      <c r="K950" s="294"/>
      <c r="L950" s="294"/>
      <c r="M950" s="294"/>
      <c r="N950" s="294"/>
      <c r="O950" s="294"/>
      <c r="P950" s="294"/>
      <c r="Q950" s="294"/>
      <c r="R950" s="294"/>
      <c r="S950" s="294"/>
      <c r="T950" s="294"/>
      <c r="U950" s="294"/>
      <c r="V950" s="294"/>
      <c r="W950" s="294"/>
      <c r="X950" s="294"/>
      <c r="Y950" s="294"/>
      <c r="Z950" s="294"/>
      <c r="AA950" s="294"/>
      <c r="AB950" s="294"/>
    </row>
    <row r="951">
      <c r="A951" s="294"/>
      <c r="B951" s="294"/>
      <c r="C951" s="294"/>
      <c r="D951" s="294"/>
      <c r="E951" s="294"/>
      <c r="F951" s="294"/>
      <c r="G951" s="294"/>
      <c r="H951" s="294"/>
      <c r="I951" s="294"/>
      <c r="J951" s="294"/>
      <c r="K951" s="294"/>
      <c r="L951" s="294"/>
      <c r="M951" s="294"/>
      <c r="N951" s="294"/>
      <c r="O951" s="294"/>
      <c r="P951" s="294"/>
      <c r="Q951" s="294"/>
      <c r="R951" s="294"/>
      <c r="S951" s="294"/>
      <c r="T951" s="294"/>
      <c r="U951" s="294"/>
      <c r="V951" s="294"/>
      <c r="W951" s="294"/>
      <c r="X951" s="294"/>
      <c r="Y951" s="294"/>
      <c r="Z951" s="294"/>
      <c r="AA951" s="294"/>
      <c r="AB951" s="294"/>
    </row>
    <row r="952">
      <c r="A952" s="294"/>
      <c r="B952" s="294"/>
      <c r="C952" s="294"/>
      <c r="D952" s="294"/>
      <c r="E952" s="294"/>
      <c r="F952" s="294"/>
      <c r="G952" s="294"/>
      <c r="H952" s="294"/>
      <c r="I952" s="294"/>
      <c r="J952" s="294"/>
      <c r="K952" s="294"/>
      <c r="L952" s="294"/>
      <c r="M952" s="294"/>
      <c r="N952" s="294"/>
      <c r="O952" s="294"/>
      <c r="P952" s="294"/>
      <c r="Q952" s="294"/>
      <c r="R952" s="294"/>
      <c r="S952" s="294"/>
      <c r="T952" s="294"/>
      <c r="U952" s="294"/>
      <c r="V952" s="294"/>
      <c r="W952" s="294"/>
      <c r="X952" s="294"/>
      <c r="Y952" s="294"/>
      <c r="Z952" s="294"/>
      <c r="AA952" s="294"/>
      <c r="AB952" s="294"/>
    </row>
    <row r="953">
      <c r="A953" s="294"/>
      <c r="B953" s="294"/>
      <c r="C953" s="294"/>
      <c r="D953" s="294"/>
      <c r="E953" s="294"/>
      <c r="F953" s="294"/>
      <c r="G953" s="294"/>
      <c r="H953" s="294"/>
      <c r="I953" s="294"/>
      <c r="J953" s="294"/>
      <c r="K953" s="294"/>
      <c r="L953" s="294"/>
      <c r="M953" s="294"/>
      <c r="N953" s="294"/>
      <c r="O953" s="294"/>
      <c r="P953" s="294"/>
      <c r="Q953" s="294"/>
      <c r="R953" s="294"/>
      <c r="S953" s="294"/>
      <c r="T953" s="294"/>
      <c r="U953" s="294"/>
      <c r="V953" s="294"/>
      <c r="W953" s="294"/>
      <c r="X953" s="294"/>
      <c r="Y953" s="294"/>
      <c r="Z953" s="294"/>
      <c r="AA953" s="294"/>
      <c r="AB953" s="294"/>
    </row>
    <row r="954">
      <c r="A954" s="294"/>
      <c r="B954" s="294"/>
      <c r="C954" s="294"/>
      <c r="D954" s="294"/>
      <c r="E954" s="294"/>
      <c r="F954" s="294"/>
      <c r="G954" s="294"/>
      <c r="H954" s="294"/>
      <c r="I954" s="294"/>
      <c r="J954" s="294"/>
      <c r="K954" s="294"/>
      <c r="L954" s="294"/>
      <c r="M954" s="294"/>
      <c r="N954" s="294"/>
      <c r="O954" s="294"/>
      <c r="P954" s="294"/>
      <c r="Q954" s="294"/>
      <c r="R954" s="294"/>
      <c r="S954" s="294"/>
      <c r="T954" s="294"/>
      <c r="U954" s="294"/>
      <c r="V954" s="294"/>
      <c r="W954" s="294"/>
      <c r="X954" s="294"/>
      <c r="Y954" s="294"/>
      <c r="Z954" s="294"/>
      <c r="AA954" s="294"/>
      <c r="AB954" s="294"/>
    </row>
    <row r="955">
      <c r="A955" s="294"/>
      <c r="B955" s="294"/>
      <c r="C955" s="294"/>
      <c r="D955" s="294"/>
      <c r="E955" s="294"/>
      <c r="F955" s="294"/>
      <c r="G955" s="294"/>
      <c r="H955" s="294"/>
      <c r="I955" s="294"/>
      <c r="J955" s="294"/>
      <c r="K955" s="294"/>
      <c r="L955" s="294"/>
      <c r="M955" s="294"/>
      <c r="N955" s="294"/>
      <c r="O955" s="294"/>
      <c r="P955" s="294"/>
      <c r="Q955" s="294"/>
      <c r="R955" s="294"/>
      <c r="S955" s="294"/>
      <c r="T955" s="294"/>
      <c r="U955" s="294"/>
      <c r="V955" s="294"/>
      <c r="W955" s="294"/>
      <c r="X955" s="294"/>
      <c r="Y955" s="294"/>
      <c r="Z955" s="294"/>
      <c r="AA955" s="294"/>
      <c r="AB955" s="294"/>
    </row>
    <row r="956">
      <c r="A956" s="294"/>
      <c r="B956" s="294"/>
      <c r="C956" s="294"/>
      <c r="D956" s="294"/>
      <c r="E956" s="294"/>
      <c r="F956" s="294"/>
      <c r="G956" s="294"/>
      <c r="H956" s="294"/>
      <c r="I956" s="294"/>
      <c r="J956" s="294"/>
      <c r="K956" s="294"/>
      <c r="L956" s="294"/>
      <c r="M956" s="294"/>
      <c r="N956" s="294"/>
      <c r="O956" s="294"/>
      <c r="P956" s="294"/>
      <c r="Q956" s="294"/>
      <c r="R956" s="294"/>
      <c r="S956" s="294"/>
      <c r="T956" s="294"/>
      <c r="U956" s="294"/>
      <c r="V956" s="294"/>
      <c r="W956" s="294"/>
      <c r="X956" s="294"/>
      <c r="Y956" s="294"/>
      <c r="Z956" s="294"/>
      <c r="AA956" s="294"/>
      <c r="AB956" s="294"/>
    </row>
    <row r="957">
      <c r="A957" s="294"/>
      <c r="B957" s="294"/>
      <c r="C957" s="294"/>
      <c r="D957" s="294"/>
      <c r="E957" s="294"/>
      <c r="F957" s="294"/>
      <c r="G957" s="294"/>
      <c r="H957" s="294"/>
      <c r="I957" s="294"/>
      <c r="J957" s="294"/>
      <c r="K957" s="294"/>
      <c r="L957" s="294"/>
      <c r="M957" s="294"/>
      <c r="N957" s="294"/>
      <c r="O957" s="294"/>
      <c r="P957" s="294"/>
      <c r="Q957" s="294"/>
      <c r="R957" s="294"/>
      <c r="S957" s="294"/>
      <c r="T957" s="294"/>
      <c r="U957" s="294"/>
      <c r="V957" s="294"/>
      <c r="W957" s="294"/>
      <c r="X957" s="294"/>
      <c r="Y957" s="294"/>
      <c r="Z957" s="294"/>
      <c r="AA957" s="294"/>
      <c r="AB957" s="294"/>
    </row>
    <row r="958">
      <c r="A958" s="294"/>
      <c r="B958" s="294"/>
      <c r="C958" s="294"/>
      <c r="D958" s="294"/>
      <c r="E958" s="294"/>
      <c r="F958" s="294"/>
      <c r="G958" s="294"/>
      <c r="H958" s="294"/>
      <c r="I958" s="294"/>
      <c r="J958" s="294"/>
      <c r="K958" s="294"/>
      <c r="L958" s="294"/>
      <c r="M958" s="294"/>
      <c r="N958" s="294"/>
      <c r="O958" s="294"/>
      <c r="P958" s="294"/>
      <c r="Q958" s="294"/>
      <c r="R958" s="294"/>
      <c r="S958" s="294"/>
      <c r="T958" s="294"/>
      <c r="U958" s="294"/>
      <c r="V958" s="294"/>
      <c r="W958" s="294"/>
      <c r="X958" s="294"/>
      <c r="Y958" s="294"/>
      <c r="Z958" s="294"/>
      <c r="AA958" s="294"/>
      <c r="AB958" s="294"/>
    </row>
    <row r="959">
      <c r="A959" s="294"/>
      <c r="B959" s="294"/>
      <c r="C959" s="294"/>
      <c r="D959" s="294"/>
      <c r="E959" s="294"/>
      <c r="F959" s="294"/>
      <c r="G959" s="294"/>
      <c r="H959" s="294"/>
      <c r="I959" s="294"/>
      <c r="J959" s="294"/>
      <c r="K959" s="294"/>
      <c r="L959" s="294"/>
      <c r="M959" s="294"/>
      <c r="N959" s="294"/>
      <c r="O959" s="294"/>
      <c r="P959" s="294"/>
      <c r="Q959" s="294"/>
      <c r="R959" s="294"/>
      <c r="S959" s="294"/>
      <c r="T959" s="294"/>
      <c r="U959" s="294"/>
      <c r="V959" s="294"/>
      <c r="W959" s="294"/>
      <c r="X959" s="294"/>
      <c r="Y959" s="294"/>
      <c r="Z959" s="294"/>
      <c r="AA959" s="294"/>
      <c r="AB959" s="294"/>
    </row>
    <row r="960">
      <c r="A960" s="294"/>
      <c r="B960" s="294"/>
      <c r="C960" s="294"/>
      <c r="D960" s="294"/>
      <c r="E960" s="294"/>
      <c r="F960" s="294"/>
      <c r="G960" s="294"/>
      <c r="H960" s="294"/>
      <c r="I960" s="294"/>
      <c r="J960" s="294"/>
      <c r="K960" s="294"/>
      <c r="L960" s="294"/>
      <c r="M960" s="294"/>
      <c r="N960" s="294"/>
      <c r="O960" s="294"/>
      <c r="P960" s="294"/>
      <c r="Q960" s="294"/>
      <c r="R960" s="294"/>
      <c r="S960" s="294"/>
      <c r="T960" s="294"/>
      <c r="U960" s="294"/>
      <c r="V960" s="294"/>
      <c r="W960" s="294"/>
      <c r="X960" s="294"/>
      <c r="Y960" s="294"/>
      <c r="Z960" s="294"/>
      <c r="AA960" s="294"/>
      <c r="AB960" s="294"/>
    </row>
    <row r="961">
      <c r="A961" s="294"/>
      <c r="B961" s="294"/>
      <c r="C961" s="294"/>
      <c r="D961" s="294"/>
      <c r="E961" s="294"/>
      <c r="F961" s="294"/>
      <c r="G961" s="294"/>
      <c r="H961" s="294"/>
      <c r="I961" s="294"/>
      <c r="J961" s="294"/>
      <c r="K961" s="294"/>
      <c r="L961" s="294"/>
      <c r="M961" s="294"/>
      <c r="N961" s="294"/>
      <c r="O961" s="294"/>
      <c r="P961" s="294"/>
      <c r="Q961" s="294"/>
      <c r="R961" s="294"/>
      <c r="S961" s="294"/>
      <c r="T961" s="294"/>
      <c r="U961" s="294"/>
      <c r="V961" s="294"/>
      <c r="W961" s="294"/>
      <c r="X961" s="294"/>
      <c r="Y961" s="294"/>
      <c r="Z961" s="294"/>
      <c r="AA961" s="294"/>
      <c r="AB961" s="294"/>
    </row>
    <row r="962">
      <c r="A962" s="294"/>
      <c r="B962" s="294"/>
      <c r="C962" s="294"/>
      <c r="D962" s="294"/>
      <c r="E962" s="294"/>
      <c r="F962" s="294"/>
      <c r="G962" s="294"/>
      <c r="H962" s="294"/>
      <c r="I962" s="294"/>
      <c r="J962" s="294"/>
      <c r="K962" s="294"/>
      <c r="L962" s="294"/>
      <c r="M962" s="294"/>
      <c r="N962" s="294"/>
      <c r="O962" s="294"/>
      <c r="P962" s="294"/>
      <c r="Q962" s="294"/>
      <c r="R962" s="294"/>
      <c r="S962" s="294"/>
      <c r="T962" s="294"/>
      <c r="U962" s="294"/>
      <c r="V962" s="294"/>
      <c r="W962" s="294"/>
      <c r="X962" s="294"/>
      <c r="Y962" s="294"/>
      <c r="Z962" s="294"/>
      <c r="AA962" s="294"/>
      <c r="AB962" s="294"/>
    </row>
    <row r="963">
      <c r="A963" s="294"/>
      <c r="B963" s="294"/>
      <c r="C963" s="294"/>
      <c r="D963" s="294"/>
      <c r="E963" s="294"/>
      <c r="F963" s="294"/>
      <c r="G963" s="294"/>
      <c r="H963" s="294"/>
      <c r="I963" s="294"/>
      <c r="J963" s="294"/>
      <c r="K963" s="294"/>
      <c r="L963" s="294"/>
      <c r="M963" s="294"/>
      <c r="N963" s="294"/>
      <c r="O963" s="294"/>
      <c r="P963" s="294"/>
      <c r="Q963" s="294"/>
      <c r="R963" s="294"/>
      <c r="S963" s="294"/>
      <c r="T963" s="294"/>
      <c r="U963" s="294"/>
      <c r="V963" s="294"/>
      <c r="W963" s="294"/>
      <c r="X963" s="294"/>
      <c r="Y963" s="294"/>
      <c r="Z963" s="294"/>
      <c r="AA963" s="294"/>
      <c r="AB963" s="294"/>
    </row>
    <row r="964">
      <c r="A964" s="294"/>
      <c r="B964" s="294"/>
      <c r="C964" s="294"/>
      <c r="D964" s="294"/>
      <c r="E964" s="294"/>
      <c r="F964" s="294"/>
      <c r="G964" s="294"/>
      <c r="H964" s="294"/>
      <c r="I964" s="294"/>
      <c r="J964" s="294"/>
      <c r="K964" s="294"/>
      <c r="L964" s="294"/>
      <c r="M964" s="294"/>
      <c r="N964" s="294"/>
      <c r="O964" s="294"/>
      <c r="P964" s="294"/>
      <c r="Q964" s="294"/>
      <c r="R964" s="294"/>
      <c r="S964" s="294"/>
      <c r="T964" s="294"/>
      <c r="U964" s="294"/>
      <c r="V964" s="294"/>
      <c r="W964" s="294"/>
      <c r="X964" s="294"/>
      <c r="Y964" s="294"/>
      <c r="Z964" s="294"/>
      <c r="AA964" s="294"/>
      <c r="AB964" s="294"/>
    </row>
    <row r="965">
      <c r="A965" s="294"/>
      <c r="B965" s="294"/>
      <c r="C965" s="294"/>
      <c r="D965" s="294"/>
      <c r="E965" s="294"/>
      <c r="F965" s="294"/>
      <c r="G965" s="294"/>
      <c r="H965" s="294"/>
      <c r="I965" s="294"/>
      <c r="J965" s="294"/>
      <c r="K965" s="294"/>
      <c r="L965" s="294"/>
      <c r="M965" s="294"/>
      <c r="N965" s="294"/>
      <c r="O965" s="294"/>
      <c r="P965" s="294"/>
      <c r="Q965" s="294"/>
      <c r="R965" s="294"/>
      <c r="S965" s="294"/>
      <c r="T965" s="294"/>
      <c r="U965" s="294"/>
      <c r="V965" s="294"/>
      <c r="W965" s="294"/>
      <c r="X965" s="294"/>
      <c r="Y965" s="294"/>
      <c r="Z965" s="294"/>
      <c r="AA965" s="294"/>
      <c r="AB965" s="294"/>
    </row>
    <row r="966">
      <c r="A966" s="294"/>
      <c r="B966" s="294"/>
      <c r="C966" s="294"/>
      <c r="D966" s="294"/>
      <c r="E966" s="294"/>
      <c r="F966" s="294"/>
      <c r="G966" s="294"/>
      <c r="H966" s="294"/>
      <c r="I966" s="294"/>
      <c r="J966" s="294"/>
      <c r="K966" s="294"/>
      <c r="L966" s="294"/>
      <c r="M966" s="294"/>
      <c r="N966" s="294"/>
      <c r="O966" s="294"/>
      <c r="P966" s="294"/>
      <c r="Q966" s="294"/>
      <c r="R966" s="294"/>
      <c r="S966" s="294"/>
      <c r="T966" s="294"/>
      <c r="U966" s="294"/>
      <c r="V966" s="294"/>
      <c r="W966" s="294"/>
      <c r="X966" s="294"/>
      <c r="Y966" s="294"/>
      <c r="Z966" s="294"/>
      <c r="AA966" s="294"/>
      <c r="AB966" s="294"/>
    </row>
    <row r="967">
      <c r="A967" s="294"/>
      <c r="B967" s="294"/>
      <c r="C967" s="294"/>
      <c r="D967" s="294"/>
      <c r="E967" s="294"/>
      <c r="F967" s="294"/>
      <c r="G967" s="294"/>
      <c r="H967" s="294"/>
      <c r="I967" s="294"/>
      <c r="J967" s="294"/>
      <c r="K967" s="294"/>
      <c r="L967" s="294"/>
      <c r="M967" s="294"/>
      <c r="N967" s="294"/>
      <c r="O967" s="294"/>
      <c r="P967" s="294"/>
      <c r="Q967" s="294"/>
      <c r="R967" s="294"/>
      <c r="S967" s="294"/>
      <c r="T967" s="294"/>
      <c r="U967" s="294"/>
      <c r="V967" s="294"/>
      <c r="W967" s="294"/>
      <c r="X967" s="294"/>
      <c r="Y967" s="294"/>
      <c r="Z967" s="294"/>
      <c r="AA967" s="294"/>
      <c r="AB967" s="294"/>
    </row>
    <row r="968">
      <c r="A968" s="294"/>
      <c r="B968" s="294"/>
      <c r="C968" s="294"/>
      <c r="D968" s="294"/>
      <c r="E968" s="294"/>
      <c r="F968" s="294"/>
      <c r="G968" s="294"/>
      <c r="H968" s="294"/>
      <c r="I968" s="294"/>
      <c r="J968" s="294"/>
      <c r="K968" s="294"/>
      <c r="L968" s="294"/>
      <c r="M968" s="294"/>
      <c r="N968" s="294"/>
      <c r="O968" s="294"/>
      <c r="P968" s="294"/>
      <c r="Q968" s="294"/>
      <c r="R968" s="294"/>
      <c r="S968" s="294"/>
      <c r="T968" s="294"/>
      <c r="U968" s="294"/>
      <c r="V968" s="294"/>
      <c r="W968" s="294"/>
      <c r="X968" s="294"/>
      <c r="Y968" s="294"/>
      <c r="Z968" s="294"/>
      <c r="AA968" s="294"/>
      <c r="AB968" s="294"/>
    </row>
    <row r="969">
      <c r="A969" s="294"/>
      <c r="B969" s="294"/>
      <c r="C969" s="294"/>
      <c r="D969" s="294"/>
      <c r="E969" s="294"/>
      <c r="F969" s="294"/>
      <c r="G969" s="294"/>
      <c r="H969" s="294"/>
      <c r="I969" s="294"/>
      <c r="J969" s="294"/>
      <c r="K969" s="294"/>
      <c r="L969" s="294"/>
      <c r="M969" s="294"/>
      <c r="N969" s="294"/>
      <c r="O969" s="294"/>
      <c r="P969" s="294"/>
      <c r="Q969" s="294"/>
      <c r="R969" s="294"/>
      <c r="S969" s="294"/>
      <c r="T969" s="294"/>
      <c r="U969" s="294"/>
      <c r="V969" s="294"/>
      <c r="W969" s="294"/>
      <c r="X969" s="294"/>
      <c r="Y969" s="294"/>
      <c r="Z969" s="294"/>
      <c r="AA969" s="294"/>
      <c r="AB969" s="294"/>
    </row>
    <row r="970">
      <c r="A970" s="294"/>
      <c r="B970" s="294"/>
      <c r="C970" s="294"/>
      <c r="D970" s="294"/>
      <c r="E970" s="294"/>
      <c r="F970" s="294"/>
      <c r="G970" s="294"/>
      <c r="H970" s="294"/>
      <c r="I970" s="294"/>
      <c r="J970" s="294"/>
      <c r="K970" s="294"/>
      <c r="L970" s="294"/>
      <c r="M970" s="294"/>
      <c r="N970" s="294"/>
      <c r="O970" s="294"/>
      <c r="P970" s="294"/>
      <c r="Q970" s="294"/>
      <c r="R970" s="294"/>
      <c r="S970" s="294"/>
      <c r="T970" s="294"/>
      <c r="U970" s="294"/>
      <c r="V970" s="294"/>
      <c r="W970" s="294"/>
      <c r="X970" s="294"/>
      <c r="Y970" s="294"/>
      <c r="Z970" s="294"/>
      <c r="AA970" s="294"/>
      <c r="AB970" s="294"/>
    </row>
    <row r="971">
      <c r="A971" s="294"/>
      <c r="B971" s="294"/>
      <c r="C971" s="294"/>
      <c r="D971" s="294"/>
      <c r="E971" s="294"/>
      <c r="F971" s="294"/>
      <c r="G971" s="294"/>
      <c r="H971" s="294"/>
      <c r="I971" s="294"/>
      <c r="J971" s="294"/>
      <c r="K971" s="294"/>
      <c r="L971" s="294"/>
      <c r="M971" s="294"/>
      <c r="N971" s="294"/>
      <c r="O971" s="294"/>
      <c r="P971" s="294"/>
      <c r="Q971" s="294"/>
      <c r="R971" s="294"/>
      <c r="S971" s="294"/>
      <c r="T971" s="294"/>
      <c r="U971" s="294"/>
      <c r="V971" s="294"/>
      <c r="W971" s="294"/>
      <c r="X971" s="294"/>
      <c r="Y971" s="294"/>
      <c r="Z971" s="294"/>
      <c r="AA971" s="294"/>
      <c r="AB971" s="294"/>
    </row>
    <row r="972">
      <c r="A972" s="294"/>
      <c r="B972" s="294"/>
      <c r="C972" s="294"/>
      <c r="D972" s="294"/>
      <c r="E972" s="294"/>
      <c r="F972" s="294"/>
      <c r="G972" s="294"/>
      <c r="H972" s="294"/>
      <c r="I972" s="294"/>
      <c r="J972" s="294"/>
      <c r="K972" s="294"/>
      <c r="L972" s="294"/>
      <c r="M972" s="294"/>
      <c r="N972" s="294"/>
      <c r="O972" s="294"/>
      <c r="P972" s="294"/>
      <c r="Q972" s="294"/>
      <c r="R972" s="294"/>
      <c r="S972" s="294"/>
      <c r="T972" s="294"/>
      <c r="U972" s="294"/>
      <c r="V972" s="294"/>
      <c r="W972" s="294"/>
      <c r="X972" s="294"/>
      <c r="Y972" s="294"/>
      <c r="Z972" s="294"/>
      <c r="AA972" s="294"/>
      <c r="AB972" s="294"/>
    </row>
    <row r="973">
      <c r="A973" s="294"/>
      <c r="B973" s="294"/>
      <c r="C973" s="294"/>
      <c r="D973" s="294"/>
      <c r="E973" s="294"/>
      <c r="F973" s="294"/>
      <c r="G973" s="294"/>
      <c r="H973" s="294"/>
      <c r="I973" s="294"/>
      <c r="J973" s="294"/>
      <c r="K973" s="294"/>
      <c r="L973" s="294"/>
      <c r="M973" s="294"/>
      <c r="N973" s="294"/>
      <c r="O973" s="294"/>
      <c r="P973" s="294"/>
      <c r="Q973" s="294"/>
      <c r="R973" s="294"/>
      <c r="S973" s="294"/>
      <c r="T973" s="294"/>
      <c r="U973" s="294"/>
      <c r="V973" s="294"/>
      <c r="W973" s="294"/>
      <c r="X973" s="294"/>
      <c r="Y973" s="294"/>
      <c r="Z973" s="294"/>
      <c r="AA973" s="294"/>
      <c r="AB973" s="294"/>
    </row>
    <row r="974">
      <c r="A974" s="294"/>
      <c r="B974" s="294"/>
      <c r="C974" s="294"/>
      <c r="D974" s="294"/>
      <c r="E974" s="294"/>
      <c r="F974" s="294"/>
      <c r="G974" s="294"/>
      <c r="H974" s="294"/>
      <c r="I974" s="294"/>
      <c r="J974" s="294"/>
      <c r="K974" s="294"/>
      <c r="L974" s="294"/>
      <c r="M974" s="294"/>
      <c r="N974" s="294"/>
      <c r="O974" s="294"/>
      <c r="P974" s="294"/>
      <c r="Q974" s="294"/>
      <c r="R974" s="294"/>
      <c r="S974" s="294"/>
      <c r="T974" s="294"/>
      <c r="U974" s="294"/>
      <c r="V974" s="294"/>
      <c r="W974" s="294"/>
      <c r="X974" s="294"/>
      <c r="Y974" s="294"/>
      <c r="Z974" s="294"/>
      <c r="AA974" s="294"/>
      <c r="AB974" s="294"/>
    </row>
    <row r="975">
      <c r="A975" s="294"/>
      <c r="B975" s="294"/>
      <c r="C975" s="294"/>
      <c r="D975" s="294"/>
      <c r="E975" s="294"/>
      <c r="F975" s="294"/>
      <c r="G975" s="294"/>
      <c r="H975" s="294"/>
      <c r="I975" s="294"/>
      <c r="J975" s="294"/>
      <c r="K975" s="294"/>
      <c r="L975" s="294"/>
      <c r="M975" s="294"/>
      <c r="N975" s="294"/>
      <c r="O975" s="294"/>
      <c r="P975" s="294"/>
      <c r="Q975" s="294"/>
      <c r="R975" s="294"/>
      <c r="S975" s="294"/>
      <c r="T975" s="294"/>
      <c r="U975" s="294"/>
      <c r="V975" s="294"/>
      <c r="W975" s="294"/>
      <c r="X975" s="294"/>
      <c r="Y975" s="294"/>
      <c r="Z975" s="294"/>
      <c r="AA975" s="294"/>
      <c r="AB975" s="294"/>
    </row>
    <row r="976">
      <c r="A976" s="294"/>
      <c r="B976" s="294"/>
      <c r="C976" s="294"/>
      <c r="D976" s="294"/>
      <c r="E976" s="294"/>
      <c r="F976" s="294"/>
      <c r="G976" s="294"/>
      <c r="H976" s="294"/>
      <c r="I976" s="294"/>
      <c r="J976" s="294"/>
      <c r="K976" s="294"/>
      <c r="L976" s="294"/>
      <c r="M976" s="294"/>
      <c r="N976" s="294"/>
      <c r="O976" s="294"/>
      <c r="P976" s="294"/>
      <c r="Q976" s="294"/>
      <c r="R976" s="294"/>
      <c r="S976" s="294"/>
      <c r="T976" s="294"/>
      <c r="U976" s="294"/>
      <c r="V976" s="294"/>
      <c r="W976" s="294"/>
      <c r="X976" s="294"/>
      <c r="Y976" s="294"/>
      <c r="Z976" s="294"/>
      <c r="AA976" s="294"/>
      <c r="AB976" s="294"/>
    </row>
    <row r="977">
      <c r="A977" s="294"/>
      <c r="B977" s="294"/>
      <c r="C977" s="294"/>
      <c r="D977" s="294"/>
      <c r="E977" s="294"/>
      <c r="F977" s="294"/>
      <c r="G977" s="294"/>
      <c r="H977" s="294"/>
      <c r="I977" s="294"/>
      <c r="J977" s="294"/>
      <c r="K977" s="294"/>
      <c r="L977" s="294"/>
      <c r="M977" s="294"/>
      <c r="N977" s="294"/>
      <c r="O977" s="294"/>
      <c r="P977" s="294"/>
      <c r="Q977" s="294"/>
      <c r="R977" s="294"/>
      <c r="S977" s="294"/>
      <c r="T977" s="294"/>
      <c r="U977" s="294"/>
      <c r="V977" s="294"/>
      <c r="W977" s="294"/>
      <c r="X977" s="294"/>
      <c r="Y977" s="294"/>
      <c r="Z977" s="294"/>
      <c r="AA977" s="294"/>
      <c r="AB977" s="294"/>
    </row>
    <row r="978">
      <c r="A978" s="294"/>
      <c r="B978" s="294"/>
      <c r="C978" s="294"/>
      <c r="D978" s="294"/>
      <c r="E978" s="294"/>
      <c r="F978" s="294"/>
      <c r="G978" s="294"/>
      <c r="H978" s="294"/>
      <c r="I978" s="294"/>
      <c r="J978" s="294"/>
      <c r="K978" s="294"/>
      <c r="L978" s="294"/>
      <c r="M978" s="294"/>
      <c r="N978" s="294"/>
      <c r="O978" s="294"/>
      <c r="P978" s="294"/>
      <c r="Q978" s="294"/>
      <c r="R978" s="294"/>
      <c r="S978" s="294"/>
      <c r="T978" s="294"/>
      <c r="U978" s="294"/>
      <c r="V978" s="294"/>
      <c r="W978" s="294"/>
      <c r="X978" s="294"/>
      <c r="Y978" s="294"/>
      <c r="Z978" s="294"/>
      <c r="AA978" s="294"/>
      <c r="AB978" s="294"/>
    </row>
    <row r="979">
      <c r="A979" s="294"/>
      <c r="B979" s="294"/>
      <c r="C979" s="294"/>
      <c r="D979" s="294"/>
      <c r="E979" s="294"/>
      <c r="F979" s="294"/>
      <c r="G979" s="294"/>
      <c r="H979" s="294"/>
      <c r="I979" s="294"/>
      <c r="J979" s="294"/>
      <c r="K979" s="294"/>
      <c r="L979" s="294"/>
      <c r="M979" s="294"/>
      <c r="N979" s="294"/>
      <c r="O979" s="294"/>
      <c r="P979" s="294"/>
      <c r="Q979" s="294"/>
      <c r="R979" s="294"/>
      <c r="S979" s="294"/>
      <c r="T979" s="294"/>
      <c r="U979" s="294"/>
      <c r="V979" s="294"/>
      <c r="W979" s="294"/>
      <c r="X979" s="294"/>
      <c r="Y979" s="294"/>
      <c r="Z979" s="294"/>
      <c r="AA979" s="294"/>
      <c r="AB979" s="294"/>
    </row>
    <row r="980">
      <c r="A980" s="294"/>
      <c r="B980" s="294"/>
      <c r="C980" s="294"/>
      <c r="D980" s="294"/>
      <c r="E980" s="294"/>
      <c r="F980" s="294"/>
      <c r="G980" s="294"/>
      <c r="H980" s="294"/>
      <c r="I980" s="294"/>
      <c r="J980" s="294"/>
      <c r="K980" s="294"/>
      <c r="L980" s="294"/>
      <c r="M980" s="294"/>
      <c r="N980" s="294"/>
      <c r="O980" s="294"/>
      <c r="P980" s="294"/>
      <c r="Q980" s="294"/>
      <c r="R980" s="294"/>
      <c r="S980" s="294"/>
      <c r="T980" s="294"/>
      <c r="U980" s="294"/>
      <c r="V980" s="294"/>
      <c r="W980" s="294"/>
      <c r="X980" s="294"/>
      <c r="Y980" s="294"/>
      <c r="Z980" s="294"/>
      <c r="AA980" s="294"/>
      <c r="AB980" s="294"/>
    </row>
    <row r="981">
      <c r="A981" s="294"/>
      <c r="B981" s="294"/>
      <c r="C981" s="294"/>
      <c r="D981" s="294"/>
      <c r="E981" s="294"/>
      <c r="F981" s="294"/>
      <c r="G981" s="294"/>
      <c r="H981" s="294"/>
      <c r="I981" s="294"/>
      <c r="J981" s="294"/>
      <c r="K981" s="294"/>
      <c r="L981" s="294"/>
      <c r="M981" s="294"/>
      <c r="N981" s="294"/>
      <c r="O981" s="294"/>
      <c r="P981" s="294"/>
      <c r="Q981" s="294"/>
      <c r="R981" s="294"/>
      <c r="S981" s="294"/>
      <c r="T981" s="294"/>
      <c r="U981" s="294"/>
      <c r="V981" s="294"/>
      <c r="W981" s="294"/>
      <c r="X981" s="294"/>
      <c r="Y981" s="294"/>
      <c r="Z981" s="294"/>
      <c r="AA981" s="294"/>
      <c r="AB981" s="294"/>
    </row>
    <row r="982">
      <c r="A982" s="294"/>
      <c r="B982" s="294"/>
      <c r="C982" s="294"/>
      <c r="D982" s="294"/>
      <c r="E982" s="294"/>
      <c r="F982" s="294"/>
      <c r="G982" s="294"/>
      <c r="H982" s="294"/>
      <c r="I982" s="294"/>
      <c r="J982" s="294"/>
      <c r="K982" s="294"/>
      <c r="L982" s="294"/>
      <c r="M982" s="294"/>
      <c r="N982" s="294"/>
      <c r="O982" s="294"/>
      <c r="P982" s="294"/>
      <c r="Q982" s="294"/>
      <c r="R982" s="294"/>
      <c r="S982" s="294"/>
      <c r="T982" s="294"/>
      <c r="U982" s="294"/>
      <c r="V982" s="294"/>
      <c r="W982" s="294"/>
      <c r="X982" s="294"/>
      <c r="Y982" s="294"/>
      <c r="Z982" s="294"/>
      <c r="AA982" s="294"/>
      <c r="AB982" s="294"/>
    </row>
    <row r="983">
      <c r="A983" s="294"/>
      <c r="B983" s="294"/>
      <c r="C983" s="294"/>
      <c r="D983" s="294"/>
      <c r="E983" s="294"/>
      <c r="F983" s="294"/>
      <c r="G983" s="294"/>
      <c r="H983" s="294"/>
      <c r="I983" s="294"/>
      <c r="J983" s="294"/>
      <c r="K983" s="294"/>
      <c r="L983" s="294"/>
      <c r="M983" s="294"/>
      <c r="N983" s="294"/>
      <c r="O983" s="294"/>
      <c r="P983" s="294"/>
      <c r="Q983" s="294"/>
      <c r="R983" s="294"/>
      <c r="S983" s="294"/>
      <c r="T983" s="294"/>
      <c r="U983" s="294"/>
      <c r="V983" s="294"/>
      <c r="W983" s="294"/>
      <c r="X983" s="294"/>
      <c r="Y983" s="294"/>
      <c r="Z983" s="294"/>
      <c r="AA983" s="294"/>
      <c r="AB983" s="294"/>
    </row>
    <row r="984">
      <c r="A984" s="294"/>
      <c r="B984" s="294"/>
      <c r="C984" s="294"/>
      <c r="D984" s="294"/>
      <c r="E984" s="294"/>
      <c r="F984" s="294"/>
      <c r="G984" s="294"/>
      <c r="H984" s="294"/>
      <c r="I984" s="294"/>
      <c r="J984" s="294"/>
      <c r="K984" s="294"/>
      <c r="L984" s="294"/>
      <c r="M984" s="294"/>
      <c r="N984" s="294"/>
      <c r="O984" s="294"/>
      <c r="P984" s="294"/>
      <c r="Q984" s="294"/>
      <c r="R984" s="294"/>
      <c r="S984" s="294"/>
      <c r="T984" s="294"/>
      <c r="U984" s="294"/>
      <c r="V984" s="294"/>
      <c r="W984" s="294"/>
      <c r="X984" s="294"/>
      <c r="Y984" s="294"/>
      <c r="Z984" s="294"/>
      <c r="AA984" s="294"/>
      <c r="AB984" s="294"/>
    </row>
    <row r="985">
      <c r="A985" s="294"/>
      <c r="B985" s="294"/>
      <c r="C985" s="294"/>
      <c r="D985" s="294"/>
      <c r="E985" s="294"/>
      <c r="F985" s="294"/>
      <c r="G985" s="294"/>
      <c r="H985" s="294"/>
      <c r="I985" s="294"/>
      <c r="J985" s="294"/>
      <c r="K985" s="294"/>
      <c r="L985" s="294"/>
      <c r="M985" s="294"/>
      <c r="N985" s="294"/>
      <c r="O985" s="294"/>
      <c r="P985" s="294"/>
      <c r="Q985" s="294"/>
      <c r="R985" s="294"/>
      <c r="S985" s="294"/>
      <c r="T985" s="294"/>
      <c r="U985" s="294"/>
      <c r="V985" s="294"/>
      <c r="W985" s="294"/>
      <c r="X985" s="294"/>
      <c r="Y985" s="294"/>
      <c r="Z985" s="294"/>
      <c r="AA985" s="294"/>
      <c r="AB985" s="294"/>
    </row>
    <row r="986">
      <c r="A986" s="294"/>
      <c r="B986" s="294"/>
      <c r="C986" s="294"/>
      <c r="D986" s="294"/>
      <c r="E986" s="294"/>
      <c r="F986" s="294"/>
      <c r="G986" s="294"/>
      <c r="H986" s="294"/>
      <c r="I986" s="294"/>
      <c r="J986" s="294"/>
      <c r="K986" s="294"/>
      <c r="L986" s="294"/>
      <c r="M986" s="294"/>
      <c r="N986" s="294"/>
      <c r="O986" s="294"/>
      <c r="P986" s="294"/>
      <c r="Q986" s="294"/>
      <c r="R986" s="294"/>
      <c r="S986" s="294"/>
      <c r="T986" s="294"/>
      <c r="U986" s="294"/>
      <c r="V986" s="294"/>
      <c r="W986" s="294"/>
      <c r="X986" s="294"/>
      <c r="Y986" s="294"/>
      <c r="Z986" s="294"/>
      <c r="AA986" s="294"/>
      <c r="AB986" s="294"/>
    </row>
    <row r="987">
      <c r="A987" s="294"/>
      <c r="B987" s="294"/>
      <c r="C987" s="294"/>
      <c r="D987" s="294"/>
      <c r="E987" s="294"/>
      <c r="F987" s="294"/>
      <c r="G987" s="294"/>
      <c r="H987" s="294"/>
      <c r="I987" s="294"/>
      <c r="J987" s="294"/>
      <c r="K987" s="294"/>
      <c r="L987" s="294"/>
      <c r="M987" s="294"/>
      <c r="N987" s="294"/>
      <c r="O987" s="294"/>
      <c r="P987" s="294"/>
      <c r="Q987" s="294"/>
      <c r="R987" s="294"/>
      <c r="S987" s="294"/>
      <c r="T987" s="294"/>
      <c r="U987" s="294"/>
      <c r="V987" s="294"/>
      <c r="W987" s="294"/>
      <c r="X987" s="294"/>
      <c r="Y987" s="294"/>
      <c r="Z987" s="294"/>
      <c r="AA987" s="294"/>
      <c r="AB987" s="294"/>
    </row>
    <row r="988">
      <c r="A988" s="294"/>
      <c r="B988" s="294"/>
      <c r="C988" s="294"/>
      <c r="D988" s="294"/>
      <c r="E988" s="294"/>
      <c r="F988" s="294"/>
      <c r="G988" s="294"/>
      <c r="H988" s="294"/>
      <c r="I988" s="294"/>
      <c r="J988" s="294"/>
      <c r="K988" s="294"/>
      <c r="L988" s="294"/>
      <c r="M988" s="294"/>
      <c r="N988" s="294"/>
      <c r="O988" s="294"/>
      <c r="P988" s="294"/>
      <c r="Q988" s="294"/>
      <c r="R988" s="294"/>
      <c r="S988" s="294"/>
      <c r="T988" s="294"/>
      <c r="U988" s="294"/>
      <c r="V988" s="294"/>
      <c r="W988" s="294"/>
      <c r="X988" s="294"/>
      <c r="Y988" s="294"/>
      <c r="Z988" s="294"/>
      <c r="AA988" s="294"/>
      <c r="AB988" s="294"/>
    </row>
    <row r="989">
      <c r="A989" s="294"/>
      <c r="B989" s="294"/>
      <c r="C989" s="294"/>
      <c r="D989" s="294"/>
      <c r="E989" s="294"/>
      <c r="F989" s="294"/>
      <c r="G989" s="294"/>
      <c r="H989" s="294"/>
      <c r="I989" s="294"/>
      <c r="J989" s="294"/>
      <c r="K989" s="294"/>
      <c r="L989" s="294"/>
      <c r="M989" s="294"/>
      <c r="N989" s="294"/>
      <c r="O989" s="294"/>
      <c r="P989" s="294"/>
      <c r="Q989" s="294"/>
      <c r="R989" s="294"/>
      <c r="S989" s="294"/>
      <c r="T989" s="294"/>
      <c r="U989" s="294"/>
      <c r="V989" s="294"/>
      <c r="W989" s="294"/>
      <c r="X989" s="294"/>
      <c r="Y989" s="294"/>
      <c r="Z989" s="294"/>
      <c r="AA989" s="294"/>
      <c r="AB989" s="294"/>
    </row>
    <row r="990">
      <c r="A990" s="294"/>
      <c r="B990" s="294"/>
      <c r="C990" s="294"/>
      <c r="D990" s="294"/>
      <c r="E990" s="294"/>
      <c r="F990" s="294"/>
      <c r="G990" s="294"/>
      <c r="H990" s="294"/>
      <c r="I990" s="294"/>
      <c r="J990" s="294"/>
      <c r="K990" s="294"/>
      <c r="L990" s="294"/>
      <c r="M990" s="294"/>
      <c r="N990" s="294"/>
      <c r="O990" s="294"/>
      <c r="P990" s="294"/>
      <c r="Q990" s="294"/>
      <c r="R990" s="294"/>
      <c r="S990" s="294"/>
      <c r="T990" s="294"/>
      <c r="U990" s="294"/>
      <c r="V990" s="294"/>
      <c r="W990" s="294"/>
      <c r="X990" s="294"/>
      <c r="Y990" s="294"/>
      <c r="Z990" s="294"/>
      <c r="AA990" s="294"/>
      <c r="AB990" s="294"/>
    </row>
    <row r="991">
      <c r="A991" s="294"/>
      <c r="B991" s="294"/>
      <c r="C991" s="294"/>
      <c r="D991" s="294"/>
      <c r="E991" s="294"/>
      <c r="F991" s="294"/>
      <c r="G991" s="294"/>
      <c r="H991" s="294"/>
      <c r="I991" s="294"/>
      <c r="J991" s="294"/>
      <c r="K991" s="294"/>
      <c r="L991" s="294"/>
      <c r="M991" s="294"/>
      <c r="N991" s="294"/>
      <c r="O991" s="294"/>
      <c r="P991" s="294"/>
      <c r="Q991" s="294"/>
      <c r="R991" s="294"/>
      <c r="S991" s="294"/>
      <c r="T991" s="294"/>
      <c r="U991" s="294"/>
      <c r="V991" s="294"/>
      <c r="W991" s="294"/>
      <c r="X991" s="294"/>
      <c r="Y991" s="294"/>
      <c r="Z991" s="294"/>
      <c r="AA991" s="294"/>
      <c r="AB991" s="294"/>
    </row>
    <row r="992">
      <c r="A992" s="294"/>
      <c r="B992" s="294"/>
      <c r="C992" s="294"/>
      <c r="D992" s="294"/>
      <c r="E992" s="294"/>
      <c r="F992" s="294"/>
      <c r="G992" s="294"/>
      <c r="H992" s="294"/>
      <c r="I992" s="294"/>
      <c r="J992" s="294"/>
      <c r="K992" s="294"/>
      <c r="L992" s="294"/>
      <c r="M992" s="294"/>
      <c r="N992" s="294"/>
      <c r="O992" s="294"/>
      <c r="P992" s="294"/>
      <c r="Q992" s="294"/>
      <c r="R992" s="294"/>
      <c r="S992" s="294"/>
      <c r="T992" s="294"/>
      <c r="U992" s="294"/>
      <c r="V992" s="294"/>
      <c r="W992" s="294"/>
      <c r="X992" s="294"/>
      <c r="Y992" s="294"/>
      <c r="Z992" s="294"/>
      <c r="AA992" s="294"/>
      <c r="AB992" s="294"/>
    </row>
    <row r="993">
      <c r="A993" s="294"/>
      <c r="B993" s="294"/>
      <c r="C993" s="294"/>
      <c r="D993" s="294"/>
      <c r="E993" s="294"/>
      <c r="F993" s="294"/>
      <c r="G993" s="294"/>
      <c r="H993" s="294"/>
      <c r="I993" s="294"/>
      <c r="J993" s="294"/>
      <c r="K993" s="294"/>
      <c r="L993" s="294"/>
      <c r="M993" s="294"/>
      <c r="N993" s="294"/>
      <c r="O993" s="294"/>
      <c r="P993" s="294"/>
      <c r="Q993" s="294"/>
      <c r="R993" s="294"/>
      <c r="S993" s="294"/>
      <c r="T993" s="294"/>
      <c r="U993" s="294"/>
      <c r="V993" s="294"/>
      <c r="W993" s="294"/>
      <c r="X993" s="294"/>
      <c r="Y993" s="294"/>
      <c r="Z993" s="294"/>
      <c r="AA993" s="294"/>
      <c r="AB993" s="294"/>
    </row>
    <row r="994">
      <c r="A994" s="294"/>
      <c r="B994" s="294"/>
      <c r="C994" s="294"/>
      <c r="D994" s="294"/>
      <c r="E994" s="294"/>
      <c r="F994" s="294"/>
      <c r="G994" s="294"/>
      <c r="H994" s="294"/>
      <c r="I994" s="294"/>
      <c r="J994" s="294"/>
      <c r="K994" s="294"/>
      <c r="L994" s="294"/>
      <c r="M994" s="294"/>
      <c r="N994" s="294"/>
      <c r="O994" s="294"/>
      <c r="P994" s="294"/>
      <c r="Q994" s="294"/>
      <c r="R994" s="294"/>
      <c r="S994" s="294"/>
      <c r="T994" s="294"/>
      <c r="U994" s="294"/>
      <c r="V994" s="294"/>
      <c r="W994" s="294"/>
      <c r="X994" s="294"/>
      <c r="Y994" s="294"/>
      <c r="Z994" s="294"/>
      <c r="AA994" s="294"/>
      <c r="AB994" s="294"/>
    </row>
    <row r="995">
      <c r="A995" s="294"/>
      <c r="B995" s="294"/>
      <c r="C995" s="294"/>
      <c r="D995" s="294"/>
      <c r="E995" s="294"/>
      <c r="F995" s="294"/>
      <c r="G995" s="294"/>
      <c r="H995" s="294"/>
      <c r="I995" s="294"/>
      <c r="J995" s="294"/>
      <c r="K995" s="294"/>
      <c r="L995" s="294"/>
      <c r="M995" s="294"/>
      <c r="N995" s="294"/>
      <c r="O995" s="294"/>
      <c r="P995" s="294"/>
      <c r="Q995" s="294"/>
      <c r="R995" s="294"/>
      <c r="S995" s="294"/>
      <c r="T995" s="294"/>
      <c r="U995" s="294"/>
      <c r="V995" s="294"/>
      <c r="W995" s="294"/>
      <c r="X995" s="294"/>
      <c r="Y995" s="294"/>
      <c r="Z995" s="294"/>
      <c r="AA995" s="294"/>
      <c r="AB995" s="294"/>
    </row>
    <row r="996">
      <c r="A996" s="294"/>
      <c r="B996" s="294"/>
      <c r="C996" s="294"/>
      <c r="D996" s="294"/>
      <c r="E996" s="294"/>
      <c r="F996" s="294"/>
      <c r="G996" s="294"/>
      <c r="H996" s="294"/>
      <c r="I996" s="294"/>
      <c r="J996" s="294"/>
      <c r="K996" s="294"/>
      <c r="L996" s="294"/>
      <c r="M996" s="294"/>
      <c r="N996" s="294"/>
      <c r="O996" s="294"/>
      <c r="P996" s="294"/>
      <c r="Q996" s="294"/>
      <c r="R996" s="294"/>
      <c r="S996" s="294"/>
      <c r="T996" s="294"/>
      <c r="U996" s="294"/>
      <c r="V996" s="294"/>
      <c r="W996" s="294"/>
      <c r="X996" s="294"/>
      <c r="Y996" s="294"/>
      <c r="Z996" s="294"/>
      <c r="AA996" s="294"/>
      <c r="AB996" s="294"/>
    </row>
    <row r="997">
      <c r="A997" s="294"/>
      <c r="B997" s="294"/>
      <c r="C997" s="294"/>
      <c r="D997" s="294"/>
      <c r="E997" s="294"/>
      <c r="F997" s="294"/>
      <c r="G997" s="294"/>
      <c r="H997" s="294"/>
      <c r="I997" s="294"/>
      <c r="J997" s="294"/>
      <c r="K997" s="294"/>
      <c r="L997" s="294"/>
      <c r="M997" s="294"/>
      <c r="N997" s="294"/>
      <c r="O997" s="294"/>
      <c r="P997" s="294"/>
      <c r="Q997" s="294"/>
      <c r="R997" s="294"/>
      <c r="S997" s="294"/>
      <c r="T997" s="294"/>
      <c r="U997" s="294"/>
      <c r="V997" s="294"/>
      <c r="W997" s="294"/>
      <c r="X997" s="294"/>
      <c r="Y997" s="294"/>
      <c r="Z997" s="294"/>
      <c r="AA997" s="294"/>
      <c r="AB997" s="294"/>
    </row>
    <row r="998">
      <c r="A998" s="294"/>
      <c r="B998" s="294"/>
      <c r="C998" s="294"/>
      <c r="D998" s="294"/>
      <c r="E998" s="294"/>
      <c r="F998" s="294"/>
      <c r="G998" s="294"/>
      <c r="H998" s="294"/>
      <c r="I998" s="294"/>
      <c r="J998" s="294"/>
      <c r="K998" s="294"/>
      <c r="L998" s="294"/>
      <c r="M998" s="294"/>
      <c r="N998" s="294"/>
      <c r="O998" s="294"/>
      <c r="P998" s="294"/>
      <c r="Q998" s="294"/>
      <c r="R998" s="294"/>
      <c r="S998" s="294"/>
      <c r="T998" s="294"/>
      <c r="U998" s="294"/>
      <c r="V998" s="294"/>
      <c r="W998" s="294"/>
      <c r="X998" s="294"/>
      <c r="Y998" s="294"/>
      <c r="Z998" s="294"/>
      <c r="AA998" s="294"/>
      <c r="AB998" s="294"/>
    </row>
    <row r="999">
      <c r="A999" s="294"/>
      <c r="B999" s="294"/>
      <c r="C999" s="294"/>
      <c r="D999" s="294"/>
      <c r="E999" s="294"/>
      <c r="F999" s="294"/>
      <c r="G999" s="294"/>
      <c r="H999" s="294"/>
      <c r="I999" s="294"/>
      <c r="J999" s="294"/>
      <c r="K999" s="294"/>
      <c r="L999" s="294"/>
      <c r="M999" s="294"/>
      <c r="N999" s="294"/>
      <c r="O999" s="294"/>
      <c r="P999" s="294"/>
      <c r="Q999" s="294"/>
      <c r="R999" s="294"/>
      <c r="S999" s="294"/>
      <c r="T999" s="294"/>
      <c r="U999" s="294"/>
      <c r="V999" s="294"/>
      <c r="W999" s="294"/>
      <c r="X999" s="294"/>
      <c r="Y999" s="294"/>
      <c r="Z999" s="294"/>
      <c r="AA999" s="294"/>
      <c r="AB999" s="294"/>
    </row>
    <row r="1000">
      <c r="A1000" s="294"/>
      <c r="B1000" s="294"/>
      <c r="C1000" s="294"/>
      <c r="D1000" s="294"/>
      <c r="E1000" s="294"/>
      <c r="F1000" s="294"/>
      <c r="G1000" s="294"/>
      <c r="H1000" s="294"/>
      <c r="I1000" s="294"/>
      <c r="J1000" s="294"/>
      <c r="K1000" s="294"/>
      <c r="L1000" s="294"/>
      <c r="M1000" s="294"/>
      <c r="N1000" s="294"/>
      <c r="O1000" s="294"/>
      <c r="P1000" s="294"/>
      <c r="Q1000" s="294"/>
      <c r="R1000" s="294"/>
      <c r="S1000" s="294"/>
      <c r="T1000" s="294"/>
      <c r="U1000" s="294"/>
      <c r="V1000" s="294"/>
      <c r="W1000" s="294"/>
      <c r="X1000" s="294"/>
      <c r="Y1000" s="294"/>
      <c r="Z1000" s="294"/>
      <c r="AA1000" s="294"/>
      <c r="AB1000" s="294"/>
    </row>
  </sheetData>
  <drawing r:id="rId1"/>
</worksheet>
</file>